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worksheets/sheet1.xml" ContentType="application/vnd.openxmlformats-officedocument.spreadsheetml.worksheet+xml"/>
  <Override PartName="/xl/pivotTables/pivotTable19.xml" ContentType="application/vnd.openxmlformats-officedocument.spreadsheetml.pivotTable+xml"/>
  <Override PartName="/xl/pivotTables/pivotTable18.xml" ContentType="application/vnd.openxmlformats-officedocument.spreadsheetml.pivotTable+xml"/>
  <Override PartName="/xl/pivotTables/pivotTable17.xml" ContentType="application/vnd.openxmlformats-officedocument.spreadsheetml.pivotTable+xml"/>
  <Override PartName="/xl/pivotTables/pivotTable16.xml" ContentType="application/vnd.openxmlformats-officedocument.spreadsheetml.pivotTable+xml"/>
  <Override PartName="/xl/pivotTables/pivotTable15.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worksheets/sheet3.xml" ContentType="application/vnd.openxmlformats-officedocument.spreadsheetml.worksheet+xml"/>
  <Override PartName="/xl/worksheets/sheet2.xml" ContentType="application/vnd.openxmlformats-officedocument.spreadsheetml.worksheet+xml"/>
  <Override PartName="/xl/pivotTables/pivotTable33.xml" ContentType="application/vnd.openxmlformats-officedocument.spreadsheetml.pivotTable+xml"/>
  <Override PartName="/xl/pivotTables/pivotTable32.xml" ContentType="application/vnd.openxmlformats-officedocument.spreadsheetml.pivotTable+xml"/>
  <Override PartName="/xl/pivotTables/pivotTable31.xml" ContentType="application/vnd.openxmlformats-officedocument.spreadsheetml.pivotTable+xml"/>
  <Override PartName="/xl/pivotTables/pivotTable30.xml" ContentType="application/vnd.openxmlformats-officedocument.spreadsheetml.pivotTable+xml"/>
  <Override PartName="/xl/pivotTables/pivotTable29.xml" ContentType="application/vnd.openxmlformats-officedocument.spreadsheetml.pivotTable+xml"/>
  <Override PartName="/xl/pivotTables/pivotTable28.xml" ContentType="application/vnd.openxmlformats-officedocument.spreadsheetml.pivotTable+xml"/>
  <Override PartName="/xl/pivotTables/pivotTable14.xml" ContentType="application/vnd.openxmlformats-officedocument.spreadsheetml.pivotTable+xml"/>
  <Override PartName="/xl/pivotTables/pivotTable20.xml" ContentType="application/vnd.openxmlformats-officedocument.spreadsheetml.pivotTable+xml"/>
  <Override PartName="/xl/styles.xml" ContentType="application/vnd.openxmlformats-officedocument.spreadsheetml.styles+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charts/chart18.xml" ContentType="application/vnd.openxmlformats-officedocument.drawingml.chart+xml"/>
  <Override PartName="/xl/charts/chart17.xml" ContentType="application/vnd.openxmlformats-officedocument.drawingml.chart+xml"/>
  <Override PartName="/xl/drawings/drawing3.xml" ContentType="application/vnd.openxmlformats-officedocument.drawing+xml"/>
  <Override PartName="/xl/pivotTables/pivotTable1.xml" ContentType="application/vnd.openxmlformats-officedocument.spreadsheetml.pivotTable+xml"/>
  <Override PartName="/xl/worksheets/sheet38.xml" ContentType="application/vnd.openxmlformats-officedocument.spreadsheetml.worksheet+xml"/>
  <Override PartName="/xl/pivotTables/pivotTable2.xml" ContentType="application/vnd.openxmlformats-officedocument.spreadsheetml.pivotTable+xml"/>
  <Override PartName="/xl/worksheets/sheet33.xml" ContentType="application/vnd.openxmlformats-officedocument.spreadsheetml.worksheet+xml"/>
  <Override PartName="/xl/theme/theme1.xml" ContentType="application/vnd.openxmlformats-officedocument.theme+xml"/>
  <Override PartName="/xl/worksheets/sheet35.xml" ContentType="application/vnd.openxmlformats-officedocument.spreadsheetml.worksheet+xml"/>
  <Override PartName="/xl/worksheets/sheet36.xml" ContentType="application/vnd.openxmlformats-officedocument.spreadsheetml.worksheet+xml"/>
  <Override PartName="/xl/pivotTables/pivotTable3.xml" ContentType="application/vnd.openxmlformats-officedocument.spreadsheetml.pivotTable+xml"/>
  <Override PartName="/xl/worksheets/sheet37.xml" ContentType="application/vnd.openxmlformats-officedocument.spreadsheetml.worksheet+xml"/>
  <Override PartName="/xl/charts/chart16.xml" ContentType="application/vnd.openxmlformats-officedocument.drawingml.chart+xml"/>
  <Override PartName="/xl/charts/chart15.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charts/chart1.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14.xml" ContentType="application/vnd.openxmlformats-officedocument.drawingml.chart+xml"/>
  <Override PartName="/xl/charts/chart13.xml" ContentType="application/vnd.openxmlformats-officedocument.drawingml.chart+xml"/>
  <Override PartName="/xl/charts/chart12.xml" ContentType="application/vnd.openxmlformats-officedocument.drawingml.chart+xml"/>
  <Override PartName="/xl/charts/chart11.xml" ContentType="application/vnd.openxmlformats-officedocument.drawingml.chart+xml"/>
  <Override PartName="/xl/charts/chart10.xml" ContentType="application/vnd.openxmlformats-officedocument.drawingml.chart+xml"/>
  <Override PartName="/xl/charts/chart9.xml" ContentType="application/vnd.openxmlformats-officedocument.drawingml.chart+xml"/>
  <Override PartName="/xl/worksheets/sheet32.xml" ContentType="application/vnd.openxmlformats-officedocument.spreadsheetml.worksheet+xml"/>
  <Override PartName="/xl/worksheets/sheet34.xml" ContentType="application/vnd.openxmlformats-officedocument.spreadsheetml.worksheet+xml"/>
  <Override PartName="/xl/worksheets/sheet3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Tables/pivotTable10.xml" ContentType="application/vnd.openxmlformats-officedocument.spreadsheetml.pivotTable+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Tables/pivotTable9.xml" ContentType="application/vnd.openxmlformats-officedocument.spreadsheetml.pivotTable+xml"/>
  <Override PartName="/xl/pivotTables/pivotTable4.xml" ContentType="application/vnd.openxmlformats-officedocument.spreadsheetml.pivotTable+xml"/>
  <Override PartName="/xl/worksheets/sheet11.xml" ContentType="application/vnd.openxmlformats-officedocument.spreadsheetml.worksheet+xml"/>
  <Override PartName="/xl/pivotTables/pivotTable11.xml" ContentType="application/vnd.openxmlformats-officedocument.spreadsheetml.pivotTable+xml"/>
  <Override PartName="/xl/worksheets/sheet10.xml" ContentType="application/vnd.openxmlformats-officedocument.spreadsheetml.worksheet+xml"/>
  <Override PartName="/xl/pivotTables/pivotTable13.xml" ContentType="application/vnd.openxmlformats-officedocument.spreadsheetml.pivotTable+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Tables/pivotTable12.xml" ContentType="application/vnd.openxmlformats-officedocument.spreadsheetml.pivotTable+xml"/>
  <Override PartName="/xl/worksheets/sheet8.xml" ContentType="application/vnd.openxmlformats-officedocument.spreadsheetml.worksheet+xml"/>
  <Override PartName="/xl/worksheets/sheet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9.xml" ContentType="application/vnd.openxmlformats-officedocument.spreadsheetml.worksheet+xml"/>
  <Override PartName="/xl/pivotTables/pivotTable6.xml" ContentType="application/vnd.openxmlformats-officedocument.spreadsheetml.pivotTable+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pivotTables/pivotTable5.xml" ContentType="application/vnd.openxmlformats-officedocument.spreadsheetml.pivotTable+xml"/>
  <Override PartName="/xl/worksheets/sheet29.xml" ContentType="application/vnd.openxmlformats-officedocument.spreadsheetml.worksheet+xml"/>
  <Override PartName="/xl/worksheets/sheet30.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pivotTables/pivotTable8.xml" ContentType="application/vnd.openxmlformats-officedocument.spreadsheetml.pivotTable+xml"/>
  <Override PartName="/xl/worksheets/sheet20.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pivotTables/pivotTable7.xml" ContentType="application/vnd.openxmlformats-officedocument.spreadsheetml.pivotTable+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xl/pivotCache/pivotCacheRecords2.xml" ContentType="application/vnd.openxmlformats-officedocument.spreadsheetml.pivotCacheRecord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filterPrivacy="1" codeName="ThisWorkbook"/>
  <xr:revisionPtr revIDLastSave="0" documentId="13_ncr:1_{74520035-6956-4275-84F2-47DB211962AE}" xr6:coauthVersionLast="36" xr6:coauthVersionMax="36" xr10:uidLastSave="{00000000-0000-0000-0000-000000000000}"/>
  <bookViews>
    <workbookView xWindow="75" yWindow="45" windowWidth="28710" windowHeight="12780" tabRatio="873" xr2:uid="{00000000-000D-0000-FFFF-FFFF00000000}"/>
  </bookViews>
  <sheets>
    <sheet name="Summary Tables" sheetId="22" r:id="rId1"/>
    <sheet name="Trajectory Scenario 1" sheetId="69" r:id="rId2"/>
    <sheet name="Trajectory Scenario 2" sheetId="72" r:id="rId3"/>
    <sheet name="Conventional Supply Scenario 1" sheetId="28" r:id="rId4"/>
    <sheet name="Conventional Supply Scenario 2" sheetId="70" r:id="rId5"/>
    <sheet name="Non-Self-Contained Supply" sheetId="31" r:id="rId6"/>
    <sheet name="Conventional Supply Assumptions" sheetId="19" r:id="rId7"/>
    <sheet name="Non-Self-Contained Assumptions" sheetId="68" r:id="rId8"/>
    <sheet name="Abbreviations" sheetId="67" r:id="rId9"/>
    <sheet name="1a Conv" sheetId="32" state="hidden" r:id="rId10"/>
    <sheet name="1a NSC" sheetId="33" state="hidden" r:id="rId11"/>
    <sheet name="1c" sheetId="34" state="hidden" r:id="rId12"/>
    <sheet name="2 NB" sheetId="35" state="hidden" r:id="rId13"/>
    <sheet name="2 CON" sheetId="36" state="hidden" r:id="rId14"/>
    <sheet name="3" sheetId="37" state="hidden" r:id="rId15"/>
    <sheet name="4" sheetId="38" state="hidden" r:id="rId16"/>
    <sheet name="5 Perm" sheetId="39" state="hidden" r:id="rId17"/>
    <sheet name="5 Star" sheetId="40" state="hidden" r:id="rId18"/>
    <sheet name="6 PeNB" sheetId="42" state="hidden" r:id="rId19"/>
    <sheet name="6 PeCO" sheetId="65" state="hidden" r:id="rId20"/>
    <sheet name="6 StNB" sheetId="43" state="hidden" r:id="rId21"/>
    <sheet name="6 StCO" sheetId="66" state="hidden" r:id="rId22"/>
    <sheet name="7 Perm" sheetId="44" state="hidden" r:id="rId23"/>
    <sheet name="7 Star" sheetId="45" state="hidden" r:id="rId24"/>
    <sheet name="8b and 8c" sheetId="46" state="hidden" r:id="rId25"/>
    <sheet name="11 NB" sheetId="47" state="hidden" r:id="rId26"/>
    <sheet name="11 CON" sheetId="48" state="hidden" r:id="rId27"/>
    <sheet name="12" sheetId="49" state="hidden" r:id="rId28"/>
    <sheet name="13" sheetId="50" state="hidden" r:id="rId29"/>
    <sheet name="14 Cent" sheetId="52" state="hidden" r:id="rId30"/>
    <sheet name="14 Clap" sheetId="53" state="hidden" r:id="rId31"/>
    <sheet name="14 Nine" sheetId="54" state="hidden" r:id="rId32"/>
    <sheet name="14 Tham" sheetId="55" state="hidden" r:id="rId33"/>
    <sheet name="14 Wand" sheetId="56" state="hidden" r:id="rId34"/>
    <sheet name="14 Roeh" sheetId="57" state="hidden" r:id="rId35"/>
    <sheet name="14 East" sheetId="58" state="hidden" r:id="rId36"/>
    <sheet name="15" sheetId="59" state="hidden" r:id="rId37"/>
    <sheet name="16" sheetId="60" state="hidden" r:id="rId38"/>
    <sheet name="17" sheetId="61" state="hidden" r:id="rId39"/>
    <sheet name="18" sheetId="62" state="hidden" r:id="rId40"/>
    <sheet name="19" sheetId="63" state="hidden" r:id="rId41"/>
    <sheet name="20" sheetId="64" state="hidden" r:id="rId42"/>
  </sheets>
  <definedNames>
    <definedName name="_xlnm._FilterDatabase" localSheetId="3" hidden="1">'Conventional Supply Scenario 1'!$A$1:$CY$1479</definedName>
    <definedName name="_xlnm._FilterDatabase" localSheetId="4" hidden="1">'Conventional Supply Scenario 2'!$A$1:$CY$1479</definedName>
    <definedName name="_xlnm._FilterDatabase" localSheetId="5" hidden="1">'Non-Self-Contained Supply'!$A$1:$BP$36</definedName>
    <definedName name="_xlnm._FilterDatabase" localSheetId="0" hidden="1">'Summary Tables'!$A$277:$E$301</definedName>
    <definedName name="bq" localSheetId="15">'Conventional Supply Scenario 1'!#REF!</definedName>
    <definedName name="bq" localSheetId="17">'Conventional Supply Scenario 1'!#REF!</definedName>
    <definedName name="bq" localSheetId="19">'Conventional Supply Scenario 1'!#REF!</definedName>
    <definedName name="bq" localSheetId="21">'Conventional Supply Scenario 1'!#REF!</definedName>
    <definedName name="bq" localSheetId="8">'Conventional Supply Scenario 1'!#REF!</definedName>
    <definedName name="bq" localSheetId="4">'Conventional Supply Scenario 2'!#REF!</definedName>
    <definedName name="bq" localSheetId="7">'Conventional Supply Scenario 1'!#REF!</definedName>
    <definedName name="bq" localSheetId="2">'Conventional Supply Scenario 1'!#REF!</definedName>
    <definedName name="bq">'Conventional Supply Scenario 1'!#REF!</definedName>
    <definedName name="_xlnm.Print_Area" localSheetId="8">Abbreviations!$A$1:$B$83</definedName>
    <definedName name="_xlnm.Print_Area" localSheetId="7">'Non-Self-Contained Assumptions'!$A$1:$C$14</definedName>
    <definedName name="_xlnm.Print_Area" localSheetId="0">'Summary Tables'!$A$1:$Q$360</definedName>
    <definedName name="_xlnm.Print_Titles" localSheetId="6">'Conventional Supply Assumptions'!$5:$5</definedName>
    <definedName name="_xlnm.Print_Titles" localSheetId="3">'Conventional Supply Scenario 1'!$A:$C,'Conventional Supply Scenario 1'!$1:$1</definedName>
    <definedName name="_xlnm.Print_Titles" localSheetId="4">'Conventional Supply Scenario 2'!$A:$C,'Conventional Supply Scenario 2'!$1:$1</definedName>
    <definedName name="_xlnm.Print_Titles" localSheetId="7">'Non-Self-Contained Assumptions'!$5:$5</definedName>
    <definedName name="_xlnm.Print_Titles" localSheetId="5">'Non-Self-Contained Supply'!$A:$C,'Non-Self-Contained Supply'!$1:$1</definedName>
  </definedNames>
  <calcPr calcId="191029"/>
  <pivotCaches>
    <pivotCache cacheId="22" r:id="rId43"/>
    <pivotCache cacheId="25" r:id="rId44"/>
  </pivotCache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Y785" i="28" l="1"/>
  <c r="CX785" i="28"/>
  <c r="CY784" i="28"/>
  <c r="CX784" i="28"/>
  <c r="CY783" i="28"/>
  <c r="CX783" i="28"/>
  <c r="CY753" i="28"/>
  <c r="CX753" i="28"/>
  <c r="CY752" i="28"/>
  <c r="CX752" i="28"/>
  <c r="CY757" i="28"/>
  <c r="CX757" i="28"/>
  <c r="CY756" i="28"/>
  <c r="CX756" i="28"/>
  <c r="CY755" i="28"/>
  <c r="CX755" i="28"/>
  <c r="CY754" i="28"/>
  <c r="CX754" i="28"/>
  <c r="CY758" i="28"/>
  <c r="CX758" i="28"/>
  <c r="CY283" i="28"/>
  <c r="CX283" i="28"/>
  <c r="CY282" i="28"/>
  <c r="CX282" i="28"/>
  <c r="G11" i="72" l="1"/>
  <c r="C11" i="72"/>
  <c r="G9" i="72"/>
  <c r="H9" i="72" s="1"/>
  <c r="I9" i="72" s="1"/>
  <c r="J9" i="72" s="1"/>
  <c r="K9" i="72" s="1"/>
  <c r="L9" i="72" s="1"/>
  <c r="M9" i="72" s="1"/>
  <c r="N9" i="72" s="1"/>
  <c r="O9" i="72" s="1"/>
  <c r="P9" i="72" s="1"/>
  <c r="Q9" i="72" s="1"/>
  <c r="R9" i="72" s="1"/>
  <c r="S9" i="72" s="1"/>
  <c r="T9" i="72" s="1"/>
  <c r="U9" i="72" s="1"/>
  <c r="V9" i="72" s="1"/>
  <c r="W9" i="72" s="1"/>
  <c r="X9" i="72" s="1"/>
  <c r="C9" i="72"/>
  <c r="D9" i="72" s="1"/>
  <c r="E9" i="72" s="1"/>
  <c r="F9" i="72" s="1"/>
  <c r="C7" i="72"/>
  <c r="H4" i="72"/>
  <c r="I4" i="72" s="1"/>
  <c r="J4" i="72" s="1"/>
  <c r="K4" i="72" s="1"/>
  <c r="L4" i="72" s="1"/>
  <c r="M4" i="72" s="1"/>
  <c r="N4" i="72" s="1"/>
  <c r="O4" i="72" s="1"/>
  <c r="P4" i="72" s="1"/>
  <c r="D4" i="72"/>
  <c r="E4" i="72" s="1"/>
  <c r="F4" i="72" s="1"/>
  <c r="D11" i="72" l="1"/>
  <c r="C10" i="72"/>
  <c r="D7" i="72"/>
  <c r="CL1418" i="70"/>
  <c r="CL1419" i="70"/>
  <c r="CL1417" i="70"/>
  <c r="CK1418" i="70"/>
  <c r="CK1419" i="70"/>
  <c r="CK1417" i="70"/>
  <c r="CJ420" i="70"/>
  <c r="CJ419" i="70"/>
  <c r="CJ418" i="70"/>
  <c r="D10" i="72" l="1"/>
  <c r="E11" i="72"/>
  <c r="E7" i="72"/>
  <c r="F11" i="72" l="1"/>
  <c r="F7" i="72"/>
  <c r="F10" i="72" s="1"/>
  <c r="E10" i="72"/>
  <c r="CH1155" i="70" l="1"/>
  <c r="CI1155" i="70"/>
  <c r="CH1156" i="70"/>
  <c r="CI1156" i="70"/>
  <c r="CI1154" i="70"/>
  <c r="CH1154" i="70"/>
  <c r="CJ1168" i="70" l="1"/>
  <c r="CI1168" i="70"/>
  <c r="CH1168" i="70"/>
  <c r="CJ1167" i="70"/>
  <c r="CI1167" i="70"/>
  <c r="CH1167" i="70"/>
  <c r="CJ1166" i="70"/>
  <c r="CI1166" i="70"/>
  <c r="CH1166" i="70"/>
  <c r="CJ1165" i="70"/>
  <c r="CI1165" i="70"/>
  <c r="CH1165" i="70"/>
  <c r="CJ1164" i="70"/>
  <c r="CI1164" i="70"/>
  <c r="CH1164" i="70"/>
  <c r="CJ1085" i="70"/>
  <c r="CI1085" i="70"/>
  <c r="CH1085" i="70"/>
  <c r="CJ1050" i="70"/>
  <c r="CI1050" i="70"/>
  <c r="CH1050" i="70"/>
  <c r="CJ1036" i="70"/>
  <c r="CI1036" i="70"/>
  <c r="CH1036" i="70"/>
  <c r="CJ1033" i="70"/>
  <c r="CI1033" i="70"/>
  <c r="CH1033" i="70"/>
  <c r="CJ976" i="70"/>
  <c r="CI976" i="70"/>
  <c r="CH976" i="70"/>
  <c r="CJ950" i="70"/>
  <c r="CI950" i="70"/>
  <c r="CH950" i="70"/>
  <c r="CJ837" i="70"/>
  <c r="CI837" i="70"/>
  <c r="CH837" i="70"/>
  <c r="CJ826" i="70"/>
  <c r="CI826" i="70"/>
  <c r="CH826" i="70"/>
  <c r="CJ773" i="70"/>
  <c r="CI773" i="70"/>
  <c r="CH773" i="70"/>
  <c r="CJ764" i="70"/>
  <c r="CI764" i="70"/>
  <c r="CH764" i="70"/>
  <c r="CJ746" i="70"/>
  <c r="CI746" i="70"/>
  <c r="CH746" i="70"/>
  <c r="CJ745" i="70"/>
  <c r="CI745" i="70"/>
  <c r="CH745" i="70"/>
  <c r="CJ741" i="70"/>
  <c r="CI741" i="70"/>
  <c r="CH741" i="70"/>
  <c r="CJ740" i="70"/>
  <c r="CI740" i="70"/>
  <c r="CH740" i="70"/>
  <c r="CJ738" i="70"/>
  <c r="CI738" i="70"/>
  <c r="CH738" i="70"/>
  <c r="CI249" i="70"/>
  <c r="CJ249" i="70"/>
  <c r="CI1179" i="70"/>
  <c r="CH1179" i="70"/>
  <c r="CG1179" i="70"/>
  <c r="CF1179" i="70"/>
  <c r="CE1179" i="70"/>
  <c r="CI1153" i="70"/>
  <c r="CH1153" i="70"/>
  <c r="CG1153" i="70"/>
  <c r="CF1153" i="70"/>
  <c r="CE1153" i="70"/>
  <c r="CI1152" i="70"/>
  <c r="CH1152" i="70"/>
  <c r="CG1152" i="70"/>
  <c r="CF1152" i="70"/>
  <c r="CE1152" i="70"/>
  <c r="CI1147" i="70"/>
  <c r="CH1147" i="70"/>
  <c r="CG1147" i="70"/>
  <c r="CF1147" i="70"/>
  <c r="CE1147" i="70"/>
  <c r="CI1138" i="70"/>
  <c r="CH1138" i="70"/>
  <c r="CG1138" i="70"/>
  <c r="CF1138" i="70"/>
  <c r="CE1138" i="70"/>
  <c r="CI1137" i="70"/>
  <c r="CH1137" i="70"/>
  <c r="CG1137" i="70"/>
  <c r="CF1137" i="70"/>
  <c r="CE1137" i="70"/>
  <c r="CI1122" i="70"/>
  <c r="CH1122" i="70"/>
  <c r="CG1122" i="70"/>
  <c r="CF1122" i="70"/>
  <c r="CE1122" i="70"/>
  <c r="CI1119" i="70"/>
  <c r="CH1119" i="70"/>
  <c r="CG1119" i="70"/>
  <c r="CF1119" i="70"/>
  <c r="CE1119" i="70"/>
  <c r="CI1108" i="70"/>
  <c r="CH1108" i="70"/>
  <c r="CG1108" i="70"/>
  <c r="CF1108" i="70"/>
  <c r="CE1108" i="70"/>
  <c r="CI1090" i="70"/>
  <c r="CH1090" i="70"/>
  <c r="CG1090" i="70"/>
  <c r="CF1090" i="70"/>
  <c r="CE1090" i="70"/>
  <c r="CI1088" i="70"/>
  <c r="CH1088" i="70"/>
  <c r="CG1088" i="70"/>
  <c r="CF1088" i="70"/>
  <c r="CE1088" i="70"/>
  <c r="CI1087" i="70"/>
  <c r="CH1087" i="70"/>
  <c r="CG1087" i="70"/>
  <c r="CF1087" i="70"/>
  <c r="CE1087" i="70"/>
  <c r="CI1080" i="70"/>
  <c r="CH1080" i="70"/>
  <c r="CG1080" i="70"/>
  <c r="CF1080" i="70"/>
  <c r="CE1080" i="70"/>
  <c r="CI1071" i="70"/>
  <c r="CH1071" i="70"/>
  <c r="CG1071" i="70"/>
  <c r="CF1071" i="70"/>
  <c r="CE1071" i="70"/>
  <c r="CI1069" i="70"/>
  <c r="CH1069" i="70"/>
  <c r="CG1069" i="70"/>
  <c r="CF1069" i="70"/>
  <c r="CE1069" i="70"/>
  <c r="CI1063" i="70"/>
  <c r="CH1063" i="70"/>
  <c r="CG1063" i="70"/>
  <c r="CF1063" i="70"/>
  <c r="CE1063" i="70"/>
  <c r="CI1062" i="70"/>
  <c r="CH1062" i="70"/>
  <c r="CG1062" i="70"/>
  <c r="CF1062" i="70"/>
  <c r="CE1062" i="70"/>
  <c r="CI1047" i="70"/>
  <c r="CH1047" i="70"/>
  <c r="CG1047" i="70"/>
  <c r="CF1047" i="70"/>
  <c r="CE1047" i="70"/>
  <c r="CI1046" i="70"/>
  <c r="CH1046" i="70"/>
  <c r="CG1046" i="70"/>
  <c r="CF1046" i="70"/>
  <c r="CE1046" i="70"/>
  <c r="CI1044" i="70"/>
  <c r="CH1044" i="70"/>
  <c r="CG1044" i="70"/>
  <c r="CF1044" i="70"/>
  <c r="CE1044" i="70"/>
  <c r="CI1037" i="70"/>
  <c r="CH1037" i="70"/>
  <c r="CG1037" i="70"/>
  <c r="CF1037" i="70"/>
  <c r="CE1037" i="70"/>
  <c r="CI1023" i="70"/>
  <c r="CH1023" i="70"/>
  <c r="CG1023" i="70"/>
  <c r="CF1023" i="70"/>
  <c r="CE1023" i="70"/>
  <c r="CI997" i="70"/>
  <c r="CH997" i="70"/>
  <c r="CG997" i="70"/>
  <c r="CF997" i="70"/>
  <c r="CE997" i="70"/>
  <c r="CI988" i="70"/>
  <c r="CH988" i="70"/>
  <c r="CG988" i="70"/>
  <c r="CF988" i="70"/>
  <c r="CE988" i="70"/>
  <c r="CI987" i="70"/>
  <c r="CH987" i="70"/>
  <c r="CG987" i="70"/>
  <c r="CF987" i="70"/>
  <c r="CE987" i="70"/>
  <c r="CI986" i="70"/>
  <c r="CH986" i="70"/>
  <c r="CG986" i="70"/>
  <c r="CF986" i="70"/>
  <c r="CE986" i="70"/>
  <c r="CI984" i="70"/>
  <c r="CH984" i="70"/>
  <c r="CG984" i="70"/>
  <c r="CF984" i="70"/>
  <c r="CE984" i="70"/>
  <c r="CI981" i="70"/>
  <c r="CH981" i="70"/>
  <c r="CG981" i="70"/>
  <c r="CF981" i="70"/>
  <c r="CE981" i="70"/>
  <c r="CI977" i="70"/>
  <c r="CH977" i="70"/>
  <c r="CG977" i="70"/>
  <c r="CF977" i="70"/>
  <c r="CE977" i="70"/>
  <c r="CI971" i="70"/>
  <c r="CH971" i="70"/>
  <c r="CG971" i="70"/>
  <c r="CF971" i="70"/>
  <c r="CE971" i="70"/>
  <c r="CI967" i="70"/>
  <c r="CH967" i="70"/>
  <c r="CG967" i="70"/>
  <c r="CF967" i="70"/>
  <c r="CE967" i="70"/>
  <c r="CI964" i="70"/>
  <c r="CH964" i="70"/>
  <c r="CG964" i="70"/>
  <c r="CF964" i="70"/>
  <c r="CE964" i="70"/>
  <c r="CI962" i="70"/>
  <c r="CH962" i="70"/>
  <c r="CG962" i="70"/>
  <c r="CF962" i="70"/>
  <c r="CE962" i="70"/>
  <c r="CI961" i="70"/>
  <c r="CH961" i="70"/>
  <c r="CG961" i="70"/>
  <c r="CF961" i="70"/>
  <c r="CE961" i="70"/>
  <c r="CI960" i="70"/>
  <c r="CH960" i="70"/>
  <c r="CG960" i="70"/>
  <c r="CF960" i="70"/>
  <c r="CE960" i="70"/>
  <c r="CI955" i="70"/>
  <c r="CH955" i="70"/>
  <c r="CG955" i="70"/>
  <c r="CF955" i="70"/>
  <c r="CE955" i="70"/>
  <c r="CI949" i="70"/>
  <c r="CH949" i="70"/>
  <c r="CG949" i="70"/>
  <c r="CF949" i="70"/>
  <c r="CE949" i="70"/>
  <c r="CI948" i="70"/>
  <c r="CH948" i="70"/>
  <c r="CG948" i="70"/>
  <c r="CF948" i="70"/>
  <c r="CE948" i="70"/>
  <c r="CI936" i="70"/>
  <c r="CH936" i="70"/>
  <c r="CG936" i="70"/>
  <c r="CF936" i="70"/>
  <c r="CE936" i="70"/>
  <c r="CI925" i="70"/>
  <c r="CH925" i="70"/>
  <c r="CG925" i="70"/>
  <c r="CF925" i="70"/>
  <c r="CE925" i="70"/>
  <c r="CI924" i="70"/>
  <c r="CH924" i="70"/>
  <c r="CG924" i="70"/>
  <c r="CF924" i="70"/>
  <c r="CE924" i="70"/>
  <c r="CI915" i="70"/>
  <c r="CH915" i="70"/>
  <c r="CG915" i="70"/>
  <c r="CF915" i="70"/>
  <c r="CE915" i="70"/>
  <c r="CI914" i="70"/>
  <c r="CH914" i="70"/>
  <c r="CG914" i="70"/>
  <c r="CF914" i="70"/>
  <c r="CE914" i="70"/>
  <c r="CI906" i="70"/>
  <c r="CH906" i="70"/>
  <c r="CG906" i="70"/>
  <c r="CF906" i="70"/>
  <c r="CE906" i="70"/>
  <c r="CI905" i="70"/>
  <c r="CH905" i="70"/>
  <c r="CG905" i="70"/>
  <c r="CF905" i="70"/>
  <c r="CE905" i="70"/>
  <c r="CI900" i="70"/>
  <c r="CH900" i="70"/>
  <c r="CG900" i="70"/>
  <c r="CF900" i="70"/>
  <c r="CE900" i="70"/>
  <c r="CI899" i="70"/>
  <c r="CH899" i="70"/>
  <c r="CG899" i="70"/>
  <c r="CF899" i="70"/>
  <c r="CE899" i="70"/>
  <c r="CI898" i="70"/>
  <c r="CH898" i="70"/>
  <c r="CG898" i="70"/>
  <c r="CF898" i="70"/>
  <c r="CE898" i="70"/>
  <c r="CI883" i="70"/>
  <c r="CH883" i="70"/>
  <c r="CG883" i="70"/>
  <c r="CF883" i="70"/>
  <c r="CE883" i="70"/>
  <c r="CI882" i="70"/>
  <c r="CH882" i="70"/>
  <c r="CG882" i="70"/>
  <c r="CF882" i="70"/>
  <c r="CE882" i="70"/>
  <c r="CI881" i="70"/>
  <c r="CH881" i="70"/>
  <c r="CG881" i="70"/>
  <c r="CF881" i="70"/>
  <c r="CE881" i="70"/>
  <c r="CI872" i="70"/>
  <c r="CH872" i="70"/>
  <c r="CG872" i="70"/>
  <c r="CF872" i="70"/>
  <c r="CE872" i="70"/>
  <c r="CI863" i="70"/>
  <c r="CH863" i="70"/>
  <c r="CG863" i="70"/>
  <c r="CF863" i="70"/>
  <c r="CE863" i="70"/>
  <c r="CI862" i="70"/>
  <c r="CH862" i="70"/>
  <c r="CG862" i="70"/>
  <c r="CF862" i="70"/>
  <c r="CE862" i="70"/>
  <c r="CI857" i="70"/>
  <c r="CH857" i="70"/>
  <c r="CG857" i="70"/>
  <c r="CF857" i="70"/>
  <c r="CE857" i="70"/>
  <c r="CI841" i="70"/>
  <c r="CH841" i="70"/>
  <c r="CG841" i="70"/>
  <c r="CF841" i="70"/>
  <c r="CE841" i="70"/>
  <c r="CI838" i="70"/>
  <c r="CH838" i="70"/>
  <c r="CG838" i="70"/>
  <c r="CF838" i="70"/>
  <c r="CE838" i="70"/>
  <c r="CI834" i="70"/>
  <c r="CH834" i="70"/>
  <c r="CG834" i="70"/>
  <c r="CF834" i="70"/>
  <c r="CE834" i="70"/>
  <c r="CI831" i="70"/>
  <c r="CH831" i="70"/>
  <c r="CG831" i="70"/>
  <c r="CF831" i="70"/>
  <c r="CE831" i="70"/>
  <c r="CI830" i="70"/>
  <c r="CH830" i="70"/>
  <c r="CG830" i="70"/>
  <c r="CF830" i="70"/>
  <c r="CE830" i="70"/>
  <c r="CI829" i="70"/>
  <c r="CH829" i="70"/>
  <c r="CG829" i="70"/>
  <c r="CF829" i="70"/>
  <c r="CE829" i="70"/>
  <c r="CI812" i="70"/>
  <c r="CH812" i="70"/>
  <c r="CG812" i="70"/>
  <c r="CF812" i="70"/>
  <c r="CE812" i="70"/>
  <c r="CI808" i="70"/>
  <c r="CH808" i="70"/>
  <c r="CG808" i="70"/>
  <c r="CF808" i="70"/>
  <c r="CE808" i="70"/>
  <c r="CI807" i="70"/>
  <c r="CH807" i="70"/>
  <c r="CG807" i="70"/>
  <c r="CF807" i="70"/>
  <c r="CE807" i="70"/>
  <c r="CI793" i="70"/>
  <c r="CH793" i="70"/>
  <c r="CG793" i="70"/>
  <c r="CF793" i="70"/>
  <c r="CE793" i="70"/>
  <c r="CI792" i="70"/>
  <c r="CH792" i="70"/>
  <c r="CG792" i="70"/>
  <c r="CF792" i="70"/>
  <c r="CE792" i="70"/>
  <c r="CI780" i="70"/>
  <c r="CH780" i="70"/>
  <c r="CG780" i="70"/>
  <c r="CF780" i="70"/>
  <c r="CE780" i="70"/>
  <c r="CI778" i="70"/>
  <c r="CH778" i="70"/>
  <c r="CG778" i="70"/>
  <c r="CF778" i="70"/>
  <c r="CE778" i="70"/>
  <c r="CI777" i="70"/>
  <c r="CH777" i="70"/>
  <c r="CG777" i="70"/>
  <c r="CF777" i="70"/>
  <c r="CE777" i="70"/>
  <c r="CI769" i="70"/>
  <c r="CH769" i="70"/>
  <c r="CG769" i="70"/>
  <c r="CF769" i="70"/>
  <c r="CE769" i="70"/>
  <c r="CI768" i="70"/>
  <c r="CH768" i="70"/>
  <c r="CG768" i="70"/>
  <c r="CF768" i="70"/>
  <c r="CE768" i="70"/>
  <c r="CI765" i="70"/>
  <c r="CH765" i="70"/>
  <c r="CG765" i="70"/>
  <c r="CF765" i="70"/>
  <c r="CE765" i="70"/>
  <c r="CI751" i="70"/>
  <c r="CH751" i="70"/>
  <c r="CG751" i="70"/>
  <c r="CF751" i="70"/>
  <c r="CE751" i="70"/>
  <c r="CI747" i="70"/>
  <c r="CH747" i="70"/>
  <c r="CG747" i="70"/>
  <c r="CF747" i="70"/>
  <c r="CE747" i="70"/>
  <c r="CI744" i="70"/>
  <c r="CH744" i="70"/>
  <c r="CG744" i="70"/>
  <c r="CF744" i="70"/>
  <c r="CE744" i="70"/>
  <c r="CI742" i="70"/>
  <c r="CH742" i="70"/>
  <c r="CG742" i="70"/>
  <c r="CF742" i="70"/>
  <c r="CE742" i="70"/>
  <c r="CI735" i="70"/>
  <c r="CH735" i="70"/>
  <c r="CG735" i="70"/>
  <c r="CF735" i="70"/>
  <c r="CE735" i="70"/>
  <c r="CI717" i="70"/>
  <c r="CH717" i="70"/>
  <c r="CG717" i="70"/>
  <c r="CF717" i="70"/>
  <c r="CE717" i="70"/>
  <c r="CI715" i="70"/>
  <c r="CH715" i="70"/>
  <c r="CG715" i="70"/>
  <c r="CF715" i="70"/>
  <c r="CE715" i="70"/>
  <c r="CI714" i="70"/>
  <c r="CH714" i="70"/>
  <c r="CG714" i="70"/>
  <c r="CF714" i="70"/>
  <c r="CE714" i="70"/>
  <c r="CF704" i="70"/>
  <c r="CG704" i="70"/>
  <c r="CH704" i="70"/>
  <c r="CI704" i="70"/>
  <c r="CE704" i="70"/>
  <c r="CF504" i="70"/>
  <c r="CG504" i="70"/>
  <c r="CH504" i="70"/>
  <c r="CI504" i="70"/>
  <c r="CE504" i="70"/>
  <c r="CF268" i="70"/>
  <c r="CG268" i="70"/>
  <c r="CH268" i="70"/>
  <c r="CI268" i="70"/>
  <c r="CE268" i="70"/>
  <c r="CY1479" i="70"/>
  <c r="CX1479" i="70"/>
  <c r="CC1479" i="70"/>
  <c r="CY1478" i="70"/>
  <c r="CX1478" i="70"/>
  <c r="CC1478" i="70"/>
  <c r="CY1477" i="70"/>
  <c r="CX1477" i="70"/>
  <c r="CC1477" i="70"/>
  <c r="CY1476" i="70"/>
  <c r="CX1476" i="70"/>
  <c r="CC1476" i="70"/>
  <c r="CY1475" i="70"/>
  <c r="CX1475" i="70"/>
  <c r="CY1474" i="70"/>
  <c r="CX1474" i="70"/>
  <c r="AU1474" i="70"/>
  <c r="BB1474" i="70" s="1"/>
  <c r="CY1473" i="70"/>
  <c r="CX1473" i="70"/>
  <c r="AU1473" i="70"/>
  <c r="BB1473" i="70" s="1"/>
  <c r="CY1472" i="70"/>
  <c r="CX1472" i="70"/>
  <c r="AU1472" i="70"/>
  <c r="BB1472" i="70" s="1"/>
  <c r="CS1471" i="70"/>
  <c r="CR1471" i="70"/>
  <c r="CQ1471" i="70"/>
  <c r="CP1471" i="70"/>
  <c r="CO1471" i="70"/>
  <c r="CN1471" i="70"/>
  <c r="CM1471" i="70"/>
  <c r="CL1471" i="70"/>
  <c r="CK1471" i="70"/>
  <c r="CJ1471" i="70"/>
  <c r="CI1471" i="70"/>
  <c r="CH1471" i="70"/>
  <c r="CG1471" i="70"/>
  <c r="CF1471" i="70"/>
  <c r="CE1471" i="70"/>
  <c r="CS1470" i="70"/>
  <c r="CR1470" i="70"/>
  <c r="CQ1470" i="70"/>
  <c r="CP1470" i="70"/>
  <c r="CO1470" i="70"/>
  <c r="CN1470" i="70"/>
  <c r="CM1470" i="70"/>
  <c r="CL1470" i="70"/>
  <c r="CK1470" i="70"/>
  <c r="CJ1470" i="70"/>
  <c r="CI1470" i="70"/>
  <c r="CH1470" i="70"/>
  <c r="CG1470" i="70"/>
  <c r="CF1470" i="70"/>
  <c r="CE1470" i="70"/>
  <c r="CS1469" i="70"/>
  <c r="CR1469" i="70"/>
  <c r="CQ1469" i="70"/>
  <c r="CP1469" i="70"/>
  <c r="CO1469" i="70"/>
  <c r="CN1469" i="70"/>
  <c r="CM1469" i="70"/>
  <c r="CL1469" i="70"/>
  <c r="CK1469" i="70"/>
  <c r="CJ1469" i="70"/>
  <c r="CI1469" i="70"/>
  <c r="CH1469" i="70"/>
  <c r="CG1469" i="70"/>
  <c r="CF1469" i="70"/>
  <c r="CE1469" i="70"/>
  <c r="CX1468" i="70"/>
  <c r="CW1468" i="70"/>
  <c r="CV1468" i="70"/>
  <c r="CU1468" i="70"/>
  <c r="CT1468" i="70"/>
  <c r="CS1468" i="70"/>
  <c r="CR1468" i="70"/>
  <c r="CQ1468" i="70"/>
  <c r="CP1468" i="70"/>
  <c r="CO1468" i="70"/>
  <c r="CN1468" i="70"/>
  <c r="CM1468" i="70"/>
  <c r="CL1468" i="70"/>
  <c r="CK1468" i="70"/>
  <c r="CJ1468" i="70"/>
  <c r="CX1467" i="70"/>
  <c r="CW1467" i="70"/>
  <c r="CV1467" i="70"/>
  <c r="CU1467" i="70"/>
  <c r="CT1467" i="70"/>
  <c r="CS1467" i="70"/>
  <c r="CR1467" i="70"/>
  <c r="CQ1467" i="70"/>
  <c r="CP1467" i="70"/>
  <c r="CO1467" i="70"/>
  <c r="CN1467" i="70"/>
  <c r="CM1467" i="70"/>
  <c r="CL1467" i="70"/>
  <c r="CK1467" i="70"/>
  <c r="CJ1467" i="70"/>
  <c r="CX1466" i="70"/>
  <c r="CW1466" i="70"/>
  <c r="CV1466" i="70"/>
  <c r="CU1466" i="70"/>
  <c r="CT1466" i="70"/>
  <c r="CS1466" i="70"/>
  <c r="CR1466" i="70"/>
  <c r="CQ1466" i="70"/>
  <c r="CP1466" i="70"/>
  <c r="CO1466" i="70"/>
  <c r="CN1466" i="70"/>
  <c r="CM1466" i="70"/>
  <c r="CL1466" i="70"/>
  <c r="CK1466" i="70"/>
  <c r="CJ1466" i="70"/>
  <c r="CS1465" i="70"/>
  <c r="CR1465" i="70"/>
  <c r="CQ1465" i="70"/>
  <c r="CP1465" i="70"/>
  <c r="CO1465" i="70"/>
  <c r="CN1465" i="70"/>
  <c r="CM1465" i="70"/>
  <c r="CL1465" i="70"/>
  <c r="CK1465" i="70"/>
  <c r="CJ1465" i="70"/>
  <c r="CI1465" i="70"/>
  <c r="CH1465" i="70"/>
  <c r="CG1465" i="70"/>
  <c r="CF1465" i="70"/>
  <c r="CE1465" i="70"/>
  <c r="CS1464" i="70"/>
  <c r="CR1464" i="70"/>
  <c r="CQ1464" i="70"/>
  <c r="CP1464" i="70"/>
  <c r="CO1464" i="70"/>
  <c r="CN1464" i="70"/>
  <c r="CM1464" i="70"/>
  <c r="CL1464" i="70"/>
  <c r="CK1464" i="70"/>
  <c r="CJ1464" i="70"/>
  <c r="CI1464" i="70"/>
  <c r="CH1464" i="70"/>
  <c r="CG1464" i="70"/>
  <c r="CF1464" i="70"/>
  <c r="CE1464" i="70"/>
  <c r="CS1463" i="70"/>
  <c r="CR1463" i="70"/>
  <c r="CQ1463" i="70"/>
  <c r="CP1463" i="70"/>
  <c r="CO1463" i="70"/>
  <c r="CN1463" i="70"/>
  <c r="CM1463" i="70"/>
  <c r="CL1463" i="70"/>
  <c r="CK1463" i="70"/>
  <c r="CJ1463" i="70"/>
  <c r="CI1463" i="70"/>
  <c r="CH1463" i="70"/>
  <c r="CG1463" i="70"/>
  <c r="CF1463" i="70"/>
  <c r="CE1463" i="70"/>
  <c r="CS1462" i="70"/>
  <c r="CR1462" i="70"/>
  <c r="CQ1462" i="70"/>
  <c r="CP1462" i="70"/>
  <c r="CO1462" i="70"/>
  <c r="CN1462" i="70"/>
  <c r="CM1462" i="70"/>
  <c r="CL1462" i="70"/>
  <c r="CK1462" i="70"/>
  <c r="CJ1462" i="70"/>
  <c r="CI1462" i="70"/>
  <c r="CH1462" i="70"/>
  <c r="CG1462" i="70"/>
  <c r="CF1462" i="70"/>
  <c r="CE1462" i="70"/>
  <c r="CS1461" i="70"/>
  <c r="CR1461" i="70"/>
  <c r="CQ1461" i="70"/>
  <c r="CP1461" i="70"/>
  <c r="CO1461" i="70"/>
  <c r="CN1461" i="70"/>
  <c r="CM1461" i="70"/>
  <c r="CL1461" i="70"/>
  <c r="CK1461" i="70"/>
  <c r="CJ1461" i="70"/>
  <c r="CI1461" i="70"/>
  <c r="CH1461" i="70"/>
  <c r="CG1461" i="70"/>
  <c r="CF1461" i="70"/>
  <c r="CE1461" i="70"/>
  <c r="CS1460" i="70"/>
  <c r="CR1460" i="70"/>
  <c r="CQ1460" i="70"/>
  <c r="CP1460" i="70"/>
  <c r="CO1460" i="70"/>
  <c r="CN1460" i="70"/>
  <c r="CM1460" i="70"/>
  <c r="CL1460" i="70"/>
  <c r="CK1460" i="70"/>
  <c r="CJ1460" i="70"/>
  <c r="CI1460" i="70"/>
  <c r="CH1460" i="70"/>
  <c r="CG1460" i="70"/>
  <c r="CF1460" i="70"/>
  <c r="CE1460" i="70"/>
  <c r="CN1459" i="70"/>
  <c r="CM1459" i="70"/>
  <c r="CL1459" i="70"/>
  <c r="CK1459" i="70"/>
  <c r="CJ1459" i="70"/>
  <c r="CI1459" i="70"/>
  <c r="CH1459" i="70"/>
  <c r="CG1459" i="70"/>
  <c r="CF1459" i="70"/>
  <c r="CE1459" i="70"/>
  <c r="CN1458" i="70"/>
  <c r="CM1458" i="70"/>
  <c r="CL1458" i="70"/>
  <c r="CK1458" i="70"/>
  <c r="CJ1458" i="70"/>
  <c r="CI1458" i="70"/>
  <c r="CH1458" i="70"/>
  <c r="CG1458" i="70"/>
  <c r="CF1458" i="70"/>
  <c r="CE1458" i="70"/>
  <c r="CN1457" i="70"/>
  <c r="CM1457" i="70"/>
  <c r="CL1457" i="70"/>
  <c r="CK1457" i="70"/>
  <c r="CJ1457" i="70"/>
  <c r="CI1457" i="70"/>
  <c r="CH1457" i="70"/>
  <c r="CG1457" i="70"/>
  <c r="CF1457" i="70"/>
  <c r="CE1457" i="70"/>
  <c r="CN1456" i="70"/>
  <c r="CM1456" i="70"/>
  <c r="CL1456" i="70"/>
  <c r="CK1456" i="70"/>
  <c r="CJ1456" i="70"/>
  <c r="CI1456" i="70"/>
  <c r="CH1456" i="70"/>
  <c r="CG1456" i="70"/>
  <c r="CF1456" i="70"/>
  <c r="CE1456" i="70"/>
  <c r="CN1455" i="70"/>
  <c r="CM1455" i="70"/>
  <c r="CL1455" i="70"/>
  <c r="CK1455" i="70"/>
  <c r="CJ1455" i="70"/>
  <c r="CI1455" i="70"/>
  <c r="CH1455" i="70"/>
  <c r="CG1455" i="70"/>
  <c r="CF1455" i="70"/>
  <c r="CE1455" i="70"/>
  <c r="CX1454" i="70"/>
  <c r="CW1454" i="70"/>
  <c r="CV1454" i="70"/>
  <c r="CU1454" i="70"/>
  <c r="CT1454" i="70"/>
  <c r="CS1454" i="70"/>
  <c r="CR1454" i="70"/>
  <c r="CQ1454" i="70"/>
  <c r="CP1454" i="70"/>
  <c r="CO1454" i="70"/>
  <c r="CN1454" i="70"/>
  <c r="CM1454" i="70"/>
  <c r="CL1454" i="70"/>
  <c r="CK1454" i="70"/>
  <c r="CJ1454" i="70"/>
  <c r="CY1453" i="70"/>
  <c r="CX1453" i="70"/>
  <c r="CW1453" i="70"/>
  <c r="CV1453" i="70"/>
  <c r="CU1453" i="70"/>
  <c r="CT1453" i="70"/>
  <c r="CS1453" i="70"/>
  <c r="CR1453" i="70"/>
  <c r="CQ1453" i="70"/>
  <c r="CP1453" i="70"/>
  <c r="CO1453" i="70"/>
  <c r="CN1452" i="70"/>
  <c r="CM1452" i="70"/>
  <c r="CL1452" i="70"/>
  <c r="CK1452" i="70"/>
  <c r="CJ1452" i="70"/>
  <c r="CI1452" i="70"/>
  <c r="CH1452" i="70"/>
  <c r="CG1452" i="70"/>
  <c r="CF1452" i="70"/>
  <c r="CE1452" i="70"/>
  <c r="CD1452" i="70"/>
  <c r="CN1451" i="70"/>
  <c r="CM1451" i="70"/>
  <c r="CL1451" i="70"/>
  <c r="CK1451" i="70"/>
  <c r="CJ1451" i="70"/>
  <c r="CI1451" i="70"/>
  <c r="CH1451" i="70"/>
  <c r="CG1451" i="70"/>
  <c r="CF1451" i="70"/>
  <c r="CE1451" i="70"/>
  <c r="CD1451" i="70"/>
  <c r="CY1450" i="70"/>
  <c r="CX1450" i="70"/>
  <c r="CW1450" i="70"/>
  <c r="CV1450" i="70"/>
  <c r="CU1450" i="70"/>
  <c r="CT1450" i="70"/>
  <c r="CY1449" i="70"/>
  <c r="CX1449" i="70"/>
  <c r="CW1449" i="70"/>
  <c r="CV1449" i="70"/>
  <c r="CU1449" i="70"/>
  <c r="CT1449" i="70"/>
  <c r="CY1448" i="70"/>
  <c r="CX1448" i="70"/>
  <c r="CW1448" i="70"/>
  <c r="CV1448" i="70"/>
  <c r="CU1448" i="70"/>
  <c r="CT1448" i="70"/>
  <c r="CY1447" i="70"/>
  <c r="CX1447" i="70"/>
  <c r="CW1447" i="70"/>
  <c r="CV1447" i="70"/>
  <c r="CU1447" i="70"/>
  <c r="CT1447" i="70"/>
  <c r="CS1447" i="70"/>
  <c r="CR1447" i="70"/>
  <c r="CQ1447" i="70"/>
  <c r="CP1447" i="70"/>
  <c r="CO1447" i="70"/>
  <c r="CY1446" i="70"/>
  <c r="CX1446" i="70"/>
  <c r="CW1446" i="70"/>
  <c r="CV1446" i="70"/>
  <c r="CU1446" i="70"/>
  <c r="CT1446" i="70"/>
  <c r="CS1446" i="70"/>
  <c r="CR1446" i="70"/>
  <c r="CQ1446" i="70"/>
  <c r="CP1446" i="70"/>
  <c r="CO1446" i="70"/>
  <c r="CY1445" i="70"/>
  <c r="CX1445" i="70"/>
  <c r="CW1445" i="70"/>
  <c r="CV1445" i="70"/>
  <c r="CU1445" i="70"/>
  <c r="CT1445" i="70"/>
  <c r="CS1445" i="70"/>
  <c r="CR1445" i="70"/>
  <c r="CQ1445" i="70"/>
  <c r="CP1445" i="70"/>
  <c r="CO1445" i="70"/>
  <c r="CY1444" i="70"/>
  <c r="CX1444" i="70"/>
  <c r="CW1444" i="70"/>
  <c r="CV1444" i="70"/>
  <c r="CU1444" i="70"/>
  <c r="CT1444" i="70"/>
  <c r="CS1444" i="70"/>
  <c r="CR1444" i="70"/>
  <c r="CQ1444" i="70"/>
  <c r="CP1444" i="70"/>
  <c r="CO1444" i="70"/>
  <c r="CY1443" i="70"/>
  <c r="CX1443" i="70"/>
  <c r="CW1443" i="70"/>
  <c r="CV1443" i="70"/>
  <c r="CU1443" i="70"/>
  <c r="CT1443" i="70"/>
  <c r="CS1443" i="70"/>
  <c r="CR1443" i="70"/>
  <c r="CQ1443" i="70"/>
  <c r="CP1443" i="70"/>
  <c r="CO1443" i="70"/>
  <c r="CY1442" i="70"/>
  <c r="CX1442" i="70"/>
  <c r="CW1442" i="70"/>
  <c r="CV1442" i="70"/>
  <c r="CU1442" i="70"/>
  <c r="CT1442" i="70"/>
  <c r="CS1442" i="70"/>
  <c r="CR1442" i="70"/>
  <c r="CQ1442" i="70"/>
  <c r="CP1442" i="70"/>
  <c r="CO1442" i="70"/>
  <c r="CY1441" i="70"/>
  <c r="CX1441" i="70"/>
  <c r="CW1441" i="70"/>
  <c r="CV1441" i="70"/>
  <c r="CU1441" i="70"/>
  <c r="CT1441" i="70"/>
  <c r="CY1440" i="70"/>
  <c r="CX1440" i="70"/>
  <c r="CW1440" i="70"/>
  <c r="CV1440" i="70"/>
  <c r="CU1440" i="70"/>
  <c r="CT1440" i="70"/>
  <c r="CS1440" i="70"/>
  <c r="CR1440" i="70"/>
  <c r="CQ1440" i="70"/>
  <c r="CP1440" i="70"/>
  <c r="CO1440" i="70"/>
  <c r="CY1439" i="70"/>
  <c r="CX1439" i="70"/>
  <c r="CW1439" i="70"/>
  <c r="CV1439" i="70"/>
  <c r="CU1439" i="70"/>
  <c r="CT1439" i="70"/>
  <c r="CS1439" i="70"/>
  <c r="CR1439" i="70"/>
  <c r="CQ1439" i="70"/>
  <c r="CP1439" i="70"/>
  <c r="CO1439" i="70"/>
  <c r="CY1438" i="70"/>
  <c r="CX1438" i="70"/>
  <c r="CW1438" i="70"/>
  <c r="CV1438" i="70"/>
  <c r="CU1438" i="70"/>
  <c r="CT1438" i="70"/>
  <c r="CS1438" i="70"/>
  <c r="CR1438" i="70"/>
  <c r="CQ1438" i="70"/>
  <c r="CP1438" i="70"/>
  <c r="CO1438" i="70"/>
  <c r="CS1437" i="70"/>
  <c r="CR1437" i="70"/>
  <c r="CQ1437" i="70"/>
  <c r="CP1437" i="70"/>
  <c r="CO1437" i="70"/>
  <c r="CN1437" i="70"/>
  <c r="CM1437" i="70"/>
  <c r="CL1437" i="70"/>
  <c r="CK1437" i="70"/>
  <c r="CJ1437" i="70"/>
  <c r="CI1437" i="70"/>
  <c r="CH1437" i="70"/>
  <c r="CG1437" i="70"/>
  <c r="CF1437" i="70"/>
  <c r="CE1437" i="70"/>
  <c r="CS1436" i="70"/>
  <c r="CR1436" i="70"/>
  <c r="CQ1436" i="70"/>
  <c r="CP1436" i="70"/>
  <c r="CO1436" i="70"/>
  <c r="CN1436" i="70"/>
  <c r="CM1436" i="70"/>
  <c r="CL1436" i="70"/>
  <c r="CK1436" i="70"/>
  <c r="CJ1436" i="70"/>
  <c r="CI1436" i="70"/>
  <c r="CH1436" i="70"/>
  <c r="CG1436" i="70"/>
  <c r="CF1436" i="70"/>
  <c r="CE1436" i="70"/>
  <c r="CS1435" i="70"/>
  <c r="CR1435" i="70"/>
  <c r="CQ1435" i="70"/>
  <c r="CP1435" i="70"/>
  <c r="CO1435" i="70"/>
  <c r="CN1435" i="70"/>
  <c r="CM1435" i="70"/>
  <c r="CL1435" i="70"/>
  <c r="CK1435" i="70"/>
  <c r="CJ1435" i="70"/>
  <c r="CI1435" i="70"/>
  <c r="CH1435" i="70"/>
  <c r="CG1435" i="70"/>
  <c r="CF1435" i="70"/>
  <c r="CE1435" i="70"/>
  <c r="CX1434" i="70"/>
  <c r="CW1434" i="70"/>
  <c r="CV1434" i="70"/>
  <c r="CU1434" i="70"/>
  <c r="CT1434" i="70"/>
  <c r="CS1434" i="70"/>
  <c r="CR1434" i="70"/>
  <c r="CQ1434" i="70"/>
  <c r="CP1434" i="70"/>
  <c r="CO1434" i="70"/>
  <c r="CN1434" i="70"/>
  <c r="CM1434" i="70"/>
  <c r="CL1434" i="70"/>
  <c r="CK1434" i="70"/>
  <c r="CJ1434" i="70"/>
  <c r="CX1433" i="70"/>
  <c r="CW1433" i="70"/>
  <c r="CV1433" i="70"/>
  <c r="CU1433" i="70"/>
  <c r="CT1433" i="70"/>
  <c r="CS1433" i="70"/>
  <c r="CR1433" i="70"/>
  <c r="CQ1433" i="70"/>
  <c r="CP1433" i="70"/>
  <c r="CO1433" i="70"/>
  <c r="CN1433" i="70"/>
  <c r="CM1433" i="70"/>
  <c r="CL1433" i="70"/>
  <c r="CK1433" i="70"/>
  <c r="CJ1433" i="70"/>
  <c r="CX1432" i="70"/>
  <c r="CW1432" i="70"/>
  <c r="CV1432" i="70"/>
  <c r="CU1432" i="70"/>
  <c r="CT1432" i="70"/>
  <c r="CS1432" i="70"/>
  <c r="CR1432" i="70"/>
  <c r="CQ1432" i="70"/>
  <c r="CP1432" i="70"/>
  <c r="CO1432" i="70"/>
  <c r="CN1432" i="70"/>
  <c r="CM1432" i="70"/>
  <c r="CL1432" i="70"/>
  <c r="CK1432" i="70"/>
  <c r="CJ1432" i="70"/>
  <c r="CN1431" i="70"/>
  <c r="CM1431" i="70"/>
  <c r="CL1431" i="70"/>
  <c r="CK1431" i="70"/>
  <c r="CJ1431" i="70"/>
  <c r="CI1431" i="70"/>
  <c r="CH1431" i="70"/>
  <c r="CG1431" i="70"/>
  <c r="CF1431" i="70"/>
  <c r="CE1431" i="70"/>
  <c r="CN1430" i="70"/>
  <c r="CM1430" i="70"/>
  <c r="CL1430" i="70"/>
  <c r="CK1430" i="70"/>
  <c r="CJ1430" i="70"/>
  <c r="CI1430" i="70"/>
  <c r="CH1430" i="70"/>
  <c r="CG1430" i="70"/>
  <c r="CF1430" i="70"/>
  <c r="CE1430" i="70"/>
  <c r="CN1429" i="70"/>
  <c r="CM1429" i="70"/>
  <c r="CL1429" i="70"/>
  <c r="CK1429" i="70"/>
  <c r="CJ1429" i="70"/>
  <c r="CI1429" i="70"/>
  <c r="CH1429" i="70"/>
  <c r="CG1429" i="70"/>
  <c r="CF1429" i="70"/>
  <c r="CE1429" i="70"/>
  <c r="CX1428" i="70"/>
  <c r="CW1428" i="70"/>
  <c r="CV1428" i="70"/>
  <c r="CU1428" i="70"/>
  <c r="CT1428" i="70"/>
  <c r="CS1428" i="70"/>
  <c r="CR1428" i="70"/>
  <c r="CQ1428" i="70"/>
  <c r="CP1428" i="70"/>
  <c r="CO1428" i="70"/>
  <c r="CN1428" i="70"/>
  <c r="CM1428" i="70"/>
  <c r="CL1428" i="70"/>
  <c r="CK1428" i="70"/>
  <c r="CJ1428" i="70"/>
  <c r="CX1427" i="70"/>
  <c r="CW1427" i="70"/>
  <c r="CV1427" i="70"/>
  <c r="CU1427" i="70"/>
  <c r="CT1427" i="70"/>
  <c r="CS1427" i="70"/>
  <c r="CR1427" i="70"/>
  <c r="CQ1427" i="70"/>
  <c r="CP1427" i="70"/>
  <c r="CO1427" i="70"/>
  <c r="CN1427" i="70"/>
  <c r="CM1427" i="70"/>
  <c r="CL1427" i="70"/>
  <c r="CK1427" i="70"/>
  <c r="CJ1427" i="70"/>
  <c r="CX1426" i="70"/>
  <c r="CW1426" i="70"/>
  <c r="CV1426" i="70"/>
  <c r="CU1426" i="70"/>
  <c r="CT1426" i="70"/>
  <c r="CS1426" i="70"/>
  <c r="CR1426" i="70"/>
  <c r="CQ1426" i="70"/>
  <c r="CP1426" i="70"/>
  <c r="CO1426" i="70"/>
  <c r="CN1426" i="70"/>
  <c r="CM1426" i="70"/>
  <c r="CL1426" i="70"/>
  <c r="CK1426" i="70"/>
  <c r="CJ1426" i="70"/>
  <c r="CH1425" i="70"/>
  <c r="CY1425" i="70" s="1"/>
  <c r="CH1424" i="70"/>
  <c r="CX1424" i="70" s="1"/>
  <c r="CH1423" i="70"/>
  <c r="CY1423" i="70" s="1"/>
  <c r="CX1422" i="70"/>
  <c r="CK1422" i="70"/>
  <c r="CY1422" i="70" s="1"/>
  <c r="CX1421" i="70"/>
  <c r="CK1421" i="70"/>
  <c r="CY1421" i="70" s="1"/>
  <c r="CX1420" i="70"/>
  <c r="CK1420" i="70"/>
  <c r="CY1420" i="70" s="1"/>
  <c r="CX1419" i="70"/>
  <c r="CY1419" i="70"/>
  <c r="CX1418" i="70"/>
  <c r="CY1418" i="70"/>
  <c r="CX1417" i="70"/>
  <c r="CY1417" i="70"/>
  <c r="CX1416" i="70"/>
  <c r="CW1416" i="70"/>
  <c r="CV1416" i="70"/>
  <c r="CU1416" i="70"/>
  <c r="CT1416" i="70"/>
  <c r="CS1416" i="70"/>
  <c r="CR1416" i="70"/>
  <c r="CQ1416" i="70"/>
  <c r="CP1416" i="70"/>
  <c r="CO1416" i="70"/>
  <c r="CN1416" i="70"/>
  <c r="CM1416" i="70"/>
  <c r="CL1416" i="70"/>
  <c r="CK1416" i="70"/>
  <c r="CJ1416" i="70"/>
  <c r="CX1415" i="70"/>
  <c r="CW1415" i="70"/>
  <c r="CV1415" i="70"/>
  <c r="CU1415" i="70"/>
  <c r="CT1415" i="70"/>
  <c r="CS1415" i="70"/>
  <c r="CR1415" i="70"/>
  <c r="CQ1415" i="70"/>
  <c r="CP1415" i="70"/>
  <c r="CO1415" i="70"/>
  <c r="CN1415" i="70"/>
  <c r="CM1415" i="70"/>
  <c r="CL1415" i="70"/>
  <c r="CK1415" i="70"/>
  <c r="CJ1415" i="70"/>
  <c r="CX1414" i="70"/>
  <c r="CW1414" i="70"/>
  <c r="CV1414" i="70"/>
  <c r="CU1414" i="70"/>
  <c r="CT1414" i="70"/>
  <c r="CS1414" i="70"/>
  <c r="CR1414" i="70"/>
  <c r="CQ1414" i="70"/>
  <c r="CP1414" i="70"/>
  <c r="CO1414" i="70"/>
  <c r="CN1414" i="70"/>
  <c r="CM1414" i="70"/>
  <c r="CL1414" i="70"/>
  <c r="CK1414" i="70"/>
  <c r="CJ1414" i="70"/>
  <c r="CN1413" i="70"/>
  <c r="CM1413" i="70"/>
  <c r="CL1413" i="70"/>
  <c r="CK1413" i="70"/>
  <c r="CJ1413" i="70"/>
  <c r="CI1413" i="70"/>
  <c r="CH1413" i="70"/>
  <c r="CG1413" i="70"/>
  <c r="CF1413" i="70"/>
  <c r="CE1413" i="70"/>
  <c r="CN1412" i="70"/>
  <c r="CM1412" i="70"/>
  <c r="CL1412" i="70"/>
  <c r="CK1412" i="70"/>
  <c r="CJ1412" i="70"/>
  <c r="CI1412" i="70"/>
  <c r="CH1412" i="70"/>
  <c r="CG1412" i="70"/>
  <c r="CF1412" i="70"/>
  <c r="CE1412" i="70"/>
  <c r="CN1411" i="70"/>
  <c r="CM1411" i="70"/>
  <c r="CL1411" i="70"/>
  <c r="CK1411" i="70"/>
  <c r="CJ1411" i="70"/>
  <c r="CI1411" i="70"/>
  <c r="CH1411" i="70"/>
  <c r="CG1411" i="70"/>
  <c r="CF1411" i="70"/>
  <c r="CE1411" i="70"/>
  <c r="CX1410" i="70"/>
  <c r="CW1410" i="70"/>
  <c r="CV1410" i="70"/>
  <c r="CU1410" i="70"/>
  <c r="CT1410" i="70"/>
  <c r="CS1410" i="70"/>
  <c r="CR1410" i="70"/>
  <c r="CQ1410" i="70"/>
  <c r="CP1410" i="70"/>
  <c r="CO1410" i="70"/>
  <c r="CN1410" i="70"/>
  <c r="CM1410" i="70"/>
  <c r="CL1410" i="70"/>
  <c r="CK1410" i="70"/>
  <c r="CJ1410" i="70"/>
  <c r="CX1409" i="70"/>
  <c r="CW1409" i="70"/>
  <c r="CV1409" i="70"/>
  <c r="CU1409" i="70"/>
  <c r="CT1409" i="70"/>
  <c r="CS1409" i="70"/>
  <c r="CR1409" i="70"/>
  <c r="CQ1409" i="70"/>
  <c r="CP1409" i="70"/>
  <c r="CO1409" i="70"/>
  <c r="CN1409" i="70"/>
  <c r="CM1409" i="70"/>
  <c r="CL1409" i="70"/>
  <c r="CK1409" i="70"/>
  <c r="CJ1409" i="70"/>
  <c r="CX1408" i="70"/>
  <c r="CW1408" i="70"/>
  <c r="CV1408" i="70"/>
  <c r="CU1408" i="70"/>
  <c r="CT1408" i="70"/>
  <c r="CS1408" i="70"/>
  <c r="CR1408" i="70"/>
  <c r="CQ1408" i="70"/>
  <c r="CP1408" i="70"/>
  <c r="CO1408" i="70"/>
  <c r="CN1408" i="70"/>
  <c r="CM1408" i="70"/>
  <c r="CL1408" i="70"/>
  <c r="CK1408" i="70"/>
  <c r="CJ1408" i="70"/>
  <c r="CX1407" i="70"/>
  <c r="CW1407" i="70"/>
  <c r="CV1407" i="70"/>
  <c r="CU1407" i="70"/>
  <c r="CT1407" i="70"/>
  <c r="CS1407" i="70"/>
  <c r="CR1407" i="70"/>
  <c r="CQ1407" i="70"/>
  <c r="CP1407" i="70"/>
  <c r="CO1407" i="70"/>
  <c r="CN1407" i="70"/>
  <c r="CM1407" i="70"/>
  <c r="CL1407" i="70"/>
  <c r="CK1407" i="70"/>
  <c r="CJ1407" i="70"/>
  <c r="CX1406" i="70"/>
  <c r="CW1406" i="70"/>
  <c r="CV1406" i="70"/>
  <c r="CU1406" i="70"/>
  <c r="CT1406" i="70"/>
  <c r="CS1406" i="70"/>
  <c r="CR1406" i="70"/>
  <c r="CQ1406" i="70"/>
  <c r="CP1406" i="70"/>
  <c r="CO1406" i="70"/>
  <c r="CN1406" i="70"/>
  <c r="CM1406" i="70"/>
  <c r="CL1406" i="70"/>
  <c r="CK1406" i="70"/>
  <c r="CJ1406" i="70"/>
  <c r="CX1405" i="70"/>
  <c r="CW1405" i="70"/>
  <c r="CV1405" i="70"/>
  <c r="CU1405" i="70"/>
  <c r="CT1405" i="70"/>
  <c r="CS1405" i="70"/>
  <c r="CR1405" i="70"/>
  <c r="CQ1405" i="70"/>
  <c r="CP1405" i="70"/>
  <c r="CO1405" i="70"/>
  <c r="CN1405" i="70"/>
  <c r="CM1405" i="70"/>
  <c r="CL1405" i="70"/>
  <c r="CK1405" i="70"/>
  <c r="CJ1405" i="70"/>
  <c r="CY1404" i="70"/>
  <c r="CX1404" i="70"/>
  <c r="CW1404" i="70"/>
  <c r="CV1404" i="70"/>
  <c r="CU1404" i="70"/>
  <c r="CT1404" i="70"/>
  <c r="CS1404" i="70"/>
  <c r="CR1404" i="70"/>
  <c r="CQ1404" i="70"/>
  <c r="CP1404" i="70"/>
  <c r="CO1404" i="70"/>
  <c r="CS1403" i="70"/>
  <c r="CR1403" i="70"/>
  <c r="CQ1403" i="70"/>
  <c r="CP1403" i="70"/>
  <c r="CO1403" i="70"/>
  <c r="CN1403" i="70"/>
  <c r="CM1403" i="70"/>
  <c r="CL1403" i="70"/>
  <c r="CK1403" i="70"/>
  <c r="CJ1403" i="70"/>
  <c r="CI1403" i="70"/>
  <c r="CH1403" i="70"/>
  <c r="CG1403" i="70"/>
  <c r="CF1403" i="70"/>
  <c r="CE1403" i="70"/>
  <c r="CS1402" i="70"/>
  <c r="CR1402" i="70"/>
  <c r="CQ1402" i="70"/>
  <c r="CP1402" i="70"/>
  <c r="CO1402" i="70"/>
  <c r="CN1402" i="70"/>
  <c r="CM1402" i="70"/>
  <c r="CL1402" i="70"/>
  <c r="CK1402" i="70"/>
  <c r="CJ1402" i="70"/>
  <c r="CI1402" i="70"/>
  <c r="CH1402" i="70"/>
  <c r="CG1402" i="70"/>
  <c r="CF1402" i="70"/>
  <c r="CE1402" i="70"/>
  <c r="CS1401" i="70"/>
  <c r="CR1401" i="70"/>
  <c r="CQ1401" i="70"/>
  <c r="CP1401" i="70"/>
  <c r="CO1401" i="70"/>
  <c r="CN1401" i="70"/>
  <c r="CM1401" i="70"/>
  <c r="CL1401" i="70"/>
  <c r="CK1401" i="70"/>
  <c r="CJ1401" i="70"/>
  <c r="CI1401" i="70"/>
  <c r="CH1401" i="70"/>
  <c r="CG1401" i="70"/>
  <c r="CF1401" i="70"/>
  <c r="CE1401" i="70"/>
  <c r="CS1400" i="70"/>
  <c r="CR1400" i="70"/>
  <c r="CQ1400" i="70"/>
  <c r="CP1400" i="70"/>
  <c r="CO1400" i="70"/>
  <c r="CN1400" i="70"/>
  <c r="CM1400" i="70"/>
  <c r="CL1400" i="70"/>
  <c r="CK1400" i="70"/>
  <c r="CJ1400" i="70"/>
  <c r="CI1400" i="70"/>
  <c r="CH1400" i="70"/>
  <c r="CG1400" i="70"/>
  <c r="CF1400" i="70"/>
  <c r="CE1400" i="70"/>
  <c r="CS1399" i="70"/>
  <c r="CR1399" i="70"/>
  <c r="CQ1399" i="70"/>
  <c r="CP1399" i="70"/>
  <c r="CO1399" i="70"/>
  <c r="CN1399" i="70"/>
  <c r="CM1399" i="70"/>
  <c r="CL1399" i="70"/>
  <c r="CK1399" i="70"/>
  <c r="CJ1399" i="70"/>
  <c r="CI1399" i="70"/>
  <c r="CH1399" i="70"/>
  <c r="CG1399" i="70"/>
  <c r="CF1399" i="70"/>
  <c r="CE1399" i="70"/>
  <c r="CS1398" i="70"/>
  <c r="CR1398" i="70"/>
  <c r="CQ1398" i="70"/>
  <c r="CP1398" i="70"/>
  <c r="CO1398" i="70"/>
  <c r="CN1398" i="70"/>
  <c r="CM1398" i="70"/>
  <c r="CL1398" i="70"/>
  <c r="CK1398" i="70"/>
  <c r="CJ1398" i="70"/>
  <c r="CI1398" i="70"/>
  <c r="CH1398" i="70"/>
  <c r="CG1398" i="70"/>
  <c r="CF1398" i="70"/>
  <c r="CE1398" i="70"/>
  <c r="CS1397" i="70"/>
  <c r="CR1397" i="70"/>
  <c r="CQ1397" i="70"/>
  <c r="CP1397" i="70"/>
  <c r="CO1397" i="70"/>
  <c r="CN1397" i="70"/>
  <c r="CM1397" i="70"/>
  <c r="CL1397" i="70"/>
  <c r="CK1397" i="70"/>
  <c r="CJ1397" i="70"/>
  <c r="CI1397" i="70"/>
  <c r="CH1397" i="70"/>
  <c r="CG1397" i="70"/>
  <c r="CF1397" i="70"/>
  <c r="CE1397" i="70"/>
  <c r="CS1396" i="70"/>
  <c r="CR1396" i="70"/>
  <c r="CQ1396" i="70"/>
  <c r="CP1396" i="70"/>
  <c r="CO1396" i="70"/>
  <c r="CN1396" i="70"/>
  <c r="CM1396" i="70"/>
  <c r="CL1396" i="70"/>
  <c r="CK1396" i="70"/>
  <c r="CJ1396" i="70"/>
  <c r="CI1396" i="70"/>
  <c r="CH1396" i="70"/>
  <c r="CG1396" i="70"/>
  <c r="CF1396" i="70"/>
  <c r="CE1396" i="70"/>
  <c r="CS1395" i="70"/>
  <c r="CR1395" i="70"/>
  <c r="CQ1395" i="70"/>
  <c r="CP1395" i="70"/>
  <c r="CO1395" i="70"/>
  <c r="CN1395" i="70"/>
  <c r="CM1395" i="70"/>
  <c r="CL1395" i="70"/>
  <c r="CK1395" i="70"/>
  <c r="CJ1395" i="70"/>
  <c r="CI1395" i="70"/>
  <c r="CH1395" i="70"/>
  <c r="CG1395" i="70"/>
  <c r="CF1395" i="70"/>
  <c r="CE1395" i="70"/>
  <c r="CI1394" i="70"/>
  <c r="CH1394" i="70"/>
  <c r="CG1394" i="70"/>
  <c r="CF1394" i="70"/>
  <c r="CE1394" i="70"/>
  <c r="CI1393" i="70"/>
  <c r="CH1393" i="70"/>
  <c r="CG1393" i="70"/>
  <c r="CF1393" i="70"/>
  <c r="CE1393" i="70"/>
  <c r="CI1392" i="70"/>
  <c r="CH1392" i="70"/>
  <c r="CG1392" i="70"/>
  <c r="CF1392" i="70"/>
  <c r="CE1392" i="70"/>
  <c r="CY1391" i="70"/>
  <c r="CX1391" i="70"/>
  <c r="CW1391" i="70"/>
  <c r="CV1391" i="70"/>
  <c r="CU1391" i="70"/>
  <c r="CT1391" i="70"/>
  <c r="CS1391" i="70"/>
  <c r="CR1391" i="70"/>
  <c r="CQ1391" i="70"/>
  <c r="CP1391" i="70"/>
  <c r="CO1391" i="70"/>
  <c r="CY1390" i="70"/>
  <c r="CX1390" i="70"/>
  <c r="CW1390" i="70"/>
  <c r="CV1390" i="70"/>
  <c r="CU1390" i="70"/>
  <c r="CT1390" i="70"/>
  <c r="CS1390" i="70"/>
  <c r="CR1390" i="70"/>
  <c r="CQ1390" i="70"/>
  <c r="CP1390" i="70"/>
  <c r="CO1390" i="70"/>
  <c r="CY1389" i="70"/>
  <c r="CX1389" i="70"/>
  <c r="CW1389" i="70"/>
  <c r="CV1389" i="70"/>
  <c r="CU1389" i="70"/>
  <c r="CT1389" i="70"/>
  <c r="CS1389" i="70"/>
  <c r="CR1389" i="70"/>
  <c r="CQ1389" i="70"/>
  <c r="CP1389" i="70"/>
  <c r="CO1389" i="70"/>
  <c r="CY1388" i="70"/>
  <c r="CX1388" i="70"/>
  <c r="CW1388" i="70"/>
  <c r="CV1388" i="70"/>
  <c r="CU1388" i="70"/>
  <c r="CT1388" i="70"/>
  <c r="CS1388" i="70"/>
  <c r="CR1388" i="70"/>
  <c r="CQ1388" i="70"/>
  <c r="CP1388" i="70"/>
  <c r="CO1388" i="70"/>
  <c r="CX1387" i="70"/>
  <c r="CW1387" i="70"/>
  <c r="CV1387" i="70"/>
  <c r="CU1387" i="70"/>
  <c r="CT1387" i="70"/>
  <c r="CS1387" i="70"/>
  <c r="CR1387" i="70"/>
  <c r="CQ1387" i="70"/>
  <c r="CP1387" i="70"/>
  <c r="CO1387" i="70"/>
  <c r="CN1387" i="70"/>
  <c r="CM1387" i="70"/>
  <c r="CL1387" i="70"/>
  <c r="CK1387" i="70"/>
  <c r="CJ1387" i="70"/>
  <c r="CX1386" i="70"/>
  <c r="CW1386" i="70"/>
  <c r="CV1386" i="70"/>
  <c r="CU1386" i="70"/>
  <c r="CT1386" i="70"/>
  <c r="CS1386" i="70"/>
  <c r="CR1386" i="70"/>
  <c r="CQ1386" i="70"/>
  <c r="CP1386" i="70"/>
  <c r="CO1386" i="70"/>
  <c r="CN1386" i="70"/>
  <c r="CM1386" i="70"/>
  <c r="CL1386" i="70"/>
  <c r="CK1386" i="70"/>
  <c r="CJ1386" i="70"/>
  <c r="CX1385" i="70"/>
  <c r="CW1385" i="70"/>
  <c r="CV1385" i="70"/>
  <c r="CU1385" i="70"/>
  <c r="CT1385" i="70"/>
  <c r="CS1385" i="70"/>
  <c r="CR1385" i="70"/>
  <c r="CQ1385" i="70"/>
  <c r="CP1385" i="70"/>
  <c r="CO1385" i="70"/>
  <c r="CN1385" i="70"/>
  <c r="CM1385" i="70"/>
  <c r="CL1385" i="70"/>
  <c r="CK1385" i="70"/>
  <c r="CJ1385" i="70"/>
  <c r="CY1384" i="70"/>
  <c r="CX1384" i="70"/>
  <c r="CW1384" i="70"/>
  <c r="CV1384" i="70"/>
  <c r="CU1384" i="70"/>
  <c r="CT1384" i="70"/>
  <c r="CS1384" i="70"/>
  <c r="CR1384" i="70"/>
  <c r="CQ1384" i="70"/>
  <c r="CP1384" i="70"/>
  <c r="CO1384" i="70"/>
  <c r="CY1383" i="70"/>
  <c r="CX1383" i="70"/>
  <c r="CW1383" i="70"/>
  <c r="CV1383" i="70"/>
  <c r="CU1383" i="70"/>
  <c r="CT1383" i="70"/>
  <c r="CS1383" i="70"/>
  <c r="CR1383" i="70"/>
  <c r="CQ1383" i="70"/>
  <c r="CP1383" i="70"/>
  <c r="CO1383" i="70"/>
  <c r="CY1382" i="70"/>
  <c r="CX1382" i="70"/>
  <c r="CW1382" i="70"/>
  <c r="CV1382" i="70"/>
  <c r="CU1382" i="70"/>
  <c r="CT1382" i="70"/>
  <c r="CS1382" i="70"/>
  <c r="CR1382" i="70"/>
  <c r="CQ1382" i="70"/>
  <c r="CP1382" i="70"/>
  <c r="CO1382" i="70"/>
  <c r="CX1381" i="70"/>
  <c r="CK1381" i="70"/>
  <c r="CJ1381" i="70"/>
  <c r="CI1381" i="70"/>
  <c r="CX1380" i="70"/>
  <c r="CK1380" i="70"/>
  <c r="CJ1380" i="70"/>
  <c r="CI1380" i="70"/>
  <c r="CX1379" i="70"/>
  <c r="CK1379" i="70"/>
  <c r="CJ1379" i="70"/>
  <c r="CI1379" i="70"/>
  <c r="CX1378" i="70"/>
  <c r="CK1378" i="70"/>
  <c r="CJ1378" i="70"/>
  <c r="CI1378" i="70"/>
  <c r="CX1377" i="70"/>
  <c r="CK1377" i="70"/>
  <c r="CY1377" i="70" s="1"/>
  <c r="CX1376" i="70"/>
  <c r="CK1376" i="70"/>
  <c r="CY1376" i="70" s="1"/>
  <c r="CX1375" i="70"/>
  <c r="CK1375" i="70"/>
  <c r="CY1375" i="70" s="1"/>
  <c r="CX1374" i="70"/>
  <c r="CK1374" i="70"/>
  <c r="CY1374" i="70" s="1"/>
  <c r="CX1373" i="70"/>
  <c r="CK1373" i="70"/>
  <c r="CY1373" i="70" s="1"/>
  <c r="CX1372" i="70"/>
  <c r="CK1372" i="70"/>
  <c r="CY1372" i="70" s="1"/>
  <c r="CY1371" i="70"/>
  <c r="CX1371" i="70"/>
  <c r="CW1371" i="70"/>
  <c r="CV1371" i="70"/>
  <c r="CU1371" i="70"/>
  <c r="CT1371" i="70"/>
  <c r="CS1371" i="70"/>
  <c r="CR1371" i="70"/>
  <c r="CQ1371" i="70"/>
  <c r="CP1371" i="70"/>
  <c r="CO1371" i="70"/>
  <c r="CX1370" i="70"/>
  <c r="CW1370" i="70"/>
  <c r="CV1370" i="70"/>
  <c r="CU1370" i="70"/>
  <c r="CT1370" i="70"/>
  <c r="CS1370" i="70"/>
  <c r="CR1370" i="70"/>
  <c r="CQ1370" i="70"/>
  <c r="CP1370" i="70"/>
  <c r="CO1370" i="70"/>
  <c r="CN1370" i="70"/>
  <c r="CM1370" i="70"/>
  <c r="CL1370" i="70"/>
  <c r="CK1370" i="70"/>
  <c r="CJ1370" i="70"/>
  <c r="CX1369" i="70"/>
  <c r="CW1369" i="70"/>
  <c r="CV1369" i="70"/>
  <c r="CU1369" i="70"/>
  <c r="CT1369" i="70"/>
  <c r="CS1369" i="70"/>
  <c r="CR1369" i="70"/>
  <c r="CQ1369" i="70"/>
  <c r="CP1369" i="70"/>
  <c r="CO1369" i="70"/>
  <c r="CN1369" i="70"/>
  <c r="CM1369" i="70"/>
  <c r="CL1369" i="70"/>
  <c r="CK1369" i="70"/>
  <c r="CJ1369" i="70"/>
  <c r="CX1368" i="70"/>
  <c r="CW1368" i="70"/>
  <c r="CV1368" i="70"/>
  <c r="CU1368" i="70"/>
  <c r="CT1368" i="70"/>
  <c r="CS1368" i="70"/>
  <c r="CR1368" i="70"/>
  <c r="CQ1368" i="70"/>
  <c r="CP1368" i="70"/>
  <c r="CO1368" i="70"/>
  <c r="CN1368" i="70"/>
  <c r="CM1368" i="70"/>
  <c r="CL1368" i="70"/>
  <c r="CK1368" i="70"/>
  <c r="CJ1368" i="70"/>
  <c r="CY1367" i="70"/>
  <c r="CX1367" i="70"/>
  <c r="CW1367" i="70"/>
  <c r="CV1367" i="70"/>
  <c r="CU1367" i="70"/>
  <c r="CT1367" i="70"/>
  <c r="CS1367" i="70"/>
  <c r="CR1367" i="70"/>
  <c r="CQ1367" i="70"/>
  <c r="CP1367" i="70"/>
  <c r="CO1367" i="70"/>
  <c r="CY1366" i="70"/>
  <c r="CX1366" i="70"/>
  <c r="CW1366" i="70"/>
  <c r="CV1366" i="70"/>
  <c r="CU1366" i="70"/>
  <c r="CT1366" i="70"/>
  <c r="CS1366" i="70"/>
  <c r="CR1366" i="70"/>
  <c r="CQ1366" i="70"/>
  <c r="CP1366" i="70"/>
  <c r="CO1366" i="70"/>
  <c r="CX1365" i="70"/>
  <c r="CW1365" i="70"/>
  <c r="CV1365" i="70"/>
  <c r="CU1365" i="70"/>
  <c r="CT1365" i="70"/>
  <c r="CS1365" i="70"/>
  <c r="CR1365" i="70"/>
  <c r="CQ1365" i="70"/>
  <c r="CP1365" i="70"/>
  <c r="CO1365" i="70"/>
  <c r="CN1365" i="70"/>
  <c r="CM1365" i="70"/>
  <c r="CL1365" i="70"/>
  <c r="CK1365" i="70"/>
  <c r="CJ1365" i="70"/>
  <c r="CX1364" i="70"/>
  <c r="CW1364" i="70"/>
  <c r="CV1364" i="70"/>
  <c r="CU1364" i="70"/>
  <c r="CT1364" i="70"/>
  <c r="CS1364" i="70"/>
  <c r="CR1364" i="70"/>
  <c r="CQ1364" i="70"/>
  <c r="CP1364" i="70"/>
  <c r="CO1364" i="70"/>
  <c r="CN1364" i="70"/>
  <c r="CM1364" i="70"/>
  <c r="CL1364" i="70"/>
  <c r="CK1364" i="70"/>
  <c r="CJ1364" i="70"/>
  <c r="CX1363" i="70"/>
  <c r="CW1363" i="70"/>
  <c r="CV1363" i="70"/>
  <c r="CU1363" i="70"/>
  <c r="CT1363" i="70"/>
  <c r="CS1363" i="70"/>
  <c r="CR1363" i="70"/>
  <c r="CQ1363" i="70"/>
  <c r="CP1363" i="70"/>
  <c r="CO1363" i="70"/>
  <c r="CN1363" i="70"/>
  <c r="CM1363" i="70"/>
  <c r="CL1363" i="70"/>
  <c r="CK1363" i="70"/>
  <c r="CJ1363" i="70"/>
  <c r="CY1362" i="70"/>
  <c r="CX1362" i="70"/>
  <c r="CW1362" i="70"/>
  <c r="CV1362" i="70"/>
  <c r="CU1362" i="70"/>
  <c r="CT1362" i="70"/>
  <c r="CS1362" i="70"/>
  <c r="CR1362" i="70"/>
  <c r="CQ1362" i="70"/>
  <c r="CP1362" i="70"/>
  <c r="CO1362" i="70"/>
  <c r="CJ1361" i="70"/>
  <c r="CI1361" i="70"/>
  <c r="CH1361" i="70"/>
  <c r="CX1361" i="70" s="1"/>
  <c r="CJ1360" i="70"/>
  <c r="CI1360" i="70"/>
  <c r="CH1360" i="70"/>
  <c r="CJ1359" i="70"/>
  <c r="CI1359" i="70"/>
  <c r="CH1359" i="70"/>
  <c r="CX1359" i="70" s="1"/>
  <c r="CJ1358" i="70"/>
  <c r="CI1358" i="70"/>
  <c r="CH1358" i="70"/>
  <c r="CJ1357" i="70"/>
  <c r="CI1357" i="70"/>
  <c r="CH1357" i="70"/>
  <c r="CX1357" i="70" s="1"/>
  <c r="CJ1356" i="70"/>
  <c r="CI1356" i="70"/>
  <c r="CH1356" i="70"/>
  <c r="CJ1355" i="70"/>
  <c r="CI1355" i="70"/>
  <c r="CH1355" i="70"/>
  <c r="CX1355" i="70" s="1"/>
  <c r="CJ1354" i="70"/>
  <c r="CI1354" i="70"/>
  <c r="CH1354" i="70"/>
  <c r="CJ1353" i="70"/>
  <c r="CI1353" i="70"/>
  <c r="CH1353" i="70"/>
  <c r="CX1353" i="70" s="1"/>
  <c r="CJ1352" i="70"/>
  <c r="CI1352" i="70"/>
  <c r="CH1352" i="70"/>
  <c r="CJ1351" i="70"/>
  <c r="CI1351" i="70"/>
  <c r="CH1351" i="70"/>
  <c r="CX1351" i="70" s="1"/>
  <c r="CJ1350" i="70"/>
  <c r="CI1350" i="70"/>
  <c r="CH1350" i="70"/>
  <c r="CJ1349" i="70"/>
  <c r="CI1349" i="70"/>
  <c r="CH1349" i="70"/>
  <c r="CX1349" i="70" s="1"/>
  <c r="CY1348" i="70"/>
  <c r="CX1348" i="70"/>
  <c r="CY1347" i="70"/>
  <c r="CX1347" i="70"/>
  <c r="CJ1346" i="70"/>
  <c r="CI1346" i="70"/>
  <c r="CH1346" i="70"/>
  <c r="CJ1345" i="70"/>
  <c r="CI1345" i="70"/>
  <c r="CH1345" i="70"/>
  <c r="CX1345" i="70" s="1"/>
  <c r="CJ1344" i="70"/>
  <c r="CI1344" i="70"/>
  <c r="CH1344" i="70"/>
  <c r="CY1343" i="70"/>
  <c r="CX1343" i="70"/>
  <c r="CY1342" i="70"/>
  <c r="CX1342" i="70"/>
  <c r="CJ1341" i="70"/>
  <c r="CI1341" i="70"/>
  <c r="CH1341" i="70"/>
  <c r="CX1341" i="70" s="1"/>
  <c r="CJ1340" i="70"/>
  <c r="CI1340" i="70"/>
  <c r="CH1340" i="70"/>
  <c r="CJ1339" i="70"/>
  <c r="CI1339" i="70"/>
  <c r="CH1339" i="70"/>
  <c r="CX1339" i="70" s="1"/>
  <c r="CJ1338" i="70"/>
  <c r="CI1338" i="70"/>
  <c r="CH1338" i="70"/>
  <c r="CJ1337" i="70"/>
  <c r="CI1337" i="70"/>
  <c r="CH1337" i="70"/>
  <c r="CX1337" i="70" s="1"/>
  <c r="CJ1336" i="70"/>
  <c r="CI1336" i="70"/>
  <c r="CH1336" i="70"/>
  <c r="CJ1335" i="70"/>
  <c r="CI1335" i="70"/>
  <c r="CH1335" i="70"/>
  <c r="CX1335" i="70" s="1"/>
  <c r="CJ1334" i="70"/>
  <c r="CI1334" i="70"/>
  <c r="CH1334" i="70"/>
  <c r="CJ1333" i="70"/>
  <c r="CI1333" i="70"/>
  <c r="CH1333" i="70"/>
  <c r="CJ1332" i="70"/>
  <c r="CI1332" i="70"/>
  <c r="CH1332" i="70"/>
  <c r="CJ1331" i="70"/>
  <c r="CI1331" i="70"/>
  <c r="CH1331" i="70"/>
  <c r="CX1331" i="70" s="1"/>
  <c r="CJ1330" i="70"/>
  <c r="CI1330" i="70"/>
  <c r="CH1330" i="70"/>
  <c r="CJ1329" i="70"/>
  <c r="CI1329" i="70"/>
  <c r="CH1329" i="70"/>
  <c r="CJ1328" i="70"/>
  <c r="CI1328" i="70"/>
  <c r="CH1328" i="70"/>
  <c r="CJ1327" i="70"/>
  <c r="CI1327" i="70"/>
  <c r="CH1327" i="70"/>
  <c r="CX1327" i="70" s="1"/>
  <c r="CJ1326" i="70"/>
  <c r="CI1326" i="70"/>
  <c r="CH1326" i="70"/>
  <c r="CJ1325" i="70"/>
  <c r="CI1325" i="70"/>
  <c r="CH1325" i="70"/>
  <c r="CJ1324" i="70"/>
  <c r="CI1324" i="70"/>
  <c r="CH1324" i="70"/>
  <c r="CJ1323" i="70"/>
  <c r="CI1323" i="70"/>
  <c r="CH1323" i="70"/>
  <c r="CX1323" i="70" s="1"/>
  <c r="CJ1322" i="70"/>
  <c r="CI1322" i="70"/>
  <c r="CH1322" i="70"/>
  <c r="CJ1321" i="70"/>
  <c r="CI1321" i="70"/>
  <c r="CH1321" i="70"/>
  <c r="CJ1320" i="70"/>
  <c r="CI1320" i="70"/>
  <c r="CH1320" i="70"/>
  <c r="CJ1319" i="70"/>
  <c r="CI1319" i="70"/>
  <c r="CH1319" i="70"/>
  <c r="CJ1318" i="70"/>
  <c r="CI1318" i="70"/>
  <c r="CH1318" i="70"/>
  <c r="CJ1317" i="70"/>
  <c r="CI1317" i="70"/>
  <c r="CH1317" i="70"/>
  <c r="CJ1316" i="70"/>
  <c r="CI1316" i="70"/>
  <c r="CH1316" i="70"/>
  <c r="CJ1315" i="70"/>
  <c r="CI1315" i="70"/>
  <c r="CH1315" i="70"/>
  <c r="CJ1314" i="70"/>
  <c r="CI1314" i="70"/>
  <c r="CH1314" i="70"/>
  <c r="CJ1313" i="70"/>
  <c r="CI1313" i="70"/>
  <c r="CH1313" i="70"/>
  <c r="CJ1312" i="70"/>
  <c r="CI1312" i="70"/>
  <c r="CH1312" i="70"/>
  <c r="CJ1311" i="70"/>
  <c r="CI1311" i="70"/>
  <c r="CH1311" i="70"/>
  <c r="CX1311" i="70" s="1"/>
  <c r="CJ1310" i="70"/>
  <c r="CI1310" i="70"/>
  <c r="CH1310" i="70"/>
  <c r="CJ1309" i="70"/>
  <c r="CI1309" i="70"/>
  <c r="CH1309" i="70"/>
  <c r="CJ1308" i="70"/>
  <c r="CI1308" i="70"/>
  <c r="CH1308" i="70"/>
  <c r="CJ1307" i="70"/>
  <c r="CI1307" i="70"/>
  <c r="CH1307" i="70"/>
  <c r="CJ1306" i="70"/>
  <c r="CI1306" i="70"/>
  <c r="CH1306" i="70"/>
  <c r="CJ1305" i="70"/>
  <c r="CI1305" i="70"/>
  <c r="CH1305" i="70"/>
  <c r="CJ1304" i="70"/>
  <c r="CI1304" i="70"/>
  <c r="CH1304" i="70"/>
  <c r="CJ1303" i="70"/>
  <c r="CI1303" i="70"/>
  <c r="CH1303" i="70"/>
  <c r="CX1303" i="70" s="1"/>
  <c r="CJ1302" i="70"/>
  <c r="CI1302" i="70"/>
  <c r="CH1302" i="70"/>
  <c r="CJ1301" i="70"/>
  <c r="CI1301" i="70"/>
  <c r="CH1301" i="70"/>
  <c r="CX1301" i="70" s="1"/>
  <c r="CJ1300" i="70"/>
  <c r="CI1300" i="70"/>
  <c r="CH1300" i="70"/>
  <c r="CY1299" i="70"/>
  <c r="CX1299" i="70"/>
  <c r="CY1298" i="70"/>
  <c r="CX1298" i="70"/>
  <c r="CJ1297" i="70"/>
  <c r="CI1297" i="70"/>
  <c r="CH1297" i="70"/>
  <c r="CX1297" i="70" s="1"/>
  <c r="CJ1296" i="70"/>
  <c r="CI1296" i="70"/>
  <c r="CH1296" i="70"/>
  <c r="CJ1295" i="70"/>
  <c r="CI1295" i="70"/>
  <c r="CH1295" i="70"/>
  <c r="CX1295" i="70" s="1"/>
  <c r="CJ1294" i="70"/>
  <c r="CI1294" i="70"/>
  <c r="CH1294" i="70"/>
  <c r="CJ1293" i="70"/>
  <c r="CI1293" i="70"/>
  <c r="CH1293" i="70"/>
  <c r="CX1293" i="70" s="1"/>
  <c r="CJ1292" i="70"/>
  <c r="CI1292" i="70"/>
  <c r="CH1292" i="70"/>
  <c r="CY1291" i="70"/>
  <c r="CX1291" i="70"/>
  <c r="CJ1290" i="70"/>
  <c r="CI1290" i="70"/>
  <c r="CH1290" i="70"/>
  <c r="CX1290" i="70" s="1"/>
  <c r="CJ1289" i="70"/>
  <c r="CI1289" i="70"/>
  <c r="CH1289" i="70"/>
  <c r="CJ1288" i="70"/>
  <c r="CI1288" i="70"/>
  <c r="CH1288" i="70"/>
  <c r="CX1288" i="70" s="1"/>
  <c r="CY1287" i="70"/>
  <c r="CX1287" i="70"/>
  <c r="CY1286" i="70"/>
  <c r="CX1286" i="70"/>
  <c r="CJ1285" i="70"/>
  <c r="CI1285" i="70"/>
  <c r="CH1285" i="70"/>
  <c r="CJ1284" i="70"/>
  <c r="CI1284" i="70"/>
  <c r="CH1284" i="70"/>
  <c r="CX1284" i="70" s="1"/>
  <c r="CJ1283" i="70"/>
  <c r="CI1283" i="70"/>
  <c r="CH1283" i="70"/>
  <c r="CJ1282" i="70"/>
  <c r="CI1282" i="70"/>
  <c r="CH1282" i="70"/>
  <c r="CX1282" i="70" s="1"/>
  <c r="CJ1281" i="70"/>
  <c r="CI1281" i="70"/>
  <c r="CH1281" i="70"/>
  <c r="CJ1280" i="70"/>
  <c r="CI1280" i="70"/>
  <c r="CH1280" i="70"/>
  <c r="CX1280" i="70" s="1"/>
  <c r="CJ1279" i="70"/>
  <c r="CI1279" i="70"/>
  <c r="CH1279" i="70"/>
  <c r="CJ1278" i="70"/>
  <c r="CI1278" i="70"/>
  <c r="CH1278" i="70"/>
  <c r="CX1278" i="70" s="1"/>
  <c r="CJ1277" i="70"/>
  <c r="CI1277" i="70"/>
  <c r="CH1277" i="70"/>
  <c r="CJ1276" i="70"/>
  <c r="CI1276" i="70"/>
  <c r="CH1276" i="70"/>
  <c r="CX1276" i="70" s="1"/>
  <c r="CJ1275" i="70"/>
  <c r="CI1275" i="70"/>
  <c r="CH1275" i="70"/>
  <c r="CJ1274" i="70"/>
  <c r="CI1274" i="70"/>
  <c r="CH1274" i="70"/>
  <c r="CX1274" i="70" s="1"/>
  <c r="CY1273" i="70"/>
  <c r="CX1273" i="70"/>
  <c r="CJ1272" i="70"/>
  <c r="CI1272" i="70"/>
  <c r="CH1272" i="70"/>
  <c r="CJ1271" i="70"/>
  <c r="CI1271" i="70"/>
  <c r="CH1271" i="70"/>
  <c r="CX1271" i="70" s="1"/>
  <c r="CY1270" i="70"/>
  <c r="CX1270" i="70"/>
  <c r="CJ1269" i="70"/>
  <c r="CI1269" i="70"/>
  <c r="CH1269" i="70"/>
  <c r="CJ1268" i="70"/>
  <c r="CI1268" i="70"/>
  <c r="CH1268" i="70"/>
  <c r="CX1268" i="70" s="1"/>
  <c r="CJ1267" i="70"/>
  <c r="CI1267" i="70"/>
  <c r="CH1267" i="70"/>
  <c r="CJ1266" i="70"/>
  <c r="CI1266" i="70"/>
  <c r="CH1266" i="70"/>
  <c r="CX1266" i="70" s="1"/>
  <c r="CJ1265" i="70"/>
  <c r="CI1265" i="70"/>
  <c r="CH1265" i="70"/>
  <c r="CJ1264" i="70"/>
  <c r="CI1264" i="70"/>
  <c r="CH1264" i="70"/>
  <c r="CX1264" i="70" s="1"/>
  <c r="CJ1263" i="70"/>
  <c r="CI1263" i="70"/>
  <c r="CH1263" i="70"/>
  <c r="CJ1262" i="70"/>
  <c r="CI1262" i="70"/>
  <c r="CH1262" i="70"/>
  <c r="CX1262" i="70" s="1"/>
  <c r="CJ1261" i="70"/>
  <c r="CI1261" i="70"/>
  <c r="CH1261" i="70"/>
  <c r="CJ1260" i="70"/>
  <c r="CI1260" i="70"/>
  <c r="CH1260" i="70"/>
  <c r="CX1260" i="70" s="1"/>
  <c r="CJ1259" i="70"/>
  <c r="CI1259" i="70"/>
  <c r="CH1259" i="70"/>
  <c r="CJ1258" i="70"/>
  <c r="CI1258" i="70"/>
  <c r="CH1258" i="70"/>
  <c r="CX1258" i="70" s="1"/>
  <c r="CJ1257" i="70"/>
  <c r="CI1257" i="70"/>
  <c r="CH1257" i="70"/>
  <c r="CJ1256" i="70"/>
  <c r="CI1256" i="70"/>
  <c r="CH1256" i="70"/>
  <c r="CX1256" i="70" s="1"/>
  <c r="CJ1255" i="70"/>
  <c r="CI1255" i="70"/>
  <c r="CH1255" i="70"/>
  <c r="CJ1254" i="70"/>
  <c r="CI1254" i="70"/>
  <c r="CH1254" i="70"/>
  <c r="CX1254" i="70" s="1"/>
  <c r="CY1253" i="70"/>
  <c r="CX1253" i="70"/>
  <c r="CJ1252" i="70"/>
  <c r="CI1252" i="70"/>
  <c r="CH1252" i="70"/>
  <c r="CJ1251" i="70"/>
  <c r="CI1251" i="70"/>
  <c r="CH1251" i="70"/>
  <c r="CX1251" i="70" s="1"/>
  <c r="CJ1250" i="70"/>
  <c r="CI1250" i="70"/>
  <c r="CH1250" i="70"/>
  <c r="CJ1249" i="70"/>
  <c r="CI1249" i="70"/>
  <c r="CH1249" i="70"/>
  <c r="CX1249" i="70" s="1"/>
  <c r="CY1248" i="70"/>
  <c r="CX1248" i="70"/>
  <c r="CJ1247" i="70"/>
  <c r="CI1247" i="70"/>
  <c r="CH1247" i="70"/>
  <c r="CJ1246" i="70"/>
  <c r="CI1246" i="70"/>
  <c r="CH1246" i="70"/>
  <c r="CX1246" i="70" s="1"/>
  <c r="CJ1245" i="70"/>
  <c r="CI1245" i="70"/>
  <c r="CH1245" i="70"/>
  <c r="CY1244" i="70"/>
  <c r="CX1244" i="70"/>
  <c r="CY1243" i="70"/>
  <c r="CX1243" i="70"/>
  <c r="CY1242" i="70"/>
  <c r="CX1242" i="70"/>
  <c r="CJ1241" i="70"/>
  <c r="CI1241" i="70"/>
  <c r="CH1241" i="70"/>
  <c r="CX1241" i="70" s="1"/>
  <c r="CJ1240" i="70"/>
  <c r="CI1240" i="70"/>
  <c r="CH1240" i="70"/>
  <c r="CJ1239" i="70"/>
  <c r="CI1239" i="70"/>
  <c r="CH1239" i="70"/>
  <c r="CJ1238" i="70"/>
  <c r="CI1238" i="70"/>
  <c r="CH1238" i="70"/>
  <c r="CX1238" i="70" s="1"/>
  <c r="CJ1237" i="70"/>
  <c r="CI1237" i="70"/>
  <c r="CH1237" i="70"/>
  <c r="CJ1236" i="70"/>
  <c r="CI1236" i="70"/>
  <c r="CH1236" i="70"/>
  <c r="CX1236" i="70" s="1"/>
  <c r="CY1235" i="70"/>
  <c r="CX1235" i="70"/>
  <c r="CJ1234" i="70"/>
  <c r="CI1234" i="70"/>
  <c r="CH1234" i="70"/>
  <c r="CX1234" i="70" s="1"/>
  <c r="CJ1233" i="70"/>
  <c r="CI1233" i="70"/>
  <c r="CH1233" i="70"/>
  <c r="CX1233" i="70" s="1"/>
  <c r="CJ1232" i="70"/>
  <c r="CI1232" i="70"/>
  <c r="CH1232" i="70"/>
  <c r="CJ1231" i="70"/>
  <c r="CI1231" i="70"/>
  <c r="CH1231" i="70"/>
  <c r="CX1231" i="70" s="1"/>
  <c r="CJ1230" i="70"/>
  <c r="CI1230" i="70"/>
  <c r="CH1230" i="70"/>
  <c r="CX1230" i="70" s="1"/>
  <c r="CJ1229" i="70"/>
  <c r="CI1229" i="70"/>
  <c r="CH1229" i="70"/>
  <c r="CX1229" i="70" s="1"/>
  <c r="CJ1228" i="70"/>
  <c r="CI1228" i="70"/>
  <c r="CH1228" i="70"/>
  <c r="CJ1227" i="70"/>
  <c r="CI1227" i="70"/>
  <c r="CH1227" i="70"/>
  <c r="CX1227" i="70" s="1"/>
  <c r="CJ1226" i="70"/>
  <c r="CI1226" i="70"/>
  <c r="CH1226" i="70"/>
  <c r="CX1226" i="70" s="1"/>
  <c r="CJ1225" i="70"/>
  <c r="CI1225" i="70"/>
  <c r="CH1225" i="70"/>
  <c r="CX1225" i="70" s="1"/>
  <c r="CJ1224" i="70"/>
  <c r="CI1224" i="70"/>
  <c r="CH1224" i="70"/>
  <c r="CJ1223" i="70"/>
  <c r="CI1223" i="70"/>
  <c r="CH1223" i="70"/>
  <c r="CX1223" i="70" s="1"/>
  <c r="CJ1222" i="70"/>
  <c r="CI1222" i="70"/>
  <c r="CH1222" i="70"/>
  <c r="CJ1221" i="70"/>
  <c r="CI1221" i="70"/>
  <c r="CH1221" i="70"/>
  <c r="CX1221" i="70" s="1"/>
  <c r="CJ1220" i="70"/>
  <c r="CI1220" i="70"/>
  <c r="CH1220" i="70"/>
  <c r="CJ1219" i="70"/>
  <c r="CI1219" i="70"/>
  <c r="CH1219" i="70"/>
  <c r="CX1219" i="70" s="1"/>
  <c r="CJ1218" i="70"/>
  <c r="CI1218" i="70"/>
  <c r="CH1218" i="70"/>
  <c r="CJ1217" i="70"/>
  <c r="CI1217" i="70"/>
  <c r="CH1217" i="70"/>
  <c r="CX1217" i="70" s="1"/>
  <c r="CJ1216" i="70"/>
  <c r="CI1216" i="70"/>
  <c r="CH1216" i="70"/>
  <c r="CJ1215" i="70"/>
  <c r="CI1215" i="70"/>
  <c r="CH1215" i="70"/>
  <c r="CX1215" i="70" s="1"/>
  <c r="CJ1214" i="70"/>
  <c r="CI1214" i="70"/>
  <c r="CH1214" i="70"/>
  <c r="CY1213" i="70"/>
  <c r="CX1213" i="70"/>
  <c r="CY1212" i="70"/>
  <c r="CX1212" i="70"/>
  <c r="CY1211" i="70"/>
  <c r="CX1211" i="70"/>
  <c r="CJ1210" i="70"/>
  <c r="CI1210" i="70"/>
  <c r="CH1210" i="70"/>
  <c r="CX1210" i="70" s="1"/>
  <c r="CY1209" i="70"/>
  <c r="CX1209" i="70"/>
  <c r="CJ1208" i="70"/>
  <c r="CI1208" i="70"/>
  <c r="CH1208" i="70"/>
  <c r="CJ1207" i="70"/>
  <c r="CI1207" i="70"/>
  <c r="CH1207" i="70"/>
  <c r="CX1207" i="70" s="1"/>
  <c r="CJ1206" i="70"/>
  <c r="CI1206" i="70"/>
  <c r="CH1206" i="70"/>
  <c r="CJ1205" i="70"/>
  <c r="CI1205" i="70"/>
  <c r="CH1205" i="70"/>
  <c r="CX1205" i="70" s="1"/>
  <c r="CJ1204" i="70"/>
  <c r="CI1204" i="70"/>
  <c r="CH1204" i="70"/>
  <c r="CJ1203" i="70"/>
  <c r="CI1203" i="70"/>
  <c r="CH1203" i="70"/>
  <c r="CX1203" i="70" s="1"/>
  <c r="CJ1202" i="70"/>
  <c r="CI1202" i="70"/>
  <c r="CH1202" i="70"/>
  <c r="CJ1201" i="70"/>
  <c r="CI1201" i="70"/>
  <c r="CH1201" i="70"/>
  <c r="CX1201" i="70" s="1"/>
  <c r="CY1200" i="70"/>
  <c r="CX1200" i="70"/>
  <c r="CY1199" i="70"/>
  <c r="CX1199" i="70"/>
  <c r="CJ1198" i="70"/>
  <c r="CI1198" i="70"/>
  <c r="CH1198" i="70"/>
  <c r="CJ1197" i="70"/>
  <c r="CI1197" i="70"/>
  <c r="CH1197" i="70"/>
  <c r="CX1197" i="70" s="1"/>
  <c r="CJ1196" i="70"/>
  <c r="CI1196" i="70"/>
  <c r="CH1196" i="70"/>
  <c r="CJ1195" i="70"/>
  <c r="CI1195" i="70"/>
  <c r="CH1195" i="70"/>
  <c r="CX1195" i="70" s="1"/>
  <c r="CJ1194" i="70"/>
  <c r="CI1194" i="70"/>
  <c r="CH1194" i="70"/>
  <c r="CJ1193" i="70"/>
  <c r="CI1193" i="70"/>
  <c r="CH1193" i="70"/>
  <c r="CX1193" i="70" s="1"/>
  <c r="CJ1192" i="70"/>
  <c r="CI1192" i="70"/>
  <c r="CH1192" i="70"/>
  <c r="CJ1191" i="70"/>
  <c r="CI1191" i="70"/>
  <c r="CH1191" i="70"/>
  <c r="CX1191" i="70" s="1"/>
  <c r="CJ1190" i="70"/>
  <c r="CI1190" i="70"/>
  <c r="CH1190" i="70"/>
  <c r="CY1189" i="70"/>
  <c r="CX1189" i="70"/>
  <c r="CY1188" i="70"/>
  <c r="CX1188" i="70"/>
  <c r="CJ1187" i="70"/>
  <c r="CI1187" i="70"/>
  <c r="CH1187" i="70"/>
  <c r="CX1187" i="70" s="1"/>
  <c r="CJ1186" i="70"/>
  <c r="CI1186" i="70"/>
  <c r="CH1186" i="70"/>
  <c r="CJ1185" i="70"/>
  <c r="CI1185" i="70"/>
  <c r="CH1185" i="70"/>
  <c r="CX1185" i="70" s="1"/>
  <c r="CG1184" i="70"/>
  <c r="CF1184" i="70"/>
  <c r="CE1184" i="70"/>
  <c r="CD1184" i="70"/>
  <c r="CY1183" i="70"/>
  <c r="CX1183" i="70"/>
  <c r="CY1182" i="70"/>
  <c r="CX1182" i="70"/>
  <c r="CY1181" i="70"/>
  <c r="CX1181" i="70"/>
  <c r="CY1180" i="70"/>
  <c r="CX1180" i="70"/>
  <c r="CG1178" i="70"/>
  <c r="CY1178" i="70" s="1"/>
  <c r="CG1177" i="70"/>
  <c r="CX1177" i="70" s="1"/>
  <c r="CY1176" i="70"/>
  <c r="CX1176" i="70"/>
  <c r="CH1175" i="70"/>
  <c r="CG1175" i="70"/>
  <c r="CF1175" i="70"/>
  <c r="CE1175" i="70"/>
  <c r="CD1175" i="70"/>
  <c r="CH1174" i="70"/>
  <c r="CG1174" i="70"/>
  <c r="CF1174" i="70"/>
  <c r="CE1174" i="70"/>
  <c r="CD1174" i="70"/>
  <c r="CY1173" i="70"/>
  <c r="CX1173" i="70"/>
  <c r="CY1172" i="70"/>
  <c r="CX1172" i="70"/>
  <c r="CY1171" i="70"/>
  <c r="CX1171" i="70"/>
  <c r="CY1170" i="70"/>
  <c r="CX1170" i="70"/>
  <c r="CY1169" i="70"/>
  <c r="CX1169" i="70"/>
  <c r="CY1163" i="70"/>
  <c r="CX1163" i="70"/>
  <c r="CY1162" i="70"/>
  <c r="CX1162" i="70"/>
  <c r="CY1161" i="70"/>
  <c r="CX1161" i="70"/>
  <c r="CY1160" i="70"/>
  <c r="CX1160" i="70"/>
  <c r="CY1159" i="70"/>
  <c r="CX1159" i="70"/>
  <c r="CY1158" i="70"/>
  <c r="CX1158" i="70"/>
  <c r="CY1157" i="70"/>
  <c r="CX1157" i="70"/>
  <c r="CX1156" i="70"/>
  <c r="CY1155" i="70"/>
  <c r="CX1154" i="70"/>
  <c r="CG1151" i="70"/>
  <c r="CF1151" i="70"/>
  <c r="CE1151" i="70"/>
  <c r="CD1151" i="70"/>
  <c r="CG1150" i="70"/>
  <c r="CF1150" i="70"/>
  <c r="CE1150" i="70"/>
  <c r="CD1150" i="70"/>
  <c r="CG1149" i="70"/>
  <c r="CF1149" i="70"/>
  <c r="CE1149" i="70"/>
  <c r="CD1149" i="70"/>
  <c r="CG1148" i="70"/>
  <c r="CF1148" i="70"/>
  <c r="CE1148" i="70"/>
  <c r="CD1148" i="70"/>
  <c r="CG1146" i="70"/>
  <c r="CF1146" i="70"/>
  <c r="CE1146" i="70"/>
  <c r="CD1146" i="70"/>
  <c r="CG1145" i="70"/>
  <c r="CF1145" i="70"/>
  <c r="CE1145" i="70"/>
  <c r="CD1145" i="70"/>
  <c r="CG1144" i="70"/>
  <c r="CF1144" i="70"/>
  <c r="CE1144" i="70"/>
  <c r="CD1144" i="70"/>
  <c r="CG1143" i="70"/>
  <c r="CF1143" i="70"/>
  <c r="CE1143" i="70"/>
  <c r="CD1143" i="70"/>
  <c r="CG1142" i="70"/>
  <c r="CF1142" i="70"/>
  <c r="CE1142" i="70"/>
  <c r="CD1142" i="70"/>
  <c r="CG1141" i="70"/>
  <c r="CF1141" i="70"/>
  <c r="CE1141" i="70"/>
  <c r="CD1141" i="70"/>
  <c r="CG1140" i="70"/>
  <c r="CF1140" i="70"/>
  <c r="CE1140" i="70"/>
  <c r="CD1140" i="70"/>
  <c r="CG1139" i="70"/>
  <c r="CF1139" i="70"/>
  <c r="CE1139" i="70"/>
  <c r="CD1139" i="70"/>
  <c r="CG1136" i="70"/>
  <c r="CF1136" i="70"/>
  <c r="CE1136" i="70"/>
  <c r="CD1136" i="70"/>
  <c r="CE1135" i="70"/>
  <c r="CY1135" i="70" s="1"/>
  <c r="CE1134" i="70"/>
  <c r="CX1134" i="70" s="1"/>
  <c r="CG1133" i="70"/>
  <c r="CF1133" i="70"/>
  <c r="CE1133" i="70"/>
  <c r="CD1133" i="70"/>
  <c r="CG1132" i="70"/>
  <c r="CF1132" i="70"/>
  <c r="CE1132" i="70"/>
  <c r="CD1132" i="70"/>
  <c r="CG1131" i="70"/>
  <c r="CF1131" i="70"/>
  <c r="CE1131" i="70"/>
  <c r="CD1131" i="70"/>
  <c r="CG1130" i="70"/>
  <c r="CF1130" i="70"/>
  <c r="CE1130" i="70"/>
  <c r="CD1130" i="70"/>
  <c r="CG1129" i="70"/>
  <c r="CF1129" i="70"/>
  <c r="CE1129" i="70"/>
  <c r="CD1129" i="70"/>
  <c r="CG1128" i="70"/>
  <c r="CF1128" i="70"/>
  <c r="CE1128" i="70"/>
  <c r="CD1128" i="70"/>
  <c r="CG1127" i="70"/>
  <c r="CF1127" i="70"/>
  <c r="CE1127" i="70"/>
  <c r="CD1127" i="70"/>
  <c r="CG1126" i="70"/>
  <c r="CF1126" i="70"/>
  <c r="CE1126" i="70"/>
  <c r="CD1126" i="70"/>
  <c r="CG1125" i="70"/>
  <c r="CF1125" i="70"/>
  <c r="CE1125" i="70"/>
  <c r="CD1125" i="70"/>
  <c r="CG1124" i="70"/>
  <c r="CF1124" i="70"/>
  <c r="CE1124" i="70"/>
  <c r="CD1124" i="70"/>
  <c r="CG1123" i="70"/>
  <c r="CF1123" i="70"/>
  <c r="CE1123" i="70"/>
  <c r="CD1123" i="70"/>
  <c r="CG1121" i="70"/>
  <c r="CF1121" i="70"/>
  <c r="CE1121" i="70"/>
  <c r="CD1121" i="70"/>
  <c r="CG1120" i="70"/>
  <c r="CF1120" i="70"/>
  <c r="CE1120" i="70"/>
  <c r="CD1120" i="70"/>
  <c r="CG1118" i="70"/>
  <c r="CF1118" i="70"/>
  <c r="CE1118" i="70"/>
  <c r="CD1118" i="70"/>
  <c r="CG1117" i="70"/>
  <c r="CF1117" i="70"/>
  <c r="CE1117" i="70"/>
  <c r="CD1117" i="70"/>
  <c r="CG1116" i="70"/>
  <c r="CF1116" i="70"/>
  <c r="CE1116" i="70"/>
  <c r="CD1116" i="70"/>
  <c r="CG1115" i="70"/>
  <c r="CF1115" i="70"/>
  <c r="CE1115" i="70"/>
  <c r="CD1115" i="70"/>
  <c r="CF1114" i="70"/>
  <c r="CY1114" i="70" s="1"/>
  <c r="CF1113" i="70"/>
  <c r="CX1113" i="70" s="1"/>
  <c r="CF1112" i="70"/>
  <c r="CY1112" i="70" s="1"/>
  <c r="CF1111" i="70"/>
  <c r="CX1111" i="70" s="1"/>
  <c r="CF1110" i="70"/>
  <c r="CY1110" i="70" s="1"/>
  <c r="CG1109" i="70"/>
  <c r="CF1109" i="70"/>
  <c r="CE1109" i="70"/>
  <c r="CD1109" i="70"/>
  <c r="CG1107" i="70"/>
  <c r="CF1107" i="70"/>
  <c r="CE1107" i="70"/>
  <c r="CD1107" i="70"/>
  <c r="CG1106" i="70"/>
  <c r="CF1106" i="70"/>
  <c r="CE1106" i="70"/>
  <c r="CD1106" i="70"/>
  <c r="CG1105" i="70"/>
  <c r="CF1105" i="70"/>
  <c r="CE1105" i="70"/>
  <c r="CD1105" i="70"/>
  <c r="CG1104" i="70"/>
  <c r="CF1104" i="70"/>
  <c r="CE1104" i="70"/>
  <c r="CD1104" i="70"/>
  <c r="CG1103" i="70"/>
  <c r="CF1103" i="70"/>
  <c r="CE1103" i="70"/>
  <c r="CD1103" i="70"/>
  <c r="CG1102" i="70"/>
  <c r="CF1102" i="70"/>
  <c r="CE1102" i="70"/>
  <c r="CD1102" i="70"/>
  <c r="CG1101" i="70"/>
  <c r="CF1101" i="70"/>
  <c r="CE1101" i="70"/>
  <c r="CD1101" i="70"/>
  <c r="CG1100" i="70"/>
  <c r="CF1100" i="70"/>
  <c r="CE1100" i="70"/>
  <c r="CD1100" i="70"/>
  <c r="CG1099" i="70"/>
  <c r="CF1099" i="70"/>
  <c r="CE1099" i="70"/>
  <c r="CD1099" i="70"/>
  <c r="CG1098" i="70"/>
  <c r="CF1098" i="70"/>
  <c r="CE1098" i="70"/>
  <c r="CD1098" i="70"/>
  <c r="CG1097" i="70"/>
  <c r="CF1097" i="70"/>
  <c r="CE1097" i="70"/>
  <c r="CD1097" i="70"/>
  <c r="CG1096" i="70"/>
  <c r="CF1096" i="70"/>
  <c r="CE1096" i="70"/>
  <c r="CD1096" i="70"/>
  <c r="CG1095" i="70"/>
  <c r="CF1095" i="70"/>
  <c r="CE1095" i="70"/>
  <c r="CD1095" i="70"/>
  <c r="CG1094" i="70"/>
  <c r="CF1094" i="70"/>
  <c r="CE1094" i="70"/>
  <c r="CD1094" i="70"/>
  <c r="CG1093" i="70"/>
  <c r="CF1093" i="70"/>
  <c r="CE1093" i="70"/>
  <c r="CD1093" i="70"/>
  <c r="CG1092" i="70"/>
  <c r="CF1092" i="70"/>
  <c r="CE1092" i="70"/>
  <c r="CD1092" i="70"/>
  <c r="CG1091" i="70"/>
  <c r="CF1091" i="70"/>
  <c r="CE1091" i="70"/>
  <c r="CD1091" i="70"/>
  <c r="CG1089" i="70"/>
  <c r="CF1089" i="70"/>
  <c r="CE1089" i="70"/>
  <c r="CD1089" i="70"/>
  <c r="CG1086" i="70"/>
  <c r="CF1086" i="70"/>
  <c r="CE1086" i="70"/>
  <c r="CD1086" i="70"/>
  <c r="CG1084" i="70"/>
  <c r="CF1084" i="70"/>
  <c r="CE1084" i="70"/>
  <c r="CD1084" i="70"/>
  <c r="CG1083" i="70"/>
  <c r="CF1083" i="70"/>
  <c r="CE1083" i="70"/>
  <c r="CD1083" i="70"/>
  <c r="CG1082" i="70"/>
  <c r="CF1082" i="70"/>
  <c r="CE1082" i="70"/>
  <c r="CD1082" i="70"/>
  <c r="CG1081" i="70"/>
  <c r="CF1081" i="70"/>
  <c r="CE1081" i="70"/>
  <c r="CD1081" i="70"/>
  <c r="CG1079" i="70"/>
  <c r="CF1079" i="70"/>
  <c r="CE1079" i="70"/>
  <c r="CD1079" i="70"/>
  <c r="CG1078" i="70"/>
  <c r="CF1078" i="70"/>
  <c r="CE1078" i="70"/>
  <c r="CD1078" i="70"/>
  <c r="CG1077" i="70"/>
  <c r="CF1077" i="70"/>
  <c r="CE1077" i="70"/>
  <c r="CD1077" i="70"/>
  <c r="CG1076" i="70"/>
  <c r="CF1076" i="70"/>
  <c r="CE1076" i="70"/>
  <c r="CD1076" i="70"/>
  <c r="CG1075" i="70"/>
  <c r="CF1075" i="70"/>
  <c r="CE1075" i="70"/>
  <c r="CD1075" i="70"/>
  <c r="CG1074" i="70"/>
  <c r="CF1074" i="70"/>
  <c r="CE1074" i="70"/>
  <c r="CD1074" i="70"/>
  <c r="CG1073" i="70"/>
  <c r="CF1073" i="70"/>
  <c r="CE1073" i="70"/>
  <c r="CD1073" i="70"/>
  <c r="CG1072" i="70"/>
  <c r="CF1072" i="70"/>
  <c r="CE1072" i="70"/>
  <c r="CD1072" i="70"/>
  <c r="CG1070" i="70"/>
  <c r="CF1070" i="70"/>
  <c r="CE1070" i="70"/>
  <c r="CD1070" i="70"/>
  <c r="CG1068" i="70"/>
  <c r="CF1068" i="70"/>
  <c r="CE1068" i="70"/>
  <c r="CD1068" i="70"/>
  <c r="CG1067" i="70"/>
  <c r="CF1067" i="70"/>
  <c r="CE1067" i="70"/>
  <c r="CD1067" i="70"/>
  <c r="CG1066" i="70"/>
  <c r="CF1066" i="70"/>
  <c r="CE1066" i="70"/>
  <c r="CD1066" i="70"/>
  <c r="CG1065" i="70"/>
  <c r="CF1065" i="70"/>
  <c r="CE1065" i="70"/>
  <c r="CD1065" i="70"/>
  <c r="CG1064" i="70"/>
  <c r="CF1064" i="70"/>
  <c r="CE1064" i="70"/>
  <c r="CD1064" i="70"/>
  <c r="CG1061" i="70"/>
  <c r="CF1061" i="70"/>
  <c r="CE1061" i="70"/>
  <c r="CD1061" i="70"/>
  <c r="CG1060" i="70"/>
  <c r="CF1060" i="70"/>
  <c r="CE1060" i="70"/>
  <c r="CD1060" i="70"/>
  <c r="CG1059" i="70"/>
  <c r="CF1059" i="70"/>
  <c r="CE1059" i="70"/>
  <c r="CD1059" i="70"/>
  <c r="CG1058" i="70"/>
  <c r="CF1058" i="70"/>
  <c r="CE1058" i="70"/>
  <c r="CD1058" i="70"/>
  <c r="CG1057" i="70"/>
  <c r="CF1057" i="70"/>
  <c r="CE1057" i="70"/>
  <c r="CD1057" i="70"/>
  <c r="CG1056" i="70"/>
  <c r="CF1056" i="70"/>
  <c r="CE1056" i="70"/>
  <c r="CD1056" i="70"/>
  <c r="CG1055" i="70"/>
  <c r="CF1055" i="70"/>
  <c r="CE1055" i="70"/>
  <c r="CD1055" i="70"/>
  <c r="CG1054" i="70"/>
  <c r="CF1054" i="70"/>
  <c r="CE1054" i="70"/>
  <c r="CD1054" i="70"/>
  <c r="CG1053" i="70"/>
  <c r="CF1053" i="70"/>
  <c r="CE1053" i="70"/>
  <c r="CD1053" i="70"/>
  <c r="CE1052" i="70"/>
  <c r="CY1052" i="70" s="1"/>
  <c r="CE1051" i="70"/>
  <c r="CX1051" i="70" s="1"/>
  <c r="CG1049" i="70"/>
  <c r="CF1049" i="70"/>
  <c r="CE1049" i="70"/>
  <c r="CD1049" i="70"/>
  <c r="CG1048" i="70"/>
  <c r="CF1048" i="70"/>
  <c r="CE1048" i="70"/>
  <c r="CD1048" i="70"/>
  <c r="CG1045" i="70"/>
  <c r="CF1045" i="70"/>
  <c r="CE1045" i="70"/>
  <c r="CD1045" i="70"/>
  <c r="CG1043" i="70"/>
  <c r="CF1043" i="70"/>
  <c r="CE1043" i="70"/>
  <c r="CD1043" i="70"/>
  <c r="CG1042" i="70"/>
  <c r="CF1042" i="70"/>
  <c r="CE1042" i="70"/>
  <c r="CD1042" i="70"/>
  <c r="CG1041" i="70"/>
  <c r="CF1041" i="70"/>
  <c r="CE1041" i="70"/>
  <c r="CD1041" i="70"/>
  <c r="CG1040" i="70"/>
  <c r="CF1040" i="70"/>
  <c r="CE1040" i="70"/>
  <c r="CD1040" i="70"/>
  <c r="CG1039" i="70"/>
  <c r="CF1039" i="70"/>
  <c r="CE1039" i="70"/>
  <c r="CD1039" i="70"/>
  <c r="CG1038" i="70"/>
  <c r="CF1038" i="70"/>
  <c r="CE1038" i="70"/>
  <c r="CD1038" i="70"/>
  <c r="CG1035" i="70"/>
  <c r="CF1035" i="70"/>
  <c r="CE1035" i="70"/>
  <c r="CD1035" i="70"/>
  <c r="CG1034" i="70"/>
  <c r="CF1034" i="70"/>
  <c r="CE1034" i="70"/>
  <c r="CD1034" i="70"/>
  <c r="CG1032" i="70"/>
  <c r="CY1032" i="70" s="1"/>
  <c r="CG1031" i="70"/>
  <c r="CY1031" i="70" s="1"/>
  <c r="CG1030" i="70"/>
  <c r="CF1030" i="70"/>
  <c r="CE1030" i="70"/>
  <c r="CD1030" i="70"/>
  <c r="CG1029" i="70"/>
  <c r="CF1029" i="70"/>
  <c r="CE1029" i="70"/>
  <c r="CG1028" i="70"/>
  <c r="CF1028" i="70"/>
  <c r="CE1028" i="70"/>
  <c r="CD1028" i="70"/>
  <c r="CG1027" i="70"/>
  <c r="CF1027" i="70"/>
  <c r="CE1027" i="70"/>
  <c r="CD1027" i="70"/>
  <c r="CG1026" i="70"/>
  <c r="CF1026" i="70"/>
  <c r="CE1026" i="70"/>
  <c r="CD1026" i="70"/>
  <c r="CG1025" i="70"/>
  <c r="CF1025" i="70"/>
  <c r="CE1025" i="70"/>
  <c r="CD1025" i="70"/>
  <c r="CE1024" i="70"/>
  <c r="CY1024" i="70" s="1"/>
  <c r="CG1022" i="70"/>
  <c r="CF1022" i="70"/>
  <c r="CE1022" i="70"/>
  <c r="CD1022" i="70"/>
  <c r="CG1021" i="70"/>
  <c r="CF1021" i="70"/>
  <c r="CE1021" i="70"/>
  <c r="CD1021" i="70"/>
  <c r="CG1020" i="70"/>
  <c r="CF1020" i="70"/>
  <c r="CE1020" i="70"/>
  <c r="CD1020" i="70"/>
  <c r="CG1019" i="70"/>
  <c r="CF1019" i="70"/>
  <c r="CE1019" i="70"/>
  <c r="CD1019" i="70"/>
  <c r="CG1018" i="70"/>
  <c r="CF1018" i="70"/>
  <c r="CE1018" i="70"/>
  <c r="CD1018" i="70"/>
  <c r="CG1017" i="70"/>
  <c r="CF1017" i="70"/>
  <c r="CE1017" i="70"/>
  <c r="CD1017" i="70"/>
  <c r="CG1016" i="70"/>
  <c r="CF1016" i="70"/>
  <c r="CE1016" i="70"/>
  <c r="CD1016" i="70"/>
  <c r="CG1015" i="70"/>
  <c r="CF1015" i="70"/>
  <c r="CE1015" i="70"/>
  <c r="CD1015" i="70"/>
  <c r="CG1014" i="70"/>
  <c r="CF1014" i="70"/>
  <c r="CE1014" i="70"/>
  <c r="CD1014" i="70"/>
  <c r="CG1013" i="70"/>
  <c r="CF1013" i="70"/>
  <c r="CE1013" i="70"/>
  <c r="CD1013" i="70"/>
  <c r="CG1012" i="70"/>
  <c r="CF1012" i="70"/>
  <c r="CE1012" i="70"/>
  <c r="CD1012" i="70"/>
  <c r="CG1011" i="70"/>
  <c r="CF1011" i="70"/>
  <c r="CE1011" i="70"/>
  <c r="CD1011" i="70"/>
  <c r="CG1010" i="70"/>
  <c r="CF1010" i="70"/>
  <c r="CE1010" i="70"/>
  <c r="CD1010" i="70"/>
  <c r="CG1009" i="70"/>
  <c r="CF1009" i="70"/>
  <c r="CE1009" i="70"/>
  <c r="CD1009" i="70"/>
  <c r="CE1008" i="70"/>
  <c r="CY1008" i="70" s="1"/>
  <c r="CE1007" i="70"/>
  <c r="CE1006" i="70"/>
  <c r="CY1006" i="70" s="1"/>
  <c r="CE1005" i="70"/>
  <c r="CY1005" i="70" s="1"/>
  <c r="CG1004" i="70"/>
  <c r="CF1004" i="70"/>
  <c r="CE1004" i="70"/>
  <c r="CD1004" i="70"/>
  <c r="CG1003" i="70"/>
  <c r="CF1003" i="70"/>
  <c r="CE1003" i="70"/>
  <c r="CD1003" i="70"/>
  <c r="CG1002" i="70"/>
  <c r="CF1002" i="70"/>
  <c r="CE1002" i="70"/>
  <c r="CD1002" i="70"/>
  <c r="CG1001" i="70"/>
  <c r="CF1001" i="70"/>
  <c r="CE1001" i="70"/>
  <c r="CD1001" i="70"/>
  <c r="CG1000" i="70"/>
  <c r="CF1000" i="70"/>
  <c r="CE1000" i="70"/>
  <c r="CD1000" i="70"/>
  <c r="CG999" i="70"/>
  <c r="CF999" i="70"/>
  <c r="CE999" i="70"/>
  <c r="CD999" i="70"/>
  <c r="CG998" i="70"/>
  <c r="CF998" i="70"/>
  <c r="CE998" i="70"/>
  <c r="CD998" i="70"/>
  <c r="CG996" i="70"/>
  <c r="CF996" i="70"/>
  <c r="CE996" i="70"/>
  <c r="CD996" i="70"/>
  <c r="CG995" i="70"/>
  <c r="CF995" i="70"/>
  <c r="CE995" i="70"/>
  <c r="CD995" i="70"/>
  <c r="CG994" i="70"/>
  <c r="CF994" i="70"/>
  <c r="CE994" i="70"/>
  <c r="CD994" i="70"/>
  <c r="CG993" i="70"/>
  <c r="CF993" i="70"/>
  <c r="CE993" i="70"/>
  <c r="CD993" i="70"/>
  <c r="CG992" i="70"/>
  <c r="CF992" i="70"/>
  <c r="CE992" i="70"/>
  <c r="CD992" i="70"/>
  <c r="CG991" i="70"/>
  <c r="CF991" i="70"/>
  <c r="CE991" i="70"/>
  <c r="CD991" i="70"/>
  <c r="CG990" i="70"/>
  <c r="CF990" i="70"/>
  <c r="CE990" i="70"/>
  <c r="CD990" i="70"/>
  <c r="CG989" i="70"/>
  <c r="CF989" i="70"/>
  <c r="CE989" i="70"/>
  <c r="CD989" i="70"/>
  <c r="CG985" i="70"/>
  <c r="CF985" i="70"/>
  <c r="CE985" i="70"/>
  <c r="CD985" i="70"/>
  <c r="CG983" i="70"/>
  <c r="CF983" i="70"/>
  <c r="CE983" i="70"/>
  <c r="CD983" i="70"/>
  <c r="CG982" i="70"/>
  <c r="CF982" i="70"/>
  <c r="CE982" i="70"/>
  <c r="CD982" i="70"/>
  <c r="CG980" i="70"/>
  <c r="CF980" i="70"/>
  <c r="CE980" i="70"/>
  <c r="CD980" i="70"/>
  <c r="CM979" i="70"/>
  <c r="CL979" i="70"/>
  <c r="CK979" i="70"/>
  <c r="CJ979" i="70"/>
  <c r="CI979" i="70"/>
  <c r="CH979" i="70"/>
  <c r="CG979" i="70"/>
  <c r="CF979" i="70"/>
  <c r="CE979" i="70"/>
  <c r="CD979" i="70"/>
  <c r="CM978" i="70"/>
  <c r="CL978" i="70"/>
  <c r="CK978" i="70"/>
  <c r="CJ978" i="70"/>
  <c r="CI978" i="70"/>
  <c r="CH978" i="70"/>
  <c r="CG978" i="70"/>
  <c r="CF978" i="70"/>
  <c r="CE978" i="70"/>
  <c r="CD978" i="70"/>
  <c r="CG975" i="70"/>
  <c r="CF975" i="70"/>
  <c r="CE975" i="70"/>
  <c r="CD975" i="70"/>
  <c r="CG974" i="70"/>
  <c r="CF974" i="70"/>
  <c r="CE974" i="70"/>
  <c r="CD974" i="70"/>
  <c r="CG973" i="70"/>
  <c r="CF973" i="70"/>
  <c r="CE973" i="70"/>
  <c r="CD973" i="70"/>
  <c r="CG972" i="70"/>
  <c r="CF972" i="70"/>
  <c r="CE972" i="70"/>
  <c r="CD972" i="70"/>
  <c r="CG970" i="70"/>
  <c r="CF970" i="70"/>
  <c r="CE970" i="70"/>
  <c r="CD970" i="70"/>
  <c r="CG969" i="70"/>
  <c r="CF969" i="70"/>
  <c r="CE969" i="70"/>
  <c r="CD969" i="70"/>
  <c r="CG968" i="70"/>
  <c r="CF968" i="70"/>
  <c r="CE968" i="70"/>
  <c r="CD968" i="70"/>
  <c r="CG966" i="70"/>
  <c r="CF966" i="70"/>
  <c r="CE966" i="70"/>
  <c r="CD966" i="70"/>
  <c r="CG965" i="70"/>
  <c r="CF965" i="70"/>
  <c r="CE965" i="70"/>
  <c r="CD965" i="70"/>
  <c r="CG963" i="70"/>
  <c r="CF963" i="70"/>
  <c r="CE963" i="70"/>
  <c r="CD963" i="70"/>
  <c r="CG959" i="70"/>
  <c r="CF959" i="70"/>
  <c r="CE959" i="70"/>
  <c r="CD959" i="70"/>
  <c r="CG958" i="70"/>
  <c r="CF958" i="70"/>
  <c r="CE958" i="70"/>
  <c r="CD958" i="70"/>
  <c r="CX957" i="70"/>
  <c r="CK957" i="70"/>
  <c r="CJ957" i="70"/>
  <c r="CI957" i="70"/>
  <c r="CX956" i="70"/>
  <c r="CK956" i="70"/>
  <c r="CJ956" i="70"/>
  <c r="CI956" i="70"/>
  <c r="CG954" i="70"/>
  <c r="CF954" i="70"/>
  <c r="CE954" i="70"/>
  <c r="CD954" i="70"/>
  <c r="CG953" i="70"/>
  <c r="CF953" i="70"/>
  <c r="CE953" i="70"/>
  <c r="CD953" i="70"/>
  <c r="CX952" i="70"/>
  <c r="CM952" i="70"/>
  <c r="CL952" i="70"/>
  <c r="CK952" i="70"/>
  <c r="CJ952" i="70"/>
  <c r="CI952" i="70"/>
  <c r="CX951" i="70"/>
  <c r="CM951" i="70"/>
  <c r="CL951" i="70"/>
  <c r="CK951" i="70"/>
  <c r="CJ951" i="70"/>
  <c r="CI951" i="70"/>
  <c r="CG947" i="70"/>
  <c r="CF947" i="70"/>
  <c r="CE947" i="70"/>
  <c r="CD947" i="70"/>
  <c r="CG946" i="70"/>
  <c r="CF946" i="70"/>
  <c r="CE946" i="70"/>
  <c r="CD946" i="70"/>
  <c r="CG945" i="70"/>
  <c r="CF945" i="70"/>
  <c r="CE945" i="70"/>
  <c r="CD945" i="70"/>
  <c r="CG944" i="70"/>
  <c r="CF944" i="70"/>
  <c r="CE944" i="70"/>
  <c r="CD944" i="70"/>
  <c r="CG943" i="70"/>
  <c r="CF943" i="70"/>
  <c r="CE943" i="70"/>
  <c r="CD943" i="70"/>
  <c r="CG942" i="70"/>
  <c r="CF942" i="70"/>
  <c r="CE942" i="70"/>
  <c r="CD942" i="70"/>
  <c r="CG941" i="70"/>
  <c r="CF941" i="70"/>
  <c r="CE941" i="70"/>
  <c r="CD941" i="70"/>
  <c r="CG940" i="70"/>
  <c r="CF940" i="70"/>
  <c r="CE940" i="70"/>
  <c r="CD940" i="70"/>
  <c r="CG939" i="70"/>
  <c r="CF939" i="70"/>
  <c r="CE939" i="70"/>
  <c r="CD939" i="70"/>
  <c r="CG938" i="70"/>
  <c r="CF938" i="70"/>
  <c r="CE938" i="70"/>
  <c r="CD938" i="70"/>
  <c r="CG937" i="70"/>
  <c r="CF937" i="70"/>
  <c r="CE937" i="70"/>
  <c r="CD937" i="70"/>
  <c r="CG935" i="70"/>
  <c r="CF935" i="70"/>
  <c r="CE935" i="70"/>
  <c r="CD935" i="70"/>
  <c r="CH934" i="70"/>
  <c r="CY934" i="70" s="1"/>
  <c r="CH933" i="70"/>
  <c r="CX933" i="70" s="1"/>
  <c r="CH932" i="70"/>
  <c r="CY932" i="70" s="1"/>
  <c r="CH931" i="70"/>
  <c r="CX931" i="70" s="1"/>
  <c r="CH930" i="70"/>
  <c r="CY930" i="70" s="1"/>
  <c r="CH929" i="70"/>
  <c r="CX929" i="70" s="1"/>
  <c r="CG928" i="70"/>
  <c r="CF928" i="70"/>
  <c r="CE928" i="70"/>
  <c r="CD928" i="70"/>
  <c r="CG927" i="70"/>
  <c r="CF927" i="70"/>
  <c r="CE927" i="70"/>
  <c r="CD927" i="70"/>
  <c r="CG926" i="70"/>
  <c r="CF926" i="70"/>
  <c r="CE926" i="70"/>
  <c r="CD926" i="70"/>
  <c r="CG923" i="70"/>
  <c r="CF923" i="70"/>
  <c r="CE923" i="70"/>
  <c r="CD923" i="70"/>
  <c r="CG922" i="70"/>
  <c r="CF922" i="70"/>
  <c r="CE922" i="70"/>
  <c r="CD922" i="70"/>
  <c r="CG921" i="70"/>
  <c r="CF921" i="70"/>
  <c r="CE921" i="70"/>
  <c r="CD921" i="70"/>
  <c r="CG920" i="70"/>
  <c r="CF920" i="70"/>
  <c r="CE920" i="70"/>
  <c r="CD920" i="70"/>
  <c r="CG919" i="70"/>
  <c r="CF919" i="70"/>
  <c r="CE919" i="70"/>
  <c r="CD919" i="70"/>
  <c r="CG918" i="70"/>
  <c r="CF918" i="70"/>
  <c r="CE918" i="70"/>
  <c r="CD918" i="70"/>
  <c r="CG917" i="70"/>
  <c r="CF917" i="70"/>
  <c r="CE917" i="70"/>
  <c r="CD917" i="70"/>
  <c r="CG916" i="70"/>
  <c r="CF916" i="70"/>
  <c r="CE916" i="70"/>
  <c r="CD916" i="70"/>
  <c r="CG913" i="70"/>
  <c r="CF913" i="70"/>
  <c r="CE913" i="70"/>
  <c r="CD913" i="70"/>
  <c r="CG912" i="70"/>
  <c r="CF912" i="70"/>
  <c r="CE912" i="70"/>
  <c r="CD912" i="70"/>
  <c r="CG911" i="70"/>
  <c r="CF911" i="70"/>
  <c r="CE911" i="70"/>
  <c r="CD911" i="70"/>
  <c r="CG910" i="70"/>
  <c r="CF910" i="70"/>
  <c r="CE910" i="70"/>
  <c r="CD910" i="70"/>
  <c r="CG909" i="70"/>
  <c r="CF909" i="70"/>
  <c r="CE909" i="70"/>
  <c r="CD909" i="70"/>
  <c r="CG908" i="70"/>
  <c r="CF908" i="70"/>
  <c r="CE908" i="70"/>
  <c r="CD908" i="70"/>
  <c r="CG907" i="70"/>
  <c r="CF907" i="70"/>
  <c r="CE907" i="70"/>
  <c r="CD907" i="70"/>
  <c r="CG904" i="70"/>
  <c r="CF904" i="70"/>
  <c r="CE904" i="70"/>
  <c r="CD904" i="70"/>
  <c r="CG903" i="70"/>
  <c r="CF903" i="70"/>
  <c r="CE903" i="70"/>
  <c r="CD903" i="70"/>
  <c r="CG902" i="70"/>
  <c r="CF902" i="70"/>
  <c r="CE902" i="70"/>
  <c r="CD902" i="70"/>
  <c r="CG901" i="70"/>
  <c r="CF901" i="70"/>
  <c r="CE901" i="70"/>
  <c r="CD901" i="70"/>
  <c r="CG897" i="70"/>
  <c r="CF897" i="70"/>
  <c r="CE897" i="70"/>
  <c r="CD897" i="70"/>
  <c r="CG896" i="70"/>
  <c r="CF896" i="70"/>
  <c r="CE896" i="70"/>
  <c r="CD896" i="70"/>
  <c r="CG895" i="70"/>
  <c r="CF895" i="70"/>
  <c r="CE895" i="70"/>
  <c r="CD895" i="70"/>
  <c r="CG894" i="70"/>
  <c r="CF894" i="70"/>
  <c r="CE894" i="70"/>
  <c r="CD894" i="70"/>
  <c r="CG893" i="70"/>
  <c r="CF893" i="70"/>
  <c r="CE893" i="70"/>
  <c r="CD893" i="70"/>
  <c r="CG892" i="70"/>
  <c r="CF892" i="70"/>
  <c r="CE892" i="70"/>
  <c r="CD892" i="70"/>
  <c r="CG891" i="70"/>
  <c r="CF891" i="70"/>
  <c r="CE891" i="70"/>
  <c r="CD891" i="70"/>
  <c r="CG890" i="70"/>
  <c r="CF890" i="70"/>
  <c r="CE890" i="70"/>
  <c r="CD890" i="70"/>
  <c r="CG889" i="70"/>
  <c r="CF889" i="70"/>
  <c r="CE889" i="70"/>
  <c r="CD889" i="70"/>
  <c r="CG888" i="70"/>
  <c r="CF888" i="70"/>
  <c r="CE888" i="70"/>
  <c r="CD888" i="70"/>
  <c r="CG887" i="70"/>
  <c r="CF887" i="70"/>
  <c r="CE887" i="70"/>
  <c r="CD887" i="70"/>
  <c r="CG886" i="70"/>
  <c r="CF886" i="70"/>
  <c r="CE886" i="70"/>
  <c r="CD886" i="70"/>
  <c r="CG885" i="70"/>
  <c r="CF885" i="70"/>
  <c r="CE885" i="70"/>
  <c r="CD885" i="70"/>
  <c r="CG884" i="70"/>
  <c r="CF884" i="70"/>
  <c r="CE884" i="70"/>
  <c r="CD884" i="70"/>
  <c r="CG880" i="70"/>
  <c r="CF880" i="70"/>
  <c r="CE880" i="70"/>
  <c r="CD880" i="70"/>
  <c r="CG879" i="70"/>
  <c r="CF879" i="70"/>
  <c r="CE879" i="70"/>
  <c r="CD879" i="70"/>
  <c r="CG878" i="70"/>
  <c r="CF878" i="70"/>
  <c r="CE878" i="70"/>
  <c r="CD878" i="70"/>
  <c r="CG877" i="70"/>
  <c r="CF877" i="70"/>
  <c r="CE877" i="70"/>
  <c r="CD877" i="70"/>
  <c r="CG876" i="70"/>
  <c r="CF876" i="70"/>
  <c r="CE876" i="70"/>
  <c r="CD876" i="70"/>
  <c r="CG875" i="70"/>
  <c r="CF875" i="70"/>
  <c r="CE875" i="70"/>
  <c r="CD875" i="70"/>
  <c r="CG874" i="70"/>
  <c r="CF874" i="70"/>
  <c r="CE874" i="70"/>
  <c r="CD874" i="70"/>
  <c r="CG873" i="70"/>
  <c r="CF873" i="70"/>
  <c r="CE873" i="70"/>
  <c r="CD873" i="70"/>
  <c r="CG871" i="70"/>
  <c r="CF871" i="70"/>
  <c r="CE871" i="70"/>
  <c r="CD871" i="70"/>
  <c r="CG870" i="70"/>
  <c r="CF870" i="70"/>
  <c r="CE870" i="70"/>
  <c r="CD870" i="70"/>
  <c r="CG869" i="70"/>
  <c r="CF869" i="70"/>
  <c r="CE869" i="70"/>
  <c r="CD869" i="70"/>
  <c r="CG868" i="70"/>
  <c r="CF868" i="70"/>
  <c r="CE868" i="70"/>
  <c r="CD868" i="70"/>
  <c r="CG867" i="70"/>
  <c r="CF867" i="70"/>
  <c r="CE867" i="70"/>
  <c r="CD867" i="70"/>
  <c r="CG866" i="70"/>
  <c r="CF866" i="70"/>
  <c r="CE866" i="70"/>
  <c r="CD866" i="70"/>
  <c r="CX865" i="70"/>
  <c r="CK865" i="70"/>
  <c r="CJ865" i="70"/>
  <c r="CI865" i="70"/>
  <c r="CX864" i="70"/>
  <c r="CK864" i="70"/>
  <c r="CJ864" i="70"/>
  <c r="CI864" i="70"/>
  <c r="CG861" i="70"/>
  <c r="CF861" i="70"/>
  <c r="CE861" i="70"/>
  <c r="CD861" i="70"/>
  <c r="CG860" i="70"/>
  <c r="CF860" i="70"/>
  <c r="CE860" i="70"/>
  <c r="CD860" i="70"/>
  <c r="CG859" i="70"/>
  <c r="CF859" i="70"/>
  <c r="CE859" i="70"/>
  <c r="CD859" i="70"/>
  <c r="CG858" i="70"/>
  <c r="CF858" i="70"/>
  <c r="CE858" i="70"/>
  <c r="CD858" i="70"/>
  <c r="CG856" i="70"/>
  <c r="CF856" i="70"/>
  <c r="CE856" i="70"/>
  <c r="CD856" i="70"/>
  <c r="CG855" i="70"/>
  <c r="CF855" i="70"/>
  <c r="CE855" i="70"/>
  <c r="CD855" i="70"/>
  <c r="CG854" i="70"/>
  <c r="CF854" i="70"/>
  <c r="CE854" i="70"/>
  <c r="CD854" i="70"/>
  <c r="CG853" i="70"/>
  <c r="CF853" i="70"/>
  <c r="CE853" i="70"/>
  <c r="CD853" i="70"/>
  <c r="CG852" i="70"/>
  <c r="CF852" i="70"/>
  <c r="CE852" i="70"/>
  <c r="CD852" i="70"/>
  <c r="CG851" i="70"/>
  <c r="CF851" i="70"/>
  <c r="CE851" i="70"/>
  <c r="CD851" i="70"/>
  <c r="CG850" i="70"/>
  <c r="CF850" i="70"/>
  <c r="CE850" i="70"/>
  <c r="CD850" i="70"/>
  <c r="CG849" i="70"/>
  <c r="CF849" i="70"/>
  <c r="CE849" i="70"/>
  <c r="CD849" i="70"/>
  <c r="CG848" i="70"/>
  <c r="CF848" i="70"/>
  <c r="CE848" i="70"/>
  <c r="CD848" i="70"/>
  <c r="CG847" i="70"/>
  <c r="CF847" i="70"/>
  <c r="CE847" i="70"/>
  <c r="CD847" i="70"/>
  <c r="CG846" i="70"/>
  <c r="CF846" i="70"/>
  <c r="CE846" i="70"/>
  <c r="CD846" i="70"/>
  <c r="CG845" i="70"/>
  <c r="CF845" i="70"/>
  <c r="CE845" i="70"/>
  <c r="CD845" i="70"/>
  <c r="CG844" i="70"/>
  <c r="CF844" i="70"/>
  <c r="CE844" i="70"/>
  <c r="CD844" i="70"/>
  <c r="CG843" i="70"/>
  <c r="CF843" i="70"/>
  <c r="CE843" i="70"/>
  <c r="CD843" i="70"/>
  <c r="CG842" i="70"/>
  <c r="CF842" i="70"/>
  <c r="CE842" i="70"/>
  <c r="CD842" i="70"/>
  <c r="CG840" i="70"/>
  <c r="CF840" i="70"/>
  <c r="CE840" i="70"/>
  <c r="CD840" i="70"/>
  <c r="CG839" i="70"/>
  <c r="CF839" i="70"/>
  <c r="CE839" i="70"/>
  <c r="CD839" i="70"/>
  <c r="CG836" i="70"/>
  <c r="CF836" i="70"/>
  <c r="CE836" i="70"/>
  <c r="CD836" i="70"/>
  <c r="CG835" i="70"/>
  <c r="CF835" i="70"/>
  <c r="CE835" i="70"/>
  <c r="CD835" i="70"/>
  <c r="CG833" i="70"/>
  <c r="CF833" i="70"/>
  <c r="CE833" i="70"/>
  <c r="CD833" i="70"/>
  <c r="CG832" i="70"/>
  <c r="CF832" i="70"/>
  <c r="CE832" i="70"/>
  <c r="CD832" i="70"/>
  <c r="CG828" i="70"/>
  <c r="CF828" i="70"/>
  <c r="CE828" i="70"/>
  <c r="CD828" i="70"/>
  <c r="CG827" i="70"/>
  <c r="CF827" i="70"/>
  <c r="CE827" i="70"/>
  <c r="CD827" i="70"/>
  <c r="CX825" i="70"/>
  <c r="CK825" i="70"/>
  <c r="CJ825" i="70"/>
  <c r="CI825" i="70"/>
  <c r="CG824" i="70"/>
  <c r="CF824" i="70"/>
  <c r="CE824" i="70"/>
  <c r="CD824" i="70"/>
  <c r="CG823" i="70"/>
  <c r="CF823" i="70"/>
  <c r="CE823" i="70"/>
  <c r="CD823" i="70"/>
  <c r="CG822" i="70"/>
  <c r="CF822" i="70"/>
  <c r="CE822" i="70"/>
  <c r="CD822" i="70"/>
  <c r="CG821" i="70"/>
  <c r="CF821" i="70"/>
  <c r="CE821" i="70"/>
  <c r="CD821" i="70"/>
  <c r="CG820" i="70"/>
  <c r="CF820" i="70"/>
  <c r="CE820" i="70"/>
  <c r="CD820" i="70"/>
  <c r="CG819" i="70"/>
  <c r="CF819" i="70"/>
  <c r="CE819" i="70"/>
  <c r="CD819" i="70"/>
  <c r="CG818" i="70"/>
  <c r="CF818" i="70"/>
  <c r="CE818" i="70"/>
  <c r="CD818" i="70"/>
  <c r="CG817" i="70"/>
  <c r="CF817" i="70"/>
  <c r="CE817" i="70"/>
  <c r="CD817" i="70"/>
  <c r="CG816" i="70"/>
  <c r="CF816" i="70"/>
  <c r="CE816" i="70"/>
  <c r="CD816" i="70"/>
  <c r="CG815" i="70"/>
  <c r="CF815" i="70"/>
  <c r="CE815" i="70"/>
  <c r="CD815" i="70"/>
  <c r="CG814" i="70"/>
  <c r="CF814" i="70"/>
  <c r="CE814" i="70"/>
  <c r="CD814" i="70"/>
  <c r="CG813" i="70"/>
  <c r="CF813" i="70"/>
  <c r="CE813" i="70"/>
  <c r="CD813" i="70"/>
  <c r="CG811" i="70"/>
  <c r="CF811" i="70"/>
  <c r="CE811" i="70"/>
  <c r="CD811" i="70"/>
  <c r="CG810" i="70"/>
  <c r="CF810" i="70"/>
  <c r="CE810" i="70"/>
  <c r="CD810" i="70"/>
  <c r="CG809" i="70"/>
  <c r="CF809" i="70"/>
  <c r="CE809" i="70"/>
  <c r="CD809" i="70"/>
  <c r="CG805" i="70"/>
  <c r="CF805" i="70"/>
  <c r="CE805" i="70"/>
  <c r="CD805" i="70"/>
  <c r="CE804" i="70"/>
  <c r="CX804" i="70" s="1"/>
  <c r="CE803" i="70"/>
  <c r="CY803" i="70" s="1"/>
  <c r="CG802" i="70"/>
  <c r="CF802" i="70"/>
  <c r="CE802" i="70"/>
  <c r="CD802" i="70"/>
  <c r="CG801" i="70"/>
  <c r="CF801" i="70"/>
  <c r="CE801" i="70"/>
  <c r="CD801" i="70"/>
  <c r="CE800" i="70"/>
  <c r="CX800" i="70" s="1"/>
  <c r="CE799" i="70"/>
  <c r="CY799" i="70" s="1"/>
  <c r="CE798" i="70"/>
  <c r="CX798" i="70" s="1"/>
  <c r="CG797" i="70"/>
  <c r="CF797" i="70"/>
  <c r="CE797" i="70"/>
  <c r="CD797" i="70"/>
  <c r="CG796" i="70"/>
  <c r="CF796" i="70"/>
  <c r="CE796" i="70"/>
  <c r="CD796" i="70"/>
  <c r="CG795" i="70"/>
  <c r="CF795" i="70"/>
  <c r="CE795" i="70"/>
  <c r="CD795" i="70"/>
  <c r="CG794" i="70"/>
  <c r="CF794" i="70"/>
  <c r="CE794" i="70"/>
  <c r="CD794" i="70"/>
  <c r="CG791" i="70"/>
  <c r="CF791" i="70"/>
  <c r="CE791" i="70"/>
  <c r="CD791" i="70"/>
  <c r="CG790" i="70"/>
  <c r="CF790" i="70"/>
  <c r="CE790" i="70"/>
  <c r="CD790" i="70"/>
  <c r="CG789" i="70"/>
  <c r="CF789" i="70"/>
  <c r="CE789" i="70"/>
  <c r="CD789" i="70"/>
  <c r="CG788" i="70"/>
  <c r="CF788" i="70"/>
  <c r="CE788" i="70"/>
  <c r="CD788" i="70"/>
  <c r="CG787" i="70"/>
  <c r="CF787" i="70"/>
  <c r="CE787" i="70"/>
  <c r="CD787" i="70"/>
  <c r="CG786" i="70"/>
  <c r="CF786" i="70"/>
  <c r="CE786" i="70"/>
  <c r="CD786" i="70"/>
  <c r="CG782" i="70"/>
  <c r="CF782" i="70"/>
  <c r="CE782" i="70"/>
  <c r="CD782" i="70"/>
  <c r="CG781" i="70"/>
  <c r="CF781" i="70"/>
  <c r="CE781" i="70"/>
  <c r="CD781" i="70"/>
  <c r="CG779" i="70"/>
  <c r="CF779" i="70"/>
  <c r="CE779" i="70"/>
  <c r="CD779" i="70"/>
  <c r="CG776" i="70"/>
  <c r="CF776" i="70"/>
  <c r="CE776" i="70"/>
  <c r="CG775" i="70"/>
  <c r="CF775" i="70"/>
  <c r="CE775" i="70"/>
  <c r="CG774" i="70"/>
  <c r="CF774" i="70"/>
  <c r="CE774" i="70"/>
  <c r="CG770" i="70"/>
  <c r="CF770" i="70"/>
  <c r="CE770" i="70"/>
  <c r="CD770" i="70"/>
  <c r="CG767" i="70"/>
  <c r="CF767" i="70"/>
  <c r="CE767" i="70"/>
  <c r="CD767" i="70"/>
  <c r="CG766" i="70"/>
  <c r="CF766" i="70"/>
  <c r="CE766" i="70"/>
  <c r="CD766" i="70"/>
  <c r="CG763" i="70"/>
  <c r="CF763" i="70"/>
  <c r="CE763" i="70"/>
  <c r="CD763" i="70"/>
  <c r="CG762" i="70"/>
  <c r="CF762" i="70"/>
  <c r="CE762" i="70"/>
  <c r="CD762" i="70"/>
  <c r="CG761" i="70"/>
  <c r="CF761" i="70"/>
  <c r="CE761" i="70"/>
  <c r="CD761" i="70"/>
  <c r="CD760" i="70"/>
  <c r="CY760" i="70" s="1"/>
  <c r="CD759" i="70"/>
  <c r="CX759" i="70" s="1"/>
  <c r="CG750" i="70"/>
  <c r="CF750" i="70"/>
  <c r="CE750" i="70"/>
  <c r="CD750" i="70"/>
  <c r="CG749" i="70"/>
  <c r="CF749" i="70"/>
  <c r="CE749" i="70"/>
  <c r="CD749" i="70"/>
  <c r="CG748" i="70"/>
  <c r="CF748" i="70"/>
  <c r="CE748" i="70"/>
  <c r="CD748" i="70"/>
  <c r="CG743" i="70"/>
  <c r="CF743" i="70"/>
  <c r="CE743" i="70"/>
  <c r="CD743" i="70"/>
  <c r="CG739" i="70"/>
  <c r="CF739" i="70"/>
  <c r="CE739" i="70"/>
  <c r="CD739" i="70"/>
  <c r="CG737" i="70"/>
  <c r="CF737" i="70"/>
  <c r="CE737" i="70"/>
  <c r="CD737" i="70"/>
  <c r="CG736" i="70"/>
  <c r="CF736" i="70"/>
  <c r="CE736" i="70"/>
  <c r="CD736" i="70"/>
  <c r="CG734" i="70"/>
  <c r="CF734" i="70"/>
  <c r="CE734" i="70"/>
  <c r="CD734" i="70"/>
  <c r="CG733" i="70"/>
  <c r="CF733" i="70"/>
  <c r="CE733" i="70"/>
  <c r="CD733" i="70"/>
  <c r="CG732" i="70"/>
  <c r="CF732" i="70"/>
  <c r="CE732" i="70"/>
  <c r="CD732" i="70"/>
  <c r="CG731" i="70"/>
  <c r="CF731" i="70"/>
  <c r="CE731" i="70"/>
  <c r="CD731" i="70"/>
  <c r="CG730" i="70"/>
  <c r="CF730" i="70"/>
  <c r="CE730" i="70"/>
  <c r="CD730" i="70"/>
  <c r="CG729" i="70"/>
  <c r="CF729" i="70"/>
  <c r="CE729" i="70"/>
  <c r="CD729" i="70"/>
  <c r="CG728" i="70"/>
  <c r="CF728" i="70"/>
  <c r="CE728" i="70"/>
  <c r="CD728" i="70"/>
  <c r="CG727" i="70"/>
  <c r="CF727" i="70"/>
  <c r="CE727" i="70"/>
  <c r="CD727" i="70"/>
  <c r="CG726" i="70"/>
  <c r="CF726" i="70"/>
  <c r="CE726" i="70"/>
  <c r="CD726" i="70"/>
  <c r="CG725" i="70"/>
  <c r="CF725" i="70"/>
  <c r="CE725" i="70"/>
  <c r="CD725" i="70"/>
  <c r="CG724" i="70"/>
  <c r="CF724" i="70"/>
  <c r="CE724" i="70"/>
  <c r="CD724" i="70"/>
  <c r="CG723" i="70"/>
  <c r="CF723" i="70"/>
  <c r="CE723" i="70"/>
  <c r="CD723" i="70"/>
  <c r="CG722" i="70"/>
  <c r="CF722" i="70"/>
  <c r="CE722" i="70"/>
  <c r="CD722" i="70"/>
  <c r="CG721" i="70"/>
  <c r="CF721" i="70"/>
  <c r="CE721" i="70"/>
  <c r="CD721" i="70"/>
  <c r="CG720" i="70"/>
  <c r="CF720" i="70"/>
  <c r="CE720" i="70"/>
  <c r="CD720" i="70"/>
  <c r="CG719" i="70"/>
  <c r="CF719" i="70"/>
  <c r="CE719" i="70"/>
  <c r="CD719" i="70"/>
  <c r="CG718" i="70"/>
  <c r="CF718" i="70"/>
  <c r="CE718" i="70"/>
  <c r="CD718" i="70"/>
  <c r="CG716" i="70"/>
  <c r="CF716" i="70"/>
  <c r="CE716" i="70"/>
  <c r="CD716" i="70"/>
  <c r="CG713" i="70"/>
  <c r="CF713" i="70"/>
  <c r="CE713" i="70"/>
  <c r="CD713" i="70"/>
  <c r="CG712" i="70"/>
  <c r="CF712" i="70"/>
  <c r="CE712" i="70"/>
  <c r="CD712" i="70"/>
  <c r="CG711" i="70"/>
  <c r="CF711" i="70"/>
  <c r="CE711" i="70"/>
  <c r="CD711" i="70"/>
  <c r="CG710" i="70"/>
  <c r="CF710" i="70"/>
  <c r="CE710" i="70"/>
  <c r="CD710" i="70"/>
  <c r="CF709" i="70"/>
  <c r="CX709" i="70" s="1"/>
  <c r="CF708" i="70"/>
  <c r="CY708" i="70" s="1"/>
  <c r="CF707" i="70"/>
  <c r="CX707" i="70" s="1"/>
  <c r="CG706" i="70"/>
  <c r="CF706" i="70"/>
  <c r="CE706" i="70"/>
  <c r="CD706" i="70"/>
  <c r="CG705" i="70"/>
  <c r="CF705" i="70"/>
  <c r="CE705" i="70"/>
  <c r="CD705" i="70"/>
  <c r="CE703" i="70"/>
  <c r="CD703" i="70"/>
  <c r="CE702" i="70"/>
  <c r="CD702" i="70"/>
  <c r="CE701" i="70"/>
  <c r="CD701" i="70"/>
  <c r="CE700" i="70"/>
  <c r="CD700" i="70"/>
  <c r="CE699" i="70"/>
  <c r="CD699" i="70"/>
  <c r="CE698" i="70"/>
  <c r="CD698" i="70"/>
  <c r="CE697" i="70"/>
  <c r="CD697" i="70"/>
  <c r="CE696" i="70"/>
  <c r="CD696" i="70"/>
  <c r="CE695" i="70"/>
  <c r="CD695" i="70"/>
  <c r="CE694" i="70"/>
  <c r="CD694" i="70"/>
  <c r="CE693" i="70"/>
  <c r="CD693" i="70"/>
  <c r="CE692" i="70"/>
  <c r="CD692" i="70"/>
  <c r="CE691" i="70"/>
  <c r="CD691" i="70"/>
  <c r="CE690" i="70"/>
  <c r="CD690" i="70"/>
  <c r="CE689" i="70"/>
  <c r="CD689" i="70"/>
  <c r="CE688" i="70"/>
  <c r="CD688" i="70"/>
  <c r="CE687" i="70"/>
  <c r="CD687" i="70"/>
  <c r="CE686" i="70"/>
  <c r="CD686" i="70"/>
  <c r="CD685" i="70"/>
  <c r="CY685" i="70" s="1"/>
  <c r="CE684" i="70"/>
  <c r="CD684" i="70"/>
  <c r="CE683" i="70"/>
  <c r="CX683" i="70" s="1"/>
  <c r="CE682" i="70"/>
  <c r="CY682" i="70" s="1"/>
  <c r="CE681" i="70"/>
  <c r="CD681" i="70"/>
  <c r="CE680" i="70"/>
  <c r="CD680" i="70"/>
  <c r="CE679" i="70"/>
  <c r="CD679" i="70"/>
  <c r="CD678" i="70"/>
  <c r="CX678" i="70" s="1"/>
  <c r="CE677" i="70"/>
  <c r="CD677" i="70"/>
  <c r="CE676" i="70"/>
  <c r="CD676" i="70"/>
  <c r="CD675" i="70"/>
  <c r="CY675" i="70" s="1"/>
  <c r="CD674" i="70"/>
  <c r="CX674" i="70" s="1"/>
  <c r="CE673" i="70"/>
  <c r="CD673" i="70"/>
  <c r="CD672" i="70"/>
  <c r="CY672" i="70" s="1"/>
  <c r="CE671" i="70"/>
  <c r="CD671" i="70"/>
  <c r="CE670" i="70"/>
  <c r="CD670" i="70"/>
  <c r="CE669" i="70"/>
  <c r="CD669" i="70"/>
  <c r="CD668" i="70"/>
  <c r="CX668" i="70" s="1"/>
  <c r="CD667" i="70"/>
  <c r="CY667" i="70" s="1"/>
  <c r="CE666" i="70"/>
  <c r="CD666" i="70"/>
  <c r="CD665" i="70"/>
  <c r="CX665" i="70" s="1"/>
  <c r="CE664" i="70"/>
  <c r="CD664" i="70"/>
  <c r="CE663" i="70"/>
  <c r="CD663" i="70"/>
  <c r="CD662" i="70"/>
  <c r="CY662" i="70" s="1"/>
  <c r="CD661" i="70"/>
  <c r="CX661" i="70" s="1"/>
  <c r="CD660" i="70"/>
  <c r="CY660" i="70" s="1"/>
  <c r="CD659" i="70"/>
  <c r="CX659" i="70" s="1"/>
  <c r="CD658" i="70"/>
  <c r="CY658" i="70" s="1"/>
  <c r="CE657" i="70"/>
  <c r="CD657" i="70"/>
  <c r="CD656" i="70"/>
  <c r="CX656" i="70" s="1"/>
  <c r="CD655" i="70"/>
  <c r="CY655" i="70" s="1"/>
  <c r="CD654" i="70"/>
  <c r="CX654" i="70" s="1"/>
  <c r="CD653" i="70"/>
  <c r="CY653" i="70" s="1"/>
  <c r="CE652" i="70"/>
  <c r="CD652" i="70"/>
  <c r="CE651" i="70"/>
  <c r="CD651" i="70"/>
  <c r="CE650" i="70"/>
  <c r="CD650" i="70"/>
  <c r="CD649" i="70"/>
  <c r="CX649" i="70" s="1"/>
  <c r="CD648" i="70"/>
  <c r="CY648" i="70" s="1"/>
  <c r="CE647" i="70"/>
  <c r="CD647" i="70"/>
  <c r="CD646" i="70"/>
  <c r="CX646" i="70" s="1"/>
  <c r="CD645" i="70"/>
  <c r="CY645" i="70" s="1"/>
  <c r="CE644" i="70"/>
  <c r="CD644" i="70"/>
  <c r="CE643" i="70"/>
  <c r="CD643" i="70"/>
  <c r="CE642" i="70"/>
  <c r="CD642" i="70"/>
  <c r="CD641" i="70"/>
  <c r="CX641" i="70" s="1"/>
  <c r="CE640" i="70"/>
  <c r="CD640" i="70"/>
  <c r="CD639" i="70"/>
  <c r="CY639" i="70" s="1"/>
  <c r="CD638" i="70"/>
  <c r="CX638" i="70" s="1"/>
  <c r="CD637" i="70"/>
  <c r="CY637" i="70" s="1"/>
  <c r="CE636" i="70"/>
  <c r="CD636" i="70"/>
  <c r="CD635" i="70"/>
  <c r="CX635" i="70" s="1"/>
  <c r="CD634" i="70"/>
  <c r="CY634" i="70" s="1"/>
  <c r="CE633" i="70"/>
  <c r="CD633" i="70"/>
  <c r="CD632" i="70"/>
  <c r="CX632" i="70" s="1"/>
  <c r="CD631" i="70"/>
  <c r="CY631" i="70" s="1"/>
  <c r="CD630" i="70"/>
  <c r="CX630" i="70" s="1"/>
  <c r="CD629" i="70"/>
  <c r="CY629" i="70" s="1"/>
  <c r="CE628" i="70"/>
  <c r="CD628" i="70"/>
  <c r="CD627" i="70"/>
  <c r="CX627" i="70" s="1"/>
  <c r="CE626" i="70"/>
  <c r="CD626" i="70"/>
  <c r="CE625" i="70"/>
  <c r="CD625" i="70"/>
  <c r="CD624" i="70"/>
  <c r="CY624" i="70" s="1"/>
  <c r="CD623" i="70"/>
  <c r="CX623" i="70" s="1"/>
  <c r="CE622" i="70"/>
  <c r="CD622" i="70"/>
  <c r="CE621" i="70"/>
  <c r="CD621" i="70"/>
  <c r="CD620" i="70"/>
  <c r="CY620" i="70" s="1"/>
  <c r="CD619" i="70"/>
  <c r="CX619" i="70" s="1"/>
  <c r="CD618" i="70"/>
  <c r="CY618" i="70" s="1"/>
  <c r="CE617" i="70"/>
  <c r="CD617" i="70"/>
  <c r="CD616" i="70"/>
  <c r="CX616" i="70" s="1"/>
  <c r="CD615" i="70"/>
  <c r="CY615" i="70" s="1"/>
  <c r="CD614" i="70"/>
  <c r="CX614" i="70" s="1"/>
  <c r="CD613" i="70"/>
  <c r="CY613" i="70" s="1"/>
  <c r="CD612" i="70"/>
  <c r="CX612" i="70" s="1"/>
  <c r="CD611" i="70"/>
  <c r="CY611" i="70" s="1"/>
  <c r="CD610" i="70"/>
  <c r="CX610" i="70" s="1"/>
  <c r="CG609" i="70"/>
  <c r="CF609" i="70"/>
  <c r="CE609" i="70"/>
  <c r="CG608" i="70"/>
  <c r="CF608" i="70"/>
  <c r="CE608" i="70"/>
  <c r="CG607" i="70"/>
  <c r="CF607" i="70"/>
  <c r="CE607" i="70"/>
  <c r="CD606" i="70"/>
  <c r="CX606" i="70" s="1"/>
  <c r="CD605" i="70"/>
  <c r="CY605" i="70" s="1"/>
  <c r="CD604" i="70"/>
  <c r="CX604" i="70" s="1"/>
  <c r="CE603" i="70"/>
  <c r="CD603" i="70"/>
  <c r="CE602" i="70"/>
  <c r="CD602" i="70"/>
  <c r="CD601" i="70"/>
  <c r="CY601" i="70" s="1"/>
  <c r="CE600" i="70"/>
  <c r="CD600" i="70"/>
  <c r="CE599" i="70"/>
  <c r="CD599" i="70"/>
  <c r="CE598" i="70"/>
  <c r="CD598" i="70"/>
  <c r="CD597" i="70"/>
  <c r="CX597" i="70" s="1"/>
  <c r="CE596" i="70"/>
  <c r="CD596" i="70"/>
  <c r="CD595" i="70"/>
  <c r="CY595" i="70" s="1"/>
  <c r="CE594" i="70"/>
  <c r="CD594" i="70"/>
  <c r="CE593" i="70"/>
  <c r="CD593" i="70"/>
  <c r="CD592" i="70"/>
  <c r="CX592" i="70" s="1"/>
  <c r="CD591" i="70"/>
  <c r="CY591" i="70" s="1"/>
  <c r="CE590" i="70"/>
  <c r="CD590" i="70"/>
  <c r="CD589" i="70"/>
  <c r="CX589" i="70" s="1"/>
  <c r="CD588" i="70"/>
  <c r="CY588" i="70" s="1"/>
  <c r="CD587" i="70"/>
  <c r="CX587" i="70" s="1"/>
  <c r="CD586" i="70"/>
  <c r="CY586" i="70" s="1"/>
  <c r="CD585" i="70"/>
  <c r="CX585" i="70" s="1"/>
  <c r="CD584" i="70"/>
  <c r="CY584" i="70" s="1"/>
  <c r="CD583" i="70"/>
  <c r="CX583" i="70" s="1"/>
  <c r="CG582" i="70"/>
  <c r="CY582" i="70" s="1"/>
  <c r="CG581" i="70"/>
  <c r="CX581" i="70" s="1"/>
  <c r="CG580" i="70"/>
  <c r="CY580" i="70" s="1"/>
  <c r="CF579" i="70"/>
  <c r="CX579" i="70" s="1"/>
  <c r="CE578" i="70"/>
  <c r="CY578" i="70" s="1"/>
  <c r="CE577" i="70"/>
  <c r="CD577" i="70"/>
  <c r="CE576" i="70"/>
  <c r="CX576" i="70" s="1"/>
  <c r="CE575" i="70"/>
  <c r="CY575" i="70" s="1"/>
  <c r="CE574" i="70"/>
  <c r="CX574" i="70" s="1"/>
  <c r="CE573" i="70"/>
  <c r="CY573" i="70" s="1"/>
  <c r="CE572" i="70"/>
  <c r="CX572" i="70" s="1"/>
  <c r="CE571" i="70"/>
  <c r="CY571" i="70" s="1"/>
  <c r="CE570" i="70"/>
  <c r="CX570" i="70" s="1"/>
  <c r="CE569" i="70"/>
  <c r="CY569" i="70" s="1"/>
  <c r="CE568" i="70"/>
  <c r="CX568" i="70" s="1"/>
  <c r="CE567" i="70"/>
  <c r="CY567" i="70" s="1"/>
  <c r="CE566" i="70"/>
  <c r="CX566" i="70" s="1"/>
  <c r="CE565" i="70"/>
  <c r="CY565" i="70" s="1"/>
  <c r="CE564" i="70"/>
  <c r="CX564" i="70" s="1"/>
  <c r="CE563" i="70"/>
  <c r="CY563" i="70" s="1"/>
  <c r="CE562" i="70"/>
  <c r="CX562" i="70" s="1"/>
  <c r="CE561" i="70"/>
  <c r="CY561" i="70" s="1"/>
  <c r="CE560" i="70"/>
  <c r="CX560" i="70" s="1"/>
  <c r="CE559" i="70"/>
  <c r="CY559" i="70" s="1"/>
  <c r="CE558" i="70"/>
  <c r="CX558" i="70" s="1"/>
  <c r="CE557" i="70"/>
  <c r="CY557" i="70" s="1"/>
  <c r="CE556" i="70"/>
  <c r="CX556" i="70" s="1"/>
  <c r="CE555" i="70"/>
  <c r="CY555" i="70" s="1"/>
  <c r="CE554" i="70"/>
  <c r="CX554" i="70" s="1"/>
  <c r="CE553" i="70"/>
  <c r="CY553" i="70" s="1"/>
  <c r="CE552" i="70"/>
  <c r="CX552" i="70" s="1"/>
  <c r="CE551" i="70"/>
  <c r="CY551" i="70" s="1"/>
  <c r="CE550" i="70"/>
  <c r="CX550" i="70" s="1"/>
  <c r="CE549" i="70"/>
  <c r="CY549" i="70" s="1"/>
  <c r="CE548" i="70"/>
  <c r="CX548" i="70" s="1"/>
  <c r="CE547" i="70"/>
  <c r="CY547" i="70" s="1"/>
  <c r="CE546" i="70"/>
  <c r="CX546" i="70" s="1"/>
  <c r="CE545" i="70"/>
  <c r="CY545" i="70" s="1"/>
  <c r="CE544" i="70"/>
  <c r="CX544" i="70" s="1"/>
  <c r="CE543" i="70"/>
  <c r="CY543" i="70" s="1"/>
  <c r="CE542" i="70"/>
  <c r="CX542" i="70" s="1"/>
  <c r="CE541" i="70"/>
  <c r="CY541" i="70" s="1"/>
  <c r="CE540" i="70"/>
  <c r="CX540" i="70" s="1"/>
  <c r="CY539" i="70"/>
  <c r="CX539" i="70"/>
  <c r="CD538" i="70"/>
  <c r="CY538" i="70" s="1"/>
  <c r="CY537" i="70"/>
  <c r="CX537" i="70"/>
  <c r="CD536" i="70"/>
  <c r="CX536" i="70" s="1"/>
  <c r="CD535" i="70"/>
  <c r="CY535" i="70" s="1"/>
  <c r="CE534" i="70"/>
  <c r="CX534" i="70" s="1"/>
  <c r="CE533" i="70"/>
  <c r="CY533" i="70" s="1"/>
  <c r="CD532" i="70"/>
  <c r="CX532" i="70" s="1"/>
  <c r="CD531" i="70"/>
  <c r="CY531" i="70" s="1"/>
  <c r="CD530" i="70"/>
  <c r="CX530" i="70" s="1"/>
  <c r="CD529" i="70"/>
  <c r="CY529" i="70" s="1"/>
  <c r="CD528" i="70"/>
  <c r="CX528" i="70" s="1"/>
  <c r="CD527" i="70"/>
  <c r="CY527" i="70" s="1"/>
  <c r="CE526" i="70"/>
  <c r="CD526" i="70"/>
  <c r="CE525" i="70"/>
  <c r="CD525" i="70"/>
  <c r="CD524" i="70"/>
  <c r="CX524" i="70" s="1"/>
  <c r="CD523" i="70"/>
  <c r="CY523" i="70" s="1"/>
  <c r="CD522" i="70"/>
  <c r="CE521" i="70"/>
  <c r="CY521" i="70" s="1"/>
  <c r="CE520" i="70"/>
  <c r="CY520" i="70" s="1"/>
  <c r="CE519" i="70"/>
  <c r="CY519" i="70" s="1"/>
  <c r="CD518" i="70"/>
  <c r="CY518" i="70" s="1"/>
  <c r="CD517" i="70"/>
  <c r="CY517" i="70" s="1"/>
  <c r="CD516" i="70"/>
  <c r="CY516" i="70" s="1"/>
  <c r="CD515" i="70"/>
  <c r="CY515" i="70" s="1"/>
  <c r="CD514" i="70"/>
  <c r="CY514" i="70" s="1"/>
  <c r="CD513" i="70"/>
  <c r="CX513" i="70" s="1"/>
  <c r="CD512" i="70"/>
  <c r="CY512" i="70" s="1"/>
  <c r="CD511" i="70"/>
  <c r="CX511" i="70" s="1"/>
  <c r="CD510" i="70"/>
  <c r="CY510" i="70" s="1"/>
  <c r="CD509" i="70"/>
  <c r="CX509" i="70" s="1"/>
  <c r="CE508" i="70"/>
  <c r="CD508" i="70"/>
  <c r="CE507" i="70"/>
  <c r="CD507" i="70"/>
  <c r="CD506" i="70"/>
  <c r="CY506" i="70" s="1"/>
  <c r="CD505" i="70"/>
  <c r="CX505" i="70" s="1"/>
  <c r="CE503" i="70"/>
  <c r="CD503" i="70"/>
  <c r="CE502" i="70"/>
  <c r="CD502" i="70"/>
  <c r="CD501" i="70"/>
  <c r="CY501" i="70" s="1"/>
  <c r="CD500" i="70"/>
  <c r="CX500" i="70" s="1"/>
  <c r="CE499" i="70"/>
  <c r="CD499" i="70"/>
  <c r="CE498" i="70"/>
  <c r="CY498" i="70" s="1"/>
  <c r="CE497" i="70"/>
  <c r="CX497" i="70" s="1"/>
  <c r="CE496" i="70"/>
  <c r="CY496" i="70" s="1"/>
  <c r="CE495" i="70"/>
  <c r="CX495" i="70" s="1"/>
  <c r="CE494" i="70"/>
  <c r="CY494" i="70" s="1"/>
  <c r="CE493" i="70"/>
  <c r="CX493" i="70" s="1"/>
  <c r="CE492" i="70"/>
  <c r="CY492" i="70" s="1"/>
  <c r="CE491" i="70"/>
  <c r="CX491" i="70" s="1"/>
  <c r="CE490" i="70"/>
  <c r="CY490" i="70" s="1"/>
  <c r="CE489" i="70"/>
  <c r="CX489" i="70" s="1"/>
  <c r="CE488" i="70"/>
  <c r="CY488" i="70" s="1"/>
  <c r="CE487" i="70"/>
  <c r="CX487" i="70" s="1"/>
  <c r="CE486" i="70"/>
  <c r="CY486" i="70" s="1"/>
  <c r="CE485" i="70"/>
  <c r="CX485" i="70" s="1"/>
  <c r="CE484" i="70"/>
  <c r="CY484" i="70" s="1"/>
  <c r="CE483" i="70"/>
  <c r="CX483" i="70" s="1"/>
  <c r="CD482" i="70"/>
  <c r="CY482" i="70" s="1"/>
  <c r="CE481" i="70"/>
  <c r="CD481" i="70"/>
  <c r="CE480" i="70"/>
  <c r="CD480" i="70"/>
  <c r="CE479" i="70"/>
  <c r="CX479" i="70" s="1"/>
  <c r="CD478" i="70"/>
  <c r="CY478" i="70" s="1"/>
  <c r="CD477" i="70"/>
  <c r="CX477" i="70" s="1"/>
  <c r="CD476" i="70"/>
  <c r="CY476" i="70" s="1"/>
  <c r="CE475" i="70"/>
  <c r="CD475" i="70"/>
  <c r="CD474" i="70"/>
  <c r="CX474" i="70" s="1"/>
  <c r="CE473" i="70"/>
  <c r="CD473" i="70"/>
  <c r="CD472" i="70"/>
  <c r="CY472" i="70" s="1"/>
  <c r="CD471" i="70"/>
  <c r="CX471" i="70" s="1"/>
  <c r="CD470" i="70"/>
  <c r="CY470" i="70" s="1"/>
  <c r="CD469" i="70"/>
  <c r="CX469" i="70" s="1"/>
  <c r="CD468" i="70"/>
  <c r="CY468" i="70" s="1"/>
  <c r="CD467" i="70"/>
  <c r="CX467" i="70" s="1"/>
  <c r="CX466" i="70"/>
  <c r="CY466" i="70"/>
  <c r="CX465" i="70"/>
  <c r="CY465" i="70"/>
  <c r="CX464" i="70"/>
  <c r="CY464" i="70"/>
  <c r="CX463" i="70"/>
  <c r="CY463" i="70"/>
  <c r="CY462" i="70"/>
  <c r="CX461" i="70"/>
  <c r="CY460" i="70"/>
  <c r="CX459" i="70"/>
  <c r="CY458" i="70"/>
  <c r="CX457" i="70"/>
  <c r="CE456" i="70"/>
  <c r="CY456" i="70" s="1"/>
  <c r="CE455" i="70"/>
  <c r="CX455" i="70" s="1"/>
  <c r="CE454" i="70"/>
  <c r="CY454" i="70" s="1"/>
  <c r="CE453" i="70"/>
  <c r="CX453" i="70" s="1"/>
  <c r="CE452" i="70"/>
  <c r="CD452" i="70"/>
  <c r="CE451" i="70"/>
  <c r="CD451" i="70"/>
  <c r="CD450" i="70"/>
  <c r="CY450" i="70" s="1"/>
  <c r="CE449" i="70"/>
  <c r="CD449" i="70"/>
  <c r="CG448" i="70"/>
  <c r="CX448" i="70" s="1"/>
  <c r="CG447" i="70"/>
  <c r="CY447" i="70" s="1"/>
  <c r="CX446" i="70"/>
  <c r="CM446" i="70"/>
  <c r="CL446" i="70"/>
  <c r="CK446" i="70"/>
  <c r="CJ446" i="70"/>
  <c r="CI446" i="70"/>
  <c r="CX445" i="70"/>
  <c r="CM445" i="70"/>
  <c r="CL445" i="70"/>
  <c r="CK445" i="70"/>
  <c r="CJ445" i="70"/>
  <c r="CI445" i="70"/>
  <c r="CD444" i="70"/>
  <c r="CX444" i="70" s="1"/>
  <c r="CD443" i="70"/>
  <c r="CY443" i="70" s="1"/>
  <c r="CD442" i="70"/>
  <c r="CX442" i="70" s="1"/>
  <c r="CD441" i="70"/>
  <c r="CY441" i="70" s="1"/>
  <c r="CE440" i="70"/>
  <c r="CD440" i="70"/>
  <c r="CE439" i="70"/>
  <c r="CD439" i="70"/>
  <c r="CE438" i="70"/>
  <c r="CD438" i="70"/>
  <c r="CE437" i="70"/>
  <c r="CD437" i="70"/>
  <c r="CD436" i="70"/>
  <c r="CX436" i="70" s="1"/>
  <c r="CD435" i="70"/>
  <c r="CY435" i="70" s="1"/>
  <c r="CX434" i="70"/>
  <c r="CE433" i="70"/>
  <c r="CY433" i="70" s="1"/>
  <c r="CX432" i="70"/>
  <c r="CY432" i="70"/>
  <c r="CX431" i="70"/>
  <c r="CY431" i="70"/>
  <c r="CX430" i="70"/>
  <c r="CY430" i="70"/>
  <c r="CX429" i="70"/>
  <c r="CY429" i="70"/>
  <c r="CX428" i="70"/>
  <c r="CY428" i="70"/>
  <c r="CX427" i="70"/>
  <c r="CY427" i="70"/>
  <c r="CX426" i="70"/>
  <c r="CY426" i="70"/>
  <c r="CX425" i="70"/>
  <c r="CY425" i="70"/>
  <c r="CX424" i="70"/>
  <c r="CY424" i="70"/>
  <c r="CY423" i="70"/>
  <c r="CX422" i="70"/>
  <c r="CY421" i="70"/>
  <c r="CX420" i="70"/>
  <c r="CY420" i="70"/>
  <c r="CX419" i="70"/>
  <c r="CY419" i="70"/>
  <c r="CX418" i="70"/>
  <c r="CY418" i="70"/>
  <c r="CX417" i="70"/>
  <c r="CY417" i="70"/>
  <c r="CX416" i="70"/>
  <c r="CY416" i="70"/>
  <c r="CX415" i="70"/>
  <c r="CY415" i="70"/>
  <c r="CY414" i="70"/>
  <c r="CX414" i="70"/>
  <c r="CY413" i="70"/>
  <c r="CX413" i="70"/>
  <c r="CY412" i="70"/>
  <c r="CX412" i="70"/>
  <c r="CD411" i="70"/>
  <c r="CY411" i="70" s="1"/>
  <c r="CD410" i="70"/>
  <c r="CX410" i="70" s="1"/>
  <c r="CD409" i="70"/>
  <c r="CY409" i="70" s="1"/>
  <c r="CD408" i="70"/>
  <c r="CX408" i="70" s="1"/>
  <c r="CE407" i="70"/>
  <c r="CD407" i="70"/>
  <c r="CF406" i="70"/>
  <c r="CY406" i="70" s="1"/>
  <c r="CF405" i="70"/>
  <c r="CX405" i="70" s="1"/>
  <c r="CF404" i="70"/>
  <c r="CY404" i="70" s="1"/>
  <c r="CF403" i="70"/>
  <c r="CX403" i="70" s="1"/>
  <c r="CF402" i="70"/>
  <c r="CY402" i="70" s="1"/>
  <c r="CG401" i="70"/>
  <c r="CF401" i="70"/>
  <c r="CE401" i="70"/>
  <c r="CG400" i="70"/>
  <c r="CF400" i="70"/>
  <c r="CE400" i="70"/>
  <c r="CG399" i="70"/>
  <c r="CF399" i="70"/>
  <c r="CE399" i="70"/>
  <c r="CG398" i="70"/>
  <c r="CF398" i="70"/>
  <c r="CE398" i="70"/>
  <c r="CG397" i="70"/>
  <c r="CF397" i="70"/>
  <c r="CE397" i="70"/>
  <c r="CG396" i="70"/>
  <c r="CF396" i="70"/>
  <c r="CE396" i="70"/>
  <c r="CG395" i="70"/>
  <c r="CF395" i="70"/>
  <c r="CE395" i="70"/>
  <c r="CM394" i="70"/>
  <c r="CL394" i="70"/>
  <c r="CK394" i="70"/>
  <c r="CJ394" i="70"/>
  <c r="CI394" i="70"/>
  <c r="CH394" i="70"/>
  <c r="CG394" i="70"/>
  <c r="CF394" i="70"/>
  <c r="CE394" i="70"/>
  <c r="CD394" i="70"/>
  <c r="CD393" i="70"/>
  <c r="CY393" i="70" s="1"/>
  <c r="CD392" i="70"/>
  <c r="CX392" i="70" s="1"/>
  <c r="CD391" i="70"/>
  <c r="CY391" i="70" s="1"/>
  <c r="CM390" i="70"/>
  <c r="CL390" i="70"/>
  <c r="CK390" i="70"/>
  <c r="CJ390" i="70"/>
  <c r="CI390" i="70"/>
  <c r="CH390" i="70"/>
  <c r="CG390" i="70"/>
  <c r="CF390" i="70"/>
  <c r="CE390" i="70"/>
  <c r="CD390" i="70"/>
  <c r="CM389" i="70"/>
  <c r="CL389" i="70"/>
  <c r="CK389" i="70"/>
  <c r="CJ389" i="70"/>
  <c r="CI389" i="70"/>
  <c r="CH389" i="70"/>
  <c r="CG389" i="70"/>
  <c r="CF389" i="70"/>
  <c r="CE389" i="70"/>
  <c r="CD389" i="70"/>
  <c r="CM388" i="70"/>
  <c r="CL388" i="70"/>
  <c r="CK388" i="70"/>
  <c r="CJ388" i="70"/>
  <c r="CI388" i="70"/>
  <c r="CH388" i="70"/>
  <c r="CG388" i="70"/>
  <c r="CF388" i="70"/>
  <c r="CE388" i="70"/>
  <c r="CD388" i="70"/>
  <c r="CM387" i="70"/>
  <c r="CL387" i="70"/>
  <c r="CK387" i="70"/>
  <c r="CJ387" i="70"/>
  <c r="CI387" i="70"/>
  <c r="CH387" i="70"/>
  <c r="CG387" i="70"/>
  <c r="CF387" i="70"/>
  <c r="CE387" i="70"/>
  <c r="CD387" i="70"/>
  <c r="CM386" i="70"/>
  <c r="CL386" i="70"/>
  <c r="CK386" i="70"/>
  <c r="CJ386" i="70"/>
  <c r="CI386" i="70"/>
  <c r="CH386" i="70"/>
  <c r="CG386" i="70"/>
  <c r="CF386" i="70"/>
  <c r="CE386" i="70"/>
  <c r="CD386" i="70"/>
  <c r="CD385" i="70"/>
  <c r="CX385" i="70" s="1"/>
  <c r="CD384" i="70"/>
  <c r="CY384" i="70" s="1"/>
  <c r="CD383" i="70"/>
  <c r="CX383" i="70" s="1"/>
  <c r="CY382" i="70"/>
  <c r="CX381" i="70"/>
  <c r="CY380" i="70"/>
  <c r="CX379" i="70"/>
  <c r="CY378" i="70"/>
  <c r="CX377" i="70"/>
  <c r="CY376" i="70"/>
  <c r="CX375" i="70"/>
  <c r="CY375" i="70"/>
  <c r="CY374" i="70"/>
  <c r="CX373" i="70"/>
  <c r="CX372" i="70"/>
  <c r="CY372" i="70"/>
  <c r="CX371" i="70"/>
  <c r="CY371" i="70"/>
  <c r="CY370" i="70"/>
  <c r="CX369" i="70"/>
  <c r="CY368" i="70"/>
  <c r="CX367" i="70"/>
  <c r="CY366" i="70"/>
  <c r="CX365" i="70"/>
  <c r="CY365" i="70"/>
  <c r="CX364" i="70"/>
  <c r="CY364" i="70"/>
  <c r="CX363" i="70"/>
  <c r="CY363" i="70"/>
  <c r="CX362" i="70"/>
  <c r="CY362" i="70"/>
  <c r="CX361" i="70"/>
  <c r="CY360" i="70"/>
  <c r="CX359" i="70"/>
  <c r="CY358" i="70"/>
  <c r="CX357" i="70"/>
  <c r="CY356" i="70"/>
  <c r="CX355" i="70"/>
  <c r="CY354" i="70"/>
  <c r="CX353" i="70"/>
  <c r="CY352" i="70"/>
  <c r="CX351" i="70"/>
  <c r="CY350" i="70"/>
  <c r="CY349" i="70"/>
  <c r="CX349" i="70"/>
  <c r="CX348" i="70"/>
  <c r="CY348" i="70"/>
  <c r="CX347" i="70"/>
  <c r="CY347" i="70"/>
  <c r="CX346" i="70"/>
  <c r="CY346" i="70"/>
  <c r="CX345" i="70"/>
  <c r="CY345" i="70"/>
  <c r="CX344" i="70"/>
  <c r="CY344" i="70"/>
  <c r="CX343" i="70"/>
  <c r="CY343" i="70"/>
  <c r="CY342" i="70"/>
  <c r="CX342" i="70"/>
  <c r="CY341" i="70"/>
  <c r="CX341" i="70"/>
  <c r="CY340" i="70"/>
  <c r="CX340" i="70"/>
  <c r="CX339" i="70"/>
  <c r="CY339" i="70"/>
  <c r="CY338" i="70"/>
  <c r="CX338" i="70"/>
  <c r="CX337" i="70"/>
  <c r="CY337" i="70"/>
  <c r="CD336" i="70"/>
  <c r="CY336" i="70" s="1"/>
  <c r="CD335" i="70"/>
  <c r="CX335" i="70" s="1"/>
  <c r="CD334" i="70"/>
  <c r="CY334" i="70" s="1"/>
  <c r="CE333" i="70"/>
  <c r="CD333" i="70"/>
  <c r="CE332" i="70"/>
  <c r="CD332" i="70"/>
  <c r="CD331" i="70"/>
  <c r="CX331" i="70" s="1"/>
  <c r="CD330" i="70"/>
  <c r="CY330" i="70" s="1"/>
  <c r="CE329" i="70"/>
  <c r="CD329" i="70"/>
  <c r="CE328" i="70"/>
  <c r="CX328" i="70" s="1"/>
  <c r="CE327" i="70"/>
  <c r="CY327" i="70" s="1"/>
  <c r="CE326" i="70"/>
  <c r="CX326" i="70" s="1"/>
  <c r="CE325" i="70"/>
  <c r="CY325" i="70" s="1"/>
  <c r="CE324" i="70"/>
  <c r="CX324" i="70" s="1"/>
  <c r="CE323" i="70"/>
  <c r="CY323" i="70" s="1"/>
  <c r="CE322" i="70"/>
  <c r="CX322" i="70" s="1"/>
  <c r="CE321" i="70"/>
  <c r="CY321" i="70" s="1"/>
  <c r="CE320" i="70"/>
  <c r="CX320" i="70" s="1"/>
  <c r="CE319" i="70"/>
  <c r="CY319" i="70" s="1"/>
  <c r="CE318" i="70"/>
  <c r="CX318" i="70" s="1"/>
  <c r="CE317" i="70"/>
  <c r="CY317" i="70" s="1"/>
  <c r="CE316" i="70"/>
  <c r="CX316" i="70" s="1"/>
  <c r="CE315" i="70"/>
  <c r="CY315" i="70" s="1"/>
  <c r="CE314" i="70"/>
  <c r="CX314" i="70" s="1"/>
  <c r="CE313" i="70"/>
  <c r="CY313" i="70" s="1"/>
  <c r="CE312" i="70"/>
  <c r="CX312" i="70" s="1"/>
  <c r="CE311" i="70"/>
  <c r="CY311" i="70" s="1"/>
  <c r="CE310" i="70"/>
  <c r="CX310" i="70" s="1"/>
  <c r="CE309" i="70"/>
  <c r="CY309" i="70" s="1"/>
  <c r="CE308" i="70"/>
  <c r="CX308" i="70" s="1"/>
  <c r="CE307" i="70"/>
  <c r="CY307" i="70" s="1"/>
  <c r="CE306" i="70"/>
  <c r="CX306" i="70" s="1"/>
  <c r="CE305" i="70"/>
  <c r="CY305" i="70" s="1"/>
  <c r="CE304" i="70"/>
  <c r="CX304" i="70" s="1"/>
  <c r="CE303" i="70"/>
  <c r="CY303" i="70" s="1"/>
  <c r="CE302" i="70"/>
  <c r="CX302" i="70" s="1"/>
  <c r="CE301" i="70"/>
  <c r="CY301" i="70" s="1"/>
  <c r="CE300" i="70"/>
  <c r="CX300" i="70" s="1"/>
  <c r="CE299" i="70"/>
  <c r="CY299" i="70" s="1"/>
  <c r="CE298" i="70"/>
  <c r="CX298" i="70" s="1"/>
  <c r="CE297" i="70"/>
  <c r="CY297" i="70" s="1"/>
  <c r="CE296" i="70"/>
  <c r="CX296" i="70" s="1"/>
  <c r="CE295" i="70"/>
  <c r="CY295" i="70" s="1"/>
  <c r="CE294" i="70"/>
  <c r="CX294" i="70" s="1"/>
  <c r="CE293" i="70"/>
  <c r="CD293" i="70"/>
  <c r="CD292" i="70"/>
  <c r="CY292" i="70" s="1"/>
  <c r="CE291" i="70"/>
  <c r="CD291" i="70"/>
  <c r="CD290" i="70"/>
  <c r="CX290" i="70" s="1"/>
  <c r="CY289" i="70"/>
  <c r="CX289" i="70"/>
  <c r="CY288" i="70"/>
  <c r="CX288" i="70"/>
  <c r="CK287" i="70"/>
  <c r="CH287" i="70"/>
  <c r="CG287" i="70"/>
  <c r="CY286" i="70"/>
  <c r="CX286" i="70"/>
  <c r="CY285" i="70"/>
  <c r="CX285" i="70"/>
  <c r="CY284" i="70"/>
  <c r="CX284" i="70"/>
  <c r="CE281" i="70"/>
  <c r="CD281" i="70"/>
  <c r="CG280" i="70"/>
  <c r="CY280" i="70" s="1"/>
  <c r="CG279" i="70"/>
  <c r="CX279" i="70" s="1"/>
  <c r="CG278" i="70"/>
  <c r="CY278" i="70" s="1"/>
  <c r="CE277" i="70"/>
  <c r="CD277" i="70"/>
  <c r="CD276" i="70"/>
  <c r="CX276" i="70" s="1"/>
  <c r="CD275" i="70"/>
  <c r="CY275" i="70" s="1"/>
  <c r="CD274" i="70"/>
  <c r="CX274" i="70" s="1"/>
  <c r="CD273" i="70"/>
  <c r="CY273" i="70" s="1"/>
  <c r="CE272" i="70"/>
  <c r="CD272" i="70"/>
  <c r="CD271" i="70"/>
  <c r="CX271" i="70" s="1"/>
  <c r="CE270" i="70"/>
  <c r="CD270" i="70"/>
  <c r="CD269" i="70"/>
  <c r="CY269" i="70" s="1"/>
  <c r="CD267" i="70"/>
  <c r="CX267" i="70" s="1"/>
  <c r="CD266" i="70"/>
  <c r="CY266" i="70" s="1"/>
  <c r="CD265" i="70"/>
  <c r="CX265" i="70" s="1"/>
  <c r="CD264" i="70"/>
  <c r="CY264" i="70" s="1"/>
  <c r="CD263" i="70"/>
  <c r="CX263" i="70" s="1"/>
  <c r="CD262" i="70"/>
  <c r="CY262" i="70" s="1"/>
  <c r="CE261" i="70"/>
  <c r="CD261" i="70"/>
  <c r="CE260" i="70"/>
  <c r="CD260" i="70"/>
  <c r="CD259" i="70"/>
  <c r="CX259" i="70" s="1"/>
  <c r="CE258" i="70"/>
  <c r="CD258" i="70"/>
  <c r="CD257" i="70"/>
  <c r="CY257" i="70" s="1"/>
  <c r="CE256" i="70"/>
  <c r="CD256" i="70"/>
  <c r="CD255" i="70"/>
  <c r="CX255" i="70" s="1"/>
  <c r="CG254" i="70"/>
  <c r="CY254" i="70" s="1"/>
  <c r="CG253" i="70"/>
  <c r="CY252" i="70"/>
  <c r="CD251" i="70"/>
  <c r="CX251" i="70" s="1"/>
  <c r="CE250" i="70"/>
  <c r="CD250" i="70"/>
  <c r="CH249" i="70"/>
  <c r="CE248" i="70"/>
  <c r="CX248" i="70" s="1"/>
  <c r="CE247" i="70"/>
  <c r="CD247" i="70"/>
  <c r="CE246" i="70"/>
  <c r="CD246" i="70"/>
  <c r="CE245" i="70"/>
  <c r="CD245" i="70"/>
  <c r="CD244" i="70"/>
  <c r="CY244" i="70" s="1"/>
  <c r="CD243" i="70"/>
  <c r="CY243" i="70" s="1"/>
  <c r="CD242" i="70"/>
  <c r="CY242" i="70" s="1"/>
  <c r="CD241" i="70"/>
  <c r="CY241" i="70" s="1"/>
  <c r="CD240" i="70"/>
  <c r="CY240" i="70" s="1"/>
  <c r="CD239" i="70"/>
  <c r="CY238" i="70"/>
  <c r="CX238" i="70"/>
  <c r="CC238" i="70"/>
  <c r="CY237" i="70"/>
  <c r="CX237" i="70"/>
  <c r="CC237" i="70"/>
  <c r="CY236" i="70"/>
  <c r="CX236" i="70"/>
  <c r="CC236" i="70"/>
  <c r="CY235" i="70"/>
  <c r="CX235" i="70"/>
  <c r="CC235" i="70"/>
  <c r="CY234" i="70"/>
  <c r="CX234" i="70"/>
  <c r="CC234" i="70"/>
  <c r="CY233" i="70"/>
  <c r="CX233" i="70"/>
  <c r="CC233" i="70"/>
  <c r="CY232" i="70"/>
  <c r="CX232" i="70"/>
  <c r="CC232" i="70"/>
  <c r="CY231" i="70"/>
  <c r="CX231" i="70"/>
  <c r="CC231" i="70"/>
  <c r="CY230" i="70"/>
  <c r="CX230" i="70"/>
  <c r="CC230" i="70"/>
  <c r="CY229" i="70"/>
  <c r="CX229" i="70"/>
  <c r="CC229" i="70"/>
  <c r="CY228" i="70"/>
  <c r="CX228" i="70"/>
  <c r="CC228" i="70"/>
  <c r="CY227" i="70"/>
  <c r="CX227" i="70"/>
  <c r="CC227" i="70"/>
  <c r="CY226" i="70"/>
  <c r="CX226" i="70"/>
  <c r="CC226" i="70"/>
  <c r="CY225" i="70"/>
  <c r="CX225" i="70"/>
  <c r="CC225" i="70"/>
  <c r="CY224" i="70"/>
  <c r="CX224" i="70"/>
  <c r="CC224" i="70"/>
  <c r="CY223" i="70"/>
  <c r="CX223" i="70"/>
  <c r="CC223" i="70"/>
  <c r="CY222" i="70"/>
  <c r="CX222" i="70"/>
  <c r="CC222" i="70"/>
  <c r="CY221" i="70"/>
  <c r="CX221" i="70"/>
  <c r="CC221" i="70"/>
  <c r="CY220" i="70"/>
  <c r="CX220" i="70"/>
  <c r="CC220" i="70"/>
  <c r="CY219" i="70"/>
  <c r="CX219" i="70"/>
  <c r="CC219" i="70"/>
  <c r="CY218" i="70"/>
  <c r="CX218" i="70"/>
  <c r="CC218" i="70"/>
  <c r="CY217" i="70"/>
  <c r="CX217" i="70"/>
  <c r="CC217" i="70"/>
  <c r="CY216" i="70"/>
  <c r="CX216" i="70"/>
  <c r="CC216" i="70"/>
  <c r="CY215" i="70"/>
  <c r="CX215" i="70"/>
  <c r="CC215" i="70"/>
  <c r="CY214" i="70"/>
  <c r="CX214" i="70"/>
  <c r="CC214" i="70"/>
  <c r="CY213" i="70"/>
  <c r="CX213" i="70"/>
  <c r="CC213" i="70"/>
  <c r="CY212" i="70"/>
  <c r="CX212" i="70"/>
  <c r="CC212" i="70"/>
  <c r="CY211" i="70"/>
  <c r="CX211" i="70"/>
  <c r="CC211" i="70"/>
  <c r="CY210" i="70"/>
  <c r="CX210" i="70"/>
  <c r="CC210" i="70"/>
  <c r="CY209" i="70"/>
  <c r="CX209" i="70"/>
  <c r="CC209" i="70"/>
  <c r="CY208" i="70"/>
  <c r="CX208" i="70"/>
  <c r="CC208" i="70"/>
  <c r="CY207" i="70"/>
  <c r="CX207" i="70"/>
  <c r="CC207" i="70"/>
  <c r="CY206" i="70"/>
  <c r="CX206" i="70"/>
  <c r="CC206" i="70"/>
  <c r="CY205" i="70"/>
  <c r="CX205" i="70"/>
  <c r="CC205" i="70"/>
  <c r="CY204" i="70"/>
  <c r="CX204" i="70"/>
  <c r="CC204" i="70"/>
  <c r="CY203" i="70"/>
  <c r="CX203" i="70"/>
  <c r="CC203" i="70"/>
  <c r="CY202" i="70"/>
  <c r="CX202" i="70"/>
  <c r="CC202" i="70"/>
  <c r="CY201" i="70"/>
  <c r="CX201" i="70"/>
  <c r="CC201" i="70"/>
  <c r="CY200" i="70"/>
  <c r="CX200" i="70"/>
  <c r="CC200" i="70"/>
  <c r="CY199" i="70"/>
  <c r="CX199" i="70"/>
  <c r="CC199" i="70"/>
  <c r="CY198" i="70"/>
  <c r="CX198" i="70"/>
  <c r="CC198" i="70"/>
  <c r="CY197" i="70"/>
  <c r="CX197" i="70"/>
  <c r="CC197" i="70"/>
  <c r="CY196" i="70"/>
  <c r="CX196" i="70"/>
  <c r="CC196" i="70"/>
  <c r="CY195" i="70"/>
  <c r="CX195" i="70"/>
  <c r="CC195" i="70"/>
  <c r="CY194" i="70"/>
  <c r="CX194" i="70"/>
  <c r="CC194" i="70"/>
  <c r="CY193" i="70"/>
  <c r="CX193" i="70"/>
  <c r="CC193" i="70"/>
  <c r="CY192" i="70"/>
  <c r="CX192" i="70"/>
  <c r="CC192" i="70"/>
  <c r="CY191" i="70"/>
  <c r="CX191" i="70"/>
  <c r="CC191" i="70"/>
  <c r="CY190" i="70"/>
  <c r="CX190" i="70"/>
  <c r="CC190" i="70"/>
  <c r="CY189" i="70"/>
  <c r="CX189" i="70"/>
  <c r="CC189" i="70"/>
  <c r="CY188" i="70"/>
  <c r="CX188" i="70"/>
  <c r="CC188" i="70"/>
  <c r="CY187" i="70"/>
  <c r="CX187" i="70"/>
  <c r="CC187" i="70"/>
  <c r="CY186" i="70"/>
  <c r="CX186" i="70"/>
  <c r="CC186" i="70"/>
  <c r="CY185" i="70"/>
  <c r="CX185" i="70"/>
  <c r="CC185" i="70"/>
  <c r="CY184" i="70"/>
  <c r="CX184" i="70"/>
  <c r="CC184" i="70"/>
  <c r="CY183" i="70"/>
  <c r="CX183" i="70"/>
  <c r="CC183" i="70"/>
  <c r="CY182" i="70"/>
  <c r="CX182" i="70"/>
  <c r="CC182" i="70"/>
  <c r="CY181" i="70"/>
  <c r="CX181" i="70"/>
  <c r="CC181" i="70"/>
  <c r="CY180" i="70"/>
  <c r="CX180" i="70"/>
  <c r="CC180" i="70"/>
  <c r="CY179" i="70"/>
  <c r="CX179" i="70"/>
  <c r="CC179" i="70"/>
  <c r="CY178" i="70"/>
  <c r="CX178" i="70"/>
  <c r="CC178" i="70"/>
  <c r="CY177" i="70"/>
  <c r="CX177" i="70"/>
  <c r="CC177" i="70"/>
  <c r="CY176" i="70"/>
  <c r="CX176" i="70"/>
  <c r="CC176" i="70"/>
  <c r="CY175" i="70"/>
  <c r="CX175" i="70"/>
  <c r="CC175" i="70"/>
  <c r="CY174" i="70"/>
  <c r="CX174" i="70"/>
  <c r="CC174" i="70"/>
  <c r="CY173" i="70"/>
  <c r="CX173" i="70"/>
  <c r="CC173" i="70"/>
  <c r="CY172" i="70"/>
  <c r="CX172" i="70"/>
  <c r="CC172" i="70"/>
  <c r="CY171" i="70"/>
  <c r="CX171" i="70"/>
  <c r="CC171" i="70"/>
  <c r="CY170" i="70"/>
  <c r="CX170" i="70"/>
  <c r="CC170" i="70"/>
  <c r="CY169" i="70"/>
  <c r="CX169" i="70"/>
  <c r="CC169" i="70"/>
  <c r="CY168" i="70"/>
  <c r="CX168" i="70"/>
  <c r="CC168" i="70"/>
  <c r="CY167" i="70"/>
  <c r="CX167" i="70"/>
  <c r="CC167" i="70"/>
  <c r="CY166" i="70"/>
  <c r="CX166" i="70"/>
  <c r="CC166" i="70"/>
  <c r="CY165" i="70"/>
  <c r="CX165" i="70"/>
  <c r="CC165" i="70"/>
  <c r="CY164" i="70"/>
  <c r="CX164" i="70"/>
  <c r="CC164" i="70"/>
  <c r="CY163" i="70"/>
  <c r="CX163" i="70"/>
  <c r="CC163" i="70"/>
  <c r="CY162" i="70"/>
  <c r="CX162" i="70"/>
  <c r="CC162" i="70"/>
  <c r="CY161" i="70"/>
  <c r="CX161" i="70"/>
  <c r="CC161" i="70"/>
  <c r="CY160" i="70"/>
  <c r="CX160" i="70"/>
  <c r="CC160" i="70"/>
  <c r="CY159" i="70"/>
  <c r="CX159" i="70"/>
  <c r="CC159" i="70"/>
  <c r="CY158" i="70"/>
  <c r="CX158" i="70"/>
  <c r="CC158" i="70"/>
  <c r="CY157" i="70"/>
  <c r="CX157" i="70"/>
  <c r="CC157" i="70"/>
  <c r="CY156" i="70"/>
  <c r="CX156" i="70"/>
  <c r="CC156" i="70"/>
  <c r="CY155" i="70"/>
  <c r="CX155" i="70"/>
  <c r="CC155" i="70"/>
  <c r="CY154" i="70"/>
  <c r="CX154" i="70"/>
  <c r="CC154" i="70"/>
  <c r="CY153" i="70"/>
  <c r="CX153" i="70"/>
  <c r="CC153" i="70"/>
  <c r="CY152" i="70"/>
  <c r="CX152" i="70"/>
  <c r="CC152" i="70"/>
  <c r="CY151" i="70"/>
  <c r="CX151" i="70"/>
  <c r="CC151" i="70"/>
  <c r="CY150" i="70"/>
  <c r="CX150" i="70"/>
  <c r="CC150" i="70"/>
  <c r="CY149" i="70"/>
  <c r="CX149" i="70"/>
  <c r="CC149" i="70"/>
  <c r="CY148" i="70"/>
  <c r="CX148" i="70"/>
  <c r="CC148" i="70"/>
  <c r="CY147" i="70"/>
  <c r="CX147" i="70"/>
  <c r="CC147" i="70"/>
  <c r="CY146" i="70"/>
  <c r="CX146" i="70"/>
  <c r="CC146" i="70"/>
  <c r="CY145" i="70"/>
  <c r="CX145" i="70"/>
  <c r="CC145" i="70"/>
  <c r="CY144" i="70"/>
  <c r="CX144" i="70"/>
  <c r="CC144" i="70"/>
  <c r="CY143" i="70"/>
  <c r="CX143" i="70"/>
  <c r="CC143" i="70"/>
  <c r="CY142" i="70"/>
  <c r="CX142" i="70"/>
  <c r="CC142" i="70"/>
  <c r="CY141" i="70"/>
  <c r="CX141" i="70"/>
  <c r="CC141" i="70"/>
  <c r="CY140" i="70"/>
  <c r="CX140" i="70"/>
  <c r="CC140" i="70"/>
  <c r="CY139" i="70"/>
  <c r="CX139" i="70"/>
  <c r="CC139" i="70"/>
  <c r="CY138" i="70"/>
  <c r="CX138" i="70"/>
  <c r="CC138" i="70"/>
  <c r="CY137" i="70"/>
  <c r="CX137" i="70"/>
  <c r="CC137" i="70"/>
  <c r="CY136" i="70"/>
  <c r="CX136" i="70"/>
  <c r="CC136" i="70"/>
  <c r="CY135" i="70"/>
  <c r="CX135" i="70"/>
  <c r="CC135" i="70"/>
  <c r="CY134" i="70"/>
  <c r="CX134" i="70"/>
  <c r="CC134" i="70"/>
  <c r="CY133" i="70"/>
  <c r="CX133" i="70"/>
  <c r="CC133" i="70"/>
  <c r="CY132" i="70"/>
  <c r="CX132" i="70"/>
  <c r="CC132" i="70"/>
  <c r="CY131" i="70"/>
  <c r="CX131" i="70"/>
  <c r="CC131" i="70"/>
  <c r="CY130" i="70"/>
  <c r="CX130" i="70"/>
  <c r="CC130" i="70"/>
  <c r="CY129" i="70"/>
  <c r="CX129" i="70"/>
  <c r="CC129" i="70"/>
  <c r="CY128" i="70"/>
  <c r="CX128" i="70"/>
  <c r="CC128" i="70"/>
  <c r="CY127" i="70"/>
  <c r="CX127" i="70"/>
  <c r="CC127" i="70"/>
  <c r="CY126" i="70"/>
  <c r="CX126" i="70"/>
  <c r="CC126" i="70"/>
  <c r="CY125" i="70"/>
  <c r="CX125" i="70"/>
  <c r="CC125" i="70"/>
  <c r="CY124" i="70"/>
  <c r="CX124" i="70"/>
  <c r="CC124" i="70"/>
  <c r="CY123" i="70"/>
  <c r="CX123" i="70"/>
  <c r="CC123" i="70"/>
  <c r="CY122" i="70"/>
  <c r="CX122" i="70"/>
  <c r="CC122" i="70"/>
  <c r="CY121" i="70"/>
  <c r="CX121" i="70"/>
  <c r="CC121" i="70"/>
  <c r="CY120" i="70"/>
  <c r="CX120" i="70"/>
  <c r="CC120" i="70"/>
  <c r="CY119" i="70"/>
  <c r="CX119" i="70"/>
  <c r="CC119" i="70"/>
  <c r="CY118" i="70"/>
  <c r="CX118" i="70"/>
  <c r="CC118" i="70"/>
  <c r="CY117" i="70"/>
  <c r="CX117" i="70"/>
  <c r="CC117" i="70"/>
  <c r="CY116" i="70"/>
  <c r="CX116" i="70"/>
  <c r="CC116" i="70"/>
  <c r="CY115" i="70"/>
  <c r="CX115" i="70"/>
  <c r="CC115" i="70"/>
  <c r="CY114" i="70"/>
  <c r="CX114" i="70"/>
  <c r="CC114" i="70"/>
  <c r="CY113" i="70"/>
  <c r="CX113" i="70"/>
  <c r="CC113" i="70"/>
  <c r="CY112" i="70"/>
  <c r="CX112" i="70"/>
  <c r="CC112" i="70"/>
  <c r="CY111" i="70"/>
  <c r="CX111" i="70"/>
  <c r="CC111" i="70"/>
  <c r="CY110" i="70"/>
  <c r="CX110" i="70"/>
  <c r="CC110" i="70"/>
  <c r="CY109" i="70"/>
  <c r="CX109" i="70"/>
  <c r="CC109" i="70"/>
  <c r="CY108" i="70"/>
  <c r="CX108" i="70"/>
  <c r="CC108" i="70"/>
  <c r="CY107" i="70"/>
  <c r="CX107" i="70"/>
  <c r="CC107" i="70"/>
  <c r="CY106" i="70"/>
  <c r="CX106" i="70"/>
  <c r="CC106" i="70"/>
  <c r="CY105" i="70"/>
  <c r="CX105" i="70"/>
  <c r="CC105" i="70"/>
  <c r="CY104" i="70"/>
  <c r="CX104" i="70"/>
  <c r="CC104" i="70"/>
  <c r="CY103" i="70"/>
  <c r="CX103" i="70"/>
  <c r="CC103" i="70"/>
  <c r="CY102" i="70"/>
  <c r="CX102" i="70"/>
  <c r="CC102" i="70"/>
  <c r="CY101" i="70"/>
  <c r="CX101" i="70"/>
  <c r="CC101" i="70"/>
  <c r="CY100" i="70"/>
  <c r="CX100" i="70"/>
  <c r="CC100" i="70"/>
  <c r="CY99" i="70"/>
  <c r="CX99" i="70"/>
  <c r="CC99" i="70"/>
  <c r="CY98" i="70"/>
  <c r="CX98" i="70"/>
  <c r="CC98" i="70"/>
  <c r="CY97" i="70"/>
  <c r="CX97" i="70"/>
  <c r="CC97" i="70"/>
  <c r="CY96" i="70"/>
  <c r="CX96" i="70"/>
  <c r="CC96" i="70"/>
  <c r="CY95" i="70"/>
  <c r="CX95" i="70"/>
  <c r="CC95" i="70"/>
  <c r="CY94" i="70"/>
  <c r="CX94" i="70"/>
  <c r="CC94" i="70"/>
  <c r="CY93" i="70"/>
  <c r="CX93" i="70"/>
  <c r="CC93" i="70"/>
  <c r="CY92" i="70"/>
  <c r="CX92" i="70"/>
  <c r="CC92" i="70"/>
  <c r="CY91" i="70"/>
  <c r="CX91" i="70"/>
  <c r="CC91" i="70"/>
  <c r="CY90" i="70"/>
  <c r="CX90" i="70"/>
  <c r="CC90" i="70"/>
  <c r="CY89" i="70"/>
  <c r="CX89" i="70"/>
  <c r="CC89" i="70"/>
  <c r="CY88" i="70"/>
  <c r="CX88" i="70"/>
  <c r="CC88" i="70"/>
  <c r="CY87" i="70"/>
  <c r="CX87" i="70"/>
  <c r="CC87" i="70"/>
  <c r="CY86" i="70"/>
  <c r="CX86" i="70"/>
  <c r="CC86" i="70"/>
  <c r="CY85" i="70"/>
  <c r="CX85" i="70"/>
  <c r="CC85" i="70"/>
  <c r="CY84" i="70"/>
  <c r="CX84" i="70"/>
  <c r="CC84" i="70"/>
  <c r="CY83" i="70"/>
  <c r="CX83" i="70"/>
  <c r="CC83" i="70"/>
  <c r="CY82" i="70"/>
  <c r="CX82" i="70"/>
  <c r="CC82" i="70"/>
  <c r="CY81" i="70"/>
  <c r="CX81" i="70"/>
  <c r="CC81" i="70"/>
  <c r="CY80" i="70"/>
  <c r="CX80" i="70"/>
  <c r="CC80" i="70"/>
  <c r="CY79" i="70"/>
  <c r="CX79" i="70"/>
  <c r="CC79" i="70"/>
  <c r="CY78" i="70"/>
  <c r="CX78" i="70"/>
  <c r="CC78" i="70"/>
  <c r="CY77" i="70"/>
  <c r="CX77" i="70"/>
  <c r="CC77" i="70"/>
  <c r="CY76" i="70"/>
  <c r="CX76" i="70"/>
  <c r="CC76" i="70"/>
  <c r="CY75" i="70"/>
  <c r="CX75" i="70"/>
  <c r="CC75" i="70"/>
  <c r="CY74" i="70"/>
  <c r="CX74" i="70"/>
  <c r="CC74" i="70"/>
  <c r="CY73" i="70"/>
  <c r="CX73" i="70"/>
  <c r="CC73" i="70"/>
  <c r="CY72" i="70"/>
  <c r="CX72" i="70"/>
  <c r="CC72" i="70"/>
  <c r="CY71" i="70"/>
  <c r="CX71" i="70"/>
  <c r="CC71" i="70"/>
  <c r="CY70" i="70"/>
  <c r="CX70" i="70"/>
  <c r="CC70" i="70"/>
  <c r="CY69" i="70"/>
  <c r="CX69" i="70"/>
  <c r="CC69" i="70"/>
  <c r="CY68" i="70"/>
  <c r="CX68" i="70"/>
  <c r="CC68" i="70"/>
  <c r="CY67" i="70"/>
  <c r="CX67" i="70"/>
  <c r="CC67" i="70"/>
  <c r="CY66" i="70"/>
  <c r="CX66" i="70"/>
  <c r="CC66" i="70"/>
  <c r="CY65" i="70"/>
  <c r="CX65" i="70"/>
  <c r="CC65" i="70"/>
  <c r="CY64" i="70"/>
  <c r="CX64" i="70"/>
  <c r="CC64" i="70"/>
  <c r="CY63" i="70"/>
  <c r="CX63" i="70"/>
  <c r="CC63" i="70"/>
  <c r="CY62" i="70"/>
  <c r="CX62" i="70"/>
  <c r="CC62" i="70"/>
  <c r="CY61" i="70"/>
  <c r="CX61" i="70"/>
  <c r="CC61" i="70"/>
  <c r="CY60" i="70"/>
  <c r="CX60" i="70"/>
  <c r="CC60" i="70"/>
  <c r="CY59" i="70"/>
  <c r="CX59" i="70"/>
  <c r="CC59" i="70"/>
  <c r="CY58" i="70"/>
  <c r="CX58" i="70"/>
  <c r="CC58" i="70"/>
  <c r="CY57" i="70"/>
  <c r="CX57" i="70"/>
  <c r="CC57" i="70"/>
  <c r="CY56" i="70"/>
  <c r="CX56" i="70"/>
  <c r="CC56" i="70"/>
  <c r="CY55" i="70"/>
  <c r="CX55" i="70"/>
  <c r="CC55" i="70"/>
  <c r="CY54" i="70"/>
  <c r="CX54" i="70"/>
  <c r="CC54" i="70"/>
  <c r="CY53" i="70"/>
  <c r="CX53" i="70"/>
  <c r="CC53" i="70"/>
  <c r="CY52" i="70"/>
  <c r="CX52" i="70"/>
  <c r="CC52" i="70"/>
  <c r="CY51" i="70"/>
  <c r="CX51" i="70"/>
  <c r="CC51" i="70"/>
  <c r="CY50" i="70"/>
  <c r="CX50" i="70"/>
  <c r="CC50" i="70"/>
  <c r="CY49" i="70"/>
  <c r="CX49" i="70"/>
  <c r="CC49" i="70"/>
  <c r="CY48" i="70"/>
  <c r="CX48" i="70"/>
  <c r="CC48" i="70"/>
  <c r="CY47" i="70"/>
  <c r="CX47" i="70"/>
  <c r="CC47" i="70"/>
  <c r="CY46" i="70"/>
  <c r="CX46" i="70"/>
  <c r="CC46" i="70"/>
  <c r="CY45" i="70"/>
  <c r="CX45" i="70"/>
  <c r="CC45" i="70"/>
  <c r="CY44" i="70"/>
  <c r="CX44" i="70"/>
  <c r="CC44" i="70"/>
  <c r="CY43" i="70"/>
  <c r="CX43" i="70"/>
  <c r="CC43" i="70"/>
  <c r="CY42" i="70"/>
  <c r="CX42" i="70"/>
  <c r="CC42" i="70"/>
  <c r="CY41" i="70"/>
  <c r="CX41" i="70"/>
  <c r="CC41" i="70"/>
  <c r="CY40" i="70"/>
  <c r="CX40" i="70"/>
  <c r="CC40" i="70"/>
  <c r="CY39" i="70"/>
  <c r="CX39" i="70"/>
  <c r="CC39" i="70"/>
  <c r="CY772" i="70"/>
  <c r="CX772" i="70"/>
  <c r="CY771" i="70"/>
  <c r="CX771" i="70"/>
  <c r="CY38" i="70"/>
  <c r="CX38" i="70"/>
  <c r="CC38" i="70"/>
  <c r="CY37" i="70"/>
  <c r="CX37" i="70"/>
  <c r="CC37" i="70"/>
  <c r="CY36" i="70"/>
  <c r="CX36" i="70"/>
  <c r="CC36" i="70"/>
  <c r="CY35" i="70"/>
  <c r="CX35" i="70"/>
  <c r="CC35" i="70"/>
  <c r="CY34" i="70"/>
  <c r="CX34" i="70"/>
  <c r="CC34" i="70"/>
  <c r="CY33" i="70"/>
  <c r="CX33" i="70"/>
  <c r="CC33" i="70"/>
  <c r="CY32" i="70"/>
  <c r="CX32" i="70"/>
  <c r="CC32" i="70"/>
  <c r="CY31" i="70"/>
  <c r="CX31" i="70"/>
  <c r="CC31" i="70"/>
  <c r="CY30" i="70"/>
  <c r="CX30" i="70"/>
  <c r="CC30" i="70"/>
  <c r="CY29" i="70"/>
  <c r="CX29" i="70"/>
  <c r="CC29" i="70"/>
  <c r="CY28" i="70"/>
  <c r="CX28" i="70"/>
  <c r="CC28" i="70"/>
  <c r="CY27" i="70"/>
  <c r="CX27" i="70"/>
  <c r="CC27" i="70"/>
  <c r="CY26" i="70"/>
  <c r="CX26" i="70"/>
  <c r="CC26" i="70"/>
  <c r="CY25" i="70"/>
  <c r="CX25" i="70"/>
  <c r="CC25" i="70"/>
  <c r="CY24" i="70"/>
  <c r="CX24" i="70"/>
  <c r="CC24" i="70"/>
  <c r="CY23" i="70"/>
  <c r="CX23" i="70"/>
  <c r="CC23" i="70"/>
  <c r="CY22" i="70"/>
  <c r="CX22" i="70"/>
  <c r="CC22" i="70"/>
  <c r="CY21" i="70"/>
  <c r="CX21" i="70"/>
  <c r="CC21" i="70"/>
  <c r="CY19" i="70"/>
  <c r="CX19" i="70"/>
  <c r="CC19" i="70"/>
  <c r="CY18" i="70"/>
  <c r="CX18" i="70"/>
  <c r="CC18" i="70"/>
  <c r="CY17" i="70"/>
  <c r="CX17" i="70"/>
  <c r="CC17" i="70"/>
  <c r="CY16" i="70"/>
  <c r="CX16" i="70"/>
  <c r="CC16" i="70"/>
  <c r="CY15" i="70"/>
  <c r="CX15" i="70"/>
  <c r="CC15" i="70"/>
  <c r="CY14" i="70"/>
  <c r="CX14" i="70"/>
  <c r="CC14" i="70"/>
  <c r="CY13" i="70"/>
  <c r="CX13" i="70"/>
  <c r="CC13" i="70"/>
  <c r="CY12" i="70"/>
  <c r="CX12" i="70"/>
  <c r="CC12" i="70"/>
  <c r="CY11" i="70"/>
  <c r="CX11" i="70"/>
  <c r="CC11" i="70"/>
  <c r="CY10" i="70"/>
  <c r="CX10" i="70"/>
  <c r="CC10" i="70"/>
  <c r="CY9" i="70"/>
  <c r="CX9" i="70"/>
  <c r="CC9" i="70"/>
  <c r="CY8" i="70"/>
  <c r="CX8" i="70"/>
  <c r="CC8" i="70"/>
  <c r="CY7" i="70"/>
  <c r="CX7" i="70"/>
  <c r="CC7" i="70"/>
  <c r="CY6" i="70"/>
  <c r="CX6" i="70"/>
  <c r="CC6" i="70"/>
  <c r="CY5" i="70"/>
  <c r="CX5" i="70"/>
  <c r="CC5" i="70"/>
  <c r="CY4" i="70"/>
  <c r="CX4" i="70"/>
  <c r="CC4" i="70"/>
  <c r="CY3" i="70"/>
  <c r="CX3" i="70"/>
  <c r="CC3" i="70"/>
  <c r="CY2" i="70"/>
  <c r="CX2" i="70"/>
  <c r="CC2" i="70"/>
  <c r="X6" i="72" l="1"/>
  <c r="T6" i="72"/>
  <c r="R6" i="72"/>
  <c r="V6" i="72"/>
  <c r="K6" i="72"/>
  <c r="N6" i="72"/>
  <c r="S6" i="72"/>
  <c r="U6" i="72"/>
  <c r="W6" i="72"/>
  <c r="CY287" i="70"/>
  <c r="Q6" i="72"/>
  <c r="J6" i="72"/>
  <c r="M6" i="72"/>
  <c r="P6" i="72"/>
  <c r="L6" i="72"/>
  <c r="O6" i="72"/>
  <c r="CX239" i="70"/>
  <c r="CX253" i="70"/>
  <c r="CX808" i="70"/>
  <c r="CY507" i="70"/>
  <c r="CY504" i="70"/>
  <c r="CX807" i="70"/>
  <c r="CY508" i="70"/>
  <c r="CY801" i="70"/>
  <c r="CY802" i="70"/>
  <c r="CX803" i="70"/>
  <c r="CX805" i="70"/>
  <c r="CX809" i="70"/>
  <c r="CY1338" i="70"/>
  <c r="CY1340" i="70"/>
  <c r="CY1344" i="70"/>
  <c r="CY1346" i="70"/>
  <c r="CY1350" i="70"/>
  <c r="CY1352" i="70"/>
  <c r="CY1354" i="70"/>
  <c r="CY1356" i="70"/>
  <c r="CY1358" i="70"/>
  <c r="CY1360" i="70"/>
  <c r="CY1364" i="70"/>
  <c r="CY1368" i="70"/>
  <c r="CY1370" i="70"/>
  <c r="CY1378" i="70"/>
  <c r="CY1379" i="70"/>
  <c r="CY1380" i="70"/>
  <c r="CX1392" i="70"/>
  <c r="CX1394" i="70"/>
  <c r="CX1396" i="70"/>
  <c r="CY1406" i="70"/>
  <c r="CY1408" i="70"/>
  <c r="CY1410" i="70"/>
  <c r="CY1415" i="70"/>
  <c r="CY1427" i="70"/>
  <c r="CX243" i="70"/>
  <c r="CY245" i="70"/>
  <c r="CY246" i="70"/>
  <c r="CY247" i="70"/>
  <c r="CY281" i="70"/>
  <c r="CX386" i="70"/>
  <c r="CX387" i="70"/>
  <c r="CX388" i="70"/>
  <c r="CX389" i="70"/>
  <c r="CX390" i="70"/>
  <c r="CY396" i="70"/>
  <c r="CY398" i="70"/>
  <c r="CY400" i="70"/>
  <c r="CY451" i="70"/>
  <c r="CY452" i="70"/>
  <c r="CY499" i="70"/>
  <c r="CY1471" i="70"/>
  <c r="CY502" i="70"/>
  <c r="CY503" i="70"/>
  <c r="CY473" i="70"/>
  <c r="CY1334" i="70"/>
  <c r="CX810" i="70"/>
  <c r="CY596" i="70"/>
  <c r="CY602" i="70"/>
  <c r="CY603" i="70"/>
  <c r="CY621" i="70"/>
  <c r="CY622" i="70"/>
  <c r="CY640" i="70"/>
  <c r="CY663" i="70"/>
  <c r="CY664" i="70"/>
  <c r="CY673" i="70"/>
  <c r="CY676" i="70"/>
  <c r="CY677" i="70"/>
  <c r="CY686" i="70"/>
  <c r="CY687" i="70"/>
  <c r="CY688" i="70"/>
  <c r="CY689" i="70"/>
  <c r="CY690" i="70"/>
  <c r="CY691" i="70"/>
  <c r="CY692" i="70"/>
  <c r="CY693" i="70"/>
  <c r="CY694" i="70"/>
  <c r="CY695" i="70"/>
  <c r="CY696" i="70"/>
  <c r="CY697" i="70"/>
  <c r="CY698" i="70"/>
  <c r="CY699" i="70"/>
  <c r="CY700" i="70"/>
  <c r="CY701" i="70"/>
  <c r="CY702" i="70"/>
  <c r="CY703" i="70"/>
  <c r="CY704" i="70"/>
  <c r="CY739" i="70"/>
  <c r="CX740" i="70"/>
  <c r="CY742" i="70"/>
  <c r="CY743" i="70"/>
  <c r="CY744" i="70"/>
  <c r="CX745" i="70"/>
  <c r="CY747" i="70"/>
  <c r="CY748" i="70"/>
  <c r="CY749" i="70"/>
  <c r="CY750" i="70"/>
  <c r="CY751" i="70"/>
  <c r="CX1033" i="70"/>
  <c r="CX1034" i="70"/>
  <c r="CX1035" i="70"/>
  <c r="CY1036" i="70"/>
  <c r="CY1037" i="70"/>
  <c r="CY1038" i="70"/>
  <c r="CY1039" i="70"/>
  <c r="CY1040" i="70"/>
  <c r="CY1041" i="70"/>
  <c r="CY1042" i="70"/>
  <c r="CY1053" i="70"/>
  <c r="CY1054" i="70"/>
  <c r="CY1055" i="70"/>
  <c r="CY1056" i="70"/>
  <c r="CY1057" i="70"/>
  <c r="CY1058" i="70"/>
  <c r="CY1059" i="70"/>
  <c r="CY1060" i="70"/>
  <c r="CY1061" i="70"/>
  <c r="CY1062" i="70"/>
  <c r="CY1063" i="70"/>
  <c r="CY1064" i="70"/>
  <c r="CY1065" i="70"/>
  <c r="CY1066" i="70"/>
  <c r="CY1067" i="70"/>
  <c r="CY1068" i="70"/>
  <c r="CY1069" i="70"/>
  <c r="CY1070" i="70"/>
  <c r="CY1071" i="70"/>
  <c r="CY1072" i="70"/>
  <c r="CY1073" i="70"/>
  <c r="CY1074" i="70"/>
  <c r="CY1075" i="70"/>
  <c r="CY1076" i="70"/>
  <c r="CY1077" i="70"/>
  <c r="CY1078" i="70"/>
  <c r="CY1079" i="70"/>
  <c r="CY1080" i="70"/>
  <c r="CY1081" i="70"/>
  <c r="CY1082" i="70"/>
  <c r="CY1083" i="70"/>
  <c r="CY1084" i="70"/>
  <c r="CX1085" i="70"/>
  <c r="CY1115" i="70"/>
  <c r="CY1116" i="70"/>
  <c r="CY1117" i="70"/>
  <c r="CY1118" i="70"/>
  <c r="CY1119" i="70"/>
  <c r="CY1120" i="70"/>
  <c r="CY1121" i="70"/>
  <c r="CY1122" i="70"/>
  <c r="CY1123" i="70"/>
  <c r="CY1124" i="70"/>
  <c r="CY1125" i="70"/>
  <c r="CY1126" i="70"/>
  <c r="CY1127" i="70"/>
  <c r="CY1128" i="70"/>
  <c r="CY1129" i="70"/>
  <c r="CY1130" i="70"/>
  <c r="CY1131" i="70"/>
  <c r="CY1132" i="70"/>
  <c r="CY1133" i="70"/>
  <c r="CY1136" i="70"/>
  <c r="CY1137" i="70"/>
  <c r="CY1138" i="70"/>
  <c r="CY1139" i="70"/>
  <c r="CY1140" i="70"/>
  <c r="CY1141" i="70"/>
  <c r="CY1142" i="70"/>
  <c r="CY1143" i="70"/>
  <c r="CY1144" i="70"/>
  <c r="CY1145" i="70"/>
  <c r="CY1146" i="70"/>
  <c r="CY1147" i="70"/>
  <c r="CY1148" i="70"/>
  <c r="CY1149" i="70"/>
  <c r="CY1150" i="70"/>
  <c r="CY1151" i="70"/>
  <c r="CY1152" i="70"/>
  <c r="CY1179" i="70"/>
  <c r="CY1184" i="70"/>
  <c r="CY1240" i="70"/>
  <c r="CY1245" i="70"/>
  <c r="CY1247" i="70"/>
  <c r="CY1250" i="70"/>
  <c r="CY1252" i="70"/>
  <c r="CY1255" i="70"/>
  <c r="CY1257" i="70"/>
  <c r="CY1259" i="70"/>
  <c r="CY1261" i="70"/>
  <c r="CY1263" i="70"/>
  <c r="CY1265" i="70"/>
  <c r="CY1267" i="70"/>
  <c r="CY1269" i="70"/>
  <c r="CY1272" i="70"/>
  <c r="CY1275" i="70"/>
  <c r="CY1277" i="70"/>
  <c r="CY1279" i="70"/>
  <c r="CY1281" i="70"/>
  <c r="CY1283" i="70"/>
  <c r="CY1285" i="70"/>
  <c r="CY1289" i="70"/>
  <c r="CY1292" i="70"/>
  <c r="CY1294" i="70"/>
  <c r="CY1296" i="70"/>
  <c r="CY1300" i="70"/>
  <c r="CY1302" i="70"/>
  <c r="CY1306" i="70"/>
  <c r="CY1310" i="70"/>
  <c r="CY1313" i="70"/>
  <c r="CY1315" i="70"/>
  <c r="CY1317" i="70"/>
  <c r="CY1319" i="70"/>
  <c r="CY1433" i="70"/>
  <c r="CX1435" i="70"/>
  <c r="CX1437" i="70"/>
  <c r="CX1451" i="70"/>
  <c r="CX1455" i="70"/>
  <c r="CX1456" i="70"/>
  <c r="CX1457" i="70"/>
  <c r="CX1458" i="70"/>
  <c r="CX1459" i="70"/>
  <c r="CY1460" i="70"/>
  <c r="CY1462" i="70"/>
  <c r="CX519" i="70"/>
  <c r="CX811" i="70"/>
  <c r="CX812" i="70"/>
  <c r="CX813" i="70"/>
  <c r="CX814" i="70"/>
  <c r="CX815" i="70"/>
  <c r="CX816" i="70"/>
  <c r="CX817" i="70"/>
  <c r="CX818" i="70"/>
  <c r="CX819" i="70"/>
  <c r="CX820" i="70"/>
  <c r="CX821" i="70"/>
  <c r="CX822" i="70"/>
  <c r="CX823" i="70"/>
  <c r="CX824" i="70"/>
  <c r="CY825" i="70"/>
  <c r="CX826" i="70"/>
  <c r="CY827" i="70"/>
  <c r="CY828" i="70"/>
  <c r="CY829" i="70"/>
  <c r="CY830" i="70"/>
  <c r="CY831" i="70"/>
  <c r="CY832" i="70"/>
  <c r="CY833" i="70"/>
  <c r="CY834" i="70"/>
  <c r="CY835" i="70"/>
  <c r="CY836" i="70"/>
  <c r="CY1381" i="70"/>
  <c r="CX765" i="70"/>
  <c r="CX766" i="70"/>
  <c r="CX767" i="70"/>
  <c r="CX768" i="70"/>
  <c r="CX769" i="70"/>
  <c r="CX770" i="70"/>
  <c r="CY773" i="70"/>
  <c r="CY775" i="70"/>
  <c r="CX777" i="70"/>
  <c r="CX778" i="70"/>
  <c r="CX779" i="70"/>
  <c r="CX780" i="70"/>
  <c r="CX781" i="70"/>
  <c r="CX782" i="70"/>
  <c r="CY948" i="70"/>
  <c r="CY949" i="70"/>
  <c r="CX950" i="70"/>
  <c r="CY951" i="70"/>
  <c r="CY952" i="70"/>
  <c r="CX953" i="70"/>
  <c r="CX954" i="70"/>
  <c r="CX955" i="70"/>
  <c r="CY956" i="70"/>
  <c r="CY957" i="70"/>
  <c r="CX958" i="70"/>
  <c r="CX959" i="70"/>
  <c r="CX960" i="70"/>
  <c r="CX961" i="70"/>
  <c r="CX962" i="70"/>
  <c r="CX963" i="70"/>
  <c r="CX964" i="70"/>
  <c r="CX965" i="70"/>
  <c r="CX966" i="70"/>
  <c r="CX967" i="70"/>
  <c r="CX968" i="70"/>
  <c r="CX969" i="70"/>
  <c r="CX970" i="70"/>
  <c r="CX971" i="70"/>
  <c r="CX972" i="70"/>
  <c r="CX973" i="70"/>
  <c r="CX974" i="70"/>
  <c r="CX975" i="70"/>
  <c r="CY976" i="70"/>
  <c r="CY977" i="70"/>
  <c r="CY978" i="70"/>
  <c r="CY979" i="70"/>
  <c r="CY980" i="70"/>
  <c r="CY981" i="70"/>
  <c r="CY982" i="70"/>
  <c r="CY983" i="70"/>
  <c r="CY984" i="70"/>
  <c r="CY1003" i="70"/>
  <c r="CY1004" i="70"/>
  <c r="CX1005" i="70"/>
  <c r="CY1164" i="70"/>
  <c r="CY1330" i="70"/>
  <c r="CY1386" i="70"/>
  <c r="CX837" i="70"/>
  <c r="CY838" i="70"/>
  <c r="CY839" i="70"/>
  <c r="CY840" i="70"/>
  <c r="CY841" i="70"/>
  <c r="CY842" i="70"/>
  <c r="CY843" i="70"/>
  <c r="CY844" i="70"/>
  <c r="CY845" i="70"/>
  <c r="CY846" i="70"/>
  <c r="CY847" i="70"/>
  <c r="CY848" i="70"/>
  <c r="CY849" i="70"/>
  <c r="CY850" i="70"/>
  <c r="CY851" i="70"/>
  <c r="CY852" i="70"/>
  <c r="CY853" i="70"/>
  <c r="CY854" i="70"/>
  <c r="CY855" i="70"/>
  <c r="CY856" i="70"/>
  <c r="CY857" i="70"/>
  <c r="CY858" i="70"/>
  <c r="CY859" i="70"/>
  <c r="CY860" i="70"/>
  <c r="CY861" i="70"/>
  <c r="CY862" i="70"/>
  <c r="CY863" i="70"/>
  <c r="CY864" i="70"/>
  <c r="CY865" i="70"/>
  <c r="CY866" i="70"/>
  <c r="CY867" i="70"/>
  <c r="CY868" i="70"/>
  <c r="CY249" i="70"/>
  <c r="CX256" i="70"/>
  <c r="CX260" i="70"/>
  <c r="CX261" i="70"/>
  <c r="CX268" i="70"/>
  <c r="CX272" i="70"/>
  <c r="CX277" i="70"/>
  <c r="CX291" i="70"/>
  <c r="CX329" i="70"/>
  <c r="CX332" i="70"/>
  <c r="CX333" i="70"/>
  <c r="CY407" i="70"/>
  <c r="CX475" i="70"/>
  <c r="CX480" i="70"/>
  <c r="CX481" i="70"/>
  <c r="CX515" i="70"/>
  <c r="CX523" i="70"/>
  <c r="CX525" i="70"/>
  <c r="CX526" i="70"/>
  <c r="CX577" i="70"/>
  <c r="CX590" i="70"/>
  <c r="CX593" i="70"/>
  <c r="CX594" i="70"/>
  <c r="CX617" i="70"/>
  <c r="CX628" i="70"/>
  <c r="CX633" i="70"/>
  <c r="CX636" i="70"/>
  <c r="CY869" i="70"/>
  <c r="CY870" i="70"/>
  <c r="CY872" i="70"/>
  <c r="CY873" i="70"/>
  <c r="CY874" i="70"/>
  <c r="CY875" i="70"/>
  <c r="CY876" i="70"/>
  <c r="CY877" i="70"/>
  <c r="CY878" i="70"/>
  <c r="CY879" i="70"/>
  <c r="CY880" i="70"/>
  <c r="CY881" i="70"/>
  <c r="CY882" i="70"/>
  <c r="CY883" i="70"/>
  <c r="CY884" i="70"/>
  <c r="CY885" i="70"/>
  <c r="CY886" i="70"/>
  <c r="CY887" i="70"/>
  <c r="CY888" i="70"/>
  <c r="CY889" i="70"/>
  <c r="CY890" i="70"/>
  <c r="CY891" i="70"/>
  <c r="CY892" i="70"/>
  <c r="CY893" i="70"/>
  <c r="CY894" i="70"/>
  <c r="CY895" i="70"/>
  <c r="CY896" i="70"/>
  <c r="CY897" i="70"/>
  <c r="CY898" i="70"/>
  <c r="CY899" i="70"/>
  <c r="CY900" i="70"/>
  <c r="CY901" i="70"/>
  <c r="CY902" i="70"/>
  <c r="CY903" i="70"/>
  <c r="CY904" i="70"/>
  <c r="CY905" i="70"/>
  <c r="CY906" i="70"/>
  <c r="CY907" i="70"/>
  <c r="CY908" i="70"/>
  <c r="CY909" i="70"/>
  <c r="CY910" i="70"/>
  <c r="CY911" i="70"/>
  <c r="CY912" i="70"/>
  <c r="CY913" i="70"/>
  <c r="CY914" i="70"/>
  <c r="CY915" i="70"/>
  <c r="CY916" i="70"/>
  <c r="CY917" i="70"/>
  <c r="CY918" i="70"/>
  <c r="CY919" i="70"/>
  <c r="CY935" i="70"/>
  <c r="CY936" i="70"/>
  <c r="CX977" i="70"/>
  <c r="CX980" i="70"/>
  <c r="CX981" i="70"/>
  <c r="CX984" i="70"/>
  <c r="CX985" i="70"/>
  <c r="CX997" i="70"/>
  <c r="CY1023" i="70"/>
  <c r="CX1024" i="70"/>
  <c r="CX1030" i="70"/>
  <c r="CY1166" i="70"/>
  <c r="CY1168" i="70"/>
  <c r="CY1175" i="70"/>
  <c r="CY1186" i="70"/>
  <c r="CY1190" i="70"/>
  <c r="CY1192" i="70"/>
  <c r="CY1194" i="70"/>
  <c r="CY1196" i="70"/>
  <c r="CY1198" i="70"/>
  <c r="CY1202" i="70"/>
  <c r="CY1204" i="70"/>
  <c r="CY1206" i="70"/>
  <c r="CY1208" i="70"/>
  <c r="CY1214" i="70"/>
  <c r="CY1216" i="70"/>
  <c r="CY1218" i="70"/>
  <c r="CY1220" i="70"/>
  <c r="CY1222" i="70"/>
  <c r="CY1224" i="70"/>
  <c r="CY1232" i="70"/>
  <c r="CY1318" i="70"/>
  <c r="CY1322" i="70"/>
  <c r="CY1325" i="70"/>
  <c r="CY1429" i="70"/>
  <c r="CY920" i="70"/>
  <c r="CY921" i="70"/>
  <c r="CY922" i="70"/>
  <c r="CY923" i="70"/>
  <c r="CY924" i="70"/>
  <c r="CY925" i="70"/>
  <c r="CY926" i="70"/>
  <c r="CY927" i="70"/>
  <c r="CY928" i="70"/>
  <c r="CY937" i="70"/>
  <c r="CY938" i="70"/>
  <c r="CY939" i="70"/>
  <c r="CY940" i="70"/>
  <c r="CY941" i="70"/>
  <c r="CY942" i="70"/>
  <c r="CY943" i="70"/>
  <c r="CY944" i="70"/>
  <c r="CY945" i="70"/>
  <c r="CY946" i="70"/>
  <c r="CY947" i="70"/>
  <c r="CX948" i="70"/>
  <c r="CX949" i="70"/>
  <c r="CX978" i="70"/>
  <c r="CX979" i="70"/>
  <c r="CX982" i="70"/>
  <c r="CX983" i="70"/>
  <c r="CX986" i="70"/>
  <c r="CX987" i="70"/>
  <c r="CX988" i="70"/>
  <c r="CX989" i="70"/>
  <c r="CX990" i="70"/>
  <c r="CX991" i="70"/>
  <c r="CX992" i="70"/>
  <c r="CX993" i="70"/>
  <c r="CX994" i="70"/>
  <c r="CX995" i="70"/>
  <c r="CX996" i="70"/>
  <c r="CX998" i="70"/>
  <c r="CX999" i="70"/>
  <c r="CX1000" i="70"/>
  <c r="CX1001" i="70"/>
  <c r="CX1002" i="70"/>
  <c r="CY1009" i="70"/>
  <c r="CY1010" i="70"/>
  <c r="CY1011" i="70"/>
  <c r="CY1012" i="70"/>
  <c r="CY1013" i="70"/>
  <c r="CY1014" i="70"/>
  <c r="CY1015" i="70"/>
  <c r="CY1016" i="70"/>
  <c r="CY1017" i="70"/>
  <c r="CY1018" i="70"/>
  <c r="CY1019" i="70"/>
  <c r="CY1020" i="70"/>
  <c r="CY1021" i="70"/>
  <c r="CY1022" i="70"/>
  <c r="CY1228" i="70"/>
  <c r="CY1237" i="70"/>
  <c r="CY1305" i="70"/>
  <c r="CY1307" i="70"/>
  <c r="CY1309" i="70"/>
  <c r="CY1314" i="70"/>
  <c r="CY1329" i="70"/>
  <c r="CY1393" i="70"/>
  <c r="CY1395" i="70"/>
  <c r="CY1397" i="70"/>
  <c r="CY1399" i="70"/>
  <c r="CY1401" i="70"/>
  <c r="CY1403" i="70"/>
  <c r="CY1464" i="70"/>
  <c r="CY1466" i="70"/>
  <c r="CY1468" i="70"/>
  <c r="CY394" i="70"/>
  <c r="CX437" i="70"/>
  <c r="CX438" i="70"/>
  <c r="CX439" i="70"/>
  <c r="CX440" i="70"/>
  <c r="CY445" i="70"/>
  <c r="CX598" i="70"/>
  <c r="CX599" i="70"/>
  <c r="CX600" i="70"/>
  <c r="CY607" i="70"/>
  <c r="CY609" i="70"/>
  <c r="CX642" i="70"/>
  <c r="CX643" i="70"/>
  <c r="CX644" i="70"/>
  <c r="CX710" i="70"/>
  <c r="CX711" i="70"/>
  <c r="CX712" i="70"/>
  <c r="CX713" i="70"/>
  <c r="CX714" i="70"/>
  <c r="CX715" i="70"/>
  <c r="CY1153" i="70"/>
  <c r="CX1174" i="70"/>
  <c r="CY1321" i="70"/>
  <c r="CY1326" i="70"/>
  <c r="CY1333" i="70"/>
  <c r="CY1430" i="70"/>
  <c r="CY1431" i="70"/>
  <c r="CY1432" i="70"/>
  <c r="CY1434" i="70"/>
  <c r="CY250" i="70"/>
  <c r="CY258" i="70"/>
  <c r="CY270" i="70"/>
  <c r="CY293" i="70"/>
  <c r="CX517" i="70"/>
  <c r="CX521" i="70"/>
  <c r="CX608" i="70"/>
  <c r="CY625" i="70"/>
  <c r="CY626" i="70"/>
  <c r="CY705" i="70"/>
  <c r="CY706" i="70"/>
  <c r="CX241" i="70"/>
  <c r="CX395" i="70"/>
  <c r="CX397" i="70"/>
  <c r="CX399" i="70"/>
  <c r="CX401" i="70"/>
  <c r="CY446" i="70"/>
  <c r="CX449" i="70"/>
  <c r="CX647" i="70"/>
  <c r="CX650" i="70"/>
  <c r="CX651" i="70"/>
  <c r="CX652" i="70"/>
  <c r="CX657" i="70"/>
  <c r="CX666" i="70"/>
  <c r="CX669" i="70"/>
  <c r="CX670" i="70"/>
  <c r="CX671" i="70"/>
  <c r="CX679" i="70"/>
  <c r="CX680" i="70"/>
  <c r="CX681" i="70"/>
  <c r="CX684" i="70"/>
  <c r="CX716" i="70"/>
  <c r="CX717" i="70"/>
  <c r="CX718" i="70"/>
  <c r="CX719" i="70"/>
  <c r="CX720" i="70"/>
  <c r="CX721" i="70"/>
  <c r="CX722" i="70"/>
  <c r="CX723" i="70"/>
  <c r="CX724" i="70"/>
  <c r="CX725" i="70"/>
  <c r="CX726" i="70"/>
  <c r="CX727" i="70"/>
  <c r="CX728" i="70"/>
  <c r="CX729" i="70"/>
  <c r="CX730" i="70"/>
  <c r="CX731" i="70"/>
  <c r="CX732" i="70"/>
  <c r="CX733" i="70"/>
  <c r="CX734" i="70"/>
  <c r="CX735" i="70"/>
  <c r="CX736" i="70"/>
  <c r="CX737" i="70"/>
  <c r="CY738" i="70"/>
  <c r="CY741" i="70"/>
  <c r="CY950" i="70"/>
  <c r="CY746" i="70"/>
  <c r="CY761" i="70"/>
  <c r="CY762" i="70"/>
  <c r="CY763" i="70"/>
  <c r="CX764" i="70"/>
  <c r="CY767" i="70"/>
  <c r="CY768" i="70"/>
  <c r="CY769" i="70"/>
  <c r="CY770" i="70"/>
  <c r="CX773" i="70"/>
  <c r="CX774" i="70"/>
  <c r="CX775" i="70"/>
  <c r="CX776" i="70"/>
  <c r="CY777" i="70"/>
  <c r="CY778" i="70"/>
  <c r="CY779" i="70"/>
  <c r="CY780" i="70"/>
  <c r="CY781" i="70"/>
  <c r="CY782" i="70"/>
  <c r="CY786" i="70"/>
  <c r="CY787" i="70"/>
  <c r="CY788" i="70"/>
  <c r="CY789" i="70"/>
  <c r="CY790" i="70"/>
  <c r="CY791" i="70"/>
  <c r="CY792" i="70"/>
  <c r="CY793" i="70"/>
  <c r="CY794" i="70"/>
  <c r="CY795" i="70"/>
  <c r="CY796" i="70"/>
  <c r="CY797" i="70"/>
  <c r="CX799" i="70"/>
  <c r="CX801" i="70"/>
  <c r="CX802" i="70"/>
  <c r="CY805" i="70"/>
  <c r="CY807" i="70"/>
  <c r="CY808" i="70"/>
  <c r="CY809" i="70"/>
  <c r="CY810" i="70"/>
  <c r="CY811" i="70"/>
  <c r="CY812" i="70"/>
  <c r="CY813" i="70"/>
  <c r="CY814" i="70"/>
  <c r="CY815" i="70"/>
  <c r="CY816" i="70"/>
  <c r="CY817" i="70"/>
  <c r="CY818" i="70"/>
  <c r="CY819" i="70"/>
  <c r="CY820" i="70"/>
  <c r="CY821" i="70"/>
  <c r="CY822" i="70"/>
  <c r="CY823" i="70"/>
  <c r="CY824" i="70"/>
  <c r="CX827" i="70"/>
  <c r="CX828" i="70"/>
  <c r="CX829" i="70"/>
  <c r="CX830" i="70"/>
  <c r="CX831" i="70"/>
  <c r="CX832" i="70"/>
  <c r="CX833" i="70"/>
  <c r="CX834" i="70"/>
  <c r="CX835" i="70"/>
  <c r="CX836" i="70"/>
  <c r="CY837" i="70"/>
  <c r="CY985" i="70"/>
  <c r="CY986" i="70"/>
  <c r="CY987" i="70"/>
  <c r="CY988" i="70"/>
  <c r="CY989" i="70"/>
  <c r="CY990" i="70"/>
  <c r="CY991" i="70"/>
  <c r="CY992" i="70"/>
  <c r="CY993" i="70"/>
  <c r="CY994" i="70"/>
  <c r="CY995" i="70"/>
  <c r="CY996" i="70"/>
  <c r="CY997" i="70"/>
  <c r="CY998" i="70"/>
  <c r="CY999" i="70"/>
  <c r="CY1000" i="70"/>
  <c r="CY1001" i="70"/>
  <c r="CY1002" i="70"/>
  <c r="CY1007" i="70"/>
  <c r="CX1007" i="70"/>
  <c r="CX1003" i="70"/>
  <c r="CX1004" i="70"/>
  <c r="CX1009" i="70"/>
  <c r="CX1010" i="70"/>
  <c r="CX1011" i="70"/>
  <c r="CX1012" i="70"/>
  <c r="CX1013" i="70"/>
  <c r="CX1014" i="70"/>
  <c r="CX1015" i="70"/>
  <c r="CX1016" i="70"/>
  <c r="CX1017" i="70"/>
  <c r="CX1018" i="70"/>
  <c r="CX1019" i="70"/>
  <c r="CX1020" i="70"/>
  <c r="CX1021" i="70"/>
  <c r="CX1022" i="70"/>
  <c r="CX1023" i="70"/>
  <c r="CX1025" i="70"/>
  <c r="CX1026" i="70"/>
  <c r="CX1027" i="70"/>
  <c r="CX1028" i="70"/>
  <c r="CY1029" i="70"/>
  <c r="CY1030" i="70"/>
  <c r="CX1031" i="70"/>
  <c r="CY1033" i="70"/>
  <c r="CX1037" i="70"/>
  <c r="CX1038" i="70"/>
  <c r="CX1039" i="70"/>
  <c r="CX1040" i="70"/>
  <c r="CX1041" i="70"/>
  <c r="CX1042" i="70"/>
  <c r="CX1044" i="70"/>
  <c r="CX1045" i="70"/>
  <c r="CX1046" i="70"/>
  <c r="CX1047" i="70"/>
  <c r="CX1048" i="70"/>
  <c r="CX1049" i="70"/>
  <c r="CY1050" i="70"/>
  <c r="CX1086" i="70"/>
  <c r="CX1087" i="70"/>
  <c r="CX1088" i="70"/>
  <c r="CX1089" i="70"/>
  <c r="CX1090" i="70"/>
  <c r="CX1091" i="70"/>
  <c r="CX1092" i="70"/>
  <c r="CX1093" i="70"/>
  <c r="CX1094" i="70"/>
  <c r="CX1095" i="70"/>
  <c r="CX1096" i="70"/>
  <c r="CX1097" i="70"/>
  <c r="CX1098" i="70"/>
  <c r="CX1099" i="70"/>
  <c r="CX1100" i="70"/>
  <c r="CX1101" i="70"/>
  <c r="CX1102" i="70"/>
  <c r="CX1103" i="70"/>
  <c r="CX1104" i="70"/>
  <c r="CX1105" i="70"/>
  <c r="CX1106" i="70"/>
  <c r="CX1107" i="70"/>
  <c r="CX1108" i="70"/>
  <c r="CX1109" i="70"/>
  <c r="CX1307" i="70"/>
  <c r="CX1315" i="70"/>
  <c r="CX1319" i="70"/>
  <c r="CY1363" i="70"/>
  <c r="CY1365" i="70"/>
  <c r="CY1369" i="70"/>
  <c r="CY1385" i="70"/>
  <c r="CY1387" i="70"/>
  <c r="CY1405" i="70"/>
  <c r="CY1407" i="70"/>
  <c r="CY1409" i="70"/>
  <c r="CX1411" i="70"/>
  <c r="CX1412" i="70"/>
  <c r="CX1413" i="70"/>
  <c r="CY1414" i="70"/>
  <c r="CY1416" i="70"/>
  <c r="CY1426" i="70"/>
  <c r="CY1428" i="70"/>
  <c r="CX1470" i="70"/>
  <c r="CX1165" i="70"/>
  <c r="CX1167" i="70"/>
  <c r="CX1224" i="70"/>
  <c r="CY1226" i="70"/>
  <c r="CX1228" i="70"/>
  <c r="CY1230" i="70"/>
  <c r="CX1232" i="70"/>
  <c r="CY1234" i="70"/>
  <c r="CX1237" i="70"/>
  <c r="CY1303" i="70"/>
  <c r="CY1304" i="70"/>
  <c r="CX1305" i="70"/>
  <c r="CY1308" i="70"/>
  <c r="CX1309" i="70"/>
  <c r="CY1311" i="70"/>
  <c r="CY1312" i="70"/>
  <c r="CX1313" i="70"/>
  <c r="CY1316" i="70"/>
  <c r="CX1317" i="70"/>
  <c r="CY1320" i="70"/>
  <c r="CX1321" i="70"/>
  <c r="CY1323" i="70"/>
  <c r="CY1324" i="70"/>
  <c r="CX1325" i="70"/>
  <c r="CY1327" i="70"/>
  <c r="CY1328" i="70"/>
  <c r="CX1329" i="70"/>
  <c r="CY1331" i="70"/>
  <c r="CY1332" i="70"/>
  <c r="CX1333" i="70"/>
  <c r="CY1335" i="70"/>
  <c r="CX1398" i="70"/>
  <c r="CX1400" i="70"/>
  <c r="CX1402" i="70"/>
  <c r="CY1436" i="70"/>
  <c r="CY1452" i="70"/>
  <c r="CY1454" i="70"/>
  <c r="CX1461" i="70"/>
  <c r="CX1463" i="70"/>
  <c r="CX1465" i="70"/>
  <c r="CY1467" i="70"/>
  <c r="CY1469" i="70"/>
  <c r="CY239" i="70"/>
  <c r="CX240" i="70"/>
  <c r="CX242" i="70"/>
  <c r="CX244" i="70"/>
  <c r="CX245" i="70"/>
  <c r="CX246" i="70"/>
  <c r="CX247" i="70"/>
  <c r="CY248" i="70"/>
  <c r="CX249" i="70"/>
  <c r="CX250" i="70"/>
  <c r="CY251" i="70"/>
  <c r="CX252" i="70"/>
  <c r="CY253" i="70"/>
  <c r="CX254" i="70"/>
  <c r="CY255" i="70"/>
  <c r="CY256" i="70"/>
  <c r="CX257" i="70"/>
  <c r="CX258" i="70"/>
  <c r="CY259" i="70"/>
  <c r="CY260" i="70"/>
  <c r="CY261" i="70"/>
  <c r="CX262" i="70"/>
  <c r="CY263" i="70"/>
  <c r="CX264" i="70"/>
  <c r="CY265" i="70"/>
  <c r="CX266" i="70"/>
  <c r="CY267" i="70"/>
  <c r="CY268" i="70"/>
  <c r="CX269" i="70"/>
  <c r="CX270" i="70"/>
  <c r="CY271" i="70"/>
  <c r="CY272" i="70"/>
  <c r="CX273" i="70"/>
  <c r="CY274" i="70"/>
  <c r="CX275" i="70"/>
  <c r="CY276" i="70"/>
  <c r="CY277" i="70"/>
  <c r="CX278" i="70"/>
  <c r="CY279" i="70"/>
  <c r="CX280" i="70"/>
  <c r="CX281" i="70"/>
  <c r="CX287" i="70"/>
  <c r="CY290" i="70"/>
  <c r="CY291" i="70"/>
  <c r="CX292" i="70"/>
  <c r="CX293" i="70"/>
  <c r="CY294" i="70"/>
  <c r="CX295" i="70"/>
  <c r="CY296" i="70"/>
  <c r="CX297" i="70"/>
  <c r="CY298" i="70"/>
  <c r="CX299" i="70"/>
  <c r="CY300" i="70"/>
  <c r="CX301" i="70"/>
  <c r="CY302" i="70"/>
  <c r="CX303" i="70"/>
  <c r="CY304" i="70"/>
  <c r="CX305" i="70"/>
  <c r="CY306" i="70"/>
  <c r="CX307" i="70"/>
  <c r="CY308" i="70"/>
  <c r="CX309" i="70"/>
  <c r="CY310" i="70"/>
  <c r="CX311" i="70"/>
  <c r="CY312" i="70"/>
  <c r="CX313" i="70"/>
  <c r="CY314" i="70"/>
  <c r="CX315" i="70"/>
  <c r="CY316" i="70"/>
  <c r="CX317" i="70"/>
  <c r="CY318" i="70"/>
  <c r="CX319" i="70"/>
  <c r="CY320" i="70"/>
  <c r="CX321" i="70"/>
  <c r="CY322" i="70"/>
  <c r="CX323" i="70"/>
  <c r="CY324" i="70"/>
  <c r="CX325" i="70"/>
  <c r="CY326" i="70"/>
  <c r="CX327" i="70"/>
  <c r="CY328" i="70"/>
  <c r="CY329" i="70"/>
  <c r="CX330" i="70"/>
  <c r="CY331" i="70"/>
  <c r="CY332" i="70"/>
  <c r="CY333" i="70"/>
  <c r="CX334" i="70"/>
  <c r="CY335" i="70"/>
  <c r="CX336" i="70"/>
  <c r="CX350" i="70"/>
  <c r="CY351" i="70"/>
  <c r="CX352" i="70"/>
  <c r="CY353" i="70"/>
  <c r="CX354" i="70"/>
  <c r="CY355" i="70"/>
  <c r="CX356" i="70"/>
  <c r="CY357" i="70"/>
  <c r="CX358" i="70"/>
  <c r="CY359" i="70"/>
  <c r="CX360" i="70"/>
  <c r="CY361" i="70"/>
  <c r="CX366" i="70"/>
  <c r="CY367" i="70"/>
  <c r="CX368" i="70"/>
  <c r="CY369" i="70"/>
  <c r="CX370" i="70"/>
  <c r="CY373" i="70"/>
  <c r="CX374" i="70"/>
  <c r="CX376" i="70"/>
  <c r="CY377" i="70"/>
  <c r="CX378" i="70"/>
  <c r="CY379" i="70"/>
  <c r="CX380" i="70"/>
  <c r="CY381" i="70"/>
  <c r="CX382" i="70"/>
  <c r="CY383" i="70"/>
  <c r="CX384" i="70"/>
  <c r="CY385" i="70"/>
  <c r="CY386" i="70"/>
  <c r="CY387" i="70"/>
  <c r="CY388" i="70"/>
  <c r="CY389" i="70"/>
  <c r="CY390" i="70"/>
  <c r="CX391" i="70"/>
  <c r="CY392" i="70"/>
  <c r="CX393" i="70"/>
  <c r="CX394" i="70"/>
  <c r="CY395" i="70"/>
  <c r="CX396" i="70"/>
  <c r="CY397" i="70"/>
  <c r="CX398" i="70"/>
  <c r="CY399" i="70"/>
  <c r="CX400" i="70"/>
  <c r="CY401" i="70"/>
  <c r="CX402" i="70"/>
  <c r="CY403" i="70"/>
  <c r="CX404" i="70"/>
  <c r="CY405" i="70"/>
  <c r="CX406" i="70"/>
  <c r="CX407" i="70"/>
  <c r="CY408" i="70"/>
  <c r="CX409" i="70"/>
  <c r="CY410" i="70"/>
  <c r="CX411" i="70"/>
  <c r="CX421" i="70"/>
  <c r="CY422" i="70"/>
  <c r="CX423" i="70"/>
  <c r="CX433" i="70"/>
  <c r="CY434" i="70"/>
  <c r="CX435" i="70"/>
  <c r="CY436" i="70"/>
  <c r="CY437" i="70"/>
  <c r="CY438" i="70"/>
  <c r="CY439" i="70"/>
  <c r="CY440" i="70"/>
  <c r="CX441" i="70"/>
  <c r="CY442" i="70"/>
  <c r="CX443" i="70"/>
  <c r="CY444" i="70"/>
  <c r="CX447" i="70"/>
  <c r="CY448" i="70"/>
  <c r="CY449" i="70"/>
  <c r="CX450" i="70"/>
  <c r="CX451" i="70"/>
  <c r="CX452" i="70"/>
  <c r="CY453" i="70"/>
  <c r="CX454" i="70"/>
  <c r="CY455" i="70"/>
  <c r="CX456" i="70"/>
  <c r="CY457" i="70"/>
  <c r="CX458" i="70"/>
  <c r="CY459" i="70"/>
  <c r="CX460" i="70"/>
  <c r="CY461" i="70"/>
  <c r="CX462" i="70"/>
  <c r="CY467" i="70"/>
  <c r="CX468" i="70"/>
  <c r="CY469" i="70"/>
  <c r="CX470" i="70"/>
  <c r="CY471" i="70"/>
  <c r="CX472" i="70"/>
  <c r="CX473" i="70"/>
  <c r="CY474" i="70"/>
  <c r="CY475" i="70"/>
  <c r="CX476" i="70"/>
  <c r="CY477" i="70"/>
  <c r="CX478" i="70"/>
  <c r="CY479" i="70"/>
  <c r="CY480" i="70"/>
  <c r="CY481" i="70"/>
  <c r="CX482" i="70"/>
  <c r="CY483" i="70"/>
  <c r="CX484" i="70"/>
  <c r="CY485" i="70"/>
  <c r="CX486" i="70"/>
  <c r="CY487" i="70"/>
  <c r="CX488" i="70"/>
  <c r="CY489" i="70"/>
  <c r="CX490" i="70"/>
  <c r="CY491" i="70"/>
  <c r="CX492" i="70"/>
  <c r="CY493" i="70"/>
  <c r="CX494" i="70"/>
  <c r="CY495" i="70"/>
  <c r="CX496" i="70"/>
  <c r="CY497" i="70"/>
  <c r="CX498" i="70"/>
  <c r="CX499" i="70"/>
  <c r="CY500" i="70"/>
  <c r="CX501" i="70"/>
  <c r="CX502" i="70"/>
  <c r="CX503" i="70"/>
  <c r="CX504" i="70"/>
  <c r="CY505" i="70"/>
  <c r="CX506" i="70"/>
  <c r="CX507" i="70"/>
  <c r="CX508" i="70"/>
  <c r="CY509" i="70"/>
  <c r="CX510" i="70"/>
  <c r="CY511" i="70"/>
  <c r="CX512" i="70"/>
  <c r="CY513" i="70"/>
  <c r="CX514" i="70"/>
  <c r="CX516" i="70"/>
  <c r="CX518" i="70"/>
  <c r="CX520" i="70"/>
  <c r="CX522" i="70"/>
  <c r="CY522" i="70"/>
  <c r="CY524" i="70"/>
  <c r="CY525" i="70"/>
  <c r="CY526" i="70"/>
  <c r="CX527" i="70"/>
  <c r="CY528" i="70"/>
  <c r="CX529" i="70"/>
  <c r="CY530" i="70"/>
  <c r="CX531" i="70"/>
  <c r="CY532" i="70"/>
  <c r="CX533" i="70"/>
  <c r="CY534" i="70"/>
  <c r="CX535" i="70"/>
  <c r="CY536" i="70"/>
  <c r="CX538" i="70"/>
  <c r="CY540" i="70"/>
  <c r="CX541" i="70"/>
  <c r="CY542" i="70"/>
  <c r="CX543" i="70"/>
  <c r="CY544" i="70"/>
  <c r="CX545" i="70"/>
  <c r="CY546" i="70"/>
  <c r="CX547" i="70"/>
  <c r="CY548" i="70"/>
  <c r="CX549" i="70"/>
  <c r="CY550" i="70"/>
  <c r="CX551" i="70"/>
  <c r="CY552" i="70"/>
  <c r="CX553" i="70"/>
  <c r="CY554" i="70"/>
  <c r="CX555" i="70"/>
  <c r="CY556" i="70"/>
  <c r="CX557" i="70"/>
  <c r="CY558" i="70"/>
  <c r="CX559" i="70"/>
  <c r="CY560" i="70"/>
  <c r="CX561" i="70"/>
  <c r="CY562" i="70"/>
  <c r="CX563" i="70"/>
  <c r="CY564" i="70"/>
  <c r="CX565" i="70"/>
  <c r="CY566" i="70"/>
  <c r="CX567" i="70"/>
  <c r="CY568" i="70"/>
  <c r="CX569" i="70"/>
  <c r="CY570" i="70"/>
  <c r="CX571" i="70"/>
  <c r="CY572" i="70"/>
  <c r="CX573" i="70"/>
  <c r="CY574" i="70"/>
  <c r="CX575" i="70"/>
  <c r="CY576" i="70"/>
  <c r="CY577" i="70"/>
  <c r="CX578" i="70"/>
  <c r="CY579" i="70"/>
  <c r="CX580" i="70"/>
  <c r="CY581" i="70"/>
  <c r="CX582" i="70"/>
  <c r="CY583" i="70"/>
  <c r="CX584" i="70"/>
  <c r="CY585" i="70"/>
  <c r="CX586" i="70"/>
  <c r="CY587" i="70"/>
  <c r="CX588" i="70"/>
  <c r="CY589" i="70"/>
  <c r="CY590" i="70"/>
  <c r="CX591" i="70"/>
  <c r="CY592" i="70"/>
  <c r="CY593" i="70"/>
  <c r="CY594" i="70"/>
  <c r="CX595" i="70"/>
  <c r="CX596" i="70"/>
  <c r="CY597" i="70"/>
  <c r="CY598" i="70"/>
  <c r="CY599" i="70"/>
  <c r="CY600" i="70"/>
  <c r="CX601" i="70"/>
  <c r="CX602" i="70"/>
  <c r="CX603" i="70"/>
  <c r="CY604" i="70"/>
  <c r="CX605" i="70"/>
  <c r="CY606" i="70"/>
  <c r="CX607" i="70"/>
  <c r="CY608" i="70"/>
  <c r="CX609" i="70"/>
  <c r="CY610" i="70"/>
  <c r="CX611" i="70"/>
  <c r="CY612" i="70"/>
  <c r="CX613" i="70"/>
  <c r="CY614" i="70"/>
  <c r="CX615" i="70"/>
  <c r="CY616" i="70"/>
  <c r="CY617" i="70"/>
  <c r="CX618" i="70"/>
  <c r="CY619" i="70"/>
  <c r="CX620" i="70"/>
  <c r="CX621" i="70"/>
  <c r="CX622" i="70"/>
  <c r="CY623" i="70"/>
  <c r="CX624" i="70"/>
  <c r="CX625" i="70"/>
  <c r="CX626" i="70"/>
  <c r="CY627" i="70"/>
  <c r="CY628" i="70"/>
  <c r="CX629" i="70"/>
  <c r="CY630" i="70"/>
  <c r="CX631" i="70"/>
  <c r="CY632" i="70"/>
  <c r="CY633" i="70"/>
  <c r="CX634" i="70"/>
  <c r="CY635" i="70"/>
  <c r="CY636" i="70"/>
  <c r="CX637" i="70"/>
  <c r="CY638" i="70"/>
  <c r="CX639" i="70"/>
  <c r="CX640" i="70"/>
  <c r="CY641" i="70"/>
  <c r="CY642" i="70"/>
  <c r="CY643" i="70"/>
  <c r="CY644" i="70"/>
  <c r="CX645" i="70"/>
  <c r="CY646" i="70"/>
  <c r="CY647" i="70"/>
  <c r="CX648" i="70"/>
  <c r="CY649" i="70"/>
  <c r="CY650" i="70"/>
  <c r="CY651" i="70"/>
  <c r="CY652" i="70"/>
  <c r="CX653" i="70"/>
  <c r="CY654" i="70"/>
  <c r="CX655" i="70"/>
  <c r="CY656" i="70"/>
  <c r="CY657" i="70"/>
  <c r="CX658" i="70"/>
  <c r="CY659" i="70"/>
  <c r="CX660" i="70"/>
  <c r="CY661" i="70"/>
  <c r="CX662" i="70"/>
  <c r="CX663" i="70"/>
  <c r="CX664" i="70"/>
  <c r="CY665" i="70"/>
  <c r="CY666" i="70"/>
  <c r="CX667" i="70"/>
  <c r="CY668" i="70"/>
  <c r="CY669" i="70"/>
  <c r="CY670" i="70"/>
  <c r="CY671" i="70"/>
  <c r="CX672" i="70"/>
  <c r="CX673" i="70"/>
  <c r="CY674" i="70"/>
  <c r="CX675" i="70"/>
  <c r="CX676" i="70"/>
  <c r="CX677" i="70"/>
  <c r="CY678" i="70"/>
  <c r="CY679" i="70"/>
  <c r="CY680" i="70"/>
  <c r="CY681" i="70"/>
  <c r="CX682" i="70"/>
  <c r="CY683" i="70"/>
  <c r="CY684" i="70"/>
  <c r="CX685" i="70"/>
  <c r="CX686" i="70"/>
  <c r="CX687" i="70"/>
  <c r="CX688" i="70"/>
  <c r="CX689" i="70"/>
  <c r="CX690" i="70"/>
  <c r="CX691" i="70"/>
  <c r="CX692" i="70"/>
  <c r="CX693" i="70"/>
  <c r="CX694" i="70"/>
  <c r="CX695" i="70"/>
  <c r="CX696" i="70"/>
  <c r="CX697" i="70"/>
  <c r="CX698" i="70"/>
  <c r="CX699" i="70"/>
  <c r="CX700" i="70"/>
  <c r="CX701" i="70"/>
  <c r="CX702" i="70"/>
  <c r="CX703" i="70"/>
  <c r="CX704" i="70"/>
  <c r="CX705" i="70"/>
  <c r="CX706" i="70"/>
  <c r="CY707" i="70"/>
  <c r="CX708" i="70"/>
  <c r="CY709" i="70"/>
  <c r="CY710" i="70"/>
  <c r="CY711" i="70"/>
  <c r="CY712" i="70"/>
  <c r="CY713" i="70"/>
  <c r="CY714" i="70"/>
  <c r="CY715" i="70"/>
  <c r="CY716" i="70"/>
  <c r="CY717" i="70"/>
  <c r="CY718" i="70"/>
  <c r="CY719" i="70"/>
  <c r="CY720" i="70"/>
  <c r="CY721" i="70"/>
  <c r="CY722" i="70"/>
  <c r="CY723" i="70"/>
  <c r="CY724" i="70"/>
  <c r="CY725" i="70"/>
  <c r="CY726" i="70"/>
  <c r="CY727" i="70"/>
  <c r="CY728" i="70"/>
  <c r="CY729" i="70"/>
  <c r="CY730" i="70"/>
  <c r="CY731" i="70"/>
  <c r="CY732" i="70"/>
  <c r="CY733" i="70"/>
  <c r="CY734" i="70"/>
  <c r="CY735" i="70"/>
  <c r="CY736" i="70"/>
  <c r="CY737" i="70"/>
  <c r="CX738" i="70"/>
  <c r="CX739" i="70"/>
  <c r="CY740" i="70"/>
  <c r="CX741" i="70"/>
  <c r="CX742" i="70"/>
  <c r="CX743" i="70"/>
  <c r="CX744" i="70"/>
  <c r="CY745" i="70"/>
  <c r="CX746" i="70"/>
  <c r="CX747" i="70"/>
  <c r="CX748" i="70"/>
  <c r="CX749" i="70"/>
  <c r="CX750" i="70"/>
  <c r="CX751" i="70"/>
  <c r="CY759" i="70"/>
  <c r="CX760" i="70"/>
  <c r="CX761" i="70"/>
  <c r="CX762" i="70"/>
  <c r="CX763" i="70"/>
  <c r="CY764" i="70"/>
  <c r="CY765" i="70"/>
  <c r="CY766" i="70"/>
  <c r="CY774" i="70"/>
  <c r="CY776" i="70"/>
  <c r="CX786" i="70"/>
  <c r="CX787" i="70"/>
  <c r="CX788" i="70"/>
  <c r="CX789" i="70"/>
  <c r="CX790" i="70"/>
  <c r="CX791" i="70"/>
  <c r="CX792" i="70"/>
  <c r="CX793" i="70"/>
  <c r="CX794" i="70"/>
  <c r="CX795" i="70"/>
  <c r="CX796" i="70"/>
  <c r="CX797" i="70"/>
  <c r="CY798" i="70"/>
  <c r="CY800" i="70"/>
  <c r="CY804" i="70"/>
  <c r="CY826" i="70"/>
  <c r="CX838" i="70"/>
  <c r="CX839" i="70"/>
  <c r="CX840" i="70"/>
  <c r="CX841" i="70"/>
  <c r="CX842" i="70"/>
  <c r="CX843" i="70"/>
  <c r="CX844" i="70"/>
  <c r="CX845" i="70"/>
  <c r="CX846" i="70"/>
  <c r="CX847" i="70"/>
  <c r="CX848" i="70"/>
  <c r="CX849" i="70"/>
  <c r="CX850" i="70"/>
  <c r="CX851" i="70"/>
  <c r="CX852" i="70"/>
  <c r="CX853" i="70"/>
  <c r="CX854" i="70"/>
  <c r="CX855" i="70"/>
  <c r="CX856" i="70"/>
  <c r="CX857" i="70"/>
  <c r="CX858" i="70"/>
  <c r="CX859" i="70"/>
  <c r="CX860" i="70"/>
  <c r="CX861" i="70"/>
  <c r="CX862" i="70"/>
  <c r="CX863" i="70"/>
  <c r="CX866" i="70"/>
  <c r="CX867" i="70"/>
  <c r="CX868" i="70"/>
  <c r="CX869" i="70"/>
  <c r="CX870" i="70"/>
  <c r="CY871" i="70"/>
  <c r="CX871" i="70"/>
  <c r="CX872" i="70"/>
  <c r="CX873" i="70"/>
  <c r="CX874" i="70"/>
  <c r="CX875" i="70"/>
  <c r="CX876" i="70"/>
  <c r="CX877" i="70"/>
  <c r="CX878" i="70"/>
  <c r="CX879" i="70"/>
  <c r="CX880" i="70"/>
  <c r="CX881" i="70"/>
  <c r="CX882" i="70"/>
  <c r="CX883" i="70"/>
  <c r="CX884" i="70"/>
  <c r="CX885" i="70"/>
  <c r="CX886" i="70"/>
  <c r="CX887" i="70"/>
  <c r="CX888" i="70"/>
  <c r="CX889" i="70"/>
  <c r="CX890" i="70"/>
  <c r="CX891" i="70"/>
  <c r="CX892" i="70"/>
  <c r="CX893" i="70"/>
  <c r="CX894" i="70"/>
  <c r="CX895" i="70"/>
  <c r="CX896" i="70"/>
  <c r="CX897" i="70"/>
  <c r="CX898" i="70"/>
  <c r="CX899" i="70"/>
  <c r="CX900" i="70"/>
  <c r="CX901" i="70"/>
  <c r="CX902" i="70"/>
  <c r="CX903" i="70"/>
  <c r="CX904" i="70"/>
  <c r="CX905" i="70"/>
  <c r="CX906" i="70"/>
  <c r="CX907" i="70"/>
  <c r="CX908" i="70"/>
  <c r="CX909" i="70"/>
  <c r="CX910" i="70"/>
  <c r="CX911" i="70"/>
  <c r="CX912" i="70"/>
  <c r="CX913" i="70"/>
  <c r="CX914" i="70"/>
  <c r="CX915" i="70"/>
  <c r="CX916" i="70"/>
  <c r="CX917" i="70"/>
  <c r="CX918" i="70"/>
  <c r="CX919" i="70"/>
  <c r="CX920" i="70"/>
  <c r="CX921" i="70"/>
  <c r="CX922" i="70"/>
  <c r="CX923" i="70"/>
  <c r="CX924" i="70"/>
  <c r="CX925" i="70"/>
  <c r="CX926" i="70"/>
  <c r="CX927" i="70"/>
  <c r="CX928" i="70"/>
  <c r="CY929" i="70"/>
  <c r="CX930" i="70"/>
  <c r="CY931" i="70"/>
  <c r="CX932" i="70"/>
  <c r="CY933" i="70"/>
  <c r="CX934" i="70"/>
  <c r="CX935" i="70"/>
  <c r="CX936" i="70"/>
  <c r="CX937" i="70"/>
  <c r="CX938" i="70"/>
  <c r="CX939" i="70"/>
  <c r="CX940" i="70"/>
  <c r="CX941" i="70"/>
  <c r="CX942" i="70"/>
  <c r="CX943" i="70"/>
  <c r="CX944" i="70"/>
  <c r="CX945" i="70"/>
  <c r="CX946" i="70"/>
  <c r="CX947" i="70"/>
  <c r="CY953" i="70"/>
  <c r="CY954" i="70"/>
  <c r="CY955" i="70"/>
  <c r="CY958" i="70"/>
  <c r="CY959" i="70"/>
  <c r="CY960" i="70"/>
  <c r="CY961" i="70"/>
  <c r="CY962" i="70"/>
  <c r="CY963" i="70"/>
  <c r="CY964" i="70"/>
  <c r="CY965" i="70"/>
  <c r="CY966" i="70"/>
  <c r="CY967" i="70"/>
  <c r="CY968" i="70"/>
  <c r="CY969" i="70"/>
  <c r="CY970" i="70"/>
  <c r="CY971" i="70"/>
  <c r="CY972" i="70"/>
  <c r="CY973" i="70"/>
  <c r="CY974" i="70"/>
  <c r="CY975" i="70"/>
  <c r="CX976" i="70"/>
  <c r="CX1006" i="70"/>
  <c r="CX1008" i="70"/>
  <c r="CY1025" i="70"/>
  <c r="CY1026" i="70"/>
  <c r="CY1027" i="70"/>
  <c r="CY1028" i="70"/>
  <c r="CX1029" i="70"/>
  <c r="CX1032" i="70"/>
  <c r="CY1034" i="70"/>
  <c r="CY1035" i="70"/>
  <c r="CX1036" i="70"/>
  <c r="CX1043" i="70"/>
  <c r="CY1043" i="70"/>
  <c r="CY1044" i="70"/>
  <c r="CY1045" i="70"/>
  <c r="CY1046" i="70"/>
  <c r="CY1047" i="70"/>
  <c r="CY1048" i="70"/>
  <c r="CY1049" i="70"/>
  <c r="CX1050" i="70"/>
  <c r="CY1051" i="70"/>
  <c r="CX1052" i="70"/>
  <c r="CX1053" i="70"/>
  <c r="CX1054" i="70"/>
  <c r="CX1055" i="70"/>
  <c r="CX1056" i="70"/>
  <c r="CX1057" i="70"/>
  <c r="CX1058" i="70"/>
  <c r="CX1059" i="70"/>
  <c r="CX1060" i="70"/>
  <c r="CX1061" i="70"/>
  <c r="CX1062" i="70"/>
  <c r="CX1063" i="70"/>
  <c r="CX1064" i="70"/>
  <c r="CX1065" i="70"/>
  <c r="CX1066" i="70"/>
  <c r="CX1067" i="70"/>
  <c r="CX1068" i="70"/>
  <c r="CX1069" i="70"/>
  <c r="CX1070" i="70"/>
  <c r="CX1071" i="70"/>
  <c r="CX1072" i="70"/>
  <c r="CX1073" i="70"/>
  <c r="CX1074" i="70"/>
  <c r="CX1075" i="70"/>
  <c r="CX1076" i="70"/>
  <c r="CX1077" i="70"/>
  <c r="CX1078" i="70"/>
  <c r="CX1079" i="70"/>
  <c r="CX1080" i="70"/>
  <c r="CX1081" i="70"/>
  <c r="CX1082" i="70"/>
  <c r="CX1083" i="70"/>
  <c r="CX1084" i="70"/>
  <c r="CY1085" i="70"/>
  <c r="CY1086" i="70"/>
  <c r="CY1087" i="70"/>
  <c r="CY1088" i="70"/>
  <c r="CY1089" i="70"/>
  <c r="CY1090" i="70"/>
  <c r="CY1091" i="70"/>
  <c r="CY1092" i="70"/>
  <c r="CY1093" i="70"/>
  <c r="CY1094" i="70"/>
  <c r="CY1095" i="70"/>
  <c r="CY1096" i="70"/>
  <c r="CY1097" i="70"/>
  <c r="CY1098" i="70"/>
  <c r="CY1099" i="70"/>
  <c r="CY1100" i="70"/>
  <c r="CY1101" i="70"/>
  <c r="CY1102" i="70"/>
  <c r="CY1103" i="70"/>
  <c r="CY1104" i="70"/>
  <c r="CY1105" i="70"/>
  <c r="CY1106" i="70"/>
  <c r="CY1107" i="70"/>
  <c r="CY1108" i="70"/>
  <c r="CY1109" i="70"/>
  <c r="CX1110" i="70"/>
  <c r="CY1111" i="70"/>
  <c r="CX1112" i="70"/>
  <c r="CY1113" i="70"/>
  <c r="CX1114" i="70"/>
  <c r="CX1115" i="70"/>
  <c r="CX1116" i="70"/>
  <c r="CX1117" i="70"/>
  <c r="CX1118" i="70"/>
  <c r="CX1119" i="70"/>
  <c r="CX1120" i="70"/>
  <c r="CX1121" i="70"/>
  <c r="CX1122" i="70"/>
  <c r="CX1123" i="70"/>
  <c r="CX1124" i="70"/>
  <c r="CX1125" i="70"/>
  <c r="CX1126" i="70"/>
  <c r="CX1127" i="70"/>
  <c r="CX1128" i="70"/>
  <c r="CX1129" i="70"/>
  <c r="CX1130" i="70"/>
  <c r="CX1131" i="70"/>
  <c r="CX1132" i="70"/>
  <c r="CX1133" i="70"/>
  <c r="CY1134" i="70"/>
  <c r="CX1135" i="70"/>
  <c r="CX1136" i="70"/>
  <c r="CX1137" i="70"/>
  <c r="CX1138" i="70"/>
  <c r="CX1139" i="70"/>
  <c r="CX1140" i="70"/>
  <c r="CX1141" i="70"/>
  <c r="CX1142" i="70"/>
  <c r="CX1143" i="70"/>
  <c r="CX1144" i="70"/>
  <c r="CX1145" i="70"/>
  <c r="CX1146" i="70"/>
  <c r="CX1147" i="70"/>
  <c r="CX1148" i="70"/>
  <c r="CX1149" i="70"/>
  <c r="CX1150" i="70"/>
  <c r="CX1151" i="70"/>
  <c r="CX1152" i="70"/>
  <c r="CX1153" i="70"/>
  <c r="CY1154" i="70"/>
  <c r="CX1155" i="70"/>
  <c r="CY1156" i="70"/>
  <c r="CX1164" i="70"/>
  <c r="CY1165" i="70"/>
  <c r="CX1166" i="70"/>
  <c r="CY1167" i="70"/>
  <c r="CX1168" i="70"/>
  <c r="CY1174" i="70"/>
  <c r="CX1175" i="70"/>
  <c r="CY1177" i="70"/>
  <c r="CX1178" i="70"/>
  <c r="CX1179" i="70"/>
  <c r="CX1184" i="70"/>
  <c r="CY1185" i="70"/>
  <c r="CX1186" i="70"/>
  <c r="CY1187" i="70"/>
  <c r="CX1190" i="70"/>
  <c r="CY1191" i="70"/>
  <c r="CX1192" i="70"/>
  <c r="CY1193" i="70"/>
  <c r="CX1194" i="70"/>
  <c r="CY1195" i="70"/>
  <c r="CX1196" i="70"/>
  <c r="CY1197" i="70"/>
  <c r="CX1198" i="70"/>
  <c r="CY1201" i="70"/>
  <c r="CX1202" i="70"/>
  <c r="CY1203" i="70"/>
  <c r="CX1204" i="70"/>
  <c r="CY1205" i="70"/>
  <c r="CX1206" i="70"/>
  <c r="CY1207" i="70"/>
  <c r="CX1208" i="70"/>
  <c r="CY1210" i="70"/>
  <c r="CX1214" i="70"/>
  <c r="CY1215" i="70"/>
  <c r="CX1216" i="70"/>
  <c r="CY1217" i="70"/>
  <c r="CX1218" i="70"/>
  <c r="CY1219" i="70"/>
  <c r="CX1220" i="70"/>
  <c r="CY1221" i="70"/>
  <c r="CX1222" i="70"/>
  <c r="CY1223" i="70"/>
  <c r="CY1225" i="70"/>
  <c r="CY1227" i="70"/>
  <c r="CY1229" i="70"/>
  <c r="CY1231" i="70"/>
  <c r="CY1233" i="70"/>
  <c r="CY1236" i="70"/>
  <c r="CY1238" i="70"/>
  <c r="CX1239" i="70"/>
  <c r="CY1239" i="70"/>
  <c r="CX1240" i="70"/>
  <c r="CY1241" i="70"/>
  <c r="CX1245" i="70"/>
  <c r="CY1246" i="70"/>
  <c r="CX1247" i="70"/>
  <c r="CY1249" i="70"/>
  <c r="CX1250" i="70"/>
  <c r="CY1251" i="70"/>
  <c r="CX1252" i="70"/>
  <c r="CY1254" i="70"/>
  <c r="CX1255" i="70"/>
  <c r="CY1256" i="70"/>
  <c r="CX1257" i="70"/>
  <c r="CY1258" i="70"/>
  <c r="CX1259" i="70"/>
  <c r="CY1260" i="70"/>
  <c r="CX1261" i="70"/>
  <c r="CY1262" i="70"/>
  <c r="CX1263" i="70"/>
  <c r="CY1264" i="70"/>
  <c r="CX1265" i="70"/>
  <c r="CY1266" i="70"/>
  <c r="CX1267" i="70"/>
  <c r="CY1268" i="70"/>
  <c r="CX1269" i="70"/>
  <c r="CY1271" i="70"/>
  <c r="CX1272" i="70"/>
  <c r="CY1274" i="70"/>
  <c r="CX1275" i="70"/>
  <c r="CY1276" i="70"/>
  <c r="CX1277" i="70"/>
  <c r="CY1278" i="70"/>
  <c r="CX1279" i="70"/>
  <c r="CY1280" i="70"/>
  <c r="CX1281" i="70"/>
  <c r="CY1282" i="70"/>
  <c r="CX1283" i="70"/>
  <c r="CY1284" i="70"/>
  <c r="CX1285" i="70"/>
  <c r="CY1288" i="70"/>
  <c r="CX1289" i="70"/>
  <c r="CY1290" i="70"/>
  <c r="CX1292" i="70"/>
  <c r="CY1293" i="70"/>
  <c r="CX1294" i="70"/>
  <c r="CY1295" i="70"/>
  <c r="CX1296" i="70"/>
  <c r="CY1297" i="70"/>
  <c r="CX1300" i="70"/>
  <c r="CY1301" i="70"/>
  <c r="CX1302" i="70"/>
  <c r="CX1304" i="70"/>
  <c r="CX1306" i="70"/>
  <c r="CX1308" i="70"/>
  <c r="CX1310" i="70"/>
  <c r="CX1312" i="70"/>
  <c r="CX1314" i="70"/>
  <c r="CX1316" i="70"/>
  <c r="CX1318" i="70"/>
  <c r="CX1320" i="70"/>
  <c r="CX1322" i="70"/>
  <c r="CX1324" i="70"/>
  <c r="CX1326" i="70"/>
  <c r="CX1328" i="70"/>
  <c r="CX1330" i="70"/>
  <c r="CX1332" i="70"/>
  <c r="CX1334" i="70"/>
  <c r="CY1336" i="70"/>
  <c r="CX1336" i="70"/>
  <c r="CY1337" i="70"/>
  <c r="CX1338" i="70"/>
  <c r="CY1339" i="70"/>
  <c r="CX1340" i="70"/>
  <c r="CY1341" i="70"/>
  <c r="CX1344" i="70"/>
  <c r="CY1345" i="70"/>
  <c r="CX1346" i="70"/>
  <c r="CY1349" i="70"/>
  <c r="CX1350" i="70"/>
  <c r="CY1351" i="70"/>
  <c r="CX1352" i="70"/>
  <c r="CY1353" i="70"/>
  <c r="CX1354" i="70"/>
  <c r="CY1355" i="70"/>
  <c r="CX1356" i="70"/>
  <c r="CY1357" i="70"/>
  <c r="CX1358" i="70"/>
  <c r="CY1359" i="70"/>
  <c r="CX1360" i="70"/>
  <c r="CY1361" i="70"/>
  <c r="CY1392" i="70"/>
  <c r="CX1393" i="70"/>
  <c r="CY1394" i="70"/>
  <c r="CX1395" i="70"/>
  <c r="CY1396" i="70"/>
  <c r="CX1397" i="70"/>
  <c r="CY1398" i="70"/>
  <c r="CX1399" i="70"/>
  <c r="CY1400" i="70"/>
  <c r="CX1401" i="70"/>
  <c r="CY1402" i="70"/>
  <c r="CX1403" i="70"/>
  <c r="CY1411" i="70"/>
  <c r="CY1412" i="70"/>
  <c r="CY1413" i="70"/>
  <c r="CX1423" i="70"/>
  <c r="CY1424" i="70"/>
  <c r="CX1425" i="70"/>
  <c r="CX1429" i="70"/>
  <c r="CX1430" i="70"/>
  <c r="CX1431" i="70"/>
  <c r="CY1435" i="70"/>
  <c r="CX1436" i="70"/>
  <c r="CY1437" i="70"/>
  <c r="CY1451" i="70"/>
  <c r="CX1452" i="70"/>
  <c r="CY1455" i="70"/>
  <c r="CY1456" i="70"/>
  <c r="CY1457" i="70"/>
  <c r="CY1458" i="70"/>
  <c r="CY1459" i="70"/>
  <c r="CX1460" i="70"/>
  <c r="CY1461" i="70"/>
  <c r="CX1462" i="70"/>
  <c r="CY1463" i="70"/>
  <c r="CX1464" i="70"/>
  <c r="CY1465" i="70"/>
  <c r="CX1469" i="70"/>
  <c r="CY1470" i="70"/>
  <c r="CX1471" i="70"/>
  <c r="G11" i="69"/>
  <c r="C11" i="69"/>
  <c r="G9" i="69"/>
  <c r="H9" i="69" s="1"/>
  <c r="I9" i="69" s="1"/>
  <c r="J9" i="69" s="1"/>
  <c r="K9" i="69" s="1"/>
  <c r="L9" i="69" s="1"/>
  <c r="M9" i="69" s="1"/>
  <c r="N9" i="69" s="1"/>
  <c r="O9" i="69" s="1"/>
  <c r="P9" i="69" s="1"/>
  <c r="Q9" i="69" s="1"/>
  <c r="R9" i="69" s="1"/>
  <c r="S9" i="69" s="1"/>
  <c r="T9" i="69" s="1"/>
  <c r="U9" i="69" s="1"/>
  <c r="V9" i="69" s="1"/>
  <c r="W9" i="69" s="1"/>
  <c r="X9" i="69" s="1"/>
  <c r="C9" i="69"/>
  <c r="D9" i="69" s="1"/>
  <c r="E9" i="69" s="1"/>
  <c r="F9" i="69" s="1"/>
  <c r="C7" i="69"/>
  <c r="H4" i="69"/>
  <c r="I4" i="69" s="1"/>
  <c r="J4" i="69" s="1"/>
  <c r="K4" i="69" s="1"/>
  <c r="L4" i="69" s="1"/>
  <c r="M4" i="69" s="1"/>
  <c r="N4" i="69" s="1"/>
  <c r="O4" i="69" s="1"/>
  <c r="P4" i="69" s="1"/>
  <c r="D4" i="69"/>
  <c r="E4" i="69" s="1"/>
  <c r="F4" i="69" s="1"/>
  <c r="D11" i="69" l="1"/>
  <c r="D7" i="69"/>
  <c r="C10" i="69"/>
  <c r="E11" i="69" l="1"/>
  <c r="D10" i="69"/>
  <c r="E7" i="69"/>
  <c r="F11" i="69" l="1"/>
  <c r="E10" i="69"/>
  <c r="F7" i="69"/>
  <c r="F10" i="69" s="1"/>
  <c r="AV14" i="31" l="1"/>
  <c r="AV13" i="31"/>
  <c r="BP10" i="31" l="1"/>
  <c r="BO10" i="31"/>
  <c r="BP9" i="31"/>
  <c r="BO9" i="31"/>
  <c r="BP8" i="31"/>
  <c r="BO8" i="31"/>
  <c r="BP7" i="31"/>
  <c r="BO7" i="31"/>
  <c r="BP6" i="31"/>
  <c r="BO6" i="31"/>
  <c r="BP5" i="31"/>
  <c r="BO5" i="31"/>
  <c r="BP4" i="31"/>
  <c r="BO4" i="31"/>
  <c r="BP3" i="31"/>
  <c r="BO3" i="31"/>
  <c r="BP2" i="31"/>
  <c r="BO2" i="31"/>
  <c r="BP20" i="31"/>
  <c r="BP30" i="31"/>
  <c r="BO20" i="31"/>
  <c r="BO30" i="31"/>
  <c r="CJ957" i="28"/>
  <c r="CK957" i="28"/>
  <c r="CI957" i="28"/>
  <c r="CJ956" i="28"/>
  <c r="CK956" i="28"/>
  <c r="CI956" i="28"/>
  <c r="CJ865" i="28"/>
  <c r="CK865" i="28"/>
  <c r="CJ864" i="28"/>
  <c r="CK864" i="28"/>
  <c r="CJ825" i="28"/>
  <c r="CK825" i="28"/>
  <c r="CI825" i="28"/>
  <c r="CI826" i="28"/>
  <c r="CG826" i="28"/>
  <c r="CH826" i="28"/>
  <c r="CK287" i="28" l="1"/>
  <c r="CH287" i="28"/>
  <c r="CG287" i="28"/>
  <c r="AW12" i="31"/>
  <c r="BP12" i="31" l="1"/>
  <c r="BO12" i="31"/>
  <c r="AY35" i="31"/>
  <c r="AZ35" i="31"/>
  <c r="BA35" i="31"/>
  <c r="AV15" i="31"/>
  <c r="AU15" i="31"/>
  <c r="AU17" i="31"/>
  <c r="AU16" i="31"/>
  <c r="AU11" i="31"/>
  <c r="BA36" i="31"/>
  <c r="AZ36" i="31"/>
  <c r="AY36" i="31"/>
  <c r="BA34" i="31"/>
  <c r="AZ34" i="31"/>
  <c r="AY34" i="31"/>
  <c r="BA33" i="31"/>
  <c r="AZ33" i="31"/>
  <c r="AY33" i="31"/>
  <c r="BA32" i="31"/>
  <c r="AZ32" i="31"/>
  <c r="AY32" i="31"/>
  <c r="AZ31" i="31"/>
  <c r="BA31" i="31"/>
  <c r="AY31" i="31"/>
  <c r="AY29" i="31"/>
  <c r="AX29" i="31"/>
  <c r="AW29" i="31"/>
  <c r="AV29" i="31"/>
  <c r="AY28" i="31"/>
  <c r="AX28" i="31"/>
  <c r="AW28" i="31"/>
  <c r="AV28" i="31"/>
  <c r="AY27" i="31"/>
  <c r="AX27" i="31"/>
  <c r="AW27" i="31"/>
  <c r="AV27" i="31"/>
  <c r="AY26" i="31"/>
  <c r="AX26" i="31"/>
  <c r="AW26" i="31"/>
  <c r="AV26" i="31"/>
  <c r="AY25" i="31"/>
  <c r="AX25" i="31"/>
  <c r="AW25" i="31"/>
  <c r="AV25" i="31"/>
  <c r="AY24" i="31"/>
  <c r="AX24" i="31"/>
  <c r="AW24" i="31"/>
  <c r="AV24" i="31"/>
  <c r="AY23" i="31"/>
  <c r="AX23" i="31"/>
  <c r="AW23" i="31"/>
  <c r="AV23" i="31"/>
  <c r="AY22" i="31"/>
  <c r="AX22" i="31"/>
  <c r="AW22" i="31"/>
  <c r="AV22" i="31"/>
  <c r="AY21" i="31"/>
  <c r="AX21" i="31"/>
  <c r="AW21" i="31"/>
  <c r="AV21" i="31"/>
  <c r="AY19" i="31"/>
  <c r="AX19" i="31"/>
  <c r="AW19" i="31"/>
  <c r="AV19" i="31"/>
  <c r="AW18" i="31"/>
  <c r="AX18" i="31"/>
  <c r="AY18" i="31"/>
  <c r="AV18" i="31"/>
  <c r="AT3" i="31"/>
  <c r="AT4" i="31"/>
  <c r="AT5" i="31"/>
  <c r="AT6" i="31"/>
  <c r="AT7" i="31"/>
  <c r="AT8" i="31"/>
  <c r="AT9" i="31"/>
  <c r="AT10" i="31"/>
  <c r="AT2" i="31"/>
  <c r="CJ1361" i="28"/>
  <c r="CI1361" i="28"/>
  <c r="CH1361" i="28"/>
  <c r="CX1361" i="28" s="1"/>
  <c r="CJ1360" i="28"/>
  <c r="CI1360" i="28"/>
  <c r="CH1360" i="28"/>
  <c r="CX1360" i="28" s="1"/>
  <c r="CJ1359" i="28"/>
  <c r="CI1359" i="28"/>
  <c r="CH1359" i="28"/>
  <c r="CJ1358" i="28"/>
  <c r="CI1358" i="28"/>
  <c r="CH1358" i="28"/>
  <c r="CX1358" i="28" s="1"/>
  <c r="CJ1357" i="28"/>
  <c r="CI1357" i="28"/>
  <c r="CH1357" i="28"/>
  <c r="CX1357" i="28" s="1"/>
  <c r="CJ1355" i="28"/>
  <c r="CI1355" i="28"/>
  <c r="CH1355" i="28"/>
  <c r="CX1355" i="28" s="1"/>
  <c r="CJ1354" i="28"/>
  <c r="CI1354" i="28"/>
  <c r="CH1354" i="28"/>
  <c r="CJ1353" i="28"/>
  <c r="CI1353" i="28"/>
  <c r="CH1353" i="28"/>
  <c r="CX1353" i="28" s="1"/>
  <c r="CJ1352" i="28"/>
  <c r="CI1352" i="28"/>
  <c r="CH1352" i="28"/>
  <c r="CX1352" i="28" s="1"/>
  <c r="CJ1351" i="28"/>
  <c r="CI1351" i="28"/>
  <c r="CH1351" i="28"/>
  <c r="CX1351" i="28" s="1"/>
  <c r="CJ1349" i="28"/>
  <c r="CI1349" i="28"/>
  <c r="CH1349" i="28"/>
  <c r="CX1349" i="28" s="1"/>
  <c r="CJ1346" i="28"/>
  <c r="CI1346" i="28"/>
  <c r="CH1346" i="28"/>
  <c r="CX1346" i="28" s="1"/>
  <c r="CJ1345" i="28"/>
  <c r="CI1345" i="28"/>
  <c r="CH1345" i="28"/>
  <c r="CX1345" i="28" s="1"/>
  <c r="CJ1344" i="28"/>
  <c r="CI1344" i="28"/>
  <c r="CH1344" i="28"/>
  <c r="CX1344" i="28" s="1"/>
  <c r="CJ1340" i="28"/>
  <c r="CI1340" i="28"/>
  <c r="CH1340" i="28"/>
  <c r="CJ1338" i="28"/>
  <c r="CI1338" i="28"/>
  <c r="CH1338" i="28"/>
  <c r="CX1338" i="28" s="1"/>
  <c r="CJ1337" i="28"/>
  <c r="CI1337" i="28"/>
  <c r="CH1337" i="28"/>
  <c r="CX1337" i="28" s="1"/>
  <c r="CJ1335" i="28"/>
  <c r="CI1335" i="28"/>
  <c r="CH1335" i="28"/>
  <c r="CX1335" i="28" s="1"/>
  <c r="CJ1334" i="28"/>
  <c r="CI1334" i="28"/>
  <c r="CH1334" i="28"/>
  <c r="CX1334" i="28" s="1"/>
  <c r="CJ1333" i="28"/>
  <c r="CI1333" i="28"/>
  <c r="CH1333" i="28"/>
  <c r="CX1333" i="28" s="1"/>
  <c r="CJ1332" i="28"/>
  <c r="CI1332" i="28"/>
  <c r="CH1332" i="28"/>
  <c r="CX1332" i="28" s="1"/>
  <c r="CJ1331" i="28"/>
  <c r="CI1331" i="28"/>
  <c r="CH1331" i="28"/>
  <c r="CX1331" i="28" s="1"/>
  <c r="CJ1330" i="28"/>
  <c r="CI1330" i="28"/>
  <c r="CH1330" i="28"/>
  <c r="CX1330" i="28" s="1"/>
  <c r="CJ1329" i="28"/>
  <c r="CI1329" i="28"/>
  <c r="CH1329" i="28"/>
  <c r="CX1329" i="28" s="1"/>
  <c r="CJ1328" i="28"/>
  <c r="CI1328" i="28"/>
  <c r="CH1328" i="28"/>
  <c r="CX1328" i="28" s="1"/>
  <c r="CJ1327" i="28"/>
  <c r="CI1327" i="28"/>
  <c r="CH1327" i="28"/>
  <c r="CX1327" i="28" s="1"/>
  <c r="CJ1326" i="28"/>
  <c r="CI1326" i="28"/>
  <c r="CH1326" i="28"/>
  <c r="CX1326" i="28" s="1"/>
  <c r="CJ1325" i="28"/>
  <c r="CI1325" i="28"/>
  <c r="CH1325" i="28"/>
  <c r="CX1325" i="28" s="1"/>
  <c r="CJ1324" i="28"/>
  <c r="CI1324" i="28"/>
  <c r="CH1324" i="28"/>
  <c r="CX1324" i="28" s="1"/>
  <c r="CJ1320" i="28"/>
  <c r="CI1320" i="28"/>
  <c r="CH1320" i="28"/>
  <c r="CX1320" i="28" s="1"/>
  <c r="CJ1319" i="28"/>
  <c r="CI1319" i="28"/>
  <c r="CH1319" i="28"/>
  <c r="CX1319" i="28" s="1"/>
  <c r="CJ1318" i="28"/>
  <c r="CI1318" i="28"/>
  <c r="CH1318" i="28"/>
  <c r="CX1318" i="28" s="1"/>
  <c r="CJ1317" i="28"/>
  <c r="CI1317" i="28"/>
  <c r="CH1317" i="28"/>
  <c r="CX1317" i="28" s="1"/>
  <c r="CJ1315" i="28"/>
  <c r="CI1315" i="28"/>
  <c r="CH1315" i="28"/>
  <c r="CX1315" i="28" s="1"/>
  <c r="CJ1314" i="28"/>
  <c r="CI1314" i="28"/>
  <c r="CH1314" i="28"/>
  <c r="CX1314" i="28" s="1"/>
  <c r="CJ1313" i="28"/>
  <c r="CI1313" i="28"/>
  <c r="CH1313" i="28"/>
  <c r="CX1313" i="28" s="1"/>
  <c r="CJ1312" i="28"/>
  <c r="CI1312" i="28"/>
  <c r="CH1312" i="28"/>
  <c r="CX1312" i="28" s="1"/>
  <c r="CJ1310" i="28"/>
  <c r="CI1310" i="28"/>
  <c r="CH1310" i="28"/>
  <c r="CX1310" i="28" s="1"/>
  <c r="CJ1311" i="28"/>
  <c r="CI1311" i="28"/>
  <c r="CH1311" i="28"/>
  <c r="CX1311" i="28" s="1"/>
  <c r="CJ1309" i="28"/>
  <c r="CI1309" i="28"/>
  <c r="CH1309" i="28"/>
  <c r="CX1309" i="28" s="1"/>
  <c r="CJ1308" i="28"/>
  <c r="CI1308" i="28"/>
  <c r="CH1308" i="28"/>
  <c r="CX1308" i="28" s="1"/>
  <c r="CJ1307" i="28"/>
  <c r="CI1307" i="28"/>
  <c r="CH1307" i="28"/>
  <c r="CX1307" i="28" s="1"/>
  <c r="CJ1306" i="28"/>
  <c r="CI1306" i="28"/>
  <c r="CH1306" i="28"/>
  <c r="CX1306" i="28" s="1"/>
  <c r="CJ1305" i="28"/>
  <c r="CI1305" i="28"/>
  <c r="CH1305" i="28"/>
  <c r="CX1305" i="28" s="1"/>
  <c r="CJ1304" i="28"/>
  <c r="CI1304" i="28"/>
  <c r="CH1304" i="28"/>
  <c r="CX1304" i="28" s="1"/>
  <c r="CJ1301" i="28"/>
  <c r="CI1301" i="28"/>
  <c r="CH1301" i="28"/>
  <c r="CX1301" i="28" s="1"/>
  <c r="CJ1300" i="28"/>
  <c r="CI1300" i="28"/>
  <c r="CH1300" i="28"/>
  <c r="CJ1293" i="28"/>
  <c r="CI1293" i="28"/>
  <c r="CH1293" i="28"/>
  <c r="CJ1292" i="28"/>
  <c r="CI1292" i="28"/>
  <c r="CH1292" i="28"/>
  <c r="CJ1289" i="28"/>
  <c r="CI1289" i="28"/>
  <c r="CH1289" i="28"/>
  <c r="CX1289" i="28" s="1"/>
  <c r="CJ1288" i="28"/>
  <c r="CI1288" i="28"/>
  <c r="CH1288" i="28"/>
  <c r="CX1288" i="28" s="1"/>
  <c r="CJ1285" i="28"/>
  <c r="CI1285" i="28"/>
  <c r="CH1285" i="28"/>
  <c r="CX1285" i="28" s="1"/>
  <c r="CJ1284" i="28"/>
  <c r="CI1284" i="28"/>
  <c r="CH1284" i="28"/>
  <c r="CJ1283" i="28"/>
  <c r="CI1283" i="28"/>
  <c r="CH1283" i="28"/>
  <c r="CX1283" i="28" s="1"/>
  <c r="CJ1282" i="28"/>
  <c r="CI1282" i="28"/>
  <c r="CH1282" i="28"/>
  <c r="CJ1281" i="28"/>
  <c r="CI1281" i="28"/>
  <c r="CH1281" i="28"/>
  <c r="CX1281" i="28" s="1"/>
  <c r="CJ1280" i="28"/>
  <c r="CI1280" i="28"/>
  <c r="CH1280" i="28"/>
  <c r="CJ1279" i="28"/>
  <c r="CI1279" i="28"/>
  <c r="CH1279" i="28"/>
  <c r="CX1279" i="28" s="1"/>
  <c r="CJ1276" i="28"/>
  <c r="CI1276" i="28"/>
  <c r="CH1276" i="28"/>
  <c r="CX1276" i="28" s="1"/>
  <c r="CJ1272" i="28"/>
  <c r="CI1272" i="28"/>
  <c r="CH1272" i="28"/>
  <c r="CX1272" i="28" s="1"/>
  <c r="CJ1268" i="28"/>
  <c r="CI1268" i="28"/>
  <c r="CH1268" i="28"/>
  <c r="CJ1267" i="28"/>
  <c r="CI1267" i="28"/>
  <c r="CH1267" i="28"/>
  <c r="CX1267" i="28" s="1"/>
  <c r="CJ1263" i="28"/>
  <c r="CI1263" i="28"/>
  <c r="CH1263" i="28"/>
  <c r="CX1263" i="28" s="1"/>
  <c r="CJ1262" i="28"/>
  <c r="CI1262" i="28"/>
  <c r="CH1262" i="28"/>
  <c r="CX1262" i="28" s="1"/>
  <c r="CJ1261" i="28"/>
  <c r="CI1261" i="28"/>
  <c r="CH1261" i="28"/>
  <c r="CX1261" i="28" s="1"/>
  <c r="CJ1260" i="28"/>
  <c r="CI1260" i="28"/>
  <c r="CH1260" i="28"/>
  <c r="CJ1259" i="28"/>
  <c r="CI1259" i="28"/>
  <c r="CH1259" i="28"/>
  <c r="CX1259" i="28" s="1"/>
  <c r="CJ1255" i="28"/>
  <c r="CI1255" i="28"/>
  <c r="CH1255" i="28"/>
  <c r="CX1255" i="28" s="1"/>
  <c r="CJ1251" i="28"/>
  <c r="CI1251" i="28"/>
  <c r="CH1251" i="28"/>
  <c r="CJ1249" i="28"/>
  <c r="CI1249" i="28"/>
  <c r="CH1249" i="28"/>
  <c r="CX1249" i="28" s="1"/>
  <c r="CJ1245" i="28"/>
  <c r="CI1245" i="28"/>
  <c r="CH1245" i="28"/>
  <c r="CJ1241" i="28"/>
  <c r="CI1241" i="28"/>
  <c r="CH1241" i="28"/>
  <c r="CX1241" i="28" s="1"/>
  <c r="CJ1239" i="28"/>
  <c r="CI1239" i="28"/>
  <c r="CH1239" i="28"/>
  <c r="CJ1236" i="28"/>
  <c r="CI1236" i="28"/>
  <c r="CH1236" i="28"/>
  <c r="CX1236" i="28" s="1"/>
  <c r="CJ1233" i="28"/>
  <c r="CI1233" i="28"/>
  <c r="CH1233" i="28"/>
  <c r="CX1233" i="28" s="1"/>
  <c r="CJ1232" i="28"/>
  <c r="CI1232" i="28"/>
  <c r="CH1232" i="28"/>
  <c r="CX1232" i="28" s="1"/>
  <c r="CJ1231" i="28"/>
  <c r="CI1231" i="28"/>
  <c r="CH1231" i="28"/>
  <c r="CJ1230" i="28"/>
  <c r="CI1230" i="28"/>
  <c r="CH1230" i="28"/>
  <c r="CX1230" i="28" s="1"/>
  <c r="CJ1229" i="28"/>
  <c r="CI1229" i="28"/>
  <c r="CH1229" i="28"/>
  <c r="CX1229" i="28" s="1"/>
  <c r="CJ1228" i="28"/>
  <c r="CI1228" i="28"/>
  <c r="CH1228" i="28"/>
  <c r="CX1228" i="28" s="1"/>
  <c r="CJ1227" i="28"/>
  <c r="CI1227" i="28"/>
  <c r="CH1227" i="28"/>
  <c r="CJ1226" i="28"/>
  <c r="CI1226" i="28"/>
  <c r="CH1226" i="28"/>
  <c r="CX1226" i="28" s="1"/>
  <c r="CJ1225" i="28"/>
  <c r="CI1225" i="28"/>
  <c r="CH1225" i="28"/>
  <c r="CX1225" i="28" s="1"/>
  <c r="CJ1224" i="28"/>
  <c r="CI1224" i="28"/>
  <c r="CH1224" i="28"/>
  <c r="CX1224" i="28" s="1"/>
  <c r="CJ1223" i="28"/>
  <c r="CI1223" i="28"/>
  <c r="CH1223" i="28"/>
  <c r="CJ1222" i="28"/>
  <c r="CI1222" i="28"/>
  <c r="CH1222" i="28"/>
  <c r="CX1222" i="28" s="1"/>
  <c r="CJ1221" i="28"/>
  <c r="CI1221" i="28"/>
  <c r="CH1221" i="28"/>
  <c r="CX1221" i="28" s="1"/>
  <c r="CJ1220" i="28"/>
  <c r="CI1220" i="28"/>
  <c r="CH1220" i="28"/>
  <c r="CX1220" i="28" s="1"/>
  <c r="CJ1219" i="28"/>
  <c r="CI1219" i="28"/>
  <c r="CH1219" i="28"/>
  <c r="CJ1218" i="28"/>
  <c r="CI1218" i="28"/>
  <c r="CH1218" i="28"/>
  <c r="CX1218" i="28" s="1"/>
  <c r="CJ1214" i="28"/>
  <c r="CI1214" i="28"/>
  <c r="CH1214" i="28"/>
  <c r="CJ1210" i="28"/>
  <c r="CI1210" i="28"/>
  <c r="CH1210" i="28"/>
  <c r="CX1210" i="28" s="1"/>
  <c r="CJ1208" i="28"/>
  <c r="CI1208" i="28"/>
  <c r="CH1208" i="28"/>
  <c r="CJ1207" i="28"/>
  <c r="CI1207" i="28"/>
  <c r="CH1207" i="28"/>
  <c r="CX1207" i="28" s="1"/>
  <c r="CJ1204" i="28"/>
  <c r="CI1204" i="28"/>
  <c r="CH1204" i="28"/>
  <c r="CJ1203" i="28"/>
  <c r="CI1203" i="28"/>
  <c r="CH1203" i="28"/>
  <c r="CX1203" i="28" s="1"/>
  <c r="CJ1196" i="28"/>
  <c r="CI1196" i="28"/>
  <c r="CH1196" i="28"/>
  <c r="CX1196" i="28" s="1"/>
  <c r="CJ1195" i="28"/>
  <c r="CI1195" i="28"/>
  <c r="CH1195" i="28"/>
  <c r="CX1195" i="28" s="1"/>
  <c r="CJ1194" i="28"/>
  <c r="CI1194" i="28"/>
  <c r="CH1194" i="28"/>
  <c r="CX1194" i="28" s="1"/>
  <c r="CJ1193" i="28"/>
  <c r="CI1193" i="28"/>
  <c r="CH1193" i="28"/>
  <c r="CX1193" i="28" s="1"/>
  <c r="CJ1192" i="28"/>
  <c r="CI1192" i="28"/>
  <c r="CH1192" i="28"/>
  <c r="CX1192" i="28" s="1"/>
  <c r="CJ1191" i="28"/>
  <c r="CI1191" i="28"/>
  <c r="CH1191" i="28"/>
  <c r="CX1191" i="28" s="1"/>
  <c r="CJ1190" i="28"/>
  <c r="CI1190" i="28"/>
  <c r="CH1190" i="28"/>
  <c r="CX1190" i="28" s="1"/>
  <c r="CI1185" i="28"/>
  <c r="CJ1185" i="28"/>
  <c r="CH1185" i="28"/>
  <c r="CX1185" i="28" s="1"/>
  <c r="CG1184" i="28"/>
  <c r="CF1184" i="28"/>
  <c r="CE1184" i="28"/>
  <c r="CD1184" i="28"/>
  <c r="CG1136" i="28"/>
  <c r="CF1136" i="28"/>
  <c r="CE1136" i="28"/>
  <c r="CD1136" i="28"/>
  <c r="CG1132" i="28"/>
  <c r="CF1132" i="28"/>
  <c r="CE1132" i="28"/>
  <c r="CD1132" i="28"/>
  <c r="CG1124" i="28"/>
  <c r="CF1124" i="28"/>
  <c r="CE1124" i="28"/>
  <c r="CD1124" i="28"/>
  <c r="CG1123" i="28"/>
  <c r="CF1123" i="28"/>
  <c r="CE1123" i="28"/>
  <c r="CD1123" i="28"/>
  <c r="CG1079" i="28"/>
  <c r="CF1079" i="28"/>
  <c r="CE1079" i="28"/>
  <c r="CD1079" i="28"/>
  <c r="CG1078" i="28"/>
  <c r="CF1078" i="28"/>
  <c r="CE1078" i="28"/>
  <c r="CD1078" i="28"/>
  <c r="CG1061" i="28"/>
  <c r="CF1061" i="28"/>
  <c r="CE1061" i="28"/>
  <c r="CD1061" i="28"/>
  <c r="CG1060" i="28"/>
  <c r="CF1060" i="28"/>
  <c r="CE1060" i="28"/>
  <c r="CD1060" i="28"/>
  <c r="CG1059" i="28"/>
  <c r="CF1059" i="28"/>
  <c r="CE1059" i="28"/>
  <c r="CD1059" i="28"/>
  <c r="CG1058" i="28"/>
  <c r="CF1058" i="28"/>
  <c r="CE1058" i="28"/>
  <c r="CD1058" i="28"/>
  <c r="CG1057" i="28"/>
  <c r="CF1057" i="28"/>
  <c r="CE1057" i="28"/>
  <c r="CD1057" i="28"/>
  <c r="CG1056" i="28"/>
  <c r="CF1056" i="28"/>
  <c r="CE1056" i="28"/>
  <c r="CD1056" i="28"/>
  <c r="CG1055" i="28"/>
  <c r="CF1055" i="28"/>
  <c r="CE1055" i="28"/>
  <c r="CD1055" i="28"/>
  <c r="CG1054" i="28"/>
  <c r="CF1054" i="28"/>
  <c r="CE1054" i="28"/>
  <c r="CD1054" i="28"/>
  <c r="CG1053" i="28"/>
  <c r="CF1053" i="28"/>
  <c r="CE1053" i="28"/>
  <c r="CD1053" i="28"/>
  <c r="CG992" i="28"/>
  <c r="CF992" i="28"/>
  <c r="CE992" i="28"/>
  <c r="CD992" i="28"/>
  <c r="CG991" i="28"/>
  <c r="CF991" i="28"/>
  <c r="CE991" i="28"/>
  <c r="CD991" i="28"/>
  <c r="CG968" i="28"/>
  <c r="CF968" i="28"/>
  <c r="CE968" i="28"/>
  <c r="CD968" i="28"/>
  <c r="CG958" i="28"/>
  <c r="CF958" i="28"/>
  <c r="CE958" i="28"/>
  <c r="CD958" i="28"/>
  <c r="CG869" i="28"/>
  <c r="CF869" i="28"/>
  <c r="CE869" i="28"/>
  <c r="CD869" i="28"/>
  <c r="CG867" i="28"/>
  <c r="CF867" i="28"/>
  <c r="CE867" i="28"/>
  <c r="CD867" i="28"/>
  <c r="CG848" i="28"/>
  <c r="CF848" i="28"/>
  <c r="CE848" i="28"/>
  <c r="CD848" i="28"/>
  <c r="CG845" i="28"/>
  <c r="CF845" i="28"/>
  <c r="CE845" i="28"/>
  <c r="CD845" i="28"/>
  <c r="CG844" i="28"/>
  <c r="CF844" i="28"/>
  <c r="CE844" i="28"/>
  <c r="CD844" i="28"/>
  <c r="CG842" i="28"/>
  <c r="CF842" i="28"/>
  <c r="CE842" i="28"/>
  <c r="CD842" i="28"/>
  <c r="CG817" i="28"/>
  <c r="CF817" i="28"/>
  <c r="CE817" i="28"/>
  <c r="CD817" i="28"/>
  <c r="CG816" i="28"/>
  <c r="CF816" i="28"/>
  <c r="CE816" i="28"/>
  <c r="CD816" i="28"/>
  <c r="CG815" i="28"/>
  <c r="CF815" i="28"/>
  <c r="CE815" i="28"/>
  <c r="CD815" i="28"/>
  <c r="CG813" i="28"/>
  <c r="CF813" i="28"/>
  <c r="CE813" i="28"/>
  <c r="CD813" i="28"/>
  <c r="CG814" i="28"/>
  <c r="CF814" i="28"/>
  <c r="CE814" i="28"/>
  <c r="CD814" i="28"/>
  <c r="CG810" i="28"/>
  <c r="CF810" i="28"/>
  <c r="CE810" i="28"/>
  <c r="CD810" i="28"/>
  <c r="CG749" i="28"/>
  <c r="CF749" i="28"/>
  <c r="CE749" i="28"/>
  <c r="CD749" i="28"/>
  <c r="CG722" i="28"/>
  <c r="CF722" i="28"/>
  <c r="CE722" i="28"/>
  <c r="CD722" i="28"/>
  <c r="CE711" i="28"/>
  <c r="CF711" i="28"/>
  <c r="CG711" i="28"/>
  <c r="CD711" i="28"/>
  <c r="CG1151" i="28"/>
  <c r="CF1151" i="28"/>
  <c r="CE1151" i="28"/>
  <c r="CD1151" i="28"/>
  <c r="CG1150" i="28"/>
  <c r="CF1150" i="28"/>
  <c r="CE1150" i="28"/>
  <c r="CD1150" i="28"/>
  <c r="CG1149" i="28"/>
  <c r="CF1149" i="28"/>
  <c r="CE1149" i="28"/>
  <c r="CD1149" i="28"/>
  <c r="CG1148" i="28"/>
  <c r="CF1148" i="28"/>
  <c r="CE1148" i="28"/>
  <c r="CD1148" i="28"/>
  <c r="CG1146" i="28"/>
  <c r="CF1146" i="28"/>
  <c r="CE1146" i="28"/>
  <c r="CD1146" i="28"/>
  <c r="CG1145" i="28"/>
  <c r="CF1145" i="28"/>
  <c r="CE1145" i="28"/>
  <c r="CD1145" i="28"/>
  <c r="CG1144" i="28"/>
  <c r="CF1144" i="28"/>
  <c r="CE1144" i="28"/>
  <c r="CD1144" i="28"/>
  <c r="CG1143" i="28"/>
  <c r="CF1143" i="28"/>
  <c r="CE1143" i="28"/>
  <c r="CD1143" i="28"/>
  <c r="CG1142" i="28"/>
  <c r="CF1142" i="28"/>
  <c r="CE1142" i="28"/>
  <c r="CD1142" i="28"/>
  <c r="CG1141" i="28"/>
  <c r="CF1141" i="28"/>
  <c r="CE1141" i="28"/>
  <c r="CD1141" i="28"/>
  <c r="CG1140" i="28"/>
  <c r="CF1140" i="28"/>
  <c r="CE1140" i="28"/>
  <c r="CD1140" i="28"/>
  <c r="CG1139" i="28"/>
  <c r="CF1139" i="28"/>
  <c r="CE1139" i="28"/>
  <c r="CD1139" i="28"/>
  <c r="CG1133" i="28"/>
  <c r="CF1133" i="28"/>
  <c r="CE1133" i="28"/>
  <c r="CD1133" i="28"/>
  <c r="CG1131" i="28"/>
  <c r="CF1131" i="28"/>
  <c r="CE1131" i="28"/>
  <c r="CD1131" i="28"/>
  <c r="CG1129" i="28"/>
  <c r="CF1129" i="28"/>
  <c r="CE1129" i="28"/>
  <c r="CD1129" i="28"/>
  <c r="CG1130" i="28"/>
  <c r="CF1130" i="28"/>
  <c r="CE1130" i="28"/>
  <c r="CD1130" i="28"/>
  <c r="CG1128" i="28"/>
  <c r="CF1128" i="28"/>
  <c r="CE1128" i="28"/>
  <c r="CD1128" i="28"/>
  <c r="CG1127" i="28"/>
  <c r="CF1127" i="28"/>
  <c r="CE1127" i="28"/>
  <c r="CD1127" i="28"/>
  <c r="CG1126" i="28"/>
  <c r="CF1126" i="28"/>
  <c r="CE1126" i="28"/>
  <c r="CD1126" i="28"/>
  <c r="CG1125" i="28"/>
  <c r="CF1125" i="28"/>
  <c r="CE1125" i="28"/>
  <c r="CD1125" i="28"/>
  <c r="CG1121" i="28"/>
  <c r="CF1121" i="28"/>
  <c r="CE1121" i="28"/>
  <c r="CD1121" i="28"/>
  <c r="CG1120" i="28"/>
  <c r="CF1120" i="28"/>
  <c r="CE1120" i="28"/>
  <c r="CD1120" i="28"/>
  <c r="CG1118" i="28"/>
  <c r="CF1118" i="28"/>
  <c r="CE1118" i="28"/>
  <c r="CD1118" i="28"/>
  <c r="CG1117" i="28"/>
  <c r="CF1117" i="28"/>
  <c r="CE1117" i="28"/>
  <c r="CD1117" i="28"/>
  <c r="CG1116" i="28"/>
  <c r="CF1116" i="28"/>
  <c r="CE1116" i="28"/>
  <c r="CD1116" i="28"/>
  <c r="CG1115" i="28"/>
  <c r="CF1115" i="28"/>
  <c r="CE1115" i="28"/>
  <c r="CD1115" i="28"/>
  <c r="CG1109" i="28"/>
  <c r="CF1109" i="28"/>
  <c r="CE1109" i="28"/>
  <c r="CD1109" i="28"/>
  <c r="CG1107" i="28"/>
  <c r="CF1107" i="28"/>
  <c r="CE1107" i="28"/>
  <c r="CD1107" i="28"/>
  <c r="CG1106" i="28"/>
  <c r="CF1106" i="28"/>
  <c r="CE1106" i="28"/>
  <c r="CD1106" i="28"/>
  <c r="CG1105" i="28"/>
  <c r="CF1105" i="28"/>
  <c r="CE1105" i="28"/>
  <c r="CD1105" i="28"/>
  <c r="CG1104" i="28"/>
  <c r="CF1104" i="28"/>
  <c r="CE1104" i="28"/>
  <c r="CD1104" i="28"/>
  <c r="CG1103" i="28"/>
  <c r="CF1103" i="28"/>
  <c r="CE1103" i="28"/>
  <c r="CD1103" i="28"/>
  <c r="CG1102" i="28"/>
  <c r="CF1102" i="28"/>
  <c r="CE1102" i="28"/>
  <c r="CD1102" i="28"/>
  <c r="CG1101" i="28"/>
  <c r="CF1101" i="28"/>
  <c r="CE1101" i="28"/>
  <c r="CD1101" i="28"/>
  <c r="CG1100" i="28"/>
  <c r="CF1100" i="28"/>
  <c r="CE1100" i="28"/>
  <c r="CD1100" i="28"/>
  <c r="CG1099" i="28"/>
  <c r="CF1099" i="28"/>
  <c r="CE1099" i="28"/>
  <c r="CD1099" i="28"/>
  <c r="CG1098" i="28"/>
  <c r="CF1098" i="28"/>
  <c r="CE1098" i="28"/>
  <c r="CD1098" i="28"/>
  <c r="CG1097" i="28"/>
  <c r="CF1097" i="28"/>
  <c r="CE1097" i="28"/>
  <c r="CD1097" i="28"/>
  <c r="CG1096" i="28"/>
  <c r="CF1096" i="28"/>
  <c r="CE1096" i="28"/>
  <c r="CD1096" i="28"/>
  <c r="CG1095" i="28"/>
  <c r="CF1095" i="28"/>
  <c r="CE1095" i="28"/>
  <c r="CD1095" i="28"/>
  <c r="CG1094" i="28"/>
  <c r="CF1094" i="28"/>
  <c r="CE1094" i="28"/>
  <c r="CD1094" i="28"/>
  <c r="CG1093" i="28"/>
  <c r="CF1093" i="28"/>
  <c r="CE1093" i="28"/>
  <c r="CD1093" i="28"/>
  <c r="CG1092" i="28"/>
  <c r="CF1092" i="28"/>
  <c r="CE1092" i="28"/>
  <c r="CD1092" i="28"/>
  <c r="CG1091" i="28"/>
  <c r="CF1091" i="28"/>
  <c r="CE1091" i="28"/>
  <c r="CD1091" i="28"/>
  <c r="CG1089" i="28"/>
  <c r="CF1089" i="28"/>
  <c r="CE1089" i="28"/>
  <c r="CD1089" i="28"/>
  <c r="CG1086" i="28"/>
  <c r="CF1086" i="28"/>
  <c r="CE1086" i="28"/>
  <c r="CD1086" i="28"/>
  <c r="CG1084" i="28"/>
  <c r="CF1084" i="28"/>
  <c r="CE1084" i="28"/>
  <c r="CD1084" i="28"/>
  <c r="CG1083" i="28"/>
  <c r="CF1083" i="28"/>
  <c r="CE1083" i="28"/>
  <c r="CD1083" i="28"/>
  <c r="CG1082" i="28"/>
  <c r="CF1082" i="28"/>
  <c r="CE1082" i="28"/>
  <c r="CD1082" i="28"/>
  <c r="CG1081" i="28"/>
  <c r="CF1081" i="28"/>
  <c r="CE1081" i="28"/>
  <c r="CD1081" i="28"/>
  <c r="CG1077" i="28"/>
  <c r="CF1077" i="28"/>
  <c r="CE1077" i="28"/>
  <c r="CD1077" i="28"/>
  <c r="CG1076" i="28"/>
  <c r="CF1076" i="28"/>
  <c r="CE1076" i="28"/>
  <c r="CD1076" i="28"/>
  <c r="CG1075" i="28"/>
  <c r="CF1075" i="28"/>
  <c r="CE1075" i="28"/>
  <c r="CD1075" i="28"/>
  <c r="CG1074" i="28"/>
  <c r="CF1074" i="28"/>
  <c r="CE1074" i="28"/>
  <c r="CD1074" i="28"/>
  <c r="CG1073" i="28"/>
  <c r="CF1073" i="28"/>
  <c r="CE1073" i="28"/>
  <c r="CD1073" i="28"/>
  <c r="CG1072" i="28"/>
  <c r="CF1072" i="28"/>
  <c r="CE1072" i="28"/>
  <c r="CD1072" i="28"/>
  <c r="CG1070" i="28"/>
  <c r="CF1070" i="28"/>
  <c r="CE1070" i="28"/>
  <c r="CD1070" i="28"/>
  <c r="CG1068" i="28"/>
  <c r="CF1068" i="28"/>
  <c r="CE1068" i="28"/>
  <c r="CD1068" i="28"/>
  <c r="CG1067" i="28"/>
  <c r="CF1067" i="28"/>
  <c r="CE1067" i="28"/>
  <c r="CD1067" i="28"/>
  <c r="CG1066" i="28"/>
  <c r="CF1066" i="28"/>
  <c r="CE1066" i="28"/>
  <c r="CD1066" i="28"/>
  <c r="CG1065" i="28"/>
  <c r="CF1065" i="28"/>
  <c r="CE1065" i="28"/>
  <c r="CD1065" i="28"/>
  <c r="CG1064" i="28"/>
  <c r="CF1064" i="28"/>
  <c r="CE1064" i="28"/>
  <c r="CD1064" i="28"/>
  <c r="CG1049" i="28"/>
  <c r="CF1049" i="28"/>
  <c r="CE1049" i="28"/>
  <c r="CD1049" i="28"/>
  <c r="CG1048" i="28"/>
  <c r="CF1048" i="28"/>
  <c r="CE1048" i="28"/>
  <c r="CD1048" i="28"/>
  <c r="CG1045" i="28"/>
  <c r="CF1045" i="28"/>
  <c r="CE1045" i="28"/>
  <c r="CD1045" i="28"/>
  <c r="CG1043" i="28"/>
  <c r="CF1043" i="28"/>
  <c r="CE1043" i="28"/>
  <c r="CD1043" i="28"/>
  <c r="CG1042" i="28"/>
  <c r="CF1042" i="28"/>
  <c r="CE1042" i="28"/>
  <c r="CD1042" i="28"/>
  <c r="CG1041" i="28"/>
  <c r="CF1041" i="28"/>
  <c r="CE1041" i="28"/>
  <c r="CD1041" i="28"/>
  <c r="CG1040" i="28"/>
  <c r="CF1040" i="28"/>
  <c r="CE1040" i="28"/>
  <c r="CD1040" i="28"/>
  <c r="CG1039" i="28"/>
  <c r="CF1039" i="28"/>
  <c r="CE1039" i="28"/>
  <c r="CD1039" i="28"/>
  <c r="CG1038" i="28"/>
  <c r="CF1038" i="28"/>
  <c r="CE1038" i="28"/>
  <c r="CD1038" i="28"/>
  <c r="CG1035" i="28"/>
  <c r="CF1035" i="28"/>
  <c r="CE1035" i="28"/>
  <c r="CD1035" i="28"/>
  <c r="CG1034" i="28"/>
  <c r="CF1034" i="28"/>
  <c r="CE1034" i="28"/>
  <c r="CD1034" i="28"/>
  <c r="CG1030" i="28"/>
  <c r="CF1030" i="28"/>
  <c r="CE1030" i="28"/>
  <c r="CD1030" i="28"/>
  <c r="CG1028" i="28"/>
  <c r="CF1028" i="28"/>
  <c r="CE1028" i="28"/>
  <c r="CD1028" i="28"/>
  <c r="CG1027" i="28"/>
  <c r="CF1027" i="28"/>
  <c r="CE1027" i="28"/>
  <c r="CD1027" i="28"/>
  <c r="CG1026" i="28"/>
  <c r="CF1026" i="28"/>
  <c r="CE1026" i="28"/>
  <c r="CD1026" i="28"/>
  <c r="CG1025" i="28"/>
  <c r="CF1025" i="28"/>
  <c r="CE1025" i="28"/>
  <c r="CD1025" i="28"/>
  <c r="CG1022" i="28"/>
  <c r="CF1022" i="28"/>
  <c r="CE1022" i="28"/>
  <c r="CD1022" i="28"/>
  <c r="CG1021" i="28"/>
  <c r="CF1021" i="28"/>
  <c r="CE1021" i="28"/>
  <c r="CD1021" i="28"/>
  <c r="CG1020" i="28"/>
  <c r="CF1020" i="28"/>
  <c r="CE1020" i="28"/>
  <c r="CD1020" i="28"/>
  <c r="CG1019" i="28"/>
  <c r="CF1019" i="28"/>
  <c r="CE1019" i="28"/>
  <c r="CD1019" i="28"/>
  <c r="CG1018" i="28"/>
  <c r="CF1018" i="28"/>
  <c r="CE1018" i="28"/>
  <c r="CD1018" i="28"/>
  <c r="CG1017" i="28"/>
  <c r="CF1017" i="28"/>
  <c r="CE1017" i="28"/>
  <c r="CD1017" i="28"/>
  <c r="CG1016" i="28"/>
  <c r="CF1016" i="28"/>
  <c r="CE1016" i="28"/>
  <c r="CD1016" i="28"/>
  <c r="CG1015" i="28"/>
  <c r="CF1015" i="28"/>
  <c r="CE1015" i="28"/>
  <c r="CD1015" i="28"/>
  <c r="CG1014" i="28"/>
  <c r="CF1014" i="28"/>
  <c r="CE1014" i="28"/>
  <c r="CD1014" i="28"/>
  <c r="CG1013" i="28"/>
  <c r="CF1013" i="28"/>
  <c r="CE1013" i="28"/>
  <c r="CD1013" i="28"/>
  <c r="CG1012" i="28"/>
  <c r="CF1012" i="28"/>
  <c r="CE1012" i="28"/>
  <c r="CD1012" i="28"/>
  <c r="CG1011" i="28"/>
  <c r="CF1011" i="28"/>
  <c r="CE1011" i="28"/>
  <c r="CD1011" i="28"/>
  <c r="CG1010" i="28"/>
  <c r="CF1010" i="28"/>
  <c r="CE1010" i="28"/>
  <c r="CD1010" i="28"/>
  <c r="CG1009" i="28"/>
  <c r="CF1009" i="28"/>
  <c r="CE1009" i="28"/>
  <c r="CD1009" i="28"/>
  <c r="CG1004" i="28"/>
  <c r="CF1004" i="28"/>
  <c r="CE1004" i="28"/>
  <c r="CD1004" i="28"/>
  <c r="CG1003" i="28"/>
  <c r="CF1003" i="28"/>
  <c r="CE1003" i="28"/>
  <c r="CD1003" i="28"/>
  <c r="CG1002" i="28"/>
  <c r="CF1002" i="28"/>
  <c r="CE1002" i="28"/>
  <c r="CD1002" i="28"/>
  <c r="CG1001" i="28"/>
  <c r="CF1001" i="28"/>
  <c r="CE1001" i="28"/>
  <c r="CD1001" i="28"/>
  <c r="CG1000" i="28"/>
  <c r="CF1000" i="28"/>
  <c r="CE1000" i="28"/>
  <c r="CD1000" i="28"/>
  <c r="CG999" i="28"/>
  <c r="CF999" i="28"/>
  <c r="CE999" i="28"/>
  <c r="CD999" i="28"/>
  <c r="CG998" i="28"/>
  <c r="CF998" i="28"/>
  <c r="CE998" i="28"/>
  <c r="CD998" i="28"/>
  <c r="CG996" i="28"/>
  <c r="CF996" i="28"/>
  <c r="CE996" i="28"/>
  <c r="CD996" i="28"/>
  <c r="CG995" i="28"/>
  <c r="CF995" i="28"/>
  <c r="CE995" i="28"/>
  <c r="CD995" i="28"/>
  <c r="CG994" i="28"/>
  <c r="CF994" i="28"/>
  <c r="CE994" i="28"/>
  <c r="CD994" i="28"/>
  <c r="CG993" i="28"/>
  <c r="CF993" i="28"/>
  <c r="CE993" i="28"/>
  <c r="CD993" i="28"/>
  <c r="CG990" i="28"/>
  <c r="CF990" i="28"/>
  <c r="CE990" i="28"/>
  <c r="CD990" i="28"/>
  <c r="CG989" i="28"/>
  <c r="CF989" i="28"/>
  <c r="CE989" i="28"/>
  <c r="CD989" i="28"/>
  <c r="CG985" i="28"/>
  <c r="CF985" i="28"/>
  <c r="CE985" i="28"/>
  <c r="CD985" i="28"/>
  <c r="CG983" i="28"/>
  <c r="CF983" i="28"/>
  <c r="CE983" i="28"/>
  <c r="CD983" i="28"/>
  <c r="CG982" i="28"/>
  <c r="CF982" i="28"/>
  <c r="CE982" i="28"/>
  <c r="CD982" i="28"/>
  <c r="CG980" i="28"/>
  <c r="CF980" i="28"/>
  <c r="CE980" i="28"/>
  <c r="CD980" i="28"/>
  <c r="CG975" i="28"/>
  <c r="CF975" i="28"/>
  <c r="CE975" i="28"/>
  <c r="CD975" i="28"/>
  <c r="CG974" i="28"/>
  <c r="CF974" i="28"/>
  <c r="CE974" i="28"/>
  <c r="CD974" i="28"/>
  <c r="CG973" i="28"/>
  <c r="CF973" i="28"/>
  <c r="CE973" i="28"/>
  <c r="CD973" i="28"/>
  <c r="CG972" i="28"/>
  <c r="CF972" i="28"/>
  <c r="CE972" i="28"/>
  <c r="CD972" i="28"/>
  <c r="CG970" i="28"/>
  <c r="CF970" i="28"/>
  <c r="CE970" i="28"/>
  <c r="CD970" i="28"/>
  <c r="CG969" i="28"/>
  <c r="CF969" i="28"/>
  <c r="CE969" i="28"/>
  <c r="CD969" i="28"/>
  <c r="CG966" i="28"/>
  <c r="CF966" i="28"/>
  <c r="CE966" i="28"/>
  <c r="CD966" i="28"/>
  <c r="CG965" i="28"/>
  <c r="CF965" i="28"/>
  <c r="CE965" i="28"/>
  <c r="CD965" i="28"/>
  <c r="CG963" i="28"/>
  <c r="CF963" i="28"/>
  <c r="CE963" i="28"/>
  <c r="CD963" i="28"/>
  <c r="CG959" i="28"/>
  <c r="CF959" i="28"/>
  <c r="CE959" i="28"/>
  <c r="CD959" i="28"/>
  <c r="CG954" i="28"/>
  <c r="CF954" i="28"/>
  <c r="CE954" i="28"/>
  <c r="CD954" i="28"/>
  <c r="CG953" i="28"/>
  <c r="CF953" i="28"/>
  <c r="CE953" i="28"/>
  <c r="CD953" i="28"/>
  <c r="CG947" i="28"/>
  <c r="CF947" i="28"/>
  <c r="CE947" i="28"/>
  <c r="CD947" i="28"/>
  <c r="CG945" i="28"/>
  <c r="CF945" i="28"/>
  <c r="CE945" i="28"/>
  <c r="CD945" i="28"/>
  <c r="CG946" i="28"/>
  <c r="CF946" i="28"/>
  <c r="CE946" i="28"/>
  <c r="CD946" i="28"/>
  <c r="CG944" i="28"/>
  <c r="CF944" i="28"/>
  <c r="CE944" i="28"/>
  <c r="CD944" i="28"/>
  <c r="CG943" i="28"/>
  <c r="CF943" i="28"/>
  <c r="CE943" i="28"/>
  <c r="CD943" i="28"/>
  <c r="CG942" i="28"/>
  <c r="CF942" i="28"/>
  <c r="CE942" i="28"/>
  <c r="CD942" i="28"/>
  <c r="CG941" i="28"/>
  <c r="CF941" i="28"/>
  <c r="CE941" i="28"/>
  <c r="CD941" i="28"/>
  <c r="CG940" i="28"/>
  <c r="CF940" i="28"/>
  <c r="CE940" i="28"/>
  <c r="CD940" i="28"/>
  <c r="CG939" i="28"/>
  <c r="CF939" i="28"/>
  <c r="CE939" i="28"/>
  <c r="CD939" i="28"/>
  <c r="CG938" i="28"/>
  <c r="CF938" i="28"/>
  <c r="CE938" i="28"/>
  <c r="CD938" i="28"/>
  <c r="CG937" i="28"/>
  <c r="CF937" i="28"/>
  <c r="CE937" i="28"/>
  <c r="CD937" i="28"/>
  <c r="CG935" i="28"/>
  <c r="CF935" i="28"/>
  <c r="CE935" i="28"/>
  <c r="CD935" i="28"/>
  <c r="CG928" i="28"/>
  <c r="CF928" i="28"/>
  <c r="CE928" i="28"/>
  <c r="CD928" i="28"/>
  <c r="CG927" i="28"/>
  <c r="CF927" i="28"/>
  <c r="CE927" i="28"/>
  <c r="CD927" i="28"/>
  <c r="CG926" i="28"/>
  <c r="CF926" i="28"/>
  <c r="CE926" i="28"/>
  <c r="CD926" i="28"/>
  <c r="CG923" i="28"/>
  <c r="CF923" i="28"/>
  <c r="CE923" i="28"/>
  <c r="CD923" i="28"/>
  <c r="CG922" i="28"/>
  <c r="CF922" i="28"/>
  <c r="CE922" i="28"/>
  <c r="CD922" i="28"/>
  <c r="CG921" i="28"/>
  <c r="CF921" i="28"/>
  <c r="CE921" i="28"/>
  <c r="CD921" i="28"/>
  <c r="CG920" i="28"/>
  <c r="CF920" i="28"/>
  <c r="CE920" i="28"/>
  <c r="CD920" i="28"/>
  <c r="CG919" i="28"/>
  <c r="CF919" i="28"/>
  <c r="CE919" i="28"/>
  <c r="CD919" i="28"/>
  <c r="CG918" i="28"/>
  <c r="CF918" i="28"/>
  <c r="CE918" i="28"/>
  <c r="CD918" i="28"/>
  <c r="CG917" i="28"/>
  <c r="CF917" i="28"/>
  <c r="CE917" i="28"/>
  <c r="CD917" i="28"/>
  <c r="CG916" i="28"/>
  <c r="CF916" i="28"/>
  <c r="CE916" i="28"/>
  <c r="CD916" i="28"/>
  <c r="CG913" i="28"/>
  <c r="CF913" i="28"/>
  <c r="CE913" i="28"/>
  <c r="CD913" i="28"/>
  <c r="CG912" i="28"/>
  <c r="CF912" i="28"/>
  <c r="CE912" i="28"/>
  <c r="CD912" i="28"/>
  <c r="CG911" i="28"/>
  <c r="CF911" i="28"/>
  <c r="CE911" i="28"/>
  <c r="CD911" i="28"/>
  <c r="CG910" i="28"/>
  <c r="CF910" i="28"/>
  <c r="CE910" i="28"/>
  <c r="CD910" i="28"/>
  <c r="CG909" i="28"/>
  <c r="CF909" i="28"/>
  <c r="CE909" i="28"/>
  <c r="CD909" i="28"/>
  <c r="CG908" i="28"/>
  <c r="CF908" i="28"/>
  <c r="CE908" i="28"/>
  <c r="CD908" i="28"/>
  <c r="CG907" i="28"/>
  <c r="CF907" i="28"/>
  <c r="CE907" i="28"/>
  <c r="CD907" i="28"/>
  <c r="CG904" i="28"/>
  <c r="CF904" i="28"/>
  <c r="CE904" i="28"/>
  <c r="CD904" i="28"/>
  <c r="CG903" i="28"/>
  <c r="CF903" i="28"/>
  <c r="CE903" i="28"/>
  <c r="CD903" i="28"/>
  <c r="CG902" i="28"/>
  <c r="CF902" i="28"/>
  <c r="CE902" i="28"/>
  <c r="CD902" i="28"/>
  <c r="CG901" i="28"/>
  <c r="CF901" i="28"/>
  <c r="CE901" i="28"/>
  <c r="CD901" i="28"/>
  <c r="CG897" i="28"/>
  <c r="CF897" i="28"/>
  <c r="CE897" i="28"/>
  <c r="CD897" i="28"/>
  <c r="CG896" i="28"/>
  <c r="CF896" i="28"/>
  <c r="CE896" i="28"/>
  <c r="CD896" i="28"/>
  <c r="CG895" i="28"/>
  <c r="CF895" i="28"/>
  <c r="CE895" i="28"/>
  <c r="CD895" i="28"/>
  <c r="CG894" i="28"/>
  <c r="CF894" i="28"/>
  <c r="CE894" i="28"/>
  <c r="CD894" i="28"/>
  <c r="CG893" i="28"/>
  <c r="CF893" i="28"/>
  <c r="CE893" i="28"/>
  <c r="CD893" i="28"/>
  <c r="CG892" i="28"/>
  <c r="CF892" i="28"/>
  <c r="CE892" i="28"/>
  <c r="CD892" i="28"/>
  <c r="CG891" i="28"/>
  <c r="CF891" i="28"/>
  <c r="CE891" i="28"/>
  <c r="CD891" i="28"/>
  <c r="CG890" i="28"/>
  <c r="CF890" i="28"/>
  <c r="CE890" i="28"/>
  <c r="CD890" i="28"/>
  <c r="CG889" i="28"/>
  <c r="CF889" i="28"/>
  <c r="CE889" i="28"/>
  <c r="CD889" i="28"/>
  <c r="CG888" i="28"/>
  <c r="CF888" i="28"/>
  <c r="CE888" i="28"/>
  <c r="CD888" i="28"/>
  <c r="CG887" i="28"/>
  <c r="CF887" i="28"/>
  <c r="CE887" i="28"/>
  <c r="CD887" i="28"/>
  <c r="CG886" i="28"/>
  <c r="CF886" i="28"/>
  <c r="CE886" i="28"/>
  <c r="CD886" i="28"/>
  <c r="CG885" i="28"/>
  <c r="CF885" i="28"/>
  <c r="CE885" i="28"/>
  <c r="CD885" i="28"/>
  <c r="CG884" i="28"/>
  <c r="CF884" i="28"/>
  <c r="CE884" i="28"/>
  <c r="CD884" i="28"/>
  <c r="CG880" i="28"/>
  <c r="CF880" i="28"/>
  <c r="CE880" i="28"/>
  <c r="CD880" i="28"/>
  <c r="CG879" i="28"/>
  <c r="CF879" i="28"/>
  <c r="CE879" i="28"/>
  <c r="CD879" i="28"/>
  <c r="CG878" i="28"/>
  <c r="CF878" i="28"/>
  <c r="CE878" i="28"/>
  <c r="CD878" i="28"/>
  <c r="CG877" i="28"/>
  <c r="CF877" i="28"/>
  <c r="CE877" i="28"/>
  <c r="CD877" i="28"/>
  <c r="CG876" i="28"/>
  <c r="CF876" i="28"/>
  <c r="CE876" i="28"/>
  <c r="CD876" i="28"/>
  <c r="CG875" i="28"/>
  <c r="CF875" i="28"/>
  <c r="CE875" i="28"/>
  <c r="CD875" i="28"/>
  <c r="CG874" i="28"/>
  <c r="CF874" i="28"/>
  <c r="CE874" i="28"/>
  <c r="CD874" i="28"/>
  <c r="CG873" i="28"/>
  <c r="CF873" i="28"/>
  <c r="CE873" i="28"/>
  <c r="CD873" i="28"/>
  <c r="CG871" i="28"/>
  <c r="CF871" i="28"/>
  <c r="CE871" i="28"/>
  <c r="CD871" i="28"/>
  <c r="CG870" i="28"/>
  <c r="CF870" i="28"/>
  <c r="CE870" i="28"/>
  <c r="CD870" i="28"/>
  <c r="CG868" i="28"/>
  <c r="CF868" i="28"/>
  <c r="CE868" i="28"/>
  <c r="CD868" i="28"/>
  <c r="CG866" i="28"/>
  <c r="CF866" i="28"/>
  <c r="CE866" i="28"/>
  <c r="CD866" i="28"/>
  <c r="CG861" i="28"/>
  <c r="CF861" i="28"/>
  <c r="CE861" i="28"/>
  <c r="CD861" i="28"/>
  <c r="CG860" i="28"/>
  <c r="CF860" i="28"/>
  <c r="CE860" i="28"/>
  <c r="CD860" i="28"/>
  <c r="CG859" i="28"/>
  <c r="CF859" i="28"/>
  <c r="CE859" i="28"/>
  <c r="CD859" i="28"/>
  <c r="CG858" i="28"/>
  <c r="CF858" i="28"/>
  <c r="CE858" i="28"/>
  <c r="CD858" i="28"/>
  <c r="CG856" i="28"/>
  <c r="CF856" i="28"/>
  <c r="CE856" i="28"/>
  <c r="CD856" i="28"/>
  <c r="CG855" i="28"/>
  <c r="CF855" i="28"/>
  <c r="CE855" i="28"/>
  <c r="CD855" i="28"/>
  <c r="CG853" i="28"/>
  <c r="CF853" i="28"/>
  <c r="CE853" i="28"/>
  <c r="CD853" i="28"/>
  <c r="CG854" i="28"/>
  <c r="CF854" i="28"/>
  <c r="CE854" i="28"/>
  <c r="CD854" i="28"/>
  <c r="CG852" i="28"/>
  <c r="CF852" i="28"/>
  <c r="CE852" i="28"/>
  <c r="CD852" i="28"/>
  <c r="CG851" i="28"/>
  <c r="CF851" i="28"/>
  <c r="CE851" i="28"/>
  <c r="CD851" i="28"/>
  <c r="CG850" i="28"/>
  <c r="CF850" i="28"/>
  <c r="CE850" i="28"/>
  <c r="CD850" i="28"/>
  <c r="CG849" i="28"/>
  <c r="CF849" i="28"/>
  <c r="CE849" i="28"/>
  <c r="CD849" i="28"/>
  <c r="CG847" i="28"/>
  <c r="CF847" i="28"/>
  <c r="CE847" i="28"/>
  <c r="CD847" i="28"/>
  <c r="CG846" i="28"/>
  <c r="CF846" i="28"/>
  <c r="CE846" i="28"/>
  <c r="CD846" i="28"/>
  <c r="CG843" i="28"/>
  <c r="CF843" i="28"/>
  <c r="CE843" i="28"/>
  <c r="CD843" i="28"/>
  <c r="CG840" i="28"/>
  <c r="CF840" i="28"/>
  <c r="CE840" i="28"/>
  <c r="CD840" i="28"/>
  <c r="CG839" i="28"/>
  <c r="CF839" i="28"/>
  <c r="CE839" i="28"/>
  <c r="CD839" i="28"/>
  <c r="CG836" i="28"/>
  <c r="CF836" i="28"/>
  <c r="CE836" i="28"/>
  <c r="CD836" i="28"/>
  <c r="CG835" i="28"/>
  <c r="CF835" i="28"/>
  <c r="CE835" i="28"/>
  <c r="CD835" i="28"/>
  <c r="CG833" i="28"/>
  <c r="CF833" i="28"/>
  <c r="CE833" i="28"/>
  <c r="CD833" i="28"/>
  <c r="CG832" i="28"/>
  <c r="CF832" i="28"/>
  <c r="CE832" i="28"/>
  <c r="CD832" i="28"/>
  <c r="CG828" i="28"/>
  <c r="CF828" i="28"/>
  <c r="CE828" i="28"/>
  <c r="CD828" i="28"/>
  <c r="CG827" i="28"/>
  <c r="CF827" i="28"/>
  <c r="CE827" i="28"/>
  <c r="CD827" i="28"/>
  <c r="CG824" i="28"/>
  <c r="CF824" i="28"/>
  <c r="CE824" i="28"/>
  <c r="CD824" i="28"/>
  <c r="CG823" i="28"/>
  <c r="CF823" i="28"/>
  <c r="CE823" i="28"/>
  <c r="CD823" i="28"/>
  <c r="CG822" i="28"/>
  <c r="CF822" i="28"/>
  <c r="CE822" i="28"/>
  <c r="CD822" i="28"/>
  <c r="CG821" i="28"/>
  <c r="CF821" i="28"/>
  <c r="CE821" i="28"/>
  <c r="CD821" i="28"/>
  <c r="CG820" i="28"/>
  <c r="CF820" i="28"/>
  <c r="CE820" i="28"/>
  <c r="CD820" i="28"/>
  <c r="CG819" i="28"/>
  <c r="CF819" i="28"/>
  <c r="CE819" i="28"/>
  <c r="CD819" i="28"/>
  <c r="CG818" i="28"/>
  <c r="CF818" i="28"/>
  <c r="CE818" i="28"/>
  <c r="CD818" i="28"/>
  <c r="CG811" i="28"/>
  <c r="CF811" i="28"/>
  <c r="CE811" i="28"/>
  <c r="CD811" i="28"/>
  <c r="CG809" i="28"/>
  <c r="CF809" i="28"/>
  <c r="CE809" i="28"/>
  <c r="CD809" i="28"/>
  <c r="CG805" i="28"/>
  <c r="CF805" i="28"/>
  <c r="CE805" i="28"/>
  <c r="CD805" i="28"/>
  <c r="CG802" i="28"/>
  <c r="CF802" i="28"/>
  <c r="CE802" i="28"/>
  <c r="CD802" i="28"/>
  <c r="CG801" i="28"/>
  <c r="CF801" i="28"/>
  <c r="CE801" i="28"/>
  <c r="CD801" i="28"/>
  <c r="CG797" i="28"/>
  <c r="CF797" i="28"/>
  <c r="CE797" i="28"/>
  <c r="CD797" i="28"/>
  <c r="CG796" i="28"/>
  <c r="CF796" i="28"/>
  <c r="CE796" i="28"/>
  <c r="CD796" i="28"/>
  <c r="CG795" i="28"/>
  <c r="CF795" i="28"/>
  <c r="CE795" i="28"/>
  <c r="CD795" i="28"/>
  <c r="CG794" i="28"/>
  <c r="CF794" i="28"/>
  <c r="CE794" i="28"/>
  <c r="CD794" i="28"/>
  <c r="CG791" i="28"/>
  <c r="CF791" i="28"/>
  <c r="CE791" i="28"/>
  <c r="CD791" i="28"/>
  <c r="CG790" i="28"/>
  <c r="CF790" i="28"/>
  <c r="CE790" i="28"/>
  <c r="CD790" i="28"/>
  <c r="CG789" i="28"/>
  <c r="CF789" i="28"/>
  <c r="CE789" i="28"/>
  <c r="CD789" i="28"/>
  <c r="CG788" i="28"/>
  <c r="CF788" i="28"/>
  <c r="CE788" i="28"/>
  <c r="CD788" i="28"/>
  <c r="CG787" i="28"/>
  <c r="CF787" i="28"/>
  <c r="CE787" i="28"/>
  <c r="CD787" i="28"/>
  <c r="CG786" i="28"/>
  <c r="CF786" i="28"/>
  <c r="CE786" i="28"/>
  <c r="CD786" i="28"/>
  <c r="CG782" i="28"/>
  <c r="CF782" i="28"/>
  <c r="CE782" i="28"/>
  <c r="CD782" i="28"/>
  <c r="CG781" i="28"/>
  <c r="CF781" i="28"/>
  <c r="CE781" i="28"/>
  <c r="CD781" i="28"/>
  <c r="CG779" i="28"/>
  <c r="CF779" i="28"/>
  <c r="CE779" i="28"/>
  <c r="CD779" i="28"/>
  <c r="CG770" i="28"/>
  <c r="CF770" i="28"/>
  <c r="CE770" i="28"/>
  <c r="CD770" i="28"/>
  <c r="CG767" i="28"/>
  <c r="CF767" i="28"/>
  <c r="CE767" i="28"/>
  <c r="CD767" i="28"/>
  <c r="CG766" i="28"/>
  <c r="CF766" i="28"/>
  <c r="CE766" i="28"/>
  <c r="CD766" i="28"/>
  <c r="CG763" i="28"/>
  <c r="CF763" i="28"/>
  <c r="CE763" i="28"/>
  <c r="CD763" i="28"/>
  <c r="CG761" i="28"/>
  <c r="CF761" i="28"/>
  <c r="CE761" i="28"/>
  <c r="CD761" i="28"/>
  <c r="CG762" i="28"/>
  <c r="CF762" i="28"/>
  <c r="CE762" i="28"/>
  <c r="CD762" i="28"/>
  <c r="CG750" i="28"/>
  <c r="CF750" i="28"/>
  <c r="CE750" i="28"/>
  <c r="CD750" i="28"/>
  <c r="CG748" i="28"/>
  <c r="CF748" i="28"/>
  <c r="CE748" i="28"/>
  <c r="CD748" i="28"/>
  <c r="CG743" i="28"/>
  <c r="CF743" i="28"/>
  <c r="CE743" i="28"/>
  <c r="CD743" i="28"/>
  <c r="CG739" i="28"/>
  <c r="CF739" i="28"/>
  <c r="CE739" i="28"/>
  <c r="CD739" i="28"/>
  <c r="CG737" i="28"/>
  <c r="CF737" i="28"/>
  <c r="CE737" i="28"/>
  <c r="CD737" i="28"/>
  <c r="CG736" i="28"/>
  <c r="CF736" i="28"/>
  <c r="CE736" i="28"/>
  <c r="CD736" i="28"/>
  <c r="CG734" i="28"/>
  <c r="CF734" i="28"/>
  <c r="CE734" i="28"/>
  <c r="CD734" i="28"/>
  <c r="CG733" i="28"/>
  <c r="CF733" i="28"/>
  <c r="CE733" i="28"/>
  <c r="CD733" i="28"/>
  <c r="CG732" i="28"/>
  <c r="CF732" i="28"/>
  <c r="CE732" i="28"/>
  <c r="CD732" i="28"/>
  <c r="CG731" i="28"/>
  <c r="CF731" i="28"/>
  <c r="CE731" i="28"/>
  <c r="CD731" i="28"/>
  <c r="CG730" i="28"/>
  <c r="CF730" i="28"/>
  <c r="CE730" i="28"/>
  <c r="CD730" i="28"/>
  <c r="CG729" i="28"/>
  <c r="CF729" i="28"/>
  <c r="CE729" i="28"/>
  <c r="CD729" i="28"/>
  <c r="CG728" i="28"/>
  <c r="CF728" i="28"/>
  <c r="CE728" i="28"/>
  <c r="CD728" i="28"/>
  <c r="CG727" i="28"/>
  <c r="CF727" i="28"/>
  <c r="CE727" i="28"/>
  <c r="CD727" i="28"/>
  <c r="CG726" i="28"/>
  <c r="CF726" i="28"/>
  <c r="CE726" i="28"/>
  <c r="CD726" i="28"/>
  <c r="CG725" i="28"/>
  <c r="CF725" i="28"/>
  <c r="CE725" i="28"/>
  <c r="CD725" i="28"/>
  <c r="CG724" i="28"/>
  <c r="CF724" i="28"/>
  <c r="CE724" i="28"/>
  <c r="CD724" i="28"/>
  <c r="CG723" i="28"/>
  <c r="CF723" i="28"/>
  <c r="CE723" i="28"/>
  <c r="CD723" i="28"/>
  <c r="CG721" i="28"/>
  <c r="CF721" i="28"/>
  <c r="CE721" i="28"/>
  <c r="CD721" i="28"/>
  <c r="CG720" i="28"/>
  <c r="CF720" i="28"/>
  <c r="CE720" i="28"/>
  <c r="CD720" i="28"/>
  <c r="CG719" i="28"/>
  <c r="CF719" i="28"/>
  <c r="CE719" i="28"/>
  <c r="CD719" i="28"/>
  <c r="CG718" i="28"/>
  <c r="CF718" i="28"/>
  <c r="CE718" i="28"/>
  <c r="CD718" i="28"/>
  <c r="CG716" i="28"/>
  <c r="CF716" i="28"/>
  <c r="CE716" i="28"/>
  <c r="CD716" i="28"/>
  <c r="CG713" i="28"/>
  <c r="CF713" i="28"/>
  <c r="CE713" i="28"/>
  <c r="CD713" i="28"/>
  <c r="CG712" i="28"/>
  <c r="CF712" i="28"/>
  <c r="CE712" i="28"/>
  <c r="CD712" i="28"/>
  <c r="CG710" i="28"/>
  <c r="CF710" i="28"/>
  <c r="CE710" i="28"/>
  <c r="CD710" i="28"/>
  <c r="CG706" i="28"/>
  <c r="CF706" i="28"/>
  <c r="CE706" i="28"/>
  <c r="CD706" i="28"/>
  <c r="CE705" i="28"/>
  <c r="CF705" i="28"/>
  <c r="CG705" i="28"/>
  <c r="CD705" i="28"/>
  <c r="CE703" i="28"/>
  <c r="CD703" i="28"/>
  <c r="CE702" i="28"/>
  <c r="CD702" i="28"/>
  <c r="CE701" i="28"/>
  <c r="CD701" i="28"/>
  <c r="CE700" i="28"/>
  <c r="CD700" i="28"/>
  <c r="CE699" i="28"/>
  <c r="CD699" i="28"/>
  <c r="CE698" i="28"/>
  <c r="CD698" i="28"/>
  <c r="CE697" i="28"/>
  <c r="CD697" i="28"/>
  <c r="CE696" i="28"/>
  <c r="CD696" i="28"/>
  <c r="CE695" i="28"/>
  <c r="CD695" i="28"/>
  <c r="CE694" i="28"/>
  <c r="CD694" i="28"/>
  <c r="CE693" i="28"/>
  <c r="CD693" i="28"/>
  <c r="CE692" i="28"/>
  <c r="CD692" i="28"/>
  <c r="CE691" i="28"/>
  <c r="CD691" i="28"/>
  <c r="CE689" i="28"/>
  <c r="CD689" i="28"/>
  <c r="CE688" i="28"/>
  <c r="CD688" i="28"/>
  <c r="CE687" i="28"/>
  <c r="CD687" i="28"/>
  <c r="CE684" i="28"/>
  <c r="CD684" i="28"/>
  <c r="CE681" i="28"/>
  <c r="CD681" i="28"/>
  <c r="CE680" i="28"/>
  <c r="CD680" i="28"/>
  <c r="CE679" i="28"/>
  <c r="CD679" i="28"/>
  <c r="CE677" i="28"/>
  <c r="CD677" i="28"/>
  <c r="CE673" i="28"/>
  <c r="CD673" i="28"/>
  <c r="CE671" i="28"/>
  <c r="CD671" i="28"/>
  <c r="CE670" i="28"/>
  <c r="CD670" i="28"/>
  <c r="CE669" i="28"/>
  <c r="CD669" i="28"/>
  <c r="CE664" i="28"/>
  <c r="CD664" i="28"/>
  <c r="CE663" i="28"/>
  <c r="CD663" i="28"/>
  <c r="CE657" i="28"/>
  <c r="CD657" i="28"/>
  <c r="CE652" i="28"/>
  <c r="CD652" i="28"/>
  <c r="CE651" i="28"/>
  <c r="CD651" i="28"/>
  <c r="CE644" i="28"/>
  <c r="CD644" i="28"/>
  <c r="CE643" i="28"/>
  <c r="CD643" i="28"/>
  <c r="CE633" i="28"/>
  <c r="CD633" i="28"/>
  <c r="CE626" i="28"/>
  <c r="CD626" i="28"/>
  <c r="CE625" i="28"/>
  <c r="CD625" i="28"/>
  <c r="CE622" i="28"/>
  <c r="CD622" i="28"/>
  <c r="CE617" i="28"/>
  <c r="CD617" i="28"/>
  <c r="CE603" i="28"/>
  <c r="CD603" i="28"/>
  <c r="CE602" i="28"/>
  <c r="CD602" i="28"/>
  <c r="CE600" i="28"/>
  <c r="CD600" i="28"/>
  <c r="CE599" i="28"/>
  <c r="CD599" i="28"/>
  <c r="CE596" i="28"/>
  <c r="CD596" i="28"/>
  <c r="CE593" i="28"/>
  <c r="CD593" i="28"/>
  <c r="CE590" i="28"/>
  <c r="CD590" i="28"/>
  <c r="CE577" i="28"/>
  <c r="CD577" i="28"/>
  <c r="CE526" i="28"/>
  <c r="CD526" i="28"/>
  <c r="CE525" i="28"/>
  <c r="CD525" i="28"/>
  <c r="CE503" i="28"/>
  <c r="CD503" i="28"/>
  <c r="CE502" i="28"/>
  <c r="CD502" i="28"/>
  <c r="CE499" i="28"/>
  <c r="CD499" i="28"/>
  <c r="CE481" i="28"/>
  <c r="CD481" i="28"/>
  <c r="CE473" i="28"/>
  <c r="CD473" i="28"/>
  <c r="CE452" i="28"/>
  <c r="CD452" i="28"/>
  <c r="CE451" i="28"/>
  <c r="CD451" i="28"/>
  <c r="CE449" i="28"/>
  <c r="CD449" i="28"/>
  <c r="CE440" i="28"/>
  <c r="CD440" i="28"/>
  <c r="CE439" i="28"/>
  <c r="CD439" i="28"/>
  <c r="CE438" i="28"/>
  <c r="CD438" i="28"/>
  <c r="CE437" i="28"/>
  <c r="CD437" i="28"/>
  <c r="CE332" i="28"/>
  <c r="CD332" i="28"/>
  <c r="CE329" i="28"/>
  <c r="CD329" i="28"/>
  <c r="CE293" i="28"/>
  <c r="CD293" i="28"/>
  <c r="CE291" i="28"/>
  <c r="CD291" i="28"/>
  <c r="CE277" i="28"/>
  <c r="CD277" i="28"/>
  <c r="CE261" i="28"/>
  <c r="CD261" i="28"/>
  <c r="CE258" i="28"/>
  <c r="CD258" i="28"/>
  <c r="CE256" i="28"/>
  <c r="CD256" i="28"/>
  <c r="CE250" i="28"/>
  <c r="CD250" i="28"/>
  <c r="CE246" i="28"/>
  <c r="CD246" i="28"/>
  <c r="CE247" i="28"/>
  <c r="CD247" i="28"/>
  <c r="CE245" i="28"/>
  <c r="CD245" i="28"/>
  <c r="CD685" i="28"/>
  <c r="CD678" i="28"/>
  <c r="CY678" i="28" s="1"/>
  <c r="CD672" i="28"/>
  <c r="CD668" i="28"/>
  <c r="CY668" i="28" s="1"/>
  <c r="CD667" i="28"/>
  <c r="CD665" i="28"/>
  <c r="CY665" i="28" s="1"/>
  <c r="CD660" i="28"/>
  <c r="CD658" i="28"/>
  <c r="CY658" i="28" s="1"/>
  <c r="CD656" i="28"/>
  <c r="CY656" i="28" s="1"/>
  <c r="CD655" i="28"/>
  <c r="CX655" i="28" s="1"/>
  <c r="CD654" i="28"/>
  <c r="CY654" i="28" s="1"/>
  <c r="CD653" i="28"/>
  <c r="CY653" i="28" s="1"/>
  <c r="CD649" i="28"/>
  <c r="CY649" i="28" s="1"/>
  <c r="CD646" i="28"/>
  <c r="CX646" i="28" s="1"/>
  <c r="CD641" i="28"/>
  <c r="CY641" i="28" s="1"/>
  <c r="CD638" i="28"/>
  <c r="CD637" i="28"/>
  <c r="CD634" i="28"/>
  <c r="CX634" i="28" s="1"/>
  <c r="CD631" i="28"/>
  <c r="CY631" i="28" s="1"/>
  <c r="CD629" i="28"/>
  <c r="CY629" i="28" s="1"/>
  <c r="CD620" i="28"/>
  <c r="CY620" i="28" s="1"/>
  <c r="CD619" i="28"/>
  <c r="CY619" i="28" s="1"/>
  <c r="CD618" i="28"/>
  <c r="CY618" i="28" s="1"/>
  <c r="CD616" i="28"/>
  <c r="CY616" i="28" s="1"/>
  <c r="CD606" i="28"/>
  <c r="CD604" i="28"/>
  <c r="CY604" i="28" s="1"/>
  <c r="CD601" i="28"/>
  <c r="CD595" i="28"/>
  <c r="CX595" i="28" s="1"/>
  <c r="CD591" i="28"/>
  <c r="CD589" i="28"/>
  <c r="CD586" i="28"/>
  <c r="CY586" i="28" s="1"/>
  <c r="CD585" i="28"/>
  <c r="CY585" i="28" s="1"/>
  <c r="CD532" i="28"/>
  <c r="CY532" i="28" s="1"/>
  <c r="CD527" i="28"/>
  <c r="CY527" i="28" s="1"/>
  <c r="CD524" i="28"/>
  <c r="CY524" i="28" s="1"/>
  <c r="CD523" i="28"/>
  <c r="CY523" i="28" s="1"/>
  <c r="CD522" i="28"/>
  <c r="CD517" i="28"/>
  <c r="CD510" i="28"/>
  <c r="CD506" i="28"/>
  <c r="CY506" i="28" s="1"/>
  <c r="CD500" i="28"/>
  <c r="CX500" i="28" s="1"/>
  <c r="CD478" i="28"/>
  <c r="CX478" i="28" s="1"/>
  <c r="CD450" i="28"/>
  <c r="CY450" i="28" s="1"/>
  <c r="CD444" i="28"/>
  <c r="CX444" i="28" s="1"/>
  <c r="CD409" i="28"/>
  <c r="CD408" i="28"/>
  <c r="CD334" i="28"/>
  <c r="CD292" i="28"/>
  <c r="CD276" i="28"/>
  <c r="CD274" i="28"/>
  <c r="CY274" i="28" s="1"/>
  <c r="CD273" i="28"/>
  <c r="CD271" i="28"/>
  <c r="CD265" i="28"/>
  <c r="CD264" i="28"/>
  <c r="CX264" i="28" s="1"/>
  <c r="CD263" i="28"/>
  <c r="CD259" i="28"/>
  <c r="CY259" i="28" s="1"/>
  <c r="CD257" i="28"/>
  <c r="CY257" i="28" s="1"/>
  <c r="CD255" i="28"/>
  <c r="CY255" i="28" s="1"/>
  <c r="CD244" i="28"/>
  <c r="CJ1356" i="28"/>
  <c r="CI1356" i="28"/>
  <c r="CH1356" i="28"/>
  <c r="CJ1350" i="28"/>
  <c r="CI1350" i="28"/>
  <c r="CH1350" i="28"/>
  <c r="CX1350" i="28" s="1"/>
  <c r="CJ1341" i="28"/>
  <c r="CI1341" i="28"/>
  <c r="CH1341" i="28"/>
  <c r="CX1341" i="28" s="1"/>
  <c r="CJ1339" i="28"/>
  <c r="CI1339" i="28"/>
  <c r="CH1339" i="28"/>
  <c r="CX1339" i="28" s="1"/>
  <c r="CJ1336" i="28"/>
  <c r="CI1336" i="28"/>
  <c r="CH1336" i="28"/>
  <c r="CJ1323" i="28"/>
  <c r="CI1323" i="28"/>
  <c r="CH1323" i="28"/>
  <c r="CJ1322" i="28"/>
  <c r="CI1322" i="28"/>
  <c r="CH1322" i="28"/>
  <c r="CJ1321" i="28"/>
  <c r="CI1321" i="28"/>
  <c r="CH1321" i="28"/>
  <c r="CX1321" i="28" s="1"/>
  <c r="CJ1316" i="28"/>
  <c r="CI1316" i="28"/>
  <c r="CH1316" i="28"/>
  <c r="CJ1303" i="28"/>
  <c r="CI1303" i="28"/>
  <c r="CH1303" i="28"/>
  <c r="CJ1302" i="28"/>
  <c r="CI1302" i="28"/>
  <c r="CH1302" i="28"/>
  <c r="CJ1297" i="28"/>
  <c r="CI1297" i="28"/>
  <c r="CH1297" i="28"/>
  <c r="CX1297" i="28" s="1"/>
  <c r="CJ1296" i="28"/>
  <c r="CI1296" i="28"/>
  <c r="CH1296" i="28"/>
  <c r="CJ1295" i="28"/>
  <c r="CI1295" i="28"/>
  <c r="CH1295" i="28"/>
  <c r="CJ1294" i="28"/>
  <c r="CI1294" i="28"/>
  <c r="CH1294" i="28"/>
  <c r="CJ1290" i="28"/>
  <c r="CI1290" i="28"/>
  <c r="CH1290" i="28"/>
  <c r="CX1290" i="28" s="1"/>
  <c r="CJ1278" i="28"/>
  <c r="CI1278" i="28"/>
  <c r="CH1278" i="28"/>
  <c r="CJ1277" i="28"/>
  <c r="CI1277" i="28"/>
  <c r="CH1277" i="28"/>
  <c r="CX1277" i="28" s="1"/>
  <c r="CJ1275" i="28"/>
  <c r="CI1275" i="28"/>
  <c r="CH1275" i="28"/>
  <c r="CX1275" i="28" s="1"/>
  <c r="CJ1274" i="28"/>
  <c r="CI1274" i="28"/>
  <c r="CH1274" i="28"/>
  <c r="CX1274" i="28" s="1"/>
  <c r="CJ1271" i="28"/>
  <c r="CI1271" i="28"/>
  <c r="CH1271" i="28"/>
  <c r="CX1271" i="28" s="1"/>
  <c r="CJ1269" i="28"/>
  <c r="CI1269" i="28"/>
  <c r="CH1269" i="28"/>
  <c r="CX1269" i="28" s="1"/>
  <c r="CJ1266" i="28"/>
  <c r="CI1266" i="28"/>
  <c r="CH1266" i="28"/>
  <c r="CJ1265" i="28"/>
  <c r="CI1265" i="28"/>
  <c r="CH1265" i="28"/>
  <c r="CX1265" i="28" s="1"/>
  <c r="CJ1264" i="28"/>
  <c r="CI1264" i="28"/>
  <c r="CH1264" i="28"/>
  <c r="CJ1257" i="28"/>
  <c r="CI1257" i="28"/>
  <c r="CH1257" i="28"/>
  <c r="CX1257" i="28" s="1"/>
  <c r="CJ1258" i="28"/>
  <c r="CI1258" i="28"/>
  <c r="CH1258" i="28"/>
  <c r="CX1258" i="28" s="1"/>
  <c r="CJ1256" i="28"/>
  <c r="CI1256" i="28"/>
  <c r="CH1256" i="28"/>
  <c r="CX1256" i="28" s="1"/>
  <c r="CJ1254" i="28"/>
  <c r="CI1254" i="28"/>
  <c r="CH1254" i="28"/>
  <c r="CJ1252" i="28"/>
  <c r="CI1252" i="28"/>
  <c r="CH1252" i="28"/>
  <c r="CX1252" i="28" s="1"/>
  <c r="CJ1250" i="28"/>
  <c r="CI1250" i="28"/>
  <c r="CH1250" i="28"/>
  <c r="CJ1247" i="28"/>
  <c r="CI1247" i="28"/>
  <c r="CH1247" i="28"/>
  <c r="CJ1246" i="28"/>
  <c r="CI1246" i="28"/>
  <c r="CH1246" i="28"/>
  <c r="CJ1240" i="28"/>
  <c r="CI1240" i="28"/>
  <c r="CH1240" i="28"/>
  <c r="CX1240" i="28" s="1"/>
  <c r="CJ1237" i="28"/>
  <c r="CI1237" i="28"/>
  <c r="CH1237" i="28"/>
  <c r="CJ1238" i="28"/>
  <c r="CI1238" i="28"/>
  <c r="CH1238" i="28"/>
  <c r="CJ1234" i="28"/>
  <c r="CI1234" i="28"/>
  <c r="CH1234" i="28"/>
  <c r="CJ1215" i="28"/>
  <c r="CI1215" i="28"/>
  <c r="CH1215" i="28"/>
  <c r="CX1215" i="28" s="1"/>
  <c r="CJ1217" i="28"/>
  <c r="CI1217" i="28"/>
  <c r="CH1217" i="28"/>
  <c r="CJ1216" i="28"/>
  <c r="CI1216" i="28"/>
  <c r="CH1216" i="28"/>
  <c r="CX1216" i="28" s="1"/>
  <c r="CJ1206" i="28"/>
  <c r="CI1206" i="28"/>
  <c r="CH1206" i="28"/>
  <c r="CJ1205" i="28"/>
  <c r="CI1205" i="28"/>
  <c r="CH1205" i="28"/>
  <c r="CX1205" i="28" s="1"/>
  <c r="CJ1202" i="28"/>
  <c r="CI1202" i="28"/>
  <c r="CH1202" i="28"/>
  <c r="CJ1201" i="28"/>
  <c r="CI1201" i="28"/>
  <c r="CH1201" i="28"/>
  <c r="CJ1198" i="28"/>
  <c r="CI1198" i="28"/>
  <c r="CH1198" i="28"/>
  <c r="CJ1197" i="28"/>
  <c r="CI1197" i="28"/>
  <c r="CH1197" i="28"/>
  <c r="CX1197" i="28" s="1"/>
  <c r="CJ1187" i="28"/>
  <c r="CI1187" i="28"/>
  <c r="CH1187" i="28"/>
  <c r="CI1186" i="28"/>
  <c r="CJ1186" i="28"/>
  <c r="CH1186" i="28"/>
  <c r="CX1186" i="28" s="1"/>
  <c r="CI1167" i="28"/>
  <c r="CH1167" i="28"/>
  <c r="CG1167" i="28"/>
  <c r="CI1168" i="28"/>
  <c r="CH1168" i="28"/>
  <c r="CG1168" i="28"/>
  <c r="CI1165" i="28"/>
  <c r="CH1165" i="28"/>
  <c r="CG1165" i="28"/>
  <c r="CI1164" i="28"/>
  <c r="CH1164" i="28"/>
  <c r="CG1164" i="28"/>
  <c r="CI1166" i="28"/>
  <c r="CH1166" i="28"/>
  <c r="CG1166" i="28"/>
  <c r="CI1085" i="28"/>
  <c r="CH1085" i="28"/>
  <c r="CG1085" i="28"/>
  <c r="CI1050" i="28"/>
  <c r="CH1050" i="28"/>
  <c r="CG1050" i="28"/>
  <c r="CI1036" i="28"/>
  <c r="CH1036" i="28"/>
  <c r="CG1036" i="28"/>
  <c r="CI1033" i="28"/>
  <c r="CH1033" i="28"/>
  <c r="CG1033" i="28"/>
  <c r="CI976" i="28"/>
  <c r="CH976" i="28"/>
  <c r="CG976" i="28"/>
  <c r="CI950" i="28"/>
  <c r="CH950" i="28"/>
  <c r="CG950" i="28"/>
  <c r="CI865" i="28"/>
  <c r="CY865" i="28" s="1"/>
  <c r="CI864" i="28"/>
  <c r="CI837" i="28"/>
  <c r="CH837" i="28"/>
  <c r="CG837" i="28"/>
  <c r="CI773" i="28"/>
  <c r="CH773" i="28"/>
  <c r="CG773" i="28"/>
  <c r="CI764" i="28"/>
  <c r="CH764" i="28"/>
  <c r="CG764" i="28"/>
  <c r="CI746" i="28"/>
  <c r="CH746" i="28"/>
  <c r="CG746" i="28"/>
  <c r="CI745" i="28"/>
  <c r="CH745" i="28"/>
  <c r="CG745" i="28"/>
  <c r="CI741" i="28"/>
  <c r="CH741" i="28"/>
  <c r="CG741" i="28"/>
  <c r="CI740" i="28"/>
  <c r="CH740" i="28"/>
  <c r="CG740" i="28"/>
  <c r="CI738" i="28"/>
  <c r="CH738" i="28"/>
  <c r="CG738" i="28"/>
  <c r="CH249" i="28"/>
  <c r="CI249" i="28"/>
  <c r="CG249" i="28"/>
  <c r="CH1179" i="28"/>
  <c r="CG1179" i="28"/>
  <c r="CF1179" i="28"/>
  <c r="CE1179" i="28"/>
  <c r="CH1153" i="28"/>
  <c r="CG1153" i="28"/>
  <c r="CF1153" i="28"/>
  <c r="CE1153" i="28"/>
  <c r="CH1152" i="28"/>
  <c r="CG1152" i="28"/>
  <c r="CF1152" i="28"/>
  <c r="CE1152" i="28"/>
  <c r="CH1147" i="28"/>
  <c r="CG1147" i="28"/>
  <c r="CF1147" i="28"/>
  <c r="CE1147" i="28"/>
  <c r="CH1138" i="28"/>
  <c r="CG1138" i="28"/>
  <c r="CF1138" i="28"/>
  <c r="CE1138" i="28"/>
  <c r="CH1137" i="28"/>
  <c r="CG1137" i="28"/>
  <c r="CF1137" i="28"/>
  <c r="CE1137" i="28"/>
  <c r="CH1122" i="28"/>
  <c r="CG1122" i="28"/>
  <c r="CF1122" i="28"/>
  <c r="CE1122" i="28"/>
  <c r="CH1119" i="28"/>
  <c r="CG1119" i="28"/>
  <c r="CF1119" i="28"/>
  <c r="CE1119" i="28"/>
  <c r="CH1108" i="28"/>
  <c r="CG1108" i="28"/>
  <c r="CF1108" i="28"/>
  <c r="CE1108" i="28"/>
  <c r="CH1090" i="28"/>
  <c r="CG1090" i="28"/>
  <c r="CF1090" i="28"/>
  <c r="CE1090" i="28"/>
  <c r="CH1088" i="28"/>
  <c r="CG1088" i="28"/>
  <c r="CF1088" i="28"/>
  <c r="CE1088" i="28"/>
  <c r="CH1087" i="28"/>
  <c r="CG1087" i="28"/>
  <c r="CF1087" i="28"/>
  <c r="CE1087" i="28"/>
  <c r="CH1080" i="28"/>
  <c r="CG1080" i="28"/>
  <c r="CF1080" i="28"/>
  <c r="CE1080" i="28"/>
  <c r="CH1071" i="28"/>
  <c r="CG1071" i="28"/>
  <c r="CF1071" i="28"/>
  <c r="CE1071" i="28"/>
  <c r="CH1069" i="28"/>
  <c r="CG1069" i="28"/>
  <c r="CF1069" i="28"/>
  <c r="CE1069" i="28"/>
  <c r="CH1063" i="28"/>
  <c r="CG1063" i="28"/>
  <c r="CF1063" i="28"/>
  <c r="CE1063" i="28"/>
  <c r="CH1062" i="28"/>
  <c r="CG1062" i="28"/>
  <c r="CF1062" i="28"/>
  <c r="CE1062" i="28"/>
  <c r="CH1047" i="28"/>
  <c r="CG1047" i="28"/>
  <c r="CF1047" i="28"/>
  <c r="CE1047" i="28"/>
  <c r="CH1046" i="28"/>
  <c r="CG1046" i="28"/>
  <c r="CF1046" i="28"/>
  <c r="CE1046" i="28"/>
  <c r="CH1044" i="28"/>
  <c r="CG1044" i="28"/>
  <c r="CF1044" i="28"/>
  <c r="CE1044" i="28"/>
  <c r="CH1037" i="28"/>
  <c r="CG1037" i="28"/>
  <c r="CF1037" i="28"/>
  <c r="CE1037" i="28"/>
  <c r="CH1023" i="28"/>
  <c r="CG1023" i="28"/>
  <c r="CF1023" i="28"/>
  <c r="CE1023" i="28"/>
  <c r="CH997" i="28"/>
  <c r="CG997" i="28"/>
  <c r="CF997" i="28"/>
  <c r="CE997" i="28"/>
  <c r="CH988" i="28"/>
  <c r="CG988" i="28"/>
  <c r="CF988" i="28"/>
  <c r="CE988" i="28"/>
  <c r="CH987" i="28"/>
  <c r="CG987" i="28"/>
  <c r="CF987" i="28"/>
  <c r="CE987" i="28"/>
  <c r="CH986" i="28"/>
  <c r="CG986" i="28"/>
  <c r="CF986" i="28"/>
  <c r="CE986" i="28"/>
  <c r="CH984" i="28"/>
  <c r="CG984" i="28"/>
  <c r="CF984" i="28"/>
  <c r="CE984" i="28"/>
  <c r="CH981" i="28"/>
  <c r="CG981" i="28"/>
  <c r="CF981" i="28"/>
  <c r="CE981" i="28"/>
  <c r="CH977" i="28"/>
  <c r="CG977" i="28"/>
  <c r="CF977" i="28"/>
  <c r="CE977" i="28"/>
  <c r="CH971" i="28"/>
  <c r="CG971" i="28"/>
  <c r="CF971" i="28"/>
  <c r="CE971" i="28"/>
  <c r="CH967" i="28"/>
  <c r="CG967" i="28"/>
  <c r="CF967" i="28"/>
  <c r="CE967" i="28"/>
  <c r="CH964" i="28"/>
  <c r="CG964" i="28"/>
  <c r="CF964" i="28"/>
  <c r="CE964" i="28"/>
  <c r="CH962" i="28"/>
  <c r="CG962" i="28"/>
  <c r="CF962" i="28"/>
  <c r="CE962" i="28"/>
  <c r="CH961" i="28"/>
  <c r="CG961" i="28"/>
  <c r="CF961" i="28"/>
  <c r="CE961" i="28"/>
  <c r="CH960" i="28"/>
  <c r="CG960" i="28"/>
  <c r="CF960" i="28"/>
  <c r="CE960" i="28"/>
  <c r="CH955" i="28"/>
  <c r="CG955" i="28"/>
  <c r="CF955" i="28"/>
  <c r="CE955" i="28"/>
  <c r="CH949" i="28"/>
  <c r="CG949" i="28"/>
  <c r="CF949" i="28"/>
  <c r="CE949" i="28"/>
  <c r="CH948" i="28"/>
  <c r="CG948" i="28"/>
  <c r="CF948" i="28"/>
  <c r="CE948" i="28"/>
  <c r="CH936" i="28"/>
  <c r="CG936" i="28"/>
  <c r="CF936" i="28"/>
  <c r="CE936" i="28"/>
  <c r="CH925" i="28"/>
  <c r="CG925" i="28"/>
  <c r="CF925" i="28"/>
  <c r="CE925" i="28"/>
  <c r="CH924" i="28"/>
  <c r="CG924" i="28"/>
  <c r="CF924" i="28"/>
  <c r="CE924" i="28"/>
  <c r="CH915" i="28"/>
  <c r="CG915" i="28"/>
  <c r="CF915" i="28"/>
  <c r="CE915" i="28"/>
  <c r="CH914" i="28"/>
  <c r="CG914" i="28"/>
  <c r="CF914" i="28"/>
  <c r="CE914" i="28"/>
  <c r="CH906" i="28"/>
  <c r="CG906" i="28"/>
  <c r="CF906" i="28"/>
  <c r="CE906" i="28"/>
  <c r="CH905" i="28"/>
  <c r="CG905" i="28"/>
  <c r="CF905" i="28"/>
  <c r="CE905" i="28"/>
  <c r="CH900" i="28"/>
  <c r="CG900" i="28"/>
  <c r="CF900" i="28"/>
  <c r="CE900" i="28"/>
  <c r="CH899" i="28"/>
  <c r="CG899" i="28"/>
  <c r="CF899" i="28"/>
  <c r="CE899" i="28"/>
  <c r="CH898" i="28"/>
  <c r="CG898" i="28"/>
  <c r="CF898" i="28"/>
  <c r="CE898" i="28"/>
  <c r="CH883" i="28"/>
  <c r="CG883" i="28"/>
  <c r="CF883" i="28"/>
  <c r="CE883" i="28"/>
  <c r="CH882" i="28"/>
  <c r="CG882" i="28"/>
  <c r="CF882" i="28"/>
  <c r="CE882" i="28"/>
  <c r="CH881" i="28"/>
  <c r="CG881" i="28"/>
  <c r="CF881" i="28"/>
  <c r="CE881" i="28"/>
  <c r="CH872" i="28"/>
  <c r="CG872" i="28"/>
  <c r="CF872" i="28"/>
  <c r="CE872" i="28"/>
  <c r="CH863" i="28"/>
  <c r="CG863" i="28"/>
  <c r="CF863" i="28"/>
  <c r="CE863" i="28"/>
  <c r="CH862" i="28"/>
  <c r="CG862" i="28"/>
  <c r="CF862" i="28"/>
  <c r="CE862" i="28"/>
  <c r="CH857" i="28"/>
  <c r="CG857" i="28"/>
  <c r="CF857" i="28"/>
  <c r="CE857" i="28"/>
  <c r="CH841" i="28"/>
  <c r="CG841" i="28"/>
  <c r="CF841" i="28"/>
  <c r="CE841" i="28"/>
  <c r="CH838" i="28"/>
  <c r="CG838" i="28"/>
  <c r="CF838" i="28"/>
  <c r="CE838" i="28"/>
  <c r="CH834" i="28"/>
  <c r="CG834" i="28"/>
  <c r="CF834" i="28"/>
  <c r="CE834" i="28"/>
  <c r="CH831" i="28"/>
  <c r="CG831" i="28"/>
  <c r="CF831" i="28"/>
  <c r="CE831" i="28"/>
  <c r="CH830" i="28"/>
  <c r="CG830" i="28"/>
  <c r="CF830" i="28"/>
  <c r="CE830" i="28"/>
  <c r="CH829" i="28"/>
  <c r="CG829" i="28"/>
  <c r="CF829" i="28"/>
  <c r="CE829" i="28"/>
  <c r="CH812" i="28"/>
  <c r="CG812" i="28"/>
  <c r="CF812" i="28"/>
  <c r="CE812" i="28"/>
  <c r="CH808" i="28"/>
  <c r="CG808" i="28"/>
  <c r="CF808" i="28"/>
  <c r="CE808" i="28"/>
  <c r="CH807" i="28"/>
  <c r="CG807" i="28"/>
  <c r="CF807" i="28"/>
  <c r="CE807" i="28"/>
  <c r="CH793" i="28"/>
  <c r="CG793" i="28"/>
  <c r="CF793" i="28"/>
  <c r="CE793" i="28"/>
  <c r="CH792" i="28"/>
  <c r="CG792" i="28"/>
  <c r="CF792" i="28"/>
  <c r="CE792" i="28"/>
  <c r="CH780" i="28"/>
  <c r="CG780" i="28"/>
  <c r="CF780" i="28"/>
  <c r="CE780" i="28"/>
  <c r="CH778" i="28"/>
  <c r="CG778" i="28"/>
  <c r="CF778" i="28"/>
  <c r="CE778" i="28"/>
  <c r="CH777" i="28"/>
  <c r="CG777" i="28"/>
  <c r="CF777" i="28"/>
  <c r="CE777" i="28"/>
  <c r="CH769" i="28"/>
  <c r="CG769" i="28"/>
  <c r="CF769" i="28"/>
  <c r="CE769" i="28"/>
  <c r="CH768" i="28"/>
  <c r="CG768" i="28"/>
  <c r="CF768" i="28"/>
  <c r="CE768" i="28"/>
  <c r="CH765" i="28"/>
  <c r="CG765" i="28"/>
  <c r="CF765" i="28"/>
  <c r="CE765" i="28"/>
  <c r="CH751" i="28"/>
  <c r="CG751" i="28"/>
  <c r="CF751" i="28"/>
  <c r="CE751" i="28"/>
  <c r="CH747" i="28"/>
  <c r="CG747" i="28"/>
  <c r="CF747" i="28"/>
  <c r="CE747" i="28"/>
  <c r="CH744" i="28"/>
  <c r="CG744" i="28"/>
  <c r="CF744" i="28"/>
  <c r="CE744" i="28"/>
  <c r="CH742" i="28"/>
  <c r="CG742" i="28"/>
  <c r="CF742" i="28"/>
  <c r="CE742" i="28"/>
  <c r="CH735" i="28"/>
  <c r="CG735" i="28"/>
  <c r="CF735" i="28"/>
  <c r="CE735" i="28"/>
  <c r="CH717" i="28"/>
  <c r="CG717" i="28"/>
  <c r="CF717" i="28"/>
  <c r="CE717" i="28"/>
  <c r="CH715" i="28"/>
  <c r="CG715" i="28"/>
  <c r="CF715" i="28"/>
  <c r="CE715" i="28"/>
  <c r="CH714" i="28"/>
  <c r="CG714" i="28"/>
  <c r="CF714" i="28"/>
  <c r="CE714" i="28"/>
  <c r="CF704" i="28"/>
  <c r="CG704" i="28"/>
  <c r="CH704" i="28"/>
  <c r="CE704" i="28"/>
  <c r="CH504" i="28"/>
  <c r="CG504" i="28"/>
  <c r="CF504" i="28"/>
  <c r="CE504" i="28"/>
  <c r="CF268" i="28"/>
  <c r="CG268" i="28"/>
  <c r="CH268" i="28"/>
  <c r="CE268" i="28"/>
  <c r="CE690" i="28"/>
  <c r="CD690" i="28"/>
  <c r="CE686" i="28"/>
  <c r="CD686" i="28"/>
  <c r="CE676" i="28"/>
  <c r="CD676" i="28"/>
  <c r="CE666" i="28"/>
  <c r="CD666" i="28"/>
  <c r="CE650" i="28"/>
  <c r="CD650" i="28"/>
  <c r="CE647" i="28"/>
  <c r="CD647" i="28"/>
  <c r="CE642" i="28"/>
  <c r="CD642" i="28"/>
  <c r="CE640" i="28"/>
  <c r="CD640" i="28"/>
  <c r="CE636" i="28"/>
  <c r="CD636" i="28"/>
  <c r="CE628" i="28"/>
  <c r="CD628" i="28"/>
  <c r="CE621" i="28"/>
  <c r="CD621" i="28"/>
  <c r="CE598" i="28"/>
  <c r="CD598" i="28"/>
  <c r="CE594" i="28"/>
  <c r="CD594" i="28"/>
  <c r="CE508" i="28"/>
  <c r="CD508" i="28"/>
  <c r="CE507" i="28"/>
  <c r="CD507" i="28"/>
  <c r="CE480" i="28"/>
  <c r="CD480" i="28"/>
  <c r="CE475" i="28"/>
  <c r="CD475" i="28"/>
  <c r="CE407" i="28"/>
  <c r="CD407" i="28"/>
  <c r="CE333" i="28"/>
  <c r="CD333" i="28"/>
  <c r="CE281" i="28"/>
  <c r="CD281" i="28"/>
  <c r="CE272" i="28"/>
  <c r="CD272" i="28"/>
  <c r="CE270" i="28"/>
  <c r="CD270" i="28"/>
  <c r="CE260" i="28"/>
  <c r="CD260" i="28"/>
  <c r="CD675" i="28"/>
  <c r="CY675" i="28" s="1"/>
  <c r="CD674" i="28"/>
  <c r="CY674" i="28" s="1"/>
  <c r="CD662" i="28"/>
  <c r="CD661" i="28"/>
  <c r="CY661" i="28" s="1"/>
  <c r="CD659" i="28"/>
  <c r="CY659" i="28" s="1"/>
  <c r="CD648" i="28"/>
  <c r="CD645" i="28"/>
  <c r="CY645" i="28" s="1"/>
  <c r="CD639" i="28"/>
  <c r="CX639" i="28" s="1"/>
  <c r="CD635" i="28"/>
  <c r="CD632" i="28"/>
  <c r="CD630" i="28"/>
  <c r="CY630" i="28" s="1"/>
  <c r="CD627" i="28"/>
  <c r="CY627" i="28" s="1"/>
  <c r="CD624" i="28"/>
  <c r="CD623" i="28"/>
  <c r="CX623" i="28" s="1"/>
  <c r="CD615" i="28"/>
  <c r="CY615" i="28" s="1"/>
  <c r="CD614" i="28"/>
  <c r="CY614" i="28" s="1"/>
  <c r="CD613" i="28"/>
  <c r="CD612" i="28"/>
  <c r="CY612" i="28" s="1"/>
  <c r="CD611" i="28"/>
  <c r="CY611" i="28" s="1"/>
  <c r="CD610" i="28"/>
  <c r="CY610" i="28" s="1"/>
  <c r="CD605" i="28"/>
  <c r="CY605" i="28" s="1"/>
  <c r="CD597" i="28"/>
  <c r="CY597" i="28" s="1"/>
  <c r="CD592" i="28"/>
  <c r="CY592" i="28" s="1"/>
  <c r="CD588" i="28"/>
  <c r="CY588" i="28" s="1"/>
  <c r="CD587" i="28"/>
  <c r="CD535" i="28"/>
  <c r="CD531" i="28"/>
  <c r="CY531" i="28" s="1"/>
  <c r="CD530" i="28"/>
  <c r="CX530" i="28" s="1"/>
  <c r="CD529" i="28"/>
  <c r="CX529" i="28" s="1"/>
  <c r="CD528" i="28"/>
  <c r="CX528" i="28" s="1"/>
  <c r="CD518" i="28"/>
  <c r="CY518" i="28" s="1"/>
  <c r="CD516" i="28"/>
  <c r="CY516" i="28" s="1"/>
  <c r="CD515" i="28"/>
  <c r="CY515" i="28" s="1"/>
  <c r="CD514" i="28"/>
  <c r="CD513" i="28"/>
  <c r="CY513" i="28" s="1"/>
  <c r="CD512" i="28"/>
  <c r="CY512" i="28" s="1"/>
  <c r="CD511" i="28"/>
  <c r="CY511" i="28" s="1"/>
  <c r="CD509" i="28"/>
  <c r="CY509" i="28" s="1"/>
  <c r="CD505" i="28"/>
  <c r="CD501" i="28"/>
  <c r="CX501" i="28" s="1"/>
  <c r="CD482" i="28"/>
  <c r="CD477" i="28"/>
  <c r="CY477" i="28" s="1"/>
  <c r="CD476" i="28"/>
  <c r="CY476" i="28" s="1"/>
  <c r="CD474" i="28"/>
  <c r="CY474" i="28" s="1"/>
  <c r="CD472" i="28"/>
  <c r="CY472" i="28" s="1"/>
  <c r="CD470" i="28"/>
  <c r="CY470" i="28" s="1"/>
  <c r="CD469" i="28"/>
  <c r="CY469" i="28" s="1"/>
  <c r="CD468" i="28"/>
  <c r="CY468" i="28" s="1"/>
  <c r="CD467" i="28"/>
  <c r="CD443" i="28"/>
  <c r="CY443" i="28" s="1"/>
  <c r="CD442" i="28"/>
  <c r="CD411" i="28"/>
  <c r="CY411" i="28" s="1"/>
  <c r="CD410" i="28"/>
  <c r="CY410" i="28" s="1"/>
  <c r="CD331" i="28"/>
  <c r="CY331" i="28" s="1"/>
  <c r="CD330" i="28"/>
  <c r="CY330" i="28" s="1"/>
  <c r="CD290" i="28"/>
  <c r="CY290" i="28" s="1"/>
  <c r="CD275" i="28"/>
  <c r="CY275" i="28" s="1"/>
  <c r="CD269" i="28"/>
  <c r="CY269" i="28" s="1"/>
  <c r="CD267" i="28"/>
  <c r="CY267" i="28" s="1"/>
  <c r="CD266" i="28"/>
  <c r="CX266" i="28" s="1"/>
  <c r="CD262" i="28"/>
  <c r="CY262" i="28" s="1"/>
  <c r="CD251" i="28"/>
  <c r="CX251" i="28" s="1"/>
  <c r="CD239" i="28"/>
  <c r="CX239" i="28" s="1"/>
  <c r="CY3" i="28"/>
  <c r="CY4" i="28"/>
  <c r="CY5" i="28"/>
  <c r="CY6" i="28"/>
  <c r="CY7" i="28"/>
  <c r="CY8" i="28"/>
  <c r="CY9" i="28"/>
  <c r="CY10" i="28"/>
  <c r="CY11" i="28"/>
  <c r="CY12" i="28"/>
  <c r="CY13" i="28"/>
  <c r="CY14" i="28"/>
  <c r="CY15" i="28"/>
  <c r="CY16" i="28"/>
  <c r="CY17" i="28"/>
  <c r="CY18" i="28"/>
  <c r="CY19" i="28"/>
  <c r="CY20" i="28"/>
  <c r="CY21" i="28"/>
  <c r="CY22" i="28"/>
  <c r="CY23" i="28"/>
  <c r="CY25" i="28"/>
  <c r="CY24" i="28"/>
  <c r="CY26" i="28"/>
  <c r="CY27" i="28"/>
  <c r="CY28" i="28"/>
  <c r="CY29" i="28"/>
  <c r="CY30" i="28"/>
  <c r="CY31" i="28"/>
  <c r="CY32" i="28"/>
  <c r="CY33" i="28"/>
  <c r="CY34" i="28"/>
  <c r="CY35" i="28"/>
  <c r="CY36" i="28"/>
  <c r="CY37" i="28"/>
  <c r="CY38" i="28"/>
  <c r="CY772" i="28"/>
  <c r="CY771" i="28"/>
  <c r="CY39" i="28"/>
  <c r="CY40" i="28"/>
  <c r="CY41" i="28"/>
  <c r="CY42" i="28"/>
  <c r="CY43" i="28"/>
  <c r="CY44" i="28"/>
  <c r="CY45" i="28"/>
  <c r="CY46" i="28"/>
  <c r="CY47" i="28"/>
  <c r="CY48" i="28"/>
  <c r="CY49" i="28"/>
  <c r="CY50" i="28"/>
  <c r="CY52" i="28"/>
  <c r="CY53" i="28"/>
  <c r="CY51" i="28"/>
  <c r="CY54" i="28"/>
  <c r="CY55" i="28"/>
  <c r="CY56" i="28"/>
  <c r="CY57" i="28"/>
  <c r="CY58" i="28"/>
  <c r="CY59" i="28"/>
  <c r="CY60" i="28"/>
  <c r="CY61" i="28"/>
  <c r="CY62" i="28"/>
  <c r="CY63" i="28"/>
  <c r="CY64" i="28"/>
  <c r="CY65" i="28"/>
  <c r="CY66" i="28"/>
  <c r="CY67" i="28"/>
  <c r="CY68" i="28"/>
  <c r="CY69" i="28"/>
  <c r="CY70" i="28"/>
  <c r="CY71" i="28"/>
  <c r="CY72" i="28"/>
  <c r="CY73" i="28"/>
  <c r="CY75" i="28"/>
  <c r="CY74" i="28"/>
  <c r="CY76" i="28"/>
  <c r="CY77" i="28"/>
  <c r="CY78" i="28"/>
  <c r="CY79" i="28"/>
  <c r="CY80" i="28"/>
  <c r="CY81" i="28"/>
  <c r="CY82" i="28"/>
  <c r="CY83" i="28"/>
  <c r="CY84" i="28"/>
  <c r="CY85" i="28"/>
  <c r="CY86" i="28"/>
  <c r="CY87" i="28"/>
  <c r="CY88" i="28"/>
  <c r="CY89" i="28"/>
  <c r="CY90" i="28"/>
  <c r="CY91" i="28"/>
  <c r="CY92" i="28"/>
  <c r="CY93" i="28"/>
  <c r="CY94" i="28"/>
  <c r="CY95" i="28"/>
  <c r="CY96" i="28"/>
  <c r="CY97" i="28"/>
  <c r="CY98" i="28"/>
  <c r="CY99" i="28"/>
  <c r="CY100" i="28"/>
  <c r="CY101" i="28"/>
  <c r="CY102" i="28"/>
  <c r="CY103" i="28"/>
  <c r="CY104" i="28"/>
  <c r="CY105" i="28"/>
  <c r="CY106" i="28"/>
  <c r="CY107" i="28"/>
  <c r="CY108" i="28"/>
  <c r="CY109" i="28"/>
  <c r="CY110" i="28"/>
  <c r="CY111" i="28"/>
  <c r="CY112" i="28"/>
  <c r="CY113" i="28"/>
  <c r="CY114" i="28"/>
  <c r="CY115" i="28"/>
  <c r="CY116" i="28"/>
  <c r="CY117" i="28"/>
  <c r="CY118" i="28"/>
  <c r="CY119" i="28"/>
  <c r="CY120" i="28"/>
  <c r="CY121" i="28"/>
  <c r="CY122" i="28"/>
  <c r="CY123" i="28"/>
  <c r="CY124" i="28"/>
  <c r="CY125" i="28"/>
  <c r="CY126" i="28"/>
  <c r="CY127" i="28"/>
  <c r="CY128" i="28"/>
  <c r="CY129" i="28"/>
  <c r="CY130" i="28"/>
  <c r="CY131" i="28"/>
  <c r="CY132" i="28"/>
  <c r="CY133" i="28"/>
  <c r="CY134" i="28"/>
  <c r="CY135" i="28"/>
  <c r="CY136" i="28"/>
  <c r="CY137" i="28"/>
  <c r="CY138" i="28"/>
  <c r="CY139" i="28"/>
  <c r="CY140" i="28"/>
  <c r="CY141" i="28"/>
  <c r="CY142" i="28"/>
  <c r="CY143" i="28"/>
  <c r="CY144" i="28"/>
  <c r="CY146" i="28"/>
  <c r="CY145" i="28"/>
  <c r="CY148" i="28"/>
  <c r="CY147" i="28"/>
  <c r="CY149" i="28"/>
  <c r="CY150" i="28"/>
  <c r="CY151" i="28"/>
  <c r="CY152" i="28"/>
  <c r="CY153" i="28"/>
  <c r="CY154" i="28"/>
  <c r="CY155" i="28"/>
  <c r="CY156" i="28"/>
  <c r="CY157" i="28"/>
  <c r="CY158" i="28"/>
  <c r="CY159" i="28"/>
  <c r="CY160" i="28"/>
  <c r="CY161" i="28"/>
  <c r="CY162" i="28"/>
  <c r="CY163" i="28"/>
  <c r="CY164" i="28"/>
  <c r="CY165" i="28"/>
  <c r="CY166" i="28"/>
  <c r="CY167" i="28"/>
  <c r="CY168" i="28"/>
  <c r="CY169" i="28"/>
  <c r="CY170" i="28"/>
  <c r="CY171" i="28"/>
  <c r="CY172" i="28"/>
  <c r="CY173" i="28"/>
  <c r="CY174" i="28"/>
  <c r="CY175" i="28"/>
  <c r="CY176" i="28"/>
  <c r="CY177" i="28"/>
  <c r="CY178" i="28"/>
  <c r="CY179" i="28"/>
  <c r="CY180" i="28"/>
  <c r="CY182" i="28"/>
  <c r="CY181" i="28"/>
  <c r="CY183" i="28"/>
  <c r="CY184" i="28"/>
  <c r="CY185" i="28"/>
  <c r="CY186" i="28"/>
  <c r="CY187" i="28"/>
  <c r="CY188" i="28"/>
  <c r="CY189" i="28"/>
  <c r="CY190" i="28"/>
  <c r="CY191" i="28"/>
  <c r="CY192" i="28"/>
  <c r="CY193" i="28"/>
  <c r="CY194" i="28"/>
  <c r="CY195" i="28"/>
  <c r="CY196" i="28"/>
  <c r="CY197" i="28"/>
  <c r="CY198" i="28"/>
  <c r="CY199" i="28"/>
  <c r="CY200" i="28"/>
  <c r="CY201" i="28"/>
  <c r="CY202" i="28"/>
  <c r="CY203" i="28"/>
  <c r="CY204" i="28"/>
  <c r="CY205" i="28"/>
  <c r="CY206" i="28"/>
  <c r="CY207" i="28"/>
  <c r="CY208" i="28"/>
  <c r="CY209" i="28"/>
  <c r="CY210" i="28"/>
  <c r="CY211" i="28"/>
  <c r="CY212" i="28"/>
  <c r="CY214" i="28"/>
  <c r="CY213" i="28"/>
  <c r="CY215" i="28"/>
  <c r="CY216" i="28"/>
  <c r="CY217" i="28"/>
  <c r="CY218" i="28"/>
  <c r="CY219" i="28"/>
  <c r="CY220" i="28"/>
  <c r="CY221" i="28"/>
  <c r="CY222" i="28"/>
  <c r="CY223" i="28"/>
  <c r="CY224" i="28"/>
  <c r="CY225" i="28"/>
  <c r="CY226" i="28"/>
  <c r="CY227" i="28"/>
  <c r="CY228" i="28"/>
  <c r="CY229" i="28"/>
  <c r="CY230" i="28"/>
  <c r="CY231" i="28"/>
  <c r="CY232" i="28"/>
  <c r="CY233" i="28"/>
  <c r="CY234" i="28"/>
  <c r="CY235" i="28"/>
  <c r="CY236" i="28"/>
  <c r="CY237" i="28"/>
  <c r="CY238" i="28"/>
  <c r="CY284" i="28"/>
  <c r="CY285" i="28"/>
  <c r="CY286" i="28"/>
  <c r="CY287" i="28"/>
  <c r="CY288" i="28"/>
  <c r="CY289" i="28"/>
  <c r="CY338" i="28"/>
  <c r="CY340" i="28"/>
  <c r="CY341" i="28"/>
  <c r="CY342" i="28"/>
  <c r="CY349" i="28"/>
  <c r="CY413" i="28"/>
  <c r="CY414" i="28"/>
  <c r="CY412" i="28"/>
  <c r="CY539" i="28"/>
  <c r="CY537" i="28"/>
  <c r="CY1157" i="28"/>
  <c r="CY1158" i="28"/>
  <c r="CY1159" i="28"/>
  <c r="CY1160" i="28"/>
  <c r="CY1161" i="28"/>
  <c r="CY1162" i="28"/>
  <c r="CY1163" i="28"/>
  <c r="CY1169" i="28"/>
  <c r="CY1170" i="28"/>
  <c r="CY1171" i="28"/>
  <c r="CY1172" i="28"/>
  <c r="CY1173" i="28"/>
  <c r="CY1176" i="28"/>
  <c r="CY1180" i="28"/>
  <c r="CY1182" i="28"/>
  <c r="CY1181" i="28"/>
  <c r="CY1183" i="28"/>
  <c r="CY1189" i="28"/>
  <c r="CY1188" i="28"/>
  <c r="CY1199" i="28"/>
  <c r="CY1200" i="28"/>
  <c r="CY1209" i="28"/>
  <c r="CY1211" i="28"/>
  <c r="CY1212" i="28"/>
  <c r="CY1213" i="28"/>
  <c r="CY1235" i="28"/>
  <c r="CY1242" i="28"/>
  <c r="CY1243" i="28"/>
  <c r="CY1244" i="28"/>
  <c r="CY1248" i="28"/>
  <c r="CY1253" i="28"/>
  <c r="CY1270" i="28"/>
  <c r="CY1273" i="28"/>
  <c r="CY1286" i="28"/>
  <c r="CY1287" i="28"/>
  <c r="CY1291" i="28"/>
  <c r="CY1298" i="28"/>
  <c r="CY1299" i="28"/>
  <c r="CY1342" i="28"/>
  <c r="CY1343" i="28"/>
  <c r="CY1347" i="28"/>
  <c r="CY1348" i="28"/>
  <c r="CY1362" i="28"/>
  <c r="CY1366" i="28"/>
  <c r="CY1367" i="28"/>
  <c r="CY1371" i="28"/>
  <c r="CY1384" i="28"/>
  <c r="CY1382" i="28"/>
  <c r="CY1383" i="28"/>
  <c r="CY1388" i="28"/>
  <c r="CY1389" i="28"/>
  <c r="CY1390" i="28"/>
  <c r="CY1391" i="28"/>
  <c r="CY1404" i="28"/>
  <c r="CY1438" i="28"/>
  <c r="CY1439" i="28"/>
  <c r="CY1440" i="28"/>
  <c r="CY1441" i="28"/>
  <c r="CY1442" i="28"/>
  <c r="CY1443" i="28"/>
  <c r="CY1444" i="28"/>
  <c r="CY1445" i="28"/>
  <c r="CY1446" i="28"/>
  <c r="CY1447" i="28"/>
  <c r="CY1448" i="28"/>
  <c r="CY1449" i="28"/>
  <c r="CY1450" i="28"/>
  <c r="CY1453" i="28"/>
  <c r="CY1472" i="28"/>
  <c r="CY1473" i="28"/>
  <c r="CY1474" i="28"/>
  <c r="CY1475" i="28"/>
  <c r="CY1476" i="28"/>
  <c r="CY1477" i="28"/>
  <c r="CY1478" i="28"/>
  <c r="CY1479" i="28"/>
  <c r="CY2" i="28"/>
  <c r="CX3" i="28"/>
  <c r="CX4" i="28"/>
  <c r="CX5" i="28"/>
  <c r="CX6" i="28"/>
  <c r="CX7" i="28"/>
  <c r="CX8" i="28"/>
  <c r="CX9" i="28"/>
  <c r="CX10" i="28"/>
  <c r="CX11" i="28"/>
  <c r="CX12" i="28"/>
  <c r="CX13" i="28"/>
  <c r="CX14" i="28"/>
  <c r="CX15" i="28"/>
  <c r="CX16" i="28"/>
  <c r="CX17" i="28"/>
  <c r="CX18" i="28"/>
  <c r="CX19" i="28"/>
  <c r="CX20" i="28"/>
  <c r="CX21" i="28"/>
  <c r="CX22" i="28"/>
  <c r="CX23" i="28"/>
  <c r="CX25" i="28"/>
  <c r="CX24" i="28"/>
  <c r="CX26" i="28"/>
  <c r="CX27" i="28"/>
  <c r="CX28" i="28"/>
  <c r="CX29" i="28"/>
  <c r="CX30" i="28"/>
  <c r="CX31" i="28"/>
  <c r="CX32" i="28"/>
  <c r="CX33" i="28"/>
  <c r="CX34" i="28"/>
  <c r="CX35" i="28"/>
  <c r="CX36" i="28"/>
  <c r="CX37" i="28"/>
  <c r="CX38" i="28"/>
  <c r="CX772" i="28"/>
  <c r="CX771" i="28"/>
  <c r="CX39" i="28"/>
  <c r="CX40" i="28"/>
  <c r="CX41" i="28"/>
  <c r="CX42" i="28"/>
  <c r="CX43" i="28"/>
  <c r="CX44" i="28"/>
  <c r="CX45" i="28"/>
  <c r="CX46" i="28"/>
  <c r="CX47" i="28"/>
  <c r="CX48" i="28"/>
  <c r="CX49" i="28"/>
  <c r="CX50" i="28"/>
  <c r="CX52" i="28"/>
  <c r="CX53" i="28"/>
  <c r="CX51" i="28"/>
  <c r="CX54" i="28"/>
  <c r="CX55" i="28"/>
  <c r="CX56" i="28"/>
  <c r="CX57" i="28"/>
  <c r="CX58" i="28"/>
  <c r="CX59" i="28"/>
  <c r="CX60" i="28"/>
  <c r="CX61" i="28"/>
  <c r="CX62" i="28"/>
  <c r="CX63" i="28"/>
  <c r="CX64" i="28"/>
  <c r="CX65" i="28"/>
  <c r="CX66" i="28"/>
  <c r="CX67" i="28"/>
  <c r="CX68" i="28"/>
  <c r="CX69" i="28"/>
  <c r="CX70" i="28"/>
  <c r="CX71" i="28"/>
  <c r="CX72" i="28"/>
  <c r="CX73" i="28"/>
  <c r="CX75" i="28"/>
  <c r="CX74" i="28"/>
  <c r="CX76" i="28"/>
  <c r="CX77" i="28"/>
  <c r="CX78" i="28"/>
  <c r="CX79" i="28"/>
  <c r="CX80" i="28"/>
  <c r="CX81" i="28"/>
  <c r="CX82" i="28"/>
  <c r="CX83" i="28"/>
  <c r="CX84" i="28"/>
  <c r="CX85" i="28"/>
  <c r="CX86" i="28"/>
  <c r="CX87" i="28"/>
  <c r="CX88" i="28"/>
  <c r="CX89" i="28"/>
  <c r="CX90" i="28"/>
  <c r="CX91" i="28"/>
  <c r="CX92" i="28"/>
  <c r="CX93" i="28"/>
  <c r="CX94" i="28"/>
  <c r="CX95" i="28"/>
  <c r="CX96" i="28"/>
  <c r="CX97" i="28"/>
  <c r="CX98" i="28"/>
  <c r="CX99" i="28"/>
  <c r="CX100" i="28"/>
  <c r="CX101" i="28"/>
  <c r="CX102" i="28"/>
  <c r="CX103" i="28"/>
  <c r="CX104" i="28"/>
  <c r="CX105" i="28"/>
  <c r="CX106" i="28"/>
  <c r="CX107" i="28"/>
  <c r="CX108" i="28"/>
  <c r="CX109" i="28"/>
  <c r="CX110" i="28"/>
  <c r="CX111" i="28"/>
  <c r="CX112" i="28"/>
  <c r="CX113" i="28"/>
  <c r="CX114" i="28"/>
  <c r="CX115" i="28"/>
  <c r="CX116" i="28"/>
  <c r="CX117" i="28"/>
  <c r="CX118" i="28"/>
  <c r="CX119" i="28"/>
  <c r="CX120" i="28"/>
  <c r="CX121" i="28"/>
  <c r="CX122" i="28"/>
  <c r="CX123" i="28"/>
  <c r="CX124" i="28"/>
  <c r="CX125" i="28"/>
  <c r="CX126" i="28"/>
  <c r="CX127" i="28"/>
  <c r="CX128" i="28"/>
  <c r="CX129" i="28"/>
  <c r="CX130" i="28"/>
  <c r="CX131" i="28"/>
  <c r="CX132" i="28"/>
  <c r="CX133" i="28"/>
  <c r="CX134" i="28"/>
  <c r="CX135" i="28"/>
  <c r="CX136" i="28"/>
  <c r="CX137" i="28"/>
  <c r="CX138" i="28"/>
  <c r="CX139" i="28"/>
  <c r="CX140" i="28"/>
  <c r="CX141" i="28"/>
  <c r="CX142" i="28"/>
  <c r="CX143" i="28"/>
  <c r="CX144" i="28"/>
  <c r="CX146" i="28"/>
  <c r="CX145" i="28"/>
  <c r="CX148" i="28"/>
  <c r="CX147" i="28"/>
  <c r="CX149" i="28"/>
  <c r="CX150" i="28"/>
  <c r="CX151" i="28"/>
  <c r="CX152" i="28"/>
  <c r="CX153" i="28"/>
  <c r="CX154" i="28"/>
  <c r="CX155" i="28"/>
  <c r="CX156" i="28"/>
  <c r="CX157" i="28"/>
  <c r="CX158" i="28"/>
  <c r="CX159" i="28"/>
  <c r="CX160" i="28"/>
  <c r="CX161" i="28"/>
  <c r="CX162" i="28"/>
  <c r="CX163" i="28"/>
  <c r="CX164" i="28"/>
  <c r="CX165" i="28"/>
  <c r="CX166" i="28"/>
  <c r="CX167" i="28"/>
  <c r="CX168" i="28"/>
  <c r="CX169" i="28"/>
  <c r="CX170" i="28"/>
  <c r="CX171" i="28"/>
  <c r="CX172" i="28"/>
  <c r="CX173" i="28"/>
  <c r="CX174" i="28"/>
  <c r="CX175" i="28"/>
  <c r="CX176" i="28"/>
  <c r="CX177" i="28"/>
  <c r="CX178" i="28"/>
  <c r="CX179" i="28"/>
  <c r="CX180" i="28"/>
  <c r="CX182" i="28"/>
  <c r="CX181" i="28"/>
  <c r="CX183" i="28"/>
  <c r="CX184" i="28"/>
  <c r="CX185" i="28"/>
  <c r="CX186" i="28"/>
  <c r="CX187" i="28"/>
  <c r="CX188" i="28"/>
  <c r="CX189" i="28"/>
  <c r="CX190" i="28"/>
  <c r="CX191" i="28"/>
  <c r="CX192" i="28"/>
  <c r="CX193" i="28"/>
  <c r="CX194" i="28"/>
  <c r="CX195" i="28"/>
  <c r="CX196" i="28"/>
  <c r="CX197" i="28"/>
  <c r="CX198" i="28"/>
  <c r="CX199" i="28"/>
  <c r="CX200" i="28"/>
  <c r="CX201" i="28"/>
  <c r="CX202" i="28"/>
  <c r="CX203" i="28"/>
  <c r="CX204" i="28"/>
  <c r="CX205" i="28"/>
  <c r="CX206" i="28"/>
  <c r="CX207" i="28"/>
  <c r="CX208" i="28"/>
  <c r="CX209" i="28"/>
  <c r="CX210" i="28"/>
  <c r="CX211" i="28"/>
  <c r="CX212" i="28"/>
  <c r="CX214" i="28"/>
  <c r="CX213" i="28"/>
  <c r="CX215" i="28"/>
  <c r="CX216" i="28"/>
  <c r="CX217" i="28"/>
  <c r="CX218" i="28"/>
  <c r="CX219" i="28"/>
  <c r="CX220" i="28"/>
  <c r="CX221" i="28"/>
  <c r="CX222" i="28"/>
  <c r="CX223" i="28"/>
  <c r="CX224" i="28"/>
  <c r="CX225" i="28"/>
  <c r="CX226" i="28"/>
  <c r="CX227" i="28"/>
  <c r="CX228" i="28"/>
  <c r="CX229" i="28"/>
  <c r="CX230" i="28"/>
  <c r="CX231" i="28"/>
  <c r="CX232" i="28"/>
  <c r="CX233" i="28"/>
  <c r="CX234" i="28"/>
  <c r="CX235" i="28"/>
  <c r="CX236" i="28"/>
  <c r="CX237" i="28"/>
  <c r="CX238" i="28"/>
  <c r="CX284" i="28"/>
  <c r="CX285" i="28"/>
  <c r="CX286" i="28"/>
  <c r="CX287" i="28"/>
  <c r="CX288" i="28"/>
  <c r="CX289" i="28"/>
  <c r="CX337" i="28"/>
  <c r="CX338" i="28"/>
  <c r="CX339" i="28"/>
  <c r="CX340" i="28"/>
  <c r="CX341" i="28"/>
  <c r="CX342" i="28"/>
  <c r="CX344" i="28"/>
  <c r="CX343" i="28"/>
  <c r="CX345" i="28"/>
  <c r="CX346" i="28"/>
  <c r="CX347" i="28"/>
  <c r="CX348" i="28"/>
  <c r="CX349" i="28"/>
  <c r="CX362" i="28"/>
  <c r="CX363" i="28"/>
  <c r="CX364" i="28"/>
  <c r="CX365" i="28"/>
  <c r="CX371" i="28"/>
  <c r="CX372" i="28"/>
  <c r="CX375" i="28"/>
  <c r="CX413" i="28"/>
  <c r="CX414" i="28"/>
  <c r="CX412" i="28"/>
  <c r="CX415" i="28"/>
  <c r="CX417" i="28"/>
  <c r="CX416" i="28"/>
  <c r="CX418" i="28"/>
  <c r="CX420" i="28"/>
  <c r="CX419" i="28"/>
  <c r="CX424" i="28"/>
  <c r="CX426" i="28"/>
  <c r="CX425" i="28"/>
  <c r="CX427" i="28"/>
  <c r="CX429" i="28"/>
  <c r="CX428" i="28"/>
  <c r="CX431" i="28"/>
  <c r="CX430" i="28"/>
  <c r="CX432" i="28"/>
  <c r="CX445" i="28"/>
  <c r="CX446" i="28"/>
  <c r="CX463" i="28"/>
  <c r="CX465" i="28"/>
  <c r="CX466" i="28"/>
  <c r="CX464" i="28"/>
  <c r="CX539" i="28"/>
  <c r="CX537" i="28"/>
  <c r="CX806" i="28"/>
  <c r="CX951" i="28"/>
  <c r="CX952" i="28"/>
  <c r="CX956" i="28"/>
  <c r="CX957" i="28"/>
  <c r="CX1157" i="28"/>
  <c r="CX1158" i="28"/>
  <c r="CX1159" i="28"/>
  <c r="CX1160" i="28"/>
  <c r="CX1161" i="28"/>
  <c r="CX1162" i="28"/>
  <c r="CX1163" i="28"/>
  <c r="CX1169" i="28"/>
  <c r="CX1170" i="28"/>
  <c r="CX1171" i="28"/>
  <c r="CX1172" i="28"/>
  <c r="CX1173" i="28"/>
  <c r="CX1176" i="28"/>
  <c r="CX1180" i="28"/>
  <c r="CX1182" i="28"/>
  <c r="CX1181" i="28"/>
  <c r="CX1183" i="28"/>
  <c r="CX1189" i="28"/>
  <c r="CX1188" i="28"/>
  <c r="CX1199" i="28"/>
  <c r="CX1200" i="28"/>
  <c r="CX1209" i="28"/>
  <c r="CX1211" i="28"/>
  <c r="CX1212" i="28"/>
  <c r="CX1213" i="28"/>
  <c r="CX1235" i="28"/>
  <c r="CX1242" i="28"/>
  <c r="CX1243" i="28"/>
  <c r="CX1244" i="28"/>
  <c r="CX1248" i="28"/>
  <c r="CX1253" i="28"/>
  <c r="CX1270" i="28"/>
  <c r="CX1273" i="28"/>
  <c r="CX1286" i="28"/>
  <c r="CX1287" i="28"/>
  <c r="CX1291" i="28"/>
  <c r="CX1298" i="28"/>
  <c r="CX1299" i="28"/>
  <c r="CX1342" i="28"/>
  <c r="CX1343" i="28"/>
  <c r="CX1347" i="28"/>
  <c r="CX1348" i="28"/>
  <c r="CX1372" i="28"/>
  <c r="CX1373" i="28"/>
  <c r="CX1374" i="28"/>
  <c r="CX1362" i="28"/>
  <c r="CX1363" i="28"/>
  <c r="CX1364" i="28"/>
  <c r="CX1365" i="28"/>
  <c r="CX1366" i="28"/>
  <c r="CX1367" i="28"/>
  <c r="CX1368" i="28"/>
  <c r="CX1369" i="28"/>
  <c r="CX1370" i="28"/>
  <c r="CX1371" i="28"/>
  <c r="CX1375" i="28"/>
  <c r="CX1376" i="28"/>
  <c r="CX1377" i="28"/>
  <c r="CX1379" i="28"/>
  <c r="CX1378" i="28"/>
  <c r="CX1381" i="28"/>
  <c r="CX1380" i="28"/>
  <c r="CX1384" i="28"/>
  <c r="CX1382" i="28"/>
  <c r="CX1383" i="28"/>
  <c r="CX1385" i="28"/>
  <c r="CX1386" i="28"/>
  <c r="CX1387" i="28"/>
  <c r="CX1388" i="28"/>
  <c r="CX1389" i="28"/>
  <c r="CX1390" i="28"/>
  <c r="CX1391" i="28"/>
  <c r="CX1404" i="28"/>
  <c r="CX1406" i="28"/>
  <c r="CX1407" i="28"/>
  <c r="CX1405" i="28"/>
  <c r="CX1408" i="28"/>
  <c r="CX1409" i="28"/>
  <c r="CX1410" i="28"/>
  <c r="CX1414" i="28"/>
  <c r="CX1415" i="28"/>
  <c r="CX1416" i="28"/>
  <c r="CX1419" i="28"/>
  <c r="CX1417" i="28"/>
  <c r="CX1418" i="28"/>
  <c r="CX1420" i="28"/>
  <c r="CX1421" i="28"/>
  <c r="CX1422" i="28"/>
  <c r="CX1426" i="28"/>
  <c r="CX1427" i="28"/>
  <c r="CX1428" i="28"/>
  <c r="CX1432" i="28"/>
  <c r="CX1433" i="28"/>
  <c r="CX1434" i="28"/>
  <c r="CX1438" i="28"/>
  <c r="CX1439" i="28"/>
  <c r="CX1440" i="28"/>
  <c r="CX1441" i="28"/>
  <c r="CX1442" i="28"/>
  <c r="CX1443" i="28"/>
  <c r="CX1444" i="28"/>
  <c r="CX1445" i="28"/>
  <c r="CX1446" i="28"/>
  <c r="CX1447" i="28"/>
  <c r="CX1448" i="28"/>
  <c r="CX1449" i="28"/>
  <c r="CX1450" i="28"/>
  <c r="CX1453" i="28"/>
  <c r="CX1454" i="28"/>
  <c r="CX1466" i="28"/>
  <c r="CX1467" i="28"/>
  <c r="CX1468" i="28"/>
  <c r="CX1472" i="28"/>
  <c r="CX1473" i="28"/>
  <c r="CX1474" i="28"/>
  <c r="CX1475" i="28"/>
  <c r="CX1476" i="28"/>
  <c r="CX1477" i="28"/>
  <c r="CX1478" i="28"/>
  <c r="CX1479" i="28"/>
  <c r="CX2" i="28"/>
  <c r="CY634" i="28" l="1"/>
  <c r="CX532" i="28"/>
  <c r="CX656" i="28"/>
  <c r="CX597" i="28"/>
  <c r="CY500" i="28"/>
  <c r="CX257" i="28"/>
  <c r="CY438" i="28"/>
  <c r="CY451" i="28"/>
  <c r="CX499" i="28"/>
  <c r="CX526" i="28"/>
  <c r="CX673" i="28"/>
  <c r="CX687" i="28"/>
  <c r="CX692" i="28"/>
  <c r="CX696" i="28"/>
  <c r="CX700" i="28"/>
  <c r="CX654" i="28"/>
  <c r="CX820" i="28"/>
  <c r="CX516" i="28"/>
  <c r="CX705" i="28"/>
  <c r="CX1106" i="28"/>
  <c r="CY1293" i="28"/>
  <c r="CY1197" i="28"/>
  <c r="CY1215" i="28"/>
  <c r="CY1277" i="28"/>
  <c r="CX246" i="28"/>
  <c r="CY1321" i="28"/>
  <c r="CX719" i="28"/>
  <c r="CX723" i="28"/>
  <c r="CX727" i="28"/>
  <c r="CX731" i="28"/>
  <c r="CY732" i="28"/>
  <c r="CX736" i="28"/>
  <c r="CX762" i="28"/>
  <c r="CX767" i="28"/>
  <c r="CY779" i="28"/>
  <c r="CX782" i="28"/>
  <c r="CX789" i="28"/>
  <c r="CX795" i="28"/>
  <c r="CX802" i="28"/>
  <c r="CY809" i="28"/>
  <c r="CX811" i="28"/>
  <c r="CX824" i="28"/>
  <c r="CY828" i="28"/>
  <c r="CX832" i="28"/>
  <c r="CX244" i="28"/>
  <c r="CY244" i="28"/>
  <c r="CX450" i="28"/>
  <c r="CY264" i="28"/>
  <c r="CX439" i="28"/>
  <c r="CX481" i="28"/>
  <c r="CX602" i="28"/>
  <c r="CX633" i="28"/>
  <c r="CX644" i="28"/>
  <c r="CX652" i="28"/>
  <c r="CX669" i="28"/>
  <c r="CX680" i="28"/>
  <c r="CY699" i="28"/>
  <c r="CY1312" i="28"/>
  <c r="CY1317" i="28"/>
  <c r="CY1345" i="28"/>
  <c r="CY1352" i="28"/>
  <c r="CY1357" i="28"/>
  <c r="CX839" i="28"/>
  <c r="CY851" i="28"/>
  <c r="CX852" i="28"/>
  <c r="CX856" i="28"/>
  <c r="CX861" i="28"/>
  <c r="CY873" i="28"/>
  <c r="CX874" i="28"/>
  <c r="CX878" i="28"/>
  <c r="CX884" i="28"/>
  <c r="CX888" i="28"/>
  <c r="CY892" i="28"/>
  <c r="CX896" i="28"/>
  <c r="CX903" i="28"/>
  <c r="CX909" i="28"/>
  <c r="CY910" i="28"/>
  <c r="CX913" i="28"/>
  <c r="CX919" i="28"/>
  <c r="CY920" i="28"/>
  <c r="CX923" i="28"/>
  <c r="CX935" i="28"/>
  <c r="CY937" i="28"/>
  <c r="CX940" i="28"/>
  <c r="CX944" i="28"/>
  <c r="CY946" i="28"/>
  <c r="CX953" i="28"/>
  <c r="CX965" i="28"/>
  <c r="CX970" i="28"/>
  <c r="CX985" i="28"/>
  <c r="CX996" i="28"/>
  <c r="CY1000" i="28"/>
  <c r="CX1001" i="28"/>
  <c r="CX1009" i="28"/>
  <c r="CY1012" i="28"/>
  <c r="CX1013" i="28"/>
  <c r="CX1017" i="28"/>
  <c r="CY1020" i="28"/>
  <c r="CX1021" i="28"/>
  <c r="CX1027" i="28"/>
  <c r="CY1030" i="28"/>
  <c r="CX1035" i="28"/>
  <c r="CX1040" i="28"/>
  <c r="CY1042" i="28"/>
  <c r="CX1045" i="28"/>
  <c r="CY1066" i="28"/>
  <c r="CX1067" i="28"/>
  <c r="CX1073" i="28"/>
  <c r="CY1076" i="28"/>
  <c r="CX1077" i="28"/>
  <c r="CX1082" i="28"/>
  <c r="CY1086" i="28"/>
  <c r="CX1089" i="28"/>
  <c r="CX1094" i="28"/>
  <c r="CY1096" i="28"/>
  <c r="CX1098" i="28"/>
  <c r="CX1102" i="28"/>
  <c r="CY1104" i="28"/>
  <c r="CX1116" i="28"/>
  <c r="CY1118" i="28"/>
  <c r="CX1121" i="28"/>
  <c r="CX1126" i="28"/>
  <c r="CY1127" i="28"/>
  <c r="CX1129" i="28"/>
  <c r="CY1139" i="28"/>
  <c r="CX1141" i="28"/>
  <c r="CX1145" i="28"/>
  <c r="CY1148" i="28"/>
  <c r="CX1150" i="28"/>
  <c r="CX816" i="28"/>
  <c r="CX844" i="28"/>
  <c r="CX848" i="28"/>
  <c r="CX869" i="28"/>
  <c r="CX992" i="28"/>
  <c r="CX1053" i="28"/>
  <c r="CY1056" i="28"/>
  <c r="CX1057" i="28"/>
  <c r="CX1061" i="28"/>
  <c r="CX1136" i="28"/>
  <c r="CX1184" i="28"/>
  <c r="CY1225" i="28"/>
  <c r="CY1233" i="28"/>
  <c r="CY1288" i="28"/>
  <c r="CY1306" i="28"/>
  <c r="CY1326" i="28"/>
  <c r="CY1330" i="28"/>
  <c r="CY1334" i="28"/>
  <c r="CX747" i="28"/>
  <c r="CX751" i="28"/>
  <c r="CY1187" i="28"/>
  <c r="CY1236" i="28"/>
  <c r="CY1260" i="28"/>
  <c r="CY1361" i="28"/>
  <c r="CX629" i="28"/>
  <c r="CX604" i="28"/>
  <c r="CX592" i="28"/>
  <c r="CX518" i="28"/>
  <c r="CX330" i="28"/>
  <c r="CY992" i="28"/>
  <c r="CY655" i="28"/>
  <c r="CY529" i="28"/>
  <c r="CY478" i="28"/>
  <c r="CY1339" i="28"/>
  <c r="CY442" i="28"/>
  <c r="CX442" i="28"/>
  <c r="CY467" i="28"/>
  <c r="CX467" i="28"/>
  <c r="CY482" i="28"/>
  <c r="CX482" i="28"/>
  <c r="CY505" i="28"/>
  <c r="CX505" i="28"/>
  <c r="CY587" i="28"/>
  <c r="CX587" i="28"/>
  <c r="CY613" i="28"/>
  <c r="CX613" i="28"/>
  <c r="CY624" i="28"/>
  <c r="CX624" i="28"/>
  <c r="CY635" i="28"/>
  <c r="CX635" i="28"/>
  <c r="CY662" i="28"/>
  <c r="CX662" i="28"/>
  <c r="CY271" i="28"/>
  <c r="CX271" i="28"/>
  <c r="CY292" i="28"/>
  <c r="CX292" i="28"/>
  <c r="CY408" i="28"/>
  <c r="CX408" i="28"/>
  <c r="CY517" i="28"/>
  <c r="CX517" i="28"/>
  <c r="CX589" i="28"/>
  <c r="CY589" i="28"/>
  <c r="CX638" i="28"/>
  <c r="CY638" i="28"/>
  <c r="CX712" i="28"/>
  <c r="CY975" i="28"/>
  <c r="CX975" i="28"/>
  <c r="CX1293" i="28"/>
  <c r="CX1260" i="28"/>
  <c r="CX1187" i="28"/>
  <c r="CX892" i="28"/>
  <c r="CX678" i="28"/>
  <c r="CX659" i="28"/>
  <c r="CX653" i="28"/>
  <c r="CX619" i="28"/>
  <c r="CX585" i="28"/>
  <c r="CX531" i="28"/>
  <c r="CX274" i="28"/>
  <c r="CY965" i="28"/>
  <c r="CY646" i="28"/>
  <c r="CY595" i="28"/>
  <c r="CY444" i="28"/>
  <c r="CY246" i="28"/>
  <c r="CY250" i="28"/>
  <c r="CY261" i="28"/>
  <c r="CY277" i="28"/>
  <c r="CY329" i="28"/>
  <c r="CY332" i="28"/>
  <c r="CY437" i="28"/>
  <c r="CX438" i="28"/>
  <c r="CY439" i="28"/>
  <c r="CX451" i="28"/>
  <c r="CY452" i="28"/>
  <c r="CY481" i="28"/>
  <c r="CY499" i="28"/>
  <c r="CY502" i="28"/>
  <c r="CY526" i="28"/>
  <c r="CY577" i="28"/>
  <c r="CY590" i="28"/>
  <c r="CY600" i="28"/>
  <c r="CY602" i="28"/>
  <c r="CY626" i="28"/>
  <c r="CY633" i="28"/>
  <c r="CY644" i="28"/>
  <c r="CY652" i="28"/>
  <c r="CY664" i="28"/>
  <c r="CY669" i="28"/>
  <c r="CY671" i="28"/>
  <c r="CY673" i="28"/>
  <c r="CX677" i="28"/>
  <c r="CX679" i="28"/>
  <c r="CY680" i="28"/>
  <c r="CY684" i="28"/>
  <c r="CY687" i="28"/>
  <c r="CY689" i="28"/>
  <c r="CY692" i="28"/>
  <c r="CY694" i="28"/>
  <c r="CY696" i="28"/>
  <c r="CY698" i="28"/>
  <c r="CX699" i="28"/>
  <c r="CY700" i="28"/>
  <c r="CY846" i="28"/>
  <c r="CY850" i="28"/>
  <c r="CX851" i="28"/>
  <c r="CY852" i="28"/>
  <c r="CY853" i="28"/>
  <c r="CY856" i="28"/>
  <c r="CY859" i="28"/>
  <c r="CX860" i="28"/>
  <c r="CY861" i="28"/>
  <c r="CY871" i="28"/>
  <c r="CX873" i="28"/>
  <c r="CY874" i="28"/>
  <c r="CY876" i="28"/>
  <c r="CY878" i="28"/>
  <c r="CY880" i="28"/>
  <c r="CY884" i="28"/>
  <c r="CY886" i="28"/>
  <c r="CY888" i="28"/>
  <c r="CY890" i="28"/>
  <c r="CY894" i="28"/>
  <c r="CY896" i="28"/>
  <c r="CY901" i="28"/>
  <c r="CY903" i="28"/>
  <c r="CY907" i="28"/>
  <c r="CY909" i="28"/>
  <c r="CX910" i="28"/>
  <c r="CY911" i="28"/>
  <c r="CY913" i="28"/>
  <c r="CX916" i="28"/>
  <c r="CY917" i="28"/>
  <c r="CY919" i="28"/>
  <c r="CX920" i="28"/>
  <c r="CY921" i="28"/>
  <c r="CY923" i="28"/>
  <c r="CX926" i="28"/>
  <c r="CY927" i="28"/>
  <c r="CY935" i="28"/>
  <c r="CX937" i="28"/>
  <c r="CY938" i="28"/>
  <c r="CY940" i="28"/>
  <c r="CY1038" i="28"/>
  <c r="CY1040" i="28"/>
  <c r="CX1042" i="28"/>
  <c r="CY1045" i="28"/>
  <c r="CY1048" i="28"/>
  <c r="CX1049" i="28"/>
  <c r="CY1065" i="28"/>
  <c r="CX1066" i="28"/>
  <c r="CY1067" i="28"/>
  <c r="CY1070" i="28"/>
  <c r="CX1072" i="28"/>
  <c r="CY1073" i="28"/>
  <c r="CY1075" i="28"/>
  <c r="CX1076" i="28"/>
  <c r="CY1077" i="28"/>
  <c r="CX1081" i="28"/>
  <c r="CY1082" i="28"/>
  <c r="CY1084" i="28"/>
  <c r="CX1086" i="28"/>
  <c r="CY1089" i="28"/>
  <c r="CY1092" i="28"/>
  <c r="CY1094" i="28"/>
  <c r="CX1096" i="28"/>
  <c r="CY1098" i="28"/>
  <c r="CY1100" i="28"/>
  <c r="CY1102" i="28"/>
  <c r="CX1104" i="28"/>
  <c r="CY1106" i="28"/>
  <c r="CY1109" i="28"/>
  <c r="CY1116" i="28"/>
  <c r="CX1118" i="28"/>
  <c r="CY1121" i="28"/>
  <c r="CY1126" i="28"/>
  <c r="CX1127" i="28"/>
  <c r="CY1128" i="28"/>
  <c r="CY1129" i="28"/>
  <c r="CX1131" i="28"/>
  <c r="CX1139" i="28"/>
  <c r="CY1141" i="28"/>
  <c r="CY1143" i="28"/>
  <c r="CY1145" i="28"/>
  <c r="CX1148" i="28"/>
  <c r="CY1150" i="28"/>
  <c r="CX722" i="28"/>
  <c r="CY749" i="28"/>
  <c r="CY813" i="28"/>
  <c r="CY816" i="28"/>
  <c r="CY842" i="28"/>
  <c r="CY844" i="28"/>
  <c r="CY848" i="28"/>
  <c r="CY867" i="28"/>
  <c r="CY869" i="28"/>
  <c r="CY958" i="28"/>
  <c r="CY968" i="28"/>
  <c r="CY1053" i="28"/>
  <c r="CY1055" i="28"/>
  <c r="CX1056" i="28"/>
  <c r="CY1057" i="28"/>
  <c r="CY1059" i="28"/>
  <c r="CX1060" i="28"/>
  <c r="CY1061" i="28"/>
  <c r="CY1079" i="28"/>
  <c r="CX1123" i="28"/>
  <c r="CY1124" i="28"/>
  <c r="CY1132" i="28"/>
  <c r="CY1136" i="28"/>
  <c r="CY1184" i="28"/>
  <c r="CY1185" i="28"/>
  <c r="CY1190" i="28"/>
  <c r="CY1191" i="28"/>
  <c r="CY1192" i="28"/>
  <c r="CY239" i="28"/>
  <c r="CX249" i="28"/>
  <c r="CY245" i="28"/>
  <c r="BP32" i="31"/>
  <c r="BO32" i="31"/>
  <c r="BP34" i="31"/>
  <c r="BO34" i="31"/>
  <c r="BP11" i="31"/>
  <c r="BO11" i="31"/>
  <c r="BP17" i="31"/>
  <c r="BO17" i="31"/>
  <c r="BP14" i="31"/>
  <c r="BO14" i="31"/>
  <c r="BP13" i="31"/>
  <c r="BO13" i="31"/>
  <c r="BP18" i="31"/>
  <c r="BO18" i="31"/>
  <c r="BP19" i="31"/>
  <c r="BO19" i="31"/>
  <c r="BP21" i="31"/>
  <c r="BO21" i="31"/>
  <c r="BP22" i="31"/>
  <c r="BO22" i="31"/>
  <c r="BP23" i="31"/>
  <c r="BO23" i="31"/>
  <c r="BP24" i="31"/>
  <c r="BO24" i="31"/>
  <c r="BP25" i="31"/>
  <c r="BO25" i="31"/>
  <c r="BP26" i="31"/>
  <c r="BO26" i="31"/>
  <c r="BP27" i="31"/>
  <c r="BO27" i="31"/>
  <c r="BP28" i="31"/>
  <c r="BO28" i="31"/>
  <c r="BP29" i="31"/>
  <c r="BO29" i="31"/>
  <c r="BP31" i="31"/>
  <c r="BO31" i="31"/>
  <c r="BP33" i="31"/>
  <c r="BO33" i="31"/>
  <c r="BP36" i="31"/>
  <c r="BO36" i="31"/>
  <c r="BP16" i="31"/>
  <c r="BO16" i="31"/>
  <c r="BP15" i="31"/>
  <c r="BO15" i="31"/>
  <c r="BP35" i="31"/>
  <c r="BO35" i="31"/>
  <c r="CY702" i="28"/>
  <c r="CY710" i="28"/>
  <c r="CY712" i="28"/>
  <c r="CY716" i="28"/>
  <c r="CY719" i="28"/>
  <c r="CY721" i="28"/>
  <c r="CY723" i="28"/>
  <c r="CY725" i="28"/>
  <c r="CY727" i="28"/>
  <c r="CY729" i="28"/>
  <c r="CY731" i="28"/>
  <c r="CX732" i="28"/>
  <c r="CY733" i="28"/>
  <c r="CY736" i="28"/>
  <c r="CY739" i="28"/>
  <c r="CY762" i="28"/>
  <c r="CY763" i="28"/>
  <c r="CY767" i="28"/>
  <c r="CX779" i="28"/>
  <c r="CY782" i="28"/>
  <c r="CY787" i="28"/>
  <c r="CY789" i="28"/>
  <c r="CY791" i="28"/>
  <c r="CY795" i="28"/>
  <c r="CY797" i="28"/>
  <c r="CY802" i="28"/>
  <c r="CX809" i="28"/>
  <c r="CY811" i="28"/>
  <c r="CY818" i="28"/>
  <c r="CY820" i="28"/>
  <c r="CY822" i="28"/>
  <c r="CY824" i="28"/>
  <c r="CX828" i="28"/>
  <c r="CY832" i="28"/>
  <c r="CY835" i="28"/>
  <c r="CY839" i="28"/>
  <c r="CX843" i="28"/>
  <c r="CX941" i="28"/>
  <c r="CY942" i="28"/>
  <c r="CY944" i="28"/>
  <c r="CX946" i="28"/>
  <c r="CY945" i="28"/>
  <c r="CY953" i="28"/>
  <c r="CX954" i="28"/>
  <c r="CY959" i="28"/>
  <c r="CY970" i="28"/>
  <c r="CY973" i="28"/>
  <c r="CY982" i="28"/>
  <c r="CY985" i="28"/>
  <c r="CY990" i="28"/>
  <c r="CY994" i="28"/>
  <c r="CY996" i="28"/>
  <c r="CY999" i="28"/>
  <c r="CX1000" i="28"/>
  <c r="CY1001" i="28"/>
  <c r="CY1003" i="28"/>
  <c r="CX1004" i="28"/>
  <c r="CY1009" i="28"/>
  <c r="CY1011" i="28"/>
  <c r="CX1012" i="28"/>
  <c r="CY1013" i="28"/>
  <c r="CY1015" i="28"/>
  <c r="CX1016" i="28"/>
  <c r="CY1017" i="28"/>
  <c r="CY1019" i="28"/>
  <c r="CX1020" i="28"/>
  <c r="CY1021" i="28"/>
  <c r="CY1025" i="28"/>
  <c r="CY1027" i="28"/>
  <c r="CX1030" i="28"/>
  <c r="CY1035" i="28"/>
  <c r="CY1033" i="28"/>
  <c r="CY1165" i="28"/>
  <c r="CX1168" i="28"/>
  <c r="CY1201" i="28"/>
  <c r="CY1216" i="28"/>
  <c r="CY1238" i="28"/>
  <c r="CY1247" i="28"/>
  <c r="CY1258" i="28"/>
  <c r="CY1269" i="28"/>
  <c r="CY1271" i="28"/>
  <c r="CY1275" i="28"/>
  <c r="CY1295" i="28"/>
  <c r="CY1297" i="28"/>
  <c r="CY1303" i="28"/>
  <c r="CY1323" i="28"/>
  <c r="CY1341" i="28"/>
  <c r="CY1193" i="28"/>
  <c r="CY1194" i="28"/>
  <c r="CY1195" i="28"/>
  <c r="CY1196" i="28"/>
  <c r="CY1203" i="28"/>
  <c r="CY1204" i="28"/>
  <c r="CY1207" i="28"/>
  <c r="CY1210" i="28"/>
  <c r="CY1218" i="28"/>
  <c r="CY1220" i="28"/>
  <c r="CY1222" i="28"/>
  <c r="CY1224" i="28"/>
  <c r="CY1226" i="28"/>
  <c r="CY1228" i="28"/>
  <c r="CY1230" i="28"/>
  <c r="CY1232" i="28"/>
  <c r="CY1241" i="28"/>
  <c r="CY1249" i="28"/>
  <c r="CY1255" i="28"/>
  <c r="CY1259" i="28"/>
  <c r="CY1261" i="28"/>
  <c r="CY1262" i="28"/>
  <c r="CY1263" i="28"/>
  <c r="CY1267" i="28"/>
  <c r="CY1272" i="28"/>
  <c r="CY1276" i="28"/>
  <c r="CY1279" i="28"/>
  <c r="CY1280" i="28"/>
  <c r="CY1281" i="28"/>
  <c r="CY1282" i="28"/>
  <c r="CY1283" i="28"/>
  <c r="CY1284" i="28"/>
  <c r="CY1285" i="28"/>
  <c r="CY1289" i="28"/>
  <c r="CY1292" i="28"/>
  <c r="CY1300" i="28"/>
  <c r="CY1301" i="28"/>
  <c r="CY1304" i="28"/>
  <c r="CY1305" i="28"/>
  <c r="CY1307" i="28"/>
  <c r="CY1308" i="28"/>
  <c r="CY1309" i="28"/>
  <c r="CY1311" i="28"/>
  <c r="CY1310" i="28"/>
  <c r="CY1313" i="28"/>
  <c r="CY1314" i="28"/>
  <c r="CY1315" i="28"/>
  <c r="CY1318" i="28"/>
  <c r="CY1319" i="28"/>
  <c r="CY1320" i="28"/>
  <c r="CY1324" i="28"/>
  <c r="CY1325" i="28"/>
  <c r="CY1327" i="28"/>
  <c r="CY1328" i="28"/>
  <c r="CY1329" i="28"/>
  <c r="CY1331" i="28"/>
  <c r="CY1332" i="28"/>
  <c r="CY1333" i="28"/>
  <c r="CY1335" i="28"/>
  <c r="CY1337" i="28"/>
  <c r="CY1338" i="28"/>
  <c r="CY1340" i="28"/>
  <c r="CY1344" i="28"/>
  <c r="CY1346" i="28"/>
  <c r="CY1349" i="28"/>
  <c r="CY1351" i="28"/>
  <c r="CY1353" i="28"/>
  <c r="CY1354" i="28"/>
  <c r="CY1355" i="28"/>
  <c r="CY1358" i="28"/>
  <c r="CY1359" i="28"/>
  <c r="CY1360" i="28"/>
  <c r="CX829" i="28"/>
  <c r="CY831" i="28"/>
  <c r="CX881" i="28"/>
  <c r="CX955" i="28"/>
  <c r="CY997" i="28"/>
  <c r="CY1023" i="28"/>
  <c r="CX1037" i="28"/>
  <c r="CX1047" i="28"/>
  <c r="CY1087" i="28"/>
  <c r="CY1122" i="28"/>
  <c r="CX1138" i="28"/>
  <c r="CY734" i="28"/>
  <c r="CX734" i="28"/>
  <c r="CY1097" i="28"/>
  <c r="CX1097" i="28"/>
  <c r="CY514" i="28"/>
  <c r="CX514" i="28"/>
  <c r="CY535" i="28"/>
  <c r="CX535" i="28"/>
  <c r="CY632" i="28"/>
  <c r="CX632" i="28"/>
  <c r="CY648" i="28"/>
  <c r="CX648" i="28"/>
  <c r="CY263" i="28"/>
  <c r="CX263" i="28"/>
  <c r="CY265" i="28"/>
  <c r="CX265" i="28"/>
  <c r="CY273" i="28"/>
  <c r="CX273" i="28"/>
  <c r="CY276" i="28"/>
  <c r="CX276" i="28"/>
  <c r="CY334" i="28"/>
  <c r="CX334" i="28"/>
  <c r="CY409" i="28"/>
  <c r="CX409" i="28"/>
  <c r="CY510" i="28"/>
  <c r="CX510" i="28"/>
  <c r="CY522" i="28"/>
  <c r="CX522" i="28"/>
  <c r="CY591" i="28"/>
  <c r="CX591" i="28"/>
  <c r="CY601" i="28"/>
  <c r="CX601" i="28"/>
  <c r="CY606" i="28"/>
  <c r="CX606" i="28"/>
  <c r="CY637" i="28"/>
  <c r="CX637" i="28"/>
  <c r="CY660" i="28"/>
  <c r="CX660" i="28"/>
  <c r="CY667" i="28"/>
  <c r="CX667" i="28"/>
  <c r="CY672" i="28"/>
  <c r="CX672" i="28"/>
  <c r="CY685" i="28"/>
  <c r="CX685" i="28"/>
  <c r="CY247" i="28"/>
  <c r="CX247" i="28"/>
  <c r="CY256" i="28"/>
  <c r="CX256" i="28"/>
  <c r="CY258" i="28"/>
  <c r="CX258" i="28"/>
  <c r="CY291" i="28"/>
  <c r="CX291" i="28"/>
  <c r="CY293" i="28"/>
  <c r="CX293" i="28"/>
  <c r="CY440" i="28"/>
  <c r="CX440" i="28"/>
  <c r="CY449" i="28"/>
  <c r="CX449" i="28"/>
  <c r="CY473" i="28"/>
  <c r="CX473" i="28"/>
  <c r="CY503" i="28"/>
  <c r="CX503" i="28"/>
  <c r="CY525" i="28"/>
  <c r="CX525" i="28"/>
  <c r="CY593" i="28"/>
  <c r="CX593" i="28"/>
  <c r="CY596" i="28"/>
  <c r="CX596" i="28"/>
  <c r="CY599" i="28"/>
  <c r="CX599" i="28"/>
  <c r="CY603" i="28"/>
  <c r="CX603" i="28"/>
  <c r="CY617" i="28"/>
  <c r="CX617" i="28"/>
  <c r="CY622" i="28"/>
  <c r="CX622" i="28"/>
  <c r="CY625" i="28"/>
  <c r="CX625" i="28"/>
  <c r="CY643" i="28"/>
  <c r="CX643" i="28"/>
  <c r="CY651" i="28"/>
  <c r="CX651" i="28"/>
  <c r="CY657" i="28"/>
  <c r="CX657" i="28"/>
  <c r="CY663" i="28"/>
  <c r="CX663" i="28"/>
  <c r="CY670" i="28"/>
  <c r="CX670" i="28"/>
  <c r="CY681" i="28"/>
  <c r="CX681" i="28"/>
  <c r="CY688" i="28"/>
  <c r="CX688" i="28"/>
  <c r="CY691" i="28"/>
  <c r="CX691" i="28"/>
  <c r="CY693" i="28"/>
  <c r="CX693" i="28"/>
  <c r="CY695" i="28"/>
  <c r="CX695" i="28"/>
  <c r="CY697" i="28"/>
  <c r="CX697" i="28"/>
  <c r="CY701" i="28"/>
  <c r="CX701" i="28"/>
  <c r="CY703" i="28"/>
  <c r="CX703" i="28"/>
  <c r="CY705" i="28"/>
  <c r="CY706" i="28"/>
  <c r="CX706" i="28"/>
  <c r="CY713" i="28"/>
  <c r="CX713" i="28"/>
  <c r="CY718" i="28"/>
  <c r="CX718" i="28"/>
  <c r="CY720" i="28"/>
  <c r="CX720" i="28"/>
  <c r="CY724" i="28"/>
  <c r="CX724" i="28"/>
  <c r="CY726" i="28"/>
  <c r="CX726" i="28"/>
  <c r="CY728" i="28"/>
  <c r="CX728" i="28"/>
  <c r="CY730" i="28"/>
  <c r="CX730" i="28"/>
  <c r="CY737" i="28"/>
  <c r="CX737" i="28"/>
  <c r="CY743" i="28"/>
  <c r="CX743" i="28"/>
  <c r="CY748" i="28"/>
  <c r="CX748" i="28"/>
  <c r="CY750" i="28"/>
  <c r="CX750" i="28"/>
  <c r="CY761" i="28"/>
  <c r="CX761" i="28"/>
  <c r="CY766" i="28"/>
  <c r="CX766" i="28"/>
  <c r="CY770" i="28"/>
  <c r="CX770" i="28"/>
  <c r="CY781" i="28"/>
  <c r="CX781" i="28"/>
  <c r="CY786" i="28"/>
  <c r="CX786" i="28"/>
  <c r="CY788" i="28"/>
  <c r="CX788" i="28"/>
  <c r="CY790" i="28"/>
  <c r="CX790" i="28"/>
  <c r="CY794" i="28"/>
  <c r="CX794" i="28"/>
  <c r="CY796" i="28"/>
  <c r="CX796" i="28"/>
  <c r="CY801" i="28"/>
  <c r="CX801" i="28"/>
  <c r="CY805" i="28"/>
  <c r="CX805" i="28"/>
  <c r="CY819" i="28"/>
  <c r="CX819" i="28"/>
  <c r="CY821" i="28"/>
  <c r="CX821" i="28"/>
  <c r="CY823" i="28"/>
  <c r="CX823" i="28"/>
  <c r="CY827" i="28"/>
  <c r="CX827" i="28"/>
  <c r="CY833" i="28"/>
  <c r="CX833" i="28"/>
  <c r="CY836" i="28"/>
  <c r="CX836" i="28"/>
  <c r="CY840" i="28"/>
  <c r="CX840" i="28"/>
  <c r="CY847" i="28"/>
  <c r="CX847" i="28"/>
  <c r="CY849" i="28"/>
  <c r="CX849" i="28"/>
  <c r="CY854" i="28"/>
  <c r="CX854" i="28"/>
  <c r="CY855" i="28"/>
  <c r="CX855" i="28"/>
  <c r="CY858" i="28"/>
  <c r="CX858" i="28"/>
  <c r="CY866" i="28"/>
  <c r="CX866" i="28"/>
  <c r="CY868" i="28"/>
  <c r="CX868" i="28"/>
  <c r="CY870" i="28"/>
  <c r="CX870" i="28"/>
  <c r="CY875" i="28"/>
  <c r="CX875" i="28"/>
  <c r="CY877" i="28"/>
  <c r="CX877" i="28"/>
  <c r="CY879" i="28"/>
  <c r="CX879" i="28"/>
  <c r="CY885" i="28"/>
  <c r="CX885" i="28"/>
  <c r="CY887" i="28"/>
  <c r="CX887" i="28"/>
  <c r="CY889" i="28"/>
  <c r="CX889" i="28"/>
  <c r="CY891" i="28"/>
  <c r="CX891" i="28"/>
  <c r="CY893" i="28"/>
  <c r="CX893" i="28"/>
  <c r="CY895" i="28"/>
  <c r="CX895" i="28"/>
  <c r="CY897" i="28"/>
  <c r="CX897" i="28"/>
  <c r="CY902" i="28"/>
  <c r="CX902" i="28"/>
  <c r="CY904" i="28"/>
  <c r="CX904" i="28"/>
  <c r="CY908" i="28"/>
  <c r="CX908" i="28"/>
  <c r="CY912" i="28"/>
  <c r="CX912" i="28"/>
  <c r="CY918" i="28"/>
  <c r="CX918" i="28"/>
  <c r="CY922" i="28"/>
  <c r="CX922" i="28"/>
  <c r="CY928" i="28"/>
  <c r="CX928" i="28"/>
  <c r="CY939" i="28"/>
  <c r="CX939" i="28"/>
  <c r="CY943" i="28"/>
  <c r="CX943" i="28"/>
  <c r="CY947" i="28"/>
  <c r="CX947" i="28"/>
  <c r="CY963" i="28"/>
  <c r="CX963" i="28"/>
  <c r="CY966" i="28"/>
  <c r="CX966" i="28"/>
  <c r="CY969" i="28"/>
  <c r="CX969" i="28"/>
  <c r="CY972" i="28"/>
  <c r="CX972" i="28"/>
  <c r="CY974" i="28"/>
  <c r="CX974" i="28"/>
  <c r="CY980" i="28"/>
  <c r="CX980" i="28"/>
  <c r="CY983" i="28"/>
  <c r="CX983" i="28"/>
  <c r="CY989" i="28"/>
  <c r="CX989" i="28"/>
  <c r="CY993" i="28"/>
  <c r="CX993" i="28"/>
  <c r="CY995" i="28"/>
  <c r="CX995" i="28"/>
  <c r="CY998" i="28"/>
  <c r="CX998" i="28"/>
  <c r="CY1002" i="28"/>
  <c r="CX1002" i="28"/>
  <c r="CY1010" i="28"/>
  <c r="CX1010" i="28"/>
  <c r="CY1014" i="28"/>
  <c r="CX1014" i="28"/>
  <c r="CY1018" i="28"/>
  <c r="CX1018" i="28"/>
  <c r="CY1022" i="28"/>
  <c r="CX1022" i="28"/>
  <c r="CY1026" i="28"/>
  <c r="CX1026" i="28"/>
  <c r="CY1028" i="28"/>
  <c r="CX1028" i="28"/>
  <c r="CY1034" i="28"/>
  <c r="CX1034" i="28"/>
  <c r="CY1039" i="28"/>
  <c r="CX1039" i="28"/>
  <c r="CY1041" i="28"/>
  <c r="CX1041" i="28"/>
  <c r="CY1043" i="28"/>
  <c r="CX1043" i="28"/>
  <c r="CY1064" i="28"/>
  <c r="CX1064" i="28"/>
  <c r="CY1068" i="28"/>
  <c r="CX1068" i="28"/>
  <c r="CY1074" i="28"/>
  <c r="CX1074" i="28"/>
  <c r="CY1083" i="28"/>
  <c r="CX1083" i="28"/>
  <c r="CY1091" i="28"/>
  <c r="CX1091" i="28"/>
  <c r="CY1093" i="28"/>
  <c r="CX1093" i="28"/>
  <c r="CY1095" i="28"/>
  <c r="CX1095" i="28"/>
  <c r="CY1099" i="28"/>
  <c r="CX1099" i="28"/>
  <c r="CY1101" i="28"/>
  <c r="CX1101" i="28"/>
  <c r="CY1103" i="28"/>
  <c r="CX1103" i="28"/>
  <c r="CY1105" i="28"/>
  <c r="CX1105" i="28"/>
  <c r="CY1107" i="28"/>
  <c r="CX1107" i="28"/>
  <c r="CY1115" i="28"/>
  <c r="CX1115" i="28"/>
  <c r="CY1117" i="28"/>
  <c r="CX1117" i="28"/>
  <c r="CY1120" i="28"/>
  <c r="CX1120" i="28"/>
  <c r="CY1125" i="28"/>
  <c r="CX1125" i="28"/>
  <c r="CY1130" i="28"/>
  <c r="CX1130" i="28"/>
  <c r="CY1133" i="28"/>
  <c r="CX1133" i="28"/>
  <c r="CY1140" i="28"/>
  <c r="CX1140" i="28"/>
  <c r="CY1142" i="28"/>
  <c r="CX1142" i="28"/>
  <c r="CY1144" i="28"/>
  <c r="CX1144" i="28"/>
  <c r="CY1146" i="28"/>
  <c r="CX1146" i="28"/>
  <c r="CY1149" i="28"/>
  <c r="CX1149" i="28"/>
  <c r="CY1151" i="28"/>
  <c r="CX1151" i="28"/>
  <c r="CY711" i="28"/>
  <c r="CX711" i="28"/>
  <c r="CY810" i="28"/>
  <c r="CX810" i="28"/>
  <c r="CY814" i="28"/>
  <c r="CX814" i="28"/>
  <c r="CY815" i="28"/>
  <c r="CX815" i="28"/>
  <c r="CY817" i="28"/>
  <c r="CX817" i="28"/>
  <c r="CY845" i="28"/>
  <c r="CX845" i="28"/>
  <c r="CY991" i="28"/>
  <c r="CX991" i="28"/>
  <c r="CY1054" i="28"/>
  <c r="CX1054" i="28"/>
  <c r="CY1058" i="28"/>
  <c r="CX1058" i="28"/>
  <c r="CY1078" i="28"/>
  <c r="CX1078" i="28"/>
  <c r="CY1208" i="28"/>
  <c r="CX1208" i="28"/>
  <c r="CY1214" i="28"/>
  <c r="CX1214" i="28"/>
  <c r="CY1219" i="28"/>
  <c r="CX1219" i="28"/>
  <c r="CY1223" i="28"/>
  <c r="CX1223" i="28"/>
  <c r="CY1227" i="28"/>
  <c r="CX1227" i="28"/>
  <c r="CY1231" i="28"/>
  <c r="CX1231" i="28"/>
  <c r="CY1239" i="28"/>
  <c r="CX1239" i="28"/>
  <c r="CY1245" i="28"/>
  <c r="CX1245" i="28"/>
  <c r="CY1251" i="28"/>
  <c r="CX1251" i="28"/>
  <c r="CY1268" i="28"/>
  <c r="CX1268" i="28"/>
  <c r="CX1359" i="28"/>
  <c r="CX1354" i="28"/>
  <c r="CX1340" i="28"/>
  <c r="CX1323" i="28"/>
  <c r="CX1303" i="28"/>
  <c r="CX1300" i="28"/>
  <c r="CX1295" i="28"/>
  <c r="CX1292" i="28"/>
  <c r="CX1284" i="28"/>
  <c r="CX1282" i="28"/>
  <c r="CX1280" i="28"/>
  <c r="CX1247" i="28"/>
  <c r="CX1238" i="28"/>
  <c r="CX1204" i="28"/>
  <c r="CX1201" i="28"/>
  <c r="CX1143" i="28"/>
  <c r="CX1132" i="28"/>
  <c r="CX1128" i="28"/>
  <c r="CX1124" i="28"/>
  <c r="CX1109" i="28"/>
  <c r="CX1100" i="28"/>
  <c r="CX1092" i="28"/>
  <c r="CX1084" i="28"/>
  <c r="CX1079" i="28"/>
  <c r="CX1075" i="28"/>
  <c r="CX1070" i="28"/>
  <c r="CX1065" i="28"/>
  <c r="CX1059" i="28"/>
  <c r="CX1055" i="28"/>
  <c r="CX1048" i="28"/>
  <c r="CX1038" i="28"/>
  <c r="CX1025" i="28"/>
  <c r="CX1019" i="28"/>
  <c r="CX1015" i="28"/>
  <c r="CX1011" i="28"/>
  <c r="CX1003" i="28"/>
  <c r="CX999" i="28"/>
  <c r="CX994" i="28"/>
  <c r="CX990" i="28"/>
  <c r="CX982" i="28"/>
  <c r="CX973" i="28"/>
  <c r="CX968" i="28"/>
  <c r="CX959" i="28"/>
  <c r="CX958" i="28"/>
  <c r="CX945" i="28"/>
  <c r="CX942" i="28"/>
  <c r="CX938" i="28"/>
  <c r="CX927" i="28"/>
  <c r="CX921" i="28"/>
  <c r="CX917" i="28"/>
  <c r="CX911" i="28"/>
  <c r="CX907" i="28"/>
  <c r="CX901" i="28"/>
  <c r="CX894" i="28"/>
  <c r="CX890" i="28"/>
  <c r="CX886" i="28"/>
  <c r="CX880" i="28"/>
  <c r="CX876" i="28"/>
  <c r="CX871" i="28"/>
  <c r="CX867" i="28"/>
  <c r="CX859" i="28"/>
  <c r="CX853" i="28"/>
  <c r="CX850" i="28"/>
  <c r="CX846" i="28"/>
  <c r="CX842" i="28"/>
  <c r="CX835" i="28"/>
  <c r="CX822" i="28"/>
  <c r="CX818" i="28"/>
  <c r="CX813" i="28"/>
  <c r="CX797" i="28"/>
  <c r="CX791" i="28"/>
  <c r="CX787" i="28"/>
  <c r="CX763" i="28"/>
  <c r="CX749" i="28"/>
  <c r="CX739" i="28"/>
  <c r="CX733" i="28"/>
  <c r="CX729" i="28"/>
  <c r="CX725" i="28"/>
  <c r="CX721" i="28"/>
  <c r="CX716" i="28"/>
  <c r="CX710" i="28"/>
  <c r="CX702" i="28"/>
  <c r="CX698" i="28"/>
  <c r="CX694" i="28"/>
  <c r="CX689" i="28"/>
  <c r="CX684" i="28"/>
  <c r="CX671" i="28"/>
  <c r="CX664" i="28"/>
  <c r="CX649" i="28"/>
  <c r="CX641" i="28"/>
  <c r="CX631" i="28"/>
  <c r="CX626" i="28"/>
  <c r="CX620" i="28"/>
  <c r="CX618" i="28"/>
  <c r="CX600" i="28"/>
  <c r="CX590" i="28"/>
  <c r="CX586" i="28"/>
  <c r="CX577" i="28"/>
  <c r="CX524" i="28"/>
  <c r="CX512" i="28"/>
  <c r="CX502" i="28"/>
  <c r="CX470" i="28"/>
  <c r="CX452" i="28"/>
  <c r="CX437" i="28"/>
  <c r="CX332" i="28"/>
  <c r="CX329" i="28"/>
  <c r="CX277" i="28"/>
  <c r="CX261" i="28"/>
  <c r="CX250" i="28"/>
  <c r="CX245" i="28"/>
  <c r="CY1265" i="28"/>
  <c r="CY1229" i="28"/>
  <c r="CY1221" i="28"/>
  <c r="CY1205" i="28"/>
  <c r="CY1131" i="28"/>
  <c r="CY1123" i="28"/>
  <c r="CY1081" i="28"/>
  <c r="CY1072" i="28"/>
  <c r="CY1060" i="28"/>
  <c r="CY1049" i="28"/>
  <c r="CY1016" i="28"/>
  <c r="CY1004" i="28"/>
  <c r="CY954" i="28"/>
  <c r="CY941" i="28"/>
  <c r="CY926" i="28"/>
  <c r="CY916" i="28"/>
  <c r="CY860" i="28"/>
  <c r="CY843" i="28"/>
  <c r="CY722" i="28"/>
  <c r="CY679" i="28"/>
  <c r="CY677" i="28"/>
  <c r="CY1186" i="28"/>
  <c r="CY1198" i="28"/>
  <c r="CY1202" i="28"/>
  <c r="CY1206" i="28"/>
  <c r="CY1217" i="28"/>
  <c r="CY1234" i="28"/>
  <c r="CY1237" i="28"/>
  <c r="CY1240" i="28"/>
  <c r="CY1246" i="28"/>
  <c r="CY1250" i="28"/>
  <c r="CY1252" i="28"/>
  <c r="CY1254" i="28"/>
  <c r="CY1256" i="28"/>
  <c r="CY1257" i="28"/>
  <c r="CY1264" i="28"/>
  <c r="CY1266" i="28"/>
  <c r="CY1274" i="28"/>
  <c r="CY1278" i="28"/>
  <c r="CY1290" i="28"/>
  <c r="CY1294" i="28"/>
  <c r="CY1296" i="28"/>
  <c r="CY1302" i="28"/>
  <c r="CY1316" i="28"/>
  <c r="CY1322" i="28"/>
  <c r="CY1336" i="28"/>
  <c r="CY1350" i="28"/>
  <c r="CY1356" i="28"/>
  <c r="CY501" i="28"/>
  <c r="CY266" i="28"/>
  <c r="CY251" i="28"/>
  <c r="CX628" i="28"/>
  <c r="CX636" i="28"/>
  <c r="CX650" i="28"/>
  <c r="CX504" i="28"/>
  <c r="CX715" i="28"/>
  <c r="CX717" i="28"/>
  <c r="CX735" i="28"/>
  <c r="CX765" i="28"/>
  <c r="CX778" i="28"/>
  <c r="CX780" i="28"/>
  <c r="CX863" i="28"/>
  <c r="CY899" i="28"/>
  <c r="CY925" i="28"/>
  <c r="CY949" i="28"/>
  <c r="CX977" i="28"/>
  <c r="CX981" i="28"/>
  <c r="CX987" i="28"/>
  <c r="CY249" i="28"/>
  <c r="CY738" i="28"/>
  <c r="CY740" i="28"/>
  <c r="CY746" i="28"/>
  <c r="CX837" i="28"/>
  <c r="CX668" i="28"/>
  <c r="CX665" i="28"/>
  <c r="CX658" i="28"/>
  <c r="CX616" i="28"/>
  <c r="CX527" i="28"/>
  <c r="CX523" i="28"/>
  <c r="CX506" i="28"/>
  <c r="CX259" i="28"/>
  <c r="CX255" i="28"/>
  <c r="CX1356" i="28"/>
  <c r="CX1336" i="28"/>
  <c r="CX1322" i="28"/>
  <c r="CX1316" i="28"/>
  <c r="CX1302" i="28"/>
  <c r="CX1296" i="28"/>
  <c r="CX1294" i="28"/>
  <c r="CX1278" i="28"/>
  <c r="CX1266" i="28"/>
  <c r="CX1264" i="28"/>
  <c r="CX1254" i="28"/>
  <c r="CX1250" i="28"/>
  <c r="CX1246" i="28"/>
  <c r="CX1237" i="28"/>
  <c r="CX1234" i="28"/>
  <c r="CX1217" i="28"/>
  <c r="CX1206" i="28"/>
  <c r="CX1202" i="28"/>
  <c r="CX1198" i="28"/>
  <c r="CX949" i="28"/>
  <c r="CX925" i="28"/>
  <c r="CX899" i="28"/>
  <c r="CX675" i="28"/>
  <c r="CX645" i="28"/>
  <c r="CX630" i="28"/>
  <c r="CX615" i="28"/>
  <c r="CX611" i="28"/>
  <c r="CX605" i="28"/>
  <c r="CX515" i="28"/>
  <c r="CX513" i="28"/>
  <c r="CX511" i="28"/>
  <c r="CX476" i="28"/>
  <c r="CX472" i="28"/>
  <c r="CX469" i="28"/>
  <c r="CX410" i="28"/>
  <c r="CX275" i="28"/>
  <c r="CX267" i="28"/>
  <c r="CX262" i="28"/>
  <c r="CX260" i="28"/>
  <c r="CX281" i="28"/>
  <c r="CX333" i="28"/>
  <c r="CY407" i="28"/>
  <c r="CY475" i="28"/>
  <c r="CX480" i="28"/>
  <c r="CX507" i="28"/>
  <c r="CX508" i="28"/>
  <c r="CX594" i="28"/>
  <c r="CX598" i="28"/>
  <c r="CX621" i="28"/>
  <c r="CY636" i="28"/>
  <c r="CY640" i="28"/>
  <c r="CY642" i="28"/>
  <c r="CX647" i="28"/>
  <c r="CY650" i="28"/>
  <c r="CX666" i="28"/>
  <c r="CY676" i="28"/>
  <c r="CY686" i="28"/>
  <c r="CY690" i="28"/>
  <c r="CY504" i="28"/>
  <c r="CY704" i="28"/>
  <c r="CY714" i="28"/>
  <c r="CY715" i="28"/>
  <c r="CY717" i="28"/>
  <c r="CY735" i="28"/>
  <c r="CX742" i="28"/>
  <c r="CX744" i="28"/>
  <c r="CY747" i="28"/>
  <c r="CY751" i="28"/>
  <c r="CY765" i="28"/>
  <c r="CY768" i="28"/>
  <c r="CY769" i="28"/>
  <c r="CY777" i="28"/>
  <c r="CY778" i="28"/>
  <c r="CY780" i="28"/>
  <c r="CY792" i="28"/>
  <c r="CY793" i="28"/>
  <c r="CY807" i="28"/>
  <c r="CY808" i="28"/>
  <c r="CY812" i="28"/>
  <c r="CY829" i="28"/>
  <c r="CY830" i="28"/>
  <c r="CX831" i="28"/>
  <c r="CY834" i="28"/>
  <c r="CY838" i="28"/>
  <c r="CY841" i="28"/>
  <c r="CY857" i="28"/>
  <c r="CY862" i="28"/>
  <c r="CY863" i="28"/>
  <c r="CY872" i="28"/>
  <c r="CY881" i="28"/>
  <c r="CY882" i="28"/>
  <c r="CY883" i="28"/>
  <c r="CY898" i="28"/>
  <c r="CY900" i="28"/>
  <c r="CY905" i="28"/>
  <c r="CY906" i="28"/>
  <c r="CY914" i="28"/>
  <c r="CY915" i="28"/>
  <c r="CY924" i="28"/>
  <c r="CY936" i="28"/>
  <c r="CY948" i="28"/>
  <c r="CY955" i="28"/>
  <c r="CY960" i="28"/>
  <c r="CY961" i="28"/>
  <c r="CY962" i="28"/>
  <c r="CY964" i="28"/>
  <c r="CY967" i="28"/>
  <c r="CY971" i="28"/>
  <c r="CY977" i="28"/>
  <c r="CY981" i="28"/>
  <c r="CY984" i="28"/>
  <c r="CY986" i="28"/>
  <c r="CY987" i="28"/>
  <c r="CY988" i="28"/>
  <c r="CX997" i="28"/>
  <c r="CX1023" i="28"/>
  <c r="CY1037" i="28"/>
  <c r="CY1044" i="28"/>
  <c r="CY1046" i="28"/>
  <c r="CY1047" i="28"/>
  <c r="CY1062" i="28"/>
  <c r="CY1063" i="28"/>
  <c r="CY1069" i="28"/>
  <c r="CY1071" i="28"/>
  <c r="CY1080" i="28"/>
  <c r="CX1087" i="28"/>
  <c r="CY1088" i="28"/>
  <c r="CY1090" i="28"/>
  <c r="CY1108" i="28"/>
  <c r="CY1119" i="28"/>
  <c r="CX1122" i="28"/>
  <c r="CY1137" i="28"/>
  <c r="CY1138" i="28"/>
  <c r="CY1147" i="28"/>
  <c r="CY1152" i="28"/>
  <c r="CY1153" i="28"/>
  <c r="CY1179" i="28"/>
  <c r="CX738" i="28"/>
  <c r="CX740" i="28"/>
  <c r="CY741" i="28"/>
  <c r="CY745" i="28"/>
  <c r="CX746" i="28"/>
  <c r="CY764" i="28"/>
  <c r="CY773" i="28"/>
  <c r="CY825" i="28"/>
  <c r="CY826" i="28"/>
  <c r="CY837" i="28"/>
  <c r="CY864" i="28"/>
  <c r="CX865" i="28"/>
  <c r="CY950" i="28"/>
  <c r="CY976" i="28"/>
  <c r="CX1033" i="28"/>
  <c r="CY1036" i="28"/>
  <c r="CY1050" i="28"/>
  <c r="CY1085" i="28"/>
  <c r="CX1166" i="28"/>
  <c r="CY1164" i="28"/>
  <c r="CX1165" i="28"/>
  <c r="CY1168" i="28"/>
  <c r="CX1167" i="28"/>
  <c r="CY639" i="28"/>
  <c r="CX1179" i="28"/>
  <c r="CX1164" i="28"/>
  <c r="CX1152" i="28"/>
  <c r="CX1071" i="28"/>
  <c r="CX1069" i="28"/>
  <c r="CX1063" i="28"/>
  <c r="CX1050" i="28"/>
  <c r="CX1036" i="28"/>
  <c r="CX971" i="28"/>
  <c r="CX967" i="28"/>
  <c r="CX961" i="28"/>
  <c r="CX950" i="28"/>
  <c r="CX915" i="28"/>
  <c r="CX905" i="28"/>
  <c r="CX883" i="28"/>
  <c r="CX857" i="28"/>
  <c r="CX841" i="28"/>
  <c r="CX825" i="28"/>
  <c r="CX807" i="28"/>
  <c r="CX793" i="28"/>
  <c r="CX773" i="28"/>
  <c r="CX769" i="28"/>
  <c r="CX764" i="28"/>
  <c r="CX704" i="28"/>
  <c r="CX690" i="28"/>
  <c r="CX686" i="28"/>
  <c r="CX676" i="28"/>
  <c r="CX674" i="28"/>
  <c r="CX642" i="28"/>
  <c r="CX640" i="28"/>
  <c r="CX614" i="28"/>
  <c r="CX612" i="28"/>
  <c r="CX610" i="28"/>
  <c r="CX477" i="28"/>
  <c r="CX475" i="28"/>
  <c r="CY1167" i="28"/>
  <c r="CY1166" i="28"/>
  <c r="CY744" i="28"/>
  <c r="CY742" i="28"/>
  <c r="CY623" i="28"/>
  <c r="CY530" i="28"/>
  <c r="CY528" i="28"/>
  <c r="CX1085" i="28"/>
  <c r="CX976" i="28"/>
  <c r="CX864" i="28"/>
  <c r="CX826" i="28"/>
  <c r="CX745" i="28"/>
  <c r="CX741" i="28"/>
  <c r="CX468" i="28"/>
  <c r="CY270" i="28"/>
  <c r="CX270" i="28"/>
  <c r="CY272" i="28"/>
  <c r="CX272" i="28"/>
  <c r="CY268" i="28"/>
  <c r="CX268" i="28"/>
  <c r="CX1153" i="28"/>
  <c r="CX1147" i="28"/>
  <c r="CX1137" i="28"/>
  <c r="CX1119" i="28"/>
  <c r="CX1108" i="28"/>
  <c r="CX1090" i="28"/>
  <c r="CX1088" i="28"/>
  <c r="CX1080" i="28"/>
  <c r="CX1062" i="28"/>
  <c r="CX1046" i="28"/>
  <c r="CX1044" i="28"/>
  <c r="CX988" i="28"/>
  <c r="CX986" i="28"/>
  <c r="CX984" i="28"/>
  <c r="CX964" i="28"/>
  <c r="CX962" i="28"/>
  <c r="CX960" i="28"/>
  <c r="CX948" i="28"/>
  <c r="CX936" i="28"/>
  <c r="CX924" i="28"/>
  <c r="CX914" i="28"/>
  <c r="CX906" i="28"/>
  <c r="CX900" i="28"/>
  <c r="CX898" i="28"/>
  <c r="CX882" i="28"/>
  <c r="CX872" i="28"/>
  <c r="CX862" i="28"/>
  <c r="CX838" i="28"/>
  <c r="CX834" i="28"/>
  <c r="CX830" i="28"/>
  <c r="CX812" i="28"/>
  <c r="CX808" i="28"/>
  <c r="CX792" i="28"/>
  <c r="CX777" i="28"/>
  <c r="CX768" i="28"/>
  <c r="CX714" i="28"/>
  <c r="CX661" i="28"/>
  <c r="CX627" i="28"/>
  <c r="CX588" i="28"/>
  <c r="CX509" i="28"/>
  <c r="CX474" i="28"/>
  <c r="CX443" i="28"/>
  <c r="CX411" i="28"/>
  <c r="CX407" i="28"/>
  <c r="CX331" i="28"/>
  <c r="CX290" i="28"/>
  <c r="CX269" i="28"/>
  <c r="CY260" i="28"/>
  <c r="CY281" i="28"/>
  <c r="CY333" i="28"/>
  <c r="CY480" i="28"/>
  <c r="CY507" i="28"/>
  <c r="CY508" i="28"/>
  <c r="CY594" i="28"/>
  <c r="CY598" i="28"/>
  <c r="CY621" i="28"/>
  <c r="CY628" i="28"/>
  <c r="CY647" i="28"/>
  <c r="CY666" i="28"/>
  <c r="CC1479" i="28" l="1"/>
  <c r="CC1478" i="28"/>
  <c r="CC1477" i="28"/>
  <c r="CC1476" i="28"/>
  <c r="CC238" i="28"/>
  <c r="CC237" i="28"/>
  <c r="CC236" i="28"/>
  <c r="CC235" i="28"/>
  <c r="CC234" i="28"/>
  <c r="CC233" i="28"/>
  <c r="CC232" i="28"/>
  <c r="CC231" i="28"/>
  <c r="CC230" i="28"/>
  <c r="CC229" i="28"/>
  <c r="CC228" i="28"/>
  <c r="CC227" i="28"/>
  <c r="CC226" i="28"/>
  <c r="CC225" i="28"/>
  <c r="CC224" i="28"/>
  <c r="CC223" i="28"/>
  <c r="CC222" i="28"/>
  <c r="CC221" i="28"/>
  <c r="CC220" i="28"/>
  <c r="CC219" i="28"/>
  <c r="CC218" i="28"/>
  <c r="CC217" i="28"/>
  <c r="CC216" i="28"/>
  <c r="CC215" i="28"/>
  <c r="CC213" i="28"/>
  <c r="CC214" i="28"/>
  <c r="CC212" i="28"/>
  <c r="CC211" i="28"/>
  <c r="CC210" i="28"/>
  <c r="CC209" i="28"/>
  <c r="CC208" i="28"/>
  <c r="CC207" i="28"/>
  <c r="CC206" i="28"/>
  <c r="CC205" i="28"/>
  <c r="CC204" i="28"/>
  <c r="CC203" i="28"/>
  <c r="CC202" i="28"/>
  <c r="CC201" i="28"/>
  <c r="CC200" i="28"/>
  <c r="CC199" i="28"/>
  <c r="CC198" i="28"/>
  <c r="CC197" i="28"/>
  <c r="CC196" i="28"/>
  <c r="CC195" i="28"/>
  <c r="CC194" i="28"/>
  <c r="CC193" i="28"/>
  <c r="CC192" i="28"/>
  <c r="CC191" i="28"/>
  <c r="CC190" i="28"/>
  <c r="CC189" i="28"/>
  <c r="CC188" i="28"/>
  <c r="CC187" i="28"/>
  <c r="CC186" i="28"/>
  <c r="CC185" i="28"/>
  <c r="CC184" i="28"/>
  <c r="CC183" i="28"/>
  <c r="CC181" i="28"/>
  <c r="CC182" i="28"/>
  <c r="CC180" i="28"/>
  <c r="CC179" i="28"/>
  <c r="CC178" i="28"/>
  <c r="CC177" i="28"/>
  <c r="CC176" i="28"/>
  <c r="CC175" i="28"/>
  <c r="CC174" i="28"/>
  <c r="CC173" i="28"/>
  <c r="CC172" i="28"/>
  <c r="CC171" i="28"/>
  <c r="CC170" i="28"/>
  <c r="CC169" i="28"/>
  <c r="CC168" i="28"/>
  <c r="CC167" i="28"/>
  <c r="CC166" i="28"/>
  <c r="CC165" i="28"/>
  <c r="CC164" i="28"/>
  <c r="CC163" i="28"/>
  <c r="CC162" i="28"/>
  <c r="CC161" i="28"/>
  <c r="CC160" i="28"/>
  <c r="CC159" i="28"/>
  <c r="CC158" i="28"/>
  <c r="CC157" i="28"/>
  <c r="CC156" i="28"/>
  <c r="CC155" i="28"/>
  <c r="CC154" i="28"/>
  <c r="CC153" i="28"/>
  <c r="CC152" i="28"/>
  <c r="CC151" i="28"/>
  <c r="CC150" i="28"/>
  <c r="CC149" i="28"/>
  <c r="CC147" i="28"/>
  <c r="CC148" i="28"/>
  <c r="CC145" i="28"/>
  <c r="CC146" i="28"/>
  <c r="CC144" i="28"/>
  <c r="CC143" i="28"/>
  <c r="CC142" i="28"/>
  <c r="CC141" i="28"/>
  <c r="CC140" i="28"/>
  <c r="CC139" i="28"/>
  <c r="CC138" i="28"/>
  <c r="CC137" i="28"/>
  <c r="CC136" i="28"/>
  <c r="CC135" i="28"/>
  <c r="CC134" i="28"/>
  <c r="CC133" i="28"/>
  <c r="CC132" i="28"/>
  <c r="CC131" i="28"/>
  <c r="CC130" i="28"/>
  <c r="CC129" i="28"/>
  <c r="CC128" i="28"/>
  <c r="CC127" i="28"/>
  <c r="CC126" i="28"/>
  <c r="CC125" i="28"/>
  <c r="CC124" i="28"/>
  <c r="CC123" i="28"/>
  <c r="CC122" i="28"/>
  <c r="CC121" i="28"/>
  <c r="CC120" i="28"/>
  <c r="CC119" i="28"/>
  <c r="CC118" i="28"/>
  <c r="CC117" i="28"/>
  <c r="CC116" i="28"/>
  <c r="CC115" i="28"/>
  <c r="CC114" i="28"/>
  <c r="CC113" i="28"/>
  <c r="CC112" i="28"/>
  <c r="CC111" i="28"/>
  <c r="CC110" i="28"/>
  <c r="CC109" i="28"/>
  <c r="CC108" i="28"/>
  <c r="CC107" i="28"/>
  <c r="CC106" i="28"/>
  <c r="CC105" i="28"/>
  <c r="CC104" i="28"/>
  <c r="CC103" i="28"/>
  <c r="CC102" i="28"/>
  <c r="CC101" i="28"/>
  <c r="CC100" i="28"/>
  <c r="CC99" i="28"/>
  <c r="CC98" i="28"/>
  <c r="CC97" i="28"/>
  <c r="CC96" i="28"/>
  <c r="CC95" i="28"/>
  <c r="CC94" i="28"/>
  <c r="CC93" i="28"/>
  <c r="CC92" i="28"/>
  <c r="CC91" i="28"/>
  <c r="CC90" i="28"/>
  <c r="CC89" i="28"/>
  <c r="CC88" i="28"/>
  <c r="CC87" i="28"/>
  <c r="CC86" i="28"/>
  <c r="CC85" i="28"/>
  <c r="CC84" i="28"/>
  <c r="CC83" i="28"/>
  <c r="CC82" i="28"/>
  <c r="CC81" i="28"/>
  <c r="CC80" i="28"/>
  <c r="CC79" i="28"/>
  <c r="CC78" i="28"/>
  <c r="CC77" i="28"/>
  <c r="CC76" i="28"/>
  <c r="CC74" i="28"/>
  <c r="CC75" i="28"/>
  <c r="CC73" i="28"/>
  <c r="CC72" i="28"/>
  <c r="CC71" i="28"/>
  <c r="CC70" i="28"/>
  <c r="CC69" i="28"/>
  <c r="CC68" i="28"/>
  <c r="CC67" i="28"/>
  <c r="CC66" i="28"/>
  <c r="CC65" i="28"/>
  <c r="CC64" i="28"/>
  <c r="CC63" i="28"/>
  <c r="CC62" i="28"/>
  <c r="CC61" i="28"/>
  <c r="CC60" i="28"/>
  <c r="CC59" i="28"/>
  <c r="CC58" i="28"/>
  <c r="CC57" i="28"/>
  <c r="CC56" i="28"/>
  <c r="CC55" i="28"/>
  <c r="CC54" i="28"/>
  <c r="CC51" i="28"/>
  <c r="CC53" i="28"/>
  <c r="CC52" i="28"/>
  <c r="CC50" i="28"/>
  <c r="CC49" i="28"/>
  <c r="CC48" i="28"/>
  <c r="CC47" i="28"/>
  <c r="CC46" i="28"/>
  <c r="CC45" i="28"/>
  <c r="CC44" i="28"/>
  <c r="CC43" i="28"/>
  <c r="CC42" i="28"/>
  <c r="CC41" i="28"/>
  <c r="CC40" i="28"/>
  <c r="CC39" i="28"/>
  <c r="CC38" i="28"/>
  <c r="CC37" i="28"/>
  <c r="CC36" i="28"/>
  <c r="CC35" i="28"/>
  <c r="CC34" i="28"/>
  <c r="CC33" i="28"/>
  <c r="CC32" i="28"/>
  <c r="CC31" i="28"/>
  <c r="CC30" i="28"/>
  <c r="CC29" i="28"/>
  <c r="CC28" i="28"/>
  <c r="CC27" i="28"/>
  <c r="CC26" i="28"/>
  <c r="CC24" i="28"/>
  <c r="CC25" i="28"/>
  <c r="CC23" i="28"/>
  <c r="CC22" i="28"/>
  <c r="CC21" i="28"/>
  <c r="CC20" i="28"/>
  <c r="CC19" i="28"/>
  <c r="CC18" i="28"/>
  <c r="CC17" i="28"/>
  <c r="CC16" i="28"/>
  <c r="CC15" i="28"/>
  <c r="CC14" i="28"/>
  <c r="CC13" i="28"/>
  <c r="CC12" i="28"/>
  <c r="CC11" i="28"/>
  <c r="CC10" i="28"/>
  <c r="CC9" i="28"/>
  <c r="CC8" i="28"/>
  <c r="CC7" i="28"/>
  <c r="CC6" i="28"/>
  <c r="CC5" i="28"/>
  <c r="CC4" i="28"/>
  <c r="CC3" i="28"/>
  <c r="CC2" i="28"/>
  <c r="AU1473" i="28" l="1"/>
  <c r="BB1473" i="28" s="1"/>
  <c r="AU1474" i="28"/>
  <c r="BB1474" i="28" s="1"/>
  <c r="AU1472" i="28"/>
  <c r="BB1472" i="28" s="1"/>
  <c r="CE1470" i="28"/>
  <c r="CF1470" i="28"/>
  <c r="CG1470" i="28"/>
  <c r="CH1470" i="28"/>
  <c r="CI1470" i="28"/>
  <c r="CJ1470" i="28"/>
  <c r="CK1470" i="28"/>
  <c r="CL1470" i="28"/>
  <c r="CM1470" i="28"/>
  <c r="CN1470" i="28"/>
  <c r="CO1470" i="28"/>
  <c r="CP1470" i="28"/>
  <c r="CQ1470" i="28"/>
  <c r="CR1470" i="28"/>
  <c r="CS1470" i="28"/>
  <c r="CE1471" i="28"/>
  <c r="CF1471" i="28"/>
  <c r="CG1471" i="28"/>
  <c r="CH1471" i="28"/>
  <c r="CI1471" i="28"/>
  <c r="CJ1471" i="28"/>
  <c r="CK1471" i="28"/>
  <c r="CL1471" i="28"/>
  <c r="CM1471" i="28"/>
  <c r="CN1471" i="28"/>
  <c r="CO1471" i="28"/>
  <c r="CP1471" i="28"/>
  <c r="CQ1471" i="28"/>
  <c r="CR1471" i="28"/>
  <c r="CS1471" i="28"/>
  <c r="CF1469" i="28"/>
  <c r="CG1469" i="28"/>
  <c r="CH1469" i="28"/>
  <c r="CI1469" i="28"/>
  <c r="CJ1469" i="28"/>
  <c r="CK1469" i="28"/>
  <c r="CL1469" i="28"/>
  <c r="CM1469" i="28"/>
  <c r="CN1469" i="28"/>
  <c r="CO1469" i="28"/>
  <c r="CP1469" i="28"/>
  <c r="CQ1469" i="28"/>
  <c r="CR1469" i="28"/>
  <c r="CS1469" i="28"/>
  <c r="CE1469" i="28"/>
  <c r="CJ1467" i="28"/>
  <c r="CK1467" i="28"/>
  <c r="CL1467" i="28"/>
  <c r="CM1467" i="28"/>
  <c r="CN1467" i="28"/>
  <c r="CO1467" i="28"/>
  <c r="CP1467" i="28"/>
  <c r="CQ1467" i="28"/>
  <c r="CR1467" i="28"/>
  <c r="CS1467" i="28"/>
  <c r="CT1467" i="28"/>
  <c r="CU1467" i="28"/>
  <c r="CV1467" i="28"/>
  <c r="CW1467" i="28"/>
  <c r="CJ1468" i="28"/>
  <c r="CK1468" i="28"/>
  <c r="CL1468" i="28"/>
  <c r="CM1468" i="28"/>
  <c r="CN1468" i="28"/>
  <c r="CO1468" i="28"/>
  <c r="CP1468" i="28"/>
  <c r="CQ1468" i="28"/>
  <c r="CR1468" i="28"/>
  <c r="CS1468" i="28"/>
  <c r="CT1468" i="28"/>
  <c r="CU1468" i="28"/>
  <c r="CV1468" i="28"/>
  <c r="CW1468" i="28"/>
  <c r="CK1466" i="28"/>
  <c r="CL1466" i="28"/>
  <c r="CM1466" i="28"/>
  <c r="CN1466" i="28"/>
  <c r="CO1466" i="28"/>
  <c r="CP1466" i="28"/>
  <c r="CQ1466" i="28"/>
  <c r="CR1466" i="28"/>
  <c r="CS1466" i="28"/>
  <c r="CT1466" i="28"/>
  <c r="CU1466" i="28"/>
  <c r="CV1466" i="28"/>
  <c r="CW1466" i="28"/>
  <c r="CJ1466" i="28"/>
  <c r="CE1463" i="28"/>
  <c r="CF1463" i="28"/>
  <c r="CG1463" i="28"/>
  <c r="CH1463" i="28"/>
  <c r="CI1463" i="28"/>
  <c r="CJ1463" i="28"/>
  <c r="CK1463" i="28"/>
  <c r="CL1463" i="28"/>
  <c r="CM1463" i="28"/>
  <c r="CN1463" i="28"/>
  <c r="CO1463" i="28"/>
  <c r="CP1463" i="28"/>
  <c r="CQ1463" i="28"/>
  <c r="CR1463" i="28"/>
  <c r="CS1463" i="28"/>
  <c r="CE1464" i="28"/>
  <c r="CF1464" i="28"/>
  <c r="CG1464" i="28"/>
  <c r="CH1464" i="28"/>
  <c r="CI1464" i="28"/>
  <c r="CJ1464" i="28"/>
  <c r="CK1464" i="28"/>
  <c r="CL1464" i="28"/>
  <c r="CM1464" i="28"/>
  <c r="CN1464" i="28"/>
  <c r="CO1464" i="28"/>
  <c r="CP1464" i="28"/>
  <c r="CQ1464" i="28"/>
  <c r="CR1464" i="28"/>
  <c r="CS1464" i="28"/>
  <c r="CE1465" i="28"/>
  <c r="CF1465" i="28"/>
  <c r="CG1465" i="28"/>
  <c r="CH1465" i="28"/>
  <c r="CI1465" i="28"/>
  <c r="CJ1465" i="28"/>
  <c r="CK1465" i="28"/>
  <c r="CL1465" i="28"/>
  <c r="CM1465" i="28"/>
  <c r="CN1465" i="28"/>
  <c r="CO1465" i="28"/>
  <c r="CP1465" i="28"/>
  <c r="CQ1465" i="28"/>
  <c r="CR1465" i="28"/>
  <c r="CS1465" i="28"/>
  <c r="CE1461" i="28"/>
  <c r="CF1461" i="28"/>
  <c r="CG1461" i="28"/>
  <c r="CH1461" i="28"/>
  <c r="CI1461" i="28"/>
  <c r="CJ1461" i="28"/>
  <c r="CK1461" i="28"/>
  <c r="CL1461" i="28"/>
  <c r="CM1461" i="28"/>
  <c r="CN1461" i="28"/>
  <c r="CO1461" i="28"/>
  <c r="CP1461" i="28"/>
  <c r="CQ1461" i="28"/>
  <c r="CR1461" i="28"/>
  <c r="CS1461" i="28"/>
  <c r="CE1462" i="28"/>
  <c r="CF1462" i="28"/>
  <c r="CG1462" i="28"/>
  <c r="CH1462" i="28"/>
  <c r="CI1462" i="28"/>
  <c r="CJ1462" i="28"/>
  <c r="CK1462" i="28"/>
  <c r="CL1462" i="28"/>
  <c r="CM1462" i="28"/>
  <c r="CN1462" i="28"/>
  <c r="CO1462" i="28"/>
  <c r="CP1462" i="28"/>
  <c r="CQ1462" i="28"/>
  <c r="CR1462" i="28"/>
  <c r="CS1462" i="28"/>
  <c r="CF1460" i="28"/>
  <c r="CG1460" i="28"/>
  <c r="CH1460" i="28"/>
  <c r="CI1460" i="28"/>
  <c r="CJ1460" i="28"/>
  <c r="CK1460" i="28"/>
  <c r="CL1460" i="28"/>
  <c r="CM1460" i="28"/>
  <c r="CN1460" i="28"/>
  <c r="CO1460" i="28"/>
  <c r="CP1460" i="28"/>
  <c r="CQ1460" i="28"/>
  <c r="CR1460" i="28"/>
  <c r="CS1460" i="28"/>
  <c r="CE1460" i="28"/>
  <c r="CN1459" i="28"/>
  <c r="CM1459" i="28"/>
  <c r="CL1459" i="28"/>
  <c r="CK1459" i="28"/>
  <c r="CJ1459" i="28"/>
  <c r="CI1459" i="28"/>
  <c r="CH1459" i="28"/>
  <c r="CG1459" i="28"/>
  <c r="CF1459" i="28"/>
  <c r="CE1459" i="28"/>
  <c r="CN1458" i="28"/>
  <c r="CM1458" i="28"/>
  <c r="CL1458" i="28"/>
  <c r="CK1458" i="28"/>
  <c r="CJ1458" i="28"/>
  <c r="CI1458" i="28"/>
  <c r="CH1458" i="28"/>
  <c r="CG1458" i="28"/>
  <c r="CF1458" i="28"/>
  <c r="CE1458" i="28"/>
  <c r="CN1457" i="28"/>
  <c r="CM1457" i="28"/>
  <c r="CL1457" i="28"/>
  <c r="CK1457" i="28"/>
  <c r="CJ1457" i="28"/>
  <c r="CI1457" i="28"/>
  <c r="CH1457" i="28"/>
  <c r="CG1457" i="28"/>
  <c r="CF1457" i="28"/>
  <c r="CE1457" i="28"/>
  <c r="CE1456" i="28"/>
  <c r="CF1456" i="28"/>
  <c r="CG1456" i="28"/>
  <c r="CH1456" i="28"/>
  <c r="CI1456" i="28"/>
  <c r="CJ1456" i="28"/>
  <c r="CK1456" i="28"/>
  <c r="CL1456" i="28"/>
  <c r="CM1456" i="28"/>
  <c r="CN1456" i="28"/>
  <c r="CF1455" i="28"/>
  <c r="CG1455" i="28"/>
  <c r="CH1455" i="28"/>
  <c r="CI1455" i="28"/>
  <c r="CJ1455" i="28"/>
  <c r="CK1455" i="28"/>
  <c r="CL1455" i="28"/>
  <c r="CM1455" i="28"/>
  <c r="CN1455" i="28"/>
  <c r="CE1455" i="28"/>
  <c r="CK1454" i="28"/>
  <c r="CL1454" i="28"/>
  <c r="CM1454" i="28"/>
  <c r="CN1454" i="28"/>
  <c r="CO1454" i="28"/>
  <c r="CP1454" i="28"/>
  <c r="CQ1454" i="28"/>
  <c r="CR1454" i="28"/>
  <c r="CS1454" i="28"/>
  <c r="CT1454" i="28"/>
  <c r="CU1454" i="28"/>
  <c r="CV1454" i="28"/>
  <c r="CW1454" i="28"/>
  <c r="CJ1454" i="28"/>
  <c r="CW1453" i="28"/>
  <c r="CV1453" i="28"/>
  <c r="CU1453" i="28"/>
  <c r="CT1453" i="28"/>
  <c r="CS1453" i="28"/>
  <c r="CR1453" i="28"/>
  <c r="CQ1453" i="28"/>
  <c r="CP1453" i="28"/>
  <c r="CO1453" i="28"/>
  <c r="CJ1452" i="28"/>
  <c r="CK1452" i="28"/>
  <c r="CL1452" i="28"/>
  <c r="CM1452" i="28"/>
  <c r="CN1452" i="28"/>
  <c r="CK1451" i="28"/>
  <c r="CL1451" i="28"/>
  <c r="CM1451" i="28"/>
  <c r="CN1451" i="28"/>
  <c r="CJ1451" i="28"/>
  <c r="CI1452" i="28"/>
  <c r="CH1452" i="28"/>
  <c r="CG1452" i="28"/>
  <c r="CF1452" i="28"/>
  <c r="CE1452" i="28"/>
  <c r="CF1451" i="28"/>
  <c r="CG1451" i="28"/>
  <c r="CH1451" i="28"/>
  <c r="CI1451" i="28"/>
  <c r="CE1451" i="28"/>
  <c r="CD1452" i="28"/>
  <c r="CD1451" i="28"/>
  <c r="CT1449" i="28"/>
  <c r="CU1449" i="28"/>
  <c r="CV1449" i="28"/>
  <c r="CW1449" i="28"/>
  <c r="CT1450" i="28"/>
  <c r="CU1450" i="28"/>
  <c r="CV1450" i="28"/>
  <c r="CW1450" i="28"/>
  <c r="CU1448" i="28"/>
  <c r="CV1448" i="28"/>
  <c r="CW1448" i="28"/>
  <c r="CT1448" i="28"/>
  <c r="CW1447" i="28"/>
  <c r="CV1447" i="28"/>
  <c r="CU1447" i="28"/>
  <c r="CT1447" i="28"/>
  <c r="CS1447" i="28"/>
  <c r="CR1447" i="28"/>
  <c r="CQ1447" i="28"/>
  <c r="CP1447" i="28"/>
  <c r="CO1447" i="28"/>
  <c r="CW1446" i="28"/>
  <c r="CV1446" i="28"/>
  <c r="CU1446" i="28"/>
  <c r="CT1446" i="28"/>
  <c r="CS1446" i="28"/>
  <c r="CR1446" i="28"/>
  <c r="CQ1446" i="28"/>
  <c r="CP1446" i="28"/>
  <c r="CO1446" i="28"/>
  <c r="CW1445" i="28"/>
  <c r="CV1445" i="28"/>
  <c r="CU1445" i="28"/>
  <c r="CT1445" i="28"/>
  <c r="CS1445" i="28"/>
  <c r="CR1445" i="28"/>
  <c r="CQ1445" i="28"/>
  <c r="CP1445" i="28"/>
  <c r="CO1445" i="28"/>
  <c r="CW1444" i="28"/>
  <c r="CV1444" i="28"/>
  <c r="CU1444" i="28"/>
  <c r="CT1444" i="28"/>
  <c r="CS1444" i="28"/>
  <c r="CR1444" i="28"/>
  <c r="CQ1444" i="28"/>
  <c r="CP1444" i="28"/>
  <c r="CO1444" i="28"/>
  <c r="CW1443" i="28"/>
  <c r="CV1443" i="28"/>
  <c r="CU1443" i="28"/>
  <c r="CT1443" i="28"/>
  <c r="CS1443" i="28"/>
  <c r="CR1443" i="28"/>
  <c r="CQ1443" i="28"/>
  <c r="CP1443" i="28"/>
  <c r="CO1443" i="28"/>
  <c r="CW1442" i="28"/>
  <c r="CV1442" i="28"/>
  <c r="CU1442" i="28"/>
  <c r="CT1442" i="28"/>
  <c r="CS1442" i="28"/>
  <c r="CR1442" i="28"/>
  <c r="CQ1442" i="28"/>
  <c r="CP1442" i="28"/>
  <c r="CO1442" i="28"/>
  <c r="CU1441" i="28"/>
  <c r="CV1441" i="28"/>
  <c r="CW1441" i="28"/>
  <c r="CT1441" i="28"/>
  <c r="CW1440" i="28"/>
  <c r="CV1440" i="28"/>
  <c r="CU1440" i="28"/>
  <c r="CT1440" i="28"/>
  <c r="CS1440" i="28"/>
  <c r="CR1440" i="28"/>
  <c r="CQ1440" i="28"/>
  <c r="CP1440" i="28"/>
  <c r="CO1440" i="28"/>
  <c r="CW1439" i="28"/>
  <c r="CV1439" i="28"/>
  <c r="CU1439" i="28"/>
  <c r="CT1439" i="28"/>
  <c r="CS1439" i="28"/>
  <c r="CR1439" i="28"/>
  <c r="CQ1439" i="28"/>
  <c r="CP1439" i="28"/>
  <c r="CO1439" i="28"/>
  <c r="CW1438" i="28"/>
  <c r="CV1438" i="28"/>
  <c r="CU1438" i="28"/>
  <c r="CT1438" i="28"/>
  <c r="CS1438" i="28"/>
  <c r="CR1438" i="28"/>
  <c r="CQ1438" i="28"/>
  <c r="CP1438" i="28"/>
  <c r="CO1438" i="28"/>
  <c r="CS1437" i="28"/>
  <c r="CR1437" i="28"/>
  <c r="CQ1437" i="28"/>
  <c r="CP1437" i="28"/>
  <c r="CO1437" i="28"/>
  <c r="CN1437" i="28"/>
  <c r="CM1437" i="28"/>
  <c r="CL1437" i="28"/>
  <c r="CK1437" i="28"/>
  <c r="CJ1437" i="28"/>
  <c r="CI1437" i="28"/>
  <c r="CH1437" i="28"/>
  <c r="CG1437" i="28"/>
  <c r="CF1437" i="28"/>
  <c r="CE1437" i="28"/>
  <c r="CS1436" i="28"/>
  <c r="CR1436" i="28"/>
  <c r="CQ1436" i="28"/>
  <c r="CP1436" i="28"/>
  <c r="CO1436" i="28"/>
  <c r="CN1436" i="28"/>
  <c r="CM1436" i="28"/>
  <c r="CL1436" i="28"/>
  <c r="CK1436" i="28"/>
  <c r="CJ1436" i="28"/>
  <c r="CI1436" i="28"/>
  <c r="CH1436" i="28"/>
  <c r="CG1436" i="28"/>
  <c r="CF1436" i="28"/>
  <c r="CE1436" i="28"/>
  <c r="CS1435" i="28"/>
  <c r="CR1435" i="28"/>
  <c r="CQ1435" i="28"/>
  <c r="CP1435" i="28"/>
  <c r="CO1435" i="28"/>
  <c r="CN1435" i="28"/>
  <c r="CM1435" i="28"/>
  <c r="CL1435" i="28"/>
  <c r="CK1435" i="28"/>
  <c r="CJ1435" i="28"/>
  <c r="CI1435" i="28"/>
  <c r="CH1435" i="28"/>
  <c r="CG1435" i="28"/>
  <c r="CF1435" i="28"/>
  <c r="CE1435" i="28"/>
  <c r="CW1434" i="28"/>
  <c r="CV1434" i="28"/>
  <c r="CU1434" i="28"/>
  <c r="CT1434" i="28"/>
  <c r="CS1434" i="28"/>
  <c r="CR1434" i="28"/>
  <c r="CQ1434" i="28"/>
  <c r="CP1434" i="28"/>
  <c r="CO1434" i="28"/>
  <c r="CN1434" i="28"/>
  <c r="CM1434" i="28"/>
  <c r="CL1434" i="28"/>
  <c r="CK1434" i="28"/>
  <c r="CJ1434" i="28"/>
  <c r="CW1433" i="28"/>
  <c r="CV1433" i="28"/>
  <c r="CU1433" i="28"/>
  <c r="CT1433" i="28"/>
  <c r="CS1433" i="28"/>
  <c r="CR1433" i="28"/>
  <c r="CQ1433" i="28"/>
  <c r="CP1433" i="28"/>
  <c r="CO1433" i="28"/>
  <c r="CN1433" i="28"/>
  <c r="CM1433" i="28"/>
  <c r="CL1433" i="28"/>
  <c r="CK1433" i="28"/>
  <c r="CJ1433" i="28"/>
  <c r="CW1432" i="28"/>
  <c r="CV1432" i="28"/>
  <c r="CU1432" i="28"/>
  <c r="CT1432" i="28"/>
  <c r="CS1432" i="28"/>
  <c r="CR1432" i="28"/>
  <c r="CQ1432" i="28"/>
  <c r="CP1432" i="28"/>
  <c r="CO1432" i="28"/>
  <c r="CN1432" i="28"/>
  <c r="CM1432" i="28"/>
  <c r="CL1432" i="28"/>
  <c r="CK1432" i="28"/>
  <c r="CJ1432" i="28"/>
  <c r="CE1430" i="28"/>
  <c r="CF1430" i="28"/>
  <c r="CG1430" i="28"/>
  <c r="CH1430" i="28"/>
  <c r="CI1430" i="28"/>
  <c r="CJ1430" i="28"/>
  <c r="CK1430" i="28"/>
  <c r="CL1430" i="28"/>
  <c r="CM1430" i="28"/>
  <c r="CN1430" i="28"/>
  <c r="CE1431" i="28"/>
  <c r="CF1431" i="28"/>
  <c r="CG1431" i="28"/>
  <c r="CH1431" i="28"/>
  <c r="CI1431" i="28"/>
  <c r="CJ1431" i="28"/>
  <c r="CK1431" i="28"/>
  <c r="CL1431" i="28"/>
  <c r="CM1431" i="28"/>
  <c r="CN1431" i="28"/>
  <c r="CF1429" i="28"/>
  <c r="CG1429" i="28"/>
  <c r="CH1429" i="28"/>
  <c r="CI1429" i="28"/>
  <c r="CJ1429" i="28"/>
  <c r="CK1429" i="28"/>
  <c r="CL1429" i="28"/>
  <c r="CM1429" i="28"/>
  <c r="CN1429" i="28"/>
  <c r="CE1429" i="28"/>
  <c r="CW1428" i="28"/>
  <c r="CV1428" i="28"/>
  <c r="CU1428" i="28"/>
  <c r="CT1428" i="28"/>
  <c r="CS1428" i="28"/>
  <c r="CR1428" i="28"/>
  <c r="CQ1428" i="28"/>
  <c r="CP1428" i="28"/>
  <c r="CO1428" i="28"/>
  <c r="CN1428" i="28"/>
  <c r="CM1428" i="28"/>
  <c r="CL1428" i="28"/>
  <c r="CK1428" i="28"/>
  <c r="CJ1428" i="28"/>
  <c r="CW1427" i="28"/>
  <c r="CV1427" i="28"/>
  <c r="CU1427" i="28"/>
  <c r="CT1427" i="28"/>
  <c r="CS1427" i="28"/>
  <c r="CR1427" i="28"/>
  <c r="CQ1427" i="28"/>
  <c r="CP1427" i="28"/>
  <c r="CO1427" i="28"/>
  <c r="CN1427" i="28"/>
  <c r="CM1427" i="28"/>
  <c r="CL1427" i="28"/>
  <c r="CK1427" i="28"/>
  <c r="CJ1427" i="28"/>
  <c r="CW1426" i="28"/>
  <c r="CV1426" i="28"/>
  <c r="CU1426" i="28"/>
  <c r="CT1426" i="28"/>
  <c r="CS1426" i="28"/>
  <c r="CR1426" i="28"/>
  <c r="CQ1426" i="28"/>
  <c r="CP1426" i="28"/>
  <c r="CO1426" i="28"/>
  <c r="CN1426" i="28"/>
  <c r="CM1426" i="28"/>
  <c r="CL1426" i="28"/>
  <c r="CK1426" i="28"/>
  <c r="CJ1426" i="28"/>
  <c r="CW1416" i="28"/>
  <c r="CV1416" i="28"/>
  <c r="CU1416" i="28"/>
  <c r="CT1416" i="28"/>
  <c r="CS1416" i="28"/>
  <c r="CR1416" i="28"/>
  <c r="CQ1416" i="28"/>
  <c r="CP1416" i="28"/>
  <c r="CO1416" i="28"/>
  <c r="CN1416" i="28"/>
  <c r="CM1416" i="28"/>
  <c r="CL1416" i="28"/>
  <c r="CK1416" i="28"/>
  <c r="CJ1416" i="28"/>
  <c r="CW1415" i="28"/>
  <c r="CV1415" i="28"/>
  <c r="CU1415" i="28"/>
  <c r="CT1415" i="28"/>
  <c r="CS1415" i="28"/>
  <c r="CR1415" i="28"/>
  <c r="CQ1415" i="28"/>
  <c r="CP1415" i="28"/>
  <c r="CO1415" i="28"/>
  <c r="CN1415" i="28"/>
  <c r="CM1415" i="28"/>
  <c r="CL1415" i="28"/>
  <c r="CK1415" i="28"/>
  <c r="CJ1415" i="28"/>
  <c r="CW1414" i="28"/>
  <c r="CV1414" i="28"/>
  <c r="CU1414" i="28"/>
  <c r="CT1414" i="28"/>
  <c r="CS1414" i="28"/>
  <c r="CR1414" i="28"/>
  <c r="CQ1414" i="28"/>
  <c r="CP1414" i="28"/>
  <c r="CO1414" i="28"/>
  <c r="CN1414" i="28"/>
  <c r="CM1414" i="28"/>
  <c r="CL1414" i="28"/>
  <c r="CK1414" i="28"/>
  <c r="CJ1414" i="28"/>
  <c r="CE1412" i="28"/>
  <c r="CF1412" i="28"/>
  <c r="CG1412" i="28"/>
  <c r="CH1412" i="28"/>
  <c r="CI1412" i="28"/>
  <c r="CJ1412" i="28"/>
  <c r="CK1412" i="28"/>
  <c r="CL1412" i="28"/>
  <c r="CM1412" i="28"/>
  <c r="CN1412" i="28"/>
  <c r="CE1413" i="28"/>
  <c r="CF1413" i="28"/>
  <c r="CG1413" i="28"/>
  <c r="CH1413" i="28"/>
  <c r="CI1413" i="28"/>
  <c r="CJ1413" i="28"/>
  <c r="CK1413" i="28"/>
  <c r="CL1413" i="28"/>
  <c r="CM1413" i="28"/>
  <c r="CN1413" i="28"/>
  <c r="CF1411" i="28"/>
  <c r="CG1411" i="28"/>
  <c r="CH1411" i="28"/>
  <c r="CI1411" i="28"/>
  <c r="CJ1411" i="28"/>
  <c r="CK1411" i="28"/>
  <c r="CL1411" i="28"/>
  <c r="CM1411" i="28"/>
  <c r="CN1411" i="28"/>
  <c r="CE1411" i="28"/>
  <c r="CJ1408" i="28"/>
  <c r="CK1408" i="28"/>
  <c r="CL1408" i="28"/>
  <c r="CM1408" i="28"/>
  <c r="CN1408" i="28"/>
  <c r="CO1408" i="28"/>
  <c r="CP1408" i="28"/>
  <c r="CQ1408" i="28"/>
  <c r="CR1408" i="28"/>
  <c r="CS1408" i="28"/>
  <c r="CT1408" i="28"/>
  <c r="CU1408" i="28"/>
  <c r="CV1408" i="28"/>
  <c r="CW1408" i="28"/>
  <c r="CJ1409" i="28"/>
  <c r="CK1409" i="28"/>
  <c r="CL1409" i="28"/>
  <c r="CM1409" i="28"/>
  <c r="CN1409" i="28"/>
  <c r="CO1409" i="28"/>
  <c r="CP1409" i="28"/>
  <c r="CQ1409" i="28"/>
  <c r="CR1409" i="28"/>
  <c r="CS1409" i="28"/>
  <c r="CT1409" i="28"/>
  <c r="CU1409" i="28"/>
  <c r="CV1409" i="28"/>
  <c r="CW1409" i="28"/>
  <c r="CJ1410" i="28"/>
  <c r="CK1410" i="28"/>
  <c r="CL1410" i="28"/>
  <c r="CM1410" i="28"/>
  <c r="CN1410" i="28"/>
  <c r="CO1410" i="28"/>
  <c r="CP1410" i="28"/>
  <c r="CQ1410" i="28"/>
  <c r="CR1410" i="28"/>
  <c r="CS1410" i="28"/>
  <c r="CT1410" i="28"/>
  <c r="CU1410" i="28"/>
  <c r="CV1410" i="28"/>
  <c r="CW1410" i="28"/>
  <c r="CJ1407" i="28"/>
  <c r="CK1407" i="28"/>
  <c r="CL1407" i="28"/>
  <c r="CM1407" i="28"/>
  <c r="CN1407" i="28"/>
  <c r="CO1407" i="28"/>
  <c r="CP1407" i="28"/>
  <c r="CQ1407" i="28"/>
  <c r="CR1407" i="28"/>
  <c r="CS1407" i="28"/>
  <c r="CT1407" i="28"/>
  <c r="CU1407" i="28"/>
  <c r="CV1407" i="28"/>
  <c r="CW1407" i="28"/>
  <c r="CJ1405" i="28"/>
  <c r="CK1405" i="28"/>
  <c r="CL1405" i="28"/>
  <c r="CM1405" i="28"/>
  <c r="CN1405" i="28"/>
  <c r="CO1405" i="28"/>
  <c r="CP1405" i="28"/>
  <c r="CQ1405" i="28"/>
  <c r="CR1405" i="28"/>
  <c r="CS1405" i="28"/>
  <c r="CT1405" i="28"/>
  <c r="CU1405" i="28"/>
  <c r="CV1405" i="28"/>
  <c r="CW1405" i="28"/>
  <c r="CW1406" i="28"/>
  <c r="CV1406" i="28"/>
  <c r="CU1406" i="28"/>
  <c r="CT1406" i="28"/>
  <c r="CS1406" i="28"/>
  <c r="CR1406" i="28"/>
  <c r="CQ1406" i="28"/>
  <c r="CP1406" i="28"/>
  <c r="CO1406" i="28"/>
  <c r="CN1406" i="28"/>
  <c r="CM1406" i="28"/>
  <c r="CL1406" i="28"/>
  <c r="CK1406" i="28"/>
  <c r="CJ1406" i="28"/>
  <c r="CW1404" i="28"/>
  <c r="CV1404" i="28"/>
  <c r="CU1404" i="28"/>
  <c r="CT1404" i="28"/>
  <c r="CS1404" i="28"/>
  <c r="CR1404" i="28"/>
  <c r="CQ1404" i="28"/>
  <c r="CP1404" i="28"/>
  <c r="CO1404" i="28"/>
  <c r="CE1401" i="28"/>
  <c r="CF1401" i="28"/>
  <c r="CG1401" i="28"/>
  <c r="CH1401" i="28"/>
  <c r="CI1401" i="28"/>
  <c r="CJ1401" i="28"/>
  <c r="CK1401" i="28"/>
  <c r="CL1401" i="28"/>
  <c r="CM1401" i="28"/>
  <c r="CN1401" i="28"/>
  <c r="CO1401" i="28"/>
  <c r="CP1401" i="28"/>
  <c r="CQ1401" i="28"/>
  <c r="CR1401" i="28"/>
  <c r="CS1401" i="28"/>
  <c r="CE1402" i="28"/>
  <c r="CF1402" i="28"/>
  <c r="CG1402" i="28"/>
  <c r="CH1402" i="28"/>
  <c r="CI1402" i="28"/>
  <c r="CJ1402" i="28"/>
  <c r="CK1402" i="28"/>
  <c r="CL1402" i="28"/>
  <c r="CM1402" i="28"/>
  <c r="CN1402" i="28"/>
  <c r="CO1402" i="28"/>
  <c r="CP1402" i="28"/>
  <c r="CQ1402" i="28"/>
  <c r="CR1402" i="28"/>
  <c r="CS1402" i="28"/>
  <c r="CE1403" i="28"/>
  <c r="CF1403" i="28"/>
  <c r="CG1403" i="28"/>
  <c r="CH1403" i="28"/>
  <c r="CI1403" i="28"/>
  <c r="CJ1403" i="28"/>
  <c r="CK1403" i="28"/>
  <c r="CL1403" i="28"/>
  <c r="CM1403" i="28"/>
  <c r="CN1403" i="28"/>
  <c r="CO1403" i="28"/>
  <c r="CP1403" i="28"/>
  <c r="CQ1403" i="28"/>
  <c r="CR1403" i="28"/>
  <c r="CS1403" i="28"/>
  <c r="CE1398" i="28"/>
  <c r="CF1398" i="28"/>
  <c r="CG1398" i="28"/>
  <c r="CH1398" i="28"/>
  <c r="CI1398" i="28"/>
  <c r="CJ1398" i="28"/>
  <c r="CK1398" i="28"/>
  <c r="CL1398" i="28"/>
  <c r="CM1398" i="28"/>
  <c r="CN1398" i="28"/>
  <c r="CO1398" i="28"/>
  <c r="CP1398" i="28"/>
  <c r="CQ1398" i="28"/>
  <c r="CR1398" i="28"/>
  <c r="CS1398" i="28"/>
  <c r="CE1399" i="28"/>
  <c r="CF1399" i="28"/>
  <c r="CG1399" i="28"/>
  <c r="CH1399" i="28"/>
  <c r="CI1399" i="28"/>
  <c r="CJ1399" i="28"/>
  <c r="CK1399" i="28"/>
  <c r="CL1399" i="28"/>
  <c r="CM1399" i="28"/>
  <c r="CN1399" i="28"/>
  <c r="CO1399" i="28"/>
  <c r="CP1399" i="28"/>
  <c r="CQ1399" i="28"/>
  <c r="CR1399" i="28"/>
  <c r="CS1399" i="28"/>
  <c r="CE1400" i="28"/>
  <c r="CF1400" i="28"/>
  <c r="CG1400" i="28"/>
  <c r="CH1400" i="28"/>
  <c r="CI1400" i="28"/>
  <c r="CJ1400" i="28"/>
  <c r="CK1400" i="28"/>
  <c r="CL1400" i="28"/>
  <c r="CM1400" i="28"/>
  <c r="CN1400" i="28"/>
  <c r="CO1400" i="28"/>
  <c r="CP1400" i="28"/>
  <c r="CQ1400" i="28"/>
  <c r="CR1400" i="28"/>
  <c r="CS1400" i="28"/>
  <c r="CE1395" i="28"/>
  <c r="CF1395" i="28"/>
  <c r="CG1395" i="28"/>
  <c r="CH1395" i="28"/>
  <c r="CI1395" i="28"/>
  <c r="CJ1395" i="28"/>
  <c r="CK1395" i="28"/>
  <c r="CL1395" i="28"/>
  <c r="CM1395" i="28"/>
  <c r="CN1395" i="28"/>
  <c r="CO1395" i="28"/>
  <c r="CP1395" i="28"/>
  <c r="CQ1395" i="28"/>
  <c r="CR1395" i="28"/>
  <c r="CS1395" i="28"/>
  <c r="CE1396" i="28"/>
  <c r="CF1396" i="28"/>
  <c r="CG1396" i="28"/>
  <c r="CH1396" i="28"/>
  <c r="CI1396" i="28"/>
  <c r="CJ1396" i="28"/>
  <c r="CK1396" i="28"/>
  <c r="CL1396" i="28"/>
  <c r="CM1396" i="28"/>
  <c r="CN1396" i="28"/>
  <c r="CO1396" i="28"/>
  <c r="CP1396" i="28"/>
  <c r="CQ1396" i="28"/>
  <c r="CR1396" i="28"/>
  <c r="CS1396" i="28"/>
  <c r="CF1397" i="28"/>
  <c r="CG1397" i="28"/>
  <c r="CH1397" i="28"/>
  <c r="CI1397" i="28"/>
  <c r="CJ1397" i="28"/>
  <c r="CK1397" i="28"/>
  <c r="CL1397" i="28"/>
  <c r="CM1397" i="28"/>
  <c r="CN1397" i="28"/>
  <c r="CO1397" i="28"/>
  <c r="CP1397" i="28"/>
  <c r="CQ1397" i="28"/>
  <c r="CR1397" i="28"/>
  <c r="CS1397" i="28"/>
  <c r="CE1397" i="28"/>
  <c r="CE1392" i="28"/>
  <c r="CF1392" i="28"/>
  <c r="CG1392" i="28"/>
  <c r="CH1392" i="28"/>
  <c r="CI1392" i="28"/>
  <c r="CE1393" i="28"/>
  <c r="CF1393" i="28"/>
  <c r="CG1393" i="28"/>
  <c r="CH1393" i="28"/>
  <c r="CI1393" i="28"/>
  <c r="CF1394" i="28"/>
  <c r="CG1394" i="28"/>
  <c r="CH1394" i="28"/>
  <c r="CI1394" i="28"/>
  <c r="CE1394" i="28"/>
  <c r="CO1391" i="28"/>
  <c r="CP1391" i="28"/>
  <c r="CQ1391" i="28"/>
  <c r="CR1391" i="28"/>
  <c r="CS1391" i="28"/>
  <c r="CT1391" i="28"/>
  <c r="CU1391" i="28"/>
  <c r="CV1391" i="28"/>
  <c r="CW1391" i="28"/>
  <c r="CW1390" i="28"/>
  <c r="CV1390" i="28"/>
  <c r="CU1390" i="28"/>
  <c r="CT1390" i="28"/>
  <c r="CS1390" i="28"/>
  <c r="CR1390" i="28"/>
  <c r="CQ1390" i="28"/>
  <c r="CP1390" i="28"/>
  <c r="CO1390" i="28"/>
  <c r="CW1389" i="28"/>
  <c r="CV1389" i="28"/>
  <c r="CU1389" i="28"/>
  <c r="CT1389" i="28"/>
  <c r="CS1389" i="28"/>
  <c r="CR1389" i="28"/>
  <c r="CQ1389" i="28"/>
  <c r="CP1389" i="28"/>
  <c r="CO1389" i="28"/>
  <c r="CW1388" i="28"/>
  <c r="CV1388" i="28"/>
  <c r="CU1388" i="28"/>
  <c r="CT1388" i="28"/>
  <c r="CS1388" i="28"/>
  <c r="CR1388" i="28"/>
  <c r="CQ1388" i="28"/>
  <c r="CP1388" i="28"/>
  <c r="CO1388" i="28"/>
  <c r="CW1387" i="28"/>
  <c r="CV1387" i="28"/>
  <c r="CU1387" i="28"/>
  <c r="CT1387" i="28"/>
  <c r="CS1387" i="28"/>
  <c r="CR1387" i="28"/>
  <c r="CQ1387" i="28"/>
  <c r="CP1387" i="28"/>
  <c r="CO1387" i="28"/>
  <c r="CN1387" i="28"/>
  <c r="CM1387" i="28"/>
  <c r="CL1387" i="28"/>
  <c r="CK1387" i="28"/>
  <c r="CJ1387" i="28"/>
  <c r="CW1386" i="28"/>
  <c r="CV1386" i="28"/>
  <c r="CU1386" i="28"/>
  <c r="CT1386" i="28"/>
  <c r="CS1386" i="28"/>
  <c r="CR1386" i="28"/>
  <c r="CQ1386" i="28"/>
  <c r="CP1386" i="28"/>
  <c r="CO1386" i="28"/>
  <c r="CN1386" i="28"/>
  <c r="CM1386" i="28"/>
  <c r="CL1386" i="28"/>
  <c r="CK1386" i="28"/>
  <c r="CJ1386" i="28"/>
  <c r="CW1385" i="28"/>
  <c r="CV1385" i="28"/>
  <c r="CU1385" i="28"/>
  <c r="CT1385" i="28"/>
  <c r="CS1385" i="28"/>
  <c r="CR1385" i="28"/>
  <c r="CQ1385" i="28"/>
  <c r="CP1385" i="28"/>
  <c r="CO1385" i="28"/>
  <c r="CN1385" i="28"/>
  <c r="CM1385" i="28"/>
  <c r="CL1385" i="28"/>
  <c r="CK1385" i="28"/>
  <c r="CJ1385" i="28"/>
  <c r="CW1383" i="28"/>
  <c r="CV1383" i="28"/>
  <c r="CU1383" i="28"/>
  <c r="CT1383" i="28"/>
  <c r="CS1383" i="28"/>
  <c r="CR1383" i="28"/>
  <c r="CQ1383" i="28"/>
  <c r="CP1383" i="28"/>
  <c r="CO1383" i="28"/>
  <c r="CW1382" i="28"/>
  <c r="CV1382" i="28"/>
  <c r="CU1382" i="28"/>
  <c r="CT1382" i="28"/>
  <c r="CS1382" i="28"/>
  <c r="CR1382" i="28"/>
  <c r="CQ1382" i="28"/>
  <c r="CP1382" i="28"/>
  <c r="CO1382" i="28"/>
  <c r="CW1384" i="28"/>
  <c r="CV1384" i="28"/>
  <c r="CU1384" i="28"/>
  <c r="CT1384" i="28"/>
  <c r="CS1384" i="28"/>
  <c r="CR1384" i="28"/>
  <c r="CQ1384" i="28"/>
  <c r="CP1384" i="28"/>
  <c r="CO1384" i="28"/>
  <c r="CP1371" i="28"/>
  <c r="CQ1371" i="28"/>
  <c r="CR1371" i="28"/>
  <c r="CS1371" i="28"/>
  <c r="CT1371" i="28"/>
  <c r="CU1371" i="28"/>
  <c r="CV1371" i="28"/>
  <c r="CW1371" i="28"/>
  <c r="CO1371" i="28"/>
  <c r="CJ1369" i="28"/>
  <c r="CK1369" i="28"/>
  <c r="CL1369" i="28"/>
  <c r="CM1369" i="28"/>
  <c r="CN1369" i="28"/>
  <c r="CO1369" i="28"/>
  <c r="CP1369" i="28"/>
  <c r="CQ1369" i="28"/>
  <c r="CR1369" i="28"/>
  <c r="CS1369" i="28"/>
  <c r="CT1369" i="28"/>
  <c r="CU1369" i="28"/>
  <c r="CV1369" i="28"/>
  <c r="CW1369" i="28"/>
  <c r="CJ1370" i="28"/>
  <c r="CK1370" i="28"/>
  <c r="CL1370" i="28"/>
  <c r="CM1370" i="28"/>
  <c r="CN1370" i="28"/>
  <c r="CO1370" i="28"/>
  <c r="CP1370" i="28"/>
  <c r="CQ1370" i="28"/>
  <c r="CR1370" i="28"/>
  <c r="CS1370" i="28"/>
  <c r="CT1370" i="28"/>
  <c r="CU1370" i="28"/>
  <c r="CV1370" i="28"/>
  <c r="CW1370" i="28"/>
  <c r="CK1368" i="28"/>
  <c r="CL1368" i="28"/>
  <c r="CM1368" i="28"/>
  <c r="CN1368" i="28"/>
  <c r="CO1368" i="28"/>
  <c r="CP1368" i="28"/>
  <c r="CQ1368" i="28"/>
  <c r="CR1368" i="28"/>
  <c r="CS1368" i="28"/>
  <c r="CT1368" i="28"/>
  <c r="CU1368" i="28"/>
  <c r="CV1368" i="28"/>
  <c r="CW1368" i="28"/>
  <c r="CJ1368" i="28"/>
  <c r="CP1367" i="28"/>
  <c r="CQ1367" i="28"/>
  <c r="CR1367" i="28"/>
  <c r="CS1367" i="28"/>
  <c r="CT1367" i="28"/>
  <c r="CU1367" i="28"/>
  <c r="CV1367" i="28"/>
  <c r="CW1367" i="28"/>
  <c r="CO1367" i="28"/>
  <c r="CP1366" i="28"/>
  <c r="CQ1366" i="28"/>
  <c r="CR1366" i="28"/>
  <c r="CS1366" i="28"/>
  <c r="CT1366" i="28"/>
  <c r="CU1366" i="28"/>
  <c r="CV1366" i="28"/>
  <c r="CW1366" i="28"/>
  <c r="CO1366" i="28"/>
  <c r="CJ1364" i="28"/>
  <c r="CK1364" i="28"/>
  <c r="CL1364" i="28"/>
  <c r="CM1364" i="28"/>
  <c r="CN1364" i="28"/>
  <c r="CO1364" i="28"/>
  <c r="CP1364" i="28"/>
  <c r="CQ1364" i="28"/>
  <c r="CR1364" i="28"/>
  <c r="CS1364" i="28"/>
  <c r="CT1364" i="28"/>
  <c r="CU1364" i="28"/>
  <c r="CV1364" i="28"/>
  <c r="CW1364" i="28"/>
  <c r="CJ1365" i="28"/>
  <c r="CK1365" i="28"/>
  <c r="CL1365" i="28"/>
  <c r="CM1365" i="28"/>
  <c r="CN1365" i="28"/>
  <c r="CO1365" i="28"/>
  <c r="CP1365" i="28"/>
  <c r="CQ1365" i="28"/>
  <c r="CR1365" i="28"/>
  <c r="CS1365" i="28"/>
  <c r="CT1365" i="28"/>
  <c r="CU1365" i="28"/>
  <c r="CV1365" i="28"/>
  <c r="CW1365" i="28"/>
  <c r="CK1363" i="28"/>
  <c r="CL1363" i="28"/>
  <c r="CM1363" i="28"/>
  <c r="CN1363" i="28"/>
  <c r="CO1363" i="28"/>
  <c r="CP1363" i="28"/>
  <c r="CQ1363" i="28"/>
  <c r="CR1363" i="28"/>
  <c r="CS1363" i="28"/>
  <c r="CT1363" i="28"/>
  <c r="CU1363" i="28"/>
  <c r="CV1363" i="28"/>
  <c r="CW1363" i="28"/>
  <c r="CJ1363" i="28"/>
  <c r="CP1362" i="28"/>
  <c r="CQ1362" i="28"/>
  <c r="CR1362" i="28"/>
  <c r="CS1362" i="28"/>
  <c r="CT1362" i="28"/>
  <c r="CU1362" i="28"/>
  <c r="CV1362" i="28"/>
  <c r="CW1362" i="28"/>
  <c r="CO1362" i="28"/>
  <c r="CK1380" i="28"/>
  <c r="CJ1380" i="28"/>
  <c r="CK1381" i="28"/>
  <c r="CJ1381" i="28"/>
  <c r="CI1380" i="28"/>
  <c r="CI1381" i="28"/>
  <c r="CK1378" i="28"/>
  <c r="CJ1378" i="28"/>
  <c r="CI1378" i="28"/>
  <c r="CK1379" i="28"/>
  <c r="CJ1379" i="28"/>
  <c r="CI1379" i="28"/>
  <c r="CD536" i="28"/>
  <c r="CD441" i="28"/>
  <c r="CD471" i="28"/>
  <c r="CK1422" i="28"/>
  <c r="CK1421" i="28"/>
  <c r="CK1420" i="28"/>
  <c r="CN412" i="28"/>
  <c r="CN414" i="28"/>
  <c r="CN413" i="28"/>
  <c r="CM432" i="28"/>
  <c r="CM430" i="28"/>
  <c r="CM431" i="28"/>
  <c r="CL428" i="28"/>
  <c r="CL429" i="28"/>
  <c r="CL427" i="28"/>
  <c r="CK425" i="28"/>
  <c r="CK426" i="28"/>
  <c r="CK424" i="28"/>
  <c r="CI419" i="28"/>
  <c r="CI420" i="28"/>
  <c r="CI418" i="28"/>
  <c r="CI416" i="28"/>
  <c r="CI417" i="28"/>
  <c r="CI415" i="28"/>
  <c r="CH422" i="28"/>
  <c r="CH423" i="28"/>
  <c r="CH421" i="28"/>
  <c r="CG1177" i="28"/>
  <c r="CG1178" i="28"/>
  <c r="CN349" i="28"/>
  <c r="CM348" i="28"/>
  <c r="CM347" i="28"/>
  <c r="CM346" i="28"/>
  <c r="CM345" i="28"/>
  <c r="CM343" i="28"/>
  <c r="CM344" i="28"/>
  <c r="CL365" i="28"/>
  <c r="CL364" i="28"/>
  <c r="CL363" i="28"/>
  <c r="CL362" i="28"/>
  <c r="CN342" i="28"/>
  <c r="CO341" i="28"/>
  <c r="CO340" i="28"/>
  <c r="CM339" i="28"/>
  <c r="CN338" i="28"/>
  <c r="CM337" i="28"/>
  <c r="CF350" i="28"/>
  <c r="CF359" i="28"/>
  <c r="CF358" i="28"/>
  <c r="CF357" i="28"/>
  <c r="CF355" i="28"/>
  <c r="CF353" i="28"/>
  <c r="CF356" i="28"/>
  <c r="CF354" i="28"/>
  <c r="CF361" i="28"/>
  <c r="CG351" i="28"/>
  <c r="CG360" i="28"/>
  <c r="CE352" i="28"/>
  <c r="CH1425" i="28"/>
  <c r="CH1424" i="28"/>
  <c r="CH1423" i="28"/>
  <c r="CG253" i="28"/>
  <c r="CG254" i="28"/>
  <c r="CG252" i="28"/>
  <c r="CK1377" i="28"/>
  <c r="CK1376" i="28"/>
  <c r="CK1375" i="28"/>
  <c r="W6" i="69" l="1"/>
  <c r="X6" i="69"/>
  <c r="V6" i="69"/>
  <c r="T6" i="69"/>
  <c r="U6" i="69"/>
  <c r="CY1368" i="28"/>
  <c r="CY1454" i="28"/>
  <c r="CY1466" i="28"/>
  <c r="CY1379" i="28"/>
  <c r="CY1381" i="28"/>
  <c r="CY1406" i="28"/>
  <c r="CY1414" i="28"/>
  <c r="CY1415" i="28"/>
  <c r="CY1416" i="28"/>
  <c r="CY1426" i="28"/>
  <c r="CY1427" i="28"/>
  <c r="CY1428" i="28"/>
  <c r="CY1432" i="28"/>
  <c r="CY1433" i="28"/>
  <c r="CY1434" i="28"/>
  <c r="CY1375" i="28"/>
  <c r="CY1377" i="28"/>
  <c r="CY254" i="28"/>
  <c r="CX254" i="28"/>
  <c r="CY1423" i="28"/>
  <c r="CX1423" i="28"/>
  <c r="CY1425" i="28"/>
  <c r="CX1425" i="28"/>
  <c r="CY360" i="28"/>
  <c r="CX360" i="28"/>
  <c r="CY361" i="28"/>
  <c r="CX361" i="28"/>
  <c r="CY356" i="28"/>
  <c r="CX356" i="28"/>
  <c r="CY355" i="28"/>
  <c r="CX355" i="28"/>
  <c r="CY358" i="28"/>
  <c r="CX358" i="28"/>
  <c r="CY350" i="28"/>
  <c r="CX350" i="28"/>
  <c r="CY363" i="28"/>
  <c r="CY365" i="28"/>
  <c r="CY343" i="28"/>
  <c r="CY346" i="28"/>
  <c r="CY348" i="28"/>
  <c r="CY1178" i="28"/>
  <c r="CX1178" i="28"/>
  <c r="CY421" i="28"/>
  <c r="CX421" i="28"/>
  <c r="CY422" i="28"/>
  <c r="CX422" i="28"/>
  <c r="CY417" i="28"/>
  <c r="CY418" i="28"/>
  <c r="CY419" i="28"/>
  <c r="CY426" i="28"/>
  <c r="CY427" i="28"/>
  <c r="CY428" i="28"/>
  <c r="CY430" i="28"/>
  <c r="CY1421" i="28"/>
  <c r="CY471" i="28"/>
  <c r="CX471" i="28"/>
  <c r="CY536" i="28"/>
  <c r="CX536" i="28"/>
  <c r="CY1378" i="28"/>
  <c r="CY1380" i="28"/>
  <c r="CY1363" i="28"/>
  <c r="CY1385" i="28"/>
  <c r="CY1386" i="28"/>
  <c r="CY1387" i="28"/>
  <c r="CY1394" i="28"/>
  <c r="CX1394" i="28"/>
  <c r="CY1392" i="28"/>
  <c r="CX1392" i="28"/>
  <c r="CY1396" i="28"/>
  <c r="CX1396" i="28"/>
  <c r="CY1400" i="28"/>
  <c r="CX1400" i="28"/>
  <c r="CY1398" i="28"/>
  <c r="CX1398" i="28"/>
  <c r="CY1402" i="28"/>
  <c r="CX1402" i="28"/>
  <c r="CY1405" i="28"/>
  <c r="CY1407" i="28"/>
  <c r="CY1410" i="28"/>
  <c r="CY1409" i="28"/>
  <c r="CY1408" i="28"/>
  <c r="CY1413" i="28"/>
  <c r="CX1413" i="28"/>
  <c r="CY1412" i="28"/>
  <c r="CX1412" i="28"/>
  <c r="CY1431" i="28"/>
  <c r="CX1431" i="28"/>
  <c r="CX1430" i="28"/>
  <c r="CY1430" i="28"/>
  <c r="CX1436" i="28"/>
  <c r="CY1436" i="28"/>
  <c r="CX1452" i="28"/>
  <c r="CY1452" i="28"/>
  <c r="CY1455" i="28"/>
  <c r="CX1455" i="28"/>
  <c r="CY1457" i="28"/>
  <c r="CX1457" i="28"/>
  <c r="CX1458" i="28"/>
  <c r="CY1458" i="28"/>
  <c r="CY1459" i="28"/>
  <c r="CX1459" i="28"/>
  <c r="CX1460" i="28"/>
  <c r="CY1460" i="28"/>
  <c r="CY1461" i="28"/>
  <c r="CX1461" i="28"/>
  <c r="CX1464" i="28"/>
  <c r="CY1464" i="28"/>
  <c r="CY1469" i="28"/>
  <c r="CX1469" i="28"/>
  <c r="CX1470" i="28"/>
  <c r="CY1470" i="28"/>
  <c r="CY1376" i="28"/>
  <c r="CY252" i="28"/>
  <c r="CX252" i="28"/>
  <c r="CY253" i="28"/>
  <c r="CX253" i="28"/>
  <c r="CX1424" i="28"/>
  <c r="CY1424" i="28"/>
  <c r="CY352" i="28"/>
  <c r="CX352" i="28"/>
  <c r="CY351" i="28"/>
  <c r="CX351" i="28"/>
  <c r="CY354" i="28"/>
  <c r="CX354" i="28"/>
  <c r="CY353" i="28"/>
  <c r="CX353" i="28"/>
  <c r="CY357" i="28"/>
  <c r="CX357" i="28"/>
  <c r="CY359" i="28"/>
  <c r="CX359" i="28"/>
  <c r="CY337" i="28"/>
  <c r="CY339" i="28"/>
  <c r="CY362" i="28"/>
  <c r="CY364" i="28"/>
  <c r="CY344" i="28"/>
  <c r="CY345" i="28"/>
  <c r="CY347" i="28"/>
  <c r="CY1177" i="28"/>
  <c r="CX1177" i="28"/>
  <c r="CY423" i="28"/>
  <c r="CX423" i="28"/>
  <c r="CY415" i="28"/>
  <c r="CY416" i="28"/>
  <c r="CY420" i="28"/>
  <c r="CY424" i="28"/>
  <c r="CY425" i="28"/>
  <c r="CY429" i="28"/>
  <c r="CY431" i="28"/>
  <c r="CY432" i="28"/>
  <c r="CY1420" i="28"/>
  <c r="CY1422" i="28"/>
  <c r="CY441" i="28"/>
  <c r="CX441" i="28"/>
  <c r="CY1365" i="28"/>
  <c r="CY1364" i="28"/>
  <c r="CY1370" i="28"/>
  <c r="CY1369" i="28"/>
  <c r="CY1393" i="28"/>
  <c r="CX1393" i="28"/>
  <c r="CY1397" i="28"/>
  <c r="CX1397" i="28"/>
  <c r="CY1395" i="28"/>
  <c r="CX1395" i="28"/>
  <c r="CY1399" i="28"/>
  <c r="CX1399" i="28"/>
  <c r="CY1403" i="28"/>
  <c r="CX1403" i="28"/>
  <c r="CY1401" i="28"/>
  <c r="CX1401" i="28"/>
  <c r="CY1411" i="28"/>
  <c r="CX1411" i="28"/>
  <c r="CY1429" i="28"/>
  <c r="CX1429" i="28"/>
  <c r="CY1435" i="28"/>
  <c r="CX1435" i="28"/>
  <c r="CY1437" i="28"/>
  <c r="CX1437" i="28"/>
  <c r="CY1451" i="28"/>
  <c r="CX1451" i="28"/>
  <c r="CX1456" i="28"/>
  <c r="CY1456" i="28"/>
  <c r="CX1462" i="28"/>
  <c r="CY1462" i="28"/>
  <c r="CY1465" i="28"/>
  <c r="CX1465" i="28"/>
  <c r="CY1463" i="28"/>
  <c r="CX1463" i="28"/>
  <c r="CY1468" i="28"/>
  <c r="CY1467" i="28"/>
  <c r="CY1471" i="28"/>
  <c r="CX1471" i="28"/>
  <c r="CJ464" i="28"/>
  <c r="CJ466" i="28"/>
  <c r="CJ465" i="28"/>
  <c r="CJ463" i="28"/>
  <c r="CD462" i="28"/>
  <c r="CD460" i="28"/>
  <c r="CE459" i="28"/>
  <c r="CE458" i="28"/>
  <c r="CD457" i="28"/>
  <c r="CD461" i="28"/>
  <c r="CK806" i="28"/>
  <c r="CK1418" i="28"/>
  <c r="CK1417" i="28"/>
  <c r="CK1419" i="28"/>
  <c r="CK1373" i="28"/>
  <c r="CK1374" i="28"/>
  <c r="CK1372" i="28"/>
  <c r="CY1372" i="28" l="1"/>
  <c r="CY806" i="28"/>
  <c r="CY459" i="28"/>
  <c r="CX459" i="28"/>
  <c r="CY465" i="28"/>
  <c r="CY1374" i="28"/>
  <c r="CY1419" i="28"/>
  <c r="CY1418" i="28"/>
  <c r="CY461" i="28"/>
  <c r="CX461" i="28"/>
  <c r="CY458" i="28"/>
  <c r="CX458" i="28"/>
  <c r="CY460" i="28"/>
  <c r="CX460" i="28"/>
  <c r="CY463" i="28"/>
  <c r="CY466" i="28"/>
  <c r="CY1373" i="28"/>
  <c r="CY1417" i="28"/>
  <c r="CY457" i="28"/>
  <c r="CX457" i="28"/>
  <c r="CY462" i="28"/>
  <c r="CX462" i="28"/>
  <c r="CY464" i="28"/>
  <c r="CH1154" i="28" l="1"/>
  <c r="CH1156" i="28"/>
  <c r="CH1155" i="28"/>
  <c r="CF374" i="28"/>
  <c r="CJ375" i="28"/>
  <c r="CJ371" i="28"/>
  <c r="CI372" i="28"/>
  <c r="CH373" i="28"/>
  <c r="CG376" i="28"/>
  <c r="CG377" i="28"/>
  <c r="CF381" i="28"/>
  <c r="CF380" i="28"/>
  <c r="CF382" i="28"/>
  <c r="CE370" i="28"/>
  <c r="CE369" i="28"/>
  <c r="CE368" i="28"/>
  <c r="CE367" i="28"/>
  <c r="CE379" i="28"/>
  <c r="CE378" i="28"/>
  <c r="CE366" i="28"/>
  <c r="CD538" i="28"/>
  <c r="CE433" i="28"/>
  <c r="CD435" i="28"/>
  <c r="CD436" i="28"/>
  <c r="CD434" i="28"/>
  <c r="CY434" i="28" l="1"/>
  <c r="CX434" i="28"/>
  <c r="CY435" i="28"/>
  <c r="CX435" i="28"/>
  <c r="CY538" i="28"/>
  <c r="CX538" i="28"/>
  <c r="CY378" i="28"/>
  <c r="CX378" i="28"/>
  <c r="CY367" i="28"/>
  <c r="CX367" i="28"/>
  <c r="CY369" i="28"/>
  <c r="CX369" i="28"/>
  <c r="CY382" i="28"/>
  <c r="CX382" i="28"/>
  <c r="CY381" i="28"/>
  <c r="CX381" i="28"/>
  <c r="CY376" i="28"/>
  <c r="CX376" i="28"/>
  <c r="CY372" i="28"/>
  <c r="CY375" i="28"/>
  <c r="CY1155" i="28"/>
  <c r="CX1155" i="28"/>
  <c r="CY1154" i="28"/>
  <c r="CX1154" i="28"/>
  <c r="CY436" i="28"/>
  <c r="CX436" i="28"/>
  <c r="CY433" i="28"/>
  <c r="CX433" i="28"/>
  <c r="CY366" i="28"/>
  <c r="CX366" i="28"/>
  <c r="CY379" i="28"/>
  <c r="CX379" i="28"/>
  <c r="CY368" i="28"/>
  <c r="CX368" i="28"/>
  <c r="CY370" i="28"/>
  <c r="CX370" i="28"/>
  <c r="CY380" i="28"/>
  <c r="CX380" i="28"/>
  <c r="CY377" i="28"/>
  <c r="CX377" i="28"/>
  <c r="CY373" i="28"/>
  <c r="CX373" i="28"/>
  <c r="CY371" i="28"/>
  <c r="CY374" i="28"/>
  <c r="CX374" i="28"/>
  <c r="CY1156" i="28"/>
  <c r="CX1156" i="28"/>
  <c r="CF579" i="28"/>
  <c r="CE578" i="28"/>
  <c r="CG581" i="28"/>
  <c r="CG580" i="28"/>
  <c r="CG582" i="28"/>
  <c r="CY581" i="28" l="1"/>
  <c r="CX581" i="28"/>
  <c r="CY582" i="28"/>
  <c r="CX582" i="28"/>
  <c r="CY579" i="28"/>
  <c r="CX579" i="28"/>
  <c r="CY580" i="28"/>
  <c r="CX580" i="28"/>
  <c r="CY578" i="28"/>
  <c r="CX578" i="28"/>
  <c r="CI952" i="28"/>
  <c r="CJ952" i="28"/>
  <c r="CK952" i="28"/>
  <c r="CL952" i="28"/>
  <c r="CM952" i="28"/>
  <c r="CJ951" i="28"/>
  <c r="CK951" i="28"/>
  <c r="CL951" i="28"/>
  <c r="CM951" i="28"/>
  <c r="CI951" i="28"/>
  <c r="CI446" i="28"/>
  <c r="CJ446" i="28"/>
  <c r="CK446" i="28"/>
  <c r="CL446" i="28"/>
  <c r="CM446" i="28"/>
  <c r="CJ445" i="28"/>
  <c r="CK445" i="28"/>
  <c r="CL445" i="28"/>
  <c r="CM445" i="28"/>
  <c r="CI445" i="28"/>
  <c r="CY445" i="28" l="1"/>
  <c r="CY951" i="28"/>
  <c r="CY956" i="28"/>
  <c r="CY446" i="28"/>
  <c r="CY952" i="28"/>
  <c r="CY957" i="28"/>
  <c r="CF1029" i="28"/>
  <c r="CG1029" i="28"/>
  <c r="CE1029" i="28"/>
  <c r="CE608" i="28"/>
  <c r="CF608" i="28"/>
  <c r="CG608" i="28"/>
  <c r="CE609" i="28"/>
  <c r="CF609" i="28"/>
  <c r="CG609" i="28"/>
  <c r="CF607" i="28"/>
  <c r="CG607" i="28"/>
  <c r="CE607" i="28"/>
  <c r="CE534" i="28"/>
  <c r="CE533" i="28"/>
  <c r="CE520" i="28"/>
  <c r="CE521" i="28"/>
  <c r="CE519" i="28"/>
  <c r="CD1174" i="28"/>
  <c r="CE1174" i="28"/>
  <c r="CF1174" i="28"/>
  <c r="CG1174" i="28"/>
  <c r="CH1174" i="28"/>
  <c r="CE1175" i="28"/>
  <c r="CF1175" i="28"/>
  <c r="CG1175" i="28"/>
  <c r="CH1175" i="28"/>
  <c r="CD1175" i="28"/>
  <c r="CE396" i="28"/>
  <c r="CF396" i="28"/>
  <c r="CG396" i="28"/>
  <c r="CE397" i="28"/>
  <c r="CF397" i="28"/>
  <c r="CG397" i="28"/>
  <c r="CE398" i="28"/>
  <c r="CF398" i="28"/>
  <c r="CG398" i="28"/>
  <c r="CE399" i="28"/>
  <c r="CF399" i="28"/>
  <c r="CG399" i="28"/>
  <c r="CE400" i="28"/>
  <c r="CF400" i="28"/>
  <c r="CG400" i="28"/>
  <c r="CE401" i="28"/>
  <c r="CF401" i="28"/>
  <c r="CG401" i="28"/>
  <c r="CE774" i="28"/>
  <c r="CF774" i="28"/>
  <c r="CG774" i="28"/>
  <c r="CE775" i="28"/>
  <c r="CF775" i="28"/>
  <c r="CG775" i="28"/>
  <c r="CE776" i="28"/>
  <c r="CF776" i="28"/>
  <c r="CG776" i="28"/>
  <c r="CF395" i="28"/>
  <c r="CG395" i="28"/>
  <c r="CE395" i="28"/>
  <c r="CE295" i="28"/>
  <c r="CE296" i="28"/>
  <c r="CE297" i="28"/>
  <c r="CE298" i="28"/>
  <c r="CE299" i="28"/>
  <c r="CE300" i="28"/>
  <c r="CE301" i="28"/>
  <c r="CE302" i="28"/>
  <c r="CE303" i="28"/>
  <c r="CE304" i="28"/>
  <c r="CE305" i="28"/>
  <c r="CE306" i="28"/>
  <c r="CE307" i="28"/>
  <c r="CE308" i="28"/>
  <c r="CE309" i="28"/>
  <c r="CE310" i="28"/>
  <c r="CE311" i="28"/>
  <c r="CE312" i="28"/>
  <c r="CE313" i="28"/>
  <c r="CE314" i="28"/>
  <c r="CE315" i="28"/>
  <c r="CE316" i="28"/>
  <c r="CE317" i="28"/>
  <c r="CE318" i="28"/>
  <c r="CE319" i="28"/>
  <c r="CE320" i="28"/>
  <c r="CE321" i="28"/>
  <c r="CE322" i="28"/>
  <c r="CE323" i="28"/>
  <c r="CE324" i="28"/>
  <c r="CE325" i="28"/>
  <c r="CE326" i="28"/>
  <c r="CE327" i="28"/>
  <c r="CE328" i="28"/>
  <c r="CE294" i="28"/>
  <c r="CE248" i="28"/>
  <c r="CY248" i="28" l="1"/>
  <c r="CX248" i="28"/>
  <c r="CY326" i="28"/>
  <c r="CX326" i="28"/>
  <c r="CY324" i="28"/>
  <c r="CX324" i="28"/>
  <c r="CY322" i="28"/>
  <c r="CX322" i="28"/>
  <c r="CY320" i="28"/>
  <c r="CX320" i="28"/>
  <c r="CY318" i="28"/>
  <c r="CX318" i="28"/>
  <c r="CY316" i="28"/>
  <c r="CX316" i="28"/>
  <c r="CY314" i="28"/>
  <c r="CX314" i="28"/>
  <c r="CY312" i="28"/>
  <c r="CX312" i="28"/>
  <c r="CY310" i="28"/>
  <c r="CX310" i="28"/>
  <c r="CY308" i="28"/>
  <c r="CX308" i="28"/>
  <c r="CY306" i="28"/>
  <c r="CX306" i="28"/>
  <c r="CY304" i="28"/>
  <c r="CX304" i="28"/>
  <c r="CY302" i="28"/>
  <c r="CX302" i="28"/>
  <c r="CY300" i="28"/>
  <c r="CX300" i="28"/>
  <c r="CY298" i="28"/>
  <c r="CX298" i="28"/>
  <c r="CY296" i="28"/>
  <c r="CX296" i="28"/>
  <c r="CY395" i="28"/>
  <c r="CX395" i="28"/>
  <c r="CY775" i="28"/>
  <c r="CX775" i="28"/>
  <c r="CY401" i="28"/>
  <c r="CX401" i="28"/>
  <c r="CY399" i="28"/>
  <c r="CX399" i="28"/>
  <c r="CY397" i="28"/>
  <c r="CX397" i="28"/>
  <c r="CY1175" i="28"/>
  <c r="CX1175" i="28"/>
  <c r="CY519" i="28"/>
  <c r="CX519" i="28"/>
  <c r="CY520" i="28"/>
  <c r="CX520" i="28"/>
  <c r="CY534" i="28"/>
  <c r="CX534" i="28"/>
  <c r="CY609" i="28"/>
  <c r="CX609" i="28"/>
  <c r="CY1029" i="28"/>
  <c r="CX1029" i="28"/>
  <c r="CY328" i="28"/>
  <c r="CX328" i="28"/>
  <c r="CY294" i="28"/>
  <c r="CX294" i="28"/>
  <c r="CY327" i="28"/>
  <c r="CX327" i="28"/>
  <c r="CY325" i="28"/>
  <c r="CX325" i="28"/>
  <c r="CY323" i="28"/>
  <c r="CX323" i="28"/>
  <c r="CY321" i="28"/>
  <c r="CX321" i="28"/>
  <c r="CY319" i="28"/>
  <c r="CX319" i="28"/>
  <c r="CY317" i="28"/>
  <c r="CX317" i="28"/>
  <c r="CY315" i="28"/>
  <c r="CX315" i="28"/>
  <c r="CY313" i="28"/>
  <c r="CX313" i="28"/>
  <c r="CY311" i="28"/>
  <c r="CX311" i="28"/>
  <c r="CY309" i="28"/>
  <c r="CX309" i="28"/>
  <c r="CY307" i="28"/>
  <c r="CX307" i="28"/>
  <c r="CY305" i="28"/>
  <c r="CX305" i="28"/>
  <c r="CY303" i="28"/>
  <c r="CX303" i="28"/>
  <c r="CY301" i="28"/>
  <c r="CX301" i="28"/>
  <c r="CY299" i="28"/>
  <c r="CX299" i="28"/>
  <c r="CY297" i="28"/>
  <c r="CX297" i="28"/>
  <c r="CY295" i="28"/>
  <c r="CX295" i="28"/>
  <c r="CY776" i="28"/>
  <c r="CX776" i="28"/>
  <c r="CY774" i="28"/>
  <c r="CX774" i="28"/>
  <c r="CY400" i="28"/>
  <c r="CX400" i="28"/>
  <c r="CY398" i="28"/>
  <c r="CX398" i="28"/>
  <c r="CY396" i="28"/>
  <c r="CX396" i="28"/>
  <c r="CY1174" i="28"/>
  <c r="CX1174" i="28"/>
  <c r="CY521" i="28"/>
  <c r="CX521" i="28"/>
  <c r="CY533" i="28"/>
  <c r="CX533" i="28"/>
  <c r="CY607" i="28"/>
  <c r="CX607" i="28"/>
  <c r="CY608" i="28"/>
  <c r="CX608" i="28"/>
  <c r="CE1135" i="28"/>
  <c r="CE1134" i="28"/>
  <c r="CF1111" i="28"/>
  <c r="CF1112" i="28"/>
  <c r="CF1114" i="28"/>
  <c r="CF1113" i="28"/>
  <c r="CF1110" i="28"/>
  <c r="CE683" i="28"/>
  <c r="CE682" i="28"/>
  <c r="CE1052" i="28"/>
  <c r="CE1051" i="28"/>
  <c r="CG1032" i="28"/>
  <c r="CG1031" i="28"/>
  <c r="CE1024" i="28"/>
  <c r="CE1006" i="28"/>
  <c r="CE1007" i="28"/>
  <c r="CE1008" i="28"/>
  <c r="CE1005" i="28"/>
  <c r="CD979" i="28"/>
  <c r="CE979" i="28"/>
  <c r="CF979" i="28"/>
  <c r="CG979" i="28"/>
  <c r="CH979" i="28"/>
  <c r="CI979" i="28"/>
  <c r="CJ979" i="28"/>
  <c r="CK979" i="28"/>
  <c r="CL979" i="28"/>
  <c r="CM979" i="28"/>
  <c r="CE978" i="28"/>
  <c r="CF978" i="28"/>
  <c r="CG978" i="28"/>
  <c r="CH978" i="28"/>
  <c r="CI978" i="28"/>
  <c r="CJ978" i="28"/>
  <c r="CK978" i="28"/>
  <c r="CL978" i="28"/>
  <c r="CM978" i="28"/>
  <c r="CD978" i="28"/>
  <c r="CH930" i="28"/>
  <c r="CH931" i="28"/>
  <c r="CH932" i="28"/>
  <c r="CH933" i="28"/>
  <c r="CH934" i="28"/>
  <c r="CH929" i="28"/>
  <c r="CD583" i="28"/>
  <c r="CD584" i="28"/>
  <c r="CE541" i="28"/>
  <c r="CE542" i="28"/>
  <c r="CE543" i="28"/>
  <c r="CE544" i="28"/>
  <c r="CE545" i="28"/>
  <c r="CE546" i="28"/>
  <c r="CE547" i="28"/>
  <c r="CE548" i="28"/>
  <c r="CE549" i="28"/>
  <c r="CE550" i="28"/>
  <c r="CE551" i="28"/>
  <c r="CE552" i="28"/>
  <c r="CE553" i="28"/>
  <c r="CE554" i="28"/>
  <c r="CE555" i="28"/>
  <c r="CE556" i="28"/>
  <c r="CE557" i="28"/>
  <c r="CE558" i="28"/>
  <c r="CE559" i="28"/>
  <c r="CE560" i="28"/>
  <c r="CE561" i="28"/>
  <c r="CE562" i="28"/>
  <c r="CE563" i="28"/>
  <c r="CE564" i="28"/>
  <c r="CE565" i="28"/>
  <c r="CE566" i="28"/>
  <c r="CE567" i="28"/>
  <c r="CE568" i="28"/>
  <c r="CE569" i="28"/>
  <c r="CE570" i="28"/>
  <c r="CE571" i="28"/>
  <c r="CE572" i="28"/>
  <c r="CE573" i="28"/>
  <c r="CE574" i="28"/>
  <c r="CE575" i="28"/>
  <c r="CE576" i="28"/>
  <c r="CE540" i="28"/>
  <c r="CE484" i="28"/>
  <c r="CE485" i="28"/>
  <c r="CE486" i="28"/>
  <c r="CE487" i="28"/>
  <c r="CE488" i="28"/>
  <c r="CE489" i="28"/>
  <c r="CE490" i="28"/>
  <c r="CE491" i="28"/>
  <c r="CE492" i="28"/>
  <c r="CE493" i="28"/>
  <c r="CE494" i="28"/>
  <c r="CE495" i="28"/>
  <c r="CE496" i="28"/>
  <c r="CE497" i="28"/>
  <c r="CE498" i="28"/>
  <c r="CE483" i="28"/>
  <c r="CE479" i="28"/>
  <c r="CE454" i="28"/>
  <c r="CE455" i="28"/>
  <c r="CE456" i="28"/>
  <c r="CE453" i="28"/>
  <c r="CG448" i="28"/>
  <c r="CG447" i="28"/>
  <c r="CE804" i="28"/>
  <c r="CE803" i="28"/>
  <c r="CE799" i="28"/>
  <c r="CE800" i="28"/>
  <c r="CE798" i="28"/>
  <c r="CF404" i="28"/>
  <c r="CF402" i="28"/>
  <c r="CF405" i="28"/>
  <c r="CF403" i="28"/>
  <c r="CF406" i="28"/>
  <c r="CD389" i="28"/>
  <c r="CE389" i="28"/>
  <c r="CF389" i="28"/>
  <c r="CG389" i="28"/>
  <c r="CH389" i="28"/>
  <c r="CI389" i="28"/>
  <c r="CJ389" i="28"/>
  <c r="CK389" i="28"/>
  <c r="CL389" i="28"/>
  <c r="CM389" i="28"/>
  <c r="CD390" i="28"/>
  <c r="CE390" i="28"/>
  <c r="CF390" i="28"/>
  <c r="CG390" i="28"/>
  <c r="CH390" i="28"/>
  <c r="CI390" i="28"/>
  <c r="CJ390" i="28"/>
  <c r="CK390" i="28"/>
  <c r="CL390" i="28"/>
  <c r="CM390" i="28"/>
  <c r="CD394" i="28"/>
  <c r="CE394" i="28"/>
  <c r="CF394" i="28"/>
  <c r="CG394" i="28"/>
  <c r="CH394" i="28"/>
  <c r="CI394" i="28"/>
  <c r="CJ394" i="28"/>
  <c r="CK394" i="28"/>
  <c r="CL394" i="28"/>
  <c r="CM394" i="28"/>
  <c r="CE388" i="28"/>
  <c r="CF388" i="28"/>
  <c r="CG388" i="28"/>
  <c r="CH388" i="28"/>
  <c r="CI388" i="28"/>
  <c r="CJ388" i="28"/>
  <c r="CK388" i="28"/>
  <c r="CL388" i="28"/>
  <c r="CM388" i="28"/>
  <c r="CD388" i="28"/>
  <c r="CD387" i="28"/>
  <c r="CE387" i="28"/>
  <c r="CF387" i="28"/>
  <c r="CG387" i="28"/>
  <c r="CH387" i="28"/>
  <c r="CI387" i="28"/>
  <c r="CJ387" i="28"/>
  <c r="CK387" i="28"/>
  <c r="CL387" i="28"/>
  <c r="CM387" i="28"/>
  <c r="CD386" i="28"/>
  <c r="CE386" i="28"/>
  <c r="CF386" i="28"/>
  <c r="CG386" i="28"/>
  <c r="CH386" i="28"/>
  <c r="CI386" i="28"/>
  <c r="CJ386" i="28"/>
  <c r="CK386" i="28"/>
  <c r="CL386" i="28"/>
  <c r="CM386" i="28"/>
  <c r="CD393" i="28"/>
  <c r="CD392" i="28"/>
  <c r="CD391" i="28"/>
  <c r="CD384" i="28"/>
  <c r="CD385" i="28"/>
  <c r="CD383" i="28"/>
  <c r="CD336" i="28"/>
  <c r="CD335" i="28"/>
  <c r="CD760" i="28"/>
  <c r="CD759" i="28"/>
  <c r="CG279" i="28"/>
  <c r="CG280" i="28"/>
  <c r="CG278" i="28"/>
  <c r="CF708" i="28"/>
  <c r="CF709" i="28"/>
  <c r="CF707" i="28"/>
  <c r="Q6" i="69" l="1"/>
  <c r="K6" i="69"/>
  <c r="S6" i="69"/>
  <c r="M6" i="69"/>
  <c r="R6" i="69"/>
  <c r="P6" i="69"/>
  <c r="N6" i="69"/>
  <c r="L6" i="69"/>
  <c r="O6" i="69"/>
  <c r="CY279" i="28"/>
  <c r="CX279" i="28"/>
  <c r="CY760" i="28"/>
  <c r="CX760" i="28"/>
  <c r="CY336" i="28"/>
  <c r="CX336" i="28"/>
  <c r="CY385" i="28"/>
  <c r="CX385" i="28"/>
  <c r="CY391" i="28"/>
  <c r="CX391" i="28"/>
  <c r="CY393" i="28"/>
  <c r="CX393" i="28"/>
  <c r="CY386" i="28"/>
  <c r="CX386" i="28"/>
  <c r="CY387" i="28"/>
  <c r="CX387" i="28"/>
  <c r="CY394" i="28"/>
  <c r="CX394" i="28"/>
  <c r="CY390" i="28"/>
  <c r="CX390" i="28"/>
  <c r="CY389" i="28"/>
  <c r="CX389" i="28"/>
  <c r="CY403" i="28"/>
  <c r="CX403" i="28"/>
  <c r="CY402" i="28"/>
  <c r="CX402" i="28"/>
  <c r="CY798" i="28"/>
  <c r="CX798" i="28"/>
  <c r="CY799" i="28"/>
  <c r="CX799" i="28"/>
  <c r="CY804" i="28"/>
  <c r="CX804" i="28"/>
  <c r="CY448" i="28"/>
  <c r="CX448" i="28"/>
  <c r="CY456" i="28"/>
  <c r="CX456" i="28"/>
  <c r="CY454" i="28"/>
  <c r="CX454" i="28"/>
  <c r="CY483" i="28"/>
  <c r="CX483" i="28"/>
  <c r="CY497" i="28"/>
  <c r="CX497" i="28"/>
  <c r="CY495" i="28"/>
  <c r="CX495" i="28"/>
  <c r="CY493" i="28"/>
  <c r="CX493" i="28"/>
  <c r="CY491" i="28"/>
  <c r="CX491" i="28"/>
  <c r="CY489" i="28"/>
  <c r="CX489" i="28"/>
  <c r="CY487" i="28"/>
  <c r="CX487" i="28"/>
  <c r="CY485" i="28"/>
  <c r="CX485" i="28"/>
  <c r="CY540" i="28"/>
  <c r="CX540" i="28"/>
  <c r="CY575" i="28"/>
  <c r="CX575" i="28"/>
  <c r="CY573" i="28"/>
  <c r="CX573" i="28"/>
  <c r="CY571" i="28"/>
  <c r="CX571" i="28"/>
  <c r="CY569" i="28"/>
  <c r="CX569" i="28"/>
  <c r="CY567" i="28"/>
  <c r="CX567" i="28"/>
  <c r="CY565" i="28"/>
  <c r="CX565" i="28"/>
  <c r="CY563" i="28"/>
  <c r="CX563" i="28"/>
  <c r="CY561" i="28"/>
  <c r="CX561" i="28"/>
  <c r="CY559" i="28"/>
  <c r="CX559" i="28"/>
  <c r="CY557" i="28"/>
  <c r="CX557" i="28"/>
  <c r="CY555" i="28"/>
  <c r="CX555" i="28"/>
  <c r="CY553" i="28"/>
  <c r="CX553" i="28"/>
  <c r="CY551" i="28"/>
  <c r="CX551" i="28"/>
  <c r="CY549" i="28"/>
  <c r="CX549" i="28"/>
  <c r="CY547" i="28"/>
  <c r="CX547" i="28"/>
  <c r="CY545" i="28"/>
  <c r="CX545" i="28"/>
  <c r="CY543" i="28"/>
  <c r="CX543" i="28"/>
  <c r="CY541" i="28"/>
  <c r="CX541" i="28"/>
  <c r="CY583" i="28"/>
  <c r="CX583" i="28"/>
  <c r="CY934" i="28"/>
  <c r="CX934" i="28"/>
  <c r="CY932" i="28"/>
  <c r="CX932" i="28"/>
  <c r="CY930" i="28"/>
  <c r="CX930" i="28"/>
  <c r="CY979" i="28"/>
  <c r="CX979" i="28"/>
  <c r="CY1008" i="28"/>
  <c r="CX1008" i="28"/>
  <c r="CY1006" i="28"/>
  <c r="CX1006" i="28"/>
  <c r="CY1031" i="28"/>
  <c r="CX1031" i="28"/>
  <c r="CY1051" i="28"/>
  <c r="CX1051" i="28"/>
  <c r="CY682" i="28"/>
  <c r="CX682" i="28"/>
  <c r="CY1110" i="28"/>
  <c r="CX1110" i="28"/>
  <c r="CY1114" i="28"/>
  <c r="CX1114" i="28"/>
  <c r="CY1111" i="28"/>
  <c r="CX1111" i="28"/>
  <c r="CY1135" i="28"/>
  <c r="CX1135" i="28"/>
  <c r="CY709" i="28"/>
  <c r="CX709" i="28"/>
  <c r="CY278" i="28"/>
  <c r="CX278" i="28"/>
  <c r="CY707" i="28"/>
  <c r="CX707" i="28"/>
  <c r="CY708" i="28"/>
  <c r="CX708" i="28"/>
  <c r="CY280" i="28"/>
  <c r="CX280" i="28"/>
  <c r="CY759" i="28"/>
  <c r="CX759" i="28"/>
  <c r="CY335" i="28"/>
  <c r="CX335" i="28"/>
  <c r="CY383" i="28"/>
  <c r="CX383" i="28"/>
  <c r="CY384" i="28"/>
  <c r="CX384" i="28"/>
  <c r="CY392" i="28"/>
  <c r="CX392" i="28"/>
  <c r="CY388" i="28"/>
  <c r="CX388" i="28"/>
  <c r="CY406" i="28"/>
  <c r="CX406" i="28"/>
  <c r="CY405" i="28"/>
  <c r="CX405" i="28"/>
  <c r="CY404" i="28"/>
  <c r="CX404" i="28"/>
  <c r="CY800" i="28"/>
  <c r="CX800" i="28"/>
  <c r="CY803" i="28"/>
  <c r="CX803" i="28"/>
  <c r="CY447" i="28"/>
  <c r="CX447" i="28"/>
  <c r="CY453" i="28"/>
  <c r="CX453" i="28"/>
  <c r="CY455" i="28"/>
  <c r="CX455" i="28"/>
  <c r="CY479" i="28"/>
  <c r="CX479" i="28"/>
  <c r="CY498" i="28"/>
  <c r="CX498" i="28"/>
  <c r="CY496" i="28"/>
  <c r="CX496" i="28"/>
  <c r="CY494" i="28"/>
  <c r="CX494" i="28"/>
  <c r="CY492" i="28"/>
  <c r="CX492" i="28"/>
  <c r="CY490" i="28"/>
  <c r="CX490" i="28"/>
  <c r="CY488" i="28"/>
  <c r="CX488" i="28"/>
  <c r="CY486" i="28"/>
  <c r="CX486" i="28"/>
  <c r="CY484" i="28"/>
  <c r="CX484" i="28"/>
  <c r="CY576" i="28"/>
  <c r="CX576" i="28"/>
  <c r="CY574" i="28"/>
  <c r="CX574" i="28"/>
  <c r="CY572" i="28"/>
  <c r="CX572" i="28"/>
  <c r="CY570" i="28"/>
  <c r="CX570" i="28"/>
  <c r="CY568" i="28"/>
  <c r="CX568" i="28"/>
  <c r="CY566" i="28"/>
  <c r="CX566" i="28"/>
  <c r="CY564" i="28"/>
  <c r="CX564" i="28"/>
  <c r="CY562" i="28"/>
  <c r="CX562" i="28"/>
  <c r="CY560" i="28"/>
  <c r="CX560" i="28"/>
  <c r="CY558" i="28"/>
  <c r="CX558" i="28"/>
  <c r="CY556" i="28"/>
  <c r="CX556" i="28"/>
  <c r="CY554" i="28"/>
  <c r="CX554" i="28"/>
  <c r="CY552" i="28"/>
  <c r="CX552" i="28"/>
  <c r="CY550" i="28"/>
  <c r="CX550" i="28"/>
  <c r="CY548" i="28"/>
  <c r="CX548" i="28"/>
  <c r="CY546" i="28"/>
  <c r="CX546" i="28"/>
  <c r="CY544" i="28"/>
  <c r="CX544" i="28"/>
  <c r="CY542" i="28"/>
  <c r="CX542" i="28"/>
  <c r="CY584" i="28"/>
  <c r="CX584" i="28"/>
  <c r="CY929" i="28"/>
  <c r="CX929" i="28"/>
  <c r="CY933" i="28"/>
  <c r="CX933" i="28"/>
  <c r="CY931" i="28"/>
  <c r="CX931" i="28"/>
  <c r="CY978" i="28"/>
  <c r="CX978" i="28"/>
  <c r="CY1005" i="28"/>
  <c r="CX1005" i="28"/>
  <c r="CY1007" i="28"/>
  <c r="CX1007" i="28"/>
  <c r="CY1024" i="28"/>
  <c r="CX1024" i="28"/>
  <c r="CY1032" i="28"/>
  <c r="CX1032" i="28"/>
  <c r="CY1052" i="28"/>
  <c r="CX1052" i="28"/>
  <c r="CY683" i="28"/>
  <c r="CX683" i="28"/>
  <c r="CY1113" i="28"/>
  <c r="CX1113" i="28"/>
  <c r="CY1112" i="28"/>
  <c r="CX1112" i="28"/>
  <c r="CY1134" i="28"/>
  <c r="CX1134" i="28"/>
  <c r="CD243" i="28"/>
  <c r="CD240" i="28"/>
  <c r="CD241" i="28"/>
  <c r="CD242" i="28"/>
  <c r="J6" i="69" l="1"/>
  <c r="I22" i="22"/>
  <c r="CY241" i="28"/>
  <c r="CX241" i="28"/>
  <c r="CY243" i="28"/>
  <c r="CX243" i="28"/>
  <c r="CY242" i="28"/>
  <c r="CX242" i="28"/>
  <c r="CY240" i="28"/>
  <c r="CX240" i="28"/>
  <c r="E355" i="22"/>
  <c r="C358" i="22" l="1"/>
  <c r="C348" i="22"/>
  <c r="D345" i="22"/>
  <c r="D342" i="22"/>
  <c r="D347" i="22"/>
  <c r="D356" i="22"/>
  <c r="D352" i="22"/>
  <c r="D353" i="22"/>
  <c r="D354" i="22"/>
  <c r="D357" i="22"/>
  <c r="D346" i="22"/>
  <c r="D344" i="22"/>
  <c r="D343" i="22"/>
  <c r="E342" i="22" l="1"/>
  <c r="E343" i="22"/>
  <c r="E344" i="22"/>
  <c r="E345" i="22"/>
  <c r="E346" i="22"/>
  <c r="E347" i="22"/>
  <c r="E352" i="22"/>
  <c r="E353" i="22"/>
  <c r="E354" i="22"/>
  <c r="E356" i="22"/>
  <c r="E357" i="22"/>
  <c r="D358" i="22"/>
  <c r="E358" i="22" s="1"/>
  <c r="M263" i="22"/>
  <c r="D348" i="22" l="1"/>
  <c r="E348" i="22" s="1"/>
  <c r="I156" i="22"/>
  <c r="J71" i="22" l="1"/>
  <c r="K71" i="22"/>
  <c r="M70" i="22"/>
  <c r="L70" i="22"/>
  <c r="P70" i="22" s="1"/>
  <c r="Q70" i="22" l="1"/>
  <c r="J57" i="22"/>
  <c r="K57" i="22"/>
  <c r="G11" i="22" l="1"/>
  <c r="E157" i="22"/>
  <c r="D42" i="22"/>
  <c r="I65" i="22"/>
  <c r="G287" i="22"/>
  <c r="D293" i="22"/>
  <c r="F39" i="22"/>
  <c r="M250" i="22"/>
  <c r="F308" i="22"/>
  <c r="D286" i="22"/>
  <c r="I316" i="22"/>
  <c r="M270" i="22"/>
  <c r="C332" i="22"/>
  <c r="E51" i="22"/>
  <c r="M252" i="22"/>
  <c r="D97" i="22"/>
  <c r="M249" i="22"/>
  <c r="D283" i="22"/>
  <c r="D281" i="22"/>
  <c r="E54" i="22"/>
  <c r="E166" i="22"/>
  <c r="E300" i="22"/>
  <c r="E296" i="22"/>
  <c r="G290" i="22"/>
  <c r="D290" i="22"/>
  <c r="G284" i="22"/>
  <c r="J307" i="22"/>
  <c r="G166" i="22"/>
  <c r="D296" i="22"/>
  <c r="E50" i="22"/>
  <c r="H332" i="22"/>
  <c r="G307" i="22"/>
  <c r="E285" i="22"/>
  <c r="G299" i="22"/>
  <c r="I64" i="22"/>
  <c r="E55" i="22"/>
  <c r="G300" i="22"/>
  <c r="N258" i="22"/>
  <c r="G288" i="22"/>
  <c r="D282" i="22"/>
  <c r="D300" i="22"/>
  <c r="M273" i="22"/>
  <c r="E289" i="22"/>
  <c r="I328" i="22"/>
  <c r="F42" i="22"/>
  <c r="E39" i="22"/>
  <c r="C307" i="22"/>
  <c r="G40" i="22"/>
  <c r="E286" i="22"/>
  <c r="D289" i="22"/>
  <c r="I55" i="22"/>
  <c r="G297" i="22"/>
  <c r="F320" i="22"/>
  <c r="G39" i="22"/>
  <c r="F56" i="22"/>
  <c r="D287" i="22"/>
  <c r="E287" i="22"/>
  <c r="E295" i="22"/>
  <c r="D43" i="22"/>
  <c r="G286" i="22"/>
  <c r="D50" i="22"/>
  <c r="E64" i="22"/>
  <c r="D295" i="22"/>
  <c r="D64" i="22"/>
  <c r="C92" i="22"/>
  <c r="H330" i="22"/>
  <c r="D67" i="22"/>
  <c r="G54" i="22"/>
  <c r="C104" i="22"/>
  <c r="I9" i="22"/>
  <c r="E42" i="22"/>
  <c r="C166" i="22"/>
  <c r="H318" i="22"/>
  <c r="F69" i="22"/>
  <c r="G282" i="22"/>
  <c r="I52" i="22"/>
  <c r="F330" i="22"/>
  <c r="F55" i="22"/>
  <c r="D330" i="22"/>
  <c r="H51" i="22"/>
  <c r="E292" i="22"/>
  <c r="D96" i="22"/>
  <c r="G332" i="22"/>
  <c r="H55" i="22"/>
  <c r="G69" i="22"/>
  <c r="E66" i="22"/>
  <c r="M248" i="22"/>
  <c r="G308" i="22"/>
  <c r="E40" i="22"/>
  <c r="H65" i="22"/>
  <c r="G316" i="22"/>
  <c r="I53" i="22"/>
  <c r="E283" i="22"/>
  <c r="F54" i="22"/>
  <c r="F318" i="22"/>
  <c r="H52" i="22"/>
  <c r="F332" i="22"/>
  <c r="B92" i="22"/>
  <c r="G296" i="22"/>
  <c r="E67" i="22"/>
  <c r="D51" i="22"/>
  <c r="I318" i="22"/>
  <c r="C308" i="22"/>
  <c r="G298" i="22"/>
  <c r="I66" i="22"/>
  <c r="E294" i="22"/>
  <c r="E288" i="22"/>
  <c r="F40" i="22"/>
  <c r="H50" i="22"/>
  <c r="G318" i="22"/>
  <c r="G292" i="22"/>
  <c r="E284" i="22"/>
  <c r="G289" i="22"/>
  <c r="E332" i="22"/>
  <c r="I67" i="22"/>
  <c r="F316" i="22"/>
  <c r="F64" i="22"/>
  <c r="F41" i="22"/>
  <c r="D328" i="22"/>
  <c r="D285" i="22"/>
  <c r="I68" i="22"/>
  <c r="C320" i="22"/>
  <c r="H53" i="22"/>
  <c r="E291" i="22"/>
  <c r="D65" i="22"/>
  <c r="D291" i="22"/>
  <c r="F67" i="22"/>
  <c r="H316" i="22"/>
  <c r="F65" i="22"/>
  <c r="D288" i="22"/>
  <c r="D56" i="22"/>
  <c r="F50" i="22"/>
  <c r="F52" i="22"/>
  <c r="G53" i="22"/>
  <c r="G66" i="22"/>
  <c r="F328" i="22"/>
  <c r="I51" i="22"/>
  <c r="N259" i="22"/>
  <c r="H67" i="22"/>
  <c r="C157" i="22"/>
  <c r="E282" i="22"/>
  <c r="D41" i="22"/>
  <c r="C96" i="22"/>
  <c r="F51" i="22"/>
  <c r="D297" i="22"/>
  <c r="H54" i="22"/>
  <c r="I320" i="22"/>
  <c r="E68" i="22"/>
  <c r="E318" i="22"/>
  <c r="D52" i="22"/>
  <c r="G68" i="22"/>
  <c r="E65" i="22"/>
  <c r="M269" i="22"/>
  <c r="F53" i="22"/>
  <c r="H320" i="22"/>
  <c r="F33" i="22"/>
  <c r="N260" i="22"/>
  <c r="D316" i="22"/>
  <c r="E293" i="22"/>
  <c r="G65" i="22"/>
  <c r="E320" i="22"/>
  <c r="H66" i="22"/>
  <c r="G41" i="22"/>
  <c r="H56" i="22"/>
  <c r="D299" i="22"/>
  <c r="I69" i="22"/>
  <c r="H64" i="22"/>
  <c r="G51" i="22"/>
  <c r="G320" i="22"/>
  <c r="G285" i="22"/>
  <c r="C328" i="22"/>
  <c r="D320" i="22"/>
  <c r="I308" i="22"/>
  <c r="E43" i="22"/>
  <c r="E56" i="22"/>
  <c r="G295" i="22"/>
  <c r="I54" i="22"/>
  <c r="D308" i="22"/>
  <c r="F68" i="22"/>
  <c r="D318" i="22"/>
  <c r="F66" i="22"/>
  <c r="D284" i="22"/>
  <c r="E290" i="22"/>
  <c r="E41" i="22"/>
  <c r="D69" i="22"/>
  <c r="D55" i="22"/>
  <c r="G291" i="22"/>
  <c r="D68" i="22"/>
  <c r="M251" i="22"/>
  <c r="B239" i="22"/>
  <c r="D104" i="22"/>
  <c r="H68" i="22"/>
  <c r="G281" i="22"/>
  <c r="M271" i="22"/>
  <c r="G330" i="22"/>
  <c r="E299" i="22"/>
  <c r="H328" i="22"/>
  <c r="F32" i="22"/>
  <c r="D307" i="22"/>
  <c r="D292" i="22"/>
  <c r="E52" i="22"/>
  <c r="E69" i="22"/>
  <c r="I332" i="22"/>
  <c r="M272" i="22"/>
  <c r="I307" i="22"/>
  <c r="E281" i="22"/>
  <c r="G42" i="22"/>
  <c r="C318" i="22"/>
  <c r="E298" i="22"/>
  <c r="N261" i="22"/>
  <c r="C97" i="22"/>
  <c r="D39" i="22"/>
  <c r="J308" i="22"/>
  <c r="E316" i="22"/>
  <c r="D298" i="22"/>
  <c r="C330" i="22"/>
  <c r="D54" i="22"/>
  <c r="G283" i="22"/>
  <c r="D53" i="22"/>
  <c r="E330" i="22"/>
  <c r="D66" i="22"/>
  <c r="F307" i="22"/>
  <c r="I50" i="22"/>
  <c r="I56" i="22"/>
  <c r="G56" i="22"/>
  <c r="M274" i="22"/>
  <c r="G293" i="22"/>
  <c r="E328" i="22"/>
  <c r="I10" i="22"/>
  <c r="E297" i="22"/>
  <c r="C239" i="22"/>
  <c r="E53" i="22"/>
  <c r="E239" i="22"/>
  <c r="G328" i="22"/>
  <c r="C103" i="22"/>
  <c r="D103" i="22"/>
  <c r="M268" i="22"/>
  <c r="C102" i="22"/>
  <c r="D294" i="22"/>
  <c r="G294" i="22"/>
  <c r="C316" i="22"/>
  <c r="G50" i="22"/>
  <c r="D40" i="22"/>
  <c r="D332" i="22"/>
  <c r="G52" i="22"/>
  <c r="H69" i="22"/>
  <c r="D239" i="22"/>
  <c r="G55" i="22"/>
  <c r="G64" i="22"/>
  <c r="D102" i="22"/>
  <c r="G67" i="22"/>
  <c r="I330" i="22"/>
  <c r="G5" i="69" l="1"/>
  <c r="G7" i="69" s="1"/>
  <c r="G5" i="72"/>
  <c r="G7" i="72" s="1"/>
  <c r="F34" i="22"/>
  <c r="G32" i="22"/>
  <c r="G33" i="22"/>
  <c r="E307" i="22"/>
  <c r="D57" i="22"/>
  <c r="L69" i="22"/>
  <c r="P69" i="22" s="1"/>
  <c r="N69" i="22" s="1"/>
  <c r="N252" i="22"/>
  <c r="H40" i="22"/>
  <c r="C189" i="22"/>
  <c r="C190" i="22" s="1"/>
  <c r="E96" i="22"/>
  <c r="I39" i="22"/>
  <c r="G189" i="22" s="1"/>
  <c r="G190" i="22" s="1"/>
  <c r="H39" i="22"/>
  <c r="F189" i="22" s="1"/>
  <c r="F190" i="22" s="1"/>
  <c r="B189" i="22"/>
  <c r="B190" i="22" s="1"/>
  <c r="K157" i="22"/>
  <c r="D157" i="22" s="1"/>
  <c r="L55" i="22"/>
  <c r="M67" i="22"/>
  <c r="Q67" i="22" s="1"/>
  <c r="O67" i="22" s="1"/>
  <c r="E102" i="22"/>
  <c r="B131" i="22"/>
  <c r="E57" i="22"/>
  <c r="D131" i="22"/>
  <c r="D132" i="22" s="1"/>
  <c r="E103" i="22"/>
  <c r="N274" i="22"/>
  <c r="N269" i="22"/>
  <c r="O261" i="22"/>
  <c r="N271" i="22"/>
  <c r="G57" i="22"/>
  <c r="F71" i="22"/>
  <c r="D240" i="22"/>
  <c r="H43" i="22"/>
  <c r="N270" i="22"/>
  <c r="G301" i="22"/>
  <c r="M56" i="22"/>
  <c r="Q56" i="22" s="1"/>
  <c r="N273" i="22"/>
  <c r="L68" i="22"/>
  <c r="P68" i="22" s="1"/>
  <c r="N68" i="22" s="1"/>
  <c r="L67" i="22"/>
  <c r="P67" i="22" s="1"/>
  <c r="N67" i="22" s="1"/>
  <c r="E104" i="22"/>
  <c r="F131" i="22"/>
  <c r="M69" i="22"/>
  <c r="Q69" i="22" s="1"/>
  <c r="O69" i="22" s="1"/>
  <c r="L52" i="22"/>
  <c r="H57" i="22"/>
  <c r="L51" i="22"/>
  <c r="F214" i="22"/>
  <c r="B214" i="22"/>
  <c r="H307" i="22"/>
  <c r="H308" i="22"/>
  <c r="M275" i="22"/>
  <c r="N268" i="22"/>
  <c r="E301" i="22"/>
  <c r="B240" i="22"/>
  <c r="F239" i="22"/>
  <c r="F240" i="22" s="1"/>
  <c r="L56" i="22"/>
  <c r="P56" i="22" s="1"/>
  <c r="N250" i="22"/>
  <c r="D105" i="22"/>
  <c r="D106" i="22" s="1"/>
  <c r="D214" i="22"/>
  <c r="K307" i="22"/>
  <c r="N251" i="22"/>
  <c r="O259" i="22"/>
  <c r="E189" i="22"/>
  <c r="E190" i="22" s="1"/>
  <c r="E97" i="22"/>
  <c r="D189" i="22"/>
  <c r="D190" i="22" s="1"/>
  <c r="C105" i="22"/>
  <c r="C106" i="22" s="1"/>
  <c r="O258" i="22"/>
  <c r="N272" i="22"/>
  <c r="L66" i="22"/>
  <c r="P66" i="22" s="1"/>
  <c r="N66" i="22" s="1"/>
  <c r="L54" i="22"/>
  <c r="L53" i="22"/>
  <c r="M54" i="22"/>
  <c r="M53" i="22"/>
  <c r="M52" i="22"/>
  <c r="I166" i="22"/>
  <c r="E240" i="22"/>
  <c r="I57" i="22"/>
  <c r="M51" i="22"/>
  <c r="G71" i="22"/>
  <c r="M68" i="22"/>
  <c r="Q68" i="22" s="1"/>
  <c r="O68" i="22" s="1"/>
  <c r="L65" i="22"/>
  <c r="H71" i="22"/>
  <c r="M55" i="22"/>
  <c r="M66" i="22"/>
  <c r="Q66" i="22" s="1"/>
  <c r="O66" i="22" s="1"/>
  <c r="I71" i="22"/>
  <c r="M65" i="22"/>
  <c r="I43" i="22"/>
  <c r="I40" i="22"/>
  <c r="H42" i="22"/>
  <c r="G239" i="22"/>
  <c r="G240" i="22" s="1"/>
  <c r="C240" i="22"/>
  <c r="I41" i="22"/>
  <c r="H41" i="22"/>
  <c r="K308" i="22"/>
  <c r="K166" i="22"/>
  <c r="D166" i="22" s="1"/>
  <c r="E308" i="22"/>
  <c r="I157" i="22"/>
  <c r="O260" i="22"/>
  <c r="N248" i="22"/>
  <c r="M253" i="22"/>
  <c r="I42" i="22"/>
  <c r="N249" i="22"/>
  <c r="H11" i="69"/>
  <c r="G10" i="69"/>
  <c r="D92" i="22"/>
  <c r="J10" i="22"/>
  <c r="J9" i="22"/>
  <c r="I11" i="22"/>
  <c r="K164" i="22"/>
  <c r="D164" i="22" s="1"/>
  <c r="I164" i="22"/>
  <c r="K155" i="22"/>
  <c r="I155" i="22"/>
  <c r="H155" i="22" s="1"/>
  <c r="N262" i="22"/>
  <c r="E105" i="22" l="1"/>
  <c r="E106" i="22" s="1"/>
  <c r="H11" i="72"/>
  <c r="G10" i="72"/>
  <c r="O262" i="22"/>
  <c r="N263" i="22"/>
  <c r="I5" i="69"/>
  <c r="I5" i="72"/>
  <c r="H157" i="22"/>
  <c r="J157" i="22"/>
  <c r="L71" i="22"/>
  <c r="P65" i="22"/>
  <c r="N65" i="22" s="1"/>
  <c r="F166" i="22"/>
  <c r="J166" i="22"/>
  <c r="B215" i="22"/>
  <c r="F132" i="22"/>
  <c r="H166" i="22"/>
  <c r="F157" i="22"/>
  <c r="Q65" i="22"/>
  <c r="O65" i="22" s="1"/>
  <c r="M71" i="22"/>
  <c r="D215" i="22"/>
  <c r="F215" i="22"/>
  <c r="H214" i="22"/>
  <c r="B132" i="22"/>
  <c r="J131" i="22"/>
  <c r="E131" i="22" s="1"/>
  <c r="J155" i="22"/>
  <c r="J164" i="22"/>
  <c r="F164" i="22"/>
  <c r="H164" i="22"/>
  <c r="F155" i="22"/>
  <c r="D155" i="22"/>
  <c r="C167" i="22"/>
  <c r="K165" i="22"/>
  <c r="D165" i="22" s="1"/>
  <c r="E167" i="22"/>
  <c r="I165" i="22"/>
  <c r="G167" i="22"/>
  <c r="K156" i="22"/>
  <c r="D156" i="22" s="1"/>
  <c r="C158" i="22"/>
  <c r="E158" i="22"/>
  <c r="K158" i="22"/>
  <c r="G158" i="22"/>
  <c r="D34" i="22"/>
  <c r="C131" i="22" l="1"/>
  <c r="K167" i="22"/>
  <c r="G131" i="22"/>
  <c r="H215" i="22"/>
  <c r="J214" i="22"/>
  <c r="J165" i="22"/>
  <c r="J156" i="22"/>
  <c r="H165" i="22"/>
  <c r="I167" i="22"/>
  <c r="J167" i="22" s="1"/>
  <c r="F165" i="22"/>
  <c r="D167" i="22"/>
  <c r="H156" i="22"/>
  <c r="F156" i="22"/>
  <c r="D158" i="22"/>
  <c r="I158" i="22"/>
  <c r="J158" i="22" s="1"/>
  <c r="J215" i="22" l="1"/>
  <c r="G214" i="22"/>
  <c r="C214" i="22"/>
  <c r="E214" i="22"/>
  <c r="I214" i="22"/>
  <c r="H167" i="22"/>
  <c r="F167" i="22"/>
  <c r="H158" i="22"/>
  <c r="F158" i="22"/>
  <c r="F11" i="22" l="1"/>
  <c r="K10" i="22"/>
  <c r="E11" i="22"/>
  <c r="I15" i="22" s="1"/>
  <c r="K275" i="22" l="1"/>
  <c r="C253" i="22" l="1"/>
  <c r="J275" i="22" l="1"/>
  <c r="I275" i="22"/>
  <c r="L275" i="22" l="1"/>
  <c r="N275" i="22" s="1"/>
  <c r="L253" i="22"/>
  <c r="Q55" i="22" l="1"/>
  <c r="O55" i="22" s="1"/>
  <c r="P55" i="22"/>
  <c r="N55" i="22" s="1"/>
  <c r="K253" i="22" l="1"/>
  <c r="H11" i="22" l="1"/>
  <c r="H5" i="69" l="1"/>
  <c r="H7" i="69" s="1"/>
  <c r="H5" i="72"/>
  <c r="H7" i="72" s="1"/>
  <c r="I11" i="69"/>
  <c r="H10" i="69"/>
  <c r="I7" i="69"/>
  <c r="D263" i="22"/>
  <c r="E263" i="22"/>
  <c r="F263" i="22"/>
  <c r="G263" i="22"/>
  <c r="H263" i="22"/>
  <c r="I263" i="22"/>
  <c r="J263" i="22"/>
  <c r="I253" i="22"/>
  <c r="H253" i="22"/>
  <c r="G253" i="22"/>
  <c r="F253" i="22"/>
  <c r="E253" i="22"/>
  <c r="D253" i="22"/>
  <c r="H10" i="72" l="1"/>
  <c r="I11" i="72"/>
  <c r="I7" i="72"/>
  <c r="J11" i="69"/>
  <c r="I10" i="69"/>
  <c r="J7" i="69"/>
  <c r="J253" i="22"/>
  <c r="N253" i="22" s="1"/>
  <c r="J7" i="72" l="1"/>
  <c r="I10" i="72"/>
  <c r="J11" i="72"/>
  <c r="J10" i="69"/>
  <c r="K7" i="69"/>
  <c r="K11" i="69"/>
  <c r="K9" i="22"/>
  <c r="J11" i="22"/>
  <c r="I16" i="22" s="1"/>
  <c r="I17" i="22" s="1"/>
  <c r="I18" i="22" s="1"/>
  <c r="K7" i="72" l="1"/>
  <c r="K11" i="72"/>
  <c r="J10" i="72"/>
  <c r="L11" i="69"/>
  <c r="L7" i="69"/>
  <c r="K10" i="69"/>
  <c r="K11" i="22"/>
  <c r="H33" i="22"/>
  <c r="I19" i="22"/>
  <c r="I24" i="22"/>
  <c r="H322" i="22"/>
  <c r="D334" i="22"/>
  <c r="Q52" i="22"/>
  <c r="O52" i="22" s="1"/>
  <c r="H334" i="22"/>
  <c r="I309" i="22"/>
  <c r="E322" i="22"/>
  <c r="C322" i="22"/>
  <c r="L50" i="22"/>
  <c r="P50" i="22" s="1"/>
  <c r="E71" i="22"/>
  <c r="Q71" i="22" s="1"/>
  <c r="O71" i="22" s="1"/>
  <c r="Q54" i="22"/>
  <c r="O54" i="22" s="1"/>
  <c r="G309" i="22"/>
  <c r="F309" i="22"/>
  <c r="E44" i="22"/>
  <c r="D309" i="22"/>
  <c r="C309" i="22"/>
  <c r="D301" i="22"/>
  <c r="D98" i="22"/>
  <c r="J309" i="22"/>
  <c r="D322" i="22"/>
  <c r="G334" i="22"/>
  <c r="E98" i="22"/>
  <c r="D71" i="22"/>
  <c r="P71" i="22" s="1"/>
  <c r="N71" i="22" s="1"/>
  <c r="F57" i="22"/>
  <c r="M64" i="22"/>
  <c r="G44" i="22"/>
  <c r="F334" i="22"/>
  <c r="I334" i="22"/>
  <c r="L64" i="22"/>
  <c r="P64" i="22" s="1"/>
  <c r="N64" i="22" s="1"/>
  <c r="D44" i="22"/>
  <c r="E309" i="22"/>
  <c r="F322" i="22"/>
  <c r="M50" i="22"/>
  <c r="H131" i="22" s="1"/>
  <c r="F44" i="22"/>
  <c r="C334" i="22"/>
  <c r="G322" i="22"/>
  <c r="I322" i="22"/>
  <c r="E334" i="22"/>
  <c r="C98" i="22"/>
  <c r="K10" i="72" l="1"/>
  <c r="L11" i="72"/>
  <c r="L7" i="72"/>
  <c r="M11" i="69"/>
  <c r="L10" i="69"/>
  <c r="M7" i="69"/>
  <c r="Q64" i="22"/>
  <c r="O64" i="22" s="1"/>
  <c r="Q50" i="22"/>
  <c r="O50" i="22" s="1"/>
  <c r="H44" i="22"/>
  <c r="I44" i="22"/>
  <c r="P51" i="22"/>
  <c r="N51" i="22" s="1"/>
  <c r="L57" i="22"/>
  <c r="P57" i="22" s="1"/>
  <c r="Q53" i="22"/>
  <c r="O53" i="22" s="1"/>
  <c r="M57" i="22"/>
  <c r="Q57" i="22" s="1"/>
  <c r="Q51" i="22"/>
  <c r="O51" i="22" s="1"/>
  <c r="P54" i="22"/>
  <c r="N54" i="22" s="1"/>
  <c r="P53" i="22"/>
  <c r="N53" i="22" s="1"/>
  <c r="P52" i="22"/>
  <c r="N52" i="22" s="1"/>
  <c r="E34" i="22"/>
  <c r="H32" i="22"/>
  <c r="I20" i="22"/>
  <c r="I21" i="22" s="1"/>
  <c r="I23" i="22"/>
  <c r="K309" i="22"/>
  <c r="N50" i="22"/>
  <c r="J334" i="22"/>
  <c r="H309" i="22"/>
  <c r="J322" i="22"/>
  <c r="G215" i="22"/>
  <c r="J332" i="22"/>
  <c r="C333" i="22" s="1"/>
  <c r="J318" i="22"/>
  <c r="M7" i="72" l="1"/>
  <c r="L10" i="72"/>
  <c r="M11" i="72"/>
  <c r="G34" i="22"/>
  <c r="H34" i="22" s="1"/>
  <c r="N11" i="69"/>
  <c r="N7" i="69"/>
  <c r="M10" i="69"/>
  <c r="H132" i="22"/>
  <c r="I131" i="22"/>
  <c r="H335" i="22"/>
  <c r="C335" i="22"/>
  <c r="D335" i="22"/>
  <c r="I335" i="22"/>
  <c r="G335" i="22"/>
  <c r="F335" i="22"/>
  <c r="O57" i="22"/>
  <c r="J132" i="22"/>
  <c r="G323" i="22"/>
  <c r="E323" i="22"/>
  <c r="F323" i="22"/>
  <c r="C323" i="22"/>
  <c r="I323" i="22"/>
  <c r="D323" i="22"/>
  <c r="J320" i="22" s="1"/>
  <c r="H323" i="22"/>
  <c r="N57" i="22"/>
  <c r="E335" i="22"/>
  <c r="I215" i="22"/>
  <c r="E215" i="22"/>
  <c r="C215" i="22"/>
  <c r="C319" i="22"/>
  <c r="I319" i="22"/>
  <c r="D319" i="22"/>
  <c r="H319" i="22"/>
  <c r="G319" i="22"/>
  <c r="E319" i="22"/>
  <c r="F319" i="22"/>
  <c r="I333" i="22"/>
  <c r="F333" i="22"/>
  <c r="D333" i="22"/>
  <c r="E333" i="22"/>
  <c r="G333" i="22"/>
  <c r="J330" i="22"/>
  <c r="H333" i="22"/>
  <c r="M10" i="72" l="1"/>
  <c r="N7" i="72"/>
  <c r="N11" i="72"/>
  <c r="O11" i="69"/>
  <c r="N10" i="69"/>
  <c r="O7" i="69"/>
  <c r="C132" i="22"/>
  <c r="I132" i="22"/>
  <c r="E132" i="22"/>
  <c r="G132" i="22"/>
  <c r="J335" i="22"/>
  <c r="I321" i="22"/>
  <c r="F321" i="22"/>
  <c r="D321" i="22"/>
  <c r="H321" i="22"/>
  <c r="C321" i="22"/>
  <c r="E321" i="22"/>
  <c r="G321" i="22"/>
  <c r="J323" i="22"/>
  <c r="J319" i="22"/>
  <c r="F331" i="22"/>
  <c r="I331" i="22"/>
  <c r="C331" i="22"/>
  <c r="G331" i="22"/>
  <c r="H331" i="22"/>
  <c r="E331" i="22"/>
  <c r="D331" i="22"/>
  <c r="J316" i="22"/>
  <c r="O7" i="72" l="1"/>
  <c r="N10" i="72"/>
  <c r="O11" i="72"/>
  <c r="P11" i="69"/>
  <c r="P7" i="69"/>
  <c r="O10" i="69"/>
  <c r="J321" i="22"/>
  <c r="J331" i="22"/>
  <c r="E317" i="22"/>
  <c r="F317" i="22"/>
  <c r="D317" i="22"/>
  <c r="G317" i="22"/>
  <c r="I317" i="22"/>
  <c r="C317" i="22"/>
  <c r="H317" i="22"/>
  <c r="J328" i="22"/>
  <c r="O10" i="72" l="1"/>
  <c r="P11" i="72"/>
  <c r="P7" i="72"/>
  <c r="P10" i="69"/>
  <c r="Q7" i="69"/>
  <c r="J317" i="22"/>
  <c r="D329" i="22"/>
  <c r="F329" i="22"/>
  <c r="I329" i="22"/>
  <c r="H329" i="22"/>
  <c r="E329" i="22"/>
  <c r="C329" i="22"/>
  <c r="G329" i="22"/>
  <c r="P10" i="72" l="1"/>
  <c r="Q7" i="72"/>
  <c r="R7" i="69"/>
  <c r="Q10" i="69"/>
  <c r="J329" i="22"/>
  <c r="Q10" i="72" l="1"/>
  <c r="R7" i="72"/>
  <c r="R10" i="69"/>
  <c r="S7" i="69"/>
  <c r="L263" i="22"/>
  <c r="O263" i="22" s="1"/>
  <c r="R10" i="72" l="1"/>
  <c r="S7" i="72"/>
  <c r="S10" i="69"/>
  <c r="T7" i="69"/>
  <c r="T7" i="72" l="1"/>
  <c r="S10" i="72"/>
  <c r="T10" i="69"/>
  <c r="U7" i="69"/>
  <c r="U7" i="72" l="1"/>
  <c r="T10" i="72"/>
  <c r="U10" i="69"/>
  <c r="V7" i="69"/>
  <c r="U10" i="72" l="1"/>
  <c r="V7" i="72"/>
  <c r="V10" i="69"/>
  <c r="W7" i="69"/>
  <c r="W7" i="72" l="1"/>
  <c r="V10" i="72"/>
  <c r="W10" i="69"/>
  <c r="X7" i="69"/>
  <c r="X10" i="69" s="1"/>
  <c r="W10" i="72" l="1"/>
  <c r="X7" i="72"/>
  <c r="X10" i="72" s="1"/>
</calcChain>
</file>

<file path=xl/sharedStrings.xml><?xml version="1.0" encoding="utf-8"?>
<sst xmlns="http://schemas.openxmlformats.org/spreadsheetml/2006/main" count="53409" uniqueCount="4053">
  <si>
    <t>2015/16</t>
  </si>
  <si>
    <t>2016/17</t>
  </si>
  <si>
    <t>2017/18</t>
  </si>
  <si>
    <t>2018/19</t>
  </si>
  <si>
    <t>2019/20</t>
  </si>
  <si>
    <t>2020/21</t>
  </si>
  <si>
    <t>2021/22</t>
  </si>
  <si>
    <t>2022/23</t>
  </si>
  <si>
    <t>2023/24</t>
  </si>
  <si>
    <t>2024/25</t>
  </si>
  <si>
    <t>2025/26</t>
  </si>
  <si>
    <t>2026/27</t>
  </si>
  <si>
    <t>2027/28</t>
  </si>
  <si>
    <t>2028/29</t>
  </si>
  <si>
    <t>2029/30</t>
  </si>
  <si>
    <t>2030/31</t>
  </si>
  <si>
    <t>2013/3916</t>
  </si>
  <si>
    <t>2013/6533</t>
  </si>
  <si>
    <t>2013/5746</t>
  </si>
  <si>
    <t>2012/3960</t>
  </si>
  <si>
    <t>2014/2278</t>
  </si>
  <si>
    <t>Conversion of existing office (Use Class B1a) into a one bedroom flat (Use Class C3).</t>
  </si>
  <si>
    <t>2014/2300</t>
  </si>
  <si>
    <t>Conversion of house to 3 flats (1 x 3 bed, 1 x 2-bed, 1 x 1-bed) including erection of single and two-storey rear extensions (including French doors and balustrade) and erection of rear mansard roof extension.</t>
  </si>
  <si>
    <t>POLA</t>
  </si>
  <si>
    <t>Block C</t>
  </si>
  <si>
    <t>2014/4483</t>
  </si>
  <si>
    <t>Demolition of existing house and erection of two-storey (plus basement) house with a first floor balcony, associated landscaping and felling of 4 trees. Further consultation following Tree survey and site boundary adjustments.</t>
  </si>
  <si>
    <t>2014/4516</t>
  </si>
  <si>
    <t>Demolition of existing buildings and construction of a new 4-storey building to provide 22 flats for affordable rent, including associated landscaping, cycle and refuse stores.</t>
  </si>
  <si>
    <t>2014/4531</t>
  </si>
  <si>
    <t>Erection of three-storey dwellinghouse with associated parking and landscaping.</t>
  </si>
  <si>
    <t>2014/4588</t>
  </si>
  <si>
    <t>2014/2810</t>
  </si>
  <si>
    <t>Combined Main Market, Entrance site and Thessaly College site</t>
  </si>
  <si>
    <t>2014/2019</t>
  </si>
  <si>
    <t>2013/6634</t>
  </si>
  <si>
    <t>Alteration to reduce number of approved flats from 8 to 3 houses involving internal changes only.</t>
  </si>
  <si>
    <t>C</t>
  </si>
  <si>
    <t>Prior approval for conversion of offices on first and second floors (B1) to 14 x residential flats (C3).</t>
  </si>
  <si>
    <t>2012/3143</t>
  </si>
  <si>
    <t>Demolition of existing rear addition. Excavation of basement and erection of ground floor rear extension in connection with the use of the rear of the property as a three-bedroom dwelling.</t>
  </si>
  <si>
    <t>Change of use of first floor units from offices (Use Class B1) to residentail (Use Class C3) as two studio flats.</t>
  </si>
  <si>
    <t>2014/5786</t>
  </si>
  <si>
    <t>2014/15</t>
  </si>
  <si>
    <t>2013/14</t>
  </si>
  <si>
    <t>Year</t>
  </si>
  <si>
    <t>Permissions</t>
  </si>
  <si>
    <t>Starts</t>
  </si>
  <si>
    <t>Completions</t>
  </si>
  <si>
    <t>2014/7090</t>
  </si>
  <si>
    <t>2015/0591</t>
  </si>
  <si>
    <t>2015/0684</t>
  </si>
  <si>
    <t>SLA</t>
  </si>
  <si>
    <t>2014/5383</t>
  </si>
  <si>
    <t>Conversion of existing building at first, second, and third floor levels into 19 self contained apartments.</t>
  </si>
  <si>
    <t>2014/6050</t>
  </si>
  <si>
    <t>2014/7344</t>
  </si>
  <si>
    <t>Wereldhave Site</t>
  </si>
  <si>
    <t>West Putney</t>
  </si>
  <si>
    <t>Ward</t>
  </si>
  <si>
    <t>Regeneration Area</t>
  </si>
  <si>
    <t>Total</t>
  </si>
  <si>
    <t>2014/5735</t>
  </si>
  <si>
    <t>Former John Paul II School</t>
  </si>
  <si>
    <t>VNEB</t>
  </si>
  <si>
    <t>Affordable</t>
  </si>
  <si>
    <t>Wheelchair Accessible Homes</t>
  </si>
  <si>
    <t>2012/5286</t>
  </si>
  <si>
    <t>Abbreviations</t>
  </si>
  <si>
    <t>2014/5806</t>
  </si>
  <si>
    <t>Change of use of the ground and first floors of the building to form one residential dwelling (two storey) from its permittred Class B1(a) office.</t>
  </si>
  <si>
    <t>2014/1888</t>
  </si>
  <si>
    <t>Conversion of existing three-storey maisonette into 3 self contained flats consisting of 2 x 2 bedroom units and 1 x studio unit.</t>
  </si>
  <si>
    <t>Intermediate</t>
  </si>
  <si>
    <t>2014/1471</t>
  </si>
  <si>
    <t>Phase Construction Date</t>
  </si>
  <si>
    <t>Phase Completion Date</t>
  </si>
  <si>
    <t>2014/6325</t>
  </si>
  <si>
    <t>Demolition of existing garages, erection of a single-storey plus basement attached self-contained dwelling fronting Blenkame Road with boundary treatment and associated landscaping.</t>
  </si>
  <si>
    <t>1-14 Priscilla Court, 145</t>
  </si>
  <si>
    <t>2014/6428</t>
  </si>
  <si>
    <t>Prior approval for the change of use of the front part of the ground floor from office use (Use class B1) to two self-contained residential units (Use Class C3).</t>
  </si>
  <si>
    <t>2013/4653</t>
  </si>
  <si>
    <t>Ground Floor</t>
  </si>
  <si>
    <t>2014/3598</t>
  </si>
  <si>
    <t>2014/3609</t>
  </si>
  <si>
    <t>2014/3755</t>
  </si>
  <si>
    <t>2012/1443</t>
  </si>
  <si>
    <t>2014/4425</t>
  </si>
  <si>
    <t>Conversion of flats A &amp; C into one residential unit.  Erection of rear mansard roof extension to main roof including formation of roof terrace with safety balustrading; external alterations to rear windows.</t>
  </si>
  <si>
    <t>2014/4515</t>
  </si>
  <si>
    <t>OTC</t>
  </si>
  <si>
    <t>2014/5714</t>
  </si>
  <si>
    <t>Erection of extension above existing two storey side extension within front recess, single-storey rear extension and excavation to create a basement all in connection with the change from use of two flats to a single dwellinghouse.</t>
  </si>
  <si>
    <t>2014/6447</t>
  </si>
  <si>
    <t>2014/6478</t>
  </si>
  <si>
    <t>2014/6590</t>
  </si>
  <si>
    <t>2014/6619</t>
  </si>
  <si>
    <t>Conversion of flat on third floor into 2 no. one bedroom flats.</t>
  </si>
  <si>
    <t>2014/6740</t>
  </si>
  <si>
    <t>2012/5699</t>
  </si>
  <si>
    <t>e</t>
  </si>
  <si>
    <t>2012/1258</t>
  </si>
  <si>
    <t>PFLA</t>
  </si>
  <si>
    <t>h</t>
  </si>
  <si>
    <t>2012/5470</t>
  </si>
  <si>
    <t>2013/1068</t>
  </si>
  <si>
    <t>Erection of additional floor to Mansion Block to accommodate no.3 (3-bedroom) flats with roof terraces.</t>
  </si>
  <si>
    <t>2014/3761</t>
  </si>
  <si>
    <t>PANR</t>
  </si>
  <si>
    <t>West Hill</t>
  </si>
  <si>
    <t>Net Studio Live Work</t>
  </si>
  <si>
    <t>PF</t>
  </si>
  <si>
    <t>Nil</t>
  </si>
  <si>
    <t>BF</t>
  </si>
  <si>
    <t>NB</t>
  </si>
  <si>
    <t>n/a</t>
  </si>
  <si>
    <t>P</t>
  </si>
  <si>
    <t>CON</t>
  </si>
  <si>
    <t>a</t>
  </si>
  <si>
    <t>AF</t>
  </si>
  <si>
    <t>Demolition of existing garages and construction of 3 houses (one detached house to front of the site and two semi-detached houses to rear) and two car parking spaces.</t>
  </si>
  <si>
    <t>2014/4665</t>
  </si>
  <si>
    <t>2012/4193</t>
  </si>
  <si>
    <t>Demolition of three storey block of six flats and erection of three, two-storey semi-detached houses with accommodation at basement and roof levels.</t>
  </si>
  <si>
    <t>LDC</t>
  </si>
  <si>
    <t>2014/2603</t>
  </si>
  <si>
    <t>Tenure Unknown</t>
  </si>
  <si>
    <t>Nine Elms Parkside</t>
  </si>
  <si>
    <t>2009/10</t>
  </si>
  <si>
    <t>2010/11</t>
  </si>
  <si>
    <t>2011/12</t>
  </si>
  <si>
    <t>Table 2</t>
  </si>
  <si>
    <t>Total Affordable</t>
  </si>
  <si>
    <t>Units</t>
  </si>
  <si>
    <t>%</t>
  </si>
  <si>
    <t>New Build</t>
  </si>
  <si>
    <t>Conversions</t>
  </si>
  <si>
    <t>Gross</t>
  </si>
  <si>
    <t>Net</t>
  </si>
  <si>
    <t>Table 3</t>
  </si>
  <si>
    <t>Table 4</t>
  </si>
  <si>
    <t>Table 5</t>
  </si>
  <si>
    <t>New Permissions</t>
  </si>
  <si>
    <t>Table 6</t>
  </si>
  <si>
    <t>Housing Capacity</t>
  </si>
  <si>
    <t xml:space="preserve">Gross </t>
  </si>
  <si>
    <t>First Floor</t>
  </si>
  <si>
    <t>Lifetime Homes</t>
  </si>
  <si>
    <t>Net Studio Units</t>
  </si>
  <si>
    <t>1a</t>
  </si>
  <si>
    <t>2011/4771</t>
  </si>
  <si>
    <t>Demolition of existing mid-terrace house and construction of three storey house with basement excavation of entire plot, rear terrace at 2nd floor level,  2 x rear lightwells  and single storey annex in rear garden</t>
  </si>
  <si>
    <t>Social/Affordable Rent</t>
  </si>
  <si>
    <t>Y</t>
  </si>
  <si>
    <t>2014/4756</t>
  </si>
  <si>
    <t>House &gt; Flats</t>
  </si>
  <si>
    <t>Flats &gt; House</t>
  </si>
  <si>
    <t>Flats &gt; Flats</t>
  </si>
  <si>
    <t>Clapham Junction</t>
  </si>
  <si>
    <t>Putney</t>
  </si>
  <si>
    <t>Table 15</t>
  </si>
  <si>
    <t>Table 16</t>
  </si>
  <si>
    <t>London Plan Target</t>
  </si>
  <si>
    <t>Conventional Supply</t>
  </si>
  <si>
    <t>Policy Area</t>
  </si>
  <si>
    <t>Change of use</t>
  </si>
  <si>
    <t>2014/3467</t>
  </si>
  <si>
    <t>Demolition of two single storey prefabricated concrete lock up storage units and excavation to enable erection of 1 x 3 bedroom three-storey house with office (as live/work unit) included at basement level.</t>
  </si>
  <si>
    <t>Name</t>
  </si>
  <si>
    <t>Easting</t>
  </si>
  <si>
    <t>Northing</t>
  </si>
  <si>
    <t>Proposal</t>
  </si>
  <si>
    <t>Application Status</t>
  </si>
  <si>
    <t>Appeal Status</t>
  </si>
  <si>
    <t>Application Received Date</t>
  </si>
  <si>
    <t>Appeal Decision Date</t>
  </si>
  <si>
    <t>Land Type</t>
  </si>
  <si>
    <t>Development Type</t>
  </si>
  <si>
    <t>2014/0340</t>
  </si>
  <si>
    <t>Demolition of existing first floor accommodation with retention of existing frontage; erection of part single/part two storey extension above ground floor retail unit to provide 3 residential units.</t>
  </si>
  <si>
    <t>2012/6002</t>
  </si>
  <si>
    <t>Change of use from two flats to a single dwelling including the reinstatement of the front entrance door</t>
  </si>
  <si>
    <t>2013/3516</t>
  </si>
  <si>
    <t>Demolition of existing workshop. Erection of two-storey, 1-bedroom house with first floor level terrace to rear.</t>
  </si>
  <si>
    <t>2013/3575</t>
  </si>
  <si>
    <t>Construction of first and second floor extensions to enlarge existing first floor flat and provide a new one-bedroom flat at second floor level.</t>
  </si>
  <si>
    <t>Table 11</t>
  </si>
  <si>
    <t>Dwelling Mix</t>
  </si>
  <si>
    <t>Studio</t>
  </si>
  <si>
    <t>1 bed</t>
  </si>
  <si>
    <t>2 bed</t>
  </si>
  <si>
    <t>3 bed</t>
  </si>
  <si>
    <t>4 bed</t>
  </si>
  <si>
    <t>5+ bed</t>
  </si>
  <si>
    <t>Not Known</t>
  </si>
  <si>
    <t>Status</t>
  </si>
  <si>
    <t>% Affordable</t>
  </si>
  <si>
    <t>Spatial Areas</t>
  </si>
  <si>
    <t>Table 7</t>
  </si>
  <si>
    <t>Table 9</t>
  </si>
  <si>
    <t>Wandsworth</t>
  </si>
  <si>
    <t>Table 10</t>
  </si>
  <si>
    <t>Rest of Wandsworth</t>
  </si>
  <si>
    <t>Vauxhall, Nine Elms, Battersea Opportunity Area (VNEB)</t>
  </si>
  <si>
    <t>Table 12</t>
  </si>
  <si>
    <t>Table 13</t>
  </si>
  <si>
    <t>Table 14</t>
  </si>
  <si>
    <t>Net new build units completed by unit size and tenure</t>
  </si>
  <si>
    <t>2014/7337</t>
  </si>
  <si>
    <t>Demolition of garages at rear; erection of a single-storey rear extension in connection with use as a single dwelling.</t>
  </si>
  <si>
    <t>Delivery in 5 Years</t>
  </si>
  <si>
    <t>2014/3016</t>
  </si>
  <si>
    <t>Construction of 8no. mews houses (two terraces of 4 houses) in two- and three-storey buildings, including associated car parking, bin stores and landscaping.</t>
  </si>
  <si>
    <t>2014/3107</t>
  </si>
  <si>
    <t>Change of use from two flats to a single dwelling house.</t>
  </si>
  <si>
    <t>Prior approval for conversion of office (Use Class B1a) to nine self-contained residential units (Use Class C3).</t>
  </si>
  <si>
    <t>n</t>
  </si>
  <si>
    <t>EXT</t>
  </si>
  <si>
    <t>c+</t>
  </si>
  <si>
    <t>2013/1901</t>
  </si>
  <si>
    <t>Conversion of property from two self contained flats to single family dwelling house.</t>
  </si>
  <si>
    <t>2013/1978</t>
  </si>
  <si>
    <t>2011/3748</t>
  </si>
  <si>
    <t>Riverlight</t>
  </si>
  <si>
    <t>Riverlight 5 (Block A)</t>
  </si>
  <si>
    <t>Alterations involving the amalgamation to two apartments (C85 and C86) on the 8th floor to create one apartment.</t>
  </si>
  <si>
    <t>2014/6765</t>
  </si>
  <si>
    <t>Demolition of existing building and erection of four dwelling houses with associated parking.</t>
  </si>
  <si>
    <t>2014/6851</t>
  </si>
  <si>
    <t>Change of use from B1 (office) to C3 (dwellinghouse) comprising 3 x apartments.</t>
  </si>
  <si>
    <t>2013/4881</t>
  </si>
  <si>
    <t>2013/4945</t>
  </si>
  <si>
    <t>Conversion of 5 vacant residential garages into a 1 x 2 bedroom dwelling including excavation to create basement level accomodation and a courtyard.</t>
  </si>
  <si>
    <t>Former Army Cadet Force Building</t>
  </si>
  <si>
    <t>2010/3703</t>
  </si>
  <si>
    <t>One Nine Elms</t>
  </si>
  <si>
    <t>Open Market</t>
  </si>
  <si>
    <t>Market</t>
  </si>
  <si>
    <t>Queenstown</t>
  </si>
  <si>
    <t>Latchmere</t>
  </si>
  <si>
    <t>Tooting</t>
  </si>
  <si>
    <t>Town Centre</t>
  </si>
  <si>
    <t>Central Wandsworth and the Wandle Delta</t>
  </si>
  <si>
    <t>Roehampton (The Heart of Roehampton)</t>
  </si>
  <si>
    <t>East Putney and Upper Richmond Road</t>
  </si>
  <si>
    <t>Balham</t>
  </si>
  <si>
    <t>Bedford</t>
  </si>
  <si>
    <t>Earlsfield</t>
  </si>
  <si>
    <t>East Putney</t>
  </si>
  <si>
    <t>Fairfield</t>
  </si>
  <si>
    <t>Furzedown</t>
  </si>
  <si>
    <t>Graveney</t>
  </si>
  <si>
    <t>Nightingale</t>
  </si>
  <si>
    <t>Northcote</t>
  </si>
  <si>
    <t>Shaftesbury</t>
  </si>
  <si>
    <t>St Mary's Park</t>
  </si>
  <si>
    <t>Southfields</t>
  </si>
  <si>
    <t>Thamesfield</t>
  </si>
  <si>
    <t>Wandsworth Common</t>
  </si>
  <si>
    <t>Phase 2 Demolition (Private)</t>
  </si>
  <si>
    <t>Phase 2 Demolition (Social Rented)</t>
  </si>
  <si>
    <t>Phase 3 (Open Market)</t>
  </si>
  <si>
    <t>Phase 3 (Social Rented)</t>
  </si>
  <si>
    <t>Phase 3 Demolition (Open Market)</t>
  </si>
  <si>
    <t>Phase 3 Demolition (Social Rented)</t>
  </si>
  <si>
    <t>Phase 3 Intermediate</t>
  </si>
  <si>
    <t>2013/2947</t>
  </si>
  <si>
    <t>Demolition of garage and erection of two-storey house.</t>
  </si>
  <si>
    <t>PAG</t>
  </si>
  <si>
    <t>2014/1622</t>
  </si>
  <si>
    <t>Tooting Boys' Club</t>
  </si>
  <si>
    <t>Change of use of the existing building from former community building (Class D1) to create four self-contained residential units comprising internal and external alterations (including terraces) and extensions.</t>
  </si>
  <si>
    <t>2014/1778</t>
  </si>
  <si>
    <t>Erection of two storey building to provide a 1 bedroom self contained residential unit to the rear of existing shop.</t>
  </si>
  <si>
    <t>HAAR</t>
  </si>
  <si>
    <t>2014/4951</t>
  </si>
  <si>
    <t>Flats 1-8</t>
  </si>
  <si>
    <t>2015/0771</t>
  </si>
  <si>
    <t>Demolition of existing garages and erection of detached two-storey 4 bedroom dwelling.</t>
  </si>
  <si>
    <t>Land adjacent Fontenoy Road</t>
  </si>
  <si>
    <t>2013/6641</t>
  </si>
  <si>
    <t>Three-storey detached building providing 9 units of supported housing; relocation of parking spaces including 3 additional spaces.</t>
  </si>
  <si>
    <t>2014/0058</t>
  </si>
  <si>
    <t>Erection of a one-bedroom dwelling at the rear of No.14 Lavender Hill with the associated amenity space, refuse and cycle space.</t>
  </si>
  <si>
    <t>2014/0194</t>
  </si>
  <si>
    <t>Construction of a single-storey rear extension, in connection with the conversion of the existing dwellinghouse to form; 1 x 3-bedroom flat, 1 x 2-bedroom flat &amp; 1 x 1-bedroom flat.</t>
  </si>
  <si>
    <t>2014/0338</t>
  </si>
  <si>
    <t>Pearl Chemist</t>
  </si>
  <si>
    <t>2013/5712</t>
  </si>
  <si>
    <t>Public open space east of 76</t>
  </si>
  <si>
    <t>PO</t>
  </si>
  <si>
    <t>Block A</t>
  </si>
  <si>
    <t>Block B</t>
  </si>
  <si>
    <t>Block D</t>
  </si>
  <si>
    <t>RP</t>
  </si>
  <si>
    <t>APG</t>
  </si>
  <si>
    <t>d</t>
  </si>
  <si>
    <t>Battersea Reach, (former Guinness Site)</t>
  </si>
  <si>
    <t>c-</t>
  </si>
  <si>
    <t>2012/5419</t>
  </si>
  <si>
    <t>2014/7305</t>
  </si>
  <si>
    <t>Conversion of rear office area (ancillary to shop A1 use class) to form a one-bedroom self-contained residential unit (Use Class C3), including external alterations to lower the roof and create a courtyard area.</t>
  </si>
  <si>
    <t>2015/0277</t>
  </si>
  <si>
    <t>Demolition of existing building and erection of detached 2-storey house with accommodation at basement level; erection of east brick boundary wall.</t>
  </si>
  <si>
    <t>2010/0271</t>
  </si>
  <si>
    <t>Part ground and first floor</t>
  </si>
  <si>
    <t>Demolition of existing property and erection of a four-storey (including basement level and accommodation within the roofspace) detached house.</t>
  </si>
  <si>
    <t>2013/1313</t>
  </si>
  <si>
    <t>COU</t>
  </si>
  <si>
    <t>g</t>
  </si>
  <si>
    <t>HASR</t>
  </si>
  <si>
    <t>2014/4360</t>
  </si>
  <si>
    <t>16</t>
  </si>
  <si>
    <t>Demolish existing unit (Use Class B1) and construction of 2 storey building to provide 4 self contained apartments (2 x one bedroom and 2 x two bedroom) with refuse and store and cycle parking.</t>
  </si>
  <si>
    <t>APD</t>
  </si>
  <si>
    <t>2014/2898</t>
  </si>
  <si>
    <t>Change of use from store (Class B8) to a one-bedroom dwelling (Class C3).</t>
  </si>
  <si>
    <t>Erection of a two-storey detached house with associated landscaping and parking.</t>
  </si>
  <si>
    <t>2014/0752</t>
  </si>
  <si>
    <t>Conversion of 2 flats into a single dwelling together with the erection of rear/side single-storey extension.</t>
  </si>
  <si>
    <t>2015/0599</t>
  </si>
  <si>
    <t>Chelsea Bridge Wharf</t>
  </si>
  <si>
    <t>Internal alterations to convert apartments 31 and 32 into one self contained unit (Class Use C3).</t>
  </si>
  <si>
    <t>2013/6430</t>
  </si>
  <si>
    <t>Demolition of existing garage. Construction of three-storey side extension with rear roof extension and conversion into self contained two bedroomed dwelling. Installation of 6 solar panels to front roof slope.</t>
  </si>
  <si>
    <t>2014/0195</t>
  </si>
  <si>
    <t>2014/2847</t>
  </si>
  <si>
    <t>Erection of roof extension (including raising the ridge level, front dormers and rear french doors with railings) to create an additional storey of accommodation to form additional 2 x one-bedroom flats.</t>
  </si>
  <si>
    <t>2014/4498</t>
  </si>
  <si>
    <t>GF</t>
  </si>
  <si>
    <t>2010/0722</t>
  </si>
  <si>
    <t>Demolition of existing public house building. Redevelopment of the site to provide a five-storey building with shops and a cafe/community area on the ground floor and nine flats above with balconies/terraces, with 10 basement parking spaces.</t>
  </si>
  <si>
    <t>JSS Pinnacle House (35)</t>
  </si>
  <si>
    <t>2013/3260</t>
  </si>
  <si>
    <t>b</t>
  </si>
  <si>
    <t>2014/6901</t>
  </si>
  <si>
    <t>Erection of a part single-storey part two-storey rear extension, in connection with the change of use of first floor and part of the ground floor commercial space to form two residential flats (1 x 1 bed, 1 x studio) accessed off Dorothy Road.</t>
  </si>
  <si>
    <t>2014/6941</t>
  </si>
  <si>
    <t>Determination as to whether prior approval is required to change of the use of first and second floors from offices to 10 x self contained studio flats.</t>
  </si>
  <si>
    <t>2014/7018</t>
  </si>
  <si>
    <t>2014/7080</t>
  </si>
  <si>
    <t>Construction of mansard roof extension to main roof; creation of front entrance door and change of use of first floor all in association with the creation of a two-bedroom residential unit.</t>
  </si>
  <si>
    <t>2014/7166</t>
  </si>
  <si>
    <t>LRC</t>
  </si>
  <si>
    <t>i</t>
  </si>
  <si>
    <t>HAKW</t>
  </si>
  <si>
    <t>2013/2746</t>
  </si>
  <si>
    <t>Erection of two semi-detached dwellings with private gardens following the demolition of existing garages.</t>
  </si>
  <si>
    <t>AO</t>
  </si>
  <si>
    <t>HAUK</t>
  </si>
  <si>
    <t>Full planning permission</t>
  </si>
  <si>
    <t>Outline planning permission</t>
  </si>
  <si>
    <t>Outline planning permission with legal agreement signed</t>
  </si>
  <si>
    <t>Full application</t>
  </si>
  <si>
    <t>Outline application</t>
  </si>
  <si>
    <t>Refused permission</t>
  </si>
  <si>
    <t>Garden land</t>
  </si>
  <si>
    <t>House&gt;flats</t>
  </si>
  <si>
    <t>Flats&gt;house</t>
  </si>
  <si>
    <t>Subdivision of flats reducing number of units</t>
  </si>
  <si>
    <t>Subdivision of flats creating more units</t>
  </si>
  <si>
    <t>New build 1-9 units</t>
  </si>
  <si>
    <t>Private market</t>
  </si>
  <si>
    <t>APP</t>
  </si>
  <si>
    <t>Table 19</t>
  </si>
  <si>
    <t>Table 17</t>
  </si>
  <si>
    <t>Table 18</t>
  </si>
  <si>
    <t>2014/5494</t>
  </si>
  <si>
    <t>2014/7331</t>
  </si>
  <si>
    <t>2014/7364</t>
  </si>
  <si>
    <t>2015/0140</t>
  </si>
  <si>
    <t>Demolition of existing industrial buildings (Use Class B2) and erection of 9 x 4 bedroom three-storey (with basement) residential dwellings (Class Use C3) with second floor balconies and roof terraces, including new access and parking areas.</t>
  </si>
  <si>
    <t>2015/0164</t>
  </si>
  <si>
    <t>2014/5357</t>
  </si>
  <si>
    <t>Criteria</t>
  </si>
  <si>
    <t>2014/7184</t>
  </si>
  <si>
    <t>Conversion of ground and first floor shop (Class A1) to a one-bedroom dwelling (Class C3); and external alterations (Prior Approval Application).</t>
  </si>
  <si>
    <t>2014/7272</t>
  </si>
  <si>
    <t>2014/6863</t>
  </si>
  <si>
    <t>Conversion of ground floor level into 1 x one-bedroom and 1 x two-bedroom flat and extension to basement level including formation of front lightwells with grille over to create a 1 x three-bedroom flat.</t>
  </si>
  <si>
    <t>2015/0170</t>
  </si>
  <si>
    <t>Erection of roof extension over existing single-storey addition to create an additional storey and change of use from offices (Use Class B1a) to a 2-bedroom dwellinghouse (Use Class C3).</t>
  </si>
  <si>
    <t>2015/0317</t>
  </si>
  <si>
    <t>2014/4775</t>
  </si>
  <si>
    <t>Prior Approval for conversion from offices (Class B1) at second floor level to 2 x 1-bedroom and 2 x 2-bedroom residential units (Class C3).</t>
  </si>
  <si>
    <t>2014/0618</t>
  </si>
  <si>
    <t>Erection of roof extension to provide 1x2bedroom flat with roof terrace.</t>
  </si>
  <si>
    <t>2014/4964</t>
  </si>
  <si>
    <t>Erection of a two-storey 3-bed dwelling with primary access off Hereward Road (Outline) (All matters reserved)</t>
  </si>
  <si>
    <t>2014/4978</t>
  </si>
  <si>
    <t>Amalgamation of two residential flats at first and second floor levels into one maisonette.</t>
  </si>
  <si>
    <t>Demolition of existing buildings. Erection of part two/ part three-storey building with accommodation in roof level, to provide 8 residential units together with cycle storage, roof terraces/balconies, communal gardens and landscaping.</t>
  </si>
  <si>
    <t>Construction of side/rear extension in connection with the conversion of part of existing hairdressers (Shop- Class A1) to one-bedroom flat (Class C3). Formation of window openings to rear facade.</t>
  </si>
  <si>
    <t>2014/0641</t>
  </si>
  <si>
    <t>Net new build units with planning permission by unit size and tenure</t>
  </si>
  <si>
    <t>Gdn</t>
  </si>
  <si>
    <t>MIX</t>
  </si>
  <si>
    <t>f</t>
  </si>
  <si>
    <t>55 Albert Bridge Road</t>
  </si>
  <si>
    <t>2013/3267</t>
  </si>
  <si>
    <t>2011/3253</t>
  </si>
  <si>
    <t>Demolition of 2 semi-detached houses. Erection of 4 x three-storey (top floor in roof) terraced houses. (Renewal of planning permission dated 13.10.2008 ref. 2008/3474).</t>
  </si>
  <si>
    <t>2012/13</t>
  </si>
  <si>
    <t>2013/2946</t>
  </si>
  <si>
    <t>Embassy Gardens</t>
  </si>
  <si>
    <t>2014/3881</t>
  </si>
  <si>
    <t>Tenure Code</t>
  </si>
  <si>
    <t>Tenure</t>
  </si>
  <si>
    <t>2013/5264</t>
  </si>
  <si>
    <t>2013/2197</t>
  </si>
  <si>
    <t>2014/7206</t>
  </si>
  <si>
    <t>2014/7233</t>
  </si>
  <si>
    <t>Town Centres</t>
  </si>
  <si>
    <t>Regeneration Areas</t>
  </si>
  <si>
    <t>Policy Areas</t>
  </si>
  <si>
    <t>Wards</t>
  </si>
  <si>
    <t>Brownfield</t>
  </si>
  <si>
    <t>Greenfield</t>
  </si>
  <si>
    <t>Table 20</t>
  </si>
  <si>
    <t>2015/0351</t>
  </si>
  <si>
    <t>Grand Total</t>
  </si>
  <si>
    <t>Erection of side roof extension, rear roof extension and part conversion of first floor maisonette in order to create 1 x 1 bedroom flat at second floor level.  Installation of external stair to rear.</t>
  </si>
  <si>
    <t>2015/0995</t>
  </si>
  <si>
    <t>Erection of a 3-storey house to the rear of 14 Chivalry Road, and adjacent to 118 Bolingbroke Grove.</t>
  </si>
  <si>
    <t>Determination as to whether prior approval is required for change of use from retail (Class A1) to one residential unit (Class C3).</t>
  </si>
  <si>
    <t>2015/1078</t>
  </si>
  <si>
    <t>Erection of rear extensions at first and second floor levels including formation of balconies/roof terraces at roof level and second floor level in connection with conversion of a two bedroom flat into 2 x one bedroom flats.</t>
  </si>
  <si>
    <t>2015/1205</t>
  </si>
  <si>
    <t>2015/1235</t>
  </si>
  <si>
    <t>2015/1330</t>
  </si>
  <si>
    <t>2015/1520</t>
  </si>
  <si>
    <t>Alterations including increase in scale of rear extension and alterations to existing fenestration, in connection with change of use from Restaurant (A3) to a Live Work Unit (C3/A1/A2).</t>
  </si>
  <si>
    <t>2015/1572</t>
  </si>
  <si>
    <t>Demolition of existing property and erection of a new two-storey plus basement level detached house, with additional accommodation provided within the roofspace, and with integral garage.</t>
  </si>
  <si>
    <t>2015/1591</t>
  </si>
  <si>
    <t>Application for prior approval for change of use of property from B1(a) offices to residential (use class C3).</t>
  </si>
  <si>
    <t>Erection of four-storey plus basement building to provide Class A1 shops at ground floor with 8 flats above including a first floor roof garden.</t>
  </si>
  <si>
    <t>Land rear of Mitcham Lane</t>
  </si>
  <si>
    <t>2014/3837</t>
  </si>
  <si>
    <t>27-33 Parkgate Road &amp; 2-42 Elcho Street</t>
  </si>
  <si>
    <t>2014/4626</t>
  </si>
  <si>
    <t>BLOCK B - PRIVATE</t>
  </si>
  <si>
    <t>BLOCK C - PRIVATE</t>
  </si>
  <si>
    <t>2014/5149</t>
  </si>
  <si>
    <t>South Thames College &amp; Welbeck House</t>
  </si>
  <si>
    <t>2014/6020</t>
  </si>
  <si>
    <t>Conversion of upper floors into 1 x studio flat and 1 x 2-bedroom flat; including extension to rear roof.</t>
  </si>
  <si>
    <t>2014/6746</t>
  </si>
  <si>
    <t>BLOCK A - 2ND FLOOR - PRIVATE</t>
  </si>
  <si>
    <t>BLOCK A - 2ND FLOOR SHARED OWNERSHIP</t>
  </si>
  <si>
    <t>BLOCK A - 3RD FLOOR - PRIVATE</t>
  </si>
  <si>
    <t>BLOCK A - 3RD FLOOR - SHARED OWNERSHIP</t>
  </si>
  <si>
    <t>BLOCK A - 4TH FLOOR - PRIVATE</t>
  </si>
  <si>
    <t>BLOCK A - 4TH FLOOR - SHARED OWNERSHIP</t>
  </si>
  <si>
    <t>BLOCK A - 5TH FLOOR - PRIVATE</t>
  </si>
  <si>
    <t>BLOCK A - 6TH FLOOR - PRIVATE</t>
  </si>
  <si>
    <t>BLOCK A - 6TH FLOOR - SHARED OWNERSHIP</t>
  </si>
  <si>
    <t>BLOCK A - 7TH FLOOR - PRIVATE</t>
  </si>
  <si>
    <t>BLOCK A - 7TH FLOOR - SHARED OWNERSHIP</t>
  </si>
  <si>
    <t>BLOCK A - 8TH FLOOR - PRIVATE</t>
  </si>
  <si>
    <t>BLOCK A - 8TH FLOOR - SHARED OWNERSHIP</t>
  </si>
  <si>
    <t>BLOCK A - 9TH FLOOR - PRIVATE</t>
  </si>
  <si>
    <t>BLOCK B - 2ND FLOOR - PRIVATE</t>
  </si>
  <si>
    <t>BLOCK B - 3RD FLOOR - PRIVATE</t>
  </si>
  <si>
    <t>BLOCK B - 3RD FLOOR - SHARED OWNERSHIP</t>
  </si>
  <si>
    <t>BLOCK B - 4TH FLOOR - PRIVATE</t>
  </si>
  <si>
    <t>BLOCK B - 5TH FLOOR - PRIVATE</t>
  </si>
  <si>
    <t>BLOCK B - 6TH FLOOR - PRIVATE</t>
  </si>
  <si>
    <t>BLOCK B - 7TH FLOOR - PRIVATE</t>
  </si>
  <si>
    <t>BLOCK B - 8TH FLOOR - PRIVATE</t>
  </si>
  <si>
    <t>BLOCK B - 9TH FLOOR - PRIVATE</t>
  </si>
  <si>
    <t>BLOCK C - 2ND FLOOR - PRIVATE</t>
  </si>
  <si>
    <t>BLOCK C - 2ND FLOOR - SHARED OWNERSHIP</t>
  </si>
  <si>
    <t>BLOCK C - 3RD FLOOR - SHARED OWNERSHIP</t>
  </si>
  <si>
    <t>BLOCK C - 4TH FLOOR - SHARED OWNERSHIP</t>
  </si>
  <si>
    <t>BLOCK C - 5TH FLOOR - SHARED OWNERSHIP</t>
  </si>
  <si>
    <t>BLOCK C - 6TH FLOOR - PRIVATE</t>
  </si>
  <si>
    <t>BLOCK C - 6TH FLOOR - SHARED OWNERSHIP</t>
  </si>
  <si>
    <t>BLOCK C - 7TH FLOOR - PRIVATE</t>
  </si>
  <si>
    <t>BLOCK C - 7TH FLOOR - SHARED OWNERSHIP</t>
  </si>
  <si>
    <t>BLOCK C - 8TH FLOOR - PRIVATE</t>
  </si>
  <si>
    <t>BLOCK C - 8TH FLOOR - SHARED OWNERSHIP</t>
  </si>
  <si>
    <t>BLOCK C - 9TH FLOOR - PRIVARE</t>
  </si>
  <si>
    <t>BLOCK C - 9TH FLOOR - SHARED OWNERSHIP</t>
  </si>
  <si>
    <t>Erection of hip to gable, main roof extension, increase in height of back addition and extension above part of back addition to provide 1x 2-bedroom flat and 1x 1-bedroom flat with roof terrace at third floor level.</t>
  </si>
  <si>
    <t>2014/6909</t>
  </si>
  <si>
    <t>PAR</t>
  </si>
  <si>
    <t>19 CABUL ROAD</t>
  </si>
  <si>
    <t>21 CABUL ROAD</t>
  </si>
  <si>
    <t>31-37 CABUL ROAD</t>
  </si>
  <si>
    <t>Demolition and excavation of 5 garages to form a two-bedroom residential dwelling with at basement level and off street parking for a single car.</t>
  </si>
  <si>
    <t>Demolition of existing warehouse and the erection of a three-storey building to provide 9 flats.</t>
  </si>
  <si>
    <t>2015/0039</t>
  </si>
  <si>
    <t>Conversion of dwelling house into 3 self-contained flats (1x3-bedroom and 2x1-bedroom) including erection of single-storey side extension with internal lightwell to basement level.</t>
  </si>
  <si>
    <t>2015/0545</t>
  </si>
  <si>
    <t>Change of use office (Class B1) to residential (Class C3) to form a one bedroom house, with associated external alterations and front boundary wall on Bramfield Road frontage.</t>
  </si>
  <si>
    <t>2015/0639</t>
  </si>
  <si>
    <t>Conversion of rear part of ground floor shop to provide a self-contained one-bedroomed flat;  erection of single-storey rear extension and alterations including an additional door to the front elevation.</t>
  </si>
  <si>
    <t>2015/0843</t>
  </si>
  <si>
    <t>Outline application for the construction of a floating residential vessel in the dock known as Oyster Wharf inlet.</t>
  </si>
  <si>
    <t>2015/0874</t>
  </si>
  <si>
    <t>Redevelopment of the site to provide a residential-led mixed-use development of six buildings between twelve and twenty storeys (plus two basement levels) comprising 806 residential units, including affordable housing, flexible commercial uses at ground and first floor levels including retail, financial and professional services, restaurant/café and bar uses, healthcare facilities, a crèche and gallery space (A1/A2/A3/A4 and D1 uses), together with ancillary uses including a concierge/management suite, a business suite and leisure facilities, and associated car and bicycle parking and landscaping including provision of a riverside walk.</t>
  </si>
  <si>
    <t>LDC Exist</t>
  </si>
  <si>
    <t>Open Market New Build</t>
  </si>
  <si>
    <t>Vista, Chelsea Bridge</t>
  </si>
  <si>
    <t>The Ram Quarter</t>
  </si>
  <si>
    <t>Battersea Power Station</t>
  </si>
  <si>
    <t>S73</t>
  </si>
  <si>
    <t>Phase 2 (Power Station)</t>
  </si>
  <si>
    <t>Former care home</t>
  </si>
  <si>
    <t>The Residence</t>
  </si>
  <si>
    <t>LDC Prop</t>
  </si>
  <si>
    <t>Flats 1-9</t>
  </si>
  <si>
    <t>2014/2693</t>
  </si>
  <si>
    <t>Lombard Wharf</t>
  </si>
  <si>
    <t>2014/7399</t>
  </si>
  <si>
    <t>Change of use for part of ground floor from hairdressers (Use Class A1) to a residential studio (Class Use C3) (42 sqm).</t>
  </si>
  <si>
    <t>2015/1156</t>
  </si>
  <si>
    <t>2015/2419</t>
  </si>
  <si>
    <t>2015/3222</t>
  </si>
  <si>
    <t>2015/3636</t>
  </si>
  <si>
    <t>Demolition of existing building and erection of part single, part two-storey dwelling with accommodation at roof and basement level (with a sub-basement) including excavation under rear garden and formation of rear lightwell.</t>
  </si>
  <si>
    <t>2015/3877</t>
  </si>
  <si>
    <t>Determination as to whether prior approval is required for the change of use of ground floor from office (Class B1a) to residential (Class C3) to provide a two-bedroom flat.</t>
  </si>
  <si>
    <t>2015/4585</t>
  </si>
  <si>
    <t>2015/5374</t>
  </si>
  <si>
    <t>2015/5470</t>
  </si>
  <si>
    <t>Internal alterations in connection with use as a single dwelling.</t>
  </si>
  <si>
    <t>2015/5610</t>
  </si>
  <si>
    <t>2015/7069</t>
  </si>
  <si>
    <t>No 11</t>
  </si>
  <si>
    <t>No 9</t>
  </si>
  <si>
    <t>2013/3041</t>
  </si>
  <si>
    <t>2013/6478</t>
  </si>
  <si>
    <t>2014/0900</t>
  </si>
  <si>
    <t>Erection of rear mansard roof extension to main roof and above back addition with french doors and safety railings to access second floor level rear roof terrace in connection with provision of a 1-bedroom flat.</t>
  </si>
  <si>
    <t>2014/1385</t>
  </si>
  <si>
    <t>2015/1286</t>
  </si>
  <si>
    <t>Erection of single-storey rear/side extension and enlargement of existing first floor rear roof terrace with associated safety balustrade/screening in connection with the conversion of two flats into a single family dwellinghouse (Class Use C3).</t>
  </si>
  <si>
    <t>2015/1352</t>
  </si>
  <si>
    <t>Demolition of upper floors of existing (B1a Use Class) building and erection of three additional storeys to provide five self contained (C3 Use Class) flats (4 x 2 bedroom, 1 x 3 bedroom), including roof terraces, cycle and refuse storage.</t>
  </si>
  <si>
    <t>2015/1446</t>
  </si>
  <si>
    <t>2015/1696</t>
  </si>
  <si>
    <t>2015/1777</t>
  </si>
  <si>
    <t>Determination as to whether prior approval is required for change of use from office (Class B1a) to three residential units (Class C3).</t>
  </si>
  <si>
    <t>2015/1855</t>
  </si>
  <si>
    <t>BLOCK A - third floor</t>
  </si>
  <si>
    <t>BLOCK B - first and second floor</t>
  </si>
  <si>
    <t>2015/1913</t>
  </si>
  <si>
    <t>Demolition of the existing garage/workshop buildings and the erection of 9 x 2-storey 3-bedroom dwellings with associated alterations including 9 car parking spaces and  cycle storage.</t>
  </si>
  <si>
    <t>2015/1927</t>
  </si>
  <si>
    <t>Conversion of the upper floor flat into 2 self-contained flats (1 x Studio, 1 x 2 bed).</t>
  </si>
  <si>
    <t>2015/1999</t>
  </si>
  <si>
    <t>Erection of two-storey rear extension in connection with change of use of from office (Use Class B1) to 9 self-contained residential flats (3x1, 6x2 bed) (Use Class C3); external alterations including demolition of various ancillary buildings.</t>
  </si>
  <si>
    <t>2015/2071</t>
  </si>
  <si>
    <t>2015/2091</t>
  </si>
  <si>
    <t>Determination as to whether prior approval is required for change of use of first floor from office (Class B1a) to one residential unit (Class C3).</t>
  </si>
  <si>
    <t>2015/2093</t>
  </si>
  <si>
    <t>Determination as to whether prior approval is required for change of use from office (Class B1a) at ground floor and basement levels to three residential units (Class C3).</t>
  </si>
  <si>
    <t>2015/2110</t>
  </si>
  <si>
    <t>Determination as to whether prior approval is required for change of use from office (Class B1a) to one residential unit (Class C3).</t>
  </si>
  <si>
    <t>2015/2251</t>
  </si>
  <si>
    <t>2015/2303</t>
  </si>
  <si>
    <t>Erection of mansard roof extension to form an additional storey to provide a 1 bedroom flat with a screened roof terrace above. Alterations to extend the common staircase upwards and alterations to ground floor shop front.</t>
  </si>
  <si>
    <t>2015/2370</t>
  </si>
  <si>
    <t>Erection of roof extension to form additional storey to both residential blocks(Redgarth Court &amp; Carrick Court) in order to provide four flats.  Alterations to front boundary and erection of cycle stores and bin stores.</t>
  </si>
  <si>
    <t>2015/2404</t>
  </si>
  <si>
    <t>Determination as to whether prior approval is required for change of use from office (Class B1a) to a two bedroom residential unit (Class C3).</t>
  </si>
  <si>
    <t>2015/2412</t>
  </si>
  <si>
    <t>Demolition of existing property and erection of a three-storey (including accommodation within the roofspace) 7- bedroom detached house, with additional accommodation within a proposed new basement level.</t>
  </si>
  <si>
    <t>2015/2506</t>
  </si>
  <si>
    <t>2015/2512</t>
  </si>
  <si>
    <t>2015/2571</t>
  </si>
  <si>
    <t>Demolition of existing building and erection of a two-storey dwelling house with accommodation at basement and roof level; alterations to front boundary wall including new piers and gates. Removal of eight trees.</t>
  </si>
  <si>
    <t>2015/2602</t>
  </si>
  <si>
    <t>2015/2650</t>
  </si>
  <si>
    <t>2015/2661</t>
  </si>
  <si>
    <t>Demolition of existing garages. Erection of 1 x single-storey, with basement, dwellinghouse (Class C3) fronting Combemartin Road with lightwells to the front and rear and new boundary treatment.</t>
  </si>
  <si>
    <t>2015/2668</t>
  </si>
  <si>
    <t>Conversion of three flats to a single dwellinghouse.</t>
  </si>
  <si>
    <t>2015/2790</t>
  </si>
  <si>
    <t>Erection of a single-storey dwellinghouse.</t>
  </si>
  <si>
    <t>2015/2828</t>
  </si>
  <si>
    <t>2015/2883</t>
  </si>
  <si>
    <t>Demolition of pair of single-storey dwellings and erection of pair of semi-detached two-storey houses with rear terrace at first floor level.</t>
  </si>
  <si>
    <t>2015/2888</t>
  </si>
  <si>
    <t>Conversion of first and second floor flat into 2 x one-bedroom flats.</t>
  </si>
  <si>
    <t>2015/3021</t>
  </si>
  <si>
    <t>Internal and external alterations to covert existing two-storey side extension to a 1-bedroom house.</t>
  </si>
  <si>
    <t>2015/3069</t>
  </si>
  <si>
    <t>2015/3138</t>
  </si>
  <si>
    <t>Demolition of six of existing garages, nine storage sheds and erection of two semi-detached houses with associated landscaping.</t>
  </si>
  <si>
    <t>2015/3161</t>
  </si>
  <si>
    <t>Demolition of existing buildings and erection of three-storey building to provide 8 flats, with first and second level terraces and communal garden.</t>
  </si>
  <si>
    <t>2015/3191</t>
  </si>
  <si>
    <t>2015/3244</t>
  </si>
  <si>
    <t>Demolition of existing garages in connection with the erection of a two-storey building comprising 6 houses (5 x 3 bed and 1 x 2 bed) with associated parking and landscaping.</t>
  </si>
  <si>
    <t>2015/3449</t>
  </si>
  <si>
    <t>Alterations including erection of a mansard roof extension to the main rear roofs of both properties in connection with the creation of one additional flat in each building.</t>
  </si>
  <si>
    <t>2015/3531</t>
  </si>
  <si>
    <t>Change of use of ground floor retail (Class A1) and upper floor flat (Class C3) to a 2-bedroom house (Class C3) including changes to the front elevation.</t>
  </si>
  <si>
    <t>Sleaford Street Industrial Estate &amp; Dairy Crest Distribution Depot</t>
  </si>
  <si>
    <t>2015/3563</t>
  </si>
  <si>
    <t>BLOCK A FLOOR 1</t>
  </si>
  <si>
    <t>BLOCK A FLOOR 10</t>
  </si>
  <si>
    <t>BLOCK A FLOOR 11</t>
  </si>
  <si>
    <t>BLOCK A FLOOR 2</t>
  </si>
  <si>
    <t>BLOCK A FLOOR 2 DUPLEX</t>
  </si>
  <si>
    <t>BLOCK A FLOOR 3</t>
  </si>
  <si>
    <t>BLOCK A FLOOR 4</t>
  </si>
  <si>
    <t>BLOCK A FLOOR 5</t>
  </si>
  <si>
    <t>BLOCK A FLOOR 6</t>
  </si>
  <si>
    <t>BLOCK A FLOOR 7</t>
  </si>
  <si>
    <t>BLOCK A FLOOR 8</t>
  </si>
  <si>
    <t>BLOCK A FLOOR 9</t>
  </si>
  <si>
    <t>BLOCK B FLOOR 1</t>
  </si>
  <si>
    <t>BLOCK B FLOOR 2</t>
  </si>
  <si>
    <t>BLOCK B FLOOR 3</t>
  </si>
  <si>
    <t>2015/3613</t>
  </si>
  <si>
    <t>Conversion of property from two flats (1 x 3-bedroom unit and 1 x 1-bedroom unit) into a single dwellinghouse.</t>
  </si>
  <si>
    <t>2015/3721</t>
  </si>
  <si>
    <t>Alterations including the erection of part single, part two storey rear/side extension in connection with use as a single dwellinghouse.</t>
  </si>
  <si>
    <t>2015/3757</t>
  </si>
  <si>
    <t>Demolition of existing storesheds and erection of two semi-detached 3 bedroom houses with associated landscaping.</t>
  </si>
  <si>
    <t>2015/3861</t>
  </si>
  <si>
    <t>Alterations including excavation to enlarge basement; erection of part single/part two-storey rear/side extensions with formation of balconies at ground and first floor levels in connection with the creation of 2x1 bedroom self-contained flats.</t>
  </si>
  <si>
    <t>2015/3904</t>
  </si>
  <si>
    <t>2015/4019</t>
  </si>
  <si>
    <t>Change of use of the rear ground floor from retail (Class A1) to two residential units (Class C3).</t>
  </si>
  <si>
    <t>2015/4036</t>
  </si>
  <si>
    <t>2015/4077</t>
  </si>
  <si>
    <t>2015/4160</t>
  </si>
  <si>
    <t>Determination as to whether prior approval is required for change of use of second and third floors from office (Class B1a) to 2 x 2-bedroom residential units (Class C3).</t>
  </si>
  <si>
    <t>2015/4168</t>
  </si>
  <si>
    <t>Erection of 2, three-storey detached houses (top floor in roof) with basement levels and associated landscaping.</t>
  </si>
  <si>
    <t>2015/4259</t>
  </si>
  <si>
    <t>Erection of three storey, 3-bedroom dwelling unit (Use Class C3) with rear glazed balcony at first floor level.</t>
  </si>
  <si>
    <t>Erection of single-storey (with basement and roof accommodation) detached 3-bedroom dwelling.</t>
  </si>
  <si>
    <t>2015/4453</t>
  </si>
  <si>
    <t>2015/4509</t>
  </si>
  <si>
    <t>2015/4613</t>
  </si>
  <si>
    <t>2015/4658</t>
  </si>
  <si>
    <t>Alterations including erection of a replacement single-storey rear extension in connection with conversion of dwelling into two self-contained flats (1 x 3 bed, 1 x 2 bed).</t>
  </si>
  <si>
    <t>2015/4744</t>
  </si>
  <si>
    <t>Erection of side and rear dormers (with french doors and safety railings) and formation of roof terrace at rear of first floor in connection with conversion of existing dwelling into two self-contained flats.</t>
  </si>
  <si>
    <t>2015/4768</t>
  </si>
  <si>
    <t>Change of use from Class B1(c) into 2x 2 bedroom flats (Class C3); alterations to fenestration to front and rear elevations (Revised Application).</t>
  </si>
  <si>
    <t>2015/4775</t>
  </si>
  <si>
    <t>2015/4796</t>
  </si>
  <si>
    <t>2015/4797</t>
  </si>
  <si>
    <t>Change of use from residential (C3) to nursery and preschool (Class D1) catering for up to 62 children (0-5 years old). Replacement timber fence (1.9m high) to include a one-way glass panel and new signage to north elevation</t>
  </si>
  <si>
    <t>2015/4817</t>
  </si>
  <si>
    <t>2015/4902</t>
  </si>
  <si>
    <t>Demolition of existing garages and erection of a part single/part two-storey dwelling (re-submission of approved planning application ref: 2013/0850)</t>
  </si>
  <si>
    <t>2015/5021</t>
  </si>
  <si>
    <t>2015/5221</t>
  </si>
  <si>
    <t>Alterations in connection with the use of the upper floors as 2 flats (1 x three-bedroom and 1 x 1-bedroom) including erection of front and rear roof extension to provide an additional floor of accommodation.</t>
  </si>
  <si>
    <t>2015/5289</t>
  </si>
  <si>
    <t>163-199</t>
  </si>
  <si>
    <t>Demolition of existing boiler room at roof level; erection of roof extension to provide additional storey to create 2 bedroom flat and associated roof terrace.</t>
  </si>
  <si>
    <t>2015/5308</t>
  </si>
  <si>
    <t>Lookers Volkswagen</t>
  </si>
  <si>
    <t>2015/5318</t>
  </si>
  <si>
    <t>Erection of a part single, part two-storey rear extension, installation of external metal staircase and additional windows in connection with the conversion of the first floor into a 1-bedroom residential unit.</t>
  </si>
  <si>
    <t>2015/5445</t>
  </si>
  <si>
    <t>Alterations in connection with the conversion of property into a single dwellinghouse including erection of side and rear dormer extension to main rear roof; erection of single-storey rear extension.</t>
  </si>
  <si>
    <t>2015/5557</t>
  </si>
  <si>
    <t>2015/5711</t>
  </si>
  <si>
    <t>The Regent</t>
  </si>
  <si>
    <t>Determination as to whether prior approval is required for change of use from office (Class B1a) to 1 x 1-bedroom residential unit (Class C3).</t>
  </si>
  <si>
    <t>2015/5716</t>
  </si>
  <si>
    <t>2015/5777</t>
  </si>
  <si>
    <t>2015/5835</t>
  </si>
  <si>
    <t>2015/5858</t>
  </si>
  <si>
    <t>Construction of a two-storey extension over existing single-storey structure to provide four residential flats (2 x 1 bedroom and 2 x 2 bedroom) and replacement of the facade at ground floor level.</t>
  </si>
  <si>
    <t>2015/5926</t>
  </si>
  <si>
    <t>1-6 Gaskarth Road</t>
  </si>
  <si>
    <t>Demolition of existing garages and erection of part one, part two, part three-storey building to provide 4x2 bedroom flats and 2x1 bed flats with associated cycle storage and boundary treatments.</t>
  </si>
  <si>
    <t>2015/5951</t>
  </si>
  <si>
    <t>2015/5965</t>
  </si>
  <si>
    <t>Erection of two-storey building with basement to provide three flats (2 x 2 bedroom and 1 x 1 bedroom) and associated communal garden, bin store and bicycle store.</t>
  </si>
  <si>
    <t>2015/5987</t>
  </si>
  <si>
    <t>Demolition of existing residential dwelling and the erection of two-storey dwellinghouse including basement and habitable roofspace.</t>
  </si>
  <si>
    <t>2015/6006</t>
  </si>
  <si>
    <t>2015/6034</t>
  </si>
  <si>
    <t>Determination as to whether prior approval is required for change of use from office (Class B1a) at second floor level to residential (Class C3) to provide three flats (2 x 1-bedroom and 1 x 2-bedroom).</t>
  </si>
  <si>
    <t>2015/6064</t>
  </si>
  <si>
    <t>Demolition of existing garages and erection of single-storey 2-bedroom house with accommodation at basement level including erection of a bike and bin store in front garden.</t>
  </si>
  <si>
    <t>2015/6168</t>
  </si>
  <si>
    <t>2015/6177</t>
  </si>
  <si>
    <t>Alterations in connection with the conversion of roofspace into one studio self contained flat including erection of roof extension to main rear roof and above part of back addition; increase in height of flue at the rear.</t>
  </si>
  <si>
    <t>2015/6193</t>
  </si>
  <si>
    <t>2015/6243</t>
  </si>
  <si>
    <t>Erection of single-storey rear extensions and excavation to create enlarged basement including formation of front and rear lightwells (with grille over) and internal alterations to create five self-contained flats.</t>
  </si>
  <si>
    <t>2015/6263</t>
  </si>
  <si>
    <t>Change of use from office (Class B1a) to one residential unit (Class C3) including erection of single-storey rear extension.</t>
  </si>
  <si>
    <t>2015/6278</t>
  </si>
  <si>
    <t>Change of use from two flats to a single family dwellinghouse (Use Class C3).</t>
  </si>
  <si>
    <t>2015/6304</t>
  </si>
  <si>
    <t>CoU from SG (Nightclub)</t>
  </si>
  <si>
    <t>New build - roof extn</t>
  </si>
  <si>
    <t>2015/6353</t>
  </si>
  <si>
    <t>Demolition of existing building and replacement with one 2 storey four bedroomed house with accommodation in loft space and basement levels and associated external works including front lightwells.</t>
  </si>
  <si>
    <t>2015/6464</t>
  </si>
  <si>
    <t>2015/6848</t>
  </si>
  <si>
    <t>Determination as to whether prior approval is required for change of use from office (Class B1a) to one residential unit (Class C3) to provide eleven flats (3 x 1-bedroom, 6 x 2-bedroom, and 2 x 3-bedroom).</t>
  </si>
  <si>
    <t>2015/7075</t>
  </si>
  <si>
    <t>2015/7101</t>
  </si>
  <si>
    <t>2015/7245</t>
  </si>
  <si>
    <t>2015/7254</t>
  </si>
  <si>
    <t>Erection of a mansard roof extension to form living accommodation in connection with the conversion of part of the ground floor cafe, and first floor into a maisonette.</t>
  </si>
  <si>
    <t>2015/7417</t>
  </si>
  <si>
    <t>2015/7472</t>
  </si>
  <si>
    <t>Erection of 3 x three-bedroom, three-storey terrace houses</t>
  </si>
  <si>
    <t>2015/7540</t>
  </si>
  <si>
    <t>Change of use of the property from 3 x residential units to use as a single dwellinghouse.</t>
  </si>
  <si>
    <t>2015/7548</t>
  </si>
  <si>
    <t>2015/7662</t>
  </si>
  <si>
    <t>Determination as to whether prior approval is required for change of use from office (Class B1a) to two residential units (Class C3).</t>
  </si>
  <si>
    <t>2016/0079</t>
  </si>
  <si>
    <t>2016/0141</t>
  </si>
  <si>
    <t>Demolition of existing garage to the rear of 958 Garratt Lane (fronting Garratt Terrace) and construction of a two-storey 2-bedroom house with the subdivision of the garden of 958 Garratt Lane.</t>
  </si>
  <si>
    <t>2016/0280</t>
  </si>
  <si>
    <t>Change of use of the basement and a portion of the ground floor from C3 (residential) to D2 (Assembly and Leisure) and minor alterations to ground floor entrance.</t>
  </si>
  <si>
    <t>2016/0319</t>
  </si>
  <si>
    <t>Change of use from Cemetery Chapel (Sui Generis) to a single bedroom residential dwelling (Class C3) including external and internal refurbishment and alterations.</t>
  </si>
  <si>
    <t>2016/0375</t>
  </si>
  <si>
    <t>2016/0376</t>
  </si>
  <si>
    <t>2016/0406</t>
  </si>
  <si>
    <t>Former Greenside Social Club</t>
  </si>
  <si>
    <t>2016/0432</t>
  </si>
  <si>
    <t>2016/0711</t>
  </si>
  <si>
    <t>Extra Care</t>
  </si>
  <si>
    <t>Open Market Conversion</t>
  </si>
  <si>
    <t>Shared Ownership</t>
  </si>
  <si>
    <t>Demolition of existing office building. Erection of an 8-storey plus basement block to provide commercial floorspace (Use Classes A2, B1 and D1) together with 29 flats  (including 8 affordable) with 29 car parking spaces, cycle spaces and associated landscaping.</t>
  </si>
  <si>
    <t>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t>
  </si>
  <si>
    <t>Erection of three-storey building plus basement and rear lightwell to provide retail (Class A1) unit in front part of ground and lower ground floors, a one-bedroom maisonette on the ground and lower ground floors, and two 2-bedroom flats on the upper floors with rear balconies.</t>
  </si>
  <si>
    <t>Demolition of existing single-storey garages and erection of a three-storey building to provide 5 flats, with associated amenity space including balconies and roof terraces, with cycle store to rear and relocation of entrance to existing allotments at rear.</t>
  </si>
  <si>
    <t>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t>
  </si>
  <si>
    <t>Erection rear extension at lower ground, ground, first and second floor levels with roof terraces at first and third floor levels to provide office space at lower ground and ground floor levels and change of use of upper floors from offices to 3 x 1 bedroom flats and a studio flat.</t>
  </si>
  <si>
    <t>Removal of existing external fire escape and erection of two-storey side extension and part single, part two-storey rear extension, including formation of first floor rear roof terrace. Proposed extensions and associated alterations in connection with proposed conversion of annexe into two flats (1 x 3-bedroom and 1 x 2-bedroom).</t>
  </si>
  <si>
    <t>Erection of rear extension at first, second and third floor levels together with alterations including formation of new roofs, first floor acoustic enclosure at rear, roof terraces and formation of refuse store at rear in connection with conversion of upper floors into 12 flats. (renewal of planning permission dated 23.07.2010 ref. 2010/2523)</t>
  </si>
  <si>
    <t>Construction of extensions at ground, first and new second floor level and alterations to the site and creation of a mixed-use quarter comprising of: a new semi-public open space for external markets and occasional events; 8no. new starter shop units (Class A1) + restaurant/cafe (Class A3) units; and 9no. flats (Class C3) with a mix of 1-bed, 2-bed and 3-bed units at first and second floor levels.  New access gates, cycle and refuse storage.</t>
  </si>
  <si>
    <t>Partial demolition of existing building, and erection of extensions at ground, first and second floor to rear of retained section, with erection of two-storey side extension; excavation of new basement floorspace beneath whole of extended property, with formation of lightwells to the front and basement courtyard area to the rear; installation of new windows; replacement of front boundary treatment.</t>
  </si>
  <si>
    <t>Minor material amendments to planning permission ref. 2013/2262 (dated 09/08/13) for retention of main facades with demolition of remainder of existing building; erection of four-storey building to provide 9 residential units incorporating roof terraces and cycle storage, with associated alterations to windows/doors within retained facades to enable the developmenet to be carried out other than in accordance with the approved plans. The amendments sought include alterations to the internal layouts resulting in provision of 8 x two-bedroom apartments and one studio unit, and alterations to the existing ground floor window to the north elevation to form doors to allow access to outdoor amenity space.</t>
  </si>
  <si>
    <t>Demolition of existing vacant single-storey parish and ancillary buildings and construction of a replacement part five and part six storey residential building to the west of the existing church building comprising 20 residential units (C3), retail use (A1/A3) and ancillary church accommodation (D1) at ground floor level; extension and associated alterations to the southern elevation of the church to provide ancillary church accommodation in the form of a new parish hall (D1); and works to hard and soft landscaping and alterations to front boundary treatment.</t>
  </si>
  <si>
    <t>Alteration and conversion of the courts outbuilding to provide two amended ancillary flats to the main house, including part demolition and opening up a new ground level pathway link; amendments to the garages to incorporate the relocated stables; formation of driveway to northern side of 21 Roehampton Gate with associated landscaping  (amendment to planning permission ref: 2013/2661 dated 8.7.13).</t>
  </si>
  <si>
    <t>Part change of use of A2 Use Class commercial unit to C3 Use Class to form 1 x one-bedroom self contained flat. Including the demolition of a single-storey extension to the rear and the erection of a single-storey extension to rear together with other alterations.</t>
  </si>
  <si>
    <t>Alterations involving change of use of ground floor restaurant (A3) to part shop/commerical floorspace (A1/A2) and involving extensions to form two dwellings; demolition of rear single-storey additions and erection of part single, part two-storey rear extension; new shopfront and new window to front and rear.</t>
  </si>
  <si>
    <t>Construction of a basement extension with front lightwell (with railing surround) and rear lightwell. Construction of single storey rear and side extensions.  Associated internal and external alterations (including provision of bin storage to front) to provide two self-contained flats at ground and basement levels.</t>
  </si>
  <si>
    <t>Demolition of existing buildings and construction of a new development consisting of a four-storey block to provide 8no. flats, and 7no. two-storey (plus roof space) family houses, all for affordable rent.  Associated landscaping, car parking, bicycle and refuse storage.</t>
  </si>
  <si>
    <t>Redevelopment of the site incorporating the erection of a part 4/ part 5 storey building fronting York Road, and a 3-5 storey building partially fronting Chatfield Road and extending to part 5/ part 6 storey building to the rear to provide a total of 51 residential units (including balconies and terraces), 362 sqm of retail space (use class A1), 155 sqm of office space (use class B1a); excavation of basement to provide a car park (accessed off Chatfield Road), ancillary works and landscaping.</t>
  </si>
  <si>
    <t>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t>
  </si>
  <si>
    <t>Demolition of part-retained building on site. Erection of a 28 storey building comprising 135 residential units and ancillary floorspace (Use Class C3); commercial floorspace at ground floor and mezzanine levels (Use Classes A3-A4 (restaurants and cafes and drinking establishments); 30 car parking spaces, cycle parking and waste storage within a basement; infrastructure groundworks; on-site CHP and substation; public realm works; works to river wall; and access to two car lifts off Lombard Road</t>
  </si>
  <si>
    <t>Conversion to provide 3 x residential units. Erection of basement extension with rear lightwell, ground floor rear extension and first floor rear extension to include staircase and roof terrace, and creation of second floor roof terrace. Erection of rear roof extension.</t>
  </si>
  <si>
    <t>Retention of ground floor bar (Class A4) (number 30) and part retention of ground floor level café/restaurant (Class A3) (number 28) and part change of use of ground, first, second and third floor levels from office (Class B1) to 5x flats (Class C3); comprising 3x 1-bedroom and 2x 2-bedroom.  Erection of a roof level mansard extension (number 28); mezzanine level in connection with ground floor commercial unit (number 28), rear extensions at first and second floor levels and 3-storey extension to the rear in addition to wider alterations to fenestration and erection of external stairwell and walkway.</t>
  </si>
  <si>
    <t>Conversion of property from two flats to one single dwelling.  External alterations to rear including removal of the existing rear garden store, lowering of rear ground floor level  by approximately 170mm, infill of ground floor rear lightwell  with a glazed metal-framed rooflight above, removal of external rear garden staircase and replacement of external door on the first floor with a sash window.</t>
  </si>
  <si>
    <t>Alterations and extensions to provide 4 self-contained units, including part single / part two-storey rear extension; mansard roof extension above part of back addition and to main rear roof. Refurbishment and alterations to existing shop (Class A1) to provide a commercial unit (shop/Class A1 or financial and professional services/Class A2) on the ground and basement levels.</t>
  </si>
  <si>
    <t>Alterations including excavation to enlarge basement including formation of rear lightwell, erection of single to three-storey (lower ground to first floors) rear extension with french doors at rear of ground and first floors, terrace at ground floor level and rear mansard roof extension to main rear roof slope in connection with use as a single dwellinghouse.</t>
  </si>
  <si>
    <t>Alterations in connection with the conversion of property into 1 x three-bedroom 1 x two-bedroom and 1 x one-bedroom flats including erection of roof extension to main rear roof and erection of single-storey rear extension. Erection of side external staircase from first floor to rear garden.</t>
  </si>
  <si>
    <t>Change of use from restaurant (Class A3) to residential (Class C3) with alterations to provide two additional self contained flats. Alterations include; modifications to ground floor front elevation; erection of mansard roof extension to main rear roof including raising the ridge by 300mm (with French doors) and above part of two-storey back addition; formation of roof terrace above two-storey back addition with 1.7m screen adjacent to 177 Replingham Road; erection of single-storey rear/side extension including alterations to the rear to include 1.8m high rear boundary fence.</t>
  </si>
  <si>
    <t>Change of use of ground floor mini-cab office (sui generis use) to form a ground floor flat (Use Class C3) with erection of part single- part two-storey side/rear extension including formation of roof terrace at first floor level. Alterations including erection of dormer roof extension to main rear roof.</t>
  </si>
  <si>
    <t>Alterations to retained public house including the erection of roof extension over to provide 1 x 1-bedroom, 2 x 2-bedroom and 1 x 3-bedroom residential units with roof terraces. Erection of two-storey 2-bedroom house with roof terrace to the west of the public house. Erection of three-storey (plus basement) building to the north of the public house to provide 4 x 2-bedroom flats accessed via a glazed bridge link.  Associated landscaping to include bicycle and waste storage and communal garden</t>
  </si>
  <si>
    <t>Erection of a part single/part three-storey rear extension and rear roof extensions to provide additional accommodation for existing flats at no.9 and no.11 including conversion of the upper floors of no. 11 to provide (2 x 2-bedroom and 2 x1-bedroom units).</t>
  </si>
  <si>
    <t>1ST FLOOR</t>
  </si>
  <si>
    <t>Construction of extenstion to front and side of building at first, second floor levels  with the creation of additional third floor level; erection of a rear four storey extension allowing for mix use build, to retain ground floor (Class Use A1) and first floor offices (Class Use A2) and provide 14 residential units with balconies, terraces and roof garden and 5 parking spaces to rear.</t>
  </si>
  <si>
    <t>2ND FLOOR</t>
  </si>
  <si>
    <t>3RD FLOOR</t>
  </si>
  <si>
    <t>Demolition of existing building and erection of a new mixed use development up to six-storeys high, with a partial seventh-storey along Felsham Road frontage (recessed on all sides), plus the provision of basement levels, providing 3137 sq.m. of commercial floorspace (flexible class A1, A2 or A3 uses) at ground floor and basement level; 447 sq.m. of class D2 assembly and leisure use (predominantly at basement level with separate entrance off Walkers Place), and 97 residential units on the upper floors (comprising 1x studio, 33 x one-bedroom; 57 x two-bedroom and 6 x three-bedroom units), with associated balconies, roof terraces and winter gardens, with 26 basement car parking spaces (accessed via car lift off Felsham Road), and associated cycle parking spaces; mechanical plant; landscaping and public realm works, including provision of a new public square along Lacy Road.</t>
  </si>
  <si>
    <t>2015/2601</t>
  </si>
  <si>
    <t>Demolition of the existing building and the erection of a new two to five-storey building with basement, comprising 913.6sqm of retail space (Class A1) at basement and ground floor, and 15 flats (1 x 3-bedroom and 14 x 2-bedroom), with balconies and a roof terrace above.</t>
  </si>
  <si>
    <t>131 Battersea High Street</t>
  </si>
  <si>
    <t>2015/7642</t>
  </si>
  <si>
    <t>2015/2434</t>
  </si>
  <si>
    <t>Demolition of existing building and redevelopment of the site by the erection of two buildings of two to four-storeys high to provide 16 residential units fronting either Putney Bridge Road or Fawe Park Road, including balconies/terraces and with associated cycle parking provision.</t>
  </si>
  <si>
    <t>Battersea Exchange</t>
  </si>
  <si>
    <t>2015/2742</t>
  </si>
  <si>
    <t>2015/3237</t>
  </si>
  <si>
    <t>2015/4504</t>
  </si>
  <si>
    <t>2015/4528</t>
  </si>
  <si>
    <t>Alterations and extension of rear of building, erection of a mansard-style roof extension and internal alterations including part conversion of ground floor from restaurant to residential, all in connection with the formation of 6 self-contained flats.</t>
  </si>
  <si>
    <t>2015/5072</t>
  </si>
  <si>
    <t>2015/5408</t>
  </si>
  <si>
    <t>2015/5875</t>
  </si>
  <si>
    <t>Phase 5, Residential Blocks F &amp; G (Lanson House &amp; Burnelli House)</t>
  </si>
  <si>
    <t>Change of use from "flexible commercial space" to provide 7 residential apartments with associated screening and landscaping</t>
  </si>
  <si>
    <t>2015/5883</t>
  </si>
  <si>
    <t>2015/6444</t>
  </si>
  <si>
    <t>Conversion of cafe (ground floor and basement) into a 3 x  bed Self Contained Flat</t>
  </si>
  <si>
    <t>2015/6454</t>
  </si>
  <si>
    <t>Conversion of property into two self-contained flats.</t>
  </si>
  <si>
    <t>2015/6650</t>
  </si>
  <si>
    <t>Alterations including change of use of part of the ground floor from shop (Class A1) to residential  (Class C3) to provide 1 x two-bedroom flat including erection of single-storey rear/side extension and internal alterations.</t>
  </si>
  <si>
    <t>2015/6849</t>
  </si>
  <si>
    <t>Petrol Station</t>
  </si>
  <si>
    <t>2015/6929</t>
  </si>
  <si>
    <t>Erection of single-storey rear extension to create 1 x 2-bedroom flat (Corresponding Listed Building Reference Number 2016/0793).</t>
  </si>
  <si>
    <t>2015/7118</t>
  </si>
  <si>
    <t>Erection of 6 x 3-bedroom two-storey dwellings with associated access from Thrale Road, parking spaces, amenity and landscaping.</t>
  </si>
  <si>
    <t>NPA</t>
  </si>
  <si>
    <t>2015/7497</t>
  </si>
  <si>
    <t>2016/0510</t>
  </si>
  <si>
    <t>2016/0600</t>
  </si>
  <si>
    <t>Alterations including change of use of ground floor from retail (Use Class A1) to 1x2-bedroom residential unit (Use Class C3); and associated external alterations to the front elevation (including removal of shopfront).</t>
  </si>
  <si>
    <t>2016/0601</t>
  </si>
  <si>
    <t>Alterations including change of use of ground floor from retail (Use Class A1) to 1x1-bedroom residential unit (Use Class C3); and associated external alterations to front elevation (including removal of shopfront).</t>
  </si>
  <si>
    <t>2016/0602</t>
  </si>
  <si>
    <t>Alterations including change of use of ground floor from retail (Use Class A1) to 1x1 bedroom residential unit (Use Class C3); and associated external alterations to front elevation (including removal of shopfront).</t>
  </si>
  <si>
    <t>2016/0651</t>
  </si>
  <si>
    <t>Demolition of existing dwelling and erection of a two-storey house with additional accommodation within the roofspace and at basement level.</t>
  </si>
  <si>
    <t>2016/0654</t>
  </si>
  <si>
    <t>2016/0686</t>
  </si>
  <si>
    <t>Alterations in connection with the change of use from office (Class B1) to 1 x 1-bedroom house (Class C3) including erection of front and rear roof extension and ground floor side extension. (Amendments to design of roof extension)</t>
  </si>
  <si>
    <t>2016/0790</t>
  </si>
  <si>
    <t>Demolition of existing dwelling house and erection of replacement twobedroom dwelling house (with basement and roof terrace).</t>
  </si>
  <si>
    <t>2016/0810</t>
  </si>
  <si>
    <t>2016/0857</t>
  </si>
  <si>
    <t>Alterations in connection with the conversion of tenants stores into 1 x two-bedroom flat (Class C3). Installation of five windows and re-landscaping to provide additional four car parking space.</t>
  </si>
  <si>
    <t>2016/0910</t>
  </si>
  <si>
    <t>2016/0914</t>
  </si>
  <si>
    <t>2016/0954</t>
  </si>
  <si>
    <t>Change of use of property from day centre (Class D1) to 3 x 2 bedroom and 1 x 1 bedroom residential units (Class C3); formation of side lightwells and alterations to fenestration to all elevations.</t>
  </si>
  <si>
    <t>2016/1048</t>
  </si>
  <si>
    <t>2016/1069</t>
  </si>
  <si>
    <t>Conversion of two 3-bedroom units (flat nos. 233 and 240) into one 5-bedroom unit on the 11th floor of 4 Riverlight Quay. No external alterations are proposed.</t>
  </si>
  <si>
    <t>2016/1120</t>
  </si>
  <si>
    <t>2016/1245</t>
  </si>
  <si>
    <t>Alterations to rear ground floor in connection with change of use of property from two flats to a 4-bedroom house.</t>
  </si>
  <si>
    <t>Table 1a</t>
  </si>
  <si>
    <t>2031/32</t>
  </si>
  <si>
    <t>Under Construction</t>
  </si>
  <si>
    <t>Planning Permissions</t>
  </si>
  <si>
    <t>Applications Undecided</t>
  </si>
  <si>
    <t xml:space="preserve"> Intermediate</t>
  </si>
  <si>
    <t xml:space="preserve"> Open Market</t>
  </si>
  <si>
    <t xml:space="preserve"> Social/Affordable Rent</t>
  </si>
  <si>
    <t xml:space="preserve"> Completions</t>
  </si>
  <si>
    <t xml:space="preserve"> Starts</t>
  </si>
  <si>
    <t xml:space="preserve"> Permissions</t>
  </si>
  <si>
    <t xml:space="preserve"> New Build</t>
  </si>
  <si>
    <t xml:space="preserve"> Conversions</t>
  </si>
  <si>
    <t>Potential Sites</t>
  </si>
  <si>
    <t xml:space="preserve">Applications Undecided </t>
  </si>
  <si>
    <t>Other Identified Sites</t>
  </si>
  <si>
    <t>Small Sites Allowance</t>
  </si>
  <si>
    <t>Building 01</t>
  </si>
  <si>
    <t>Building 02</t>
  </si>
  <si>
    <t>Building 03A</t>
  </si>
  <si>
    <t>Building 03B</t>
  </si>
  <si>
    <t>Building 03C</t>
  </si>
  <si>
    <t>Building 04D</t>
  </si>
  <si>
    <t>Building 04E</t>
  </si>
  <si>
    <t>Building 04F</t>
  </si>
  <si>
    <t>Building 05</t>
  </si>
  <si>
    <t>Building 06</t>
  </si>
  <si>
    <t>Building 10H</t>
  </si>
  <si>
    <t>Building 10J</t>
  </si>
  <si>
    <t>Building 10K</t>
  </si>
  <si>
    <t>Building 11</t>
  </si>
  <si>
    <t>Building 12</t>
  </si>
  <si>
    <t>Block L</t>
  </si>
  <si>
    <t>Block F</t>
  </si>
  <si>
    <t>Block G</t>
  </si>
  <si>
    <t>Block H</t>
  </si>
  <si>
    <t>Block K</t>
  </si>
  <si>
    <t>c</t>
  </si>
  <si>
    <t>Average per year</t>
  </si>
  <si>
    <t>Five year requirement</t>
  </si>
  <si>
    <t>Five percent buffer</t>
  </si>
  <si>
    <t>e + f</t>
  </si>
  <si>
    <t>Estimated supply over five year period</t>
  </si>
  <si>
    <t>j</t>
  </si>
  <si>
    <t>Table 1b</t>
  </si>
  <si>
    <t>Plantation Wharf</t>
  </si>
  <si>
    <t>Roehampton and Putney Heath</t>
  </si>
  <si>
    <t>2007/5659</t>
  </si>
  <si>
    <t>The redevelopment of the site by the erection of a three/four storey building to provide 2 units (A1-A5 use) at ground and basement with 10 flats above, and the erection of a separate building over the rear access with Byton Road to provide a maisonette.</t>
  </si>
  <si>
    <t>HAIU</t>
  </si>
  <si>
    <t>Erection of part five, part six additional floors to Trade Tower following removal of existing 12th and 13th floors. Alterations to entrance fronting Gartons Way including installation of structural framework to ground and first floors. Alterations and extensions in connection with the formation of 18 flats (net increase of 18 flats). (Renewal of planning permission 2009/3853 dated 19.07.2010)</t>
  </si>
  <si>
    <t>Demolition of all existing buildings on site and construction of 110 new dwellings in buildings between three and seven storeys (55 mews, courtyard and town houses and 55 apartments) with 102 car parking spaces and 203 cycle spaces; associated access, highway and landscaping works including new open space and children’s play area.</t>
  </si>
  <si>
    <t>Conversion of existing dwellinghouse to form three self contained flats with family sized accommodation at ground floor level. Demolition of existing single-storey rear extension and erection of single-storey rear extension. Erection of rear roof extension with french doors and safety railings as well as the installation of rooflights to front and side roof slopes.</t>
  </si>
  <si>
    <t>Demolition of the existing rear conservatories and erection of a two-storey (lower ground and ground floor level) 4.5m deep rear extension to both properties;  1200mm deep excavation of part of the lower ground floor levels to provide increased floor to ceiling level. The proposal also included the conversion of number 55 from 3 flats into a single house.</t>
  </si>
  <si>
    <t>Erection of a three storey building (between 72 Bedford Hill and the railway embankment) to provide a shop/store on ground floor and a two bedroom maisonette on first and second floors.  (Amended drawings received  showing alterations to the development)</t>
  </si>
  <si>
    <t>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t>
  </si>
  <si>
    <t>2013/5239</t>
  </si>
  <si>
    <t>A04</t>
  </si>
  <si>
    <t>Minor-material amendment application in accordance with Section 73 of the Town and Country Planning Act. Variation of conditions 8 (Design Principles Documents), 40 (noise mitigation), 49 (coach &amp; taxi parking) and 61 (approved drawings) to planning permission 2011/1815 dated 30 March 2012 for demolition of all existing buildings and construction of a mixed use redevelopment to provide residential units, including affordable housing, commercial, office and community uses, associated basement and ground level parking and servicing; energy centres; new vehicle and pedestrian access and circulation; and new public amenity space and landscaping including part of the 'Linear Park'.  Amendments include relocation of car park entrance to plot A03, relocation of car park of A05 from basement to ground floor, redistribution of ground floor commercial uses, revised residential mix, and introduction of amenity links at upper floors.</t>
  </si>
  <si>
    <t>A05</t>
  </si>
  <si>
    <t>Partial demolition of existing buildings on the site, and the erection of 9 five-storey houses (including basement level and accommodation within the roofspace) fronting Warriner Gardens, with associated private amenity space, balconies and terraces, and provision of 11 off-street parking spaces to the rear with vehicular access via the existing Imperial Laundry site entrance. The remainder of the Imperial Laundry site will remain in employment use.</t>
  </si>
  <si>
    <t>Demolition of existing two-storey building at 176 Balham High Road and replacement with four-storey building, in connection with use as retail unit (Class A1, 570sqm ) at ground floor and basement, 24 hour Gymnasium  (Class D2 leisure and assembly use) at first floor level linking with the first floor level with 174-176 and 8 residential units.</t>
  </si>
  <si>
    <t>Demolition of existing building and redevelopment of the site by the erection of a new building up to 8-storeys plus lower ground floor level high, providing 52 residential units (8 x 1 bedroom; 41 x 2 bedroom 3 x 3 bedroom) of both private and affordable tenure, with associated amenity space, including balconies and roof terraces, cycle storage and refuse storage facilities, together with provision of a new electricity sub-station and alterations to vehicular and pedestrian access from Balham High Road.</t>
  </si>
  <si>
    <t>Excavation to form a new basement level under the footprint of the existing house including front and rear lightwells to provide two bedrooms, bathroom, additional floorspace with access from new door in the west side elevation of the house; terrace platform and glazed bridge to rear; new window and door openings.</t>
  </si>
  <si>
    <t>HAIR</t>
  </si>
  <si>
    <t>Demolition of existing building and erection of a five storey building plus basement to provide 25 residential units (4 x one bedroom, 20 x two bedroom, 1 x three bedroom) and two commercial units (Class A1/A2, 470sqm of floorspace) together with cycle storage and refuse stores.</t>
  </si>
  <si>
    <t>BLOCK A - INTERMEDIATE</t>
  </si>
  <si>
    <t>Demolition of existing buildings and erection of four new buildings ranging in height from 4 to 26 storeys to provide 201 residential units, 2,458sq.m of commercial floor space (Class A1, A2, A3, A4 and A5, B1(a)) and D1 (relocation of Wandsworth library) and associated parking, access routes, amenity space, public realm works and alterations to the adjacent Old Burial Ground on Garratt Lane.</t>
  </si>
  <si>
    <t>BLOCK D - AFFORDABLE RENTED</t>
  </si>
  <si>
    <t>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t>
  </si>
  <si>
    <t>Change of use of no.19 Cabul Road from offices (Use Class B1) to provide 2 x 2 bed flats (Use Class C3), with basement excavation, ground floor side/rear extension and roof extension to main rear roof slope and over part of rear addition.  _x000D_
Change of use of no. 21 Cabul Road from photography studio (Use Class B1) to provide 13 residential units (Use Class C3) as 3 x 1-bed, 6 x 2-bed and 4 x 3-bed units.  Extensions to no. 21 including excavation to provide lower ground floor floorspace with side and rear courtyards, rear extensions at ground, 1st and 2nd floor levels, alterations to roof with provision of dormer extensions, raising of main roof ridge level, raising of glazed side element and creation of accommodation and associated amenity space (in the form of garden areas and roof terraces).  _x000D_
Demolition of nos. 31 to 37 Cabul Road and erection of 4x family dwellinghouses with lower ground floor excavations.</t>
  </si>
  <si>
    <t>2015/0433</t>
  </si>
  <si>
    <t>Demolition and reconstruction of property to form a two-storey dwellinghouse including attic accommodation within a mansard-style roof.</t>
  </si>
  <si>
    <t>BLOCK E - PRIVATE</t>
  </si>
  <si>
    <t>Redevelopment of the site to provide a mixed-use development comprising 839 residential units, including affordable housing; approximately 5,700sqm of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equipment._x000D_
An Environmental Statement has been submitted with the application under The Town and Country Planning (Environmental Impact Assessment) Regulations 2011.</t>
  </si>
  <si>
    <t>BLOCK J - LEVEL 1 INTERMEDIATE(SO)</t>
  </si>
  <si>
    <t>BLOCK J - LEVEL 2 INTERMEDIATE(SO)</t>
  </si>
  <si>
    <t>BLOCK J - LEVEL 3 INTERMEDIATE(SO)</t>
  </si>
  <si>
    <t>BLOCK J - PRIVATE</t>
  </si>
  <si>
    <t>Alterations including the erection of additional storey (5th floor level) with front and rear roof terraces; front extensions at 3rd and 4th floor level; rear extension at 4th floor level; and new balconies at the rear, with modified roof terraces at 3rd and 4th floor level; to provide 1 additional residential unit.</t>
  </si>
  <si>
    <t>Refurbishment of ground floor commercial unit; external alterations and erection of four-storey rear extension with formation of terraces with safety balustrades at upper ground, first and second floor levels in connection with the use of the rear ground and upper floors of the property as 3 self-contained flats (1 x 2 bedroom and 2 x 1 bedroom) (Use Class C3).</t>
  </si>
  <si>
    <t>Change of use of existing three storey building from retirement housing, residential care home and general needs housing (Use Class C2) to 49 self contained flats (Use Class C3) as 18 x 1-bedroom, 14 x 2-bedroom, 6 x 3-bedroom, 10 x 4-bedroom units and 1 x 4-bedroom maisonette, to provide temporary emergency family accommodation prior to permanent housing allocation.</t>
  </si>
  <si>
    <t>Demolition of existing buildings to rear of site (Use Class B1) and erection of part 2/3-storey buildings to provide 7 residential units (Use Class C3) formed of 1x studio unit, 3x 1-bedroom units and 3x 2-bedroom units with associated balconies and roof terraces.  Retention of and alterations to front building to provide 1x 3-bedroom unit with associated cycle and refuse storage and landscaping.</t>
  </si>
  <si>
    <t>2015/4414</t>
  </si>
  <si>
    <t>Erection of a rear roof extension and extension to increase the height and length of the existing two-storey rear addition. Formation of recessed first floor balcony to rear.</t>
  </si>
  <si>
    <t>2015/4499</t>
  </si>
  <si>
    <t>A03</t>
  </si>
  <si>
    <t>'Submission of revised Reserved Matters details (scale, layout, access, external appearance and landscaping) for plots A03, A04 and A05 of Phase 2, to allow revision to internal reconfiguration of private sale units in plots A03 and A05, landscaping amendments, details of orangery at roof level and minor façade revisions.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t>
  </si>
  <si>
    <t>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t>
  </si>
  <si>
    <t>Alterations including erection of 3-storey rear extension and formation of roof terraces with 1.7m safety balustrade at first and second floor levels; creation of new entrances to flats along side elevation in connection with use of upper floors into 3 x 1 bedroom flats.</t>
  </si>
  <si>
    <t>BLOCK A - PRIVATE LEVEL 10</t>
  </si>
  <si>
    <t>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t>
  </si>
  <si>
    <t>BLOCK A - PRIVATE LEVEL 11</t>
  </si>
  <si>
    <t>BLOCK A - PRIVATE LEVEL 12</t>
  </si>
  <si>
    <t>BLOCK A - PRIVATE LEVEL 3</t>
  </si>
  <si>
    <t>BLOCK A - PRIVATE LEVEL 4</t>
  </si>
  <si>
    <t>BLOCK A - PRIVATE LEVEL 5</t>
  </si>
  <si>
    <t>BLOCK A - PRIVATE LEVEL 6</t>
  </si>
  <si>
    <t>BLOCK A - PRIVATE LEVEL 7</t>
  </si>
  <si>
    <t>BLOCK A - PRIVATE LEVEL 8</t>
  </si>
  <si>
    <t>BLOCK A - PRIVATE LEVEL 9</t>
  </si>
  <si>
    <t>BLOCK B -  LEVEL 3 (INTERMEDIATE)</t>
  </si>
  <si>
    <t>BLOCK B -  LEVEL 4 (INTERMEDIATE)</t>
  </si>
  <si>
    <t>BLOCK B -  LEVEL 5 (INTERMEDIATE)</t>
  </si>
  <si>
    <t>BLOCK B -  LEVEL 6 (PRIVATE)</t>
  </si>
  <si>
    <t>BLOCK B -  LEVEL 7 (PRIVATE)</t>
  </si>
  <si>
    <t>BLOCK C -  LEVEL 10  (PRIVATE)</t>
  </si>
  <si>
    <t>BLOCK C -  LEVEL 11 (PRIVATE)</t>
  </si>
  <si>
    <t>BLOCK C -  LEVEL 12 (PRIVATE)</t>
  </si>
  <si>
    <t>BLOCK C -  LEVEL 13 (PRIVATE)</t>
  </si>
  <si>
    <t>BLOCK C -  LEVEL 14 (PRIVATE)</t>
  </si>
  <si>
    <t>BLOCK C -  LEVEL 15 (PRIVATE)</t>
  </si>
  <si>
    <t>BLOCK C -  LEVEL 16 (PRIVATE)</t>
  </si>
  <si>
    <t>BLOCK C -  LEVEL 3 (PRIVATE)</t>
  </si>
  <si>
    <t>BLOCK C -  LEVEL 4 (PRIVATE)</t>
  </si>
  <si>
    <t>BLOCK C -  LEVEL 5 (PRIVATE)</t>
  </si>
  <si>
    <t>BLOCK C -  LEVEL 6 (PRIVATE)</t>
  </si>
  <si>
    <t>BLOCK C -  LEVEL 7 (PRIVATE)</t>
  </si>
  <si>
    <t>BLOCK C -  LEVEL 8 (PRIVATE)</t>
  </si>
  <si>
    <t>BLOCK C -  LEVEL 9 (PRIVATE)</t>
  </si>
  <si>
    <t>BLOCK D -  LEVEL 3 (INTERMEDIATE)</t>
  </si>
  <si>
    <t>BLOCK D -  LEVEL 4 (INTERMEDIATE)</t>
  </si>
  <si>
    <t>BLOCK D -  LEVEL 5 (INTERMEDIATE)</t>
  </si>
  <si>
    <t>BLOCK D -  LEVEL 6 (INTERMEDIATE)</t>
  </si>
  <si>
    <t>BLOCK D -  LEVEL 7 (INTERMEDIATE)</t>
  </si>
  <si>
    <t>BLOCK D -  LEVEL 8 (INTERMEDIATE)</t>
  </si>
  <si>
    <t>Demolition of a 3 storey detached building (formerly serving as a care home) and the construction of a four storey block (with accommodation within the roof) to provide 9 flats (3 x 3 bedroom flats and 6 x 2 bedroom flats).</t>
  </si>
  <si>
    <t>Erection of a part 27-storey, part 24-storey building (maximum height of 89.5m) comprising of 89 residential units (including 53 affordable), with associated bicycle parking, servicing, private and communal amenity space. Provision of a river walk to the south side of the River Wandle and improvements to bridge and pedestrian footway. (Amendment to the scheme ref. 2015/0662,  resolved to grant planning permission on the 18th June 2015. Amendments include increase in height of the building by 3m together with internal alterations to provide 2 additional storeys, the reduction in the number of affordable units from 63 to 53 and increase in the number of private units from 23 to 36; omission of basement level; and alterations to fenestration and arrangement of balconies).</t>
  </si>
  <si>
    <t>2015/5850</t>
  </si>
  <si>
    <t>Alterations and extensions in connection with the conversion of upper floors into 2 flats; change of use to convert existing rear ground floor office unit (B1) to residential (C3) to allow 1 flat. Extensions and alterations to include: front and rear mansard roof extensions to main roof (with french doors and safety railings); erection of replacement two-storey back addition linked to two-storey rear extension (basement and ground floor against rear boundary). Installation of new shopfront.</t>
  </si>
  <si>
    <t>2015/5954</t>
  </si>
  <si>
    <t>Erection of single-storey rear/side extension, external alterations, excavation to enlarge basement including formation of front lightwell (with railings surround), replacement windows and insertion of rooflights in connection with the conversion of existing nine bedroom (House of Multiple Occupation - Use Class sui generis) to a six bedroom family dwelling house (Use Class C3). Formation of hard landscaping to front garden and vehicle crossover in connection with the provision of one car parking space.</t>
  </si>
  <si>
    <t>Conversion of two flats (1 x 1-bedroom and 1 x 3-bedroom) into single family dwelling (1 x 4-bedroom).  Excavation to enlarge basement including formation of rear lightwell. Erection of single-storey side/rear extension. Formation of roof terrace at first floor level with railings.  Erection of dormer extension to main rear roof.</t>
  </si>
  <si>
    <t>2015/6469</t>
  </si>
  <si>
    <t>Demolition of existing property and erection of a 4-bedroom house (at basement, ground and first floor levels with roof terrace above), with  lightwell, cycle storage and refuse storage.</t>
  </si>
  <si>
    <t>Alterations including enlargement of existing rear lower ground floor terrace, construction of first floor rear/side infill extension with sliding doors and safety glass, full width rear roof extension to main roof with rear door and projecting balcony, steel bridge at ground floor level over lightwell leading to rear garden, installation of replacement and new rear doors and windows and three front roof lights all in connection with the conversion of the property from 1x commercial unit and 2x residential units to 1x commercial unit and 1 x studio flat, 1 x 1-bedroom and 2 x 2-bedroom units.</t>
  </si>
  <si>
    <t>Conversion of lower ground and ground floor flat into a single 2 bedroom unit and erection of a two-storey rear extension; including erection of a two-storey rear extension and a mansard roof extension to main rear roof to create additional bedroom in upper floor flat; including alterations for a crossover and a retaining wall in the front garden to provide two parking spaces.</t>
  </si>
  <si>
    <t>Retention and conversion of main Audiology House building, and demolition and redevelopment of the side and rear extensions and factory building to rear, to create 16. residential units (consisting of 13 flats and 3 dwellinghouses; provision of associated car parking  (to provide 7 spaces) and cycle parking, private and communal amenity space, hard and soft landscaping and other associated works</t>
  </si>
  <si>
    <t>2015/7506</t>
  </si>
  <si>
    <t>A10 - BLOCK A</t>
  </si>
  <si>
    <t>Variation of Condition 61 (approved drawings) in respect of Plots A010 and A11 Phase 1 of planning permission 2011/1815 (as amended) dated 30th of March 2012 for the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Proposal seeks amendments to the to the ground, first, second and third floor of Plot A10 and the second floor of Plot A11 to provide eight additional residential units.</t>
  </si>
  <si>
    <t>A10 - BLOCK B</t>
  </si>
  <si>
    <t>A11</t>
  </si>
  <si>
    <t>Demolition of existing building to provide a mixed use development in a part-3, part-4 storey building (plus basement level) with side/rear lightwell and roof terrace.  Retail/professional services/restaurant/office uses (Use Class A1) at ground and basement levels and 10 residential units (2 x 1-bedroom, 6 x 2-bedroom and 2 x 3-bedroom) at basement, ground, first, second and third floors; associated cycle parking and refuse and recycling storage.</t>
  </si>
  <si>
    <t>Erection to create additional floor of accommodation to provide 1 x 3-bedroom flat and creation of roof terraces. Alterations to external windows and doors.  Installation of entrance gates and railings above existing boundary wall along front and side elevations.</t>
  </si>
  <si>
    <t>2016/0647</t>
  </si>
  <si>
    <t>Demolition of existing building and erection of replacement four storey building comprising commercial floorspace at ground floor with ancillary storage (Use classes A1, A2, A3 and A4), two 2-bedroom apartments and a studio on the first floor, two 2-bedroom apartments on the second floor and 2-bedroom apartment on second and third floors.</t>
  </si>
  <si>
    <t>Alterations and extensions in connection with the use of property as 1 x three-bedroom flat and 1 x two bedroom flat. Erection of single storey rear/side extension.  Erection of mansard roof extension to main rear roof (with French doors and safety railings).</t>
  </si>
  <si>
    <t>2016/1119</t>
  </si>
  <si>
    <t>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t>
  </si>
  <si>
    <t>Erection of mansard roof extension to main rear roof and conversion of property into 1 x studio and 1 x 2-bedroom flats; installation of replacement windows and installation of rooflights to front roofslope. Enlargement of existing extraction duct.</t>
  </si>
  <si>
    <t>2016/1367</t>
  </si>
  <si>
    <t>Conversion of property to 2 x 3 bedroom flats including erection of privacy fence in rear garden.</t>
  </si>
  <si>
    <t>2016/1698</t>
  </si>
  <si>
    <t>Alterations including the excavation to enlarge existing basement, removal of existing roof of no.505 and replacement with new roof at an increased height of 1m at its ridge and 0.3m at its eaves; raising the ridge of no.507 by 1m; erection of rear mansard roof extensions to main roofs, with three dormers; demolition of existing rear additions and erection of part single/ part 2/ part 3-storey rear extensions with first second and third floor roof terrace  and second floor balcony, (including associated safety balustrade/screening); alterations to the existing window openings, together with replacement windows to front elevation of no. 505;  installation of replacement shop frontages, with other alterations to the buildings; in connection with the conversion of the buildings to create 8 flats and the conversion/amalgamation of the existing ground floor commercial units to create one A1, A2 or A3 use class unit (net loss of 1 commercial unit).</t>
  </si>
  <si>
    <t>2016/1724</t>
  </si>
  <si>
    <t>Alterations including erection of mansard extension to main rear roof and above part of two storey back addition and formation of roof terrace at second floor level with screening in connection with creation of 1 x 1-bedroom flat.  Erection of single-storey side/rear extension and formation of roof terrace above at first floor level.</t>
  </si>
  <si>
    <t>2016/1760</t>
  </si>
  <si>
    <t>Non-material amendment to planning permission dated 12/06/2015 ref. 2014/6909 (Demolition of part-retained building on site. Erection of a 28 storey building comprising 135 residential units and ancillary floorspace (Use Class C3); commercial floorspace at ground floor and mezzanine levels (Use Classes A3-A4 (restaurants and cafes and drinking establishments); 30 car parking spaces, cycle parking and waste storage within a basement; infrastructure groundworks; on-site CHP and substation; public realm works; works to river wall; and access to two car lifts off Lombard Road.) to allow alterations to the facade including relocation and addition of balcony doors and ground floor doors, removal of ground floor louvre panel, replacement of 3 duplex apartments with 2 lateral apartments on levels 25 and 26 to reduce the number of units to 134.</t>
  </si>
  <si>
    <t>HAIS</t>
  </si>
  <si>
    <t>2016/2018</t>
  </si>
  <si>
    <t>Erection of a first floor rear and side extension and conversion of the property into 1 x studio, 1 x 2 bedroom and 2 x 3 bedroom flats.</t>
  </si>
  <si>
    <t>2016/2074</t>
  </si>
  <si>
    <t>Demolition of existing dwelling and erection of a 3-storey 3-bedroom house.</t>
  </si>
  <si>
    <t>2016/2096</t>
  </si>
  <si>
    <t>Erection of four storey building plus basement to provide mixed use building comprising ground floor Class A1 retail shop and pharmacy shop with associated offices and storage at basement level, Class D1 Medical/Therapy centre at first floor and 9 x residential flats (Class C3 - 2 x 1-bedroom, 5 x 2-bedroom and 2 x 3-bedroom flats) at second and third floor levels with associated roof terrace and communal garden.</t>
  </si>
  <si>
    <t>2016/2345</t>
  </si>
  <si>
    <t>Conversion of ground floor minicab (use class sui generis) and upper floor flat to a 5-bedroom dwellinghouse, and replacement of shopfront with windows and front door.</t>
  </si>
  <si>
    <t>2016/2377</t>
  </si>
  <si>
    <t>Conversion of the property from three flats into a single dwellinghouse. Alterations including erection of a single-storey rear/side extension, erection of a roof extension to main rear roof, extension to basement including formation of front lightwell and new front boundary wall.</t>
  </si>
  <si>
    <t>2016/2466</t>
  </si>
  <si>
    <t>Alterations to include the erection of enlarged dormer to front roof slope,  erection of a part-single, part two-storey rear extension, rear mansard roof extension and roof extension with roof terrace over rear addition; basement excavation with rear enclosed courtyard and formation of side lightwell; change of use of rear part of ground floor commercial unit/shop (Class Use B1)  to residential (Class Use C3) in connection with retention of office (Class B1) unit and provision of three flats (subsequent application to planning permission ref: 2014/4269 dated 18/09/2016)</t>
  </si>
  <si>
    <t>2016/2536</t>
  </si>
  <si>
    <t>Extension to existing basement including enlargement of front lightwell. Enlargement of existing rear dormer roof extension (with French doors and safety railings) and roof extension over existing back addition. Internal/external alterations in connection with the conversion of the property into 4 self-contained residential units (1 x 3-bedroom, 2 x 2-bedroom and 1 x 1-bedroom).</t>
  </si>
  <si>
    <t>2016/2558</t>
  </si>
  <si>
    <t>Alterations including erection of single storey side/rear extension and insertion of windows on rear elevation at first and second floor level in connection with conversion of property into 1 x 3-bedroom and 2 x 1-bedroom flats.</t>
  </si>
  <si>
    <t>2016/2772</t>
  </si>
  <si>
    <t>Demolition of existing building and erection of a two-storey dwelling house (with accommodation at basement level with front and rear lightwells, and at roof level with side and rear dormers). Alterations to front boundary wall including piers and sliding gate for front parking area.</t>
  </si>
  <si>
    <t>2016/2881</t>
  </si>
  <si>
    <t>Change of use from retail (Class A1) to residential (Class C3) and erection of single-storey rear extension to create a 2-bedroom flat.</t>
  </si>
  <si>
    <t>2016/2986</t>
  </si>
  <si>
    <t>Demolition of existing building and erection of a new four-storey plus basement level building for use as either class B1 (office use) or class D1 (non residential institutions) at rear part of ground floor and lower ground floor, class A3 (cafe) including external seating area in front part ground floor, and 6 x 2-bed flats on the first to third floors, with associated terraces/balconies.</t>
  </si>
  <si>
    <t>2016/3086</t>
  </si>
  <si>
    <t>Demolition of existing dwelling (retrospective). Erection of part single, part two-storey 3-bedroom dwellinghouse (plus basement level with front lightwells).</t>
  </si>
  <si>
    <t>2016/3254</t>
  </si>
  <si>
    <t>Conversion of single dwelling house into 2 x 3 bedroom flats and 2 x 2 bedroom flats; Erection of rear mansard roof extension to main roof with french doors and safety railings; erection of front dormer;  erection of part single, part two-storey rear extension (basement and ground floors) and excavation to create basement including formation of front and rear lightwells; cycle and refuse store in front garden.</t>
  </si>
  <si>
    <t>2016/3340</t>
  </si>
  <si>
    <t>Erection of 1 x 5-bedroom single storey house (plus basement level and lightwells), with vehicle access and front boundary treatment, garden room/cycle store.</t>
  </si>
  <si>
    <t>2016/3439</t>
  </si>
  <si>
    <t>Determination as to whether prior approval is required for change of use of office at lower ground and ground floors (Class Use B1a) to 1x1 bedroom residential unit (Class Use C3).</t>
  </si>
  <si>
    <t>2016/3482</t>
  </si>
  <si>
    <t>Alterations including erection of roof extension to main rear roof and over two storey rear addition, replacement single storey side/rear extension, excavation to create basement including formation of side and rear lightwells with grille over, conversion of property into 1 x 3-bedroom, 1 x 1-bedroom and 1 x studio flats, alterations to front elevation windows and provision of cycle parking and one car parking space to rear garden.</t>
  </si>
  <si>
    <t>2016/3569</t>
  </si>
  <si>
    <t>Minor material amendment to planning permission 2014/6409 dated 23/03/2015 (Conversion of an unused ground floor commercial unit (A2) to form 2 self-contained, shared ownership flats. Alterations including terraces, windows and doors.) to allow the removal of step/kink in new external wall along Merton Road and Avening Terrace elevation so that it now follows the line of the existing concrete plinth originally intended for commercial unit glazing;  Proposed external area now amended to be 2 No. private amenity spaces, rather than the communal facility; New external doors/windows types and swings amended to suit floor layouts;  Internal layout nominally amended to suit LTH criteria.</t>
  </si>
  <si>
    <t>2016/3609</t>
  </si>
  <si>
    <t>Demolition of existing two storey outbuilding and extension in connection with the conversion of property to 1 x 3-bedroom and 1 x 2-bedroom residential units.  Erection of rear roof extension above two-storey back addition. Excavation to create an enlarged basement including formation of front and side lightwells with grille over. Erection of single-storey rear/side extension with demolition of the two storey building in rear garden.  Removal of two chimneys along Fishponds Road frontage and replacement of part of the boundary wall with rendered brick wall measuring up to 2.7m high including 2.1m high side gate on the Fishponds Road frontage.</t>
  </si>
  <si>
    <t>2016/3909</t>
  </si>
  <si>
    <t>Determination as to whether prior approval is required for change of use of office at first floor (front), second and third floor levels from (Class B1a) to residential (Class C3) to provide 3 x 2-bedroom flats</t>
  </si>
  <si>
    <t>2016/3919</t>
  </si>
  <si>
    <t>Demolition of existing house and outbuidlings. Erection of a detached three-storey house (with top floor within roofspace) with additional floorspace at basement level, with roof terraces at first and second floor rear. (NB:This is an alternative proposal to that being considered under application ref. 2016/1472, with the main differences being to elevational treatment and materials; alterations to layout including reduced floor area and general removal of split levels between storeys, and provision of a double garage).</t>
  </si>
  <si>
    <t>2016/4038</t>
  </si>
  <si>
    <t>Alterations and extensions in connection with the conversion of dwelling into 3 x flats (1 x 1-bedroom, 1 x 2-bedroom and 1 x 3-bedroom).</t>
  </si>
  <si>
    <t>2016/4311</t>
  </si>
  <si>
    <t>Alterations including erection of mansard roof extension to main rear roof including two frotn roofligths and extension above part of three-storey back addition including side dormer window;  formation of roof terrace with 1.7m high safety surround in connection with use of third floor as a 1x2 bedroom flat.  Internal altertions to second floor flat to create an extra bedroom.</t>
  </si>
  <si>
    <t>2016/4474</t>
  </si>
  <si>
    <t>Alterations in connection with change of use of ground floor commercial space from shop (Class A1) to financial and professional services (Class A2) and rear store area to residential use (Class C3). Erection of roof extension to create additional storey of accommodation and extensions at first, second floor and third floor, and creation of roof terraces in connection with creation of 2 x 1-bedroom and 2 x 2-bedroom residential units.</t>
  </si>
  <si>
    <t>2016/4498</t>
  </si>
  <si>
    <t>Conversion of single dwelling house into 3no self contained flats ( 1 x 3 bedroom, 1 x 2 bedroom and 1 x 1 bedroom)</t>
  </si>
  <si>
    <t>2016/4580</t>
  </si>
  <si>
    <t>Alterations including erection of a single-storey rear extension; the replacement of existing windows to the front and rear elevation, installation of rooflights and the conversion of the two flats back into a single family dwelling house.</t>
  </si>
  <si>
    <t>2016/4608</t>
  </si>
  <si>
    <t>Demolition of existing rear extension; alterations including erection of dormer roof extension to main rear roof; erection of two-storey rear extension with roof terraces and associated screening; excavation to create basement including formation of front and rear lightwells with grille over; and conversion of property into 2 x 3-bedroom, 3 x 2-bedroom residential units with associated landscaping and bin and cycle storage.</t>
  </si>
  <si>
    <t>2016/4638</t>
  </si>
  <si>
    <t>Change of use from 6 flats to a single dwelling</t>
  </si>
  <si>
    <t>2016/4720</t>
  </si>
  <si>
    <t>Minor Material Amendment Application pursuant to Condition 2 (approved plans) of planning permission dated 20th October 2016 (ref: 2016/1397) for a reconfiguration of internal layouts and associated alterations of Block B within the Eastern Parcel to facilitate a revised residential mix comprising an additional 9 residential units. (Permission 2016/1397 amended original October 2014 permission (ref: 2014/0614), which was for the demolition of existing buildings and redevelopment of the site to provide new buildings ranging from 2 to 19 storeys in height comprising 510 residential units (Use Class C3), including 15% (76 units) affordable housing; 1,352.5 sq.m of flexible commercial (Use Classes A1/A2/A3/B1/D1/D2), and 1,122.5 sq.m of community use floorspace (use class D1), together with ground floor car parking, public realm and landscaping).</t>
  </si>
  <si>
    <t>2016/4757</t>
  </si>
  <si>
    <t>Erection of mansard roof extension to main rear roof (with french doors and safety railings) and formation of roof terrace over two storey back addition with 1.7m screen surround. Alterations in connection with conversion of property into 2 x 3-bedroom flats.</t>
  </si>
  <si>
    <t>2016/4950</t>
  </si>
  <si>
    <t>Erection of a three-storey, 3-bedroom dwellinghouse to the front of nos. 1-3 Candahar Road. The proposal would include a garage with room for two car parking spaces and two cycles parking spaces. Erection of external terrace at second floor level, which would span over the width of the entrance driveway and adjoin no. 5 Candahar Road.</t>
  </si>
  <si>
    <t>2016/4986</t>
  </si>
  <si>
    <t>Loft conversion including erection of three rear dormer roof extensions to create additional  1x1 residential unit.</t>
  </si>
  <si>
    <t>2016/5070</t>
  </si>
  <si>
    <t>Alterations including erection of mansard roof extension to main rear roof (with French doors and safety railings) and above rear addition, erection of part single, part three-storey rear/side extension; excavation to enlarge basement including formation of an additional front lightwell. Conversion of property to 1 x 1 bedroom flat, 1 x 3-bedroom flat and 2 x 2-bedroom bedroom flats.</t>
  </si>
  <si>
    <t>2016/5139</t>
  </si>
  <si>
    <t>Erection of mansard extension to main rear roof and formation of roof terrace with 1.7m glazed screen surround; excavation to enlarge basement including formation of front and rear lightwells with grille over; alterations in connection with conversion of property into 1 x 3-bedroom and 2 x 1-bedroom flats.</t>
  </si>
  <si>
    <t>2016/5362</t>
  </si>
  <si>
    <t>Alterations in connection with conversion of property from 3 flats into 1 x 3-bedroom, 2 x 1-bedroom and 1 x 2-bedroom flats involving new front lightwell, roofligths, door and window openings.</t>
  </si>
  <si>
    <t>2016/5598</t>
  </si>
  <si>
    <t>Alterations and extensions to existing building to the rear of 32 Brightwell Crescent in connection with conversion of building into 4 x 1-bedroom and 1 x 2-bedroom houses and associated cycle and refuse storage.</t>
  </si>
  <si>
    <t>2016/5822</t>
  </si>
  <si>
    <t>Use of the property as a single dwelling.(Class C3).</t>
  </si>
  <si>
    <t>2016/5835</t>
  </si>
  <si>
    <t>Alterations including erection of mansard roof extension to main rear roof (with French door and safety railings) and extension above part of the two-storey back addition, and formation of roof terrace above two-storey back addition with 1.8m high screen surround in connection with creation of 1x1-bedroom flat.</t>
  </si>
  <si>
    <t>2016/5952</t>
  </si>
  <si>
    <t>Alterations including erection of roof extension to create additional floor of accommodation (1x1 bedroom flat) including formation of roof terrace with 1.7m high safety surround above three-storey back addition; internal alterations to first and second floors including formation of roof terrace with 1.7m high safety surround at first floor level in connection with conversion of first and second floors into 2x1 bedroom flats.</t>
  </si>
  <si>
    <t>2016/6029</t>
  </si>
  <si>
    <t>BUILDING 9 (Phase 2)</t>
  </si>
  <si>
    <t>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from:_x000D_
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t>
  </si>
  <si>
    <t>2016/6119</t>
  </si>
  <si>
    <t>Demolition of existing dwelling and erection of two-storey building (with accommodation at roof and basement levels), to provide 4 x 3-bedroom, 4 x 2-bedroom and 1 x 1-bedroom flats with associated roof terraces to north, east and south elevations; cycle and refuse storage, five car parking spaces and associated landscaping. Erection of replacement front and side boundary wall and railings with pedestrian and vehicular gates up to 1.3m high.</t>
  </si>
  <si>
    <t>2016/6417</t>
  </si>
  <si>
    <t>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
_x000D_
(The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t>
  </si>
  <si>
    <t>2016/6490</t>
  </si>
  <si>
    <t>construction of an additional storey to create 1 x 1 bedroom apartment with associated refuse, recycling and cycle facilities</t>
  </si>
  <si>
    <t>2016/6740</t>
  </si>
  <si>
    <t>Demolition of existing building and erection of a two-storey (with accommodation at basement and roof levels) detached house including side lightwells and rear first floor level terrace; replacement boundary treatment.</t>
  </si>
  <si>
    <t>2016/7290</t>
  </si>
  <si>
    <t>Change of use to form six self-contained flats (2 x 1-bedroom, 2 x 2-bedroom and 2 x 3-bedroom).  Erection of a single-storey rear extensions to both properties. Erection of a hip to gable side roof extension and rear roof mansard extension and above part of rear addition to 16 Byrne Road.  Provision of waste storage and cycle storage.</t>
  </si>
  <si>
    <t>2017/0418</t>
  </si>
  <si>
    <t>Alterations including erection of rear mansard roof extension to main rear roof, single-storey rear/side extension in connection with conversion of property into 1 x 2-bedroom and 1 x 3-bedroom flats.</t>
  </si>
  <si>
    <t>Affordable Rent</t>
  </si>
  <si>
    <t>PLD Aff Rent</t>
  </si>
  <si>
    <t>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t>
  </si>
  <si>
    <t>Demolition of existing public house and removal of lay-by and construction of a part four, part five, part six storey building, plus basement, comprising 16 residential units each with private balconies/terraces and a communal roof terrace at 5th floor level plus associated cycle parking and landscaping.</t>
  </si>
  <si>
    <t>Change of use from children's home (currently vacant) to 6 flats. Demolition of rear dormer, construction of two storey rear extension and dormer.  Removal of external stairs.  Demolition of garage and formation of 3 no parking bays.  Demolition of first floor bay to rear elevation.</t>
  </si>
  <si>
    <t>Demolition of rear addition and alterations including erection of part single part two-storey front, side, rear extensions to rear addition, alterations to front and side ground floor elevations and enclosure of front and side forecourt in connection with use as three flats.</t>
  </si>
  <si>
    <t>Demolition of three storey rear extension. Excavation of basement to create 2 no. 2 bedroom flats, including front and rear lightwells, two storey extension to rear, and roof extension to the rear. Alterations to all windows and doors, associated landscaping and front boundary treatments and provision of refuse and cycle storage.</t>
  </si>
  <si>
    <t>APEX SITE - A1</t>
  </si>
  <si>
    <t>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t>
  </si>
  <si>
    <t>APEX SITE - A2</t>
  </si>
  <si>
    <t>APEX SITE - A3</t>
  </si>
  <si>
    <t>APEX SITE - A4</t>
  </si>
  <si>
    <t>APEX SITE - A6</t>
  </si>
  <si>
    <t>APEX SITE - A7</t>
  </si>
  <si>
    <t>ENTRANCE SITE - E1</t>
  </si>
  <si>
    <t>ENTRANCE SITE - E2</t>
  </si>
  <si>
    <t>ENTRANCE SITE - E3</t>
  </si>
  <si>
    <t>ENTRANCE SITE - E4</t>
  </si>
  <si>
    <t>ENTRANCE SITE - E6</t>
  </si>
  <si>
    <t>ENTRANCE SITE - E8</t>
  </si>
  <si>
    <t>NORTHERN SITE - N1</t>
  </si>
  <si>
    <t>NORTHERN SITE - N10</t>
  </si>
  <si>
    <t>NORTHERN SITE - N12</t>
  </si>
  <si>
    <t>NORTHERN SITE - N2A</t>
  </si>
  <si>
    <t>NORTHERN SITE - N2B</t>
  </si>
  <si>
    <t>NORTHERN SITE - N3</t>
  </si>
  <si>
    <t>NORTHERN SITE - N4</t>
  </si>
  <si>
    <t>NORTHERN SITE - N5</t>
  </si>
  <si>
    <t>NORTHERN SITE - N6</t>
  </si>
  <si>
    <t>NORTHERN SITE - N7</t>
  </si>
  <si>
    <t>NORTHERN SITE - N8</t>
  </si>
  <si>
    <t>NORTHERN SITE - N9</t>
  </si>
  <si>
    <t>THESSALY ROAD SITE - T2</t>
  </si>
  <si>
    <t>THESSALY ROAD SITE - T3A</t>
  </si>
  <si>
    <t>THESSALY ROAD SITE - T3B</t>
  </si>
  <si>
    <t>THESSALY ROAD SITE - T4</t>
  </si>
  <si>
    <t>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t>
  </si>
  <si>
    <t>Erection of roof extension (changing from pitched roof to flat roof) to create an additional storey of accommodation to provide a two bedroom apartment with associated front and rear roof terraces; additional rooflights; 6x projecting solar panels; and balustrade around the existing fourth floor flat roofed wing.</t>
  </si>
  <si>
    <t>PRIVATE RENTED FOR 10 YEARS</t>
  </si>
  <si>
    <t>Demolition of existing Council own garages and redevelopment of the site to provide a new Council own building ranging from 4 to 5 storeys in height comprising 20 residential units of affordable housing (use class C3) together with ground floor automobile and cycle parking, refuse area  and landscaping.</t>
  </si>
  <si>
    <t>Change of use of existing warehouse (Use Class B8) including partial demolition of existing structure and replacement of existing flat roof with a multi pitched roof to create a 1 bedroom dwelling (Use Class C3) with associated excavation and external changes.</t>
  </si>
  <si>
    <t>Alterations and extensions to the existing building including erection of part single, part two storey roof extension; erection of ground, first and second floor extensions into part of the internal courtyard area; removal of part of the façade facing Wandsworth Park; creation of portal gateway entrance off Deodar Road and other reconfiguration works. Proposed alterations and extensions in connection with provision of a total of 2,225 sq.m.  commercial floorspace at basement and ground floor levels, and 53 residential units (all private tenure) on the first to fourth floors, (10 x one-bedroom, 40 x two-bedroom and 3 x three-bedroom), with balconies, terraces and winter gardens,  with 10 basement car parking spaces accessed via car lift, and associated cycle parking provision and landscaping works.</t>
  </si>
  <si>
    <t>Alterations and erection of three-storey (first to third floors) rear extension in connection with conversion of upper floors into 3 x 1 bedroom self contained flats with communal first floor rear terrace. Erection of three-storey house at rear with first floor rear terrace and second floor rear balcony.</t>
  </si>
  <si>
    <t>Demolition of existing building and erection of a three-storey (including accommodation within the roofspace) 8-bedroom detached house. [The main changes include alterations to the siting, scale and floorplans of the proposed house, with changes to elevational treatment including to roof form and chimneys; fenestration (including some new windows) and rear first floor balconies. NOTE: Identical changes have also been made to concurrent planning application ref. number 2014/6722 such that both applications are now for identical proposals.</t>
  </si>
  <si>
    <t>Part demolition of existing building and erection of a 4-storey building accommodating retail (A1 use class) at ground floor and basement level, and 5 self-contained residential units (C3 use class) (3 x 1 bed, 2 x 2 bed) above, together with associated alterations.</t>
  </si>
  <si>
    <t>Erection of roof extension to main rear roof and increase in height of existing back addition with roof terrace and associated screening above; erection of part single-storey, part two storey rear extension; and alterations in connection with conversion of the rear part of the ground floor and the upper floors into 3 self-contained flats (2 x 2 bed, 1 x 1 bed).</t>
  </si>
  <si>
    <t>Change of use of ground floor from shop (Use Class A1) to residential (Use Class C3) in connection with conversion of property into 3 self contained flats (1x3-bed, 1x2-bed, 1x1-bed).  External alterations including formation of front and rear lightwells and erection of rear extension at basement, ground, first and second floor levels with second floor roof terrace (1.8m high obscure glazed screening around).  Demolition of existing workshop premises at rear and construction of a single-storey plus basement 2-bedroom dwelling.</t>
  </si>
  <si>
    <t>Erection of second floor extension (with front and rear mansards) to create additional storey of accommodation including the creation of an additional one bedroom residential flat; erection of a part single-storey, part two-storey rear extension; external rear staircase and first floor balconies.</t>
  </si>
  <si>
    <t>Extension of the ground floor area for retail use. Extension of existing residential block of 4 dwelling units at the front of the site to create additional storey (for 1 x 3-bedroom flat), with alterations to frontage and replacement shopfront.  Construction of 4 x 2-bedroom flats to the rear of the site in a two storey extension set above the extended ground floor retail unit, with associated roof terraces/balconies, communal courtyard, cycle storage and refuse storage.</t>
  </si>
  <si>
    <t>Demolition of rear workshop. Alterations including erection of rear two-storey extension, internal layout change to incorporate two additional dwellings, conversion of two small shops into one shop and formation of a roof terrace above no. 116. Creation of new shared entrance within the shop front to proposed flats.</t>
  </si>
  <si>
    <t>Phase 5 (RS-6)</t>
  </si>
  <si>
    <t>Conversion of the rear part of ground floor retail unit and upper floor flat into 1x1bedroom and 1x2-bedroom self contained flats. Alterations to front dormer and enlargement of rear dormer including erection of two-storey side extension; insertion of additional windows, french doors safety railings to rear and side elevation, including new entrance door fronting onto Glendarvon Street. Formation of roof terrace at second floor level with screening.</t>
  </si>
  <si>
    <t>Change of use of the upper floors and rear yard area from public house (Use Class A4) to six residential units (Use Class C3).  Erection of additional storey and formation of roof terrace with balustrade to rear.  Erection part-four storey part-two storey extension to rear and side addition, including formation of roof terraces on 1st and 2nd floors with safety balustrade. Alterations to lower ground level including cycle storage and refuse storage.</t>
  </si>
  <si>
    <t>Erection of two-storey rear extension (at first and second floor levels) with roof extension above in association with the creation of 6 no. residential units. Erection of ground floor rear extension to retail unit, basement alterations, and replacement external stair to rear.  Erection of detached cycle and refuse store to the rear of the site.</t>
  </si>
  <si>
    <t>Alterations in connections with the conversion of upper floor maisonette into 1 x two-bedroom, 1 x one- bedroom and 1 x studio self contained flats.  Extensions including erection of rear roof extension to main rear roof and extensions above three-storey back addition, formation of roof terrace above back addition with railing surround.</t>
  </si>
  <si>
    <t>Erection of mansard roof extension to main front roof and external alterations to front elevation; erection of two-storey rear extension (with french doors and safety railings at second floor); formation of roof terrace at rear first floor level in conjunction with the conversion of the upper floors into two self-contained flats (2 x 2 bedroom units).</t>
  </si>
  <si>
    <t>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t>
  </si>
  <si>
    <t>Conversion of dwelling house into 3 flats (1x3 bedroom, 1x1 bedroom and 1x2 bedroom). Alterations and extensions including replacement of shopfront, rear extensions at ground floor level; roof terrace at first and second floor levels; erection of a roof extension to main rear roof (with french doors and safety railings); formation of rear lightwell.</t>
  </si>
  <si>
    <t>Demolition of existing house and erection of new two-storey house with additional  accommodation at roof level and at basement level (including excavation under part of front and rear garden areas), including first floor rear roof terraces and provision of a car lift within garage to access proposed basement car parking spaces.</t>
  </si>
  <si>
    <t>Alterations including erection of dormer extensions to side roof slope, alterations to rear dormer, and replacement windows and doors to rear. Erection of two-storey rear extension at first and second floor levels  in connection with use of upper floors as 2 x 2 bedroom flats.</t>
  </si>
  <si>
    <t>Erection of a mansard roof extension to main rear and above part of two-storey rear addition; erection of single-storey rear/side extension; excavation to enlarge basement including formation of front lightwell all in connection with the conversion of two-self contained flats into a single dwelling.</t>
  </si>
  <si>
    <t>Demolition of existing ground floor rear back additions and erection of a two storey rear extension to re-provide accommodation to the public house at ground floor level (Use Class A4) and additional ancillary residential accommodation at first floor level; erection of a two-storey building with basement adjacent to the main public house to provide 1 x 1 bedroom flat and 1 x 2 bedroom flat with private amenity space</t>
  </si>
  <si>
    <t>Excavation to enlarge existing basement including formation of front and rear lightwells to provide two 1-bedroom flats; demolition of existing side garage and erection of single storey side extension to provide 1 additional bedroom in ground floor flat. (Revisions to planning permission ref 2014/5704 dated 18/12/14 to include increased basement floorspace and provision of two flats instead of one).</t>
  </si>
  <si>
    <t>Erection of two-storey 2-bedroom dwelling at basement and ground floor levels (accessed from passage between 11 and 13 Stanmer Street and entrance gate) with lightwell to Stanmer Street.</t>
  </si>
  <si>
    <t>2015/5315</t>
  </si>
  <si>
    <t>Demolition of existing building and erection of three-storey building to provide 9 residential self-contained flats (Outline All matters reserved).</t>
  </si>
  <si>
    <t>Alterations including excavation to create basement including formation of front and rear lightwells; erection of part two, part three-storey (basement to first floor levels) rear/side extension to the property; alteration to rear dormer to install French doors (with Juliette balcony and safety railings); installation of French doors to rear first floor (with Juliette balcony and safety railings); installation of staircase to front and rear lightwells; in connection with use of property as three flats.</t>
  </si>
  <si>
    <t>Alterations including erection of roof extensions to main rear/side roof with a terrace at second floor rear level; erection of a two storey rear/side extension with french doors and balustrade at first floor rear level and infilling gated entrance at street level all in connection with the conversion of the property to form 1 no. maisonette and 2 no. flats (2 x 1 bedroom units) and retaining a smaller office on ground floor level</t>
  </si>
  <si>
    <t>Alterations including erection of mansard roof extension and erection of a part single, part two storey rear extension in conjunction with the conversion of a single dwelling house into three self contained flats (1 x 4 bedroom, 1 x 3 bedroom and 1 x 1 bedroom units)</t>
  </si>
  <si>
    <t>Change of use of accommodation from retail (Class Use A1) to residential (Class Use C3), incorporating amended rear roof extension and extension above two-storey back addition and creation of roof terrace, enlargement of single-storey rear infill extension and basement, and creation of lightwell at front with railings surround. Removal of shed in rear garden and alterations to side boundary wall, removal of shopfront to create two self-contained residential flats.</t>
  </si>
  <si>
    <t>Conversion of the upper floors from a 4 bedroom unit to 1x1 bedroom and 1x3 bedroom self-contained flats; erection of mansard roof extension to main roof with three front and two rear dormer windows; second floor rear extension above back addition; roof terraces at first and third floor levels; alterations to openings.</t>
  </si>
  <si>
    <t>Extensions and reconfiguration of the property to form two maisonette flats (1 x 4-bedroom unit and 1 x 2-bedroom unit), with extension to the basement, a rear/side ground floor extension, formation of a first floor roof terrace, and roof extension over the rear addition.</t>
  </si>
  <si>
    <t>2015/6259</t>
  </si>
  <si>
    <t>Erection of a mansard roof extension to front and rear including raising the ridge by approximately 500mm and a hip to gable side roof extension with dormer to the front. Alterations and extensions in connection with the formation of a one-bedroom flat.</t>
  </si>
  <si>
    <t>2015/6327</t>
  </si>
  <si>
    <t>Alterations in connection with the conversion of property from three units to four self-contained units; and replacement of ground floor side door with window.</t>
  </si>
  <si>
    <t>2015/6393</t>
  </si>
  <si>
    <t>PHASE 2 - PRIVATE</t>
  </si>
  <si>
    <t>Variation of condition 15 (development in accordance with the approved drawings) of planning permission ref. 2012/1258 dated 18/10/12 (which approved the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The proposed amendments to the approved scheme include: _x000D_
- Plot 2 (near the centre of the site) - alterations to the internal layout and first floor fenestration detailing of the community use. Replacement of 2 x 4-bed maisonettes with 4 x 2-bed flats at ground and first floors (increasing the total units within this building from 31 to 33)._x000D_
- Plot 9 (fronting Comyn Road and Eckstein Road) - addition of 8 units (increasing the total units within this building from 63 to 71 units), alterations to the mix of units proposed (including an increase of 21 x 1-bed units, 3 x 2-bed units, 4 x 4-bed units and a decrease of 20 x 3-bed units from the approved scheme), and to the tenure by including 8 intermediate tenure units. Relocation of the exterior deck to the courtyard/ interior elevation with associated alterations to the elevations. Extensions to each end of the top floor. Creation of recessed balconies and amendments to materials on the Comyn Road/Eckstein Road frontages.</t>
  </si>
  <si>
    <t>PHASE 2 - SHARED OWNERSHIP (intermediate)</t>
  </si>
  <si>
    <t>PHASE 2 - SOCIAL RENTED</t>
  </si>
  <si>
    <t>Demolition of existing petrol filling station at no. 262 and redevelopment of the site to provide a four-storey building comprising retail use (Class A1) on the ground floor with 6 two-bedroom residential units with associated rear balconies/terraces above at 1st to 3rd floor levels. The proposed retail unit would be used in conjuction with part of the existing ground floor retail unit at no. 256 Wimbledon Park Road to provide a combined Class A1 unit of 657 sq.m. floorspace, with associated alterations to the front of no. 256 to create a new 117 sq.m. retail unit. Provision of associated cycle parking, refuse store and plant, and alterations to public footway to provide a bay in front of no. 262 Wimbledon Park Road.</t>
  </si>
  <si>
    <t>2015/7275</t>
  </si>
  <si>
    <t>Part demolition and conversion of dance academy (Use Class D1) to residential (Use Class C3), erection of single-storey roof extension and erection of five-storey extension (to provide 34 residential units); erection of 5 x four-storey townhouses; associated landscaping and car parking.</t>
  </si>
  <si>
    <t>Fourth Floor</t>
  </si>
  <si>
    <t>NEW BUILD HOUSES</t>
  </si>
  <si>
    <t>Second Floor</t>
  </si>
  <si>
    <t>Third Floor</t>
  </si>
  <si>
    <t>2015/7383</t>
  </si>
  <si>
    <t>Extensions and alterations in connection with the conversion of the upper floors into 2 x 2-bedroom flats, including erection of an additional floor of accommodation above main building, above two-storey back addition, and first floor rear extension with roof terrace.</t>
  </si>
  <si>
    <t>Alterations in connection with the conversion of property into 1 x 2-bedroom and 1 x 4-bedroom flats including erection of rear roof extension above two-storey back addition, erection of single-storey rear extension and insertion of new window in the side elevation. Installation of external side staircase from first floor to rear garden.</t>
  </si>
  <si>
    <t>Extensions and alterations in connection with the use of property as 1 x one-bedroom and 2 x three-bedroom flats. Erection of mansard roof extension to main rear roof (with French doors and safety railings) and above part of two-storey back addition, formation of roof terrace above two-storey back addition with 1.7m high screen surround, erection of single-storey rear/side extension.</t>
  </si>
  <si>
    <t>2015/7533</t>
  </si>
  <si>
    <t>Application pursuant to s73 for further variation of condition 13 (approved drawing numbers) to enable minor material amendment to planning permission granted 30 March 2012 (ref: 2011/2089, as amended) for demolition of the existing buildings, erection of two new buildings of up to 17-storeys and 15-storeys in height to provide 456 residential units (reduced by subsequent amendments to 448 dwellings) and 1,257sqm of commercial floor area comprising of office (B1 and A2), retail (A1) and café/restaurant (A3) uses, together with new pedestrian link and vehicular access, basement car and cycle parking, landscaping, excavation works and servicing. Amendment relates to the relocation of affordable business unit and the creation of two duplex residential apartments to Block L at ground and basement level.</t>
  </si>
  <si>
    <t>Alterations in connection with the use of the upper floors as 1 x two-bedroom &amp; 1 x three-bedroom flats including  erection of mansard  roof extension to main rear roof; erection of first and second floor rear extension with use of part of the flat roof at third floor level as a terrace with 1.7m high screen surround.</t>
  </si>
  <si>
    <t>Change of use of upper floors to provide two self contained flats (2x1-bedroom units) accessed from rear at first floor level, with associated refuse and cycle storage. Erection of rear extension above part of two-storey back addition and creation of roof terrace.</t>
  </si>
  <si>
    <t>Partial demolition of club house in connection with the part change of use of the building from D2 (assembly and leisure) to C3 (residential) with the erection of 2x3 storey 4 bedroom semi-detached dwellinghouses including creation of 4 x car parking spaces in roadway.</t>
  </si>
  <si>
    <t>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t>
  </si>
  <si>
    <t>2016/0848</t>
  </si>
  <si>
    <t>Alterations including conversion of a maisonette flat into 1 x 1-bedroom and 1 x 2-bedroom flats, erection of roof extension (with French doors) over part of the roof terrace and alterations including installation of second floor window to rear (Old Dairy Mews) elevation.</t>
  </si>
  <si>
    <t>Conversion of flats and bedsits into a single dwelling house including erection of rear roof extension above part of two-storey back addition. Erection of single-storey rear/side extension and first floor rear extension and removal of rear external staircase.</t>
  </si>
  <si>
    <t>Demolition of existing building. Erection of part single part two-storey back land building with associated change of use from business (Use Class B1) to dwellings (Use Class C3) to provide 4 x 2-bedroom houses, accessed through the passageway off Queenstown Road.  Associated landscaping, cycle and refuse storage, gate and railings and alterations to the Queenstown Road frontage.</t>
  </si>
  <si>
    <t>2016/1007</t>
  </si>
  <si>
    <t>Alterations including extension to main roof for the creation of 6 X 2 bedroom, 2 X 1 bedroom and 1 X 3 bedroom flats at 6th and 7th floor level. Formation of 15 roof terraces. Associated landscaping and refuse provision.</t>
  </si>
  <si>
    <t>Erection of extensions at basement and ground floor levels for restaurant (Use Class A3), refuse and cycle storage.  Erection of extension to Broadwater Road frontage at first and second floor levels, and alterations to extend and convert 2 x existing residential units to 4 x residential units (3 x 1-bedroom and 1 x 2-bedroom).</t>
  </si>
  <si>
    <t>2016/1170</t>
  </si>
  <si>
    <t>Excavation to enlarge basement including formation of front and rear lightwells; erection of single-storey rear extension in connection with change of use of basement and ground floors from retail (Class A1) to 1 x 1-bedroom and 1 x 2-bedroom flats (Class C3).</t>
  </si>
  <si>
    <t>2016/1218</t>
  </si>
  <si>
    <t>Alterations including erection of mansard roof extension to main rear roof (with two sets of French doors and safety railings), extension above part of two-storey back addition, and replacement of rear windows at first floor level with french doors and safety railings. In connection with the creation of a one-bedroom flat.</t>
  </si>
  <si>
    <t>2016/1240</t>
  </si>
  <si>
    <t>Demolition of existing building and erection of a three-storey (plus basement level) 6-bedroom detached house with front and rear first and second level terraces and associated landscaping. Rebuilding part of front boundary wall including new pedestrian access and associated landscaping.</t>
  </si>
  <si>
    <t>2016/1252</t>
  </si>
  <si>
    <t>Erection of single-storey rear extension at first floor level in connection with change of use of rear basement and ground floors from retail (Use Class A1) to 1 x 1-bedroom residential unit (Use Class C3) accessed from Abberley Mews.</t>
  </si>
  <si>
    <t>2016/1299</t>
  </si>
  <si>
    <t>Demolition of existing house and erection of a two-storey 6-bedroom detached house with accommodation at roof level. New front boundary treatment.</t>
  </si>
  <si>
    <t>2016/1393</t>
  </si>
  <si>
    <t>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t>
  </si>
  <si>
    <t>2016/1499</t>
  </si>
  <si>
    <t>Erection of mansard roof extensions to main rear roofs and above part of the three-storey back addition and formation of roof terraces at third floor level, in connection with the creation of 2 self-contained residential flats (2 x 1-bedroom).</t>
  </si>
  <si>
    <t>2016/1500</t>
  </si>
  <si>
    <t>Demolition of the two-storey building and the erection of 3 x three-storey, three-bedroom houses and associated amenity space, cycle storage and refuse storage.</t>
  </si>
  <si>
    <t>2016/1630</t>
  </si>
  <si>
    <t>2016/1631</t>
  </si>
  <si>
    <t>Alterations including erection of new roof to front, side and rear including 3 dormer windows to create an additional storey with formation of rear roof terrace and safety railings to provide 1 x 2-bedroom flat.  Erection of two-storey rear/side extension (with the mansard roof extension above) to reprovide a maisonette, extend the first floor flat and provide refuse and cycle storage.</t>
  </si>
  <si>
    <t>2016/1648</t>
  </si>
  <si>
    <t>Conversion of 2 apartments to form one self contained dwelling.</t>
  </si>
  <si>
    <t>2016/1735</t>
  </si>
  <si>
    <t>Determination as to whether prior approval is required for change of use of lower ground and ground floors from retail (Class A1) to 1x2 bedroom unit (Class C3) with associated external alterations to front and rear.</t>
  </si>
  <si>
    <t>2016/1738</t>
  </si>
  <si>
    <t>Alterations including erection of an additional storey onto the existing three-storey building to provide four flats (2 x 2-bedroom and 2 x 1- bedroom).</t>
  </si>
  <si>
    <t>2016/1790</t>
  </si>
  <si>
    <t>Alterations including excavation to create basement including formation of front and rear lightwells; erection of single storey rear extension. Erection of dormer extension to main rear roof (with French doors and safety railings) in connection with the conversion of the property into 1x1 bedroom, 1x2 bedroom and 2x3 bedroom flats. External alterations to include provision of bin stores in front garden and a bike store  in rear garden.</t>
  </si>
  <si>
    <t>2016/1804</t>
  </si>
  <si>
    <t>Erection of single-storey side and rear extension in connection with the change of use of the shop (A1) to part professional and financial services (A2) at the front, and part self contained one bedroom flat (C3) at the rear. Other alterations to include insertion of windows in side and rear elevation and alterations to include installation of replacement shopfront.</t>
  </si>
  <si>
    <t>2016/1869</t>
  </si>
  <si>
    <t>Erection of mansard roof extension to main rear roof (with french doors and safety balustrade) and above part of two-storey back addition including formation of roof terrace with 1.7m high safety balustrade surround to create 1 x 2-bedroom unit.</t>
  </si>
  <si>
    <t>2016/1889</t>
  </si>
  <si>
    <t>Extn to ex</t>
  </si>
  <si>
    <t>Part demolition and reconfiguration of the existing first floor (Use Class A1/A2 - retail) and construction of a part 2-, 3- and 4-storey extensions (at 1st, 2nd, 3rd and 4th floor levels) and construction of a part 1- and 2-storey building (including basement accommodation) to the existing service/storage yard to create 7 x self-contained residential units (Use Class C3) with associated amenity space in the form of balconies and roof terraces and green/living walls. (Amendments to planning permission ref. 2015/1933 dated 16/11/2015 including revisions to the staircases; internal alterations to flat 1.1; installation of staircase within retail unit; installation of glazed staircase and walkway to second and third floor flats; increase floorspace to third floor flat and associated external changes).</t>
  </si>
  <si>
    <t>2016/2027</t>
  </si>
  <si>
    <t>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t>
  </si>
  <si>
    <t>2016/2029</t>
  </si>
  <si>
    <t>Erection of four-storey building to align with Nos. 94-100 Balham High Road and erection of a two storey extension to existing building to create a 24 room hotel (Class C1) with a mixed café use (Class A3) at ground floor level, and associated cycle and refuse storage. The existing ground floor post office to be retained.</t>
  </si>
  <si>
    <t>2016/2182</t>
  </si>
  <si>
    <t>Change of use of offices on part of ground, mezzanine and first floor and all other upper levels (2-4) from (Class B1a) to residential (Class C3) to provide 61 residential units.</t>
  </si>
  <si>
    <t>2016/2230</t>
  </si>
  <si>
    <t>Demolition of existing garage and rear extension.  Erection of part two, part three-storey (basement to first floor) rear/side extensions, including formation of second floor rear roof terrace; excavation to create an enlarged basement including formation of front, side and rear lightwells. Works in connection with proposed conversion of the property into 5 residential units.</t>
  </si>
  <si>
    <t>2016/2261</t>
  </si>
  <si>
    <t>Former Units 9, 10 and 11</t>
  </si>
  <si>
    <t>Spice Court</t>
  </si>
  <si>
    <t>Determination as to whether prior approval is required for change of use from office (Class B1a) to 2 x 1-bedroom and 1 x 2-bedroom residential units (Class C3) at second floor level.</t>
  </si>
  <si>
    <t>2016/2265</t>
  </si>
  <si>
    <t>Determination as to whether prior approval is required for change of use from office (Class B1a) to 6 x 1-bedroom residential unit (Class C3) on first, second and third floors.</t>
  </si>
  <si>
    <t>2016/2294</t>
  </si>
  <si>
    <t>Alterations including erection of part single, part two-storey rear/side extension; erection of roof extension (including balcony with safety railings) above two-storey back addition in connection with use of property as 1 x 3 bedroom, 2 x 1 bedroom flats.</t>
  </si>
  <si>
    <t>2016/2392</t>
  </si>
  <si>
    <t>Determination as to whether prior approval is required for change of use from office (Class B1a) to 3 x 2-bedroom and 3 x 1-bedroom residential units (Class C3) at first, second and third floors.</t>
  </si>
  <si>
    <t>2016/2396</t>
  </si>
  <si>
    <t>Former Units 14, 15, 16 and 17</t>
  </si>
  <si>
    <t>Determination as to whether prior approval is required for change of use from office (Class B1a) to 1 x 2-bedroom and 3 x 1-bedroom residential units (Class C3) at third floor level.</t>
  </si>
  <si>
    <t>2016/2400</t>
  </si>
  <si>
    <t>Erection of a  single-storey rear/side extension in connection with use as a single dwelling house.</t>
  </si>
  <si>
    <t>2016/2408</t>
  </si>
  <si>
    <t>Alterations including erection of dormer roof extension to main rear roof and formation of rear roof terrace above three storey back addition with 1.7m high screen surround; erection of two-storey rear extension; erection of single storey side/rear extension; alterations to front lightwell and rear lightwell; installation of side access staircase and conversion of property to 1 x 4-bedroom, 1 x 2-bedroom and 1 x 1-bedroom flats.</t>
  </si>
  <si>
    <t>2016/2424</t>
  </si>
  <si>
    <t>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
_x000D_
(The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t>
  </si>
  <si>
    <t>2016/2444</t>
  </si>
  <si>
    <t>Determination as to whether prior approval is required for change of use from office (Class B1a) to 2 x 2-bedroom residential units (Class C3) at first floor.</t>
  </si>
  <si>
    <t>2016/2446</t>
  </si>
  <si>
    <t>2016/2586</t>
  </si>
  <si>
    <t>Demolition of 206 Mitcham Road, and construction of a four-storey building (plus basement level) to provide 1 x 3-bedroom, 2 x 1-bedroom and 4 x 2-bedroom flats with roof terraces and rear balconies, and basement office accommodation with front lightwell (Use Class B1a).  Construction of an additional storey of accommodation to  208 Mitcham Road (to provide 2 x 1-bedroom flats), extension and provision of roof terraces to 2no. existing flats at first and second floor.  Alterations to existing light industrial units (2A Stella Road - Use Class B1c) to provide office space (Class B1a).  Associated landscaping including ground floor communal garden, parking and refuse storage.</t>
  </si>
  <si>
    <t>2016/2605</t>
  </si>
  <si>
    <t>Alterations in connection with the creation of a 1x1-bedroom flat including erection of mansard roof extension to main rear roof including extension above part of two-storey back addition; formation of roof terrace above two-storey back addition with screen surround. Insertion of rooflights to front roofslope.  Provision of refuse store and cycle parking to front garden.</t>
  </si>
  <si>
    <t>2016/2670</t>
  </si>
  <si>
    <t>2016/2696</t>
  </si>
  <si>
    <t>Erection of additional floor of accommodation to provide 3 x 1-bedroom and 1 x 2-bedroom flats with roof terrace and associated safety screening.</t>
  </si>
  <si>
    <t>2016/2718</t>
  </si>
  <si>
    <t>Alterations including erection of mansard roof extension to main rear roof and raise ridge of back addition by 0.5m in connection with converison of upper flat into 2 x 1-bedroom flats. Erection of single-storey rear/side extension in connection with the conversion of the ground floor flat into 1 x 3-bedroom flat and associated landscaping, and provision of 3 bin stores in front garden.</t>
  </si>
  <si>
    <t>2016/2739</t>
  </si>
  <si>
    <t>Demolition of existing building and erection of three-storey building (including basement level with front lightwell) to provide 1x 1-bedroom unit and 2x 2-bedroom residential units.</t>
  </si>
  <si>
    <t>2016/2748</t>
  </si>
  <si>
    <t>Determination as to whether prior approval is required for change of use of office at ground floor level from (Class B1a) to residential (Class C3) to provide 1 bedroom self-contained flat</t>
  </si>
  <si>
    <t>2016/2770</t>
  </si>
  <si>
    <t>Alterations including infilling of undercroft parking area to provide 1 x 1-bedroom and 1 x 2- bedroom flats with erection of railings and access ramp to east elevation.</t>
  </si>
  <si>
    <t>2016/2773</t>
  </si>
  <si>
    <t>Change of use of first floor of public house (Class Use A4) to 1 x 1-bedroom self-contained studio flat and 1 x 1-bedroom self-contained flat (Use Class C3).  Demolition of rear ground and first floor addition, excavation to enlarge existing basement, and alterations to public house including creation of first floor balcony to rear. Reprovision of beer garden.  Erection of 3-storey (plus basement) building at rear to provide 3 x 2-bedroom flats with balconies and privacy screens at first and second floor levels with associated landscaping, cycle and refuse storage.</t>
  </si>
  <si>
    <t>2016/2823</t>
  </si>
  <si>
    <t>Conversion of existing 4 x bed flat into 1 x 1-bedroom flat and 1 x studio flats.</t>
  </si>
  <si>
    <t>2016/2922</t>
  </si>
  <si>
    <t>Determination as to whether prior approval is required for change of use from office (Class B1a) to 3 x 1-bedroom flats and 3 studio flats (Class C3) at ground, first and roof levels.</t>
  </si>
  <si>
    <t>2016/2970</t>
  </si>
  <si>
    <t>Demolition of existing building and erection of a three storey 5-bedroom detached house and front boundary wall and associated landscaping.</t>
  </si>
  <si>
    <t>2016/3061</t>
  </si>
  <si>
    <t>Demolition of existing dwellinghouse (except for front facade and front sections of the side facades) and erection of a replacement house, including the erection of a rear dormer roof extension, increased height of the rear addition, a single storey side/rear extension and excavation to create a basement level accommodation with rear lightwell. Landscaping of rear garden level including lowering of ground levels.</t>
  </si>
  <si>
    <t>2016/3087</t>
  </si>
  <si>
    <t>Demolition of existing dwelling. Erection of 2 x two-storey, 4-bedroom dwelling houses with accommodation at basement and roof level; excavation to form front and rear lightwells; alterations to front boundary wall including new piers and gates; erection of bin store in front garden; erection of bike stores and garden sheds in both rear gardens; associated landscaping; formation of one dropped kerb. Revised proposal to that refused 29/04/2016 ref: 2016/0308 to include alterations such as reduction in height and depth of dwellings and amendments to front elevation fenestration.</t>
  </si>
  <si>
    <t>2016/3095</t>
  </si>
  <si>
    <t>Erection of three-storey (plus basement with front and rear lightwells) 3-bedroom house in rear garden of 54 Cheriton Road (to adjoin 10 Cloudesdale Road) with associated  landscaping, front boundary wall and railings on Cloudesdale Road frontage, cycle and refuse storage.</t>
  </si>
  <si>
    <t>2016/3196</t>
  </si>
  <si>
    <t>Change of use of basement and part ground floor from Opticians (Class Use D1) to Retail (Class Use A1) and to convert part ground floor to C3 (residential) to enlarge existing studio flat to create 1 x 1-bedroom residential unit (Class Use C3). Relocation of existing side door at ground floor level.</t>
  </si>
  <si>
    <t>2016/3275</t>
  </si>
  <si>
    <t>Conversion of ground floor from the approved Class B1 use (artists studios) to 2 x 1-bedroom flats.</t>
  </si>
  <si>
    <t>2016/3297</t>
  </si>
  <si>
    <t>Demolition of existing house and erection of 2 x two-storey semi-detached houses with accommodation at basement and roof levels; rebuilding of front and side boundary walls and associated landscaping.</t>
  </si>
  <si>
    <t>2016/3307</t>
  </si>
  <si>
    <t>Alterations including erection of rear and side dormers (with French doors and safety railings to rear); installation of french doors and safety railings at rear of ground and first floors. excavation to create basement including formation of front and rear lightwells; formation of secure bin and cycle storage at rear; formation of front hardstanding area (with retention of existing front boundary wall) in connection with conversion of single dwellinghouse into 2 x 3-bedroom, 1 x 2-bedroom and 1 x 1-bedroom flats.</t>
  </si>
  <si>
    <t>2016/3337</t>
  </si>
  <si>
    <t>Determination as to whether prior approval is required for change of use from financial and professional services (Class A2) to residential (Class C3) to provide 1x studio flat at basement level.</t>
  </si>
  <si>
    <t>2016/3344</t>
  </si>
  <si>
    <t>Determination as to whether prior approval is required for change of use of office from (Class B1a) to residential (Class C3) to provide 1 x 2-bedroom flats.</t>
  </si>
  <si>
    <t>2016/3363</t>
  </si>
  <si>
    <t>Units 3, 4, 5, 6, 7, 11, 12, 13 and 14</t>
  </si>
  <si>
    <t>Port House</t>
  </si>
  <si>
    <t>Determination as to whether prior approval is required for change of use of office (Class B1a) to residential (Class C3) to provide 9 x 1 bedroom and 4 x 2-bedroom flats at ground, first, second and third floor levels.</t>
  </si>
  <si>
    <t>2016/3364</t>
  </si>
  <si>
    <t>Unit 10</t>
  </si>
  <si>
    <t>Determination as to whether prior approval is required for change of use from office (Class B1a) to 3 x 1-bedroom residential units (Class C3) at ground floor level.</t>
  </si>
  <si>
    <t>2016/3365</t>
  </si>
  <si>
    <t>Determination as to whether prior approval is required for change of use from office (Class B1a) to 1 x 2-bedroom and 2 x 1-bedroom flats (Class C3) on ground floor level.</t>
  </si>
  <si>
    <t>2016/3441</t>
  </si>
  <si>
    <t>Determination as to whether prior approval is required for change of use from office (Class B1a) to 4 x 2-bedroom residential units (Class C3) at second and third floors.</t>
  </si>
  <si>
    <t>2016/3444</t>
  </si>
  <si>
    <t>Determination as to whether prior approval is required for change of use of office at ground floor level (class B1a) to residential (Class C3) to provide  1 x 2-bedroom residential flat.</t>
  </si>
  <si>
    <t>2016/3445</t>
  </si>
  <si>
    <t>Former Units 2, 3 and 4</t>
  </si>
  <si>
    <t>Determination as to whether prior approval is required for change of use of office at ground floor level (Class B1a) to residential (Class C3)  to provide 2 x 2-bedroom and 1 x 1-bedroom residential flats.</t>
  </si>
  <si>
    <t>2016/3447</t>
  </si>
  <si>
    <t>Former Unit 8</t>
  </si>
  <si>
    <t>Determination as to whether prior approval is required for change of use of office at first floor level (Class B1a) to 3 x 2-bedroom residential and 1 x 1-bedroom residential  units (Class C3).</t>
  </si>
  <si>
    <t>2016/3450</t>
  </si>
  <si>
    <t>Determination as to whether prior approval is required for change of use of office at ground floor level (Class B1a) to residential (Class C3) to provide 1 x 1-bedroom residential flat at ground floor level.</t>
  </si>
  <si>
    <t>2016/3451</t>
  </si>
  <si>
    <t>Units 1, 2, 8 and 9</t>
  </si>
  <si>
    <t>Determination as to whether prior approval is required for change of use of office at ground floor level  (Class B1a) to residential (Class C3) to provide 4 x 1-bedroom residential flats.</t>
  </si>
  <si>
    <t>2016/3452</t>
  </si>
  <si>
    <t>Determination as to whether prior approval is required for change of use from office (Class B1a) to 4 x 1-bedroom residential units (Class C3) at ground level</t>
  </si>
  <si>
    <t>2016/3541</t>
  </si>
  <si>
    <t>Alterations including erection of a two-storey rear extension at lower and upper ground floor levels with roof terrace and 1.7m high obscured glazing, formation of rear lower ground floor level courtyard in conjunction with conversion of the rear lower and upper ground floor levels to 1 x 1-bedroom residential unit.</t>
  </si>
  <si>
    <t>2016/3628</t>
  </si>
  <si>
    <t>Demolition of existing building and erection of a three-storey building to provide church hall (Class D1) on the ground floor and 2 x 2-bedroom ancillary residential flats above including projecting balconies at rear of first and second floors.</t>
  </si>
  <si>
    <t>2016/3656</t>
  </si>
  <si>
    <t>Demolition of existing garage and erection of a two-storey building to provide 1 x 2-bedroom flat and bin store.</t>
  </si>
  <si>
    <t>2016/3707</t>
  </si>
  <si>
    <t>Determination as to whether prior approval is required for change of use from office (Class B1a) to 5 x 3-bedroom residential units (Class C3) at first, second and third floor levels.</t>
  </si>
  <si>
    <t>2016/3733</t>
  </si>
  <si>
    <t>Determination as to whether prior approval is required for change of use from office use (Class B1a) to residential use (Class C3) to provide 10 residential units.</t>
  </si>
  <si>
    <t>2016/3773</t>
  </si>
  <si>
    <t>Demolition of existing building and erection of a two-storey (plus basement) 5-bedroom detached house and associated landscaping.</t>
  </si>
  <si>
    <t>2016/3778</t>
  </si>
  <si>
    <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t>
  </si>
  <si>
    <t>2016/3838</t>
  </si>
  <si>
    <t>Demolition of existing roof structure and erection of four-storey extension (to create fourth, fifth, sixth and seventh floors) to provide 2 x 1-bedroom, 5 x 2-bedroom and  2 x 3-bedroom residential units, creation of balconies and roof terraces, and external alterations.</t>
  </si>
  <si>
    <t>2016/3841</t>
  </si>
  <si>
    <t>Change of use of the front part of the ground floor from retail (Class A1) to financial and professional services (Class A2) and change of use of the rear part to residential (Class C3) to provide 1 x 1-bedroom flat.</t>
  </si>
  <si>
    <t>2016/3870</t>
  </si>
  <si>
    <t>Former Units 1, 12 and 13</t>
  </si>
  <si>
    <t>Determination as to whether prior approval is required for change of use of offices at ground and second floor levels from (Class B1a) to residential (Class C3) to provide 1 x studio, 1 x 1-bedroom flat and 1 x 3-bedroom flat at second floor, and 1 x 1-bedroom flat at ground floor.</t>
  </si>
  <si>
    <t>2016/3873</t>
  </si>
  <si>
    <t>Determination as to whether prior approval is required for change of use from office at ground floor level (Class B1a) to residential (Class C3) to provide 2 x 2-bedroom flats.</t>
  </si>
  <si>
    <t>2016/3999</t>
  </si>
  <si>
    <t>Alterations including excavation to enlarge basement including fromation of front lightwell; erection of two-storey rear extension and single storey rear extension in connection with conversion of property from a house into 1 x 1-bedroom, 1 x 2-bedroom and 1 x 3-bedroom flats.</t>
  </si>
  <si>
    <t>2016/4028</t>
  </si>
  <si>
    <t>Erection of a four-storey building to provide 2 x 2-bedroom flats and formation of roof terrace to rear.</t>
  </si>
  <si>
    <t>2016/4033</t>
  </si>
  <si>
    <t>Land adjacent to 76a Stanley Grove</t>
  </si>
  <si>
    <t>Erection of 1 x two-storey (plus roof and basement levels, and first floor roof terrace) 3-bedroom house adjoining no. 76A Stanley Grove, and erection of 1 x two-storey (plus basement level) 4-bedroom house to rear.  Erection of replacement electricity substation, cycle store and refuse store to Stanley Road frontage.</t>
  </si>
  <si>
    <t>2016/4081</t>
  </si>
  <si>
    <t>Determination as to whether prior approval is required for change of use of office   from (Class B1a) to residential (Class C3)</t>
  </si>
  <si>
    <t>2016/4104</t>
  </si>
  <si>
    <t>Alterations including erection of two-storey side (west) extension with accommodation at roof level and pitched roof over; erection of single-storey front/side extension with roof level accommodation; extension of basement area with walkover rooflights, enlarged main roof including various dormers and rooflights; in connection with use as  2 x 3-bedroom and 2 x 1-bedroom flats; formation of four parking spaces, erection of refuse store in front garden and changes to front boundary treatment</t>
  </si>
  <si>
    <t>2016/4163</t>
  </si>
  <si>
    <t>Alterations including erection of mansard extension to main rear roof (with French doors and safety railings) and erection of part single, part two-storey rear/side extension; formation of roof terrace at first and second  floor levels with 1.7m high screening surround.  Change of use of rear part of ground floor takeway to residential (Class C3) in connection with conversion of property to 2 x 1-bedroom and 1 x 2-bedroom flats.</t>
  </si>
  <si>
    <t>2016/4253</t>
  </si>
  <si>
    <t>Determination as to whether prior approval is required for change of use of office at first floor level from (Class B1a) to 6 x 2-bedroom residential units (Class C3).</t>
  </si>
  <si>
    <t>2016/4321</t>
  </si>
  <si>
    <t>Determination as to whether prior approval is required for change of use of office  from (Class B1a) to 2 x 1-bedroom residential units(Class C3).</t>
  </si>
  <si>
    <t>2016/4349</t>
  </si>
  <si>
    <t>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t>
  </si>
  <si>
    <t>2016/4426</t>
  </si>
  <si>
    <t>Alterations including erection of mansard extension to main roof (with French doors and safety railings to rear) and excavation to create basement including formation of front lightwell, in connection with conversion of property into 1 x 1-bedroom and 1 x 2-bedroom and 1 x 3 bedroom flats.</t>
  </si>
  <si>
    <t>2016/4435</t>
  </si>
  <si>
    <t>Change of use of basement and ground floor restaurant (Class A3) to retail shop (Class A1) in the front half and residential flat (Class C3) at basement level and lower ground level to the rear. Alterations including erection of single-storey rear extension at lower ground floor and enlargement of the lower ground floor with front ligthwell. Access to be provided from rear path leading from Ashley Crescent and emergency access from Basnett Road.</t>
  </si>
  <si>
    <t>2016/4465</t>
  </si>
  <si>
    <t>Alterations including erection of mansard roof extension to provide an additional storey, replacement shopfront, and part 2-storey part 3-storey side and rear extension to provide 5 flats (2 x 1-bedroom, 3 x 2-bedroom) and ground floor alterations to provide a restaurant (Class A3) with associated extract flue, cycle and refuse storage.</t>
  </si>
  <si>
    <t>2016/4543</t>
  </si>
  <si>
    <t>Proposed use of the first and second floors as two residential flats.</t>
  </si>
  <si>
    <t>2016/4593</t>
  </si>
  <si>
    <t>Erection of front and rear second floor extensions and addition of roof extension to create third floor, addition of balconies with safety railings and side privacy screens and internal alterations to create 2 additional flats (total of 6 flats, 4 x 1-bed and 2 x 2-bed flats).</t>
  </si>
  <si>
    <t>2016/4595</t>
  </si>
  <si>
    <t>Erection of side extension and excavation to create an enlarged basement to the north side including formation of front and rear lightwells in connection with the creation of two additional 1-bedroom flats.</t>
  </si>
  <si>
    <t>2016/4636</t>
  </si>
  <si>
    <t>Demolition of the existing dwelling and erection of three-storey (plus basement) building to provide 4 x 2-bedroom and 3 x 1-bedroom flats with associated landscaping, cycle storage and refuse storage.</t>
  </si>
  <si>
    <t>2016/4647</t>
  </si>
  <si>
    <t>Alterations including demolition of rear elevation, mansard roof extension to create an additional storey of residential accommodation, erection of part single, part two storey rear extension, excavation of basement and  conversion of ground floor shop from Sui Generis (mini-cab office) to part Class A2 (financial and professional services) and part Class C3 (residential) to create 2 x 2-bedroom flats.</t>
  </si>
  <si>
    <t>2016/4655</t>
  </si>
  <si>
    <t>Demolition of existing building and erection of a two-storey (plus basement and roof levels) house.</t>
  </si>
  <si>
    <t>2016/4671</t>
  </si>
  <si>
    <t>Determination as to whether prior approval is required for change of use of rear of unit from financial and professional services (Class A2) to 1 x 1-bedroom flat (Class C3) and external alterations.</t>
  </si>
  <si>
    <t>2016/4742</t>
  </si>
  <si>
    <t>Erection of three-storey rear extension and replacement sash windows in UPVC in connection with use of property as a House of Multiple Occupation - 7 rooms (Class Sui Generis).</t>
  </si>
  <si>
    <t>2016/4830</t>
  </si>
  <si>
    <t>Alterations including erection of side and rear roof extensions to main roof including raising the ridge by 0.6m. in connection with the use as 1 x 1-bedroom flat</t>
  </si>
  <si>
    <t>2016/4839</t>
  </si>
  <si>
    <t>Determination as to whether prior approval is required for change of use of office  from (Class B1a) to 2 x 2-bedroom and 2 x 1-bedroom residential units (Class C3).</t>
  </si>
  <si>
    <t>2016/4857</t>
  </si>
  <si>
    <t>Erection of three-storey rear extension, alterations and conversion of existing residential unit to create 3 x 1-bedroom flats.</t>
  </si>
  <si>
    <t>2016/4888</t>
  </si>
  <si>
    <t>Conversion of property to 1 x 1-bedroom and 1 x 5-bedroom flats.</t>
  </si>
  <si>
    <t>2016/4974</t>
  </si>
  <si>
    <t>Change of use of ground floor from shop (Class A1) to residential (Class C3); erection of dormer roof extension to main rear roof; erection of single storey rear/side extension and alterations in connection with conversion of ground floor into 1 x 1-bedroom and 1 x studio flats and reconfiguration of layout of existing first floor flats.</t>
  </si>
  <si>
    <t>2016/5007</t>
  </si>
  <si>
    <t>Demolition of existing garage and erection of a single-storey (plus basement) 1-bedroom house. Replacement of existing boundary wall fronting Ritherdon Road.</t>
  </si>
  <si>
    <t>2016/5017</t>
  </si>
  <si>
    <t>Determination as to whether prior approval is required for change of use of office at second floor level from office (Class B1a) to 1 x 4-bedroom residential unit (Class C3)</t>
  </si>
  <si>
    <t>2016/5073</t>
  </si>
  <si>
    <t>Erection of part single, part two-storey 2-bedroom detached house, including new boundary treatment, vegetation removal, landscaping and bike and bin stores, with access from Morris Gardens.</t>
  </si>
  <si>
    <t>2016/5085</t>
  </si>
  <si>
    <t>Alterations including part demolition of ground floor rear and erection of extensions to first floor in connection with conversion of rear of property into 2 x two-bedroom dwellings, accessed from rear. Alterations to ground floor shop.</t>
  </si>
  <si>
    <t>2016/5196</t>
  </si>
  <si>
    <t>Erection of a one bedroom self contained unit at the rear of 69-73 Upper Tooting Road.</t>
  </si>
  <si>
    <t>2016/5214</t>
  </si>
  <si>
    <t>Determination as to whether prior approval is required for change of use from office (Class B1a) to 1 x 2-bedroom residential unit (Class C3).</t>
  </si>
  <si>
    <t>2016/5215</t>
  </si>
  <si>
    <t>Determination as to whether prior approval is required for change of use from office (Class B1a) to 1 x 3-bedroom residential unit (Class C3).</t>
  </si>
  <si>
    <t>2016/5216</t>
  </si>
  <si>
    <t>2016/5219</t>
  </si>
  <si>
    <t>2016/5245</t>
  </si>
  <si>
    <t>Demolition of existing garages and erection of  2 x 2-storey, 3-bedroom houses with associated landscaping and 2 x off-street parking spaces with access from Summerley Street.</t>
  </si>
  <si>
    <t>2016/5294</t>
  </si>
  <si>
    <t>Demolition of existing garage and erection of a two-storey 1-bedroom detached house with associated landscaping, boundary treatment, cycle and refuse storage.</t>
  </si>
  <si>
    <t>2016/5341</t>
  </si>
  <si>
    <t>Demolition of existing house and erection of two, two-storey (plus basement) 3 -bedroom semi-detached houses including new boundary treatment.</t>
  </si>
  <si>
    <t>2016/5408</t>
  </si>
  <si>
    <t>Demolition of the existing buildings and redevelopment of the site for a part 3-/4-/5-storey scheme comprising 45 (Class C3) residential units, 362 sqm (GIA) (Class D2) community floorspace, 161 sqm (GIA) flexible office floorspace; refurbishment of the existing club house to provide 169 sqm (GIA) (Class D2) community floorspace and associated landscaped outdoor space.</t>
  </si>
  <si>
    <t>2016/5474</t>
  </si>
  <si>
    <t>Use of building as single dwelling (Class C3).</t>
  </si>
  <si>
    <t>2016/5515</t>
  </si>
  <si>
    <t>Alterations including a single storey rear extension, and conversion of property to 1 x 3-bedroom; 1x  1-bedroom; and 1 x studio flats.</t>
  </si>
  <si>
    <t>2016/5554</t>
  </si>
  <si>
    <t>Erection of front, side and rear mansard roof extension (with a dormer window to the rear elevation) to provided an additional floor of accommodation, in connection with the creation of 1 x 1-bedroom flat.</t>
  </si>
  <si>
    <t>2016/5620</t>
  </si>
  <si>
    <t>Change of use of part of ground floor shop (Class A1)  into 1 x 1 bedroom flat (Class C3), and alterations to side elevation at ground floor.</t>
  </si>
  <si>
    <t>2016/5649</t>
  </si>
  <si>
    <t>Alterations including demolition of existing garage and erection of a single storey (plus basement) 3-bedroom detached house including erection of boundary walls, formation of a front hardstanding area and associated landscaping.</t>
  </si>
  <si>
    <t>2016/5653</t>
  </si>
  <si>
    <t>Conversion of the existing single dwelling into two x dwellings to create 1 x 5-bedroom unit and 1 x 3-bedroom unit. Alterations including erection of single-storey replacement side and rear extension including new front entrance porch.</t>
  </si>
  <si>
    <t>2016/5713</t>
  </si>
  <si>
    <t>Former Units 5, 6 and 7</t>
  </si>
  <si>
    <t>Determination as to whether prior approval is required for change of use from offices at first floor level (Class B1a) to 1 x 2-bedroom and 2 x 1-bedroom residential units (Class C3).</t>
  </si>
  <si>
    <t>2016/5738</t>
  </si>
  <si>
    <t>Demolition of existing garages and redevelopment to provide  18 units (15 flats and 3 houses) within 3 and 4 storey blocks with associated vehicle and cycle parking, bin storage and landscaping.</t>
  </si>
  <si>
    <t>2016/5739</t>
  </si>
  <si>
    <t>Demolition of existing garages and redevelopment for a part one, two and three storey residential block to provide 4 units with associated vehicle and cycle parking, bin store, landscaping and reconfiguration of existing parking court (amended description).</t>
  </si>
  <si>
    <t>2016/5744</t>
  </si>
  <si>
    <t>Erection of  two four storey blocks to existing residential block to provide 8 residential units with associated cycle parking, bin store and landscaping.</t>
  </si>
  <si>
    <t>2016/5759</t>
  </si>
  <si>
    <t>Erection of front and rear mansard roof extensions to provide additional floor of accommodation; erection of first floor rear extension and formation of rear roof terrace at rear of first floor; use of upper floors as 2 x 1-bedroom flats.</t>
  </si>
  <si>
    <t>2016/5770</t>
  </si>
  <si>
    <t>Alterations including erection of part single, part two-storey side/rear extension (including basement extension and rear lightwell) in connection with erection of a 1x1-bedroom unit on Garratt Terrace frontage.</t>
  </si>
  <si>
    <t>2016/5804</t>
  </si>
  <si>
    <t>Change of use from storage facility (Class B8) to a single family dwelling house (Class C3) including external alterations.</t>
  </si>
  <si>
    <t>2016/5949</t>
  </si>
  <si>
    <t>EL</t>
  </si>
  <si>
    <t>Demolition of community centre and erection of 3/4 storey building to provide 21 flats including warden flat and communal living spaces; reduction in size of adjacent multi-use games area to create circulation and access space, balconies to all elevations, associated cycle and refuse storage and landscaping. Retention of 27 car parking spaces alongside the games area.</t>
  </si>
  <si>
    <t>PLD</t>
  </si>
  <si>
    <t>2016/6088</t>
  </si>
  <si>
    <t>Demolition of existing buildings and erection of two x four-storey (plus basement) detached houses including formation of front and rear lightwells, and front and rear roof terraces at third floor level; associated tree removals, landscaping, new boundary treatment and four off-street parking spaces.</t>
  </si>
  <si>
    <t>2016/6107</t>
  </si>
  <si>
    <t>Alterations including erection of two-storey rear extension at first and second floor levels; erection of a main roof extension to create additional floor of accommodation; formation of roof terrace at rear first floor level, in connection with conversion into 1 x 1-bedroom and 1 x 2-bedroom flats.</t>
  </si>
  <si>
    <t>2016/6177</t>
  </si>
  <si>
    <t>Erection of single-storey rear/side extension in connection with use of property as a single dwellinghouse.</t>
  </si>
  <si>
    <t>2016/6183</t>
  </si>
  <si>
    <t>Erection of mansard roof extension to main rear roof and above part of three storey back addition including formation of roof terrace with 1.7m high safety balustrade surround to create 1 x 2-bedroom unit.</t>
  </si>
  <si>
    <t>2016/6187</t>
  </si>
  <si>
    <t>Conversion of existing 4-bedroom flat into 1 x 1-bedroom flat and 1 x studio apartment.</t>
  </si>
  <si>
    <t>2016/6192</t>
  </si>
  <si>
    <t>Determination as to whether prior approval is required for change of use of basement and part ground floor level from retail (Class A1) to 1 x 2-bedroom flat (Class C3).</t>
  </si>
  <si>
    <t>2016/6206</t>
  </si>
  <si>
    <t>2016/6259</t>
  </si>
  <si>
    <t>Determination as to whether prior approval is required for change of use of office at first floor level from (Class B1a) to residential (Class C3) to provide 1 x 2-bedroom  and 1 x 1-bedroom flats.</t>
  </si>
  <si>
    <t>2016/6276</t>
  </si>
  <si>
    <t>Rear of 2-14 &amp; 28-36</t>
  </si>
  <si>
    <t>Alterations including the erection of a hip-to-gable side roof extension; dormer extension to main rear roof (with french doors and safety railings); and internal alterations in connection with creation of 1 x 1-bedroom flat.</t>
  </si>
  <si>
    <t>2016/6287</t>
  </si>
  <si>
    <t>Alterations in connection with the conversion of the property from four flats (2 x 1-bedroom and 2 x 2-bedroom) to a single dwellinghouse (seven-bedroom). Formation of rear roof terrace at main roof level with 1.1m high balustrade.</t>
  </si>
  <si>
    <t>2016/6303</t>
  </si>
  <si>
    <t>Conversion of two flats into a maisonette and external alterations to windows on the north and east elevations.</t>
  </si>
  <si>
    <t>2016/6355</t>
  </si>
  <si>
    <t>Alterations including erection of single storey side/rear extension, replacement windows, and bin store to front area in connection with conversion of building into 2 x 3-bedroom flats.</t>
  </si>
  <si>
    <t>2016/6386</t>
  </si>
  <si>
    <t>Alterations including replacement of fenestration to ground floor elevations and excavation to form basement with rear lightwells in conjunction with change of use from retail (Class A1) and provision of 1 x 1-bedroom, 4 x 2-bedroom flats (Class C3) at basement and ground floor levels; refuse and cycle stores fronting Lebanon Road</t>
  </si>
  <si>
    <t>2016/6511</t>
  </si>
  <si>
    <t>Demolition of existing garages and erection of a six bedroom, part single, part two-storey dwelling with basement, on-site parking and associated landscaping.</t>
  </si>
  <si>
    <t>2016/6524</t>
  </si>
  <si>
    <t>Alterations in connection with the conversion of the property into 1x2 and 1x3 bedroom flats with associated cycle storage; installation of external staircase from first floor to rear garden.</t>
  </si>
  <si>
    <t>2016/6529</t>
  </si>
  <si>
    <t>Erection of a mansard roof extension to main rear roof (French doors and safety railings). Erection of a rear/side extension and excavation to create basement including formation of front lightwell with grille over in connection with conversion of property from two flats to a single dwelling house.</t>
  </si>
  <si>
    <t>2016/6533</t>
  </si>
  <si>
    <t>Erection of replacement part single-part two storey rear extensions, erection of mansard roof extension, erection of a front dormer, erection of a mansard roof extension above the back addition including formation of roof terrace with glazed screen surround, change of use of first floor and part of the ground floor office space, excavation to enlarge basement including formation of rear lightwells and alterations to provide 1 x 1-bedroom, 1 x 2-bedroom and 1 x 3-bedroom flats.</t>
  </si>
  <si>
    <t>2016/6541</t>
  </si>
  <si>
    <t>Determination as to whether prior approval is required for change of use of office at first floor level from (Class B1a) to residential (Class C3) to provide 1 x 1-bedroom unit.</t>
  </si>
  <si>
    <t>2016/6655</t>
  </si>
  <si>
    <t>Installation of new shopfront including new front access to flats. Alterations including erection of first floor side extension with terrace above, creation of terrace at first floor and conversion of upper floors (ancillary storage to Class A1 retaill use) into 4 x 2-bedroom flats (Class C3 residential use) with associated cycle and refuse storage. Demolition of part of the rear ground floor to provide reduced retail floorspace (Use Class A1).</t>
  </si>
  <si>
    <t>2016/6670</t>
  </si>
  <si>
    <t>Alterations including erection of mansard roof extension to main rear roof and extension above part of two-storey back addition; formation of roof terrace at third floor level above proposed extension above back addition with 1.5m high screen surround. Conversion of property to 1 x 2 bedroom flat and 1 x 1 bedroom flat.</t>
  </si>
  <si>
    <t>2016/6717</t>
  </si>
  <si>
    <t>Alterations in connection with amalgamation of basement and ground floor flats into one residential unit.</t>
  </si>
  <si>
    <t>2016/6734</t>
  </si>
  <si>
    <t>Erection of a two-storey terrace comprising 5 x 1-bedroom houses.</t>
  </si>
  <si>
    <t>2016/6854</t>
  </si>
  <si>
    <t>Alterations including erection of single storey side/rear extension and extension to basement in connection with change of use to the rear of property from betting shop (Use Class sui generis) to 1 x 2-bedroom flat (Use Class C3), accessed using rear path from Atherton Street, and alterations to the shopfront including a new door.</t>
  </si>
  <si>
    <t>2016/6874</t>
  </si>
  <si>
    <t>Determination as to whether prior approval is required for change of use from retail (Class A1) to 1 x 2-bedroom flat (Class C3).</t>
  </si>
  <si>
    <t>2016/6876</t>
  </si>
  <si>
    <t>Determination as to whether prior approval is required for change of use from retail (Class A1) to 1 x 1-bedroom flat (Class C3).</t>
  </si>
  <si>
    <t>2016/6949</t>
  </si>
  <si>
    <t>Conversion of two 2-bedroom units (flat nos. 50 and 51) into one 4-bedroom unit on the 9th floor of 2 Riverlight Quay. No external alterations are proposed.</t>
  </si>
  <si>
    <t>2016/6985</t>
  </si>
  <si>
    <t>Change of use from restaurant (Class A3) to a self contained flat (Class C3); including formation of front lightwell, alterations to the front elevation and erection of a front boundary wall.</t>
  </si>
  <si>
    <t>2016/7075</t>
  </si>
  <si>
    <t>1st fl</t>
  </si>
  <si>
    <t>Determination as to whether prior approval is required for change of use from office (Class B1a) to 35 x residential units (Class C3) at first to fourth floors.</t>
  </si>
  <si>
    <t>2nd fl</t>
  </si>
  <si>
    <t>3rd fl</t>
  </si>
  <si>
    <t>4th fl</t>
  </si>
  <si>
    <t>2016/7163</t>
  </si>
  <si>
    <t>Excavation to extend basement including formation of front and rear lightwells, and erection of single storey plus basement level rear extension, in association with subdivision of property into a 1 x two-bedroom and 1 x one-bedroom flats (amendments to application ref. 2016/1652 proposing revised design to rear extension and changes to front lightwell).</t>
  </si>
  <si>
    <t>2016/7167</t>
  </si>
  <si>
    <t>Erection of a three-storey (plus basement) 2-bedroom detached house with roof terrace with associated landscaping and refuse storage.</t>
  </si>
  <si>
    <t>2016/7179</t>
  </si>
  <si>
    <t>Erection of new three storey building comprising of 6 new residential dwellings (3 x two-bedroom duplex apartments at ground and first floor level, all with private external area to the rear, and 3 x one-bedroom loft apartments with rear balconies at second floor level). Associated landscaping, boundary treatment and cycle and refuse storage.</t>
  </si>
  <si>
    <t>2016/7392</t>
  </si>
  <si>
    <t>Retention of four-storey building (plus basement) to provide 12 flats including excavation to create basement and formation of front and rear lightwells; _x000D_
(Amendments to refusal of permision dated 26/10/2016  ref. 2016/3265 to include removal of two basement flats, installation of ramp to main entrance, re-positioning of entrance door, alterations to front elevations, installation of balconies, provision of rooftop garden and revised internal layout)</t>
  </si>
  <si>
    <t>2016/7462</t>
  </si>
  <si>
    <t>Determination as to whether prior approval is required for change of use from retail (Class A1) to 2 x 1-bedroom flats (Class C3).</t>
  </si>
  <si>
    <t>2017/0014</t>
  </si>
  <si>
    <t>Determination as to whether prior approval is required for change of use of first and second floors from office (Class B1a) to residential (Class C3) to provide 3 x 2-bedroom and 1 x 1-bedroom flats.</t>
  </si>
  <si>
    <t>2017/0015</t>
  </si>
  <si>
    <t>Determination as to whether prior approval is required for change of use from financial and professional services (Class A2) to residential (Class C3) to provide 1x1 studio flat at ground floor level.</t>
  </si>
  <si>
    <t>2017/0126</t>
  </si>
  <si>
    <t>Alterations including erection of mansard roof extension to main rear roof with 2x rooflights in the front roofslope and erection of single-storey rear/side extension in connection with the conversion of the property into 2 x 3-bedroom flats. Installation of bin stores in front garden.</t>
  </si>
  <si>
    <t>2017/0175</t>
  </si>
  <si>
    <t>Alterations including erection of extension at ground floor level in connection with change of use from clinic (Class D1) to 2 x 2-bedroom flats (Class C3).</t>
  </si>
  <si>
    <t>2017/0240</t>
  </si>
  <si>
    <t>Demolition of two storey back addition and alterations to rear of public house, erection of 3 storey (plus basement) building at the rear to provide 3 x 2-bedroom and roof terrace (amendments to withdrawn application ref. 2016/6171 to reduce the height of the rear building by one storey and remove previously proposed flats at first floor level of public house).</t>
  </si>
  <si>
    <t>2017/0261</t>
  </si>
  <si>
    <t>2017/0267</t>
  </si>
  <si>
    <t>Alterations in connection with conversion from two self-contained flats to a single dwelling including excavation works to create cellar/basement, erection of part single, part two-storey rear extension, formation of roof terraces at first and second floor levels at the rear with railings, and bin store to front garden.</t>
  </si>
  <si>
    <t>2017/0296</t>
  </si>
  <si>
    <t>Alterations in connection with conversion of property into 1 x 3-bedroom, 1 x 2 bedroom and 1 x 1-bedroom flats.</t>
  </si>
  <si>
    <t>2017/0425</t>
  </si>
  <si>
    <t>Erection of a single-storey static caravan for use as a self-contained dwelling (Class C3) in rear garden for a temporary period of 24 months.</t>
  </si>
  <si>
    <t>2017/0464</t>
  </si>
  <si>
    <t>Erection of dormer roof extension to main rear roof, formation of roof terrace over two-storey back addition with 1.7m screen surround and installation of 3no. rooflights to the front roof slope.  Erection of a single-storey side and rear extension. Enlargement of basement and formation of lightwell in side return. Alterations in connection with conversion of property into 3 flats (1 x 3-bedroom, 1 x 2-bedroom and 1 x 1-bedroom).</t>
  </si>
  <si>
    <t>2017/0498</t>
  </si>
  <si>
    <t>Determination as to whether prior approval is required for change of use of first floor level from financial and professional services (Class A2) to residential (Class C3) to provide 2 x 1 bedroom flats.</t>
  </si>
  <si>
    <t>2017/0593</t>
  </si>
  <si>
    <t>Sub-division of existing two bedroom duplex, to form 1 no. one bedroom apartment, and a studio flat (as approved under previous appeal ref: APP/H5960/A/13/2205524)</t>
  </si>
  <si>
    <t>2017/1171</t>
  </si>
  <si>
    <t>Non-material amendment to planning permission 2011/2089 dated 30th March 2012 (demolition of existing building. Erection of two new buildings of up to 17 storeys and 15 storeys high to provide 456 residential units and 1,257 sq.m. of commercial floor area comprising of office (B1&amp;A2), retail (A1) and cafe/restaurant (A3) uses, together with new pedestrian link and vehicular access, basement car and cycle parking, landscaping, excavation works and servicing) to allow the amalgamation of units 5.9.1 and 5.9.2 located on the ninth floor of Block L.</t>
  </si>
  <si>
    <t>2015/5658</t>
  </si>
  <si>
    <t>A01</t>
  </si>
  <si>
    <t>Proposal seeks amendments to the approved development specification and condition 10; revised ground uses parameter plan; revised vertical parameter plan and revised horizontal parameter plan.</t>
  </si>
  <si>
    <t>A07</t>
  </si>
  <si>
    <t>2016/3494</t>
  </si>
  <si>
    <t>Erection of single-storey side extension in connection with conversion of garage into 1 x studio flat, alterations to front boundary and provision of cycle and bin store in front garden.</t>
  </si>
  <si>
    <t>2016/4285</t>
  </si>
  <si>
    <t>Erection of a second floor rear extension above the rear additions, and rear roof extension to form 2 x 1-bedroom flats, and external staircase at the rear.</t>
  </si>
  <si>
    <t>2016/4807</t>
  </si>
  <si>
    <t>Alterations in connection with conversion of garage into a 2-bedroom one storey dwelling plus basement level.</t>
  </si>
  <si>
    <t>2016/5183</t>
  </si>
  <si>
    <t>Demolition of existing buildings and erection of a part 3, part 4-storey building to accommodate 15 residential dwellings including landscaping, cycle and refuse storage and a riverside walkway. (Revised scheme following refusal of 2015/6103).</t>
  </si>
  <si>
    <t>2016/5422</t>
  </si>
  <si>
    <t>Site @ Palmerston Court 1 Palmerston Way, The Pavillion 1 Bradmead and</t>
  </si>
  <si>
    <t>PRIVATE</t>
  </si>
  <si>
    <t>Demolition of all existing buildings and construction of 4 buildings ranging from 9 to 16 storeys in height, comprising 162 residential units; office (B1) accommodation; drinking establishment (A4); flexible workspace/non-residential institution (B1/D1) use; flexible retail (A1/A2/A3) uses; car and cycle parking, servicing, refuse and associated plant; public realm improvements incidental to the development including the creation of a level threshold fronting Battersea Park Road and a new public route through the centre of the site; hard and soft landscaping works; infrastructure works and other associated works  An Environmental Statement has been submitted with the application under the Town and Country Planning (Environmental Impact Assessment) Regulations 2011 (As amended) (Amended Description)</t>
  </si>
  <si>
    <t>2016/5443</t>
  </si>
  <si>
    <t>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t>
  </si>
  <si>
    <t>2016/5729</t>
  </si>
  <si>
    <t>Erection of a three-storey building (plus basement level and roof terrace level) to provide 7 flats (3 x 1-bedroom, 2 x 2-bedroom and 2 x 3-bedroom units), with ground, first and second level balconies at front and rear elevations.</t>
  </si>
  <si>
    <t>2016/6020</t>
  </si>
  <si>
    <t>Demolition of existing two-storey residential property and construction of a 10-storey building plus basement to provide a mixed use development comprising office (B1 use) floorspace at ground and first floor level and 9 x two and three bedroom self-contained flats (C3 use) above, with a residents gym and bike store at basement level and refuse store and one onsite disabled car parking space at ground level.</t>
  </si>
  <si>
    <t>2016/6095</t>
  </si>
  <si>
    <t>100 St Johns Hill</t>
  </si>
  <si>
    <t>Alterations to both properties including erection of front and rear roof extensions to provide an additional floor of accommodation (with french doors and safety balustrade); a roof terrace at rear of No.102 at second floor level; erection of part single, part three-storey rear/side extensions in connection with conversion of both properties into 1 x 1-bed studio, 3 x 2-bedroom, 2 x 3-bedroom flats.</t>
  </si>
  <si>
    <t>102 St Johns Hill</t>
  </si>
  <si>
    <t>2016/6122</t>
  </si>
  <si>
    <t>Extensions and alterations in connection with the change of use of first floor from an office (Class Use B1) to residential (Class Use C3) to create 2 x 1-bedroom flats. Erection of mansard roof extension to create an additional floor of accommodation to facilitate the creation of a 2-bedroom flat with a side roof terrace. Further external alterations include the increased height to rear additions.</t>
  </si>
  <si>
    <t>2016/6170</t>
  </si>
  <si>
    <t>Alterations including erection of single to three-storey rear extension with front and rear mansard to create additional floor of accommodation; formation of rear roof terraces at first and second floor levels, in connection with provision of additional commercial floorspace on the ground floor and 2 x 1-bedroom flats on upper floors. Installation of new shopfront.</t>
  </si>
  <si>
    <t>2016/6473</t>
  </si>
  <si>
    <t>Erection of replacement two-storey rear extension; erection of mansard roof extension to main rear roof, insertion of front dormer and formation of rear roof terrace with screen surround; excavation to enlarge basement including formation of rear lightwell with grille over; alterations to rear and above retail unit to provide 3 x 2-bedroom and 1 x 1-bedroom flats.</t>
  </si>
  <si>
    <t>2016/6539</t>
  </si>
  <si>
    <t>Alterations including enlargement of front lightwell, replace front door with a window and change of use from live / work unit (Sui Generis) to 1 x 3-bedroom flat (Class Use C3).</t>
  </si>
  <si>
    <t>2016/6604</t>
  </si>
  <si>
    <t>Erection of roof extension at third floor level to provide 7 x 1-bedroom and 2 x studio flats with external balcony access; associated cycle and refuse storage; and landscaping including new front boundary treatment.</t>
  </si>
  <si>
    <t>2016/7216</t>
  </si>
  <si>
    <t>Demolition of existing building and erection of a part 5/part 6 storey building to provide 22 residential units and 106 sqm B1(a) office floorspace, with communal external amenity space at fifth floor level.</t>
  </si>
  <si>
    <t>2016/7237</t>
  </si>
  <si>
    <t>Alterations including erection of additional storey of accommodation to form 1 x 1-bedroom flat (with French doors, roof terrace and safety railings), erection of a two-storey rear/side extension at first and second floors in connection with the conversion from 2 x 1 bedroom flats to form 2 x 2-bedroom flats. Installation of a bin and cycle storage to rear/side and enclose rear courtyard to form retail storage and staff area. Installation of 1 x air conditioning units and timber enclosure at rear first floor level.</t>
  </si>
  <si>
    <t>2016/7335</t>
  </si>
  <si>
    <t>Alterations including erection of first floor extension, and second floor rear extension to provide 1 x 1-bedroom flat.</t>
  </si>
  <si>
    <t>2016/7356</t>
  </si>
  <si>
    <t>Demolition of existing retail warehouse building and erection of three buildings ranging from 7 to 15 storeys with basement to provide a mixed use scheme including 343 residential units (Class C3), 597 sq.m. GIA of retail units (Class A1 and/or A2 and/or A3 uses) 164 sq.m. of Community Use (Class D1) and 1647 sq.m. GIA of studio/offices (Class B1), with associated cycle parking spaces and 89 car parking spaces, playspace, landscaping and public realm improvements (including contribution towards the new entrance to Wandsworth Town Station). An Environmental Statement has been submitted with the planning application under the Town and Country Planning (Environmental Impact Assessment) Regulations 2011 as amended.</t>
  </si>
  <si>
    <t>2016/7407</t>
  </si>
  <si>
    <t>Erection of single-storey (plus roof level and basement level accommodation) dwellinghouse (1 x 2-bedroom) with associated alterations to Trinity Road boundary treatment and cycle and refuse storage.</t>
  </si>
  <si>
    <t>2016/7421</t>
  </si>
  <si>
    <t>Planning permission (2016/7421) and Listed Building Consent (2016/7416) sought for: Erection of two storey side/rear extension at basement and ground floor levels to provide 1 x 1-bedroom self-contained residential unit.</t>
  </si>
  <si>
    <t>2017/0090</t>
  </si>
  <si>
    <t>Erection of a mixed use development in a building ranging between 11 storeys (ground plus mezzanine and 10 upper storeys) on the southern part of the site, rising up to 15 storeys (ground plus mezzanine and 14 upper storeys) at the northern end of the site adjacent to the river Thames frontage (the proposed development is on the site of the previously consented 9 storey building 6B, approved under application ref. 2009/3372). The development is to provide 918sq.m. (GIA) of commercial use on the ground floor, comprising 322 sq.m. of flexible B1 (business)/A1 (retail)/A3 (food and drink) floorspace, 174sqm of A3/A4 (food and drink) floorspace, and 422sq.m. of D2 (assembly and leisure) floorspace, with 172 residential units (of private and affordable tenure) on the upper floors, together with basement levels with 72 car and 340 cycle parking spaces, and associated amenity space provision including roof terraces and balconies, together with landscaping/areas of public realm, including space for outside seating and a riverside promenade. An Environmental Statement has been submitted with the application under the Town and Country Planning (Environmental Impact Assessment) Regulations 2011 (as amended).</t>
  </si>
  <si>
    <t>2017/0153</t>
  </si>
  <si>
    <t>Excavation to extend basement and alterations to ground floor level of restaurant (Class A3). Change of use of first, second and third floor from two flats (Class C3) to a House in Multiple Occupation (HMO - 13 tenancy units) with shared faciliites.  Extensions to rear at first floor and second floor (including french doors) and to roof level (including changes to front roof pitch, side roof extension and third floor extension), and creation of roof terraces at second and third floor levels.  Replacement extract flue.</t>
  </si>
  <si>
    <t>2017/0194</t>
  </si>
  <si>
    <t>Determination as to whether prior approval is required for change of use of rear part of ground and first floors from retail (Class A1) to 1 x 1-bedroom residential unit (Class C3), with associated external alterations.</t>
  </si>
  <si>
    <t>2017/0203</t>
  </si>
  <si>
    <t>Erection of mansard extension to main rear roof (with French doors) including roof terrace to rear with 1.8m high screen surround and dormer roof extension to front;  two-storey rear extension and excavation to create basement including formation of front and rear lightwells in connection with conversion of property into 2 x 2-bedroom and 2 x 3-bedroom flats with associated cycle and refuse storage at 435 Upper Richmond Road.  Repositioning flank window to rear elevation of 437 Upper Richmond Road.</t>
  </si>
  <si>
    <t>2017/0248</t>
  </si>
  <si>
    <t>Change of use from surgery (Class D1) to 2 x 2 bedroom flats (Class C3). Alterations including erection of mansard roof extension to main rear roof  and extension above part of two-storey back addition (with French doors and safety railings); formation of roof terrace above two-storey back addition with screen surround, erection of single-storey rear/side extension and new shopfront.</t>
  </si>
  <si>
    <t>2017/0280</t>
  </si>
  <si>
    <t>Alterations including erection of a mansard extension to main rear roof and extension over part of two-storey rear addition, installation of 2x rooflights to the front roof slope and formation of roof terrace with obscured surround in connection with conversion of first floor flat into two self contained flats (1 x 2-bedroom and 1 x studio)</t>
  </si>
  <si>
    <t>2017/0437</t>
  </si>
  <si>
    <t>39b</t>
  </si>
  <si>
    <t>Demolition of existing office building and erection of a two-storey building to provide 1x1 bedroom flat.</t>
  </si>
  <si>
    <t>2017/0466</t>
  </si>
  <si>
    <t>Demolition of existing house and erection of 4 x three-storey (including basement) 5-bedroom houses (2 x detached and 2 x semi-detached) with associated landscaping and provision of 4 off-street parking spaces (Amendments to planning refusal 2016/2724).</t>
  </si>
  <si>
    <t>2017/0473</t>
  </si>
  <si>
    <t>Change of use from Professional and Financial Services ( Class  A2 ) to a Residential Dwelling ( Class C3 ), erection of single storey rear extension and erection of a front boundary wall.</t>
  </si>
  <si>
    <t>2017/0483</t>
  </si>
  <si>
    <t>Infill of undercroft space beneath the block to provide 3 self-contained flats (1 x 1-bedroom and 2 x 2-bedroom) with associated amenity space and the provision of 3 car parking spaces to the east of Grierson House.</t>
  </si>
  <si>
    <t>2017/0484</t>
  </si>
  <si>
    <t>Alterations including the infill of undercroft space beneath the block to provide 3 self-contained flats (2 x 1-bedroom and 1 x 2-bedroom) with associated amenity space and the provision of 3  car parking spaces on western side of Busby House.</t>
  </si>
  <si>
    <t>2017/0535</t>
  </si>
  <si>
    <t>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t>
  </si>
  <si>
    <t>2017/0550</t>
  </si>
  <si>
    <t>Alterations including the retention of one side dormer window to allow the conversion into 1 x 5 and 1 x 4-bedroom maisonettes.</t>
  </si>
  <si>
    <t>2017/0580</t>
  </si>
  <si>
    <t>Demolition of existing retail buildings and phased construction of 14 residential blocks (with 3 podiums) ranging from 8 to 15 storeys to provide a mixed use scheme including 517 residential units (Class C3), 5098 s.q.m. GIA of business (Class B1) and 2745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An Environmental Statement has been submitted under the Town and Country Planning (Environmental Impact Assessment) Regulations 2011 as amended.</t>
  </si>
  <si>
    <t>2017/0633</t>
  </si>
  <si>
    <t>Alterations including the infill of undercroft space beneath the block to provide 3 self-contained flats (3 x 1-bedroom) with associated amenity space and the provision of 3 car parking spaces to west of Boyce House.</t>
  </si>
  <si>
    <t>2017/0637</t>
  </si>
  <si>
    <t>Infill of undercroft space beneath the block to provide 3 self-contained flats (1 x 1-bedroom and 2 x 2-bedroom) with associated amenity space and the provision of three car parking spaces to the east of Shenstone House.</t>
  </si>
  <si>
    <t>2017/0650</t>
  </si>
  <si>
    <t>Erection of roof extension to create an additional floor of accommodation (2x1 and 1x2 bedroom flats).; formation of roof terraces with 1.6m high obscure glass screens between flats declining to 1.1m high at perimeter balustrade and external refuse storage at roof level on Putney High Street frontage.</t>
  </si>
  <si>
    <t>2017/0679</t>
  </si>
  <si>
    <t>Demolition of existing 2-storey building and erection of 2 x 2-bedroom three-storey houses.</t>
  </si>
  <si>
    <t>2017/0689</t>
  </si>
  <si>
    <t>Alterations including erection of single-storey rear extension to provide additional bedroom to ground floor flat.  Conversion of upper flat into 1 x studio and 1 x 2-bedroom flat.</t>
  </si>
  <si>
    <t>2017/0724</t>
  </si>
  <si>
    <t>Alterations including erection of roof extension with rear terrace to create two additional storeys of accomodation in connection with creation of additional 1 x 1-bedroom and 2 x 2-bedroom flats; installation of replacement windows and doors; erection of replacement garage.</t>
  </si>
  <si>
    <t>2017/0769</t>
  </si>
  <si>
    <t>Erection of a three-storey extension and conversion of property into single family dwelling. Formation of roof terrace over rear addition, and installation of front railings.</t>
  </si>
  <si>
    <t>2017/0779</t>
  </si>
  <si>
    <t>Alterations including erection of mansard roof extension to main rear roof (with French doors, roof terrace and 1.7m high glass balustrade). Erection of single-storey rear/side extension (with first floor roof terrace and balustrade above) in connection with conversion of propoerty into 1 x 3 and 1 x 2 bedroom flats; provision of refuse and cycle storage.</t>
  </si>
  <si>
    <t>2017/0805</t>
  </si>
  <si>
    <t>Demolition of existing house (857E Garratt Lane) and erection of three-storey (plus basement) building to provide 5 x 1-bedroom flats and 4 x 2-bedroom flats including front light wells and front and rear balconies/roof terraces at first floor and second floor levels, with associated boundary treatment, refuse and cycle stores and landscaping.</t>
  </si>
  <si>
    <t>2017/0847</t>
  </si>
  <si>
    <t>2017/0870</t>
  </si>
  <si>
    <t>Conversion of two flats into one 5 bedroom unit</t>
  </si>
  <si>
    <t>2017/0926</t>
  </si>
  <si>
    <t>Determination as to whether prior approval is required for change of use from financial and professional services (Class A2) to three flats (Class C3) with associated external alterations to front elevation.</t>
  </si>
  <si>
    <t>2017/0927</t>
  </si>
  <si>
    <t>Demolition of existing bungalow and erection of a two-storey plus basement 3-bedroom house with associated refuse, recycling and cycle storage.</t>
  </si>
  <si>
    <t>2017/0982</t>
  </si>
  <si>
    <t>Alterations including erection of mansard roof extension to main rear roof (with french doors and safety railings), erection of extension over two storey back addition and formation of roof terrace over with 1.7m screen surround, and erection of single-storey side extension in connection with conversion into 2 x 2-bedroom flats.</t>
  </si>
  <si>
    <t>2017/1041</t>
  </si>
  <si>
    <t>Demolition of garages and erection of 2 x semi-detached houses including provision of 6 car parking spaces; removal of existing vehicular crossover and provision of new crossover from Queensmere Road (Outline application for consideration of access, site layout and scale).</t>
  </si>
  <si>
    <t>86a and 86b</t>
  </si>
  <si>
    <t>2017/1066</t>
  </si>
  <si>
    <t>Alterations including erection of roof extension to provide additional storey to main roof and rear extensions at first and second floor levels in connection with enlargement of existing flat and provision of a 1-bedroom flat.</t>
  </si>
  <si>
    <t>2017/1096</t>
  </si>
  <si>
    <t>Erection of two-storey 3-bedroom house (with loft level accommodation provided via a rear dormer) to the end of the Hazelbourne Road terrace.</t>
  </si>
  <si>
    <t>2017/1159</t>
  </si>
  <si>
    <t>Demolition of existing building and erection of a three storey (plus basement with rear lightwell) 5-bedroom detached house.</t>
  </si>
  <si>
    <t>2017/1160</t>
  </si>
  <si>
    <t>Alterations including  erection of mansard roof extension to main rear roof (with french doors and safety railings) and erection of roof extension over part of two storey back addition; erection of single storey rear/side extension including terrace at first floor level and stair access to garden in connection with conversion into 1 x 2-bedroom and 1 x 3-bedroom flats.</t>
  </si>
  <si>
    <t>2017/1163</t>
  </si>
  <si>
    <t>Erection of single-storey rear extension and creation of a studio flat (Class C3) at second floor level.</t>
  </si>
  <si>
    <t>2017/1196</t>
  </si>
  <si>
    <t>2017/1233</t>
  </si>
  <si>
    <t>Alterations and the change of use from office (Class B1a) to residential (Class C3) including erection of a single storey rear extension, erection of mansard roof extension (with balconies to the rear), formation of roof terraces to rear; excavation to create basement; infill of existing archway, formation of refuse and cycle storage in connection with conversion to 2 x 3-bedroom, 2 x 2-bedroom and 4 x studio flats.</t>
  </si>
  <si>
    <t>2017/1374</t>
  </si>
  <si>
    <t>Erection of a two-storey 3-bedroom house above inlet (with associated stair access) with mooring area underneath (and two car parking spaces within the basement car park of Oyster Wharf).  Amendments to withdrawn scheme proposed by application ref. 2016/5862.</t>
  </si>
  <si>
    <t>2017/1454</t>
  </si>
  <si>
    <t>Conversion of ground floor flat and basement to create 4 flats (2 x 2-bedroom and 2 x 1-bedroom). Lightwells at front with railings and bin and bicycle storage area to front. Erection of a single-storey rear extension at basement with terrace above and replacement two-storey rear extension.</t>
  </si>
  <si>
    <t>2017/1456</t>
  </si>
  <si>
    <t>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t>
  </si>
  <si>
    <t>2017/1458</t>
  </si>
  <si>
    <t>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Plain._x000D_
_x000D_
For Listed Building Consent refer to planning application reference number: 2017/1847.</t>
  </si>
  <si>
    <t>2017/1461</t>
  </si>
  <si>
    <t>Alterations including formation of first floor terrace and erection of front porch in connection with conversion of building into 1 x 4-bedroom, 1 x 3-bedroom and 1 x 1-bedroom flats.</t>
  </si>
  <si>
    <t>2017/1490</t>
  </si>
  <si>
    <t>Conversion of property from 2 x self-contained flats to a single dwellinghouse with installation of window to replace an entrance door.</t>
  </si>
  <si>
    <t>2017/1530</t>
  </si>
  <si>
    <t>Determination as to whether prior approval is required for change of use of offices (Class B1a) to residential (class C3) to provide 1 dwelling house</t>
  </si>
  <si>
    <t>2017/1585</t>
  </si>
  <si>
    <t>Conversion of two flats into one single dwelling.</t>
  </si>
  <si>
    <t>2017/1680</t>
  </si>
  <si>
    <t>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t>
  </si>
  <si>
    <t>Erection of single-storey rear extension, three-storey infill extension to the side, mansard roof extension with rear facing dormer windows, extension over part of the existing rear extension and provision of rear terrace, new bike store to front of basement level and installation of roofilghts to the front roofslope in connection with proposed alterations to the four existing units to create two additional residential units.</t>
  </si>
  <si>
    <t>Erection of part first floor, and part second floor rear extension, with roof terraces at first floor and third floor level, and additional window and door to the rear elevation at third floor level and refuse store at ground floor level in connection with conversion the existing 5-bedroom flat to form no.1; 2-bedroom flat and no.2; 1-bedroom flats.</t>
  </si>
  <si>
    <t>Construction of first and second floor rear extensions and roof terraces, and mansard roof extension to create an additional storey of accommodation with roof terrace in connection with the creation of three self-contained flats (1 x 1-bedroom, 1 x 2-bedroom and 1 x 4-bedroom unit). Ground floor alterations to shop front, insertion of side windows and access gate.</t>
  </si>
  <si>
    <t>Redevelopment of the site comprising of the demolition of the existing two-storey commercial building, excavation to form new basement and replacement with a new 14 storey building to provide mixed use comprising of commercial/retail at ground &amp; mezzanine levels and 33 residential  flats above with cycle and refuse storage facilities at basement level.</t>
  </si>
  <si>
    <t>2014/6635</t>
  </si>
  <si>
    <t>Erection of single-storey rear/side extension.Excavation to create basement including formation of front and side lightwells with grille over.Erection of mansard roof extension to main rear roof. Conversion of property into single dwelling house.</t>
  </si>
  <si>
    <t>Erection of a roof extension to main roof and a rear extension raising ridge height (with French doors and a glazed screen) and erection of extension to rear at first and second floor levels, with creation of roof terraces at first floor level in association with the creation of an additional residential unit; erection of ground floor rear extension to shop with refuse and cycle storage.</t>
  </si>
  <si>
    <t>Demolition of garages and excavation in connection with erection of two storey dwelling (basement and ground floors). (Reduced lower ground footprint).</t>
  </si>
  <si>
    <t>Extensions and alterations including erection of three-storey side extension; single storey rear extension, alterations to rear windows and provision of cycle and refuse stores to the front of the property in connection with the conversion of the property into 6 flats (2x 1-bedroom, 3 x 2-bedroom and 1x 3-bedroom)</t>
  </si>
  <si>
    <t>Amalgamation of existing ground floor units to create flexible space for retail (Use Class A1)/restaurant &amp; cafe (Use Class A3)/gym (Use Class D2) uses; erection of single-storey rear extension; erection of roof extension and conversion of first floor from nightclub (Use Class Sui Generis) to residential (Use Class C3) to create 9 No. residential units, with associated roof terraces and cycle and refuse storage; alterations and enhancements to front and rear facades.</t>
  </si>
  <si>
    <t>2016/1098</t>
  </si>
  <si>
    <t>Alterations in connection with the conversion of basement and ground floor self contained flats (Class C3) and office (Class B1) into part retail (Class A1) and part residential (Class C3) (1 x one-bedroom flat); conversion of the remainder of the property from 1 x three-bedrrom flat into 1 x one-bedroom flat and 1 x two-bedroom flat including erection of single storey rear/side extension, mansard roof extension to main rear roof and above part of two-storey back addition. Excavation at basement level to create rear lightwell; alterations to include replacement shopfront. (Revised description following amendments to drawings).</t>
  </si>
  <si>
    <t>2016/1193</t>
  </si>
  <si>
    <t>Change of use of part of the ground floor from retail (Class A1) to residential (Class C3) to provide a self-contained studio flat including erection of single-storey side/rear extension.  Erection of front and rear roof extension to provide an additional floor of accommodation to provide a self-contained studio flat.</t>
  </si>
  <si>
    <t>2016/1705</t>
  </si>
  <si>
    <t>Alterations including erection of roof extension to main rear roof and above two-storey back addition; erection of first floor rear extension to main building; erection of part single, part two-storey rear/side extension to rear garage building connecting it to the main building; creation of first floor roof terrace enclosed by railings. Works in connection with proposed use of upper floors of main building as 2 flats ( 1x2 and 1x1 bedroom) accessed from Merton Road, and use of rear part as 1x1 bedroom maisonette accessed from Coliston Passage. Provision of associated cycle and refuse storage at front and rear.</t>
  </si>
  <si>
    <t>2016/1844</t>
  </si>
  <si>
    <t>2016/1863</t>
  </si>
  <si>
    <t>Alterations including erection of mansard roof extension to main rear roof and conversion of the upper floor flat to 1 x 1-bedroom and 1 x 2-bedroom flat.</t>
  </si>
  <si>
    <t>2016/2566</t>
  </si>
  <si>
    <t>Conversion into four flats (2 x 2 bedroom and 2 x 3 bedroom) by excavation of basement with creation of front and rear lightwells, relocation of entrance gate to Forthbridge Road  and alterations including boundary treatments along Clapham Common North Side and Forthbridge Road.</t>
  </si>
  <si>
    <t>2016/2601</t>
  </si>
  <si>
    <t>Alterations including change of use from restaurant (Class A3) at ground floor and ancillary accommodation at first and second floors above to part retail unit/office unit (Class A1 / A2) and part residential unit (Class C3) to the rear at ground floor level and seperate residential units above (forming 2 x 1 bedroom flats and 1 x 2 bedroom flat). Associated extensions including erection of rear roof extension to main rear roof (with French doors and safety railings); erection of single-storey rear/side extension and formation of roof terrace at rear first floor level. Installation of new shopfront.</t>
  </si>
  <si>
    <t>2016/2903</t>
  </si>
  <si>
    <t>Alterations in connection with change of use of basement and ground floor from a retail (Class A1) to flexible use retail (Class A1), financial and professional services (Class A2)  or restaurant and cafe (Class A3). Erection of rear extensions at first, second and third floor level with roof terraces (with screening) at second and third floor level and erection of rear/side dormer extension to main roof to create 1 x 1-bedroom and 3 x 2-bedroom residential units to upper floors. Cycle and bin stores to rear.</t>
  </si>
  <si>
    <t>2016/3845</t>
  </si>
  <si>
    <t>Erection of rear mansard roof extension to main rear roof and above part of rear addition to create a 2 x2-bedroom flats; formation of roof terrace above two-storey back addition with 1.7m high screen surround.</t>
  </si>
  <si>
    <t>2016/5955</t>
  </si>
  <si>
    <t>Alterations including erection of mansard roof extension to main rear roof and alterations to three storey back addition roof. Alterations to ground floor side/rear extension. Conversion of property to 1 x 3-bedroom and 2 x 1-bedroom flats.</t>
  </si>
  <si>
    <t>2017/0325</t>
  </si>
  <si>
    <t>Demolition of existing building and erection of a two-storey 1-bedroom house including basement and roof terrace with 1.7m high screen.</t>
  </si>
  <si>
    <t>As Scenario 1.</t>
  </si>
  <si>
    <t>2015/5931</t>
  </si>
  <si>
    <t>Change of use from dwelling house (Class C3) to resdential institution (Class C2) to provide living facility for the sole purpose of adults with learning disabilities; alterations including erection of mansard roof extension to main rear roof and erection of part single, part two-storey rear extension; demolition of existing conservatory and single storey rear projection.</t>
  </si>
  <si>
    <t>2015/6813</t>
  </si>
  <si>
    <t>Booker &amp; BMW Sites</t>
  </si>
  <si>
    <t>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t>
  </si>
  <si>
    <t>2016/5168</t>
  </si>
  <si>
    <t>Redevelopment of the site to provide 18 residential units, comprising six 4-bedroomed houses and 12 flats (3 x one-bedroom, 5 x two-bedroom and 4 x three-bedroom), including 4 shared ownership units, in buildings ranging between two and four-storeys high, with additional accommodation with the roofspace, and including balconies and terraces, with 18 associated off-street parking spaces, cycle parking, access and landscaping works.</t>
  </si>
  <si>
    <t>S/O INTERMEDIATE</t>
  </si>
  <si>
    <t>2016/5209</t>
  </si>
  <si>
    <t>Demolition of the existing builder and timber merchant building (Class B1) and redevelopment with a part 2, part 3 storey building plus basement level comprising 17 apartments (Class C3) (2 x 1 beds, 12 x 2 beds and 3 x 3 beds) and associated landscaping, car and cycle parking.</t>
  </si>
  <si>
    <t>2016/5329</t>
  </si>
  <si>
    <t>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t>
  </si>
  <si>
    <t>2016/5644</t>
  </si>
  <si>
    <t>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t>
  </si>
  <si>
    <t>Trade Tower</t>
  </si>
  <si>
    <t>2016/6164</t>
  </si>
  <si>
    <t>Land at Linton Fuels Osiers Road</t>
  </si>
  <si>
    <t>Redevelopment of the site to provide a mixed use development in buildings ranging in height between ten and fourteen storeys, linked by a two-storey podium element, to provide 926 sq.m. (GIA) of flexible commercial floorspace (for use for either A1 (retail), A2 (financial and professional services), A3 (restaurant), B1 (business), D1 (non-residential institutions) or D2 (assembly and leisure), and 109 residential units, together with 20 car parking spaces at first floor level (with ramped access from Osiers Road) and 222  cycle parking spaces, with associated amenity space provision, including roof terraces and balconies, together with provision  of landscaping/areas of public realm and other associated works.</t>
  </si>
  <si>
    <t>2017/0560</t>
  </si>
  <si>
    <t>Variation of condition 6 (in accordance with approved drawings) of planning permission dated 21/01/2017, ref 2016/4977 [for variation of condition 9 of planning permission dated 04/05/2016, ref 2015/2601 (Demolition of the existing building and the erection of a new two to five-storey building with basement, comprising 913.6sqm of basement and ground floor with use(s) as specified in the approved conditions and approved plans, and 15 flats (1 x 3-bedroom and 14 x 2-bedroom), with balconies and a roof terrace above); to add Use Class A2 at basement and ground floor levels]. Condition 6 is sought to be varied to allow some changes to elevations along the Putney High Street and Montserrat frontages; alterations to window arrangement on Montserrat Road frontage, and at third floor level rear elevation; alterations to position of the plant on the roof; re-positioning of lift shaft;  addition of an extra flue on roof, and some changes to layout, including relocation of internal plant to basement; relocation of cycle store and bin store; reduction of lift/stair core; amendment to commercial area layout; increase in size of flat 13 to a 3-bedroom flat, with minor amendments to some other flat layouts.</t>
  </si>
  <si>
    <t>2017/0745</t>
  </si>
  <si>
    <t>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t>
  </si>
  <si>
    <t>2017/1369</t>
  </si>
  <si>
    <t>2016/4188</t>
  </si>
  <si>
    <t>Harris Academy</t>
  </si>
  <si>
    <t>6.1.2</t>
  </si>
  <si>
    <t>3.3.5</t>
  </si>
  <si>
    <t>2.1.17</t>
  </si>
  <si>
    <t>3.2.2</t>
  </si>
  <si>
    <t>4.1.7</t>
  </si>
  <si>
    <t>3.3.6</t>
  </si>
  <si>
    <t>2.1.21</t>
  </si>
  <si>
    <t>3.10</t>
  </si>
  <si>
    <t>3.3.3</t>
  </si>
  <si>
    <t>3.2.1</t>
  </si>
  <si>
    <t>3.2.3</t>
  </si>
  <si>
    <t>4.1.3</t>
  </si>
  <si>
    <t>6.1.4</t>
  </si>
  <si>
    <t>9.10</t>
  </si>
  <si>
    <t>2.1.11</t>
  </si>
  <si>
    <t>McDonald's, Swandon Way</t>
  </si>
  <si>
    <t>36 Lombard Road</t>
  </si>
  <si>
    <t>41-47 Chatfield Road</t>
  </si>
  <si>
    <t>Wandsworth Bridge Roundabout</t>
  </si>
  <si>
    <t>Gartons Industrial Estate, Gartons Way</t>
  </si>
  <si>
    <t>East</t>
  </si>
  <si>
    <t>West</t>
  </si>
  <si>
    <t>Strategic Planning/Nine Elms</t>
  </si>
  <si>
    <t>2032/33</t>
  </si>
  <si>
    <t>Blocks 1-2, 4 and 7-10</t>
  </si>
  <si>
    <t>2013/2786</t>
  </si>
  <si>
    <t>Change of use from B1 (Business) to C3 (Residential) / A1 (Shop). The change of use application would provide for a two-bedroom flat at first floor level and a shop at part of ground floor, with first floor extension &amp; installation of a new shopfront.</t>
  </si>
  <si>
    <t>OFC</t>
  </si>
  <si>
    <t>Unknown</t>
  </si>
  <si>
    <t>Housing land capacity at 31 March 2017, by tenure (new build only)</t>
  </si>
  <si>
    <t>Net completions by policy areas (total conventional supply)</t>
  </si>
  <si>
    <t>2016/0326</t>
  </si>
  <si>
    <t>Demolition of building and garage (Class A1 and C3 use). Erection of two-storey building and single storey rear extension, together with enlargement of existing basement, in connection with use of building as an office/professional services (class B1/A2).</t>
  </si>
  <si>
    <t>2001/02</t>
  </si>
  <si>
    <t>2002/03</t>
  </si>
  <si>
    <t>2003/04</t>
  </si>
  <si>
    <t>2004/05</t>
  </si>
  <si>
    <t>2005/06</t>
  </si>
  <si>
    <t>2006/07</t>
  </si>
  <si>
    <t>2007/08</t>
  </si>
  <si>
    <t>2008/09</t>
  </si>
  <si>
    <t>Lawful development certificate</t>
  </si>
  <si>
    <t>Lawful development certificate existing</t>
  </si>
  <si>
    <t>Lawful development certificate proposed</t>
  </si>
  <si>
    <t>Notification of prior approval</t>
  </si>
  <si>
    <t>Prior approval given</t>
  </si>
  <si>
    <t>Prior approval not required</t>
  </si>
  <si>
    <t>Prior approval refused</t>
  </si>
  <si>
    <t>Full permission with legal agreement signed</t>
  </si>
  <si>
    <t>Permission subject to legal agreement</t>
  </si>
  <si>
    <t>APW</t>
  </si>
  <si>
    <t>Appeal dismissed</t>
  </si>
  <si>
    <t>Appeal submitted</t>
  </si>
  <si>
    <t>Appeal withdrawn</t>
  </si>
  <si>
    <t>No appeal</t>
  </si>
  <si>
    <t>Appeal granted</t>
  </si>
  <si>
    <t>O</t>
  </si>
  <si>
    <t>Other</t>
  </si>
  <si>
    <t>UK</t>
  </si>
  <si>
    <t>Residential conversion / change of use (10+ units)</t>
  </si>
  <si>
    <t>Not applicable (minor residential)</t>
  </si>
  <si>
    <t>New build (10+ units)</t>
  </si>
  <si>
    <t>Office conversion / change of use (10+ units)</t>
  </si>
  <si>
    <t>Other non-residential conversion / change of use (10+ units)</t>
  </si>
  <si>
    <t>Conversion</t>
  </si>
  <si>
    <t>Combination</t>
  </si>
  <si>
    <t>Extension to existing</t>
  </si>
  <si>
    <t>New build</t>
  </si>
  <si>
    <t>Conversion of ancillary residential (coach houses etc.)</t>
  </si>
  <si>
    <t>Change of use from A1 (shop)</t>
  </si>
  <si>
    <t>Change of use from B1/A2</t>
  </si>
  <si>
    <t>Change of use from other non-residential (workshops etc.)</t>
  </si>
  <si>
    <t>Loss of residential to non-residential</t>
  </si>
  <si>
    <t>Change of use to live/work</t>
  </si>
  <si>
    <t>Not applicable (large res)</t>
  </si>
  <si>
    <t>CM</t>
  </si>
  <si>
    <t>G</t>
  </si>
  <si>
    <t>Government</t>
  </si>
  <si>
    <t>PB</t>
  </si>
  <si>
    <t>Council owned</t>
  </si>
  <si>
    <t>Council owned - to be marketed on open market</t>
  </si>
  <si>
    <t>Housing association - affordable rent</t>
  </si>
  <si>
    <t>Housing association - intermediate rent</t>
  </si>
  <si>
    <t>Housing association - intermediate shared ownership</t>
  </si>
  <si>
    <t>Housing association - intermediate unknown</t>
  </si>
  <si>
    <t>Housing association - key worker</t>
  </si>
  <si>
    <t>Housing association - social rented</t>
  </si>
  <si>
    <t>Housing association - unknown</t>
  </si>
  <si>
    <t>Private market - build to rent</t>
  </si>
  <si>
    <t>Not Started</t>
  </si>
  <si>
    <t>Annual Target</t>
  </si>
  <si>
    <t>% of 10-Year Target</t>
  </si>
  <si>
    <t>Total Provision</t>
  </si>
  <si>
    <t>Row Labels</t>
  </si>
  <si>
    <t>Scheme of 10 or More Proposed Units</t>
  </si>
  <si>
    <t>Table 1c</t>
  </si>
  <si>
    <t>Local Plan Target</t>
  </si>
  <si>
    <t>% of 5-Year Target</t>
  </si>
  <si>
    <t>Table 8a</t>
  </si>
  <si>
    <t>Table 8b</t>
  </si>
  <si>
    <t>Table 8c</t>
  </si>
  <si>
    <t>Net completions on VNEB sites with developments of 10 or more dwellings, against Local Plan affordable mix targets</t>
  </si>
  <si>
    <t>Net completions on sites outside VNEB with developments of 10 or more dwellings, against Local Plan affordable mix targets</t>
  </si>
  <si>
    <t>Large Developments by Tenure</t>
  </si>
  <si>
    <t>Target (VNEB)</t>
  </si>
  <si>
    <t>Target (outside VNEB)</t>
  </si>
  <si>
    <t>All Developments by Tenure</t>
  </si>
  <si>
    <t>Conversions/New Build</t>
  </si>
  <si>
    <t>Non-Self-Contained Household Spaces</t>
  </si>
  <si>
    <t>2017/5353</t>
  </si>
  <si>
    <t>Phase 3A</t>
  </si>
  <si>
    <t>Phase 3B</t>
  </si>
  <si>
    <t>Approval of details pursuant to Condition 18 (Phasing Plan to deliver Phase 3 in two separate parts) of planning permission 2014/2837, dated 05/12/2014 (for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 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 (application for outline planning permission with detailed elements provided in relation to the Power Station itself, and the jetty and river structures)).</t>
  </si>
  <si>
    <t>Site</t>
  </si>
  <si>
    <t>Application</t>
  </si>
  <si>
    <t>Address</t>
  </si>
  <si>
    <t>Phase</t>
  </si>
  <si>
    <t>Site Construction Date</t>
  </si>
  <si>
    <t>Site Completion Date</t>
  </si>
  <si>
    <t>Phase Existing Units</t>
  </si>
  <si>
    <t>Phase Proposed Units</t>
  </si>
  <si>
    <t>Phase Net Units</t>
  </si>
  <si>
    <t>Application Proposed Units</t>
  </si>
  <si>
    <t>Application Net Units</t>
  </si>
  <si>
    <t>Application Decision Date</t>
  </si>
  <si>
    <t>Reporting Year Decision</t>
  </si>
  <si>
    <t>Large Residential Development Type</t>
  </si>
  <si>
    <t>Minor Residential Development Type</t>
  </si>
  <si>
    <t>Phase Residential Site Area (ha)</t>
  </si>
  <si>
    <t>Reporting Year Start</t>
  </si>
  <si>
    <t>Site Specific Allocations Document Reference</t>
  </si>
  <si>
    <t>London SHLAA 2017 Reference</t>
  </si>
  <si>
    <t>M4(2) Dwellings</t>
  </si>
  <si>
    <t>M4(3) Dwellings</t>
  </si>
  <si>
    <t>Net 1 Bed Units</t>
  </si>
  <si>
    <t>Net 2 Bed Units</t>
  </si>
  <si>
    <t>Net 3 Bed Units</t>
  </si>
  <si>
    <t>Net 4 Bed Units</t>
  </si>
  <si>
    <t>Net 5+ Bed Units</t>
  </si>
  <si>
    <t>Net Not Known Bed Units</t>
  </si>
  <si>
    <t>Net Studio Flats</t>
  </si>
  <si>
    <t>Net 1 Bed Flats</t>
  </si>
  <si>
    <t>Net 2 Bed Flats</t>
  </si>
  <si>
    <t>Net 3 Bed Flats</t>
  </si>
  <si>
    <t>Net 4 Bed Flats</t>
  </si>
  <si>
    <t>Net 5+ Bed Flats</t>
  </si>
  <si>
    <t>Net Not Known Bed Flats</t>
  </si>
  <si>
    <t>Net Studio Houses</t>
  </si>
  <si>
    <t>Net 1 Bed Houses</t>
  </si>
  <si>
    <t>Net 2 Bed Houses</t>
  </si>
  <si>
    <t>Net 3 Bed Houses</t>
  </si>
  <si>
    <t>Net 4 Bed Houses</t>
  </si>
  <si>
    <t>Net 5+ Bed Houses</t>
  </si>
  <si>
    <t>Net Not Known Bed Houses</t>
  </si>
  <si>
    <t>Net 1 Bed Live Work</t>
  </si>
  <si>
    <t>Net 2 Bed Live Work</t>
  </si>
  <si>
    <t>Net 3 Bed Live Work</t>
  </si>
  <si>
    <t>Net 4 Bed Live Work</t>
  </si>
  <si>
    <t>Net 5+ Bed Live Work</t>
  </si>
  <si>
    <t>Net Not Known Live Work</t>
  </si>
  <si>
    <t>Development Management Area Team</t>
  </si>
  <si>
    <t>Clapham Junction and the Adjoining Area</t>
  </si>
  <si>
    <t>Heart of Roehampton</t>
  </si>
  <si>
    <t>Wandle Valley</t>
  </si>
  <si>
    <t>Phasing Assumption</t>
  </si>
  <si>
    <t>06 Identified Site</t>
  </si>
  <si>
    <t>0000/0250</t>
  </si>
  <si>
    <t>1 Marl Road</t>
  </si>
  <si>
    <t>Redevelopment</t>
  </si>
  <si>
    <t>NONE</t>
  </si>
  <si>
    <t>3.8</t>
  </si>
  <si>
    <t>02 Under Construction</t>
  </si>
  <si>
    <t>70-74 St Johns Hill</t>
  </si>
  <si>
    <t>2010/4417</t>
  </si>
  <si>
    <t>Gargoyle Wharf, York Road/Bridgend Road</t>
  </si>
  <si>
    <t>Details of design and external appearance for Blocks H &amp; L (condition 2) together with areas not covered by buildings (cond.4), refuse (cond. 6), public entrances (cond. 9), decontamination methods (cond. 10), boundary treatment (cond. 11), lighting (cond. 12), public routes (cond. 15), acoustic survey (cond. 19), landscaping (cond. 2 &amp; 22) and energy strategy (cond. 23) pursuant to outline planning permission dated 02.01.08 (2006/4533) for the erection of seventeen buildings (including those already built) comprising 1,084 residential dwellings, 36,367 sq.m. of commercial floor space, together with associated car parking and landscaping.</t>
  </si>
  <si>
    <t>HASO</t>
  </si>
  <si>
    <t>BLOCK L - PRIVATE</t>
  </si>
  <si>
    <t>Non-material amendment to planning permission ref 2010/4417 dated 14/02/2011 [Details including design and external appearance for Blocks H &amp; L (condition 2) pursuant to outline planning permission dated 02.01.08 (2006/4533) for the erection of seventeen buildings (including those already built) comprising 1,084 residential dwellings, 36,367 sq.m. of commercial floor space, together with associated car parking and landscaping] in order to amend design, external appearance  and reduce number of private flats from 22 to 14.</t>
  </si>
  <si>
    <t>S96A</t>
  </si>
  <si>
    <t>0000/0248</t>
  </si>
  <si>
    <t>0000/0254</t>
  </si>
  <si>
    <t>Sainsbury's, 2-6 Werter Road</t>
  </si>
  <si>
    <t>6.3</t>
  </si>
  <si>
    <t>2016/6301</t>
  </si>
  <si>
    <t>BLOCK K - PRIVATE</t>
  </si>
  <si>
    <t>Non-material amendment to planning permission dated 02/01/2008 ref 2006/4533 (Erection of seventeen buildings (including those already built) comprising 1,084 residential dwellings (class C3), of which 264 will be affordable units, 36,367 sq.m. of commercial floor space, retail/restaurants/cafes/bars (Class A1-A4), offices (Class B1), hotel (Class C1) and leisure &amp; community uses, (Class D1 &amp; D2) together with associated car parking and landscaping) (as amended by ref. 2014/6729 &amp; 2014/6478) to allow reintroduction of 9 flats within Block K, alter the mix of flats within Block K and changes to fenestration.</t>
  </si>
  <si>
    <t>01 Completion</t>
  </si>
  <si>
    <t>12-14 Lombard Road</t>
  </si>
  <si>
    <t>10.5</t>
  </si>
  <si>
    <t>0000/0249</t>
  </si>
  <si>
    <t>Wandsworth Bus Garage, Jews Row</t>
  </si>
  <si>
    <t>3.11</t>
  </si>
  <si>
    <t>03 Planning</t>
  </si>
  <si>
    <t>Battersea Technology College and 3 Culovert Road, 401 Battersea Park Road</t>
  </si>
  <si>
    <t>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DRAWINGS)_x000D_
 _x000D_
The main revisions to the original scheme are summarised as:_x000D_
 _x000D_
- Resiting the 14-storey tower building further to the east by 1 metre._x000D_
- Modifications to the cladding materials: Introducing a brick cladding material and reducing the level of the glazing on the 14 storey tower building._x000D_
- Revised landscaping strategy: To include new trees at the junction of Culvert Road and Battersea Park Road and within the Harris Academy fronting onto Battersea Park Road._x000D_
- Resiting the 14-storey tower building further to the east by 1 metre._x000D_
- Modifications to the cladding materials: Introducing a brick cladding material and reducing the level of the glazing on the 14 storey tower building._x000D_
- Revised landscaping strategy: To include new trees at the junction of Culvert Road and Battersea Park Road and within the Harris Academy fronting onto Battersea Park Road</t>
  </si>
  <si>
    <t>BLOCK K - SHARED OWNERSHIP</t>
  </si>
  <si>
    <t>2017/1804</t>
  </si>
  <si>
    <t>Estate House, 225-231 Upper Richmond Road</t>
  </si>
  <si>
    <t>Conversion of storage area at first floor level into a 2-bedroom self contained flat.</t>
  </si>
  <si>
    <t>9A</t>
  </si>
  <si>
    <t>Trade Tower, Plantation Wharf, Coral Row</t>
  </si>
  <si>
    <t>10.15</t>
  </si>
  <si>
    <t>2017/0764</t>
  </si>
  <si>
    <t>Battersea Park Studios, 2 Shuttleworth Road</t>
  </si>
  <si>
    <t>Minor Material Amendment (Section 73) and Variation of conditions 2, 12, 18,21, 22, 34, 35 and 36 pursuant to planning permission dated 13/01/2017 ref 2015/2963 (Demolition of existing recording studio and lock-up garages and erection of a three- to seven-storey building with basement to provide 77 residential units (C3 use class) (19 x1 bedroom, 50 x 2 bedroom, 8 x 3 bedroom) and 624 sqm of recording studio floorspace (sui-generis use class); associated car parking, landscaping and public realm improvements) so as to allow (i) change to description of development (ii) update to list of plans (iii) details of noise insulation (iv) update to elevation drawings (v) reduction in number of cycle storage spaces (vi) changes in wheelchair adaptable units (vii) amend requirement for waste and recycling strategy as basement recording studio is no longer proposed (viii) deletion of condition relating to restriction of the use of the basement (xvi) update of landscaping plans.</t>
  </si>
  <si>
    <t>2017/4808</t>
  </si>
  <si>
    <t>Section House, 3-5 Nightingale Lane</t>
  </si>
  <si>
    <t>Non-material amendment to planning permission dated 04/01/2016 ref 2015/2469 [Demolition of the existing building (Class B1 Use) and redevelopment of the site to provide a 4 -7 storey care facility (Class C2 Use) comprising 102 units, together with ancillary retail, cafe, day centre and accessible swimming pool; access, parking and associated landscaping.] to allow the reduction iof residential units from 102 to 94; Alterations to the size and layout of residential units from 25 x 1 bed, 63 x 2 bed &amp; 14 x 3 bed to 28 x 1 bed, 49 x 2 bed and 17 x 2+/3 bed units; Change 6 duplex residential units at fifth and sixth floor to 6 units at fifth floor and 2 larger units at sixth floor [This removes the need to introduce individual lifts within the duplexes and the internal staircases can be omitted and the intermediate floor level has been lowered.]; installing an additional core  staircase and lift up to the sixth floor; introduction of a continuous corridor at most floor levels to allow access to both_x000D_
staircases and to reduce the number of lifts required; reduction in size of the basement floor area;  introduction of a solid timber panel within the fenestration at every level to the north elevation; changes to the ground floor communal areas to include two new guest suites with the introduction of fenestration within the vehicular arch; relocation of the car park at basement level to the rear of the building; changes to the size and location of plant area at basement level; formation of new entrance doors to bar/bistro; increase in depth of 1st floor balconies on front elevation to same depth as upper floor balconies and external staircase from basement to ground level emerging at the kink in the southern boundary of site.</t>
  </si>
  <si>
    <t>265 Putney Bridge Road</t>
  </si>
  <si>
    <t>2014/0871</t>
  </si>
  <si>
    <t>Market Towers, 1 Nine Elms Lane</t>
  </si>
  <si>
    <t>CITY TOWER - PRIVATE</t>
  </si>
  <si>
    <t>Minor-material amendments, under Section 73 of the Town and Country Planning Act, to pp 2012/0380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Minor amendments include: i. removal of office floorspace and enlargement of the hotel; ii. redistribution of residential and hotel uses.; iii. reduction in the height of  podium building.; iv. removal of the high level 'Skybridge' and reprovision of leisure facilities in podium building_x000D_
v. re-articulation of the top of the towers and amendments to external facade.  _x000D_
vi. redistribution of residential amenity areas vii. increase in size of basement level 2 from 11,331 sqm to 12,627 sqm. viii amendments to site access, servicing and drop-off arrangements. ix. changes to the landscaping strategy.x increase in car parking spaces from 109 to 124. An Environmental Statement has been submitted with the planning application under the Town and Country Planning (Environmental Impact Assessment) (England and Wales) Regulations 2011.</t>
  </si>
  <si>
    <t>2.1.12</t>
  </si>
  <si>
    <t>04 Subject to Legal Agreement</t>
  </si>
  <si>
    <t>41-49 and 49-59, 49-59 Battersea Park Road</t>
  </si>
  <si>
    <t>2.1.24</t>
  </si>
  <si>
    <t>05 Pending or at Appeal</t>
  </si>
  <si>
    <t>Argylle House, 1a All Saints Passage</t>
  </si>
  <si>
    <t>9B</t>
  </si>
  <si>
    <t>2016/5803</t>
  </si>
  <si>
    <t>Our Lady of Mount Carmel &amp; St Joseph, 8 Battersea Park Road</t>
  </si>
  <si>
    <t>LEVEL 0</t>
  </si>
  <si>
    <t>Application under Section 73 of the Town and Country Planning Act (as amended) for amendments to planning permission dated 28 October 2014 (ref.2014/1471) for the demolition of existing vacant single-storey parish and ancillary buildings and construction of a replacement residential building to the west of the existing church building residential units (C3), retail use (A1/A3) and ancillary church accommodation (D1) at ground floor level; extension and associated alterations to the southern elevation of the church to provide ancillary church accommodation in the form of a new parish hall (D1); and works to hard and soft landscaping and alterations to front boundary treatment. (The amendments include increase in height by 2 metres; a change to the unit mix resulting in the delivery of four extra units; amendments to the internal layout of residential units and community hall; amendments to the buildings elevations including relocation and addition of windows; reduction of groundfloor retail space; addition of an extra canopy above the entrance to the community hall and the relocation of the basement of the new community hall).</t>
  </si>
  <si>
    <t>LEVEL 1</t>
  </si>
  <si>
    <t>LEVEL 2</t>
  </si>
  <si>
    <t>LEVEL 3</t>
  </si>
  <si>
    <t>LEVEL 4</t>
  </si>
  <si>
    <t>LEVEL 5</t>
  </si>
  <si>
    <t>0000/0257</t>
  </si>
  <si>
    <t>259-311 Battersea Park road</t>
  </si>
  <si>
    <t>LEVEL 6</t>
  </si>
  <si>
    <t>81-87 Upper Tooting Road</t>
  </si>
  <si>
    <t>INTERMEDIATE S/O</t>
  </si>
  <si>
    <t>2015/5942</t>
  </si>
  <si>
    <t>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t>
  </si>
  <si>
    <t>89-93 Putney High Street</t>
  </si>
  <si>
    <t>Mauritius Building 200, 198-202 Garratt Lane</t>
  </si>
  <si>
    <t>204 Mitcham Road</t>
  </si>
  <si>
    <t>2017/5175</t>
  </si>
  <si>
    <t>1a Bennerley Road</t>
  </si>
  <si>
    <t>Demolition of existing garage and erection of a new four-storey building plus basement and rear amenity areas to create 1 x 3-bedroom  and 2 x 1-bedrom flats.</t>
  </si>
  <si>
    <t>25 Sudbrooke Road</t>
  </si>
  <si>
    <t>175 Wandsworth High Street</t>
  </si>
  <si>
    <t>South Lambeth Goods Depot, Cringle St./Battersea Park Rd., Kirtling Street</t>
  </si>
  <si>
    <t>2.1.1</t>
  </si>
  <si>
    <t>0000/0262</t>
  </si>
  <si>
    <t>Tavelodge, 200 York Road</t>
  </si>
  <si>
    <t>10.16</t>
  </si>
  <si>
    <t>42 Roehampton Gate</t>
  </si>
  <si>
    <t>Rear of 54, Cheriton Square</t>
  </si>
  <si>
    <t>2017/0534</t>
  </si>
  <si>
    <t>20a Trinity Road</t>
  </si>
  <si>
    <t>Demolition of existing backland structure and erection of a two-storey (1 x 2-bedroom) house.</t>
  </si>
  <si>
    <t>Land adj. and rear of 58, Topsham Road</t>
  </si>
  <si>
    <t>Springfield Hospital site, 61 Glenburnie Road</t>
  </si>
  <si>
    <t>9.1</t>
  </si>
  <si>
    <t>Former Domus Tiles site, 31-33 Parkgate Road/Elcho Street</t>
  </si>
  <si>
    <t>10.1.1</t>
  </si>
  <si>
    <t>56-64 Latchmere Road</t>
  </si>
  <si>
    <t>DT</t>
  </si>
  <si>
    <t>Garages between 77 &amp; 85, Ravenslea Road</t>
  </si>
  <si>
    <t>Dovercourt, 98 York Road</t>
  </si>
  <si>
    <t>10.3</t>
  </si>
  <si>
    <t>0000/0275</t>
  </si>
  <si>
    <t>Land at the Causeway, The Causeway</t>
  </si>
  <si>
    <t>0000/0280</t>
  </si>
  <si>
    <t>Jubilee House and cinema, 230-232 Putney Bridge Road</t>
  </si>
  <si>
    <t>0000/0281</t>
  </si>
  <si>
    <t>Putney Telephone Exchange, Montserrat Road</t>
  </si>
  <si>
    <t>2017/5732</t>
  </si>
  <si>
    <t>Erection of roof extension to create additonal floor of accommodation to provide  4 x 2-bed flat; relocation of water tanks, refurbishment of the front elevation including replacing safety railings with glazed balustrades at first, second and third floor levels to the rear elevation.</t>
  </si>
  <si>
    <t>2018/0072</t>
  </si>
  <si>
    <t>Prince of Wales, 186 Battersea Bridge Road</t>
  </si>
  <si>
    <t>Erection of two-storey building (plus basement with front and rear lightwells and roof terraces) to provide 2 x 3-bedroom houses. Associated refuse and bike storage and front railings.</t>
  </si>
  <si>
    <t>2018/0786</t>
  </si>
  <si>
    <t>Rear of 101-145, 101-145 Fishponds Road</t>
  </si>
  <si>
    <t>Erection of 1 x 1-bedroom and 1 x 3-bedroom two-storey houses with associated parking, cycle and refuse stores, and surfacing.</t>
  </si>
  <si>
    <t>2017/6051</t>
  </si>
  <si>
    <t>Upper floors, 58-60 West Hill</t>
  </si>
  <si>
    <t>Alterations including erection of roof extension in connection with creation of 1 x 1-bedroom flat at third floor level.</t>
  </si>
  <si>
    <t>2018/1481</t>
  </si>
  <si>
    <t>54 Balham Park Road</t>
  </si>
  <si>
    <t>Alterations including erection of domer roof extension to main rear roof including raising the ridge by 300mm and roof extension above part three-storey back addition. Erection of part two/part single-storey rear extension and single-storey side extension and formation roof terrace at third floor level with 1.7m high screen surround.  Replacement windows at rear and rooflights to front roof slope. Conversion of the existing two bedroom flat and 5 bedroom HMO into 4 self-contained flats (2 x 3 bedroom, 1 x 2 bedroom flats and 1x studio flat.)  Erection of a garden room in rear garden.</t>
  </si>
  <si>
    <t>2018/0799</t>
  </si>
  <si>
    <t>Laglin Lodge, 7 Eardley Road</t>
  </si>
  <si>
    <t>Excavation to enlarge basement including formation of front lightwell with grille over in connection with creation of 1 x studio flat with associated bin/cycle storage.</t>
  </si>
  <si>
    <t>2018/1182</t>
  </si>
  <si>
    <t>631 Garratt Lane</t>
  </si>
  <si>
    <t>Alterations to include the erection of a two-storey rear and single-storey side extension as part of the conversion into 1 x 2-bedroom and 1 x 1-bedroom units.</t>
  </si>
  <si>
    <t>2017/5079</t>
  </si>
  <si>
    <t>Ground floor, 280 Earlsfield Road</t>
  </si>
  <si>
    <t>Alterations and extensions, including excavation to enlarge the existing basement including excavation of a frontlightwell, alterations to the existing single-storey rear extension in connection with change of use of offices (Class B1a) to residential (Class C3) to create 1 x 2-bedroom flat.</t>
  </si>
  <si>
    <t>2018/1350</t>
  </si>
  <si>
    <t>1-12 Dutch Yard House</t>
  </si>
  <si>
    <t>177 Wandsworth High Street</t>
  </si>
  <si>
    <t>Internal alterations to provide 2 studio flats.</t>
  </si>
  <si>
    <t>2017/2843</t>
  </si>
  <si>
    <t>26a</t>
  </si>
  <si>
    <t>Land rear of 26, Longley Road</t>
  </si>
  <si>
    <t>Erection of a 2-bedroom bungalow and associated garden to the rear of 26 Longley Road.</t>
  </si>
  <si>
    <t>2018/0250</t>
  </si>
  <si>
    <t>2a Isis Street</t>
  </si>
  <si>
    <t>Demolition of existing buildings; erection of a two-storey (plus basement) building fronting Isis Street to form 1 x 1-bedroom, 1 x 2-bedroom residential units and bin store, including the formation of a rear lightwell and access to rear;  erection of 3 x two-storey (plus basement) 2-bedroom residential units with lightwells to front and rear.</t>
  </si>
  <si>
    <t>2017/6201</t>
  </si>
  <si>
    <t>Land rear of 6-8a, Fontenoy Road</t>
  </si>
  <si>
    <t>Demolition of existing garages and construction of new two-storey (ground and basement) 4-bedroom house with single storey nanny flat, and associated parking and landscaping.</t>
  </si>
  <si>
    <t>2018/1370</t>
  </si>
  <si>
    <t>Land adjoining 23, Boundaries Road</t>
  </si>
  <si>
    <t>Erection of a three-storey plus basement detached building to provide 2 x 1-bedroom dwellings with associated landscaping, outdoor amenity space, roof garden, cycle parking and refuse storage.</t>
  </si>
  <si>
    <t>2017/6507</t>
  </si>
  <si>
    <t>Land between 1 and 3, Wimbledon Park Road</t>
  </si>
  <si>
    <t>Erection of a two-storey (basement and ground floor), 4-bedroom house including sunken courtyard, off-street parking, associated landscaping and alterations to boundary treatment included raised front boundary wall and trellis.</t>
  </si>
  <si>
    <t>2017/6683</t>
  </si>
  <si>
    <t>Land adjoining playing field Viewfield Road</t>
  </si>
  <si>
    <t>Garages rear of 60, Granville Road</t>
  </si>
  <si>
    <t>Demoliton of existing double garages and erection of single-storey (plus basement) 1-bedroom house.</t>
  </si>
  <si>
    <t>2018/0153</t>
  </si>
  <si>
    <t>24 Southolm Street</t>
  </si>
  <si>
    <t>Erection of an extension above rear addition with formation of dormer access to main rear roof in connection with the conversion of the property from HMO to a single dwelling.</t>
  </si>
  <si>
    <t>2018/0280</t>
  </si>
  <si>
    <t>Ground Floor, 103 East Hill</t>
  </si>
  <si>
    <t>Alterations including formation of side courtyard in connection with change of use of part of ground floor from Class A3 to part Class A1 (retail) and C3 (1-bedroom flat)</t>
  </si>
  <si>
    <t>2018/0283</t>
  </si>
  <si>
    <t>Garages rear of 194, Bedford Hill</t>
  </si>
  <si>
    <t>Demolition of existing garage and erection of a single-storey (plus basement) 1-bedroom detached house including alterations to the front boundary wall.</t>
  </si>
  <si>
    <t>2017/6357</t>
  </si>
  <si>
    <t>Putney Evangelical Church, Sefton Street</t>
  </si>
  <si>
    <t>Demolition of existing church and erection of 2 x two storey (plus roof) 4-bedroom houses with associated landscape and boundary treatment.</t>
  </si>
  <si>
    <t>258 Merton Road</t>
  </si>
  <si>
    <t>2018/1323</t>
  </si>
  <si>
    <t>62a Mitcham Road</t>
  </si>
  <si>
    <t>Alterations including erection of a dormer roof extension to main rear roof and above part of the three storey back addition, side windows, front rooflights and conversion of property to 4 x 1-bedroom flats.</t>
  </si>
  <si>
    <t>2018/0802</t>
  </si>
  <si>
    <t>33 Roedean Crescent</t>
  </si>
  <si>
    <t>Erection of two-storey plus accommodation at roof level detached house.</t>
  </si>
  <si>
    <t>2017/6631</t>
  </si>
  <si>
    <t>83 Lavender Hill</t>
  </si>
  <si>
    <t>Erection of a mansard roof extension to main rear roof and extensions at first, second and third floors and conversion of the property into 9-bedroom HMO (from Class C3 to Class Sui Genres).</t>
  </si>
  <si>
    <t>2018/0097</t>
  </si>
  <si>
    <t>345 Garratt Lane</t>
  </si>
  <si>
    <t>Alterations including erection of single-storey rear/side extension to Flat 1; Erection of  mansard roof extension to main rear roof (including raising the risge by 0.25m) and erection of extension above two-storey rear addition in connection with conversion of Flat 2 into 2 x 1-bed flats.</t>
  </si>
  <si>
    <t>79-85 Putney High Street</t>
  </si>
  <si>
    <t>208-214 York Road and, 4 Chatfield Road</t>
  </si>
  <si>
    <t>Block A - Clemence House</t>
  </si>
  <si>
    <t>10.10</t>
  </si>
  <si>
    <t>2018/0195</t>
  </si>
  <si>
    <t>22 Trinity Road</t>
  </si>
  <si>
    <t>Alterations including demolition of  rear elevation, mansard roof extension to create an additional storey of residential accommodation, erection of part single, part two, part three storey rear extension, excavation of basement and conversion of ground floor shop from from Sui Generis (mini-cab office) to part Class A1 (shop) and part Class C3 (residential) to create 2 x 1-bedroom flats and a studio flat. Replacement shopfront.</t>
  </si>
  <si>
    <t>2017/5000</t>
  </si>
  <si>
    <t>Park House, 233 Roehampton Lane</t>
  </si>
  <si>
    <t>Alterations including partial demolition and reconfiguration of the ground floor and the erection of a mansard roof extension with dormers in connection with change of use from (Class B1 and D1) to 5 x 2-bedroom flats (Class C3); associated landscaping and tree planting.</t>
  </si>
  <si>
    <t>2018/1199</t>
  </si>
  <si>
    <t>Alterations including erection of extension at ground floor level rooflights and west facing dormer in connection with change of use from clinic (Class D1) and office (Class B1) to residential (Class C3) to create 4 x 2-bedroom flats..</t>
  </si>
  <si>
    <t>2018/1360</t>
  </si>
  <si>
    <t>23 Trinity Road</t>
  </si>
  <si>
    <t>Alterations including erection of dormer roof extension to main rear roof and part single, part two-storey extension above back addition; formation of roof terrace above back addition and conversion of first and second floor flat into 1 x 1-bedroom and 2 x 2-bedroom flats.</t>
  </si>
  <si>
    <t>EXTENSION TO EXISTING</t>
  </si>
  <si>
    <t>Block C - Constance Court</t>
  </si>
  <si>
    <t>2018/0366</t>
  </si>
  <si>
    <t>4 Hildreth Street</t>
  </si>
  <si>
    <t>Conversion of upper floor flat into 1 x studio flat on first floor and 1 x 1-bedroom maisonette on 2nd and 3rd floors</t>
  </si>
  <si>
    <t>2017/6538</t>
  </si>
  <si>
    <t>111-113 Wandsworth High Street</t>
  </si>
  <si>
    <t>Alterations including erection of two storey roof extension including front and rear mansard and excavation to create basement in connection with provision of retail (Class A1) floorspace at basement and ground floor levels, office (Class B1) floorspace at first floor level  and 4 x 2-bedroom, 1 x 1-bedroom and 1 x studio flats with front and rear roof terraces and associated refuse storage accessed from the rear.</t>
  </si>
  <si>
    <t>2017/6840</t>
  </si>
  <si>
    <t>Templeton, 118 Priory Lane</t>
  </si>
  <si>
    <t>Alterations including redevelopment of the wardens' cottages to create 4 x 3-bedroomed two-storey (plus basement) cottages. Erection of new stable block including 4 x horse stalls, 2 x 1-bedroomed staff cottages, artist's studio and associated paddock. Erection of 1 x 5-bedroom two-storey (plus roof and basement) house. **Application re-consulted due to change in the determination date**</t>
  </si>
  <si>
    <t>2018/0808</t>
  </si>
  <si>
    <t>Ransomes Dock Business Centre</t>
  </si>
  <si>
    <t>Unit 25-28 Ransomes Dock, 35-37 Parkgate Road</t>
  </si>
  <si>
    <t>Determination as to whether prior approval is required for change of use of office at thrid floor level (Use Class B1(a)) to residential (Use Class C3) to provide 1 x 2  bedroom flat.</t>
  </si>
  <si>
    <t>2018/0812</t>
  </si>
  <si>
    <t>Unit 21-24, 35-37 Parkgate Road</t>
  </si>
  <si>
    <t>Determination as to whether prior approval is required for change of use of office at second floor level (Use Class B1(a)) to residential (Use Class C3) to provide 1 x 1 bedroom flat.</t>
  </si>
  <si>
    <t>2018/0357</t>
  </si>
  <si>
    <t>Southfields Post Office and St Pauls Church Hall, 265-271 Wimbledon Park Road</t>
  </si>
  <si>
    <t>Demolition of existing building and erection of four storey building (with lower ground floor level) to provide 1 x 3-bedroom, 5 x 2-bedroom, 1 x 1-bedroom and 1 x studio flats with terraces to front and rear; 2 x retail units (Class A1) at ground floor level with associated car parking, cycle and refuse storage.</t>
  </si>
  <si>
    <t>Land west of, 17 Broadwater Road</t>
  </si>
  <si>
    <t>8 Old Devonshire Road</t>
  </si>
  <si>
    <t>2017/6636</t>
  </si>
  <si>
    <t>148-150 Penwith Road</t>
  </si>
  <si>
    <t>Alterations in connection with change of use from Music School (Class D1) to residential (Class C3) to provide 2 x 1-bedroom flats.</t>
  </si>
  <si>
    <t>2018/0565</t>
  </si>
  <si>
    <t>216 Tooting High Street</t>
  </si>
  <si>
    <t>Erection of a two-storey 2-bedroom house plus basement and parking.</t>
  </si>
  <si>
    <t>2016/6980</t>
  </si>
  <si>
    <t>15 St Johns Hill</t>
  </si>
  <si>
    <t>Change of use of the second and third floors from office (Class B1a) to residential (Class C3) to provide two one-bedroom flats (retrospective).</t>
  </si>
  <si>
    <t>2018/0859</t>
  </si>
  <si>
    <t>87 Putney High Street</t>
  </si>
  <si>
    <t>conversion + extn</t>
  </si>
  <si>
    <t>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t>
  </si>
  <si>
    <t>NEW BUILD</t>
  </si>
  <si>
    <t>2017/1573</t>
  </si>
  <si>
    <t>8 Akehurst Street</t>
  </si>
  <si>
    <t>Erection of 2 x 5-bedroom three storey detached houses with associated landscaping, parking and cycle store.</t>
  </si>
  <si>
    <t>2017/5176</t>
  </si>
  <si>
    <t>118 Upper Tooting Road</t>
  </si>
  <si>
    <t>Alterations including excavation of basement and rear courtyard and erection of four-storey (plus basement) rear extension to provide commercial floorspace (Class A1/A2 use) over part of ground and basement levels and 4 x residential studios (Class C3). Formation of roof terrace at first floor level.</t>
  </si>
  <si>
    <t>Tideway Industrial Estate, 87 Kirtling Street</t>
  </si>
  <si>
    <t>2.1.9</t>
  </si>
  <si>
    <t>2018/0917</t>
  </si>
  <si>
    <t>Land adjacent, 80 Manville Road</t>
  </si>
  <si>
    <t>Demolition of existing garage and erection of part single, part two-storey (plus basement) 3-bedroom detached house with associated landscaping, boundary treatment, cycle, refuse storage and car parking.</t>
  </si>
  <si>
    <t>2017/4656</t>
  </si>
  <si>
    <t>272 Franciscan Road</t>
  </si>
  <si>
    <t>Continued use as a Guesthouse (C1) for more than 10 years</t>
  </si>
  <si>
    <t>2018/0885</t>
  </si>
  <si>
    <t>Land rear of, 117 Fernlea Road</t>
  </si>
  <si>
    <t>Demolition of existing garage fronting Cavendish Road and erection of a single storey (plus basement and roof) 3-bedroom detached house, formation of lightwells and refuse storage.</t>
  </si>
  <si>
    <t>2018/1050</t>
  </si>
  <si>
    <t>26 Ritherdon Road</t>
  </si>
  <si>
    <t>Conversion of basement level into 1 x 1-bedroom flat with formation of two front lightwells with glass balustrades around.  Erection of replacement dwarf wall with Heaver style railings above and installation of bin stores within front garden.</t>
  </si>
  <si>
    <t>2018/1333</t>
  </si>
  <si>
    <t>72 Gowrie Road</t>
  </si>
  <si>
    <t>Demolition of existing dwellinghouse (except for front facade and front sections of the side facades) and erection of a replacement house, including excavation of basement with front and rear lightwells, increased ridge height by 350mm, front rooflights, erection of mansard roof extension to main rear roof and part single, part three-storey rear additions with a roof terrace and1.7m high screen above.</t>
  </si>
  <si>
    <t>2018/0806</t>
  </si>
  <si>
    <t>Unit 33 Ransomes Dock Business Centre, 35-37 Parkgate Road</t>
  </si>
  <si>
    <t>Determination as to whether prior approval is required for change of use from office at second floor level (Use Class B1(a)) to residential (Use Class C3) to provide 2 x 3 bedroom flats.</t>
  </si>
  <si>
    <t>2017/6319</t>
  </si>
  <si>
    <t>130 Wimbledon Park road</t>
  </si>
  <si>
    <t>Demolition of existing garage and erection of a two-storey (plus basement) 3-bedroom detached house with associated cycle and refuse storage.</t>
  </si>
  <si>
    <t>7-9 Upper Tooting Road</t>
  </si>
  <si>
    <t>Dock North of 34 Falcon Wharf, Lombard Road</t>
  </si>
  <si>
    <t>2017/1836</t>
  </si>
  <si>
    <t>71 Northcote Road</t>
  </si>
  <si>
    <t>Alterations including erection of single-storey side extension and three-storey rear extension with terraces to provide 3 x 2-bedroom and 1 x 1-bedroom flats and change of use at ground floor from retail (Class A1) to restaurant (Class A3).</t>
  </si>
  <si>
    <t>2017/6117</t>
  </si>
  <si>
    <t>Change of use from Class A1(Shops) to Class A3 (Restaurants and Cafes).  Erection of side and rear extensions at ground, first and second floor levels to provide 4no. residential units (1 x bedsit; 1 x 1-bedroom and 2 x 2-bedroom flats.).</t>
  </si>
  <si>
    <t>2017/6920</t>
  </si>
  <si>
    <t>10 Sisters Avenue</t>
  </si>
  <si>
    <t>Alterations including erection of dormer roof extension to the side and rear (with balcony) of the main roof; erection of a part two-storey, part three storey rear extension to lower, ground and first floors and internal alterations in connection with the further conversion of the property from three flats into five flats (1 x 3 bedroom, 2 x 2 bedroom and 2 x 1 bedroom) . Provision of bike and bin store to front garden and replacement of existing windows.</t>
  </si>
  <si>
    <t>2017/2138</t>
  </si>
  <si>
    <t>14c, 14c Putney Bridge Road</t>
  </si>
  <si>
    <t>Use of basement and part ground floor as a self contained flat.</t>
  </si>
  <si>
    <t>2017/1893</t>
  </si>
  <si>
    <t>Inkster House, 1 Ingrave Street</t>
  </si>
  <si>
    <t>The proposals include re-cladding the tower, new windows throughout, the addition of winter gardens to all existing flats (70No. flats), addition of tower pinnacle, reconfiguration of ground floor entrance and five new flats at ground floor level. (4No. one bedroom flats, and 1No. two bedroom flat).</t>
  </si>
  <si>
    <t>2017/6931</t>
  </si>
  <si>
    <t>61-64, 61-64 Sefton Street</t>
  </si>
  <si>
    <t>Demolition of existing buildings and erection of a two-four storey building comprising 105sq.m. ground floor commercial unit (Use Classes A1, A2 or B1), 3 x 1-bedroom and 2 x 2-bedroom flats above with front roof terrace and a two-storey, 3-bedroom mews house at the rear with two parking spaces, refuse and cycle storage.</t>
  </si>
  <si>
    <t>2017/5029</t>
  </si>
  <si>
    <t>The Queens Arms P.H, 139 St Philip Street</t>
  </si>
  <si>
    <t>Demolition of storage facility and erection of 1 x 3-bedroom two-storey (plus basement) house with associated landscaping and refuse and cycle store.</t>
  </si>
  <si>
    <t>2018/0300</t>
  </si>
  <si>
    <t>Use of the basement and ground floors as a public house (Use Class A4), an additional storey through a roof extension to create a 1 x 3-bedroom flat, a two storey side extension at first and second floor levels and conversion of the first and second floors into 4 x 2-bedroom flats.</t>
  </si>
  <si>
    <t>2018/1083</t>
  </si>
  <si>
    <t>98A,B &amp; C, 98 Pirbright Road</t>
  </si>
  <si>
    <t>Demolition of existing single storey dwelling and erection of 2  x 3-bedroom two-storey plus basement houses with associated bin storage.</t>
  </si>
  <si>
    <t>2018/1626</t>
  </si>
  <si>
    <t>Newlands Terrace, 167 Queenstown Road</t>
  </si>
  <si>
    <t>Alterations including erection of mansard roof extension to main rear roof and over rear outrigger along with the formation of a terrace area with 1.7m high screen surround in connection with creation of new 1 x 2-bedroom self-contained flat.</t>
  </si>
  <si>
    <t>2018/0494</t>
  </si>
  <si>
    <t>1, 2 and 3 Crosland Place, Taybridge Road</t>
  </si>
  <si>
    <t>Demolition of existing part single/part two storey building (B1 Use Class and ancillary residential accommodation) and the erection of a part one/part two/part three storey building in connection with creation of 1 x 3-bedroom, 7 x 2-bedroom and 1 x 1-bedroom flats with associated cycle and refuse storage.</t>
  </si>
  <si>
    <t>2017/3174</t>
  </si>
  <si>
    <t>77a, 77a Oakmead Road</t>
  </si>
  <si>
    <t>Alterations in connection with the creation of a 1x1-bedroom flat including erection of mansard roof extension to main rear roof including extension above part of two-storey back addition; formation of roof terrace above two-storey back addition with screen surround. Insertion of rooflights to front roofslope and removal for rear chimneys.</t>
  </si>
  <si>
    <t>2018/0135</t>
  </si>
  <si>
    <t>83 Garratt Terrace</t>
  </si>
  <si>
    <t>Alterations in connection with creation of 1 x 3-bedroom, 1 x 2-bedroom and 2 x 1-bedroom flats.</t>
  </si>
  <si>
    <t>2017/4141</t>
  </si>
  <si>
    <t>Garratt Lane and Atheldene Regenration Site</t>
  </si>
  <si>
    <t>Brocklebank Health Centre, 249 Garratt Lane (more - see other comments, 229-247 Garratt Lane</t>
  </si>
  <si>
    <t>Demolition of existing buildings and erection of a mixed use development providing a total of 190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t>
  </si>
  <si>
    <t>2017/4187</t>
  </si>
  <si>
    <t>286-288 Queenstown Road</t>
  </si>
  <si>
    <t>Rear extension and loft conversion to the adjoining properties at No.286 and No.288 to create two additional flats. The existing six flats within the building will be reconfigured to comply with National Standards.</t>
  </si>
  <si>
    <t>2018/1219</t>
  </si>
  <si>
    <t>Car storage site rear of, 1 Kenlor Road</t>
  </si>
  <si>
    <t>Demolition of existing single storey building and the erection of a single-storey one bedroom detached house.</t>
  </si>
  <si>
    <t>2017/4844</t>
  </si>
  <si>
    <t>189d, 189d Balham High Road</t>
  </si>
  <si>
    <t>Demolition of existing garages and erection of 8 x three-storey, 3-bedroom houses and associated landscaping, cycle storage, carparking and refuse stores.</t>
  </si>
  <si>
    <t>2018/1408</t>
  </si>
  <si>
    <t>29 Rush Hill Road</t>
  </si>
  <si>
    <t>Erection of an additional floor above existing roof and conversion of upper flat to create a 1 x1-bedroom flat and 1 x2-bedroom flats.</t>
  </si>
  <si>
    <t>2017/3317</t>
  </si>
  <si>
    <t>1083-1085, 1083-1085 Garratt Lane</t>
  </si>
  <si>
    <t>Erection of part two, part three storey extension and dormer roof extension to the front of the existing building to create an additional storey of residential accommodation to provide additional units (1 x 1-bedroom flat and  2 x studios) with associated cycle and refuse storage at ground floor level.</t>
  </si>
  <si>
    <t>2018/0419</t>
  </si>
  <si>
    <t>17 Chetwode Road</t>
  </si>
  <si>
    <t>Use of existing building as two self-contained flats Class C3 (residential)</t>
  </si>
  <si>
    <t>2017/5043</t>
  </si>
  <si>
    <t>13 Upper Tooting Road</t>
  </si>
  <si>
    <t>Alterations including erection of mansard roof extension to main rear roof and roof extension above three-storey back addition and the erection of a part single, part three storey rear extension in connection with conversion of upper floors to 4 x 1-bedroom flats; alterations to existing shopfront and excavation works to create basement to ground floor commercial unit in connection with change of use from retail (Class A1) to restaurant (Class A3).</t>
  </si>
  <si>
    <t>2017/5578</t>
  </si>
  <si>
    <t>19 Devereux Road</t>
  </si>
  <si>
    <t>Alterations including the erection of dormer roof extension to main rear roof in connection with the conversion of the first floor flats to provide an additional 1 x 2-bedroom flat including formation of roof terrace above three-storey back addition with screen surround.</t>
  </si>
  <si>
    <t>2017/6926</t>
  </si>
  <si>
    <t>65 Balham High Road</t>
  </si>
  <si>
    <t>Alterations including erection of two storey rear/side extension in connection with change of use from shop (Class A1) to restaurant (Class A3) and residential (Class C3) to create a new restaurant and 1 x two storey (plus basement) 3-bedroom house.</t>
  </si>
  <si>
    <t>2017/5485</t>
  </si>
  <si>
    <t>46 Openview</t>
  </si>
  <si>
    <t>Change of use from residential (Use Class C3) to use for childmining (Use Class D1) of 9 children.</t>
  </si>
  <si>
    <t>2018/0932</t>
  </si>
  <si>
    <t>28a, 28a Northcote Road</t>
  </si>
  <si>
    <t>Alterations including erection of a dormer roof extension to main rear roof, erection of part single, part two, part three-storey rear/side extension with rear access and formation of a roof terrace with 1.7m high obscured glass surround at second floor level in connection with conversion into 2 x 2-bedroom flats.</t>
  </si>
  <si>
    <t>2017/5648</t>
  </si>
  <si>
    <t>2 Eardley Road</t>
  </si>
  <si>
    <t>Alterations including amalgamation of flats A and B, enlargement of window opening and installation of french doors. Demolition of existing garages and erection of two-storey (plus roof level) 3-bedroom detached house with associated landscaping, cycle and refuse storage.</t>
  </si>
  <si>
    <t>2017/6142</t>
  </si>
  <si>
    <t>rear of, 64 Longley Road</t>
  </si>
  <si>
    <t>Erection of two-storey 3 bedroom dwellinghouse at rear of 64 Longley Road with associated car parking.</t>
  </si>
  <si>
    <t>2017/6155</t>
  </si>
  <si>
    <t>48 Putney High Street</t>
  </si>
  <si>
    <t>Alterations including erection of part two/part three storey (first to third floors) rear extension to provide enclosed stairwell in connection with conversion of existing flat into 3 x 1-bedroom flats.</t>
  </si>
  <si>
    <t>2018/0955</t>
  </si>
  <si>
    <t>40 Selkirk Road</t>
  </si>
  <si>
    <t>Alterations including erection of single storey rear and side extensions in connection with conversion of property into 2 x 1-bedroom flats.</t>
  </si>
  <si>
    <t>2017/6642</t>
  </si>
  <si>
    <t>92 Putney Bridge Road</t>
  </si>
  <si>
    <t>Demolition of existing building and redevelopment of the site to provide a five storey building comprising 360 sqm flexible Class A1/A2/A3/D1 use at ground floor, 958 sqm of Class B1a (Office) use at first and second floor and nine residential units on the upper floors, together with associated cycle parking, landscaping and infrastructure works.</t>
  </si>
  <si>
    <t>2017/6531</t>
  </si>
  <si>
    <t>Site adjacent to 1-8, 1-8 Arnal Crescent</t>
  </si>
  <si>
    <t>Erection of four-storey building to provide 3 x 2-bedroom and 1 x 1-bedroom flats with balconies and associated landscaping and refuse/cycle storage.</t>
  </si>
  <si>
    <t>2017/6846</t>
  </si>
  <si>
    <t>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t>
  </si>
  <si>
    <t>2017/6854</t>
  </si>
  <si>
    <t>24 Bellevue Road</t>
  </si>
  <si>
    <t>Excavation to create a basement including formation of front and rear lightwells, erection of two-storey rear extension, erection of outbuilding, erection of dormer roof extensions to front and rear roof slopes in connection with conversion of property to 2 x 3-bedroom, 1 x 2-bedroom and 1 x 1-bedroom flats with associated cycle and refuse storage (corrected proposal description).</t>
  </si>
  <si>
    <t>2017/6859</t>
  </si>
  <si>
    <t>The Mews House, 22 Earlsfield Road</t>
  </si>
  <si>
    <t>Alterations including erection of mansard roof extension to main rear roof and erection of part single/part two storey rear extension and formation of roof terrace above with glazed safety screen surround in connection with conversion of property into 2 x 3-bedrooom flats.</t>
  </si>
  <si>
    <t>2017/6929</t>
  </si>
  <si>
    <t>30 Bramcote Road</t>
  </si>
  <si>
    <t>Demolition of existing building and erection of a two-storey (plus basement and roof levels) 5-bedroom detached house.</t>
  </si>
  <si>
    <t>2017/6525</t>
  </si>
  <si>
    <t>First Floor Flat, 5b Louisville Road</t>
  </si>
  <si>
    <t>Alterations including erection of mansard roof extension to main rear roof (with french doors and safety railings) in connection with conversion of existing first and second floor self-contained maisonette into 1 x 1 bedroom and 1 x 2-bedroom self-contained flats.</t>
  </si>
  <si>
    <t>2018/0219</t>
  </si>
  <si>
    <t>47-51 Lavender Hill</t>
  </si>
  <si>
    <t>Erection of a new storey of accommodation to main roof, extensions above back additions, formation of roof terraces above back additions with obscured glazed screen surround in coonection with creation of 2 x 1-bedroom  and 1 x 2-bedroom flats.</t>
  </si>
  <si>
    <t>2018/0209</t>
  </si>
  <si>
    <t>150 Elsenham Street</t>
  </si>
  <si>
    <t>Conversion of property into 1 x 3-bedroom and 2 x 2-bedroom flats.</t>
  </si>
  <si>
    <t>2018/0176</t>
  </si>
  <si>
    <t>77 Vant Road</t>
  </si>
  <si>
    <t>Continue use as two self-contained flats 1 x one-beroom over ground floor and 1 x three-bedroom over first floor and loft.</t>
  </si>
  <si>
    <t>2018/0359</t>
  </si>
  <si>
    <t>125 Lower Richmond Road</t>
  </si>
  <si>
    <t>Alterations including excavation to enlarge basement including formation of rear/side lightwell with grille over; erection of part single-part two-storey rear/side extension and creation of roof terraces at first and second floor levels in connection with creation of 2 x 2-bedroom and 1 x 1-bedroom flats.  Change of use of ground floor to retail/office (Class A1/A2) and installation of new shopfront.</t>
  </si>
  <si>
    <t>2018/0376</t>
  </si>
  <si>
    <t>231 Putney Bridge Road</t>
  </si>
  <si>
    <t>Alterations including erection of front and rear mansard extension to main roof and conversion of upper floors to 1 x 1-bedroom and 5 x 2-bedroom flats with roof terraces at all upper floors; refuse and cycle storage accessed from the rear.</t>
  </si>
  <si>
    <t>2018/0550</t>
  </si>
  <si>
    <t>8 Bushnell Road</t>
  </si>
  <si>
    <t>Alterations in connection with conversion of two flats into a single dwelling.</t>
  </si>
  <si>
    <t>2018/0576</t>
  </si>
  <si>
    <t>123 Roehampton Vale</t>
  </si>
  <si>
    <t>Erection of a side and rear roof extension; erection of a part-single, part-two-storey rear extension; conversion of property to 1 x 1-bedroom, 2 x 2-bedroom and 1 x 3-bedroom flats.</t>
  </si>
  <si>
    <t>2018/0247</t>
  </si>
  <si>
    <t>130 Brookwood Road</t>
  </si>
  <si>
    <t>Change of use of ground floor from Class A2 to Class C3 forming a 1-bedroom flat. Erection of first floor level extension to building at rear including replacement screening to terrace and formation of ground floor cycle and refuse storage.</t>
  </si>
  <si>
    <t>2018/0778</t>
  </si>
  <si>
    <t>117 Putney High Street</t>
  </si>
  <si>
    <t>Determination as to whether prior approval is required for change of use of office at first and second floor levels (Class B1a) to residential (Class C3) to provide 3 x 1-bedroom flats.</t>
  </si>
  <si>
    <t>2018/0585</t>
  </si>
  <si>
    <t>The Surgery, Claudia Place</t>
  </si>
  <si>
    <t>Demolition of existing building and erection of a part-single, part four-storey 3-bedroomed dwellinghouse including roof terrace, with one off-street parking space.</t>
  </si>
  <si>
    <t>2017/6930</t>
  </si>
  <si>
    <t>142-144, 142-144 Tooting Bec Road</t>
  </si>
  <si>
    <t>Alterations including erection of dormer roof extension and erection of rear extension at first floor level (with french doors and safety railings) in connection conversion of two-bedroom flat and first floor office to 6 x 1-bedroom flats.</t>
  </si>
  <si>
    <t>2017/4531</t>
  </si>
  <si>
    <t>152 Franciscan Road</t>
  </si>
  <si>
    <t>Erection of single-storey side extension in connection with  conversion of property into 1 x two-bedroom and 1 x one-bedroom self-contained flats.</t>
  </si>
  <si>
    <t>64 Lyford Road</t>
  </si>
  <si>
    <t>2018/0793</t>
  </si>
  <si>
    <t>1 &amp; 1a, 1 Nepean Street</t>
  </si>
  <si>
    <t>Alterations including erection of rear dormer, front rooflights and extension above two-storey back addition which would exxceed the main ridge height by 0.8m; erection of single-storey rear and side extensions in connection with use as a single dwelling house.</t>
  </si>
  <si>
    <t>2018/0807</t>
  </si>
  <si>
    <t>Unit 31 Ransomes Dock Business Centre, 35-37 Parkgate Road</t>
  </si>
  <si>
    <t>Determination as to whether prior approval is required for change of use from office at ground floor level (Use Class B1(a)) to residential (Use Class C3) to provide 1 x 1 bedroom and 1 x 2 bedroom flats.</t>
  </si>
  <si>
    <t>2018/1604</t>
  </si>
  <si>
    <t>Determination as to whether prior approval is required for change of use from Business (Class B1a) to 1 x 1-bedroom and 1 x 2-bedroom flats Residential (Class C3).</t>
  </si>
  <si>
    <t>2018/0813</t>
  </si>
  <si>
    <t>Unit 19 Ransomes Dock Business Centre, 35-37 Parkgate Road</t>
  </si>
  <si>
    <t>Determination as to whether prior approval is required for change of use of office at first floor level (Use Class B1(a)) to residential (Use Class C3) to provide 1 x studio flat.</t>
  </si>
  <si>
    <t>2018/0814</t>
  </si>
  <si>
    <t>Unit 16 Ransomes Dock Business Centre, 35-37 Parkgate Road</t>
  </si>
  <si>
    <t>Determination as to whether prior approval is required for change of use of office at ground floor level (Use Class B1(a)) to residential (Use Class C3) to provide 2 x 1 bedroom flats.</t>
  </si>
  <si>
    <t>2018/0815</t>
  </si>
  <si>
    <t>Unit 15 Ransomes Dock Business Centre, 35-37 Parkgate Road</t>
  </si>
  <si>
    <t>Determination as to whether prior approval is required for change of use of office at first floor level (UseClass B1(a)) to residential (Use Class C3) to provide 1 x 2 bedroom flat.</t>
  </si>
  <si>
    <t>2018/0816</t>
  </si>
  <si>
    <t>Unit 11-12 Ransomes Dock Business Centre, 35-37 Parkgate Road</t>
  </si>
  <si>
    <t>Determination as to whether prior approval is required for change of use of office at second floor level (Use Class B1(a) to residential (Use Class 3) to provide 1 x 2 bedroom flat.</t>
  </si>
  <si>
    <t>2018/0817</t>
  </si>
  <si>
    <t>Unit 7-10 Ransomes Dock Business Centre, 35-37 Parkgate Road</t>
  </si>
  <si>
    <t>Determination as to whether prior approval is required for change of use of office at first floor level  (Use Class B1(a)) to residential (Use Class C3) to provide 1 x 1 bedroom flat and 1 x 2 bedroom flat.</t>
  </si>
  <si>
    <t>2018/0663</t>
  </si>
  <si>
    <t>74a, 74a Vant Road</t>
  </si>
  <si>
    <t>Alterations including erection of rear roof extension to main rear roof, erection part single, part two-storey front and side extension with roof over, erection of single storey rear/side extension and excavation to create basement including formation of front, side and rear lightwells with grille over in connection with conversion to provide 2 x 3-bedroom, 1 x 1-bedroom and 1 x studio flats.</t>
  </si>
  <si>
    <t>2018/0881</t>
  </si>
  <si>
    <t>125a &amp; 125c, 125a &amp; c Northcote Road</t>
  </si>
  <si>
    <t>Remodelling and extension of existing building including addition of two additional storeys to provide 2 new 2 bedroom flats on a new 2nd floor and within a new 3rd floor/roof.</t>
  </si>
  <si>
    <t>2018/0952</t>
  </si>
  <si>
    <t>32 Cathles Road</t>
  </si>
  <si>
    <t>Erection of a mansard extension to main rear roof and above part of two-storey rear addition. Erection of a single-storey rear/side extension and excavation to enlarge basement with the formation of side and rear lightwells with glass over in connection with the conversion of the property into 2 x 3-bedroom flats.</t>
  </si>
  <si>
    <t>2018/1009</t>
  </si>
  <si>
    <t>4 Pretoria Road</t>
  </si>
  <si>
    <t>Alterations including the de-conversion of the existing 1x1 bed and 1x2 bed self-contained flats into a single dwellinghouse</t>
  </si>
  <si>
    <t>2018/1053</t>
  </si>
  <si>
    <t>Land rear of 22, 22 Chillerton Road</t>
  </si>
  <si>
    <t>Demolition of garage and erection of two-storey (plus basement with front lightwell) 1-bedroom dwellinghouse.</t>
  </si>
  <si>
    <t>2018/0878</t>
  </si>
  <si>
    <t>75 Sellincourt Road</t>
  </si>
  <si>
    <t>Conversion of existing first floor and attic self-contained flat to 1 x two bedroom first floor flat and 1 x 1 bedroom self-contained attic flat.</t>
  </si>
  <si>
    <t>2018/1061</t>
  </si>
  <si>
    <t>16 Vant Road</t>
  </si>
  <si>
    <t>Excavation of basement with front and rear lightwells with 1.1m high safety railings, to create 1x2-bed flat.</t>
  </si>
  <si>
    <t>2018/1079</t>
  </si>
  <si>
    <t>Land east of 57, 57 Putney Bridge Road</t>
  </si>
  <si>
    <t>Erection of five storey building to provide 5 x studio flats with associated cycle and bin storage.</t>
  </si>
  <si>
    <t>2018/0994</t>
  </si>
  <si>
    <t>Flat A, 98 Coverton Road</t>
  </si>
  <si>
    <t>Use of property as 1 x two-bedroom self-contained flat at first floor and 1 x studio self-contained flat at second floor.</t>
  </si>
  <si>
    <t>2017/6139</t>
  </si>
  <si>
    <t>Garages south of 156-232, 156-232 Whitlock Drive</t>
  </si>
  <si>
    <t>Demolition of existing garages and erection of three-storey (plus basement) building to provide 9 x 2-bedroom flats with associated landscaping, underground parking, bin and cycle storage.</t>
  </si>
  <si>
    <t>2018/0977</t>
  </si>
  <si>
    <t>121 Drakefield Road</t>
  </si>
  <si>
    <t>Alterations including erection of dormer roof extension to main rear roof and extension above part of two-storey back addition; Erection of single-storey rear/side extension and excavation to create an enlarge basement including formation of front and rear lightwells with grille over in connection with conversion of property into 3 x 1 bedroom, 2 x 2 bedroom and 1 x 3 bedroom flats with associated cycle and refuse storage. Erection of low level wall boundary wall and Heaver Estate railings/gates to the front boundary.</t>
  </si>
  <si>
    <t>2018/1178</t>
  </si>
  <si>
    <t>conversion</t>
  </si>
  <si>
    <t>Alterations including erection of dormer roof extension to main rear roof and roof extension over part of three-storey back addition, erection of single storey rear/side extension and excavation to enlarge basement including formation of front, side and rear lightwells with grill over in connection with conversion of building into 3 x 1-bedroom, 2 x 2-bedroom and 1 x 3-bedroom flats. Erection of front boundary wall and installaton of Heaver Estate railings and gates.</t>
  </si>
  <si>
    <t>extn to ex</t>
  </si>
  <si>
    <t>2018/1169</t>
  </si>
  <si>
    <t>43 Leverson Street</t>
  </si>
  <si>
    <t>Conversion of the ground floor property from retail (Class A1) to a one-bedroom flat (Class C3 Residential) with access to the rear garden and alterations including new shopfront.</t>
  </si>
  <si>
    <t>2018/1104</t>
  </si>
  <si>
    <t>52 Northcote Road</t>
  </si>
  <si>
    <t>Alterations including erection of rear roof extension to main rear roof, erection of rear extensions at first and second floor level including formation of roof terrace with 1.7m high screen surrounds at first and second floors in connection with the conversion of the upper floor flat into 2 x 2-bedroom flats. Provision of bin/cycle storage.</t>
  </si>
  <si>
    <t>526 Garratt Lane</t>
  </si>
  <si>
    <t>Block B - Constance Court</t>
  </si>
  <si>
    <t>2017/6992</t>
  </si>
  <si>
    <t>24 Romberg Road</t>
  </si>
  <si>
    <t>Demolition of garage and erection of 1 x 2-bedroom two-storey house with associated refuse and cycle storage.</t>
  </si>
  <si>
    <t>2018/1293</t>
  </si>
  <si>
    <t>221 Lower Richmond Road</t>
  </si>
  <si>
    <t>Alterations including formation of rear roof terrace at first floor level in connection with conversion into 1x1, 1x2 and 1x3 bedroom flats with associated refuse storage in front garden; part of boundary wall with no.219 to be raised.</t>
  </si>
  <si>
    <t>2018/1248</t>
  </si>
  <si>
    <t>116 Tooting High Street</t>
  </si>
  <si>
    <t>Alterations including erection of rear roof extension above two-storey back addition, relocation of rear external staircase and alterations to shopfront including new front door in connection with conversion of upper floor flat into 1 x 2-bedroom flat and 1 x 1-bedroom flat.</t>
  </si>
  <si>
    <t>2018/1448</t>
  </si>
  <si>
    <t>1 Chertsey Street</t>
  </si>
  <si>
    <t>Alterations including erection of roof extension including raising the ridge by 400mm to provide a new 1x2 bedroom self-contained flat. Erection of ground floor rear extension; provision of refuse and cycle storage.</t>
  </si>
  <si>
    <t>2018/1076</t>
  </si>
  <si>
    <t>1005 Garratt Lane</t>
  </si>
  <si>
    <t>Conversion of property into 1 x 2-bedroom and 1 x 3-bedroom flats.</t>
  </si>
  <si>
    <t>2017/6252</t>
  </si>
  <si>
    <t>109-111 Eustace Building, Queenstown Road</t>
  </si>
  <si>
    <t>Certificate of Lawful Development (existing use) for the use of 109-111 Eustace Building  as a single residential flat (Class C3).</t>
  </si>
  <si>
    <t>2017/2418</t>
  </si>
  <si>
    <t>1 Penge House, 2 Wye Street</t>
  </si>
  <si>
    <t>The proposals include re-cladding the tower, new windows throughout, the addition of winter gardens to all existing flats (70No. flats), addition of tower pinnacle, reconfiguration of ground floor entrance and five new flats at ground floor level. (4No. two bedroom flats, and 1No. three bedroom)</t>
  </si>
  <si>
    <t>2018/1423</t>
  </si>
  <si>
    <t>5 &amp; 5a, 5 &amp; 5a Kyrle road</t>
  </si>
  <si>
    <t>Alterations including the erection of dormer extension to main rear roof; erection of a part-single/part two-storey rear extension; excavation to form a basement with formation of two front lightwells with grilles over; in connection with the conversion of 2 flats into 2 x 4-bedroom houses.</t>
  </si>
  <si>
    <t>2018/0144</t>
  </si>
  <si>
    <t>34 Putney High Street</t>
  </si>
  <si>
    <t>Alterations including erecton of single to three-storey rear extensions including first floor level rear terraces in connection with use of rear ground floor and upper floors to provide 1 x 1-bed and 2 x 2-bed flats with associated refuse and cycle storage to rear; alterations to shopfront.</t>
  </si>
  <si>
    <t>2018/1377</t>
  </si>
  <si>
    <t>217 Garratt Lane</t>
  </si>
  <si>
    <t>Alterations including erection of part single/part two storey rear/side extension,  in connection with use of front part of ground floor as a shop and the remainder as, 2 x 2-bedroom and 1 x 1-bedroom flats with rear first floor terrace.</t>
  </si>
  <si>
    <t>2018/0126</t>
  </si>
  <si>
    <t>117 Battersea High Street</t>
  </si>
  <si>
    <t>Erection of a fourth floor of accommodation to provide 1 x two-bedroom self-contained flat.</t>
  </si>
  <si>
    <t>Land adjoining 14, Cairns Road</t>
  </si>
  <si>
    <t>2017/0125</t>
  </si>
  <si>
    <t>Ransomes Dock, 35-37 Parkgate Road</t>
  </si>
  <si>
    <t>Erection of five two-storey flats with roof terraces above the existing business units of the Ransomes Dock Business Centre at third floor level.</t>
  </si>
  <si>
    <t>Newcombe House, 319-323 Battersea Park Road</t>
  </si>
  <si>
    <t>New Covent Garden Market, Nine Elms Lane</t>
  </si>
  <si>
    <t>2.1.29</t>
  </si>
  <si>
    <t>220A Queenstown Road</t>
  </si>
  <si>
    <t>2a Sistova Road</t>
  </si>
  <si>
    <t>2018/0378</t>
  </si>
  <si>
    <t>153 Balham Hill</t>
  </si>
  <si>
    <t>Conversion of second and third floor flat to 2 x 1-bedroom flats.</t>
  </si>
  <si>
    <t>2017/4958</t>
  </si>
  <si>
    <t>5 Beechcroft Road</t>
  </si>
  <si>
    <t>Demolition of existing building and erection of a three-storey building to provide 1 x 1-bedroom, 2 x 2-bedroom and 1 x 3-bedroom flats with private amenity area and the use of the ground floor as a community Class D1.</t>
  </si>
  <si>
    <t>2017/3054</t>
  </si>
  <si>
    <t>(rear of 2), 2B Credenhill Street</t>
  </si>
  <si>
    <t>Demolition of existing workshop building and erection of a two-storey 1-bedroom house (fronting Fallsbrook Road) with associated landscaping, cycle and refuse storage.</t>
  </si>
  <si>
    <t>2017/3124</t>
  </si>
  <si>
    <t>252 Upper Richmond Road</t>
  </si>
  <si>
    <t>Alterations to the rear elevation to allow change of part of the ground and basement levels from a shop (Class A1) to a 1 x 2-bedroom flat (Class C3) with rear terrace and external steps.</t>
  </si>
  <si>
    <t>2017/6089</t>
  </si>
  <si>
    <t>Rear of 76, Tooting High Street</t>
  </si>
  <si>
    <t>Demolition of existing garages and erection of a 2-storey, 3-bedroom dwellinghouse with basement and habitable roofspace including a rear mansard roof.</t>
  </si>
  <si>
    <t>174 Battersea Park Road</t>
  </si>
  <si>
    <t>6-10 Mitcham Road</t>
  </si>
  <si>
    <t>Flats 5 to 8, 184 Balham High Road</t>
  </si>
  <si>
    <t>2017/2547</t>
  </si>
  <si>
    <t>Marius Mansions, Marius Road</t>
  </si>
  <si>
    <t>Erection of three-storey side extension to create a 1 x 2 bedroom flat with roof level balcony.</t>
  </si>
  <si>
    <t>180 Northcote Road</t>
  </si>
  <si>
    <t>40-42 Lavender Hill</t>
  </si>
  <si>
    <t>2017/4558</t>
  </si>
  <si>
    <t>99-101 Putney High Street</t>
  </si>
  <si>
    <t>Alterations including erection of rear extensions at second floor and third floor levels in connection with conversion of upper floors from retail (Class A1) to residential (Class C3) to create 4 x 2-bedroom and 1 x 1-bedroom flats;  roof terraces at first and third floor levels; refuse and cycle storage.</t>
  </si>
  <si>
    <t>Ship House, 34-35 Battersea Square</t>
  </si>
  <si>
    <t>Upper floors, 182 Balham High Road</t>
  </si>
  <si>
    <t>Upper floors, 256-258 Upper Tooting Road</t>
  </si>
  <si>
    <t>2017/0811</t>
  </si>
  <si>
    <t>65 Tooting High Street</t>
  </si>
  <si>
    <t>Alterations including erection of roof extension including three dormer windows to front roof slope and balcony and safety railings to the rear in conjunction with the erection of a three-storey rear extension at first, second and third floor levels. Works in conjunction with the conversion of upper floors into 4 x 1-bedroom and 1 x 3-bedroom flats.</t>
  </si>
  <si>
    <t>5.2</t>
  </si>
  <si>
    <t>2018/0080</t>
  </si>
  <si>
    <t>Ford House, 126-128 Wandsworth High Street</t>
  </si>
  <si>
    <t>Alterations, including erection of two-storey extension on top of the existing four-storey building, in connection with the provision of 2 additional two-bedroom flats, including roof terraces.</t>
  </si>
  <si>
    <t>2016/7332</t>
  </si>
  <si>
    <t>30b &amp; 30c</t>
  </si>
  <si>
    <t>30 Putney Hill</t>
  </si>
  <si>
    <t>Alterations including demolition of existing single-storey rear extension, erection of part single, part two-storey rear extension in connection with the retention of dental surgery at basement level and provision of 2 x 1-bedroom flats; erection of replacement front boundary treatment. Internal re-arrangement and reduction in size of two existing flats (one x 1-bedroom and one x 2-bedroom).</t>
  </si>
  <si>
    <t>1-159 Howard Building, 368 Queenstown Road</t>
  </si>
  <si>
    <t>303-307 Balham High Road</t>
  </si>
  <si>
    <t>2017/2817</t>
  </si>
  <si>
    <t>Lock up garages, 26-40 Balham New Road</t>
  </si>
  <si>
    <t>Erection of 8 x 4-bedroom three-storey (plus basement) houses.</t>
  </si>
  <si>
    <t>Garage at, 2a Amies Street</t>
  </si>
  <si>
    <t>2017/1604</t>
  </si>
  <si>
    <t>Demolition of existing garages and erection of single-storey (plus basement) 4-bedroom house; erection of single storey outbuilding; associated landscaping, parking and cycle provision.</t>
  </si>
  <si>
    <t>Land rear of 39, Himley Road</t>
  </si>
  <si>
    <t>3-5 Queensmere Road</t>
  </si>
  <si>
    <t>2017/3823</t>
  </si>
  <si>
    <t>94-94a Longley Road</t>
  </si>
  <si>
    <t>BLOCK A</t>
  </si>
  <si>
    <t>Demolition of existing buildings and erection of two residential buildings:- Block A (front) amended/reduced 02.10.2017 to comprise 5 x 2 bedroom flats (with balconies/terraces on upper floors) ; Block B (rear) amended/reduced 02.10.2017 to comprise 3 x 2 bedroom flats and 1 x 1 bedroom flat (with first floor balconies); associated landscaping/bins and cycle storage..</t>
  </si>
  <si>
    <t>BLOCK B</t>
  </si>
  <si>
    <t>The Forester, 114 Allfarthing Lane</t>
  </si>
  <si>
    <t>Chelsea Bridge Wharf (southern site), Queenstown Road</t>
  </si>
  <si>
    <t>241 Wimbledon Park Road</t>
  </si>
  <si>
    <t>2017/3534</t>
  </si>
  <si>
    <t>Coach House adjoining 83, Mallinson Road</t>
  </si>
  <si>
    <t>Erection of a three-storey (plus basement) 4-bedroom detached house.</t>
  </si>
  <si>
    <t>2017/6883</t>
  </si>
  <si>
    <t>Land rear of 86-90, Chatham Road</t>
  </si>
  <si>
    <t>Alterations including removal of existing mansard roof, raising front and rear elevation walls to second floor level, erection of roof extension to create additional floor of accommodation at third floor level, extension on front elevation to accommodate reconfigured stair and lift core, replacement of 2 front doors with windows, single-storey ground floor rear extensions, second floor rear extension, addition of rear balconies at first, second and third floor levels, existing external metal staircase extended to third floor, addition of secure cycle storage and refuse/recycling storage on forecourt, in connection with conversion of properties to 3 x 3-bedroom and 4 x 2-bedroom flats.</t>
  </si>
  <si>
    <t>2017/5940</t>
  </si>
  <si>
    <t>193-197 Upper Tooting Road</t>
  </si>
  <si>
    <t>Alterations to the ground floor rear elevation; Erection of a first floor rear extension to nos. 193 and 195; Mansard roof extension to main rear roof and above part of two-storey back addition to nos. 193 - 197; and general alterations in connection with the conversion of the property from 3 x 2 bedroom flats to 1 x 2 bedroom, 1 x 3 bedroom and 2 x 2 bedroom flats.</t>
  </si>
  <si>
    <t>2017/5336</t>
  </si>
  <si>
    <t>Flats 1-10</t>
  </si>
  <si>
    <t>Upper floors, 33-37 St Johns Hill</t>
  </si>
  <si>
    <t>Alterations including change of use of the commercial tenancy at 35 St Johns Hill from Sui Generis to D1 involving alterations to shop front; Change of use of the rear part of the site from D1/A2 to C3; Erection of single-storey rear extension to provide 2 x 2 bedroom units; provision of cycle and bin storage.</t>
  </si>
  <si>
    <t>2018/0079</t>
  </si>
  <si>
    <t>130-132 Wandsworth High Street</t>
  </si>
  <si>
    <t>Demolition of existing two-storey building and erection of a six-storey building to provide a commercial unit (for either A1-A5 or D2 use) on the ground floor, and one studio, 6 x 1-bedroom flats; 1 x 2-bedroom flat, with associated roof terraces, on the upper floors.</t>
  </si>
  <si>
    <t>Garages rear of 168, Bedford Hill</t>
  </si>
  <si>
    <t>209 Upper Tooting Road</t>
  </si>
  <si>
    <t>Garden Flat, 127 Trinity Road</t>
  </si>
  <si>
    <t>2017/0340</t>
  </si>
  <si>
    <t>Former Caretaker House, Boyce House, Aldrington Road</t>
  </si>
  <si>
    <t>Demolition of existing structure, and the erection of 1 x 2-bedroom bungalow with private parking and garden, including works to surrounding trees.</t>
  </si>
  <si>
    <t>9-15 Elcho Street</t>
  </si>
  <si>
    <t>2017/3405</t>
  </si>
  <si>
    <t>Workshop rear of 7-9, Aldis Street</t>
  </si>
  <si>
    <t>Demolition of existing and erection of 2 x 3-bedroom houses (single-storey with basements) with associated cycle and refuse storage, car parking and landscaping.</t>
  </si>
  <si>
    <t>211 Garratt Lane</t>
  </si>
  <si>
    <t>2017/3453</t>
  </si>
  <si>
    <t>51 Lydden Grove</t>
  </si>
  <si>
    <t>2017/2585</t>
  </si>
  <si>
    <t>30 Trinity Road</t>
  </si>
  <si>
    <t>Erection of front and rear roof extension to provide an addtional floor accommodation and extension above part of two-storey back addition and conversion of upper floors from 1 x 2 bedroom flats into 2 x 2-bedroom flats.</t>
  </si>
  <si>
    <t>2017/3254</t>
  </si>
  <si>
    <t>Unit 4 Triangle House, 2 Broomhill Road</t>
  </si>
  <si>
    <t>Determination as to whether prior approval is required for change of use of office at ground, first and second floor floor levels from (Class B1a) to residential (Class C3) to provide 1 x 2-bedroom flat and 2 x 1-bedroom flats.</t>
  </si>
  <si>
    <t>6-28 Gwynne Road</t>
  </si>
  <si>
    <t>11 Webbs Road</t>
  </si>
  <si>
    <t>2017/4159</t>
  </si>
  <si>
    <t>Flats a, b &amp; c</t>
  </si>
  <si>
    <t>294 Upper Richmond Road</t>
  </si>
  <si>
    <t>Alterations including excavation to enlarge basement with formation of front lightwell and single-storey rear extension in connection with change of use of rear part of ground floor from restaurant (Class A3) to a 2-bedroom flat (Class C3).</t>
  </si>
  <si>
    <t>99 Mitcham Lane</t>
  </si>
  <si>
    <t>Land rear of 134, Cavendish Road</t>
  </si>
  <si>
    <t>2017/4246</t>
  </si>
  <si>
    <t>149-151 Wandsworth High Street</t>
  </si>
  <si>
    <t>Demolition of building behind a retained facade. Erection of a four-storey building to provide two ground floor retail units with 2 x1-bedroom flats and 2 x 2-bedroom flat above. Formation of two roof terraces.</t>
  </si>
  <si>
    <t>55a Byrne Road</t>
  </si>
  <si>
    <t>66 Fairfield Street</t>
  </si>
  <si>
    <t>Lanterns Lodge, The Lanterns, Bridge Lane</t>
  </si>
  <si>
    <t>1A, 1 Winders Road</t>
  </si>
  <si>
    <t>120 Upper Richmond Road</t>
  </si>
  <si>
    <t>Unit 118 Prospect Quay, 98 Point Pleasant</t>
  </si>
  <si>
    <t>140 Priory Lane</t>
  </si>
  <si>
    <t>2017/5639</t>
  </si>
  <si>
    <t>272 Mitcham Road</t>
  </si>
  <si>
    <t>Alterations including erection of mansard roof extension to main rear roof, erection of rear extension at first floor (with French doors and safety railings) and erection of single storey rear/side extension in connection with creation of 1 x studio flat.</t>
  </si>
  <si>
    <t>5-7 Tooting High Street</t>
  </si>
  <si>
    <t>2017/3661</t>
  </si>
  <si>
    <t>111-113 Upper Toooting Road</t>
  </si>
  <si>
    <t>Alterations including erection of a first floor extension and second floor of accommodation in connection with the conversion of the property from 2 x 3-bedroom flats into 5 x 1-bedroom flats and 1 x 2-bedroom flats.</t>
  </si>
  <si>
    <t>2017/5758</t>
  </si>
  <si>
    <t>1 Lavender Sweep</t>
  </si>
  <si>
    <t>Determination as to whether prior approval is required for change of use of offices (Class B1a) to residential (Class C3) to provide 4 x 1-bedroom flats.</t>
  </si>
  <si>
    <t>1 Withycombe Road</t>
  </si>
  <si>
    <t>The Crown Hotel, 102 Lavender Hill</t>
  </si>
  <si>
    <t>Reef House, Coral Row</t>
  </si>
  <si>
    <t>1A Dinsmore Road</t>
  </si>
  <si>
    <t>3 &amp; 4 The Boulevard, Balham High Road</t>
  </si>
  <si>
    <t>36 Lavender Hill</t>
  </si>
  <si>
    <t>100 Trinity Road</t>
  </si>
  <si>
    <t>2017/2169</t>
  </si>
  <si>
    <t>272-274 Battersea Park road</t>
  </si>
  <si>
    <t>Alterations including erection of dormer roof extension to the rear and creation of roof terrace at third floor level with 1.7m glazed safety screen surround in connection with formation of new 1 x 2-bedroom flat; and insertion of rooflights into the front roofslope.</t>
  </si>
  <si>
    <t>3-4 Podmore Road</t>
  </si>
  <si>
    <t>Erection of a three-storey building (plus basement level with front and rear lightwells) to provide 6 residential flats (1 x 3-bedroom, 2 x 2-bedroom and 3 x 1-bedrooms units) with balconies to the rear and roof terraces to front/side/rear, and associated cycling and refuse storage.</t>
  </si>
  <si>
    <t>206-208 &amp; 2A Stella Road, Mitcham Road</t>
  </si>
  <si>
    <t>2017/6879</t>
  </si>
  <si>
    <t>5 Laitwood Road</t>
  </si>
  <si>
    <t>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t>
  </si>
  <si>
    <t>58a Selkirk Road</t>
  </si>
  <si>
    <t>26 Woodborough Road</t>
  </si>
  <si>
    <t>Land south of 75, 75 Alston Road</t>
  </si>
  <si>
    <t>76 Queenstown Road</t>
  </si>
  <si>
    <t>2017/5094</t>
  </si>
  <si>
    <t>915 Garratt Lane</t>
  </si>
  <si>
    <t>Alterations including the demolition of the existing ground floor rear garage and the erection of a single storey rear extension and a single storey rear extension at first floor level in connection with change of use of rear of ground floor from retail (Class A1) to residential (Class C3) to provide one bedroom flat and internal alterations to the first floor flat.</t>
  </si>
  <si>
    <t>507 Battersea Park Road</t>
  </si>
  <si>
    <t>16 Roehampton Gate</t>
  </si>
  <si>
    <t>19 Elm Quay Court, Nine Elms Lane</t>
  </si>
  <si>
    <t>Centre Square 1-9, 1 Hardwicks Square</t>
  </si>
  <si>
    <t>Land rear of, 76-77 Stanley Grove</t>
  </si>
  <si>
    <t>Heliport House, 38 Lombard Road</t>
  </si>
  <si>
    <t>11 Thrale Road</t>
  </si>
  <si>
    <t>Vacant land r/o, 14 Chivalry Road</t>
  </si>
  <si>
    <t>2017/3067</t>
  </si>
  <si>
    <t>Determination as to whether prior approval is required for change of use of offices on part first and second floor levels from (Class B1a)  to residential (Class C3) to provide 3 x 2-bedroom, 3 x 1-bedroom and 1 x studio flats.</t>
  </si>
  <si>
    <t>2018/0001</t>
  </si>
  <si>
    <t>27 Sainfoin Road</t>
  </si>
  <si>
    <t>Erection of mansard extension to main rear roof (with French doors and safety railings) and single storey rear/side extension, in connection with conversion of property into 1 x 3-bedroom and 2 x 2-bedroom flats.</t>
  </si>
  <si>
    <t>C85 &amp; C86 Albion Riverside Building, 8 Hester Road</t>
  </si>
  <si>
    <t>Unit 2 Windward House, Square Rigger Row</t>
  </si>
  <si>
    <t>2017/3103</t>
  </si>
  <si>
    <t>Units 21,22 &amp; 23 Ransomes Dock, 35-37 Parkgate Road</t>
  </si>
  <si>
    <t>Determination as to whether prior approval is required for change of use of office at first floor level from (Class B1a) to residential (Class C3) to provide 1 x 2-bedroom and 1 x 1-bedroom flats.</t>
  </si>
  <si>
    <t>2017/3565</t>
  </si>
  <si>
    <t>135 Wandsworth High Street</t>
  </si>
  <si>
    <t>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t>
  </si>
  <si>
    <t>Neals Farm Cottage and The Lodge, Dorlcote Road</t>
  </si>
  <si>
    <t>7 Lavender Hill</t>
  </si>
  <si>
    <t>2017/1395</t>
  </si>
  <si>
    <t>Alterations including erection of roof extension to create additional floor of accommodation in connection with conversion of property into 3 x 1-bedroom flats.</t>
  </si>
  <si>
    <t>330-336 Southcroft Road</t>
  </si>
  <si>
    <t>49 Gilbey Road</t>
  </si>
  <si>
    <t>1 Effort Street</t>
  </si>
  <si>
    <t>Unit F The Mews, 6 Putney Common</t>
  </si>
  <si>
    <t>1 Putney Wharf Tower, Brewhouse Lane</t>
  </si>
  <si>
    <t>116 Upper Richmond Road</t>
  </si>
  <si>
    <t>166 Battersea Park Road</t>
  </si>
  <si>
    <t>Land south of and west of 5 St James Drive, 124 Trinity Road</t>
  </si>
  <si>
    <t>2014/4301</t>
  </si>
  <si>
    <t>and 2-24 Mendip Road, 1-9 Chatfield Road</t>
  </si>
  <si>
    <t>Demolition of existing building, excavation to form two floors of basement accommodation and construction of four floors above ground to create new six storey building, to be used for vehicle storage, including kitchen facility on Chatfield Road frontage and three split level ancillary residential units.</t>
  </si>
  <si>
    <t>10.6</t>
  </si>
  <si>
    <t>Battersea Gasholder, 101 Prince of Wales Drive</t>
  </si>
  <si>
    <t>2.1.4</t>
  </si>
  <si>
    <t>1 Leeward House, Square Rigger Row</t>
  </si>
  <si>
    <t>Units 2, 3, 4, 5, 6, &amp; 7 Leeward House, Square Rigger Row</t>
  </si>
  <si>
    <t>East &amp; West 1,2,3,4, &amp; 8, Square Rigger Row</t>
  </si>
  <si>
    <t>Units 3,4,5,6,7, &amp; 8 Windward House, Square Rigger Row</t>
  </si>
  <si>
    <t>13 &amp; 14, Battersea Square</t>
  </si>
  <si>
    <t>593 Garratt Lane</t>
  </si>
  <si>
    <t>Garages in, Heathwall Street</t>
  </si>
  <si>
    <t>26 Lavender Hill</t>
  </si>
  <si>
    <t>2017/6710</t>
  </si>
  <si>
    <t>21A Upper Tooting Road</t>
  </si>
  <si>
    <t>Alterations including erection of first floor rear extension, mansard roof extension to main rear roof and extension above part of two-storey back addition to form 2 x 1-bedroom flats and 1 studio flat.</t>
  </si>
  <si>
    <t>6A Bank Buildings, Mitcham Lane</t>
  </si>
  <si>
    <t>2017/0406</t>
  </si>
  <si>
    <t>rear of, 135 Mitcham Road</t>
  </si>
  <si>
    <t>Change of use from office (Class B1) to 1 x 1-bedroom dwelling (Class C3) and alterations including erection of first floor extension..</t>
  </si>
  <si>
    <t>152 Cavendish Road</t>
  </si>
  <si>
    <t>Land rear of 286, 286 Upper Richmond Road</t>
  </si>
  <si>
    <t>31 &amp; 32 Centurion Building, 376 Queenstown Road</t>
  </si>
  <si>
    <t>26 Roedean Crescent</t>
  </si>
  <si>
    <t>2 Balham Grove</t>
  </si>
  <si>
    <t>St Goar Cottage, Manfred Road</t>
  </si>
  <si>
    <t>147 Northcote Road</t>
  </si>
  <si>
    <t>173 Battersea Church Road</t>
  </si>
  <si>
    <t>493 Garratt Lane</t>
  </si>
  <si>
    <t>193 Lower Richmond Road</t>
  </si>
  <si>
    <t>139 Upper Richmond Road</t>
  </si>
  <si>
    <t>Unit D The Mews, 6 Putney Common</t>
  </si>
  <si>
    <t>53 Cromford Road</t>
  </si>
  <si>
    <t>2017/6753</t>
  </si>
  <si>
    <t>158 Battersea High Street</t>
  </si>
  <si>
    <t>Alterations include the erection of a two-storey extension in connection with the formation of a 1 x2-bedroom duplex flat.</t>
  </si>
  <si>
    <t>250 Upper Tooting Road</t>
  </si>
  <si>
    <t>Unit 16 Mandeville Courtyard, 142 Battersea Park Road</t>
  </si>
  <si>
    <t>Unit B The Mews, 6 Putney Common</t>
  </si>
  <si>
    <t>Unit C The Mews, 6 Putney Common</t>
  </si>
  <si>
    <t>22 Erpingham Road</t>
  </si>
  <si>
    <t>3 Roedean Crescent</t>
  </si>
  <si>
    <t>2017/2748</t>
  </si>
  <si>
    <t>6 Broadwater Road</t>
  </si>
  <si>
    <t>Demolition of commercial properties and erection of three - storey building (plus roof terrace) to provide 1 x two bedroom &amp; 2 x one bedroom flats, with associated landscaping and refuse stores.</t>
  </si>
  <si>
    <t>Royal Victoria Patriotic Building, John Archer Way</t>
  </si>
  <si>
    <t>Redgarth &amp; Carrick Court 162 &amp; 164, 162-164 Longley Road</t>
  </si>
  <si>
    <t>184 Lavender Hill</t>
  </si>
  <si>
    <t>Phoenix Members Bar Club, 37 Groom Crescent</t>
  </si>
  <si>
    <t>203 Replingham Road</t>
  </si>
  <si>
    <t>Land rear of 69-75, 69-75 Upper Tooting Road</t>
  </si>
  <si>
    <t>Unit E The Mews, 6 Putney Common</t>
  </si>
  <si>
    <t>259 Putney Bridge Road</t>
  </si>
  <si>
    <t>156 Putney High Street</t>
  </si>
  <si>
    <t>5 St Georges Court, 131 Putney Bridge Road</t>
  </si>
  <si>
    <t>Change of Use from Office [class B1] to Residential [class C3] in connection with the provision of a one- bedroom flat.</t>
  </si>
  <si>
    <t>615 Garratt Lane</t>
  </si>
  <si>
    <t>The Bricklayers Arms, 32 Waterman Street</t>
  </si>
  <si>
    <t>Land east of 11-13 (11A), 11-13 Stanmer Street</t>
  </si>
  <si>
    <t>7 The Boulevard, Balham High Road</t>
  </si>
  <si>
    <t>46 Rowfant Road</t>
  </si>
  <si>
    <t>Rear of 66-68, 66-68 St Johns Road</t>
  </si>
  <si>
    <t>826 Garratt Lane</t>
  </si>
  <si>
    <t>First &amp; Second Floors, 13a Northcote Road</t>
  </si>
  <si>
    <t>187 Battersea Bridge Road</t>
  </si>
  <si>
    <t>213 Upper Richmond Road</t>
  </si>
  <si>
    <t>2017/6628</t>
  </si>
  <si>
    <t>503 Garratt Lane</t>
  </si>
  <si>
    <t>Alterations including erection of mansard roof extension (with french doors to access roof terrace); erection of two-storey rear extension (first and second floors) above basement and ground floor covered void area, including roof terrace at second floor level with 1.7m glazed surround in connection with provision of 1 x 2-bedroom and 2 x 1-bedroom flats.</t>
  </si>
  <si>
    <t>21 Roehampton Gate</t>
  </si>
  <si>
    <t>63 Roehampton Lane</t>
  </si>
  <si>
    <t>Flat A, 94 Mitcham Road</t>
  </si>
  <si>
    <t>74 Lightermans Walk</t>
  </si>
  <si>
    <t>219 Lower Richmond Road</t>
  </si>
  <si>
    <t>56-70, 56-66 Putney High Street</t>
  </si>
  <si>
    <t>6.1.1</t>
  </si>
  <si>
    <t>Marco Polo House, 346 Queenstown Road</t>
  </si>
  <si>
    <t>2.1.5</t>
  </si>
  <si>
    <t>72 Girdwood Road</t>
  </si>
  <si>
    <t>63a, 63a West Hill</t>
  </si>
  <si>
    <t>maisonette first and second floors, 79 Thrale Road</t>
  </si>
  <si>
    <t>31 Eckstein Road</t>
  </si>
  <si>
    <t>2018/0255</t>
  </si>
  <si>
    <t>47 Yvon House, Alexandra Avenue</t>
  </si>
  <si>
    <t>Alterations in connection with conversion of existing flat into 1 x  2-bedroom and 1 x 3-bedroom flats and the creation of a roof terrace at third floor level.</t>
  </si>
  <si>
    <t>Ground floor, 72 Upper Tooting Road</t>
  </si>
  <si>
    <t>Ground floor, 41 West Hill</t>
  </si>
  <si>
    <t>Ground floor, 43 West Hill</t>
  </si>
  <si>
    <t>Ground Floor, 39 West Hill</t>
  </si>
  <si>
    <t>7 Rayners Road</t>
  </si>
  <si>
    <t>2017/4253</t>
  </si>
  <si>
    <t>Earlsfield House, 1 Swaffield Road</t>
  </si>
  <si>
    <t>Erection of a three-storey side extension to provide a 3-bedroom town house with alterations as part of change of use of Earlsfield House to provide 4 x 2-bedroom residential units.</t>
  </si>
  <si>
    <t>68a, Kelmscott Road</t>
  </si>
  <si>
    <t>34 Roehampton Gate</t>
  </si>
  <si>
    <t>256 &amp; 262, Wimbledon Park Road</t>
  </si>
  <si>
    <t>7-12 Elmfield Mansions, Elmfield Road</t>
  </si>
  <si>
    <t>14 Roedean Crescent</t>
  </si>
  <si>
    <t>Ram Brewery, Capital Studios &amp; Duvall Works, Ram Street/Armoury Way/Wandsworth High Street</t>
  </si>
  <si>
    <t>3.1.2</t>
  </si>
  <si>
    <t>Units 5, 6 and 14 Ransomes Dock Business Centre, 35-37 Parkgate Road</t>
  </si>
  <si>
    <t>15 West Hill</t>
  </si>
  <si>
    <t>Garage south of, 99 Ellerton Road</t>
  </si>
  <si>
    <t>52 Oakmead Road</t>
  </si>
  <si>
    <t>Keswick Heights 28, 28 Keswick Road</t>
  </si>
  <si>
    <t>Rear of 67, 67 Webbs Road</t>
  </si>
  <si>
    <t>13 Granard Avenue</t>
  </si>
  <si>
    <t>339 Battersea Park Road</t>
  </si>
  <si>
    <t>6 &amp; 7, Square Rigger Row</t>
  </si>
  <si>
    <t>92a, 92A Balham High road</t>
  </si>
  <si>
    <t>30 Harvard Mansions, St Johns Hill</t>
  </si>
  <si>
    <t>2017/5515</t>
  </si>
  <si>
    <t>2 Umbria Street</t>
  </si>
  <si>
    <t>Alterations including partial demolition of outbuilding and erection of a single-storey extension plus basement in connection with use as a three bedroom house; associated landscaping, pedestrian gate to Nepean Street and cycle and refuse storage.</t>
  </si>
  <si>
    <t>162a, Mitcham road</t>
  </si>
  <si>
    <t>Aminah Mansions 55F, Tooting High Street</t>
  </si>
  <si>
    <t>6 Princes Way</t>
  </si>
  <si>
    <t>Belvedere Court 372-374, 372-374 Upper Richmond Road</t>
  </si>
  <si>
    <t>25 West Hill Road</t>
  </si>
  <si>
    <t>33-35 Ursula Street</t>
  </si>
  <si>
    <t>Brathway Hall, Brathway Road</t>
  </si>
  <si>
    <t>Ground Floor, 83 Mitcham Lane</t>
  </si>
  <si>
    <t>Unit 5 Old School House, Bridge Lane</t>
  </si>
  <si>
    <t>2016/3940</t>
  </si>
  <si>
    <t>1 Groom Crescent</t>
  </si>
  <si>
    <t>Demolition of existing garden shed and erection of a two-storey (plus accommodation at roof level)  house within side garden.</t>
  </si>
  <si>
    <t>29 Roehampton Lane</t>
  </si>
  <si>
    <t>Rear of 96-100  (garages at Holmbury Court), 96-100 Upper Tooting Road</t>
  </si>
  <si>
    <t>Garages rear of 21, Granard Avenue</t>
  </si>
  <si>
    <t>2017/3137</t>
  </si>
  <si>
    <t>37 Oldridge Road</t>
  </si>
  <si>
    <t>Demolition of existing building and erection of a four-storey building to provide 1 x studio, 1 x 1-bedroom and 2 x 2 bedroom flats, the erection of  a single-storey (plus basement) 1-bedroom house; associated cycle and refuse storage.</t>
  </si>
  <si>
    <t>1 Pendle Road</t>
  </si>
  <si>
    <t>17 Woodborough Road</t>
  </si>
  <si>
    <t>Units 14 to 19 Blades Court, 121 Deodar Road</t>
  </si>
  <si>
    <t>Studio 1 Dovedale Studios, 465 Battersea Park road</t>
  </si>
  <si>
    <t>Studio 2 Dovedale Studios, 465 Battersea Park Road</t>
  </si>
  <si>
    <t>Studio 4 Dovedale Studios, 465 Battersea Park Road</t>
  </si>
  <si>
    <t>Studio 5 Dovedale Studios, 465 Battersea Park Road</t>
  </si>
  <si>
    <t>12 Colinette Road</t>
  </si>
  <si>
    <t>39-43 and 39-43a, 39 West Hill</t>
  </si>
  <si>
    <t>49a, 49a Tooting High Street</t>
  </si>
  <si>
    <t>19 Manchuria Road</t>
  </si>
  <si>
    <t>302-304, 302-304 Cavendish Road</t>
  </si>
  <si>
    <t>66 North Side Wandsworth Common</t>
  </si>
  <si>
    <t>2017/0975</t>
  </si>
  <si>
    <t>501 Battersea Park Road</t>
  </si>
  <si>
    <t>Alterations including erection of mansard roof extension to main roof and erection of part two, part three, part four-storey rear extension to provide 5 new residential units ( 2 x 1 and 2 x 2 and a studio) including formation of roof terrace with safety screen at 2nd floor level.</t>
  </si>
  <si>
    <t>128-130, 128 Balham High Road</t>
  </si>
  <si>
    <t>Ground and basement 190a, 190a Trinity Road</t>
  </si>
  <si>
    <t>102 Wakehurst Road</t>
  </si>
  <si>
    <t>189b, 189b Balham High Road</t>
  </si>
  <si>
    <t>197a, 197a Wandsworth High Street</t>
  </si>
  <si>
    <t>20 Spencer Park</t>
  </si>
  <si>
    <t>167B, 167 Latchmere Road</t>
  </si>
  <si>
    <t>28 Harvard Mansions, St Johns Hill</t>
  </si>
  <si>
    <t>26 Harvard Mansions, St Johns Hill</t>
  </si>
  <si>
    <t>122 Clapham Common West Side</t>
  </si>
  <si>
    <t>111-113, 111-113 Deodar Road</t>
  </si>
  <si>
    <t>2017/5378</t>
  </si>
  <si>
    <t>14 Gayville Road</t>
  </si>
  <si>
    <t>Alterations including erection of mansard roof extension to main rear roof including formation of roof terrace with 1.7m high screen surround. Erection of single-storey rear/side extension and excavation to enlarge basement including formation of front, rear and side lightwells with grilles over in connection with the conversion of property into 2 x-3 bedroom flats with associated cycle and refuse storage.</t>
  </si>
  <si>
    <t>2017/2906</t>
  </si>
  <si>
    <t>228 Mitcham Road</t>
  </si>
  <si>
    <t>Alterations including erection of a three-storey rear extension plus mansard roof extension to main rear roof and over rear extension, erection of a single storey rear/side extension, enlargement of basement including formation of front lighwell and excavation of rear garden, landscaping works and alterations in connection with conversion of building into 3 x 3-bedroom and 2 x 2-bedroom flats.</t>
  </si>
  <si>
    <t>25/25a, 25/25a St Johns Avenue</t>
  </si>
  <si>
    <t>163-165, 163-165 Balham High Road</t>
  </si>
  <si>
    <t>Ground floor flat, 38a Upper Richmond Road</t>
  </si>
  <si>
    <t>78 Earlsfield Road</t>
  </si>
  <si>
    <t>298 Battersea Park Road</t>
  </si>
  <si>
    <t>2017/2588</t>
  </si>
  <si>
    <t>212 Tooting High Street</t>
  </si>
  <si>
    <t>Change of use of lower ground and upper ground floors from Financial &amp; Professional services (Use Class A2) to residential (Use Class C3) to create 2 x 1-bedroom self-contained flats. External alterations to shopfront and erection of part single storey / part two storey rear extension at lower ground and ground floor levels with balcony and external staircase from ground level to lower ground level, formation of rear lightwell and alterations to rear yard including new boundary treatment, installation of bin store and cycle racks.</t>
  </si>
  <si>
    <t>2017/2903</t>
  </si>
  <si>
    <t>528-536, 528-536 Garratt Lane</t>
  </si>
  <si>
    <t>Demolition of existing building and erection of a part three, part four-storey building to provide retail unit at ground floor (Class A1) and 6 x 2-bedroom and 2 x 1-bedroom flats (Class C3) on the upper floors with balconies and terraces and provision for associated cycle parking, refuse storage and boundary treatment. [Amendments to fourth storey].</t>
  </si>
  <si>
    <t>2017/4859</t>
  </si>
  <si>
    <t>56 Brookwood Road</t>
  </si>
  <si>
    <t>Alterations to front elevation in connection with change of use from retail shop (Class A1) to residential (Class C3) to provide three-bedroom dwelling house.</t>
  </si>
  <si>
    <t>191a, 191 Upper Tooting Road</t>
  </si>
  <si>
    <t>Garages and parking spaces 57-84, 57-84 Gideon Road</t>
  </si>
  <si>
    <t>189 Balham High Road</t>
  </si>
  <si>
    <t>2017/2016</t>
  </si>
  <si>
    <t>6 Rayners Road</t>
  </si>
  <si>
    <t>Alterations in connection with conversion of building into 1 x 1-bedroom and 1 x 4-bedroom units.</t>
  </si>
  <si>
    <t>Flats 508 and 509, 334 Queenstown Road</t>
  </si>
  <si>
    <t>Apartments 57 &amp; 58, 5 Riverlight Quay</t>
  </si>
  <si>
    <t>22 Kersley Street</t>
  </si>
  <si>
    <t>153-159, 153-159 Putnet High Street</t>
  </si>
  <si>
    <t>Boyce House, Aldrington Road</t>
  </si>
  <si>
    <t>127 Roehampton Vale</t>
  </si>
  <si>
    <t>Busby House, Aldrington Road</t>
  </si>
  <si>
    <t>Grierson House, Aldrington Road</t>
  </si>
  <si>
    <t>64-64c, 64-64c Battersea Rise</t>
  </si>
  <si>
    <t>Land east and sport court west  of 27-48, 27-48 Tyneham Close</t>
  </si>
  <si>
    <t>Spice Court, Ivory Square</t>
  </si>
  <si>
    <t>B and Q Depot, Smugglers Way</t>
  </si>
  <si>
    <t>3.7</t>
  </si>
  <si>
    <t>Shenstone House, Aldrington Road</t>
  </si>
  <si>
    <t>152 Ramsden Road</t>
  </si>
  <si>
    <t>Port House, Square Rigger Row</t>
  </si>
  <si>
    <t>118 Putney High Street</t>
  </si>
  <si>
    <t>Unit 3 Taylors Yard, 67 Alderbrook Road</t>
  </si>
  <si>
    <t>2017/6508</t>
  </si>
  <si>
    <t>88A Northcote Road</t>
  </si>
  <si>
    <t>Alterations including erection of mansard roof extension to main rear roof. Erection of first floor and second floor rear extensions; formation of roof terraces at first and second floor levels and conversion of flat into 1 x 1-bedroom &amp; 1 x 2-bedroom flats.</t>
  </si>
  <si>
    <t>6 Leacroft Avenue</t>
  </si>
  <si>
    <t>2016/7186</t>
  </si>
  <si>
    <t>The Platt Christian Centre, Felsham Road</t>
  </si>
  <si>
    <t>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t>
  </si>
  <si>
    <t>2017/2506</t>
  </si>
  <si>
    <t>106-108, 106-108 Tooting High Street</t>
  </si>
  <si>
    <t>Erection of third floor extension to form 1 x 1-bedroom flat.</t>
  </si>
  <si>
    <t>2017/1544</t>
  </si>
  <si>
    <t>5a, 5 Fontenoy Road</t>
  </si>
  <si>
    <t>Alterations including erection of mansard roof extension, erection of roof extension and formation of terrace with screen surround above two-storey back addition in connection with creation of 3-bedroom flat.</t>
  </si>
  <si>
    <t>97A Mayford Road</t>
  </si>
  <si>
    <t>2017/3252</t>
  </si>
  <si>
    <t>Basement and Ground Floor, 902 Garratt Lane</t>
  </si>
  <si>
    <t>Determination as to whether prior approval is required for change of use from retail (Class A1) to residential (Class C3).</t>
  </si>
  <si>
    <t>2017/2023</t>
  </si>
  <si>
    <t>166 Upper Richmond Road</t>
  </si>
  <si>
    <t>Demolition of existing 5-storey office building and construction of a new 6-storey (plus lower-ground floor) mixed-use building with office space at lower-ground and ground floors and 5 x 2 bed residential flats above (1 x unit per floor level)</t>
  </si>
  <si>
    <t>2017/6216</t>
  </si>
  <si>
    <t>17 Strathblaine Road</t>
  </si>
  <si>
    <t>Alterations including erection of mansard roof extension to main rear roof (with French doors and safety railings) including raising the ridge by 0.15m and extension above three-storey back addition including formation of rear roof terrace at third floor level; railings to the first floor roof terrace to be replaced with a glazed balustrade; erection of single-storey rear/side extension;  All works in relation to the conversion of the building into 1 x 1 bedroomed and 2 x 3 bedroomed flats.</t>
  </si>
  <si>
    <t>2017/2071</t>
  </si>
  <si>
    <t>11 Balmuir Gardens</t>
  </si>
  <si>
    <t>Conversion of property from two flats into a single dwelling house. Erection of single-storey rear/side extension. Alteration to the location of the ground floor front door.</t>
  </si>
  <si>
    <t>2017/1165</t>
  </si>
  <si>
    <t>72 Oakmead Road</t>
  </si>
  <si>
    <t>Alterations including erection of mansard roof extension to main rear roof and over part of two storey back addition, formation of roof terrace over part of two storey back addition with 1.7m screen surround, and internal alterations in connection with creation of 1 x 1-bedroom flat.  Provision of cycle storage and bin storage to front.</t>
  </si>
  <si>
    <t>Peabody Estate, St Johns Hill</t>
  </si>
  <si>
    <t>4.1.5</t>
  </si>
  <si>
    <t>2017/4209</t>
  </si>
  <si>
    <t>Alterations in connection with conversion of first floor flat into 1 x 1-bedroom and 1 x studio flats.</t>
  </si>
  <si>
    <t>2017/2123</t>
  </si>
  <si>
    <t>22 Bangalore Street</t>
  </si>
  <si>
    <t>Demolition of single storey extension and garage and erection of 1 x 2-bedroom two-storey house; associated alterations including landscaping, refuse and cycle storage.</t>
  </si>
  <si>
    <t>2017/0288</t>
  </si>
  <si>
    <t>20 Drakefield Road</t>
  </si>
  <si>
    <t>Demolition of existing roof and rear elevation. Retention of the existing front facade in connection with the re-building of two-storey dwelling house with additional dormer roof extension, single storey rear extension and alterations to rear first floor bay window.</t>
  </si>
  <si>
    <t>2017/2629</t>
  </si>
  <si>
    <t>26 Battersea Rise</t>
  </si>
  <si>
    <t>Erection of mansard roof extension to main rear roof and extension above two-storey back addition to form 1 x 1-bedroom flat.</t>
  </si>
  <si>
    <t>2018/0109</t>
  </si>
  <si>
    <t>Land adjacent, 1 Charlmont Road</t>
  </si>
  <si>
    <t>Erection of a two-storey 2-bedroom dwellinghouse with associated boundary treatment, bin storage and bike storage.</t>
  </si>
  <si>
    <t>2017/2605</t>
  </si>
  <si>
    <t>487 Merton Road</t>
  </si>
  <si>
    <t>Determination as to whether prior approval is required for change of use from retail (Class A1) to 1 x 2-bedroom flat (Class C3) with associated external alterations to front elevations.</t>
  </si>
  <si>
    <t>2017/4993</t>
  </si>
  <si>
    <t>108 Mitcham road</t>
  </si>
  <si>
    <t>Alterations including erection of two storey rear extension and erection of mansard roof extension to create additional floor of accommodation in connection with conversion of existin 2 x 3-bedroom flats to 4 x 1-bedroom flats.</t>
  </si>
  <si>
    <t>2017/1887</t>
  </si>
  <si>
    <t>Wardens Office and Club Room, 280-308 Cortis Road</t>
  </si>
  <si>
    <t>Alterations in connection with change of use of Warden's office and club room (Sui Generis) to residential (Class C3) to provide 2 x 1-bedroom flats.</t>
  </si>
  <si>
    <t>2017/2623</t>
  </si>
  <si>
    <t>141 Sellincourt Road</t>
  </si>
  <si>
    <t>Alterations including erection of mansard roof extension to main rear roof (with French doors and safety railings) and extension above part of two-story back addition; formation of roof terrace above two-storey back addition with 1.8m high screen surround in connection with creation of a self-contained unit at roof level.</t>
  </si>
  <si>
    <t>2017/5495</t>
  </si>
  <si>
    <t>57 Louisville Road</t>
  </si>
  <si>
    <t>Alterations including erection of mansard roof extension (with French doors and safety railings) and erection of single-storey side/rear extension in connection with the change of use of the property from HMO (Class Sui Generis) into 1 x 1-bedroom, 1 x 2-bedroom and 1 x 3-bedroom flats (Class C3) with associated cycle and refuse storage.  Alterations and restoration of front elevation and front boundary treatment.</t>
  </si>
  <si>
    <t>2017/2950</t>
  </si>
  <si>
    <t>53 Magdalen Road</t>
  </si>
  <si>
    <t>Alterations including erection of hip to gable and rear dormer roof extensions;  erection of single-storey rear extension; insertion of roof lights in front and rear roof slopes; installation of replacement and additional rear windows at first floor level with French doors with safety railing; insertion of replacement window in front elevation at first floor level;  All works in connection with the converison of the property to a 1 x 3-bedroomed unit, 1 x 2-bedroomed unit and 1 x studio flat with associated landscaping, cycle and refuse storage in front garden.</t>
  </si>
  <si>
    <t>2017/3404</t>
  </si>
  <si>
    <t>179 Battersea Park road</t>
  </si>
  <si>
    <t>Erection of three storey rear extension and side extension on the third floor and conversion of basement into shop storage.</t>
  </si>
  <si>
    <t>2.1.30</t>
  </si>
  <si>
    <t>2017/2787</t>
  </si>
  <si>
    <t>Flat 89 Prince of Wales Mansions, Prince of Wales Drive</t>
  </si>
  <si>
    <t>Conversion of existing apartment into 2 x 2-bedroom apartments</t>
  </si>
  <si>
    <t>2017/3427</t>
  </si>
  <si>
    <t>Erection of mansard roof on rear of main roof, mansard roof on part of three storey back addition and installation of three rooflights in front roofslope - all to enable formation of 1 x 2 bedroom roof-top flat.</t>
  </si>
  <si>
    <t>2017/3556</t>
  </si>
  <si>
    <t>40 Lindore Road</t>
  </si>
  <si>
    <t>Alterations including erection of single storey rear/side extension, excavation to enlarge basement, excavation of rear garden and front and side lightwells in connection with creation of 1 x 2-bedroom flat.</t>
  </si>
  <si>
    <t>2017/3527</t>
  </si>
  <si>
    <t>238a, 238a Balham High Road</t>
  </si>
  <si>
    <t>Alterations including two-storey extension above rear addition and conversion of property to 1 x 1 bedroom flat and 1 x 2 bedroom flats.</t>
  </si>
  <si>
    <t>2017/4296</t>
  </si>
  <si>
    <t>107 Allfarthing Lane</t>
  </si>
  <si>
    <t>Determination as to whether prior approval is required for change of use from retail (Class A1) to 1 x 1-bedroom flat and 1 studio flat (Class C3).</t>
  </si>
  <si>
    <t>2017/3835</t>
  </si>
  <si>
    <t>1 The Pleasance</t>
  </si>
  <si>
    <t>Alterations including erection of rear dormer and single-storey rear extension.</t>
  </si>
  <si>
    <t>2017/3458</t>
  </si>
  <si>
    <t>27 Culverden Road</t>
  </si>
  <si>
    <t>Conversion of 3 flats to form one family dwelling  (6 bedrooms). Erection of single-storey side/rear extensions.</t>
  </si>
  <si>
    <t>2017/4039</t>
  </si>
  <si>
    <t>41 Eglantine Road</t>
  </si>
  <si>
    <t>Alterations including erection of front boundary gate and railings in connection with use as a single dwellinghouse.</t>
  </si>
  <si>
    <t>2017/4370</t>
  </si>
  <si>
    <t>26 Thurleigh Road</t>
  </si>
  <si>
    <t>Erection of dormer roof extensions to main rear roof and single-storey rear extension; _x000D_
Excavation to create an enlarge basement including formation of front lightwell with grille over in connection with conversion of three flats into 5-bedroom house. Installation of replacement timber windows to front and removal first floor rear to timber french door and safety railings.</t>
  </si>
  <si>
    <t>2017/4326</t>
  </si>
  <si>
    <t>14 Valonia Gradens</t>
  </si>
  <si>
    <t>Demolition of existing detached dwellinghouse and the erection of a replacement two-storey (plus roof accomodation) 4-bedroom detached dwellinghouse.</t>
  </si>
  <si>
    <t>2017/4487</t>
  </si>
  <si>
    <t>96 Trinity Road</t>
  </si>
  <si>
    <t>Alterations including the erection of mansard extension to main rear roof (with french doors and safety railings) and single storey side/rear extension, in connection with conversion of property into 1 x 1 bedroom, 1 x 2-bedroom and 1 x 3-bedroom flats.</t>
  </si>
  <si>
    <t>2017/3316</t>
  </si>
  <si>
    <t>Demolition of existing buildings in association with an MOT garage. Erection of a three-storey building to create 3 x 2-bedroom flats; erection of two-storey building to create 2 x1-bedroom flats and erection of 2 x two-storey 2-bedroom houses and 1 x two-storey 3-bedroom house with associated landscaping, refuse and cycle storage._x000D_
_x000D_
Amendments:_x000D_
Additional drawings/information has been submitted in regard to existing and proposed relationships with neighbouring residential properties, waste storage and vehicular access.</t>
  </si>
  <si>
    <t>HOUSE 1</t>
  </si>
  <si>
    <t>HOUSE 2</t>
  </si>
  <si>
    <t>HOUSE 3</t>
  </si>
  <si>
    <t>2017/4020</t>
  </si>
  <si>
    <t>104 Streathbourne Road</t>
  </si>
  <si>
    <t>Erection of single-storey rear extension and conversion of property to 1 x 3-bedroom and 2 x 2-bedroom flats.</t>
  </si>
  <si>
    <t>2017/4231</t>
  </si>
  <si>
    <t>78 Tooting Bec Road</t>
  </si>
  <si>
    <t>Alterations including erection of mansard roof extension to main rear roof (with French doors and safety railings) and extension above part of two-storey back addition; formation of roof terrace above two-storey back addition with 1.7m high screen surround in connection with conversion of property into 1 x 1-bedroom flat.</t>
  </si>
  <si>
    <t>2017/5308</t>
  </si>
  <si>
    <t>96 Moyser Road</t>
  </si>
  <si>
    <t>Alterations including the demolition of existing single storey rear commercial unit and construction of new single storey rear addition to create two x 1 bedroom single storey dwellings and the change of use of the ground floor and basement of no. 96 Moyser Road from retail (Use Class A1) to a two bedroom flat (Use Class C3). Excavation works to create a two lightwells (one to the front and one to the side of no 96 Moyser Road) and associated cycle parking and refuse facilities.</t>
  </si>
  <si>
    <t>2018/0235</t>
  </si>
  <si>
    <t>30 Rogers Road</t>
  </si>
  <si>
    <t>Erection of two-storey side and single storey side/rear extension in connection with creation of 1 x 2-bedroom dwelling with associated bin and cycle storage.</t>
  </si>
  <si>
    <t>2017/4420</t>
  </si>
  <si>
    <t>Marion Court, Tooting High Street</t>
  </si>
  <si>
    <t>Erection of addititional floor of accommodation to form 4 x 2-bedroom flats.</t>
  </si>
  <si>
    <t>2017/4809</t>
  </si>
  <si>
    <t>60 East Hill</t>
  </si>
  <si>
    <t>Alterations including erection of single storey rear extension and excavation to enlarge the existing basement in connection with conversion of the existing building into 1 x 1-bedroom and 1 x 3-bedroom flats.</t>
  </si>
  <si>
    <t>2017/4506</t>
  </si>
  <si>
    <t>St Andrews Court, 1 - 6 St Andrews Court</t>
  </si>
  <si>
    <t>Erection of three storey building to provide 3 x 1-bedroom flats with balconies to all levels fronting Waynflete Street.</t>
  </si>
  <si>
    <t>2017/5299</t>
  </si>
  <si>
    <t>158-160, 158-160 Balham High Road</t>
  </si>
  <si>
    <t>Determination as to whether prior approval is required for change of use from business (Class B1)  to 7 x studio flats (Class C3).</t>
  </si>
  <si>
    <t>2017/5349</t>
  </si>
  <si>
    <t>27-29, 27-29 Hardwicks Square</t>
  </si>
  <si>
    <t>Determination as to whether prior approval is required for change of use of offices at part ground and first floor levels from (Class B1a) to residential (Class C3) to provide one studio, 5 x 1 and 2 x 2 bedroom units.</t>
  </si>
  <si>
    <t>2017/5575</t>
  </si>
  <si>
    <t>Alterations including erection of dormer roof extension (with french doors and safety screen), enlargement of first floor extension, erection of rear extension at second floor level with roof terrace and 1.7m screen surround in connection with conversion of existing flat into 1 x 1-bedroom and 1 x 2-bedroom flats with associated refuse and cycle storage.</t>
  </si>
  <si>
    <t>2017/5682</t>
  </si>
  <si>
    <t>116-118, 116-118 Upper Richmond Road</t>
  </si>
  <si>
    <t>Demolition of rear workshop to accommodate the erection of a three-storey rear extension with rear external terraces; internal layout changes to form 1 x 1-bedroom, 2 x 2-bedroom and 1 x 3-bedroom flats; creation a roof terrace above rear of 116; insertion of roof light in rear roof slope; alterations to the shop fronts to accommodate residential access; erection of bike and bin stores to the rear; conversion of the two ground floor units into one.</t>
  </si>
  <si>
    <t>2017/4217</t>
  </si>
  <si>
    <t>40 Old Devonshire Road</t>
  </si>
  <si>
    <t>Alterations including changes to the site frontage and a first floor rear extension to allow the conversion of the main garage building to B1 (office) use, and change of use of right hand building to 1 x 1-bedroom unit.</t>
  </si>
  <si>
    <t>2017/3402</t>
  </si>
  <si>
    <t>Flats 1 -4, 17 Briar Walk</t>
  </si>
  <si>
    <t>Alterations including erection of part single, part two-storey rear extension; excavation to enlarge basement including formation of front and rear lightwells in connection with conversion of property into 5 x 2-bedroom and 1 x 3-bedroom flats.</t>
  </si>
  <si>
    <t>2017/4624</t>
  </si>
  <si>
    <t>69 Vant Road</t>
  </si>
  <si>
    <t>Change of use of ground floor from Class B1(a) (office) to Class C3 (residential) and alterations including erection of two-storey front bay extension, relocation of front door, gable extension to main roof and back addition and mansard roof extension to main rear roof to create a single dwellinghouse.</t>
  </si>
  <si>
    <t>2017/6286</t>
  </si>
  <si>
    <t>convert</t>
  </si>
  <si>
    <t>Alterations including erection of front and rear mansard roof extensions to provide additional floor of accommodation; first floor level rear extensions with roof terraces above and rear access walkway in connection with reconfiguration of six flats to create 5 x 1-bed, 6 x 2-bed and 5 x 3-bed flats; refuse and cycle stores at rear.</t>
  </si>
  <si>
    <t>EXTN TO EX</t>
  </si>
  <si>
    <t>2017/5993</t>
  </si>
  <si>
    <t>30 Sisters Avenue</t>
  </si>
  <si>
    <t>Alterations including the erection of mansard extension to main rear roof including raising the ridge; erection of extension above part of rear addition, and raising of the eaves of the rear addition; formation of roof terrace above rear addition; single-storey side and rear extension, excavation of basement with formation of front and rear lightwells (with stairs) in connection with change of use of the property into 5 x 1-bedroom and 2 x 2 bedroom flats with associated cycle parking and refuse store.</t>
  </si>
  <si>
    <t>2017/6510</t>
  </si>
  <si>
    <t>Land between 107-109, 107-109 Garratt Lane</t>
  </si>
  <si>
    <t>Erection and excavation of a two-storey (plus basement) 3-bedroom detached house with associated cycle and refuse storage and lightwell courtyard to the rear.</t>
  </si>
  <si>
    <t>2017/5244</t>
  </si>
  <si>
    <t>Garages west of 1a, 1a Isis Street</t>
  </si>
  <si>
    <t>The demolition of existing garages and the erection of a two-storey 1-bedroom dwelling.</t>
  </si>
  <si>
    <t>2017/5935</t>
  </si>
  <si>
    <t>204a, 204a Upper Richmond Road</t>
  </si>
  <si>
    <t>Alterations in connection with conversion of upper floors into 1 x 2-bedroom and 1 x 1-bedroom flats.</t>
  </si>
  <si>
    <t>2017/6862</t>
  </si>
  <si>
    <t>96 Broomwood Road</t>
  </si>
  <si>
    <t>Alterations including erection of a single storey side/rear extension in connection with conversion of 1 x 2-bedroom and 1 x 3-bedroom flats into single dwelling house.</t>
  </si>
  <si>
    <t>2017/6906</t>
  </si>
  <si>
    <t>Public House, 5 Lavender Hill</t>
  </si>
  <si>
    <t>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t>
  </si>
  <si>
    <t>2017/6287</t>
  </si>
  <si>
    <t>26 Ouseley Road</t>
  </si>
  <si>
    <t>Change of use of property from three flats into single residential dwelling</t>
  </si>
  <si>
    <t>2017/6849</t>
  </si>
  <si>
    <t>62 St Johns Road</t>
  </si>
  <si>
    <t>Alterations including infill of lower and upper ground floor lightwells, and first floor rear extension to allow the change of use of upper levels from Shop (Class A1) to 3 no. residential units (Class C3).</t>
  </si>
  <si>
    <t>2018/0117</t>
  </si>
  <si>
    <t>66 Mellison Road</t>
  </si>
  <si>
    <t>Erection of roof extension to main rear roof (with French doors and safety railings) including raising the ridge by 200mm and extension above part of two-storey back addition; formation of roof terrace above two-storey back addition with 1.7m high screen surround in connection with converting existing self-contained flat into 1 x 2-bedroom and 1 x 1-bedroom units.</t>
  </si>
  <si>
    <t>2017/6821</t>
  </si>
  <si>
    <t>Units 36, 73 &amp; 74, 5 Riverlight Quay</t>
  </si>
  <si>
    <t>Conversion of three flats into a six bedroom unit.</t>
  </si>
  <si>
    <t>2017/5798</t>
  </si>
  <si>
    <t>Land rear of and 28 Garratt Terrace, 958 Garratt Lane</t>
  </si>
  <si>
    <t>Erection of a 2-bedroom house with a single-storey rear extension.</t>
  </si>
  <si>
    <t>2018/0116</t>
  </si>
  <si>
    <t>85 Sellincourt Road</t>
  </si>
  <si>
    <t>Alterations including erection of mansard roof extension to main rear roof and extension above part of two-storey back addition; formation of roof terrace above two-storey back addition with 1.7m high screen surround in connection with creation of a self-contained unit at roof level.</t>
  </si>
  <si>
    <t>2018/0464</t>
  </si>
  <si>
    <t>111 St Johns Hill</t>
  </si>
  <si>
    <t>Alterations including erection of roof extension to main rear roof and above part of two-storey back addition. Erection of a rear first extension in connection with conversion and alteration of existing first floor roof space. Excavation to extend basement with formation of rear lightwell. Works in connection with the proposed conversion of the property into 3 x 1-bedrooms, 1 x 2-bedroom flats (including use of part of basement and rear part of ground floor). Alterations to shopfront and change of use of remainder of ground floor and basement from Class A2 to flexible use for Class A1(Shop), A2 (professional services) or Class B1 (Business).</t>
  </si>
  <si>
    <t>2017/5836</t>
  </si>
  <si>
    <t>Alterations including erection of mansard rear roof extension to main rear roof, erection of rear extensions at first and second floor levels including formation of roof terraces with a 1.7m high screen surround to first floor roof terrace and 1.1m high screen surround to second floor roof terrace in connection with the conversion of the upper floor flat into 2 x 2 bedroom flats. Provision of bin/cycle storage.</t>
  </si>
  <si>
    <t>2016/3809</t>
  </si>
  <si>
    <t>229 Burntwood Lane</t>
  </si>
  <si>
    <t>Demolition of existing garage and erection of a single-storey outbuilding in rear garden to be used as a nanny flat.</t>
  </si>
  <si>
    <t>2016/4769</t>
  </si>
  <si>
    <t>30 Nimrod Road</t>
  </si>
  <si>
    <t>Alterations including erection of hip to gable side roof extensions, rear mansard roof extension, and extension above two storey back addition. Erection of single-storey side/rear extension. Erection of self-contained annexe to the rear garden with basement level.</t>
  </si>
  <si>
    <t>2017/5595</t>
  </si>
  <si>
    <t>Alterations to internal layout of one 2-bedroom maisonette on the ground and first floor of Block D to create one 3-bedroom maisonette.</t>
  </si>
  <si>
    <t>Homebase, Swandon Way</t>
  </si>
  <si>
    <t>3.6</t>
  </si>
  <si>
    <t>2017/4380</t>
  </si>
  <si>
    <t>Homebase, 198 York Road</t>
  </si>
  <si>
    <t>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t>
  </si>
  <si>
    <t>10.4</t>
  </si>
  <si>
    <t>BLOCK C</t>
  </si>
  <si>
    <t>2018/0210</t>
  </si>
  <si>
    <t>Land rear of 4-24, Thrale Road</t>
  </si>
  <si>
    <t>Demolition of existing garage structures and erection of 22 residential units (6x1bedroom, 10x2-bedroom and 6x3-bedroom) within three two/three-storey buildings accessed from Thrale Road (between Nos. 16 and 18 Thrale Road) with associated car and cycle parking, refuse storage and landscaping.</t>
  </si>
  <si>
    <t>BPS Phase 4a, Sleaford Street</t>
  </si>
  <si>
    <t>2.1.14</t>
  </si>
  <si>
    <t>2017/3886</t>
  </si>
  <si>
    <t>Variation of condition 2 (in accordance with approved drawings) pursuant to planning permission dated 11/04/2017 ref 2016/5747 to allow the reduction in size of Blocks A and B; Relocation of stair and lift cores in Blocks A and B; Internal reconfiguration of plant and storage at basement level; Changes to the ground and first floor podium façade; Internal reconfiguration to the RAD ground floor, including additional studio space, relocation of studios, the shop and reception; Internal layout changes to Block C;  Changes to the façade on Block C; A drop-off zone along York Place and ground and first floor landscaping amendments.</t>
  </si>
  <si>
    <t>2017/3099</t>
  </si>
  <si>
    <t>Demolition of existing building and erection of 2 x 5-bedroom three storey houses (top floor in roof); associated garages, landscaping and parking and alterations to front boundary; (Amended scheme to that granted planning permission dated 28/06/16 ref. 2016/1017 [Demolition of existing house and erection of 2 x three-storey houses plus basement houses with external light-wells and associated landscaping and car parking. Alterations to front boundary) to omit basements and lightwells and amend site layout.</t>
  </si>
  <si>
    <t>27 &amp; 28 Dighton Road</t>
  </si>
  <si>
    <t>Royal Mail Group Site, Ponton Road</t>
  </si>
  <si>
    <t>Plot A</t>
  </si>
  <si>
    <t>2.1.18</t>
  </si>
  <si>
    <t>Plot B</t>
  </si>
  <si>
    <t>Plot C</t>
  </si>
  <si>
    <t>Plot D</t>
  </si>
  <si>
    <t>0000/0251</t>
  </si>
  <si>
    <t>Mercedes Benz and Bemco, Bridgend Road</t>
  </si>
  <si>
    <t>3.9</t>
  </si>
  <si>
    <t>2017/4726</t>
  </si>
  <si>
    <t>Dadu's Parade, 180-218 Upper Tooting Road</t>
  </si>
  <si>
    <t>Demolition of the existing buildings, with the retention &amp; restoration of the RACS building facade and redevelopment of the remainder of the site to provide a part single/part four/part five-storey building to provide up to 4 new shops for use within classes A1-A5 (retail, financial and professional services, restaurant, pub and bar, takeaway); a community use unit (D use); a hotel (96 bedrooms); 47 dwellings of which 35% (by area) will be affordable housing); 45 car parking spaces, 109 cycle parking spaces, servicing areas and landscaping.</t>
  </si>
  <si>
    <t>5.1</t>
  </si>
  <si>
    <t>Former Prices Candles Factory, 110 York Road</t>
  </si>
  <si>
    <t>10.2</t>
  </si>
  <si>
    <t>0000/0256</t>
  </si>
  <si>
    <t>Asda, Roehampton Vale</t>
  </si>
  <si>
    <t>8.2</t>
  </si>
  <si>
    <t>25-29 Tooting High Street</t>
  </si>
  <si>
    <t>Plot E</t>
  </si>
  <si>
    <t>19-21 Mitcham Road</t>
  </si>
  <si>
    <t>PRIVATE MARKET- BUILD TO RENT</t>
  </si>
  <si>
    <t>Albany House, Portslade Road</t>
  </si>
  <si>
    <t>Plot F</t>
  </si>
  <si>
    <t>2018/0751</t>
  </si>
  <si>
    <t>Jessica House, Red Lion Square</t>
  </si>
  <si>
    <t>NORTHERN BUILDING</t>
  </si>
  <si>
    <t>Alterations including erection of extensions at third floor levels to northern building and extension at fifth floor level to southern building to provide 9 residential units (4 x 1-bedroom and 5 x 2-bedroom flats) with roof terraces at third and fifth floor levels.</t>
  </si>
  <si>
    <t>SOUTHERN BUILDING</t>
  </si>
  <si>
    <t>Norman Court, 160 Lower Richmond Road</t>
  </si>
  <si>
    <t>374 Old York Road</t>
  </si>
  <si>
    <t>Land front of, 1-3 Candahar Road</t>
  </si>
  <si>
    <t>17-19 Upper Tooting Road</t>
  </si>
  <si>
    <t>66 West Hill</t>
  </si>
  <si>
    <t>2017/6759</t>
  </si>
  <si>
    <t>812c also known as 812d workshop</t>
  </si>
  <si>
    <t>Coach house rear of, 812 Garratt Lane</t>
  </si>
  <si>
    <t>Change of use of ground floor from workshop/storage (B1/B8) to residential (C3) in connection with creation of 1 x 2-bedroom flat. Erection of single-storey rear extension and alterations to fenestration.</t>
  </si>
  <si>
    <t>2017/4351</t>
  </si>
  <si>
    <t>65 Battersea Bridge Road</t>
  </si>
  <si>
    <t>Use of the lower ground and ground floor of the property as a 2-bedroom flat.</t>
  </si>
  <si>
    <t>2017/6647</t>
  </si>
  <si>
    <t>30 Bushnell Road</t>
  </si>
  <si>
    <t>Use of ground floor as day nursery/childcare (Class D1) with residential above (Class C3) for up to 9 children between 07:30am to 18:30pm Mondays to Fridays.</t>
  </si>
  <si>
    <t>Old Garden House, The Lanterns, Bridge Lane</t>
  </si>
  <si>
    <t>63 Franciscan Road</t>
  </si>
  <si>
    <t>2017/2851</t>
  </si>
  <si>
    <t>122a Plough Road</t>
  </si>
  <si>
    <t>Use as residential unit (Class C3).</t>
  </si>
  <si>
    <t>Previous Somers Arms P H - The Optic, 2a Rochelle Close</t>
  </si>
  <si>
    <t>143-149 Merton Road</t>
  </si>
  <si>
    <t>1-3 Corunna Road</t>
  </si>
  <si>
    <t>1a Colinette Road</t>
  </si>
  <si>
    <t>Plot G</t>
  </si>
  <si>
    <t>2007/1256</t>
  </si>
  <si>
    <t>18 Winders Road</t>
  </si>
  <si>
    <t>Erection of a house providing accommodation at basement, ground and first floor. (Amendment to planning permission Reference 2006/2744).</t>
  </si>
  <si>
    <t>26 Tooting High Street</t>
  </si>
  <si>
    <t>2016/4722</t>
  </si>
  <si>
    <t>132 The Studio Nightingale Lane, 1 Bolingbroke Grove</t>
  </si>
  <si>
    <t>Use of ancillary residential building as a self contained dwelling (retrospective)</t>
  </si>
  <si>
    <t>131 St Johns Hill</t>
  </si>
  <si>
    <t>2017/6675</t>
  </si>
  <si>
    <t>9 Lavender Hill</t>
  </si>
  <si>
    <t>Use of the rear ground floor and basement as a self-contained flat.</t>
  </si>
  <si>
    <t>2017/6534</t>
  </si>
  <si>
    <t>22 Glenburnie Road</t>
  </si>
  <si>
    <t>Use of the property as two studio flats.</t>
  </si>
  <si>
    <t>60 Trinity Road</t>
  </si>
  <si>
    <t>82 Balham High Road</t>
  </si>
  <si>
    <t>160 Franciscan Road</t>
  </si>
  <si>
    <t>Unit 8 Mandeville Courtyard, 142 Battersea Park Road</t>
  </si>
  <si>
    <t>245 Mitcham Lane</t>
  </si>
  <si>
    <t>2017/3232</t>
  </si>
  <si>
    <t>70 Upper Tooting Road</t>
  </si>
  <si>
    <t>Alterations including erection of single storey rear extension in connection with partial change of use at ground floor from shop (Class A1) into 1 x 2-bedroom flat (Class C3).</t>
  </si>
  <si>
    <t>99 Norroy Road</t>
  </si>
  <si>
    <t>Main Site, Ballymore, Ponton Road</t>
  </si>
  <si>
    <t>2.1.16</t>
  </si>
  <si>
    <t>Christies Auctioneers Depot, 40-42 Ponton Road</t>
  </si>
  <si>
    <t>2.1.19</t>
  </si>
  <si>
    <t>Tidbury Court, Stewarts Road</t>
  </si>
  <si>
    <t>2.1.26</t>
  </si>
  <si>
    <t>Land rear of 88, Thurleigh Road</t>
  </si>
  <si>
    <t>The Alchemist, 225 St Johns Hill</t>
  </si>
  <si>
    <t>Ima House, 20 Northfields</t>
  </si>
  <si>
    <t>50 Thessaly Road</t>
  </si>
  <si>
    <t>74 St Rule Street</t>
  </si>
  <si>
    <t>Garage adjoining 67, 67A Blakenham Road</t>
  </si>
  <si>
    <t>294 Cavendish Road</t>
  </si>
  <si>
    <t>88 Bedford Hill</t>
  </si>
  <si>
    <t>184 Northcote Road</t>
  </si>
  <si>
    <t>2017/3546</t>
  </si>
  <si>
    <t>Alterations including erection of mansard roof extension to main rear roof (with french doors and safety railings) in connection with conversion to 1 x 2-bedroom and 1 x 1-bedroom flats.</t>
  </si>
  <si>
    <t>Unit 2, 10 Bective Place</t>
  </si>
  <si>
    <t>2017/2445</t>
  </si>
  <si>
    <t>71 Hosack Road</t>
  </si>
  <si>
    <t>Alterations including conversion of property to 1 x 1-bedroom, 1 x 2-bedroom and 1 x 3-bedroom flats with associated cycle and refuse storage.</t>
  </si>
  <si>
    <t>137a Broomwood Road</t>
  </si>
  <si>
    <t>Linton Fuels, Osiers Road</t>
  </si>
  <si>
    <t>3.3.4</t>
  </si>
  <si>
    <t>19 Thrale Road</t>
  </si>
  <si>
    <t>2017/3065</t>
  </si>
  <si>
    <t>Alterations including change from 1 x 1-bedroom to 1 x 2-bedroom flat; part change of use of A2 Use Class commercial unit to C3 Use Class to provide additional floor area for 2-bedroom flat; alterations to rear elevation.</t>
  </si>
  <si>
    <t>45 Trinity Road</t>
  </si>
  <si>
    <t>2017/4893</t>
  </si>
  <si>
    <t>22 Melrose Road</t>
  </si>
  <si>
    <t>Retention of alterations in connection with continued use as a house in multiple occupation (Class C4).</t>
  </si>
  <si>
    <t>Rear of 32, Brightwell Crescent</t>
  </si>
  <si>
    <t>8 Parkgate Road</t>
  </si>
  <si>
    <t>235 Queenstown Road</t>
  </si>
  <si>
    <t>18 Sisters Avenue</t>
  </si>
  <si>
    <t>R/O Southwest London Law Centres, 101A Tooting High Street</t>
  </si>
  <si>
    <t>17 Cicada Road</t>
  </si>
  <si>
    <t>107 West Hill Road</t>
  </si>
  <si>
    <t>South Thames College &amp; Welbeck House, 17-27 Garratt Lane</t>
  </si>
  <si>
    <t>3.1.4</t>
  </si>
  <si>
    <t>37 Elmfield Road</t>
  </si>
  <si>
    <t>Land Adjacent, 10 Glentanner Way</t>
  </si>
  <si>
    <t>16 Sisters Avenue</t>
  </si>
  <si>
    <t>115 Lower Richmond Road</t>
  </si>
  <si>
    <t>103A Putney High Street</t>
  </si>
  <si>
    <t>Broadway Studio, 28 Tooting High Street</t>
  </si>
  <si>
    <t>Harvard Mansions, St Johns Hill</t>
  </si>
  <si>
    <t>Brynmaer House, Brynmaer Road</t>
  </si>
  <si>
    <t>10 Fontenoy Road</t>
  </si>
  <si>
    <t>4 Treport Street</t>
  </si>
  <si>
    <t>29 Dafforne Road</t>
  </si>
  <si>
    <t>82 Cicada Road</t>
  </si>
  <si>
    <t>196A Trinity Road</t>
  </si>
  <si>
    <t>50 Northcote Road</t>
  </si>
  <si>
    <t>90-92 Garratt Lane</t>
  </si>
  <si>
    <t>261 Lavender Hill</t>
  </si>
  <si>
    <t>Unit 17, 18 21, 22 &amp; 23 Ransomes Dock Business Centre, 35-37 Parkgate Road</t>
  </si>
  <si>
    <t>159 Putney High Street</t>
  </si>
  <si>
    <t>60 Albert Drive</t>
  </si>
  <si>
    <t>271-273 Upper Richmond Road</t>
  </si>
  <si>
    <t>525 Old York Road</t>
  </si>
  <si>
    <t>2017/1825</t>
  </si>
  <si>
    <t>The Wheatsheaf P.H, 2 Upper Tooting Road</t>
  </si>
  <si>
    <t>Variation of conditions 2 (in accordance with approved drawings) and 9 (landlord's flat) pursuant to planning permission dated 17/04/2015 ref 2014/3954 (Erection of mansard roof extensions to create third floor, and create second floor to provide 8 no. self-contained residential units at first, second and third floor levels (comprising 1 x 1-bed, 6 x 2-bed and 1 x 3-bed units) and landlord's flat. Cycle store to service yard, and associated internal alterations to create access up to flats.) to allow alterations to materials, omit new third floor addition and reduce number of residential units from 8 no. to 6 no.</t>
  </si>
  <si>
    <t>Land Adjacent, 33 Vandyke Close</t>
  </si>
  <si>
    <t>4 Beeches Road</t>
  </si>
  <si>
    <t>The Cottage, 7F Carlton Drive</t>
  </si>
  <si>
    <t>A &amp; C, 105 Albert Bridge Road</t>
  </si>
  <si>
    <t>59 Gilbey Road</t>
  </si>
  <si>
    <t>Unit A, 46 Oakmead Road</t>
  </si>
  <si>
    <t>14 Oakhill Road</t>
  </si>
  <si>
    <t>194 Lavender Hill</t>
  </si>
  <si>
    <t>199 Garratt Lane</t>
  </si>
  <si>
    <t>105 Bramfield Road</t>
  </si>
  <si>
    <t>3 Selkirk Road</t>
  </si>
  <si>
    <t>43 Wandsworth Common West Side</t>
  </si>
  <si>
    <t>2 Ravenswood Road</t>
  </si>
  <si>
    <t>63 Sistova Road</t>
  </si>
  <si>
    <t>2A Revelstoke Road</t>
  </si>
  <si>
    <t>11 Carmalt Gardens</t>
  </si>
  <si>
    <t>627 Garratt Lane</t>
  </si>
  <si>
    <t>Land rear of 63A, 63 Westcote Road</t>
  </si>
  <si>
    <t>31 St Johns Hill</t>
  </si>
  <si>
    <t>116 Clapham Common North Side</t>
  </si>
  <si>
    <t>79 Trinity Road</t>
  </si>
  <si>
    <t>60 Lavender Hill</t>
  </si>
  <si>
    <t>33 Oberstein Road</t>
  </si>
  <si>
    <t>48 &amp; 47A, 48 Lower Richmond Road</t>
  </si>
  <si>
    <t>4 Abercrombie Street</t>
  </si>
  <si>
    <t>Unit 3 &amp; 20 Ransomes Dock Business Centre, 35-37 Parkgate Road</t>
  </si>
  <si>
    <t>55 Balham Park Road</t>
  </si>
  <si>
    <t>222 Cavendish Road</t>
  </si>
  <si>
    <t>53-55 Tooting High Street</t>
  </si>
  <si>
    <t>9 Putney Heath Lane</t>
  </si>
  <si>
    <t>47 Thurleigh Road</t>
  </si>
  <si>
    <t>59 Southfields Road</t>
  </si>
  <si>
    <t>The Stable Yard, 16A Balham Hill</t>
  </si>
  <si>
    <t>9-11 Chestnut Grove</t>
  </si>
  <si>
    <t>175 Replingham Road</t>
  </si>
  <si>
    <t>11 Roehampton Lane</t>
  </si>
  <si>
    <t>2017/4862</t>
  </si>
  <si>
    <t>119 Northcote Road</t>
  </si>
  <si>
    <t>Conversion of single dwellinghouse to 1 x 3-bedroom and 1 x 2-bedroom self-contained flats. Construction of extension over part of two storey back addition and formation of roof terrace above two-storey back addtion with 1.7m high screen.</t>
  </si>
  <si>
    <t>Prince of Wales P.H, 270 Cavendish Road</t>
  </si>
  <si>
    <t>Jack's Place, 12 York Road</t>
  </si>
  <si>
    <t>35 Worfield Street</t>
  </si>
  <si>
    <t>28 Lacy Road</t>
  </si>
  <si>
    <t>95 Broomwood Road</t>
  </si>
  <si>
    <t>33 Taybridge Road</t>
  </si>
  <si>
    <t>207 Garratt Lane</t>
  </si>
  <si>
    <t>47 Wimbledon Park Road</t>
  </si>
  <si>
    <t>8 Borneo Street</t>
  </si>
  <si>
    <t>4 Rookstone Road</t>
  </si>
  <si>
    <t>19 Rosenau Crescent</t>
  </si>
  <si>
    <t>Putney Lower Common Cemetery Chapels, Lower Richmond Road</t>
  </si>
  <si>
    <t>53 Melrose Road</t>
  </si>
  <si>
    <t>63a East Hill</t>
  </si>
  <si>
    <t>234a Battersea Park Road</t>
  </si>
  <si>
    <t>2017/1439</t>
  </si>
  <si>
    <t>Cherwell House, 88 Elmfield Road</t>
  </si>
  <si>
    <t>Erection of roof extension to create addition floor of accommodation (comprising 2 x 1 bedroom flats) with associated roof terraces, together with the provision of balconies at first, second and third floor levels to east elevation.</t>
  </si>
  <si>
    <t>23 Theatre Street</t>
  </si>
  <si>
    <t>581 Garratt Lane</t>
  </si>
  <si>
    <t>958 Garratt Lane</t>
  </si>
  <si>
    <t>125 Roehampton Vale</t>
  </si>
  <si>
    <t>2017/2905</t>
  </si>
  <si>
    <t>65 &amp; 65a, 65 Garratt Terrace</t>
  </si>
  <si>
    <t>Alterations associated with the conversion of the two existing flats into a single 5-bedroom dwellinghouse.</t>
  </si>
  <si>
    <t>4-6, Yukon Road</t>
  </si>
  <si>
    <t>5a, Ramsden Road</t>
  </si>
  <si>
    <t>106c, 106 Mysore Road</t>
  </si>
  <si>
    <t>20 Burstock Road</t>
  </si>
  <si>
    <t>75 Chestnut Grove</t>
  </si>
  <si>
    <t>45 Lavender Gardens</t>
  </si>
  <si>
    <t>513 Battersea Park Road</t>
  </si>
  <si>
    <t>4 Skelgill Road</t>
  </si>
  <si>
    <t>12 Gilbey Road</t>
  </si>
  <si>
    <t>396-398, 396 Garratt Lane</t>
  </si>
  <si>
    <t>505-507, Garratt Lane</t>
  </si>
  <si>
    <t>2017/1824</t>
  </si>
  <si>
    <t>Alterations including the excavation to enlarge existing basement, removal of existing roof of no.505 and replacement with new roof at an increased height of 1m at its ridge and 0.3m at its eaves; raising the ridge of no.507 by 1m; erection of rear mansard roof extensions to main roofs, with three dormers; demolition of existing rear additions and erection of part single/ part 2/ part 3-storey rear extensions with first second and third floor roof terrace and second floor balcony, (including associated safety balustrade/screening); alterations to the existing window openings, together with replacement windows to front elevation of no. 505; installation of replacement shop frontages, with other alterations to the buildings; in connection with the conversion of the buildings to create 8 flats and the conversion/amalgamation of the existing ground floor commercial units to create one A1, A2 or A3 use class unit (net loss of 1 commercial unit).  (Amendments to planning permission 15/06/2016 ref 2016/1698 to include new window openings to the flank wall of 507 at first and second floor level, insertion of rooflight in side mansard slope to flank of 507, to allow conversion of 2 x 1 bedroom units to 2 x2 bedroom units, reconfiguration and positioning of rear dormer windows and extract flue for ground floor commercial unit.)</t>
  </si>
  <si>
    <t>187 Merton road</t>
  </si>
  <si>
    <t>193B, 193 Latchmere Road</t>
  </si>
  <si>
    <t>Flat A, 182 Battersea Park road</t>
  </si>
  <si>
    <t>14a and 14b, Chetwode Road</t>
  </si>
  <si>
    <t>Unit 10 Mandeville Court, 142 Battersea Park Road</t>
  </si>
  <si>
    <t>32 Malbrook Road</t>
  </si>
  <si>
    <t>27 Southolm Street</t>
  </si>
  <si>
    <t>19-24 Elmfield Mansions, Elmfield Road</t>
  </si>
  <si>
    <t>2017/0883</t>
  </si>
  <si>
    <t>164 East Hill</t>
  </si>
  <si>
    <t>Alterations including the erection of two dormer roof extensions to main rear roof; part three, part four storey (including basement) rear/side extension including formation of rear roof terrace with 1.5m high surround at second floor level; provision of cycle and refuse storage in rear garden in connection with use as 3 x 2 and 1 x 3 bedroom flats.</t>
  </si>
  <si>
    <t>248 Mitcham Lane</t>
  </si>
  <si>
    <t>Unit 15 Mandeville Courtyard, 142 Battersea Park Road</t>
  </si>
  <si>
    <t>23 Balham High Road</t>
  </si>
  <si>
    <t>132a, 132 West Hill</t>
  </si>
  <si>
    <t>156 Church Lane</t>
  </si>
  <si>
    <t>7 Lavender Sweep</t>
  </si>
  <si>
    <t>96 Huron Road</t>
  </si>
  <si>
    <t>131 Lower Richmond Road</t>
  </si>
  <si>
    <t>Clare House 20a, 20a Earlsfield Road</t>
  </si>
  <si>
    <t>12 Terrapin Road</t>
  </si>
  <si>
    <t>39 Garfield Road</t>
  </si>
  <si>
    <t>Flat A, 533 Battersea Park Road</t>
  </si>
  <si>
    <t>7 Meteor Street</t>
  </si>
  <si>
    <t>28 Ravenstone Street</t>
  </si>
  <si>
    <t>29 Standen Road</t>
  </si>
  <si>
    <t>2016/7084</t>
  </si>
  <si>
    <t>33 Garratt Terrace</t>
  </si>
  <si>
    <t>Conversion of property to 2 x 1-bedroom, 1 x 2-bedroom, 1 x 3-bedroom flats. Provision of refuse storage in front garden.</t>
  </si>
  <si>
    <t>140 Earlsfield Road</t>
  </si>
  <si>
    <t>16-18, 16-18 Byrne Road</t>
  </si>
  <si>
    <t>58 Oakhill Road</t>
  </si>
  <si>
    <t>12 Bridge Lane</t>
  </si>
  <si>
    <t>29 Selkirk Road</t>
  </si>
  <si>
    <t>2017/3621</t>
  </si>
  <si>
    <t>193 Garratt Lane</t>
  </si>
  <si>
    <t>Erection of rear roof extension to main roof and above two-storey back addition; erection of a single-storey rear extension in connection with conversion of property to 2 x 2-bedroom and 1 x 1-bedroom flats with associated cycle and refuse storage. Alterations to ground floor including change of use of rear from restaurant (Class A3) to residential (Class C3).</t>
  </si>
  <si>
    <t>Ivory House, Clove Hitch Quay</t>
  </si>
  <si>
    <t>2017/1828</t>
  </si>
  <si>
    <t>1-4 Mayford Close</t>
  </si>
  <si>
    <t>Erection of an additional storey with habitable roofspace to create three-storey building to provide 2 x 3-bedroom flats and change the 2 first floor 2-bedroom flats to 1-bedroom flats and external cladding. Associated landscaping and bin and bike storage.</t>
  </si>
  <si>
    <t>114 Disraeli Road</t>
  </si>
  <si>
    <t>2017/4241</t>
  </si>
  <si>
    <t>286 Battersea Park Road</t>
  </si>
  <si>
    <t>Conversion of upper floor flat into 3 x studio flats including alterations to fenestration (retrospective).</t>
  </si>
  <si>
    <t>2017/0627</t>
  </si>
  <si>
    <t>Flat B, 18 Revelstoke Road</t>
  </si>
  <si>
    <t>Continue use as a 1 bedroom flat.</t>
  </si>
  <si>
    <t>2017/2441</t>
  </si>
  <si>
    <t>104 Selkirk Road</t>
  </si>
  <si>
    <t>Use of the property as two flats.</t>
  </si>
  <si>
    <t>2017/3282</t>
  </si>
  <si>
    <t>547 Battersea Park Road</t>
  </si>
  <si>
    <t>Erection of a mansard extension to main roof to form an additional floor of accommodation in connection with the change of use of the upper floors to create 3 x 1-bedroom self contained flats. Alterations to ground floor shop including alterations to shopfront and creation of ancillary office and courtyard area to rear.</t>
  </si>
  <si>
    <t>2017/1762</t>
  </si>
  <si>
    <t>105 Crowborough Road</t>
  </si>
  <si>
    <t>Use as 1 x 1-bedroom and 1 x 2-bedroom flats.</t>
  </si>
  <si>
    <t>2017/5182</t>
  </si>
  <si>
    <t>Continued use as 2 x 1-bedroom and 1 x 4-bedroom flats.</t>
  </si>
  <si>
    <t>2017/2929</t>
  </si>
  <si>
    <t>64 Coverton Road</t>
  </si>
  <si>
    <t>Alterations including erection of ground floor side/rear extension, first floor rear extension; creation of roof terraces at first and second floor with glazed balustrades and associated internal alterations to convert the property into 1 x 3-bedroom and 1 x 1-bedroom and 1 x studio self contained residential units.</t>
  </si>
  <si>
    <t>2017/2152</t>
  </si>
  <si>
    <t>458 Garratt Lane</t>
  </si>
  <si>
    <t>Use of the property as 2 x 2 bed flats.</t>
  </si>
  <si>
    <t>2017/2755</t>
  </si>
  <si>
    <t>5 Brudenell Road</t>
  </si>
  <si>
    <t>Retention of the property being used as two flats.</t>
  </si>
  <si>
    <t>2017/3184</t>
  </si>
  <si>
    <t>63 a &amp; b, 63 Swinburne Road</t>
  </si>
  <si>
    <t>Use of property as two self-contained flats.</t>
  </si>
  <si>
    <t>2017/3973</t>
  </si>
  <si>
    <t>Flat 1, 89 Taybridge Road</t>
  </si>
  <si>
    <t>Continued use of ground floor as 1 x 1-bedroom flat.</t>
  </si>
  <si>
    <t>2017/5060</t>
  </si>
  <si>
    <t>Alterations including erection of mansard roof extensions to main rear roof including raising the ridge by 200mm, extension over three-storey back addition, installation of 8no. rooflights to the front roofslope, extension to first floor back addition to create flat roof, installation of french doors and safety railings at first, second and third floor to rear elevation in connection with conversion to 2 x 3-bedroom and 1 x 2-bedroom flats with associated refuse and cycle storage.</t>
  </si>
  <si>
    <t>2017/4305</t>
  </si>
  <si>
    <t>125 Lavender Hill</t>
  </si>
  <si>
    <t>Change of use of the rear part of the ground floor unit from a window showroom and office (Class A1) to residential (class C3) and alterations including erection of single-storey rear and side extensions to create 1 x 2 bedroom unit. Relocation of entrance of existing first floor flat from Lavender Hill to Stormont Road. Alterations to fenestration.</t>
  </si>
  <si>
    <t>2017/3454</t>
  </si>
  <si>
    <t>The Cotswold, Upper Tooting Park</t>
  </si>
  <si>
    <t>Demolition of semi-detached bungalow and rebuild. Alterations including erection of two storey bay window to front to replace porch and box dormer windows to rear roof. Erection of single-storey side extension and rear extension.</t>
  </si>
  <si>
    <t>2017/2251</t>
  </si>
  <si>
    <t>8 Rowena Cescent</t>
  </si>
  <si>
    <t>Erection of roof extension to main rear roof (including an increase in ridge height by 0.2m) and extension above part of two-storey back addition. Erection of single-storey side/rear extension. Conversion of property from 2 x self-contained flats to a single dwellinghouse.</t>
  </si>
  <si>
    <t>2017/5323</t>
  </si>
  <si>
    <t>Flat upper floor, 545 Battersea Park Road</t>
  </si>
  <si>
    <t>Alterations including erection of mansard roof extension and formation of roof terraces with 1.7m high safety surround at first floor level in connection with conversion of upper floors to create 3x1-bedroom flats.</t>
  </si>
  <si>
    <t>2017/5825</t>
  </si>
  <si>
    <t>175 Upper Tooting Road</t>
  </si>
  <si>
    <t>Use of the property as four self-contained flats (flats A B C D) with separate entrance (for more than 4 years).</t>
  </si>
  <si>
    <t>2017/6493</t>
  </si>
  <si>
    <t>20 Manville Road</t>
  </si>
  <si>
    <t>Use of the property as a 6-bedroom HMO (Use Class C4)</t>
  </si>
  <si>
    <t>2017/7050</t>
  </si>
  <si>
    <t>155 Upper Tooting Road</t>
  </si>
  <si>
    <t>Alterations including erection of rear extension at second floor level in connection with conversion of existing dwelling into 1x1 bedroom, 1 x 2 bedroom and 1 x studio flats.</t>
  </si>
  <si>
    <t>2018/0061</t>
  </si>
  <si>
    <t>Rear Ground floor Flat, 102 Eardley Road</t>
  </si>
  <si>
    <t>Use as residential (Class C3) for more than 4 years.</t>
  </si>
  <si>
    <t>Craven Court, 1 Taybridge Road</t>
  </si>
  <si>
    <t>2017/3227</t>
  </si>
  <si>
    <t>257 Putney Bridge Road</t>
  </si>
  <si>
    <t>Demolition of rear outbuildings and rear part of frontage building;  erection of three-storey building at the rear to provide 3 x 2-bedroom flats; alterations to frontage building including the change of use of the ground floor from A3 to C3, including a part single, part three-storey rear/side extension and rear roof extension to provide 2 x 1-bedroom and 1 x 2-bedroom flat and 1 x 3-bedroom flat with roof-terraces at rear of first and second floors and associated refuse and cycle storage **Application description annd application form revised**.</t>
  </si>
  <si>
    <t>172-176 Balham High Road</t>
  </si>
  <si>
    <t>Garages adjacent to, 125 Pendle Road</t>
  </si>
  <si>
    <t>44-46 Falcon Road</t>
  </si>
  <si>
    <t>Garages adjoining 2, Sutherland Grove</t>
  </si>
  <si>
    <t>2017/5818</t>
  </si>
  <si>
    <t>Battersea Bar/The Chopper, 58-70 York Road</t>
  </si>
  <si>
    <t>Demolition of existing building and erection of a part 5, 9, 11, 13 and 14 storey (maximum height 50.6m) mixed-use development plus basement, providing 911sq.m (GIA) of office (Class B1a) floorspace at ground and basement levels with 82 residential units (Use Class C3) comprising market and affordable housing on upper floor levels with access to landscaped amenity deck; with 7 car parking spaces and 145 cycle parking spaces located at basement level; public realm improvements to York Road, Yelverton Road and Badric Court; and associated infrastructure works.</t>
  </si>
  <si>
    <t>10.14</t>
  </si>
  <si>
    <t>and 5 Upper Richmond Road, 72 West Hill</t>
  </si>
  <si>
    <t>2017/5673</t>
  </si>
  <si>
    <t>36 Hoyle Road</t>
  </si>
  <si>
    <t>Alterations including erection of two-storey side and single-storey rear extension and conversion of property to 1 x 3-bedroom, 1 x 2-bedroom and 1 x 1-bedroom flats with associated cycle and refuse storage.</t>
  </si>
  <si>
    <t>253 Lavender Hill</t>
  </si>
  <si>
    <t>2017/5907</t>
  </si>
  <si>
    <t>Upper floors, 362 Old York Road</t>
  </si>
  <si>
    <t>Alterations including erection of first floor rear extension with roof terrace above in connection with conversion of upper flat into two studio flats.</t>
  </si>
  <si>
    <t>2017/3296</t>
  </si>
  <si>
    <t>Alterations including erection of dormer roof extension to main rear roof, installation of a basement, erection of part single, part three-storey rear extension with balcony at first floor and cycle storage to front in connection with change of use of property from residential care home (Class C2) to 3 x 2-bedroom and 1 x 3-bedroom flats (Class C3)</t>
  </si>
  <si>
    <t>10 Stonells Road</t>
  </si>
  <si>
    <t>2017/1940</t>
  </si>
  <si>
    <t>27-29 Edna Street</t>
  </si>
  <si>
    <t>Alterations including erection of roof extensions above two storey back additions of both No. 27 &amp; 29 and the erection of a single storey rear/side extension to No. 29 in connection with the conversion to two single dwelling houses.</t>
  </si>
  <si>
    <t>Site adjoining 60, Aliwal Road</t>
  </si>
  <si>
    <t>3 Alderbrook Road</t>
  </si>
  <si>
    <t>5 North Drive</t>
  </si>
  <si>
    <t>The Mission Hall, Walkers Place</t>
  </si>
  <si>
    <t>1A Garratt Terrace, 58-62 Tooting High Street</t>
  </si>
  <si>
    <t>Henderson Court, 30-40 Henderson Road</t>
  </si>
  <si>
    <t>134-142 Mitcham Road</t>
  </si>
  <si>
    <t>Saint John Bosco College, Princes Way</t>
  </si>
  <si>
    <t>Mission Church development site, 22-24 Kellino Street</t>
  </si>
  <si>
    <t>2017/4140</t>
  </si>
  <si>
    <t>21 Balham High Road</t>
  </si>
  <si>
    <t>Demolition of two-storey back addition. Erection of single storey rear extension to provide 1 x 1-bedroom flats.</t>
  </si>
  <si>
    <t>191-195 Balham High Road</t>
  </si>
  <si>
    <t>Carlson Court, 116 Putney Bridge Road</t>
  </si>
  <si>
    <t>Phase 2 Development Wandsworth Business Village, Buckhold Road</t>
  </si>
  <si>
    <t>3.1.1</t>
  </si>
  <si>
    <t>Chatfield Court, 56 Chatfield Road</t>
  </si>
  <si>
    <t>28 Thessaly Road</t>
  </si>
  <si>
    <t>Carlton House (&amp; 27A Carlton Drive), 85-91 Upper Richmond Road</t>
  </si>
  <si>
    <t>6.2.4</t>
  </si>
  <si>
    <t>86-88 Garratt Lane</t>
  </si>
  <si>
    <t>56-66 Gwynne Road</t>
  </si>
  <si>
    <t>Battersea Park East, Queenstown Road</t>
  </si>
  <si>
    <t>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2011._x000D_
Applications for listed building consent for the elements of the works concerning Queenstown Road station (ref.2014/4687), and Battersea Park Railway Bridge (ref. 2014/4688) are submitted concurrently.</t>
  </si>
  <si>
    <t>Tooting Constitutional Club, 111-113 Tooting High Street</t>
  </si>
  <si>
    <t>2017/6418</t>
  </si>
  <si>
    <t>29 Trinity Crescent</t>
  </si>
  <si>
    <t>Erection of roof extension in connection with creation of two bedroom flat and formation of roof terraces with glazed screen surround.</t>
  </si>
  <si>
    <t>163-165 Tooting High Street</t>
  </si>
  <si>
    <t>land adjacent to 72, 72A Bedford Hill</t>
  </si>
  <si>
    <t>2017/2058</t>
  </si>
  <si>
    <t>129-139 Beaumont Road</t>
  </si>
  <si>
    <t>Demolition of the existing parade of shops to be replaced with a mixed use, commercial / residential block. Proposed block to be 5 storey and incorporate 28 residential units with commercial space at ground floor.</t>
  </si>
  <si>
    <t>70A Ravensbury Road</t>
  </si>
  <si>
    <t>Land r/o, 14A Lavender Hill</t>
  </si>
  <si>
    <t>2017/4995</t>
  </si>
  <si>
    <t>Adjacent, 93 Bolingbroke Grove</t>
  </si>
  <si>
    <t>Erection of two storey (plus roof and basement) 5-bedroom house with associated car and cycle parking and refuse storage.</t>
  </si>
  <si>
    <t>1 Prince of Wales Drive</t>
  </si>
  <si>
    <t>Land between 96 to 126 and 128 to 162, Melody Road</t>
  </si>
  <si>
    <t>Kerry Cottage, 1A Cambalt Road</t>
  </si>
  <si>
    <t>The Imperial Laundry, 71 Warriner Gardens</t>
  </si>
  <si>
    <t>36 Old Park Avenue</t>
  </si>
  <si>
    <t>165-167 St. Johns Hill</t>
  </si>
  <si>
    <t>86-88 Mitcham Lane</t>
  </si>
  <si>
    <t>60 Culvderden Road</t>
  </si>
  <si>
    <t>Bedford House, 215 Balham High Road</t>
  </si>
  <si>
    <t>Grange Cottage, 8A Bramcote Road</t>
  </si>
  <si>
    <t>Rear of, 60 Culverden Road</t>
  </si>
  <si>
    <t>63C Chartfield Avenue</t>
  </si>
  <si>
    <t>Land Adjacent, 60 Hereward Road</t>
  </si>
  <si>
    <t>Land rear of, 13 Thurleigh Road</t>
  </si>
  <si>
    <t>Hookham Court Garages, Deeley Road</t>
  </si>
  <si>
    <t>Car Park and Land South of, Osiers Road</t>
  </si>
  <si>
    <t>336 Garratt Lane</t>
  </si>
  <si>
    <t>2017/4458</t>
  </si>
  <si>
    <t>26 Wadham Road</t>
  </si>
  <si>
    <t>Alterations including the erection of front and rear dormer roof extension to provide an additional floor of accommodation; partial demolition of a ground floor extension; in connection with the conversion of the existing office space (Class B1a) into a 4-bedroom single family dwelling.</t>
  </si>
  <si>
    <t>1 Station Parade, Balham High Road</t>
  </si>
  <si>
    <t>1 Gatton Road</t>
  </si>
  <si>
    <t>2017/1890</t>
  </si>
  <si>
    <t>46 Ponton Road</t>
  </si>
  <si>
    <t>Application under Section 73 of the Town and Country Planning Act (as amended) for amendments to planning permission dated 04/10/2016 (ref: 2015/4504) for the demolition of all existing buildings and redevelopment of the site to provide a mixed-use development comprising 357 residential units, including affordable housing (Use Class C3) and 772 sqm of commercial / community floorspace (Use Classes A1 / A2 / A3 / B1 / D1 / D2/) within buildings ranging from 10 to 13 storeys in height, together with associated car and cycle parking, private and public open space, landscaping and infrastructure works. (The amendments include:_x000D_
Amendments to building façade and materials and relocation of façade frame; Reduction in overall building height; Amendments to the ground floor layout and building core layouts; Amendments to podium drainage; Removal of podium level attenuation; Amendments to internal apartment layouts; and Amendments to internal layouts of Block C resulting in changes to the unit mix within the shared ownership tenure and an increase of three residential units)</t>
  </si>
  <si>
    <t>2.1.20</t>
  </si>
  <si>
    <t>19-21 &amp; 31-37, Cabul Road</t>
  </si>
  <si>
    <t>Palladino House &amp; Wood House 6 &amp; 7, Laurel Close</t>
  </si>
  <si>
    <t>5.4</t>
  </si>
  <si>
    <t>Audiology House, 45 Nightingale Lane</t>
  </si>
  <si>
    <t>8 Ravensbury Terrace</t>
  </si>
  <si>
    <t>2018/0563</t>
  </si>
  <si>
    <t>Demolition of existing buildings and erection of a part 1, part 3, part 4-storey building to accommodate 9 residential dwellings (1x 1-bedroom, 7 x 2-bedroom and 1 x 3-bedroom units) and 344sq.m  of business floorspace (Class B1 use), with associated landscaping, cycle and refuse storage, and works to the river wall.</t>
  </si>
  <si>
    <t>36 Battersea Square</t>
  </si>
  <si>
    <t>Shell Savoy Filling Station, 262 York Road</t>
  </si>
  <si>
    <t>PRIVATE MARKET _ BUILD TO RENT</t>
  </si>
  <si>
    <t>67-85, Aslett Street</t>
  </si>
  <si>
    <t>1-9 Church row (part of Phase 3 Ram Brewery), Wandsworth Plain</t>
  </si>
  <si>
    <t>Land rear of 857, 857 Garratt Lane</t>
  </si>
  <si>
    <t>2017/4038</t>
  </si>
  <si>
    <t>Demolition of existing building (857E Garratt Lane) and erection of three-storey (plus basement) building to provide 4 x 1-bedroom flats and 6 x 2-bedroom flats including front and rear lightwells and front and rear balconies/roof terraces at first floor level; associated boundary treatment, refuse and cycle stores and landscaping.</t>
  </si>
  <si>
    <t>15-27, 15-27 Falcon Road</t>
  </si>
  <si>
    <t>Stag House Putney Vale Youth Centre, Stroud Crescent</t>
  </si>
  <si>
    <t>and Flanagan 133 Battersea Park Road and, 1-3 Havelock Terrace</t>
  </si>
  <si>
    <t>Garages north of 99-152, 99-152 Gideon Road</t>
  </si>
  <si>
    <t>1023-1025 Garratt Lane</t>
  </si>
  <si>
    <t>Part of Plantation Wharf, York Place, Gartons Way</t>
  </si>
  <si>
    <t>2018/0254</t>
  </si>
  <si>
    <t>Ground Floor, 280 Trinity Road</t>
  </si>
  <si>
    <t>Change of use from doctors surgery (Class D1)  to residential (Class C3)</t>
  </si>
  <si>
    <t>2018/0569</t>
  </si>
  <si>
    <t>Store rear of 27, 27 Webbs Road</t>
  </si>
  <si>
    <t>Determination as to whether prior approval is required for change of use from storage (Class B8) to residential (Class C3) to provide 1 x studio flat.</t>
  </si>
  <si>
    <t>Land west of 86-96, Garratt Lane</t>
  </si>
  <si>
    <t>2017/3542</t>
  </si>
  <si>
    <t>Second Floor Regent House, 16-18, 16-18 Lombard Road</t>
  </si>
  <si>
    <t>Determination as to whether prior approval is required for change of use from office(Class B1a)  to 4 x 1-bedroom, 3 x 2-bedroom and 4 x 3bedroom flats (Class C3).</t>
  </si>
  <si>
    <t>2017/4356</t>
  </si>
  <si>
    <t>Units 11-13 &amp; 24-25 Blades Court, 121 Deodar Road</t>
  </si>
  <si>
    <t>Determination as to whether prior approval is required for change of use from offices (Class B1a) to residential (Class C3) to provide 12 x 1 bedroom  and 3 x 2-bedroom flats.</t>
  </si>
  <si>
    <t>2017/0948</t>
  </si>
  <si>
    <t>882 and 884, 882-884 Garratt Lane</t>
  </si>
  <si>
    <t>Demolition of No. 882 including two-storey end-of-terrace building and workshop. Erection of three-storey building with habitable roofspace comprising Class A1 (retail) use to part of ground floor and 10 residential units (studio, 2 x 1-bedroom, 6 x 2-bedroom and 1 x 3-bedroom) with associated gardens and terraces/balconies.  Rear mansard roof extension to No. 884.</t>
  </si>
  <si>
    <t>2018/1456</t>
  </si>
  <si>
    <t>Irene House, 218 Balham High road</t>
  </si>
  <si>
    <t>Determination as to whether prior approval is required for change of use of office at first floor level from (Class B1a) to residential (Class C3) to provide 58 studios flats and 19 x 1-bedroom flats.</t>
  </si>
  <si>
    <t>2017/6160</t>
  </si>
  <si>
    <t>Determination as to whether prior approval is required for change of use from offices (Class B1) to 71 residential units (33 x studio flats, 19 x 1-bedroom flats, 18 x 2-bedroom flats and 1 x 3-bedroom flat) (Class C3).</t>
  </si>
  <si>
    <t>2017/6478</t>
  </si>
  <si>
    <t>St Boniface Church, Mitcham Road</t>
  </si>
  <si>
    <t>Demolition of existing church halls on the west side of St Boniface Church and erection of part two, part three-storey building to existing Mitcham Road terrace and two-storey, three-storey and four-storey buildings to the rear. To accommodate a mixed use development including a community centre  (Class D1) with ancillary offices and cafe, presbytery with four units for priests and two guest rooms, retail units (Class A1) and 10 residential units (5 x 2-bedroom and 5 x 3-bedroom). Associated car parking, cycle and refuse storage, boundary treatment and landscaping.</t>
  </si>
  <si>
    <t>2017/6864</t>
  </si>
  <si>
    <t>Land north of Grant road incl parcels of land on c/o Plough/Winstanley, Grant Road</t>
  </si>
  <si>
    <t>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t>
  </si>
  <si>
    <t>SOCIAL RENTED</t>
  </si>
  <si>
    <t>2017/6977</t>
  </si>
  <si>
    <t>Sherwood Lodge 5 bessborough road, Petersfield Rise</t>
  </si>
  <si>
    <t>The demolition of Sherwood Lodge and associated outbuildings and the construction of a four-storey building, comprising 10 residential (Class C3) units, plus improvements to existing open space and public realm, vehicular and cycle parking and refuse and recycling stores.</t>
  </si>
  <si>
    <t>2018/0272</t>
  </si>
  <si>
    <t>Pocklington Court 74, 74 Alton Road</t>
  </si>
  <si>
    <t>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t>
  </si>
  <si>
    <t>BUILDING A - EXTRA CARE</t>
  </si>
  <si>
    <t>BUILDING B - AFFORDABLE (INTERMEDIATE)</t>
  </si>
  <si>
    <t>2017/2604</t>
  </si>
  <si>
    <t>3-4 Chivalry Road</t>
  </si>
  <si>
    <t>Determination as to whether prior notification is required for change of use from offices (Class B1a) to 9 x studio flats (Class C3)</t>
  </si>
  <si>
    <t>2017/4121</t>
  </si>
  <si>
    <t>Erection of mansard roof extension to main rear roof to form a 1-bedroom flat.</t>
  </si>
  <si>
    <t>2018/1212</t>
  </si>
  <si>
    <t>Glassmill 1, 1 Battersea Bridge Road</t>
  </si>
  <si>
    <t>Determination as to whether prior approval is required for change of use from offices on first, second, third, fourth and fifth floors (Class B1(a)) to residential (Class C3) to provide 12 x 1-bedroom, 13 x 2-bedroom, 1 x 3-bedroom and 1 x 4-bedroom flats with associated basement bin/cycle storage and 23 parking spaces.</t>
  </si>
  <si>
    <t>2018/1311</t>
  </si>
  <si>
    <t>Determination as to whether prior approval is required for change of use from offices on first, second, third, fourth and fifth floors (Class B1(a)) to residential (Class C3) to provide 13 x 1-bedroom, 14 x 2-bedroom and 1 x 3-bedroom flats with associated basement bin/cycle storage and 23 parking spaces.</t>
  </si>
  <si>
    <t>0000/0307</t>
  </si>
  <si>
    <t>Car Park adjacent to Day Centre</t>
  </si>
  <si>
    <t>Surrey Lane Estate, Randall Close</t>
  </si>
  <si>
    <t>Redevelopment of car park, providing 57 units</t>
  </si>
  <si>
    <t>0000/0308</t>
  </si>
  <si>
    <t>Day Centre, 2 Randall Close</t>
  </si>
  <si>
    <t>Redevelopment of day centre, providing 40 dwellings</t>
  </si>
  <si>
    <t>0000/0252</t>
  </si>
  <si>
    <t>Market Area, Tooting High Street</t>
  </si>
  <si>
    <t>0000/0253</t>
  </si>
  <si>
    <t>St Georges Hospital Car Park, Maybury Street</t>
  </si>
  <si>
    <t>5.5</t>
  </si>
  <si>
    <t>0000/0255</t>
  </si>
  <si>
    <t>Sainsbury's Car Park, Bedford Hill</t>
  </si>
  <si>
    <t>7.1</t>
  </si>
  <si>
    <t>0000/0258</t>
  </si>
  <si>
    <t>Atheldene, Garratt Lane</t>
  </si>
  <si>
    <t>9.11</t>
  </si>
  <si>
    <t>2017/2353</t>
  </si>
  <si>
    <t>and 21a, 21 Oxford Road</t>
  </si>
  <si>
    <t>Alterations including erection of part single, part two-storey rear/side extension (basement and ground floor levels), excavation to enlarge basement including formation of side lightwell. Formation of raised rear terrace at ground floor level; erection of side dormer to main rear roof slope; erection of rear extension at first floor level; removal of trees to rear garden in connection with use as a 1-bedroom flat at basement level and 5-bedroom flat in remainder of building.</t>
  </si>
  <si>
    <t>155 Burntwood Lane</t>
  </si>
  <si>
    <t>6 Lavender Hill</t>
  </si>
  <si>
    <t>0000/0259</t>
  </si>
  <si>
    <t>10.11</t>
  </si>
  <si>
    <t>0000/0260</t>
  </si>
  <si>
    <t>Travis Perkins, 37 Lombard Road</t>
  </si>
  <si>
    <t>10.12</t>
  </si>
  <si>
    <t>28-30 Putney High Street</t>
  </si>
  <si>
    <t>435 Upper Richmond Road</t>
  </si>
  <si>
    <t>191 Replingham Road</t>
  </si>
  <si>
    <t>0000/0261</t>
  </si>
  <si>
    <t>80 Gwynne Road, 19 Lombard Road</t>
  </si>
  <si>
    <t>10.13</t>
  </si>
  <si>
    <t>0000/0263</t>
  </si>
  <si>
    <t>0000/0264</t>
  </si>
  <si>
    <t>10.8</t>
  </si>
  <si>
    <t>0000/0265</t>
  </si>
  <si>
    <t>York Road Business Centre, Yelverton Road</t>
  </si>
  <si>
    <t>10.9</t>
  </si>
  <si>
    <t>0000/0266</t>
  </si>
  <si>
    <t>Heliport Estate, Lombard Road</t>
  </si>
  <si>
    <t>192 Upper Richmond Road</t>
  </si>
  <si>
    <t>Avalon Comics &amp; Books, 143 Lavender Hill</t>
  </si>
  <si>
    <t>0000/0267</t>
  </si>
  <si>
    <t>Cable and Wireless Ballymore Site 6, 2a Battersea Park Road</t>
  </si>
  <si>
    <t>0000/0268</t>
  </si>
  <si>
    <t>Securicor Site, 80 Kirtling Street</t>
  </si>
  <si>
    <t>INTERMEDIATE</t>
  </si>
  <si>
    <t>SOCIAL/AFFORDABLE RENT</t>
  </si>
  <si>
    <t>0000/0269</t>
  </si>
  <si>
    <t>Metropolitan Police Warehouse Garage, Ponton Road</t>
  </si>
  <si>
    <t>SOCIAL/AFFORDABLE HOUSING</t>
  </si>
  <si>
    <t>0000/0270</t>
  </si>
  <si>
    <t>Causeway Island including Land to the east, The Causeway</t>
  </si>
  <si>
    <t>0000/0271</t>
  </si>
  <si>
    <t>Hunts Trucks and adjoining gasholder, Armoury Way</t>
  </si>
  <si>
    <t>INTERNEDIATE</t>
  </si>
  <si>
    <t>0000/0272</t>
  </si>
  <si>
    <t>Keltbray Site Wentworth House and adjacent land at, Dormay Street</t>
  </si>
  <si>
    <t>5 Mayford Road</t>
  </si>
  <si>
    <t>2017/2024</t>
  </si>
  <si>
    <t>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t>
  </si>
  <si>
    <t>28 Tooting Bec Road</t>
  </si>
  <si>
    <t>53 &amp; 55 Albert Bridge Road</t>
  </si>
  <si>
    <t>15 Fernthorpe Road</t>
  </si>
  <si>
    <t>Land west of River Wandle / north of electricity sub-station, Mapleton Crescent</t>
  </si>
  <si>
    <t>341 Battersea Park Road</t>
  </si>
  <si>
    <t>Land at, Stormont Road</t>
  </si>
  <si>
    <t>rear of 47/49 &amp; r/o The Studio, Ferndale and Killinhchy, Culverden Road</t>
  </si>
  <si>
    <t>34 Gambole Road</t>
  </si>
  <si>
    <t>62 Chartfield Avenue</t>
  </si>
  <si>
    <t>0000/0273</t>
  </si>
  <si>
    <t>9, 11 and 19, Osiers Road</t>
  </si>
  <si>
    <t>56 Trinity Road</t>
  </si>
  <si>
    <t>2017/4151</t>
  </si>
  <si>
    <t>64 St Johns Road</t>
  </si>
  <si>
    <t>Prior approval for change of use of first, second and third floors from offices (Class B1a) to residential use (Class C3) as 3 flats.</t>
  </si>
  <si>
    <t>176 Upper Tooting Road</t>
  </si>
  <si>
    <t>71 Lavender Hill</t>
  </si>
  <si>
    <t>2017/1971</t>
  </si>
  <si>
    <t>30 Woodborough Road</t>
  </si>
  <si>
    <t>Demolition of existing building and erection of a two-storey (plus basement and roof levels) building to provide 2 x 1-bedroom, 2 x 2-bedroom and 4 x 3-bedroom flats with front and rear roof terraces, associated landscaping, car parking, cycle and refuse storage. (REVISED DESCRIPTION)</t>
  </si>
  <si>
    <t>Garages &amp; Land west of 17 &amp; 19, 17 Sutherland Grove</t>
  </si>
  <si>
    <t>BP Nightingale Service Station, 266 Balham High Road</t>
  </si>
  <si>
    <t>Variation of condition 10 (in accordance with approved drawings) pursuant to planning permission 2015/3470 dated 4th January 2016 (Demolition of existing petrol filling station (Class Sui Generis) and redevelopment of the site including erection of a 4-7 storey building to provide 71 self-contained residential units (Class C3) (22 x 1 bedrooms, 41 x 2 bedrooms, 8 x 3 bedrooms) with associated cycle parking and landscaping) to allow design alterations in association with reconfigured layout of 69 units.alterations in association with reconfigured layout of 69 units.</t>
  </si>
  <si>
    <t>8 Ormeley Road</t>
  </si>
  <si>
    <t>0000/0274</t>
  </si>
  <si>
    <t>Feathers Wharf, The Causeway</t>
  </si>
  <si>
    <t>2017/6232</t>
  </si>
  <si>
    <t>Variation of condition 10 (in accordance with approved drawings) of planning permission 2017/1369 dated 7 July 2017 which granted 'Demolition of existing petrol filling station (Class Sui Generis) and redevelopment of the site including erection of a 4-7 storey building to provide 71 self-contained residential units (Class C3)(22 x 1 bedrooms, 41x 2 bedrooms, 8 x 3 bedrooms) with associated cycle parking and landscaping) to allow alterations in association with reconfigured layout of 69 units).) to allow alterations in association with reconfigured layout of 69 units ((20 x 1 bedrooms, 40x 2 bedrooms, 7 x 3 bedrooms, 1 x 4 bedroom and 1 studio)'.  Approved drawings to be amended by way of: Minor changes to floor plates on all levels (incl. basement); Internal reconfigurations; Minor changes to schedule of accommodation; Minor elevational alterations (omission of stallrisers, minor changes to fenestration, minor changes to configuration of materials - increased vertical emphasis)</t>
  </si>
  <si>
    <t>0000/0276</t>
  </si>
  <si>
    <t>Asda, Lidl and Boots Sites, Falcon Lane</t>
  </si>
  <si>
    <t>4.1.1</t>
  </si>
  <si>
    <t>0000/0277</t>
  </si>
  <si>
    <t>Clapham Junction Station, St Johns Hill</t>
  </si>
  <si>
    <t>4.1.4</t>
  </si>
  <si>
    <t>0000/0278</t>
  </si>
  <si>
    <t>Land on the corner of Grant Road and, Falcon Road</t>
  </si>
  <si>
    <t>0000/0279</t>
  </si>
  <si>
    <t>Winstanley/York Road Estates, Winstanley Road</t>
  </si>
  <si>
    <t>0000/0282</t>
  </si>
  <si>
    <t>Alton Estate, Danebury Avenue</t>
  </si>
  <si>
    <t>8.1.1</t>
  </si>
  <si>
    <t>0000/0283</t>
  </si>
  <si>
    <t>Chelsea Cars and KwikFit, Armoury Way</t>
  </si>
  <si>
    <t>0000/0284</t>
  </si>
  <si>
    <t>Frogmore Depot, Dormay Street</t>
  </si>
  <si>
    <t>0000/0285</t>
  </si>
  <si>
    <t>Panorama Antennas, Dormay Street</t>
  </si>
  <si>
    <t>0000/0286</t>
  </si>
  <si>
    <t>0000/0287</t>
  </si>
  <si>
    <t>Riverside Business Centre and Former Bingo Hall, Bendon Valley</t>
  </si>
  <si>
    <t>2017/3215</t>
  </si>
  <si>
    <t>ground floor, 25 Alston Road</t>
  </si>
  <si>
    <t>Alterations including erection of single-storey rear extension in connection with the change of use of ground floor from office (Class B1) to 1 x 1 bedroom flat (Class C3),</t>
  </si>
  <si>
    <t>Ground floor, 89 Replingham Road</t>
  </si>
  <si>
    <t>and Land rear of 224, 224 Tooting High Street</t>
  </si>
  <si>
    <t>11 &amp; 12 Elsynge Mansions, 21 Elsynge Road</t>
  </si>
  <si>
    <t>44 Melrose Court, Melrose Road</t>
  </si>
  <si>
    <t>563-565, 563-565 Battersea Park Road</t>
  </si>
  <si>
    <t>8 Bellevue Road</t>
  </si>
  <si>
    <t>25 Roedean Crescent</t>
  </si>
  <si>
    <t>Land adjacent Jordan Lodge, Nutwell Street</t>
  </si>
  <si>
    <t>149 Balham Hill</t>
  </si>
  <si>
    <t>161 Wimbledon Park Road</t>
  </si>
  <si>
    <t>433 Upper Richmond Road</t>
  </si>
  <si>
    <t>186-188 Balham High Road</t>
  </si>
  <si>
    <t>Land adjacent 75, 75 Putney Bridge Road</t>
  </si>
  <si>
    <t>Land and forecourt adjacent to, 44 Rowditch Lane</t>
  </si>
  <si>
    <t>Garages &amp; Forecourt 72-82, 72-82 Gaskarth Road</t>
  </si>
  <si>
    <t>10 Pickets Street</t>
  </si>
  <si>
    <t>50 Chartfield Avenue</t>
  </si>
  <si>
    <t>Land rear of 968, 968 Garratt Lane</t>
  </si>
  <si>
    <t>89 Lavender Hill</t>
  </si>
  <si>
    <t>First Floor Flat, 134 Longley Road</t>
  </si>
  <si>
    <t>8A, 8 Spencer Walk</t>
  </si>
  <si>
    <t>3 Wandle Road</t>
  </si>
  <si>
    <t>Land East of, 22 Balham New Road</t>
  </si>
  <si>
    <t>21 Totterdown Street</t>
  </si>
  <si>
    <t>163 Fallsbrook Road</t>
  </si>
  <si>
    <t>Land rear of 20-28, Taybridge Road</t>
  </si>
  <si>
    <t>2018/0078</t>
  </si>
  <si>
    <t>357-359, 357-359 Garratt Lane</t>
  </si>
  <si>
    <t>Alterations including refurbishment of commercial floorspace at basement and part ground floor levels; change of use of rear ground floor from retail (class A1) to residential (class C3) in relation to the conversion of the properties to 1 x 3 bedroom, 2 x 2 bedroom and 1 x 1 bedroom flats; alterations including first floor rear extension at no. 359, roof extensions above part of each two-storey back addition, extend existing dormer at no. 359, replacement of single-storey rear extension, roof terrace over at rear second floor level of no. 359 with screening; alterations to shopfront including reduction to the depth of the ground floor front elevation, excavations to create front lightwells with metal balustrades; creation of cycle and refuse store with access from side elevation.</t>
  </si>
  <si>
    <t>Land rear of 4, 4 Granville Road</t>
  </si>
  <si>
    <t>97 St Johns Hill</t>
  </si>
  <si>
    <t>7C, 7 Surrey Lane</t>
  </si>
  <si>
    <t>121a Mitcham Lane</t>
  </si>
  <si>
    <t>Messenger Court, 23 Upper Richmond Road</t>
  </si>
  <si>
    <t>13 Roehampton Lane</t>
  </si>
  <si>
    <t>185 Mitcham Lane</t>
  </si>
  <si>
    <t>76-87, 76-87 Arnal Crescent</t>
  </si>
  <si>
    <t>2 Brook Cottages, 103 Bolingbroke Grove</t>
  </si>
  <si>
    <t>123 Drakefield Road</t>
  </si>
  <si>
    <t>83 Clapham common North Side</t>
  </si>
  <si>
    <t>2017/1864</t>
  </si>
  <si>
    <t>8 Roedean Crescent</t>
  </si>
  <si>
    <t>Erection of a three-storey (plus basement) 6-bedroom dwelling with additional living accommodation at lower ground floor level and lightwells to the front and rear; roof terrace on rear first floor level.</t>
  </si>
  <si>
    <t>Grafton House (Brodrick Road), 197 Trinity Road</t>
  </si>
  <si>
    <t>4 flats - completed 17.04.18</t>
  </si>
  <si>
    <t>3a, Woodborough Road</t>
  </si>
  <si>
    <t>100-102, St Johns Hill</t>
  </si>
  <si>
    <t>Garages south of 19-27, 19 Skelbrook Road</t>
  </si>
  <si>
    <t>2 Alderbrook Road</t>
  </si>
  <si>
    <t>Land at  (west of HM Prison), Heathfield Square</t>
  </si>
  <si>
    <t>9.4</t>
  </si>
  <si>
    <t>67 Selkirk Road</t>
  </si>
  <si>
    <t>2017/3273</t>
  </si>
  <si>
    <t>Land adjacent 1-5, 1-5 Gowrie Road</t>
  </si>
  <si>
    <t>Erection of a three storey building plus basement to create 3 x two bedroom and 1 x one bedroom (with study) flats; Erection of roof terraces with obscure glazed screening with associated refuse and cycle storage</t>
  </si>
  <si>
    <t>38-40, 38-40 Fernlea Road</t>
  </si>
  <si>
    <t>25 Crockerton Road</t>
  </si>
  <si>
    <t>191B, 191 Latchmere Road</t>
  </si>
  <si>
    <t>930 Garratt Lane</t>
  </si>
  <si>
    <t>43 Eardley Road</t>
  </si>
  <si>
    <t>23 Huron Road</t>
  </si>
  <si>
    <t>192-194, 192-194 Tooting High Street</t>
  </si>
  <si>
    <t>133 Tooting Bec Road</t>
  </si>
  <si>
    <t>50 Keswick Road</t>
  </si>
  <si>
    <t>85 Elspeth Road</t>
  </si>
  <si>
    <t>523 Old York Road</t>
  </si>
  <si>
    <t>2A &amp; B and 12 &amp; 14, Church Lane</t>
  </si>
  <si>
    <t>2017/2098</t>
  </si>
  <si>
    <t>256-264, 256-264 Mitcham Road</t>
  </si>
  <si>
    <t>Alterations including the erection of a three storey side and rear extension; roof extensions to main rear roof and above two storey back additions; formation of roof terrace at roof level with safety surround in association with the conversion of the upper floors into 5 x 2-bedroom and 1 x 1-bedroom flats with associated refuse and cycle store.</t>
  </si>
  <si>
    <t>1 Holdernesse Road</t>
  </si>
  <si>
    <t>2017/2382</t>
  </si>
  <si>
    <t>127 Mitcham Lane</t>
  </si>
  <si>
    <t>Alterations including conversion of part of ground floor from Class A1 (retail) to Class C3 (residential) and erection of a two-storey extension on top the existing single storey rear addition to provide 1 x 2-bedroom and 4 x 1-bedroom units with access from Blegborough Road and associated cycle and refuse storage. Raising of roof to main building and rear dormer extensions to provide additional living space. Roof terraces and balconies at first, second and third floor level.</t>
  </si>
  <si>
    <t>96 Felsham Road</t>
  </si>
  <si>
    <t>2017/1835</t>
  </si>
  <si>
    <t>113 Mysore Road</t>
  </si>
  <si>
    <t>Alterations including erection of mansard roof extension to main rear roof (with French doors and safety railings) including raising the ridge by 500mm, extension above part of two-storey back-addition. Erection of single-storey rear/side extension and excavation to create basement including front and rear lightwells in connection with conversion of property into 1 x 1 bedroom, 1 x 2 bedroom and 1 x 3 bedroom flats.</t>
  </si>
  <si>
    <t>131 Tooting Bec Road</t>
  </si>
  <si>
    <t>Heathmere School Keeper's House, Alton Road</t>
  </si>
  <si>
    <t>Land at Wandsworth Riverside Quarter Phase 3 (Building 6B), Point Pleasant/Osiers Road</t>
  </si>
  <si>
    <t>3.3.1</t>
  </si>
  <si>
    <t>312 Garratt Lane</t>
  </si>
  <si>
    <t>Basement &amp; Ground Floor, 155 Battersea Park road</t>
  </si>
  <si>
    <t>2017/2885</t>
  </si>
  <si>
    <t>Erection of two-storey rear extension to enable formation of 1 x studio flat.</t>
  </si>
  <si>
    <t>298 Cavendish Road</t>
  </si>
  <si>
    <t>521 Old York Road</t>
  </si>
  <si>
    <t>2 Langside Avenue</t>
  </si>
  <si>
    <t>Alterations including re-profiling the existing main roof and back addition roof; erection of mansard roof extension to the rear roof slope; Insertion of dormer windows in the roof of the back addition; erection of front dormer and formation of roof terrace above main roof;  erection of balcony at rear first floor level; erection of single-storey rear/side extension; excavation to create basement including formation of front lightwell; use as a 5-bedroom house.</t>
  </si>
  <si>
    <t>10 Roehampton Vale</t>
  </si>
  <si>
    <t>2017/1589</t>
  </si>
  <si>
    <t>19-21, 19-21 St Andrews Court</t>
  </si>
  <si>
    <t>Demolition of existing building and erection of a three-storey (plus basement and roof accomodation) building to provide 3 x 1-bedroom, 5 x 2-bedroom and 1 x 3-bedroom flats. Provision of cycle parking and refuse storage. Associated landscaping.</t>
  </si>
  <si>
    <t>2017/1868</t>
  </si>
  <si>
    <t>11 Winthorpe Road</t>
  </si>
  <si>
    <t>Alterations including erection of dormer roof extension to main rear roof, erection of single storey rear/side extension and formation of rear roof terrace at first floor level in connection with conversion of property into single dwelling house.</t>
  </si>
  <si>
    <t>2017/2047</t>
  </si>
  <si>
    <t>78 Gilbey Road</t>
  </si>
  <si>
    <t>Erection of single-storey rear/side extension in connection with conversion of property from 2x two-bedroom units to 1 x 3-bedroom flat 1 x 2-bedroom flat 1 x 1-bedroom flat .</t>
  </si>
  <si>
    <t>2017/4681</t>
  </si>
  <si>
    <t>127 Northcote Road</t>
  </si>
  <si>
    <t>Erection of a single-storey side/rear extension to commercial unit at ground floor level. Erection of a mansard style roof extension to main rear roof with formation of roof terrace and 1.8m balustrade at second floor level over the back addition. Erection of a roof terrace and 1.8m screening at first floor level. Extensions and alterations in connection with the conversion of one residential unit to form two self-contained units ( 1 x 1-bedroom and 1 x 2-bedroom).</t>
  </si>
  <si>
    <t>2017/2871</t>
  </si>
  <si>
    <t>100 Pirbright Road</t>
  </si>
  <si>
    <t>Demolition of existing building and erection of a three-storey (including basement level) two-bedroom detached house.</t>
  </si>
  <si>
    <t>2017/2691</t>
  </si>
  <si>
    <t>31 Cathles Road</t>
  </si>
  <si>
    <t>Alterations including erection of mansard extension to main rear roof and extension above part of two-storey back addition; single storey rear/side extension and excavation to create an enlarged basement including formation of side and rear lightwells with glass over in connection with conversion of property into 2 x 3-bedroom flats.</t>
  </si>
  <si>
    <t>2017/3002</t>
  </si>
  <si>
    <t>37 Fanthorpe Street</t>
  </si>
  <si>
    <t>Alterations including erection of hip to gable and rear mansard roof extension (with French doors and safety railings) and erection of extension above two-storey rear addition.  Erection of single-storey rear/side extension in connection with the use of the property as a 5-bedroom house.</t>
  </si>
  <si>
    <t>2017/5717</t>
  </si>
  <si>
    <t>143 Disraeli Road</t>
  </si>
  <si>
    <t>Alterations including the erection of part single, part two, part three-storey side/rear extension with roof terrace at second floor level; erection of a mansard roof extension to main rear roof; installation of associated bike and bins stores in front garden;  in connection with use as 1 x 1-bedroom, 1 x 2-bedroom and 1 x 3 bedroom flats.</t>
  </si>
  <si>
    <t>2017/3276</t>
  </si>
  <si>
    <t>27 Almeric Road</t>
  </si>
  <si>
    <t>Alterations including erection of mansard roof extension to main rear roof (with French doors and safety railings) and extension above part of two-storey back addition; formation of roof terrace above  with 1.7m high screen surround; erection of single-storey rear/side extension; excavation to create an enlarge basement including formation of front and side lightwells with grille over and conversion of property to 1 x 1-bedroom, 1 x 2-bedroom and 1 x 3-bedroom flats.</t>
  </si>
  <si>
    <t>2016/6879</t>
  </si>
  <si>
    <t>80a, 80a Eardley Road</t>
  </si>
  <si>
    <t>Formation of mansard roof comprising a new self-contained one bedroom flat</t>
  </si>
  <si>
    <t>2017/3801</t>
  </si>
  <si>
    <t>29 Lindore Road</t>
  </si>
  <si>
    <t>Alterations including erection of mansard rear roof extension to main rear roof (with French doors and safety railings) including raising the ridge by 150mm and extension above part of three-storey back additon; formation of roof terrace above three-storey back addition with screen surround. Erection of single-storey rear/side extension in connection with the conversion of the property into 1x1, 1x2 and 1x3 bedroom flats, with associated cycle and refuse storage. Erection of new front boundary wall.</t>
  </si>
  <si>
    <t>2017/3856</t>
  </si>
  <si>
    <t>123a Falcon Road</t>
  </si>
  <si>
    <t>Alterations including mansard extension to main rear roof and extension over back-addition in connection with conversion of existing flat into 1 x 1-bedroom and 1 x 2-bedroom flats.</t>
  </si>
  <si>
    <t>2017/4493</t>
  </si>
  <si>
    <t>14 Cornford Grove</t>
  </si>
  <si>
    <t>Alterations including erection of a hip to gable side roof extension; the erection of a mansard roof extension to main rear roof (with french doors), erection of single storey rear extension with terrace and railings surround above in connection with the change of use of property into 2 x 2-bedroom and 1 x 3-bedroom flats.</t>
  </si>
  <si>
    <t>2017/4170</t>
  </si>
  <si>
    <t>155 Trevelyan Road</t>
  </si>
  <si>
    <t>Alterations including erection of mansard roof extension to main rear roof (with French doors and safety railings) and extension above part of two-storey back addition. Erection of single-storey rear/side extensions in connection with conversion of property into 5 bedroom single dwelling.</t>
  </si>
  <si>
    <t>2017/5589</t>
  </si>
  <si>
    <t>32/32a, 32/32a Hoyle Road</t>
  </si>
  <si>
    <t>Alterations and extensions including the enlargement of the three-storey back addition, enlargement of the existing two storey extension and erection of a single storey ground floor extension in connection with conversion of property into 1 x 1 bedroom, 1 x 2 bedroom and 1 x 3 bedroom flats with associated landscaping and cycle/bin storage.</t>
  </si>
  <si>
    <t>2017/6236</t>
  </si>
  <si>
    <t>Du Cane Court Shop Du Cane Court, Balham High Road</t>
  </si>
  <si>
    <t>2017/6256</t>
  </si>
  <si>
    <t>ground floor, 185 Replingham Road</t>
  </si>
  <si>
    <t>Alterations including replacement fenestration to front and side elevations in connection with change of use from physiotherapy practice (Class D1) to a 1-bedroom flat (Class C3).</t>
  </si>
  <si>
    <t>2017/6649</t>
  </si>
  <si>
    <t>42 Parma Crescent</t>
  </si>
  <si>
    <t>Alterations including erection of mansard roof extension (with French doors and safety railings); erection of single-storey side extension; French doors and safety railings at rear first floor level and excavation to enlarge basement including formation of front and side/rear lightwells in connection with conversion of property into 1 x 1-bedroom, 1 x 2-bedroom and 1 x 3 bedroom flats.</t>
  </si>
  <si>
    <t>Wandsworth Local Plan – Authority Monitoring Report 2017/18
Housing Policy Performance Report – Summary Tables</t>
  </si>
  <si>
    <t>Existing Hostel Rooms</t>
  </si>
  <si>
    <t>Proposed Hostel Rooms</t>
  </si>
  <si>
    <t>Net Hostel Rooms</t>
  </si>
  <si>
    <t>Existing Home Rooms</t>
  </si>
  <si>
    <t>Proposed Home Rooms</t>
  </si>
  <si>
    <t>Net Home Rooms</t>
  </si>
  <si>
    <t>Existing Staff Rooms</t>
  </si>
  <si>
    <t>Proposed Staff Rooms</t>
  </si>
  <si>
    <t>Net Staff Rooms</t>
  </si>
  <si>
    <t>Existing Student Rooms</t>
  </si>
  <si>
    <t>Proposed Student Rooms</t>
  </si>
  <si>
    <t>Net Student Rooms</t>
  </si>
  <si>
    <t>Existing House in Multiple Occupation Rooms</t>
  </si>
  <si>
    <t>Proposed House in Multiple Occupation Rooms</t>
  </si>
  <si>
    <t>Net House in Multiple Occupation Rooms</t>
  </si>
  <si>
    <t>Existing Non-Self-Contained Rooms</t>
  </si>
  <si>
    <t>Proposed Non-Self-Contained Rooms</t>
  </si>
  <si>
    <t>Net Non-Self-Contained Rooms</t>
  </si>
  <si>
    <t>Non-Self-Contained Rooms Construction Date</t>
  </si>
  <si>
    <t>Non-Self-Contained Rooms Completion Date</t>
  </si>
  <si>
    <t>Special Needs</t>
  </si>
  <si>
    <t>Special Needs Type</t>
  </si>
  <si>
    <t>2016/1515</t>
  </si>
  <si>
    <t>Laetus Lodge Care Home</t>
  </si>
  <si>
    <t>171-173 Tooting High Street</t>
  </si>
  <si>
    <t>Erection of roof extension to rear addition (on Sellincourt Road frontage) to form an additional floor to provide 3 bedrooms to care home supported living facility for the purpose of adults with learning disabilities.</t>
  </si>
  <si>
    <t>Learning Difficulties</t>
  </si>
  <si>
    <t>2015/0260</t>
  </si>
  <si>
    <t>63 Elspeth Road</t>
  </si>
  <si>
    <t>Change of use of property from House of Multiple Occupancy (6 residents, Class Use C4) to large House of Multiple Occupancy (7 residents, Class Use sui-generis).</t>
  </si>
  <si>
    <t>2017/4355</t>
  </si>
  <si>
    <t>Trinity Court Nursing Home, 165-167 Trinity Road</t>
  </si>
  <si>
    <t>Erection of single storey (plus habitable roofspace) detached 10-bedroom residential building ancillary to Trinity Court Nursing Home.</t>
  </si>
  <si>
    <t>2018/1058</t>
  </si>
  <si>
    <t>Erection of single storey (plus habitable roofspace) detached 8-bedroom residential building ancillary to Trinity Court Nursing Home.</t>
  </si>
  <si>
    <t>2018/1201</t>
  </si>
  <si>
    <t>Retention of use of upper two floors as backpackers hostel (Sui Generis)</t>
  </si>
  <si>
    <t>2018/0669</t>
  </si>
  <si>
    <t>Cedars Hall 141, 141 Welham Road</t>
  </si>
  <si>
    <t>Erection of two-storey extension over the existing two-storey element of the existing student accommodation building at the Cedars Hall to provide 34 x 1 bed 1 person units.</t>
  </si>
  <si>
    <t>2016/2580</t>
  </si>
  <si>
    <t>207 Arabella Drive</t>
  </si>
  <si>
    <t>Erection of an additional storey over the existing three storey building with external alterations and second floor extension to the south elevation, to create an additional 25 client rooms. Extension to refuse store and provision of covered cycle area.</t>
  </si>
  <si>
    <t>2012/4983</t>
  </si>
  <si>
    <t>180-186 Upper Tooting Road</t>
  </si>
  <si>
    <t>Demolition of the existing buildings, with the retention &amp; restoration of the RACS building facade and redevelopment of the remainder of the site to provide a part single/part four/part five-storey building to provide up to 4 new shops for use within classes A1-A5 (retail, financial and professional services, restaurant, pub and bar, takeaway); a hotel (83 bedrooms);  a non residential Institution/community use (Class D1) : student accommodation 75 rooms; 60 car parking spaces and 62 cycle parking space, servicing and landscaping.</t>
  </si>
  <si>
    <t>2015/1735</t>
  </si>
  <si>
    <t>Queen Elizabeth House, 99 Nightingale Lane</t>
  </si>
  <si>
    <t>Conversion of former caretakers apartment into 2 self-contained supported living studios (Class C2 use).</t>
  </si>
  <si>
    <t>2015/7536</t>
  </si>
  <si>
    <t>St Anthonys Court, 49 Foxbourne Road</t>
  </si>
  <si>
    <t>Erection of an additional storey (within a pitched roof and including raising the ridge height) to create 13 additional self contained units for sheltered housing (Use Class C2).  Alterations to the building including widening of the two existing fire escape staircases located on north-eastern and western elevations and provision of refuse and cycle storage.</t>
  </si>
  <si>
    <t>2017/0258</t>
  </si>
  <si>
    <t>9 Clavering Place</t>
  </si>
  <si>
    <t>Change of use from a House of Multiple Occupation (Class C4) to a larger House of Multiple Occupation (Sui Generis) by allowing an additional bedroom to be used.</t>
  </si>
  <si>
    <t>Elderly With Warden</t>
  </si>
  <si>
    <t>2018/0263</t>
  </si>
  <si>
    <t>The Bedford, 77 Bedford Hill</t>
  </si>
  <si>
    <t>Alterations including change of second floor function room, kitchen and ancillary rooms to guest bedrooms (increase total from 10 to 15 bedrooms at second and third floor levels) (Class A4/C1 use - public house with guest rooms). Erection of a single-storey rear extension. (Accompanying listed building application ref.2018/0341)</t>
  </si>
  <si>
    <t>U</t>
  </si>
  <si>
    <t>2016/6438</t>
  </si>
  <si>
    <t>Former Garage, 39-41 East Hill</t>
  </si>
  <si>
    <t>Demolition of existing buildings and erection of four to six storey (plus basement) care home (Class C2) to accommodate 100 residents; west facing roof terraces and associated landscaping, parking (cycle store, 17 spaces for cars and 2 minibus spaces in basement) accessed from Huguenot Place.</t>
  </si>
  <si>
    <t>9.5</t>
  </si>
  <si>
    <t>2016/5617</t>
  </si>
  <si>
    <t>Longhedge, 313 Battersea Park Road</t>
  </si>
  <si>
    <t>Alterations and extensions to existing (Class C2) care home, including the creation of two additional storeys at third and fourth floor, single-storey side extension and partial infill of existing courtyard to provide a 108 bed care home (78 care beds and 30 new assisted living suites). Alterations to main entrance, amendments to existing facades including installation of new windows, creation of glazed garden room, enhancements to landscaping, remodelling of car park and associated works.</t>
  </si>
  <si>
    <t>Phasing Notes</t>
  </si>
  <si>
    <t>2033/34</t>
  </si>
  <si>
    <t>2034/35</t>
  </si>
  <si>
    <t>2035/36</t>
  </si>
  <si>
    <t>2036/37</t>
  </si>
  <si>
    <t>2037/38</t>
  </si>
  <si>
    <t>d × 5</t>
  </si>
  <si>
    <t>e × 0.05</t>
  </si>
  <si>
    <t>h / d</t>
  </si>
  <si>
    <t>a − b</t>
  </si>
  <si>
    <t>Performance against London Plan target</t>
  </si>
  <si>
    <t>London Plan target 1 April 2015 to 31 March 2025</t>
  </si>
  <si>
    <t>Net completions 1 April 2015 to 31 March 2018</t>
  </si>
  <si>
    <t>Remaining London Plan target 1 April 2018 to 31 March 2025</t>
  </si>
  <si>
    <t>c / 7 years</t>
  </si>
  <si>
    <t>Five year requirement including 5% buffer</t>
  </si>
  <si>
    <t>Five year land supply as a percentage of requirement (excluding 5% buffer)</t>
  </si>
  <si>
    <t>Five year land supply in years (excluding 5% buffer)</t>
  </si>
  <si>
    <t>Delivery in 10 Years</t>
  </si>
  <si>
    <t>Included in Phasing</t>
  </si>
  <si>
    <t>Private</t>
  </si>
  <si>
    <t>07 SHLAA Potential Sites</t>
  </si>
  <si>
    <t>08 SHLAA Small Sites</t>
  </si>
  <si>
    <t>2011/5618</t>
  </si>
  <si>
    <t>Demolition of existing commercial buildings at rear and erection of three storey building to provide 3 x 2-bedroom flats; alterations to frontage building including erection of four storey side and two storey rear extensions and roof extension to provide 3 x 1-bedroom and 1 x 2-bedroom flats with second floor level rear roof terraces and cafe (Class A3) on the ground floor including provision of 6 off street parking spaces and cycle parking accessed from adjoining site at no.255.</t>
  </si>
  <si>
    <t>09 Completion Correction</t>
  </si>
  <si>
    <t>2013/6131</t>
  </si>
  <si>
    <t>Re-modelling of the existing building including the erection of two additional storeys and four-storey rear extension to the building to provide 8 residential units with terraces; two Class A1 retail units at ground floor. Car and cycle parking at rear lower ground floor level.</t>
  </si>
  <si>
    <t>EX</t>
  </si>
  <si>
    <t>2014/5052</t>
  </si>
  <si>
    <t>160 Falcon Road</t>
  </si>
  <si>
    <t>Change of use of ground, first, second, third and fourth floors from office (B1 use class) to residential (C3 use Class), to provide 62 residential flats comprising of a mix of 18 x  1 bedroom, 36 x 2 bedroom and 8 x 3 bedroom flats. (Prior Approval Application).</t>
  </si>
  <si>
    <t>Sum of Phase Net Units</t>
  </si>
  <si>
    <t>Sum of Net Non-Self-Contained Rooms</t>
  </si>
  <si>
    <t>Column Labels</t>
  </si>
  <si>
    <t xml:space="preserve">Provision 
(30% of Plan Period)   </t>
  </si>
  <si>
    <t>(blank)</t>
  </si>
  <si>
    <t>Total Sum of Phase Net Units</t>
  </si>
  <si>
    <t>Total Sum of Phase Proposed Units</t>
  </si>
  <si>
    <t>Sum of Phase Proposed Units</t>
  </si>
  <si>
    <t>Completed 2017/18</t>
  </si>
  <si>
    <t>Total Pipeline at 31 March 2018</t>
  </si>
  <si>
    <t>Net units granted planning permission, started and completed during the period 2001/02 to 2017/18</t>
  </si>
  <si>
    <t>Net units granted planning permission, started and completed in 2017/18 by development type</t>
  </si>
  <si>
    <t>Net units granted planning permission, started or completed in 2017/18 by tenure</t>
  </si>
  <si>
    <t>Net completions by tenure and financial year (2001/02 to 2017/18)</t>
  </si>
  <si>
    <t>Housing land capacity at 31 March 2018, by tenure</t>
  </si>
  <si>
    <t>Housing land capacity at 31 March 2018</t>
  </si>
  <si>
    <t>Net affordable housing completions against Local Plan target (2015/16 to 2019/20)</t>
  </si>
  <si>
    <t>Y Total</t>
  </si>
  <si>
    <t>(blank) Total</t>
  </si>
  <si>
    <t>Net completions by development type (2001/02 to 2017/18)</t>
  </si>
  <si>
    <t>Net units starts by tenure and financial year (2001/02 to 2017/18)</t>
  </si>
  <si>
    <t>Net units with new planning permission by development type (2001/02 to 2017/18)</t>
  </si>
  <si>
    <t>Net completions in town centres</t>
  </si>
  <si>
    <t>Net completions in regeneration areas</t>
  </si>
  <si>
    <t>(Multiple Items)</t>
  </si>
  <si>
    <t>Nine Elms and North-East Battersea</t>
  </si>
  <si>
    <t>Thames Policy Area Excluding Nine Elms, North-East Battersea, Central Wandsworth and the Wandle Delta</t>
  </si>
  <si>
    <t>Net units by ward with planning permission not started or under construction as at 31 March 2018 or completed in 2017/18</t>
  </si>
  <si>
    <t>Net units in VNEB by tenure with planning permissions not started or under construction as at 31 March 2018 or completed in 2017/18</t>
  </si>
  <si>
    <t>01 Completion Total</t>
  </si>
  <si>
    <t>02 Under Construction Total</t>
  </si>
  <si>
    <t>03 Planning Total</t>
  </si>
  <si>
    <t>09 Completion Correction Total</t>
  </si>
  <si>
    <t>Sum of Net Studio Units</t>
  </si>
  <si>
    <t>Sum of Net 1 Bed Units</t>
  </si>
  <si>
    <t>Sum of Net 2 Bed Units</t>
  </si>
  <si>
    <t>Sum of Net 3 Bed Units</t>
  </si>
  <si>
    <t>Sum of Net 4 Bed Units</t>
  </si>
  <si>
    <t>Sum of Net 5+ Bed Units</t>
  </si>
  <si>
    <t>Sum of Net Not Known Bed Units</t>
  </si>
  <si>
    <t>(All)</t>
  </si>
  <si>
    <t>Five year housing land supply calculation (Scenario 1)</t>
  </si>
  <si>
    <t>k</t>
  </si>
  <si>
    <t>j+</t>
  </si>
  <si>
    <t>Houses &gt; Houses</t>
  </si>
  <si>
    <t>Vertical Extension</t>
  </si>
  <si>
    <t>Change of Use</t>
  </si>
  <si>
    <t>Conversions (gross proposed units completions)</t>
  </si>
  <si>
    <t>Conversions (gross proposed units with planning permission)</t>
  </si>
  <si>
    <t>Net Additional Dwellings</t>
  </si>
  <si>
    <t>Housing Supply</t>
  </si>
  <si>
    <t>h / e</t>
  </si>
  <si>
    <t>Note: Pipeline includes some dwellings expected to be completed beyond the phasing to 2037/38 shown in Scenario 1</t>
  </si>
  <si>
    <t>Scenario 1</t>
  </si>
  <si>
    <t>New build sites completed by 31 March 2018</t>
  </si>
  <si>
    <t>Completions between 1 April 2017 and 31 March 2018 are counted in the reporting year (2017/18).</t>
  </si>
  <si>
    <t>Scenario 2</t>
  </si>
  <si>
    <t>New build sites of less than twenty new residential units under construction at 31 March 2018</t>
  </si>
  <si>
    <t>New build sites of twenty or more new residential units under construction at 31 March 2018</t>
  </si>
  <si>
    <t xml:space="preserve">New build sites with unimplemented planning permission (full, outline or subject to legal agreement) at 31 March 2018 for less than six new residential units </t>
  </si>
  <si>
    <t>New build sites with applications or appeals outstanding at 31 March 2018</t>
  </si>
  <si>
    <t>New build sites with unimplemented planning permission (full, outline or subject to legal agreement) at 31 March 2018 for six or more new residential units</t>
  </si>
  <si>
    <t>Conversion, change of use, extension or mixed development sites completed by 31 March 2018</t>
  </si>
  <si>
    <t>Conversion, change of use, extension or mixed development sites under construction at 31 March 2018</t>
  </si>
  <si>
    <t>Identified sites outside of VNEB</t>
  </si>
  <si>
    <t>Phasing and capacity figures are based on the broad assumptions used in the London Strategic Housing Land Availability Assessment (SHLAA) 2017 (constrained capacity figures). Figures used are estimates and do not necessarily reflect or pre-determine the acceptable housing capacity of a site. The appropriate level of development for any given site would be determined through planning application discussions with the Council and reflect the planning policies in place at the time. Inclusion of a site in the development pipeline is not an indication that the site will definitely come forward for development.</t>
  </si>
  <si>
    <t>Identified sites in VNEB</t>
  </si>
  <si>
    <t>As Scenario 1, but using delayed scenarios from the 2018 and 2016 phasing studies.</t>
  </si>
  <si>
    <t>SHLAA potential sites</t>
  </si>
  <si>
    <t>SHLAA small sites trend</t>
  </si>
  <si>
    <r>
      <t xml:space="preserve">Based on the </t>
    </r>
    <r>
      <rPr>
        <i/>
        <sz val="9"/>
        <rFont val="Arial"/>
        <family val="2"/>
      </rPr>
      <t>Vauxhall Nine Elms Battersea Opportunity Area Developer Phasing Study 2018</t>
    </r>
    <r>
      <rPr>
        <sz val="9"/>
        <rFont val="Arial"/>
        <family val="2"/>
      </rPr>
      <t xml:space="preserve">, using delivery information provided by developers, or where this was not available, the </t>
    </r>
    <r>
      <rPr>
        <i/>
        <sz val="9"/>
        <rFont val="Arial"/>
        <family val="2"/>
      </rPr>
      <t>2016 Update to Phasing of Development and Infrastructure Funding Requirements in the Nine Elms Vauxhall Area</t>
    </r>
    <r>
      <rPr>
        <sz val="9"/>
        <rFont val="Arial"/>
        <family val="2"/>
      </rPr>
      <t>, undertaken by BNP Paribas Real Estate. Site capacity is based on extant planning permissions, or other assumptions about the site.</t>
    </r>
  </si>
  <si>
    <t>These are SHLAA 2017 high probability sites. However, due to the probability approach to assessing potential sites, information on individual potential sites is confidential. The release of detailed information on these sites could lead to misunderstanding as to its status and to its misapplication. Therefore the total for all potential sites is shown in the trajectory. Phasing is matched to the SHLAA 2017.</t>
  </si>
  <si>
    <t>Conversion, change of use, extension or mixed development sites with applications or appeals outstanding at 31 March 2018</t>
  </si>
  <si>
    <t>Details/reserve matters</t>
  </si>
  <si>
    <t>Expired permission</t>
  </si>
  <si>
    <t>No status - identified potential</t>
  </si>
  <si>
    <t>Minor material amendment</t>
  </si>
  <si>
    <t>Non-material amendment</t>
  </si>
  <si>
    <t>Subdivision of houses creating more houses</t>
  </si>
  <si>
    <t>Subdivision of houses reducing number of houses</t>
  </si>
  <si>
    <t>j-</t>
  </si>
  <si>
    <t>Conventional Supply Housing Trajectory Assumptions</t>
  </si>
  <si>
    <t>There are two trajectories for conventional (self-contained) housing supply. They both use the same capacity figures however vary in the phasing assumptions. Scenario 1 is the current expected delivery of housing. Scenario 2 factors in some potential delays. Details of the assumptions made in each of the scenarios are below.</t>
  </si>
  <si>
    <t>Non-Self-Contained Supply Trajectory Assumptions</t>
  </si>
  <si>
    <t>There is only one non-self-contained housing supply trajectory. Details of the assumptions made are below.</t>
  </si>
  <si>
    <t>Note: All dwelling counts in the following tables, Tables 1c–20, are of conventional supply.</t>
  </si>
  <si>
    <t>Phasing based on responses of developers and agents following the annual survey of applicants and agents.</t>
  </si>
  <si>
    <t>3A</t>
  </si>
  <si>
    <t>3B</t>
  </si>
  <si>
    <t>5A</t>
  </si>
  <si>
    <t>Eastern Parcel Block A</t>
  </si>
  <si>
    <t>Eastern Parcel Block B</t>
  </si>
  <si>
    <t>Eastern Parcel Block C</t>
  </si>
  <si>
    <t>Eastern Parcel Block D</t>
  </si>
  <si>
    <t>Western Parcel</t>
  </si>
  <si>
    <t>Brooks Court</t>
  </si>
  <si>
    <t>1-10, Cringle Street</t>
  </si>
  <si>
    <t>2.1.23</t>
  </si>
  <si>
    <t>0000/0310</t>
  </si>
  <si>
    <t>0000/0311</t>
  </si>
  <si>
    <t>Kirtling Wharf</t>
  </si>
  <si>
    <t>Cemex Battersea Plant, Cringle Street</t>
  </si>
  <si>
    <t>0000/0312</t>
  </si>
  <si>
    <t>0000/0313</t>
  </si>
  <si>
    <t>2.1.7</t>
  </si>
  <si>
    <t>Garages west of, 13 Limpsfield Avenue</t>
  </si>
  <si>
    <t>Ferrier Industrial Estate, Ferrier Street</t>
  </si>
  <si>
    <t>Garages north of Fordyce House, Colson way</t>
  </si>
  <si>
    <t>Assumed undeliverable in the five year supply period. Phased later in the trajectory between 2022/23 and 2024/25.</t>
  </si>
  <si>
    <t>Where it has not been possible to contact the applicant or agent and no alternative source of phasing is available sites are phased between 2019/20 and 2022/23.</t>
  </si>
  <si>
    <t>Phased between 2019/20 and 2022/23.</t>
  </si>
  <si>
    <t>Phased between 2019/20 and 2023/24.</t>
  </si>
  <si>
    <t>Phased between 2022/23 and 2024/25.</t>
  </si>
  <si>
    <t>121-135 Putney High Street</t>
  </si>
  <si>
    <t>7-11 St Johns Hill</t>
  </si>
  <si>
    <t>15a Selkirk Road</t>
  </si>
  <si>
    <t>Pending application on sites with permission</t>
  </si>
  <si>
    <t>Sites with applications or appeals outstanding and an existing permission are assumed to develop using the existing permission.</t>
  </si>
  <si>
    <t>Conversion, change of use, extension or mixed development sites with unimplemented planning permission (full, outline or subject to legal agreement) for less than six new residential units at 31 March 2018</t>
  </si>
  <si>
    <t>Conversion, change of use, extension or mixed development sites with unimplemented planning permission (full, outline or subject to legal agreement) for six or more new residential units at 31 March 2018</t>
  </si>
  <si>
    <t>Sites are phased between 2018/19 and 2021/22.</t>
  </si>
  <si>
    <t>5B</t>
  </si>
  <si>
    <t xml:space="preserve">Phasing based on responses of developers and agents following the annual survey of applicants and agents. </t>
  </si>
  <si>
    <t>Where it has not been possible to contact the applicant or agent and no alternative source of phasing is available sites are phased between 2021/22 and 2023/24.</t>
  </si>
  <si>
    <t>Where it has not been possible to contact the applicant or agent and no alternative source of phasing is available, the site is still assumed deliverable but to take account of potential un-assessed constraints including viability, delivery is assumed between 2022/23 and 2024/25.</t>
  </si>
  <si>
    <t>9C</t>
  </si>
  <si>
    <t>Where it has not been possible to contact the applicant or agent and no alternative source of phasing is available sites are phased between 2018/19 and 2021/22.</t>
  </si>
  <si>
    <t>Sites requiring correction</t>
  </si>
  <si>
    <t>Completions incorrectly recorded in previous years' reports are identified.</t>
  </si>
  <si>
    <t>2A</t>
  </si>
  <si>
    <t>2B</t>
  </si>
  <si>
    <t>Checked against annual site survey, building control and council tax records, sites known to be under construction between 1 April 2017 and 30 September 2017 are phased in 2018/19.</t>
  </si>
  <si>
    <t>Sites not known to be under construction in the first six months of 2017/18 are phased between 2018/19 and 2019/20.</t>
  </si>
  <si>
    <t>8A</t>
  </si>
  <si>
    <t>8B</t>
  </si>
  <si>
    <t>Checked against annual site survey, building control and council tax records, sites known to be under construction between 1 April 2017 and 30 September 2017 are phased in the current year (2018/19).</t>
  </si>
  <si>
    <t>Sites completed by 31 March 2018</t>
  </si>
  <si>
    <t>Sites of less than fifty new rooms under construction at 31 March 2018</t>
  </si>
  <si>
    <t>Sites of fifty or more new rooms under construction at 31 March 2018</t>
  </si>
  <si>
    <t>Sites with unimplemented planning permission (full, outline or subject to legal agreement) at 31 March 2018 for less than fifty new rooms</t>
  </si>
  <si>
    <t>Sites with applications or appeals outstanding at 31 March 2018</t>
  </si>
  <si>
    <t>Sites with unimplemented planning permission (full, outline or subject to legal agreement) at 31 March 2018 for fifty or more new rooms</t>
  </si>
  <si>
    <t>The 2017 SHLAA includes a trend- and model-based approach for sites less than 0.25 ha. Therefore, in the trajectory, all identified sites less than 0.25 ha have been removed. The trend rate rather than the model-based approach has been used as this is consistent with previous years' reporting, and data is available to report on this at a ward level. The small sites trend is only applied from 2020/21 onwards to avoid any potential double counting for those small sites which already have planning permission and are therefore included elsewhere.</t>
  </si>
  <si>
    <t>Phased later in the trajectory between 2022/23 and 2024/25.</t>
  </si>
  <si>
    <t>N</t>
  </si>
  <si>
    <t>2016/3733 used for phasing</t>
  </si>
  <si>
    <t>2014/1471 used for phasing</t>
  </si>
  <si>
    <t>2017/1604 used for phasing</t>
  </si>
  <si>
    <t>2016/7167 used for phasing</t>
  </si>
  <si>
    <t>2017/3886 used for phasing</t>
  </si>
  <si>
    <t>2017/3099 used for phasing</t>
  </si>
  <si>
    <t>2015/7118 used for phasing</t>
  </si>
  <si>
    <t>2017/0847 used for phasing</t>
  </si>
  <si>
    <t>2015/0317 used for phasing</t>
  </si>
  <si>
    <t>2015/4168 used for phasing</t>
  </si>
  <si>
    <t>2016/5294 used for phasing</t>
  </si>
  <si>
    <t>2016/5017 used for phasing</t>
  </si>
  <si>
    <t>2017/0805 used for phasing</t>
  </si>
  <si>
    <t>2017/3427 used for phasing</t>
  </si>
  <si>
    <t>2017/5060 used for phasing</t>
  </si>
  <si>
    <t>2017/5575 used for phasing</t>
  </si>
  <si>
    <t>2017/6160 used for phasing</t>
  </si>
  <si>
    <t>0000/0279 used for phasing</t>
  </si>
  <si>
    <t>2018/1178 used for phasing</t>
  </si>
  <si>
    <t>2017/5836 used for phasing</t>
  </si>
  <si>
    <t>2018/1311 used for phasing</t>
  </si>
  <si>
    <t>Other Applications at Plantation Wharf used for phasing</t>
  </si>
  <si>
    <t>2017/4726 used for phasing</t>
  </si>
  <si>
    <t>2018/1058 used for phasing</t>
  </si>
  <si>
    <t>Scenarios 1 and 2</t>
  </si>
  <si>
    <t>Scenario 1 (Expected Delivery) Trajectory</t>
  </si>
  <si>
    <t>London Plan Period</t>
  </si>
  <si>
    <t>2011 London Plan</t>
  </si>
  <si>
    <t>2015 Further Alterations to the London Plan</t>
  </si>
  <si>
    <t>2015 Further Alterations to the London Plan (Continued)</t>
  </si>
  <si>
    <t>Years of Plan Remaining</t>
  </si>
  <si>
    <t>Past Completions</t>
  </si>
  <si>
    <t>Projected Completions</t>
  </si>
  <si>
    <t>Cumulative Completions over Plan Period</t>
  </si>
  <si>
    <t>Target</t>
  </si>
  <si>
    <t>Cumulative Target over Plan Period</t>
  </si>
  <si>
    <t>Delivery against Target</t>
  </si>
  <si>
    <t>Cumulative Completions above Cumulative Target</t>
  </si>
  <si>
    <t>Managed Annual Target Taking Account of Past and Projected Completions</t>
  </si>
  <si>
    <t>Extension</t>
  </si>
  <si>
    <t>Where it has not been possible to contact the applicant or agent and no alternative source of phasing is available sites are phased between 2019/20 and 2023/24.</t>
  </si>
  <si>
    <t>Scenario 2 (Delayed Delivery) Trajectory</t>
  </si>
  <si>
    <t>Completions (60% of Target Period)</t>
  </si>
  <si>
    <t>Phase 7 (RS-WF)</t>
  </si>
  <si>
    <t>2016/5098</t>
  </si>
  <si>
    <t>Phase 1 (RS-1) Remaining</t>
  </si>
  <si>
    <t>Details of the scale of the buildings and structures, external appearance of those buildings and structures including facing materials, and landscaping (Condition 3) in relation to Phase 1 (Development Zone RS-1) of the Battersea Power Station development of outline planning permission dated 23rd August 2011 (ref.2009/3575) for restoration, extension, alterations and conversion of the Power Station building and demolition of other buildings and development of the land surrounding the Power Station to provide a mix of uses and open space and landscaping works. (The application consists of a partial resubmission of reserved matters relating to Phase 1 as approved 20/12/12 (ref. 2012/4584), 08/05/13 (ref. 2013/1192), 20/12/13 (ref. 2013/4229) and 02/11/2015 (ref. 2015/2320) (and also constitutes a consolidation of decision notices in relation to Phase 1 Reserve Matters)</t>
  </si>
  <si>
    <t>2017/1247</t>
  </si>
  <si>
    <t>Application under Section 96a of the Town and Country Planning Act for non-material amendments to planning permission 2013/6639 approved 29/04/2014 for the restoration, extension, alterations and conversion of the Battersea Power Station and redevelopment of the surrounding land (the amendments relate to confirmation of additional demolition and repair works, reconfiguration of retail layouts, the change of use of the hotel to an office/members club, the creation of a publically accessible south terrace, the removal of the body of water between the Halo Road and the Power Station and replacement 'Circle Garden' and creation of three retail pods within the 'Circle Garden').</t>
  </si>
  <si>
    <t>Phase 6 (RS-2)</t>
  </si>
  <si>
    <t>S106</t>
  </si>
  <si>
    <t>Phase 4 (RS-5)</t>
  </si>
  <si>
    <t>2017/0319</t>
  </si>
  <si>
    <t>Cringle Dock</t>
  </si>
  <si>
    <t>Cringle Street</t>
  </si>
  <si>
    <t>Application under Section 73 of the Town and Country Planning Act (as amended) for amendments to planning permission (ref:2015/6357) dated 4th July 2016 for demolition of the existing waste transfer station and associated structures; retention of the existing dock and redevelopment of the site to provide a new enclosed waste transfer station and associated facilities (use class Sui Generis) with new buildings located above the transfer station containing residential and ancillary residential facilities (Use Class C3); provision of areas of hard and soft landscaping and a new riverfront path; works to provide vehicular accesses on Cringle Street; provision of basement car parking, related works to integrate the development with the adjoining  Battersea Power Station Masterplan development and other associated works (application for outline planning permission with detailed elements provided in relation to the new waste transfer station). (The Amendments include the introduction of flexible A1/A3/D2 uses in place of the ancillary wharf use).</t>
  </si>
  <si>
    <t>Phase 4A (A1.1, A1.2 and A1.3)</t>
  </si>
  <si>
    <t>Phase 4A (A1.4 and A1.5)</t>
  </si>
  <si>
    <t>Phase 4A (A2 and A3)</t>
  </si>
  <si>
    <t>Last updated 17/5/2019</t>
  </si>
  <si>
    <t>For more information email planninginformation@wandsworth.gov.uk or call Planning Information on 020 8871 7620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</si>
</sst>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39" x14ac:knownFonts="1">
    <font>
      <sz val="10"/>
      <color theme="1"/>
      <name val="Arial"/>
      <family val="2"/>
    </font>
    <font>
      <sz val="10"/>
      <color theme="1"/>
      <name val="Arial"/>
      <family val="2"/>
    </font>
    <font>
      <sz val="10"/>
      <name val="Arial"/>
      <family val="2"/>
    </font>
    <font>
      <sz val="8"/>
      <name val="Arial"/>
      <family val="2"/>
    </font>
    <font>
      <sz val="9"/>
      <name val="Arial"/>
      <family val="2"/>
    </font>
    <font>
      <b/>
      <sz val="9"/>
      <name val="Arial"/>
      <family val="2"/>
    </font>
    <font>
      <b/>
      <sz val="8"/>
      <name val="Arial"/>
      <family val="2"/>
    </font>
    <font>
      <sz val="8"/>
      <name val="Arial"/>
      <family val="2"/>
    </font>
    <font>
      <sz val="9"/>
      <color indexed="10"/>
      <name val="Arial"/>
      <family val="2"/>
    </font>
    <font>
      <sz val="10"/>
      <color indexed="8"/>
      <name val="Arial"/>
      <family val="2"/>
    </font>
    <font>
      <sz val="8"/>
      <color indexed="8"/>
      <name val="Arial"/>
      <family val="2"/>
    </font>
    <font>
      <sz val="8"/>
      <color indexed="10"/>
      <name val="Arial"/>
      <family val="2"/>
    </font>
    <font>
      <b/>
      <sz val="8"/>
      <color indexed="17"/>
      <name val="Arial"/>
      <family val="2"/>
    </font>
    <font>
      <b/>
      <sz val="10"/>
      <name val="Arial"/>
      <family val="2"/>
    </font>
    <font>
      <b/>
      <sz val="11"/>
      <name val="Arial"/>
      <family val="2"/>
    </font>
    <font>
      <b/>
      <sz val="16"/>
      <name val="Arial"/>
      <family val="2"/>
    </font>
    <font>
      <b/>
      <sz val="18"/>
      <color theme="3"/>
      <name val="Arial"/>
      <family val="2"/>
      <scheme val="major"/>
    </font>
    <font>
      <b/>
      <u/>
      <sz val="8"/>
      <name val="Arial"/>
      <family val="2"/>
    </font>
    <font>
      <i/>
      <sz val="9"/>
      <name val="Arial"/>
      <family val="2"/>
    </font>
    <font>
      <b/>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color theme="1"/>
      <name val="Arial"/>
      <family val="2"/>
    </font>
    <font>
      <b/>
      <sz val="10"/>
      <color rgb="FF3F3F3F"/>
      <name val="Arial"/>
      <family val="2"/>
    </font>
    <font>
      <sz val="10"/>
      <color rgb="FFFF0000"/>
      <name val="Arial"/>
      <family val="2"/>
    </font>
    <font>
      <b/>
      <sz val="14"/>
      <name val="Arial"/>
      <family val="2"/>
    </font>
    <font>
      <sz val="14"/>
      <color theme="1"/>
      <name val="Arial"/>
      <family val="2"/>
    </font>
    <font>
      <sz val="14"/>
      <name val="Arial"/>
      <family val="2"/>
    </font>
    <font>
      <sz val="9"/>
      <color theme="1"/>
      <name val="Arial"/>
      <family val="2"/>
    </font>
  </fonts>
  <fills count="3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bottom/>
      <diagonal/>
    </border>
  </borders>
  <cellStyleXfs count="45">
    <xf numFmtId="0" fontId="0" fillId="0"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1" fillId="6" borderId="0" applyNumberFormat="0" applyBorder="0" applyAlignment="0" applyProtection="0"/>
    <xf numFmtId="0" fontId="22" fillId="9" borderId="4" applyNumberFormat="0" applyAlignment="0" applyProtection="0"/>
    <xf numFmtId="0" fontId="23" fillId="10" borderId="7" applyNumberFormat="0" applyAlignment="0" applyProtection="0"/>
    <xf numFmtId="44" fontId="2" fillId="0" borderId="0" applyFont="0" applyFill="0" applyBorder="0" applyAlignment="0" applyProtection="0"/>
    <xf numFmtId="0" fontId="24" fillId="0" borderId="0" applyNumberFormat="0" applyFill="0" applyBorder="0" applyAlignment="0" applyProtection="0"/>
    <xf numFmtId="0" fontId="25" fillId="5" borderId="0" applyNumberFormat="0" applyBorder="0" applyAlignment="0" applyProtection="0"/>
    <xf numFmtId="0" fontId="26" fillId="0" borderId="1" applyNumberFormat="0" applyFill="0" applyAlignment="0" applyProtection="0"/>
    <xf numFmtId="0" fontId="27" fillId="0" borderId="2" applyNumberFormat="0" applyFill="0" applyAlignment="0" applyProtection="0"/>
    <xf numFmtId="0" fontId="28" fillId="0" borderId="3" applyNumberFormat="0" applyFill="0" applyAlignment="0" applyProtection="0"/>
    <xf numFmtId="0" fontId="28" fillId="0" borderId="0" applyNumberFormat="0" applyFill="0" applyBorder="0" applyAlignment="0" applyProtection="0"/>
    <xf numFmtId="0" fontId="29" fillId="8" borderId="4" applyNumberFormat="0" applyAlignment="0" applyProtection="0"/>
    <xf numFmtId="0" fontId="30" fillId="0" borderId="6" applyNumberFormat="0" applyFill="0" applyAlignment="0" applyProtection="0"/>
    <xf numFmtId="0" fontId="31" fillId="7" borderId="0" applyNumberFormat="0" applyBorder="0" applyAlignment="0" applyProtection="0"/>
    <xf numFmtId="0" fontId="32" fillId="11" borderId="8" applyNumberFormat="0" applyFont="0" applyAlignment="0" applyProtection="0"/>
    <xf numFmtId="0" fontId="33" fillId="9" borderId="5" applyNumberFormat="0" applyAlignment="0" applyProtection="0"/>
    <xf numFmtId="9" fontId="2" fillId="0" borderId="0" applyFont="0" applyFill="0" applyBorder="0" applyAlignment="0" applyProtection="0"/>
    <xf numFmtId="0" fontId="16" fillId="0" borderId="0" applyNumberFormat="0" applyFill="0" applyBorder="0" applyAlignment="0" applyProtection="0"/>
    <xf numFmtId="0" fontId="19" fillId="0" borderId="9" applyNumberFormat="0" applyFill="0" applyAlignment="0" applyProtection="0"/>
    <xf numFmtId="0" fontId="34" fillId="0" borderId="0" applyNumberFormat="0" applyFill="0" applyBorder="0" applyAlignment="0" applyProtection="0"/>
    <xf numFmtId="43" fontId="2" fillId="0" borderId="0" applyFont="0" applyFill="0" applyBorder="0" applyAlignment="0" applyProtection="0"/>
  </cellStyleXfs>
  <cellXfs count="358">
    <xf numFmtId="0" fontId="0" fillId="0" borderId="0" xfId="0"/>
    <xf numFmtId="0" fontId="0" fillId="2" borderId="0" xfId="0" applyFill="1"/>
    <xf numFmtId="3" fontId="7" fillId="0" borderId="0" xfId="0" applyNumberFormat="1" applyFont="1" applyFill="1" applyBorder="1" applyAlignment="1">
      <alignment horizontal="center"/>
    </xf>
    <xf numFmtId="0" fontId="7" fillId="2" borderId="0" xfId="0" applyFont="1" applyFill="1" applyBorder="1" applyAlignment="1">
      <alignment wrapText="1"/>
    </xf>
    <xf numFmtId="3" fontId="7" fillId="2" borderId="0" xfId="0" applyNumberFormat="1" applyFont="1" applyFill="1" applyBorder="1" applyAlignment="1">
      <alignment horizontal="center"/>
    </xf>
    <xf numFmtId="0" fontId="9" fillId="2" borderId="0" xfId="0" applyFont="1" applyFill="1" applyBorder="1"/>
    <xf numFmtId="0" fontId="7" fillId="2" borderId="0" xfId="0" applyFont="1" applyFill="1" applyBorder="1"/>
    <xf numFmtId="0" fontId="0" fillId="2" borderId="0" xfId="0" applyFill="1" applyAlignment="1"/>
    <xf numFmtId="0" fontId="0" fillId="2" borderId="0" xfId="0" applyFill="1" applyAlignment="1">
      <alignment wrapText="1"/>
    </xf>
    <xf numFmtId="0" fontId="4" fillId="2" borderId="0" xfId="0" applyNumberFormat="1" applyFont="1" applyFill="1" applyBorder="1"/>
    <xf numFmtId="0" fontId="5" fillId="2" borderId="0" xfId="0" applyFont="1" applyFill="1" applyBorder="1" applyAlignment="1">
      <alignment wrapText="1"/>
    </xf>
    <xf numFmtId="3" fontId="5" fillId="2" borderId="0" xfId="0" applyNumberFormat="1" applyFont="1" applyFill="1" applyBorder="1" applyAlignment="1">
      <alignment horizontal="center"/>
    </xf>
    <xf numFmtId="0" fontId="4" fillId="2" borderId="0" xfId="0" applyFont="1" applyFill="1" applyBorder="1" applyAlignment="1"/>
    <xf numFmtId="3" fontId="4" fillId="2" borderId="0" xfId="0" applyNumberFormat="1" applyFont="1" applyFill="1" applyBorder="1" applyAlignment="1">
      <alignment horizontal="center"/>
    </xf>
    <xf numFmtId="0" fontId="0" fillId="2" borderId="0" xfId="0" applyFill="1" applyBorder="1" applyAlignment="1"/>
    <xf numFmtId="0" fontId="5" fillId="2" borderId="0" xfId="0" applyFont="1" applyFill="1" applyBorder="1" applyAlignment="1"/>
    <xf numFmtId="9" fontId="4" fillId="2" borderId="0" xfId="0" applyNumberFormat="1" applyFont="1" applyFill="1" applyBorder="1" applyAlignment="1">
      <alignment horizontal="center"/>
    </xf>
    <xf numFmtId="0" fontId="0" fillId="0" borderId="0" xfId="0" applyBorder="1"/>
    <xf numFmtId="0" fontId="0" fillId="2" borderId="0" xfId="0" applyFill="1" applyBorder="1"/>
    <xf numFmtId="0" fontId="4" fillId="2" borderId="0" xfId="0" applyFont="1" applyFill="1" applyBorder="1" applyAlignment="1">
      <alignment horizontal="center" vertical="center"/>
    </xf>
    <xf numFmtId="0" fontId="0" fillId="2" borderId="0" xfId="0" applyFill="1" applyBorder="1" applyAlignment="1">
      <alignment horizontal="center" vertical="center"/>
    </xf>
    <xf numFmtId="0" fontId="8" fillId="2" borderId="0" xfId="0" applyFont="1" applyFill="1" applyBorder="1"/>
    <xf numFmtId="3" fontId="12" fillId="2" borderId="0" xfId="0" applyNumberFormat="1" applyFont="1" applyFill="1" applyBorder="1" applyAlignment="1">
      <alignment horizontal="center"/>
    </xf>
    <xf numFmtId="0" fontId="5" fillId="2" borderId="0" xfId="0" applyFont="1" applyFill="1" applyBorder="1" applyAlignment="1">
      <alignment horizontal="left"/>
    </xf>
    <xf numFmtId="9" fontId="7" fillId="4" borderId="10" xfId="0" applyNumberFormat="1" applyFont="1" applyFill="1" applyBorder="1" applyAlignment="1">
      <alignment horizontal="right"/>
    </xf>
    <xf numFmtId="3" fontId="7" fillId="0" borderId="10" xfId="0" applyNumberFormat="1" applyFont="1" applyFill="1" applyBorder="1" applyAlignment="1">
      <alignment horizontal="right"/>
    </xf>
    <xf numFmtId="9" fontId="6" fillId="4" borderId="10" xfId="40" applyFont="1" applyFill="1" applyBorder="1" applyAlignment="1">
      <alignment horizontal="right"/>
    </xf>
    <xf numFmtId="9" fontId="7" fillId="0" borderId="10" xfId="0" applyNumberFormat="1" applyFont="1" applyFill="1" applyBorder="1" applyAlignment="1">
      <alignment horizontal="right" wrapText="1"/>
    </xf>
    <xf numFmtId="3" fontId="6" fillId="4" borderId="10" xfId="0" applyNumberFormat="1" applyFont="1" applyFill="1" applyBorder="1" applyAlignment="1">
      <alignment horizontal="right" wrapText="1"/>
    </xf>
    <xf numFmtId="9" fontId="6" fillId="4" borderId="10" xfId="40" applyFont="1" applyFill="1" applyBorder="1" applyAlignment="1">
      <alignment horizontal="right" wrapText="1"/>
    </xf>
    <xf numFmtId="3" fontId="7" fillId="4" borderId="10" xfId="0" applyNumberFormat="1" applyFont="1" applyFill="1" applyBorder="1" applyAlignment="1">
      <alignment horizontal="right"/>
    </xf>
    <xf numFmtId="3" fontId="7" fillId="2" borderId="10" xfId="0" applyNumberFormat="1" applyFont="1" applyFill="1" applyBorder="1" applyAlignment="1">
      <alignment horizontal="right" vertical="center"/>
    </xf>
    <xf numFmtId="3" fontId="10" fillId="2" borderId="10" xfId="0" applyNumberFormat="1" applyFont="1" applyFill="1" applyBorder="1" applyAlignment="1">
      <alignment horizontal="right" vertical="center"/>
    </xf>
    <xf numFmtId="3" fontId="7" fillId="2" borderId="10" xfId="44" applyNumberFormat="1" applyFont="1" applyFill="1" applyBorder="1" applyAlignment="1">
      <alignment horizontal="right"/>
    </xf>
    <xf numFmtId="3" fontId="7" fillId="2" borderId="10" xfId="0" applyNumberFormat="1" applyFont="1" applyFill="1" applyBorder="1" applyAlignment="1">
      <alignment horizontal="right"/>
    </xf>
    <xf numFmtId="3" fontId="6" fillId="2" borderId="10" xfId="0" applyNumberFormat="1" applyFont="1" applyFill="1" applyBorder="1" applyAlignment="1">
      <alignment horizontal="right"/>
    </xf>
    <xf numFmtId="9" fontId="7" fillId="2" borderId="10" xfId="0" applyNumberFormat="1" applyFont="1" applyFill="1" applyBorder="1" applyAlignment="1">
      <alignment horizontal="right"/>
    </xf>
    <xf numFmtId="3" fontId="3" fillId="0" borderId="10" xfId="0" applyNumberFormat="1" applyFont="1" applyFill="1" applyBorder="1" applyAlignment="1">
      <alignment horizontal="right"/>
    </xf>
    <xf numFmtId="9" fontId="3" fillId="0" borderId="10" xfId="0" applyNumberFormat="1" applyFont="1" applyFill="1" applyBorder="1" applyAlignment="1">
      <alignment horizontal="right"/>
    </xf>
    <xf numFmtId="3" fontId="6" fillId="0" borderId="10" xfId="0" applyNumberFormat="1" applyFont="1" applyFill="1" applyBorder="1" applyAlignment="1">
      <alignment horizontal="right"/>
    </xf>
    <xf numFmtId="9" fontId="6" fillId="0" borderId="10" xfId="0" applyNumberFormat="1" applyFont="1" applyFill="1" applyBorder="1" applyAlignment="1">
      <alignment horizontal="right"/>
    </xf>
    <xf numFmtId="9" fontId="6" fillId="4" borderId="10" xfId="0" applyNumberFormat="1" applyFont="1" applyFill="1" applyBorder="1" applyAlignment="1">
      <alignment horizontal="right"/>
    </xf>
    <xf numFmtId="9" fontId="7" fillId="0" borderId="10" xfId="0" applyNumberFormat="1" applyFont="1" applyFill="1" applyBorder="1" applyAlignment="1">
      <alignment horizontal="right"/>
    </xf>
    <xf numFmtId="3" fontId="6" fillId="4" borderId="10" xfId="0" applyNumberFormat="1" applyFont="1" applyFill="1" applyBorder="1" applyAlignment="1">
      <alignment horizontal="right" vertical="center"/>
    </xf>
    <xf numFmtId="3" fontId="6" fillId="4" borderId="10" xfId="44" applyNumberFormat="1" applyFont="1" applyFill="1" applyBorder="1" applyAlignment="1">
      <alignment horizontal="right"/>
    </xf>
    <xf numFmtId="3" fontId="3" fillId="4" borderId="10" xfId="0" applyNumberFormat="1" applyFont="1" applyFill="1" applyBorder="1" applyAlignment="1">
      <alignment horizontal="right"/>
    </xf>
    <xf numFmtId="0" fontId="0" fillId="0" borderId="0" xfId="0"/>
    <xf numFmtId="3" fontId="7" fillId="0" borderId="10" xfId="0" applyNumberFormat="1" applyFont="1" applyFill="1" applyBorder="1" applyAlignment="1">
      <alignment horizontal="right" wrapText="1"/>
    </xf>
    <xf numFmtId="3" fontId="6" fillId="4" borderId="11" xfId="0" applyNumberFormat="1" applyFont="1" applyFill="1" applyBorder="1" applyAlignment="1">
      <alignment wrapText="1"/>
    </xf>
    <xf numFmtId="3" fontId="7" fillId="0" borderId="11" xfId="0" applyNumberFormat="1" applyFont="1" applyFill="1" applyBorder="1" applyAlignment="1">
      <alignment wrapText="1"/>
    </xf>
    <xf numFmtId="0" fontId="4" fillId="0" borderId="0" xfId="0" applyFont="1"/>
    <xf numFmtId="0" fontId="0" fillId="2" borderId="0" xfId="0" applyFill="1" applyAlignment="1">
      <alignment vertical="center" wrapText="1"/>
    </xf>
    <xf numFmtId="0" fontId="5" fillId="2" borderId="0" xfId="0" applyFont="1" applyFill="1" applyBorder="1"/>
    <xf numFmtId="0" fontId="4" fillId="2" borderId="0" xfId="0" applyFont="1" applyFill="1" applyBorder="1"/>
    <xf numFmtId="0" fontId="4" fillId="2" borderId="0" xfId="0" applyFont="1" applyFill="1" applyAlignment="1"/>
    <xf numFmtId="0" fontId="0" fillId="3" borderId="0" xfId="0" applyFill="1"/>
    <xf numFmtId="0" fontId="3" fillId="3" borderId="0" xfId="0" applyFont="1" applyFill="1" applyBorder="1" applyAlignment="1">
      <alignment horizontal="left" vertical="center" wrapText="1"/>
    </xf>
    <xf numFmtId="0" fontId="3" fillId="3" borderId="0" xfId="0" applyFont="1" applyFill="1" applyBorder="1" applyAlignment="1">
      <alignment horizontal="center" vertical="center" wrapText="1"/>
    </xf>
    <xf numFmtId="4" fontId="3" fillId="3" borderId="0" xfId="0" applyNumberFormat="1" applyFont="1" applyFill="1" applyBorder="1" applyAlignment="1">
      <alignment horizontal="right" vertical="center" wrapText="1"/>
    </xf>
    <xf numFmtId="0" fontId="4" fillId="3" borderId="0" xfId="0" applyFont="1" applyFill="1" applyBorder="1"/>
    <xf numFmtId="0" fontId="5" fillId="3" borderId="0" xfId="0" applyFont="1" applyFill="1" applyBorder="1" applyAlignment="1">
      <alignment horizontal="left" vertical="center"/>
    </xf>
    <xf numFmtId="0" fontId="3" fillId="3" borderId="10" xfId="0" applyFont="1" applyFill="1" applyBorder="1" applyAlignment="1">
      <alignment horizontal="left" vertical="center" wrapText="1"/>
    </xf>
    <xf numFmtId="3" fontId="3" fillId="3" borderId="10" xfId="0" applyNumberFormat="1" applyFont="1" applyFill="1" applyBorder="1" applyAlignment="1">
      <alignment horizontal="right"/>
    </xf>
    <xf numFmtId="3" fontId="3" fillId="3" borderId="10" xfId="0" applyNumberFormat="1" applyFont="1" applyFill="1" applyBorder="1" applyAlignment="1">
      <alignment horizontal="right" vertical="center" wrapText="1"/>
    </xf>
    <xf numFmtId="9" fontId="3" fillId="3" borderId="10" xfId="40" applyFont="1" applyFill="1" applyBorder="1" applyAlignment="1">
      <alignment horizontal="right" vertical="center" wrapText="1"/>
    </xf>
    <xf numFmtId="3" fontId="6" fillId="4" borderId="10" xfId="0" applyNumberFormat="1" applyFont="1" applyFill="1" applyBorder="1" applyAlignment="1">
      <alignment horizontal="right"/>
    </xf>
    <xf numFmtId="3" fontId="6" fillId="4" borderId="10" xfId="0" applyNumberFormat="1" applyFont="1" applyFill="1" applyBorder="1" applyAlignment="1">
      <alignment horizontal="right" vertical="center" wrapText="1"/>
    </xf>
    <xf numFmtId="9" fontId="6" fillId="4" borderId="10" xfId="40" applyFont="1" applyFill="1" applyBorder="1" applyAlignment="1">
      <alignment horizontal="right" vertical="center" wrapText="1"/>
    </xf>
    <xf numFmtId="0" fontId="6" fillId="3" borderId="0" xfId="0" applyFont="1" applyFill="1" applyBorder="1" applyAlignment="1">
      <alignment wrapText="1"/>
    </xf>
    <xf numFmtId="3" fontId="6" fillId="3" borderId="0" xfId="0" applyNumberFormat="1" applyFont="1" applyFill="1" applyBorder="1" applyAlignment="1">
      <alignment horizontal="right"/>
    </xf>
    <xf numFmtId="9" fontId="6" fillId="3" borderId="0" xfId="40" applyFont="1" applyFill="1" applyBorder="1" applyAlignment="1">
      <alignment horizontal="right"/>
    </xf>
    <xf numFmtId="9" fontId="7" fillId="0" borderId="10" xfId="40" applyFont="1" applyFill="1" applyBorder="1" applyAlignment="1">
      <alignment horizontal="right"/>
    </xf>
    <xf numFmtId="0" fontId="5" fillId="0" borderId="0" xfId="0" applyFont="1" applyAlignment="1">
      <alignment wrapText="1"/>
    </xf>
    <xf numFmtId="0" fontId="5" fillId="0" borderId="0" xfId="0" applyFont="1" applyAlignment="1">
      <alignment horizontal="center" wrapText="1"/>
    </xf>
    <xf numFmtId="0" fontId="4" fillId="0" borderId="0" xfId="0" applyFont="1" applyAlignment="1">
      <alignment horizontal="center"/>
    </xf>
    <xf numFmtId="14" fontId="4" fillId="0" borderId="0" xfId="0" applyNumberFormat="1" applyFont="1" applyAlignment="1" applyProtection="1">
      <alignment horizontal="center" vertical="center"/>
    </xf>
    <xf numFmtId="0" fontId="5" fillId="0" borderId="0" xfId="0" applyFont="1" applyAlignment="1">
      <alignment horizontal="right" wrapText="1"/>
    </xf>
    <xf numFmtId="0" fontId="4" fillId="0" borderId="0" xfId="0" applyFont="1" applyAlignment="1">
      <alignment horizontal="right"/>
    </xf>
    <xf numFmtId="0" fontId="0" fillId="0" borderId="0" xfId="0" applyAlignment="1">
      <alignment horizontal="left"/>
    </xf>
    <xf numFmtId="0" fontId="0" fillId="0" borderId="0" xfId="0" applyNumberFormat="1"/>
    <xf numFmtId="0" fontId="5" fillId="0" borderId="0" xfId="0" applyFont="1" applyFill="1" applyAlignment="1">
      <alignment horizontal="center" wrapText="1"/>
    </xf>
    <xf numFmtId="0" fontId="4" fillId="0" borderId="0" xfId="0" applyFont="1" applyFill="1" applyAlignment="1">
      <alignment horizontal="center"/>
    </xf>
    <xf numFmtId="0" fontId="0" fillId="0" borderId="0" xfId="0" pivotButton="1"/>
    <xf numFmtId="0" fontId="3" fillId="0" borderId="11" xfId="0" applyFont="1" applyBorder="1" applyAlignment="1">
      <alignment horizontal="center" vertical="center" wrapText="1"/>
    </xf>
    <xf numFmtId="0" fontId="3" fillId="3" borderId="0" xfId="0" applyFont="1" applyFill="1" applyBorder="1" applyAlignment="1"/>
    <xf numFmtId="0" fontId="3" fillId="3" borderId="0" xfId="0" applyFont="1" applyFill="1" applyBorder="1" applyAlignment="1">
      <alignment vertical="center" wrapText="1"/>
    </xf>
    <xf numFmtId="0" fontId="5" fillId="36" borderId="21" xfId="0" applyFont="1" applyFill="1" applyBorder="1" applyAlignment="1"/>
    <xf numFmtId="0" fontId="5" fillId="3" borderId="16" xfId="0" applyFont="1" applyFill="1" applyBorder="1" applyAlignment="1"/>
    <xf numFmtId="0" fontId="5" fillId="3" borderId="0" xfId="0" applyFont="1" applyFill="1" applyBorder="1" applyAlignment="1"/>
    <xf numFmtId="0" fontId="3" fillId="36" borderId="10" xfId="0" applyFont="1" applyFill="1" applyBorder="1" applyAlignment="1">
      <alignment horizontal="center" vertical="center"/>
    </xf>
    <xf numFmtId="0" fontId="3" fillId="36" borderId="10" xfId="0" applyFont="1" applyFill="1" applyBorder="1" applyAlignment="1">
      <alignment horizontal="center"/>
    </xf>
    <xf numFmtId="0" fontId="0" fillId="3" borderId="0" xfId="0" applyFill="1" applyBorder="1"/>
    <xf numFmtId="3" fontId="7" fillId="0" borderId="20" xfId="0" applyNumberFormat="1" applyFont="1" applyFill="1" applyBorder="1" applyAlignment="1">
      <alignment horizontal="right" wrapText="1"/>
    </xf>
    <xf numFmtId="3" fontId="7" fillId="0" borderId="17" xfId="0" applyNumberFormat="1" applyFont="1" applyFill="1" applyBorder="1" applyAlignment="1">
      <alignment wrapText="1"/>
    </xf>
    <xf numFmtId="9" fontId="7" fillId="0" borderId="20" xfId="0" applyNumberFormat="1" applyFont="1" applyFill="1" applyBorder="1" applyAlignment="1">
      <alignment horizontal="right" wrapText="1"/>
    </xf>
    <xf numFmtId="0" fontId="36" fillId="3" borderId="0" xfId="0" applyFont="1" applyFill="1"/>
    <xf numFmtId="0" fontId="37" fillId="2" borderId="0" xfId="0" applyFont="1" applyFill="1" applyBorder="1"/>
    <xf numFmtId="0" fontId="36" fillId="2" borderId="0" xfId="0" applyFont="1" applyFill="1" applyBorder="1"/>
    <xf numFmtId="0" fontId="35" fillId="3" borderId="0" xfId="0" applyFont="1" applyFill="1" applyBorder="1" applyAlignment="1">
      <alignment horizontal="center" vertical="center" wrapText="1"/>
    </xf>
    <xf numFmtId="0" fontId="7" fillId="2" borderId="10" xfId="0" applyFont="1" applyFill="1" applyBorder="1" applyAlignment="1"/>
    <xf numFmtId="0" fontId="6" fillId="36" borderId="10" xfId="0" applyFont="1" applyFill="1" applyBorder="1" applyAlignment="1">
      <alignment horizontal="center"/>
    </xf>
    <xf numFmtId="0" fontId="6" fillId="4" borderId="10" xfId="0" applyFont="1" applyFill="1" applyBorder="1"/>
    <xf numFmtId="0" fontId="7" fillId="2" borderId="10" xfId="0" applyFont="1" applyFill="1" applyBorder="1"/>
    <xf numFmtId="0" fontId="6" fillId="36" borderId="10" xfId="0" applyFont="1" applyFill="1" applyBorder="1" applyAlignment="1">
      <alignment horizontal="center" vertical="center" wrapText="1"/>
    </xf>
    <xf numFmtId="0" fontId="3" fillId="2" borderId="13" xfId="0" applyFont="1" applyFill="1" applyBorder="1" applyAlignment="1"/>
    <xf numFmtId="0" fontId="6" fillId="36" borderId="13" xfId="0" applyFont="1" applyFill="1" applyBorder="1" applyAlignment="1"/>
    <xf numFmtId="0" fontId="3" fillId="2" borderId="11" xfId="0" applyFont="1" applyFill="1" applyBorder="1" applyAlignment="1"/>
    <xf numFmtId="0" fontId="35" fillId="3" borderId="0" xfId="0" applyFont="1" applyFill="1" applyBorder="1" applyAlignment="1">
      <alignment horizontal="left"/>
    </xf>
    <xf numFmtId="0" fontId="5" fillId="3" borderId="0" xfId="0" applyFont="1" applyFill="1" applyBorder="1" applyAlignment="1">
      <alignment horizontal="left"/>
    </xf>
    <xf numFmtId="0" fontId="38" fillId="2" borderId="0" xfId="0" applyFont="1" applyFill="1" applyAlignment="1">
      <alignment vertical="center" wrapText="1"/>
    </xf>
    <xf numFmtId="0" fontId="4" fillId="2" borderId="0" xfId="0" applyFont="1" applyFill="1" applyBorder="1" applyAlignment="1">
      <alignment horizontal="left" vertical="top" wrapText="1"/>
    </xf>
    <xf numFmtId="0" fontId="38" fillId="2" borderId="0" xfId="0" applyFont="1" applyFill="1" applyAlignment="1">
      <alignment wrapText="1"/>
    </xf>
    <xf numFmtId="0" fontId="5" fillId="36" borderId="10" xfId="0" applyFont="1" applyFill="1" applyBorder="1" applyAlignment="1">
      <alignment vertical="top" wrapText="1"/>
    </xf>
    <xf numFmtId="0" fontId="0" fillId="2" borderId="0" xfId="0" applyFill="1" applyAlignment="1">
      <alignment vertical="center"/>
    </xf>
    <xf numFmtId="0" fontId="4" fillId="0" borderId="10" xfId="0" applyFont="1" applyFill="1" applyBorder="1" applyAlignment="1">
      <alignment vertical="center" wrapText="1"/>
    </xf>
    <xf numFmtId="0" fontId="4" fillId="2" borderId="10" xfId="0" applyFont="1" applyFill="1" applyBorder="1" applyAlignment="1">
      <alignment vertical="center" wrapText="1"/>
    </xf>
    <xf numFmtId="0" fontId="4" fillId="2" borderId="10" xfId="0" applyFont="1" applyFill="1" applyBorder="1" applyAlignment="1">
      <alignment horizontal="left" vertical="center" wrapText="1"/>
    </xf>
    <xf numFmtId="0" fontId="4" fillId="2" borderId="10" xfId="0" applyNumberFormat="1" applyFont="1" applyFill="1" applyBorder="1" applyAlignment="1">
      <alignment horizontal="left" vertical="center" wrapText="1"/>
    </xf>
    <xf numFmtId="0" fontId="38" fillId="2" borderId="0" xfId="0" applyNumberFormat="1" applyFont="1" applyFill="1" applyAlignment="1">
      <alignment vertical="center" wrapText="1"/>
    </xf>
    <xf numFmtId="0" fontId="0" fillId="2" borderId="0" xfId="0" applyNumberFormat="1" applyFill="1" applyAlignment="1">
      <alignment vertical="center"/>
    </xf>
    <xf numFmtId="0" fontId="0" fillId="2" borderId="10" xfId="0" applyNumberFormat="1" applyFill="1" applyBorder="1" applyAlignment="1">
      <alignment horizontal="center" vertical="center" wrapText="1"/>
    </xf>
    <xf numFmtId="0" fontId="15" fillId="3" borderId="0" xfId="0" applyFont="1" applyFill="1" applyBorder="1" applyAlignment="1">
      <alignment horizontal="center" vertical="center" wrapText="1"/>
    </xf>
    <xf numFmtId="0" fontId="5" fillId="3" borderId="0" xfId="0" applyNumberFormat="1" applyFont="1" applyFill="1" applyBorder="1" applyAlignment="1">
      <alignment horizontal="left"/>
    </xf>
    <xf numFmtId="0" fontId="13" fillId="2" borderId="0" xfId="0" applyFont="1" applyFill="1" applyBorder="1" applyAlignment="1">
      <alignment wrapText="1"/>
    </xf>
    <xf numFmtId="0" fontId="3" fillId="3" borderId="21" xfId="0" applyFont="1" applyFill="1" applyBorder="1" applyAlignment="1"/>
    <xf numFmtId="3" fontId="6" fillId="3" borderId="21" xfId="0" applyNumberFormat="1" applyFont="1" applyFill="1" applyBorder="1" applyAlignment="1">
      <alignment horizontal="right"/>
    </xf>
    <xf numFmtId="0" fontId="11" fillId="2" borderId="0" xfId="0" applyFont="1" applyFill="1" applyBorder="1"/>
    <xf numFmtId="0" fontId="35" fillId="2" borderId="0" xfId="0" applyFont="1" applyFill="1" applyBorder="1" applyAlignment="1">
      <alignment horizontal="left"/>
    </xf>
    <xf numFmtId="0" fontId="14" fillId="2" borderId="0" xfId="0" applyFont="1" applyFill="1" applyBorder="1"/>
    <xf numFmtId="0" fontId="0" fillId="2" borderId="21" xfId="0" applyFill="1" applyBorder="1"/>
    <xf numFmtId="0" fontId="6" fillId="2" borderId="0" xfId="0" applyFont="1" applyFill="1" applyBorder="1"/>
    <xf numFmtId="0" fontId="17" fillId="2" borderId="0" xfId="0" applyFont="1" applyFill="1" applyBorder="1" applyAlignment="1">
      <alignment horizontal="left" indent="1"/>
    </xf>
    <xf numFmtId="0" fontId="14" fillId="2" borderId="0" xfId="0" applyFont="1" applyFill="1" applyBorder="1" applyAlignment="1"/>
    <xf numFmtId="0" fontId="14" fillId="2" borderId="0" xfId="0" applyFont="1" applyFill="1" applyBorder="1" applyAlignment="1">
      <alignment horizontal="left"/>
    </xf>
    <xf numFmtId="0" fontId="6" fillId="2" borderId="0" xfId="0" applyFont="1" applyFill="1" applyBorder="1" applyAlignment="1">
      <alignment horizontal="left"/>
    </xf>
    <xf numFmtId="0" fontId="4" fillId="36" borderId="11" xfId="0" applyFont="1" applyFill="1" applyBorder="1"/>
    <xf numFmtId="0" fontId="4" fillId="36" borderId="13" xfId="0" applyFont="1" applyFill="1" applyBorder="1"/>
    <xf numFmtId="14" fontId="4" fillId="36" borderId="12" xfId="0" applyNumberFormat="1" applyFont="1" applyFill="1" applyBorder="1" applyAlignment="1">
      <alignment horizontal="right"/>
    </xf>
    <xf numFmtId="0" fontId="6" fillId="2" borderId="0" xfId="0" applyFont="1" applyFill="1" applyBorder="1" applyAlignment="1"/>
    <xf numFmtId="0" fontId="5" fillId="36" borderId="14" xfId="0" applyFont="1" applyFill="1" applyBorder="1" applyAlignment="1"/>
    <xf numFmtId="0" fontId="5" fillId="36" borderId="15" xfId="0" applyFont="1" applyFill="1" applyBorder="1" applyAlignment="1"/>
    <xf numFmtId="0" fontId="3" fillId="0" borderId="10" xfId="0" applyFont="1" applyBorder="1" applyAlignment="1">
      <alignment horizontal="center" vertical="center" wrapText="1"/>
    </xf>
    <xf numFmtId="0" fontId="3" fillId="3" borderId="10" xfId="0" applyNumberFormat="1" applyFont="1" applyFill="1" applyBorder="1" applyAlignment="1">
      <alignment horizontal="left"/>
    </xf>
    <xf numFmtId="0" fontId="6" fillId="36" borderId="10" xfId="0" applyFont="1" applyFill="1" applyBorder="1" applyAlignment="1">
      <alignment horizontal="left" vertical="center"/>
    </xf>
    <xf numFmtId="0" fontId="3" fillId="2" borderId="10" xfId="0" applyFont="1" applyFill="1" applyBorder="1"/>
    <xf numFmtId="0" fontId="6" fillId="36" borderId="11" xfId="0" applyFont="1" applyFill="1" applyBorder="1" applyAlignment="1"/>
    <xf numFmtId="0" fontId="7" fillId="0" borderId="10" xfId="0" applyFont="1" applyFill="1" applyBorder="1"/>
    <xf numFmtId="0" fontId="6" fillId="0" borderId="10" xfId="0" applyFont="1" applyFill="1" applyBorder="1"/>
    <xf numFmtId="0" fontId="6" fillId="2" borderId="10" xfId="0" applyFont="1" applyFill="1" applyBorder="1"/>
    <xf numFmtId="0" fontId="6" fillId="3" borderId="0" xfId="0" applyNumberFormat="1" applyFont="1" applyFill="1" applyBorder="1" applyAlignment="1">
      <alignment horizontal="left"/>
    </xf>
    <xf numFmtId="3" fontId="6" fillId="3" borderId="0" xfId="0" applyNumberFormat="1" applyFont="1" applyFill="1" applyBorder="1" applyAlignment="1">
      <alignment horizontal="right" vertical="center" wrapText="1"/>
    </xf>
    <xf numFmtId="9" fontId="6" fillId="3" borderId="0" xfId="40" applyFont="1" applyFill="1" applyBorder="1" applyAlignment="1">
      <alignment horizontal="right" vertical="center" wrapText="1"/>
    </xf>
    <xf numFmtId="0" fontId="3" fillId="0" borderId="0" xfId="0" applyFont="1" applyBorder="1" applyAlignment="1">
      <alignment horizontal="center" vertical="center" wrapText="1"/>
    </xf>
    <xf numFmtId="0" fontId="3" fillId="2" borderId="0" xfId="0" applyFont="1" applyFill="1" applyBorder="1" applyAlignment="1"/>
    <xf numFmtId="0" fontId="35" fillId="3" borderId="0" xfId="0" applyFont="1" applyFill="1" applyBorder="1" applyAlignment="1"/>
    <xf numFmtId="0" fontId="4" fillId="2" borderId="10" xfId="0" applyFont="1" applyFill="1" applyBorder="1" applyAlignment="1">
      <alignment vertical="top"/>
    </xf>
    <xf numFmtId="0" fontId="38" fillId="2" borderId="10" xfId="0" applyFont="1" applyFill="1" applyBorder="1" applyAlignment="1">
      <alignment vertical="top"/>
    </xf>
    <xf numFmtId="0" fontId="38" fillId="2" borderId="0" xfId="0" applyFont="1" applyFill="1" applyAlignment="1">
      <alignment vertical="center"/>
    </xf>
    <xf numFmtId="0" fontId="4" fillId="2" borderId="10" xfId="0" applyFont="1" applyFill="1" applyBorder="1" applyAlignment="1"/>
    <xf numFmtId="0" fontId="4" fillId="2" borderId="20" xfId="0" applyFont="1" applyFill="1" applyBorder="1" applyAlignment="1"/>
    <xf numFmtId="0" fontId="4" fillId="3" borderId="0" xfId="0" applyNumberFormat="1" applyFont="1" applyFill="1" applyBorder="1" applyAlignment="1"/>
    <xf numFmtId="3" fontId="7" fillId="3" borderId="0" xfId="0" applyNumberFormat="1" applyFont="1" applyFill="1" applyBorder="1" applyAlignment="1">
      <alignment horizontal="right"/>
    </xf>
    <xf numFmtId="0" fontId="0" fillId="2" borderId="20" xfId="0" applyNumberFormat="1" applyFill="1" applyBorder="1" applyAlignment="1">
      <alignment vertical="center" wrapText="1"/>
    </xf>
    <xf numFmtId="0" fontId="0" fillId="2" borderId="10" xfId="0" applyNumberFormat="1" applyFill="1" applyBorder="1" applyAlignment="1">
      <alignment vertical="center" wrapText="1"/>
    </xf>
    <xf numFmtId="3" fontId="4" fillId="0" borderId="0" xfId="0" applyNumberFormat="1" applyFont="1"/>
    <xf numFmtId="0" fontId="4" fillId="0" borderId="0" xfId="0" applyFont="1" applyFill="1"/>
    <xf numFmtId="0" fontId="4" fillId="0" borderId="0" xfId="0" applyFont="1" applyFill="1" applyAlignment="1">
      <alignment horizontal="right"/>
    </xf>
    <xf numFmtId="3" fontId="4" fillId="0" borderId="0" xfId="0" applyNumberFormat="1" applyFont="1" applyFill="1"/>
    <xf numFmtId="0" fontId="5" fillId="4" borderId="21" xfId="0" applyFont="1" applyFill="1" applyBorder="1" applyAlignment="1">
      <alignment horizontal="right" vertical="center"/>
    </xf>
    <xf numFmtId="0" fontId="5" fillId="4" borderId="14" xfId="0" applyFont="1" applyFill="1" applyBorder="1" applyAlignment="1">
      <alignment horizontal="right" vertical="center"/>
    </xf>
    <xf numFmtId="0" fontId="5" fillId="4" borderId="16" xfId="0" applyFont="1" applyFill="1" applyBorder="1" applyAlignment="1">
      <alignment horizontal="right" vertical="center"/>
    </xf>
    <xf numFmtId="0" fontId="5" fillId="4" borderId="0" xfId="0" applyFont="1" applyFill="1" applyBorder="1" applyAlignment="1">
      <alignment horizontal="right" vertical="center"/>
    </xf>
    <xf numFmtId="0" fontId="5" fillId="4" borderId="23" xfId="0" applyFont="1" applyFill="1" applyBorder="1" applyAlignment="1">
      <alignment horizontal="right" vertical="center"/>
    </xf>
    <xf numFmtId="3" fontId="5" fillId="4" borderId="17" xfId="0" applyNumberFormat="1" applyFont="1" applyFill="1" applyBorder="1" applyAlignment="1">
      <alignment horizontal="right" vertical="center"/>
    </xf>
    <xf numFmtId="3" fontId="5" fillId="4" borderId="22" xfId="0" applyNumberFormat="1" applyFont="1" applyFill="1" applyBorder="1" applyAlignment="1">
      <alignment horizontal="right" vertical="center"/>
    </xf>
    <xf numFmtId="3" fontId="5" fillId="4" borderId="18" xfId="0" applyNumberFormat="1" applyFont="1" applyFill="1" applyBorder="1" applyAlignment="1">
      <alignment horizontal="right" vertical="center"/>
    </xf>
    <xf numFmtId="0" fontId="4" fillId="4" borderId="15" xfId="0" applyFont="1" applyFill="1" applyBorder="1" applyAlignment="1">
      <alignment vertical="center" wrapText="1"/>
    </xf>
    <xf numFmtId="3" fontId="4" fillId="3" borderId="14" xfId="0" applyNumberFormat="1" applyFont="1" applyFill="1" applyBorder="1" applyAlignment="1">
      <alignment horizontal="right" vertical="center"/>
    </xf>
    <xf numFmtId="3" fontId="4" fillId="3" borderId="21" xfId="0" applyNumberFormat="1" applyFont="1" applyFill="1" applyBorder="1" applyAlignment="1">
      <alignment horizontal="right" vertical="center"/>
    </xf>
    <xf numFmtId="3" fontId="4" fillId="3" borderId="15" xfId="0" applyNumberFormat="1" applyFont="1" applyFill="1" applyBorder="1" applyAlignment="1">
      <alignment horizontal="right" vertical="center"/>
    </xf>
    <xf numFmtId="3" fontId="4" fillId="3" borderId="21" xfId="0" applyNumberFormat="1" applyFont="1" applyFill="1" applyBorder="1" applyAlignment="1">
      <alignment horizontal="right" vertical="center"/>
    </xf>
    <xf numFmtId="3" fontId="4" fillId="3" borderId="15" xfId="0" applyNumberFormat="1" applyFont="1" applyFill="1" applyBorder="1" applyAlignment="1">
      <alignment horizontal="right" vertical="center"/>
    </xf>
    <xf numFmtId="0" fontId="4" fillId="4" borderId="23" xfId="0" applyFont="1" applyFill="1" applyBorder="1" applyAlignment="1">
      <alignment vertical="center" wrapText="1"/>
    </xf>
    <xf numFmtId="3" fontId="4" fillId="3" borderId="16" xfId="0" applyNumberFormat="1" applyFont="1" applyFill="1" applyBorder="1" applyAlignment="1">
      <alignment horizontal="right" vertical="center"/>
    </xf>
    <xf numFmtId="3" fontId="4" fillId="3" borderId="0" xfId="0" applyNumberFormat="1" applyFont="1" applyFill="1" applyBorder="1" applyAlignment="1">
      <alignment horizontal="right" vertical="center"/>
    </xf>
    <xf numFmtId="3" fontId="4" fillId="3" borderId="23" xfId="0" applyNumberFormat="1" applyFont="1" applyFill="1" applyBorder="1" applyAlignment="1">
      <alignment horizontal="right" vertical="center"/>
    </xf>
    <xf numFmtId="3" fontId="4" fillId="3" borderId="16" xfId="0" applyNumberFormat="1" applyFont="1" applyFill="1" applyBorder="1" applyAlignment="1">
      <alignment horizontal="right" vertical="center"/>
    </xf>
    <xf numFmtId="3" fontId="4" fillId="3" borderId="0" xfId="0" applyNumberFormat="1" applyFont="1" applyFill="1" applyBorder="1" applyAlignment="1">
      <alignment horizontal="right" vertical="center"/>
    </xf>
    <xf numFmtId="0" fontId="4" fillId="4" borderId="18" xfId="0" applyFont="1" applyFill="1" applyBorder="1" applyAlignment="1">
      <alignment vertical="center" wrapText="1"/>
    </xf>
    <xf numFmtId="3" fontId="4" fillId="3" borderId="17" xfId="0" applyNumberFormat="1" applyFont="1" applyFill="1" applyBorder="1" applyAlignment="1">
      <alignment horizontal="right" vertical="center"/>
    </xf>
    <xf numFmtId="3" fontId="4" fillId="3" borderId="22" xfId="0" applyNumberFormat="1" applyFont="1" applyFill="1" applyBorder="1" applyAlignment="1">
      <alignment horizontal="right" vertical="center"/>
    </xf>
    <xf numFmtId="3" fontId="4" fillId="3" borderId="18" xfId="0" applyNumberFormat="1" applyFont="1" applyFill="1" applyBorder="1" applyAlignment="1">
      <alignment horizontal="right" vertical="center"/>
    </xf>
    <xf numFmtId="3" fontId="4" fillId="3" borderId="17" xfId="0" applyNumberFormat="1" applyFont="1" applyFill="1" applyBorder="1" applyAlignment="1">
      <alignment horizontal="right" vertical="center"/>
    </xf>
    <xf numFmtId="3" fontId="4" fillId="3" borderId="22" xfId="0" applyNumberFormat="1" applyFont="1" applyFill="1" applyBorder="1" applyAlignment="1">
      <alignment horizontal="right" vertical="center"/>
    </xf>
    <xf numFmtId="3" fontId="4" fillId="3" borderId="18" xfId="0" applyNumberFormat="1" applyFont="1" applyFill="1" applyBorder="1" applyAlignment="1">
      <alignment horizontal="right" vertical="center"/>
    </xf>
    <xf numFmtId="3" fontId="4" fillId="3" borderId="14" xfId="0" applyNumberFormat="1" applyFont="1" applyFill="1" applyBorder="1" applyAlignment="1">
      <alignment horizontal="right" vertical="center"/>
    </xf>
    <xf numFmtId="3" fontId="4" fillId="3" borderId="22" xfId="0" applyNumberFormat="1" applyFont="1" applyFill="1" applyBorder="1" applyAlignment="1">
      <alignment horizontal="right" vertical="center"/>
    </xf>
    <xf numFmtId="0" fontId="4" fillId="3" borderId="0" xfId="0" applyFont="1" applyFill="1" applyBorder="1" applyAlignment="1">
      <alignment horizontal="right"/>
    </xf>
    <xf numFmtId="0" fontId="4" fillId="3" borderId="0" xfId="0" applyFont="1" applyFill="1" applyBorder="1" applyAlignment="1"/>
    <xf numFmtId="0" fontId="0" fillId="0" borderId="0" xfId="0"/>
    <xf numFmtId="0" fontId="0" fillId="3" borderId="18" xfId="0" applyFill="1" applyBorder="1"/>
    <xf numFmtId="0" fontId="0" fillId="3" borderId="15" xfId="0" applyFill="1" applyBorder="1"/>
    <xf numFmtId="0" fontId="5" fillId="4" borderId="15" xfId="0" applyFont="1" applyFill="1" applyBorder="1" applyAlignment="1">
      <alignment horizontal="right" vertical="center"/>
    </xf>
    <xf numFmtId="0" fontId="6" fillId="36" borderId="10" xfId="0" applyFont="1" applyFill="1" applyBorder="1" applyAlignment="1">
      <alignment horizontal="center" vertical="center" wrapText="1"/>
    </xf>
    <xf numFmtId="3" fontId="7" fillId="0" borderId="10" xfId="0" applyNumberFormat="1" applyFont="1" applyFill="1" applyBorder="1" applyAlignment="1">
      <alignment horizontal="right"/>
    </xf>
    <xf numFmtId="3" fontId="6" fillId="4" borderId="10" xfId="0" applyNumberFormat="1" applyFont="1" applyFill="1" applyBorder="1" applyAlignment="1">
      <alignment horizontal="right"/>
    </xf>
    <xf numFmtId="0" fontId="6" fillId="36" borderId="10" xfId="0" applyFont="1" applyFill="1" applyBorder="1" applyAlignment="1">
      <alignment horizontal="center" vertical="center" wrapText="1"/>
    </xf>
    <xf numFmtId="0" fontId="6" fillId="36" borderId="19" xfId="0" applyFont="1" applyFill="1" applyBorder="1" applyAlignment="1">
      <alignment horizontal="center" vertical="center" wrapText="1"/>
    </xf>
    <xf numFmtId="0" fontId="6" fillId="36" borderId="24" xfId="0" applyFont="1" applyFill="1" applyBorder="1" applyAlignment="1">
      <alignment horizontal="center" vertical="center" wrapText="1"/>
    </xf>
    <xf numFmtId="0" fontId="6" fillId="36" borderId="20" xfId="0" applyFont="1" applyFill="1" applyBorder="1" applyAlignment="1">
      <alignment horizontal="center" vertical="center" wrapText="1"/>
    </xf>
    <xf numFmtId="0" fontId="6" fillId="36" borderId="14" xfId="0" applyFont="1" applyFill="1" applyBorder="1" applyAlignment="1">
      <alignment horizontal="center" vertical="center"/>
    </xf>
    <xf numFmtId="0" fontId="6" fillId="36" borderId="15" xfId="0" applyFont="1" applyFill="1" applyBorder="1" applyAlignment="1">
      <alignment horizontal="center" vertical="center"/>
    </xf>
    <xf numFmtId="0" fontId="6" fillId="36" borderId="16" xfId="0" applyFont="1" applyFill="1" applyBorder="1" applyAlignment="1">
      <alignment horizontal="center" vertical="center"/>
    </xf>
    <xf numFmtId="0" fontId="6" fillId="36" borderId="23" xfId="0" applyFont="1" applyFill="1" applyBorder="1" applyAlignment="1">
      <alignment horizontal="center" vertical="center"/>
    </xf>
    <xf numFmtId="0" fontId="6" fillId="36" borderId="11" xfId="0" applyFont="1" applyFill="1" applyBorder="1" applyAlignment="1">
      <alignment horizontal="center"/>
    </xf>
    <xf numFmtId="0" fontId="6" fillId="36" borderId="12" xfId="0" applyFont="1" applyFill="1" applyBorder="1" applyAlignment="1">
      <alignment horizontal="center"/>
    </xf>
    <xf numFmtId="0" fontId="6" fillId="36" borderId="10" xfId="0" applyFont="1" applyFill="1" applyBorder="1" applyAlignment="1">
      <alignment horizontal="center"/>
    </xf>
    <xf numFmtId="0" fontId="6" fillId="36" borderId="14" xfId="0" applyFont="1" applyFill="1" applyBorder="1" applyAlignment="1">
      <alignment horizontal="center" vertical="center" wrapText="1"/>
    </xf>
    <xf numFmtId="0" fontId="6" fillId="36" borderId="15" xfId="0" applyFont="1" applyFill="1" applyBorder="1" applyAlignment="1">
      <alignment horizontal="center" vertical="center" wrapText="1"/>
    </xf>
    <xf numFmtId="0" fontId="6" fillId="36" borderId="16" xfId="0" applyFont="1" applyFill="1" applyBorder="1" applyAlignment="1">
      <alignment horizontal="center" vertical="center" wrapText="1"/>
    </xf>
    <xf numFmtId="0" fontId="6" fillId="36" borderId="23" xfId="0" applyFont="1" applyFill="1" applyBorder="1" applyAlignment="1">
      <alignment horizontal="center" vertical="center" wrapText="1"/>
    </xf>
    <xf numFmtId="0" fontId="6" fillId="36" borderId="10" xfId="0" applyNumberFormat="1" applyFont="1" applyFill="1" applyBorder="1" applyAlignment="1">
      <alignment horizontal="center" vertical="center" wrapText="1"/>
    </xf>
    <xf numFmtId="0" fontId="3" fillId="2" borderId="11" xfId="0" applyFont="1" applyFill="1" applyBorder="1" applyAlignment="1"/>
    <xf numFmtId="0" fontId="3" fillId="2" borderId="13" xfId="0" applyFont="1" applyFill="1" applyBorder="1" applyAlignment="1"/>
    <xf numFmtId="0" fontId="4" fillId="3" borderId="11" xfId="0" applyNumberFormat="1" applyFont="1" applyFill="1" applyBorder="1" applyAlignment="1"/>
    <xf numFmtId="0" fontId="4" fillId="3" borderId="13" xfId="0" applyNumberFormat="1" applyFont="1" applyFill="1" applyBorder="1" applyAlignment="1"/>
    <xf numFmtId="0" fontId="4" fillId="3" borderId="12" xfId="0" applyNumberFormat="1" applyFont="1" applyFill="1" applyBorder="1" applyAlignment="1"/>
    <xf numFmtId="0" fontId="6" fillId="36" borderId="11" xfId="0" applyFont="1" applyFill="1" applyBorder="1" applyAlignment="1">
      <alignment horizontal="center" vertical="center" wrapText="1"/>
    </xf>
    <xf numFmtId="0" fontId="6" fillId="36" borderId="13" xfId="0" applyFont="1" applyFill="1" applyBorder="1" applyAlignment="1">
      <alignment horizontal="center" vertical="center" wrapText="1"/>
    </xf>
    <xf numFmtId="0" fontId="6" fillId="36" borderId="12" xfId="0" applyFont="1" applyFill="1" applyBorder="1" applyAlignment="1">
      <alignment horizontal="center" vertical="center" wrapText="1"/>
    </xf>
    <xf numFmtId="0" fontId="7" fillId="0" borderId="11" xfId="0" applyFont="1" applyFill="1" applyBorder="1" applyAlignment="1">
      <alignment horizontal="left" wrapText="1"/>
    </xf>
    <xf numFmtId="0" fontId="7" fillId="0" borderId="13" xfId="0" applyFont="1" applyFill="1" applyBorder="1" applyAlignment="1">
      <alignment horizontal="left" wrapText="1"/>
    </xf>
    <xf numFmtId="0" fontId="7" fillId="0" borderId="12" xfId="0" applyFont="1" applyFill="1" applyBorder="1" applyAlignment="1">
      <alignment horizontal="left" wrapText="1"/>
    </xf>
    <xf numFmtId="0" fontId="3" fillId="0" borderId="11" xfId="0" applyFont="1" applyFill="1" applyBorder="1" applyAlignment="1"/>
    <xf numFmtId="0" fontId="3" fillId="0" borderId="13" xfId="0" applyFont="1" applyFill="1" applyBorder="1" applyAlignment="1"/>
    <xf numFmtId="0" fontId="3" fillId="0" borderId="12" xfId="0" applyFont="1" applyFill="1" applyBorder="1" applyAlignment="1"/>
    <xf numFmtId="0" fontId="6" fillId="4" borderId="11" xfId="0" applyFont="1" applyFill="1" applyBorder="1" applyAlignment="1">
      <alignment horizontal="left" wrapText="1"/>
    </xf>
    <xf numFmtId="0" fontId="6" fillId="4" borderId="13" xfId="0" applyFont="1" applyFill="1" applyBorder="1" applyAlignment="1">
      <alignment horizontal="left" wrapText="1"/>
    </xf>
    <xf numFmtId="0" fontId="6" fillId="4" borderId="12" xfId="0" applyFont="1" applyFill="1" applyBorder="1" applyAlignment="1">
      <alignment horizontal="left" wrapText="1"/>
    </xf>
    <xf numFmtId="0" fontId="6" fillId="36" borderId="21" xfId="0" applyFont="1" applyFill="1" applyBorder="1" applyAlignment="1">
      <alignment horizontal="center" vertical="center" wrapText="1"/>
    </xf>
    <xf numFmtId="0" fontId="6" fillId="36" borderId="17" xfId="0" applyFont="1" applyFill="1" applyBorder="1" applyAlignment="1">
      <alignment horizontal="center" vertical="center" wrapText="1"/>
    </xf>
    <xf numFmtId="0" fontId="6" fillId="36" borderId="22" xfId="0" applyFont="1" applyFill="1" applyBorder="1" applyAlignment="1">
      <alignment horizontal="center" vertical="center" wrapText="1"/>
    </xf>
    <xf numFmtId="0" fontId="6" fillId="36" borderId="18" xfId="0" applyFont="1" applyFill="1" applyBorder="1" applyAlignment="1">
      <alignment horizontal="center" vertical="center" wrapText="1"/>
    </xf>
    <xf numFmtId="3" fontId="6" fillId="36" borderId="10" xfId="0" applyNumberFormat="1" applyFont="1" applyFill="1" applyBorder="1" applyAlignment="1">
      <alignment horizontal="center"/>
    </xf>
    <xf numFmtId="0" fontId="6" fillId="36" borderId="10" xfId="0" applyFont="1" applyFill="1" applyBorder="1" applyAlignment="1"/>
    <xf numFmtId="0" fontId="7" fillId="36" borderId="10" xfId="0" applyFont="1" applyFill="1" applyBorder="1" applyAlignment="1"/>
    <xf numFmtId="0" fontId="3" fillId="3" borderId="11" xfId="0" applyNumberFormat="1" applyFont="1" applyFill="1" applyBorder="1" applyAlignment="1">
      <alignment horizontal="left"/>
    </xf>
    <xf numFmtId="0" fontId="3" fillId="3" borderId="12" xfId="0" applyNumberFormat="1" applyFont="1" applyFill="1" applyBorder="1" applyAlignment="1">
      <alignment horizontal="left"/>
    </xf>
    <xf numFmtId="0" fontId="6" fillId="4" borderId="11" xfId="0" applyNumberFormat="1" applyFont="1" applyFill="1" applyBorder="1" applyAlignment="1">
      <alignment horizontal="left"/>
    </xf>
    <xf numFmtId="0" fontId="6" fillId="4" borderId="12" xfId="0" applyNumberFormat="1" applyFont="1" applyFill="1" applyBorder="1" applyAlignment="1">
      <alignment horizontal="left"/>
    </xf>
    <xf numFmtId="0" fontId="7" fillId="0" borderId="10" xfId="0" applyFont="1" applyFill="1" applyBorder="1" applyAlignment="1">
      <alignment horizontal="left"/>
    </xf>
    <xf numFmtId="0" fontId="6" fillId="4" borderId="10" xfId="0" applyFont="1" applyFill="1" applyBorder="1" applyAlignment="1"/>
    <xf numFmtId="0" fontId="6" fillId="36" borderId="11" xfId="0" applyFont="1" applyFill="1" applyBorder="1" applyAlignment="1"/>
    <xf numFmtId="0" fontId="6" fillId="36" borderId="13" xfId="0" applyFont="1" applyFill="1" applyBorder="1" applyAlignment="1"/>
    <xf numFmtId="0" fontId="6" fillId="36" borderId="12" xfId="0" applyFont="1" applyFill="1" applyBorder="1" applyAlignment="1"/>
    <xf numFmtId="0" fontId="6" fillId="36" borderId="11" xfId="0" applyFont="1" applyFill="1" applyBorder="1" applyAlignment="1">
      <alignment horizontal="left"/>
    </xf>
    <xf numFmtId="0" fontId="6" fillId="36" borderId="13" xfId="0" applyFont="1" applyFill="1" applyBorder="1" applyAlignment="1">
      <alignment horizontal="left"/>
    </xf>
    <xf numFmtId="0" fontId="6" fillId="36" borderId="12" xfId="0" applyFont="1" applyFill="1" applyBorder="1" applyAlignment="1">
      <alignment horizontal="left"/>
    </xf>
    <xf numFmtId="0" fontId="7" fillId="0" borderId="10" xfId="0" applyFont="1" applyFill="1" applyBorder="1" applyAlignment="1"/>
    <xf numFmtId="0" fontId="7" fillId="2" borderId="10" xfId="0" applyFont="1" applyFill="1" applyBorder="1" applyAlignment="1"/>
    <xf numFmtId="0" fontId="3" fillId="2" borderId="10" xfId="0" applyFont="1" applyFill="1" applyBorder="1" applyAlignment="1"/>
    <xf numFmtId="0" fontId="3" fillId="2" borderId="12" xfId="0" applyFont="1" applyFill="1" applyBorder="1" applyAlignment="1"/>
    <xf numFmtId="3" fontId="6" fillId="4" borderId="10" xfId="0" applyNumberFormat="1" applyFont="1" applyFill="1" applyBorder="1" applyAlignment="1">
      <alignment horizontal="left"/>
    </xf>
    <xf numFmtId="0" fontId="3" fillId="0" borderId="10" xfId="0" applyFont="1" applyFill="1" applyBorder="1" applyAlignment="1">
      <alignment horizontal="left"/>
    </xf>
    <xf numFmtId="0" fontId="7" fillId="0" borderId="10" xfId="0" applyFont="1" applyBorder="1" applyAlignment="1"/>
    <xf numFmtId="0" fontId="7" fillId="36" borderId="10" xfId="0" applyFont="1" applyFill="1" applyBorder="1" applyAlignment="1">
      <alignment horizontal="center"/>
    </xf>
    <xf numFmtId="0" fontId="6" fillId="4" borderId="10" xfId="0" applyFont="1" applyFill="1" applyBorder="1" applyAlignment="1">
      <alignment horizontal="left" vertical="center"/>
    </xf>
    <xf numFmtId="0" fontId="7" fillId="0" borderId="10" xfId="0" applyFont="1" applyFill="1" applyBorder="1" applyAlignment="1">
      <alignment horizontal="left" vertical="center"/>
    </xf>
    <xf numFmtId="0" fontId="3" fillId="0" borderId="10" xfId="0" applyFont="1" applyFill="1" applyBorder="1" applyAlignment="1">
      <alignment horizontal="left" vertical="center"/>
    </xf>
    <xf numFmtId="0" fontId="7" fillId="2" borderId="11" xfId="0" applyFont="1" applyFill="1" applyBorder="1" applyAlignment="1"/>
    <xf numFmtId="0" fontId="7" fillId="2" borderId="13" xfId="0" applyFont="1" applyFill="1" applyBorder="1" applyAlignment="1"/>
    <xf numFmtId="0" fontId="7" fillId="2" borderId="12" xfId="0" applyFont="1" applyFill="1" applyBorder="1" applyAlignment="1"/>
    <xf numFmtId="3" fontId="6" fillId="4" borderId="11" xfId="0" applyNumberFormat="1" applyFont="1" applyFill="1" applyBorder="1" applyAlignment="1">
      <alignment horizontal="left"/>
    </xf>
    <xf numFmtId="3" fontId="6" fillId="4" borderId="13" xfId="0" applyNumberFormat="1" applyFont="1" applyFill="1" applyBorder="1" applyAlignment="1">
      <alignment horizontal="left"/>
    </xf>
    <xf numFmtId="3" fontId="6" fillId="4" borderId="12" xfId="0" applyNumberFormat="1" applyFont="1" applyFill="1" applyBorder="1" applyAlignment="1">
      <alignment horizontal="left"/>
    </xf>
    <xf numFmtId="0" fontId="6" fillId="4" borderId="11" xfId="0" applyFont="1" applyFill="1" applyBorder="1" applyAlignment="1"/>
    <xf numFmtId="0" fontId="6" fillId="4" borderId="13" xfId="0" applyFont="1" applyFill="1" applyBorder="1" applyAlignment="1"/>
    <xf numFmtId="0" fontId="6" fillId="4" borderId="12" xfId="0" applyFont="1" applyFill="1" applyBorder="1" applyAlignment="1"/>
    <xf numFmtId="0" fontId="3" fillId="36" borderId="10" xfId="0" applyFont="1" applyFill="1" applyBorder="1" applyAlignment="1">
      <alignment horizontal="center" vertical="center" wrapText="1"/>
    </xf>
    <xf numFmtId="0" fontId="3" fillId="0" borderId="10" xfId="0" applyFont="1" applyFill="1" applyBorder="1"/>
    <xf numFmtId="0" fontId="6" fillId="4" borderId="10" xfId="0" applyFont="1" applyFill="1" applyBorder="1"/>
    <xf numFmtId="0" fontId="7" fillId="2" borderId="10" xfId="0" applyFont="1" applyFill="1" applyBorder="1"/>
    <xf numFmtId="0" fontId="3" fillId="0" borderId="11" xfId="0" applyFont="1" applyFill="1" applyBorder="1"/>
    <xf numFmtId="0" fontId="3" fillId="0" borderId="12" xfId="0" applyFont="1" applyFill="1" applyBorder="1"/>
    <xf numFmtId="0" fontId="6" fillId="4" borderId="10" xfId="0" applyFont="1" applyFill="1" applyBorder="1" applyAlignment="1">
      <alignment horizontal="left"/>
    </xf>
    <xf numFmtId="0" fontId="6" fillId="4" borderId="11" xfId="0" applyFont="1" applyFill="1" applyBorder="1" applyAlignment="1">
      <alignment wrapText="1"/>
    </xf>
    <xf numFmtId="0" fontId="6" fillId="4" borderId="13" xfId="0" applyFont="1" applyFill="1" applyBorder="1" applyAlignment="1">
      <alignment wrapText="1"/>
    </xf>
    <xf numFmtId="0" fontId="6" fillId="4" borderId="12" xfId="0" applyFont="1" applyFill="1" applyBorder="1" applyAlignment="1">
      <alignment wrapText="1"/>
    </xf>
    <xf numFmtId="0" fontId="3" fillId="4" borderId="10" xfId="0" applyFont="1" applyFill="1" applyBorder="1" applyAlignment="1"/>
    <xf numFmtId="0" fontId="7" fillId="4" borderId="10" xfId="0" applyFont="1" applyFill="1" applyBorder="1" applyAlignment="1"/>
    <xf numFmtId="0" fontId="6" fillId="4" borderId="10" xfId="0" applyFont="1" applyFill="1" applyBorder="1" applyAlignment="1">
      <alignment wrapText="1"/>
    </xf>
    <xf numFmtId="0" fontId="6" fillId="2" borderId="11" xfId="0" applyFont="1" applyFill="1" applyBorder="1" applyAlignment="1">
      <alignment vertical="top"/>
    </xf>
    <xf numFmtId="0" fontId="6" fillId="2" borderId="12" xfId="0" applyFont="1" applyFill="1" applyBorder="1" applyAlignment="1">
      <alignment vertical="top"/>
    </xf>
    <xf numFmtId="0" fontId="3" fillId="2" borderId="11" xfId="0" applyFont="1" applyFill="1" applyBorder="1" applyAlignment="1">
      <alignment vertical="top"/>
    </xf>
    <xf numFmtId="0" fontId="3" fillId="2" borderId="12" xfId="0" applyFont="1" applyFill="1" applyBorder="1" applyAlignment="1">
      <alignment vertical="top"/>
    </xf>
    <xf numFmtId="0" fontId="3" fillId="2" borderId="11" xfId="0" applyFont="1" applyFill="1" applyBorder="1" applyAlignment="1">
      <alignment horizontal="left"/>
    </xf>
    <xf numFmtId="0" fontId="7" fillId="2" borderId="13" xfId="0" applyFont="1" applyFill="1" applyBorder="1" applyAlignment="1">
      <alignment horizontal="left"/>
    </xf>
    <xf numFmtId="0" fontId="7" fillId="2" borderId="12" xfId="0" applyFont="1" applyFill="1" applyBorder="1" applyAlignment="1">
      <alignment horizontal="left"/>
    </xf>
    <xf numFmtId="0" fontId="3" fillId="2" borderId="13" xfId="0" applyFont="1" applyFill="1" applyBorder="1" applyAlignment="1">
      <alignment horizontal="left"/>
    </xf>
    <xf numFmtId="0" fontId="3" fillId="2" borderId="12" xfId="0" applyFont="1" applyFill="1" applyBorder="1" applyAlignment="1">
      <alignment horizontal="left"/>
    </xf>
    <xf numFmtId="0" fontId="3" fillId="2" borderId="10" xfId="0" applyFont="1" applyFill="1" applyBorder="1" applyAlignment="1">
      <alignment horizontal="left"/>
    </xf>
    <xf numFmtId="0" fontId="7" fillId="2" borderId="10" xfId="0" applyFont="1" applyFill="1" applyBorder="1" applyAlignment="1">
      <alignment horizontal="left"/>
    </xf>
    <xf numFmtId="0" fontId="6" fillId="36" borderId="10" xfId="0" applyFont="1" applyFill="1" applyBorder="1" applyAlignment="1">
      <alignment horizontal="left" vertical="center" wrapText="1"/>
    </xf>
    <xf numFmtId="0" fontId="35" fillId="3" borderId="0" xfId="0" applyFont="1" applyFill="1" applyBorder="1" applyAlignment="1">
      <alignment horizontal="center" vertical="center" wrapText="1"/>
    </xf>
    <xf numFmtId="44" fontId="6" fillId="36" borderId="10" xfId="28" applyFont="1" applyFill="1" applyBorder="1" applyAlignment="1">
      <alignment horizontal="center"/>
    </xf>
    <xf numFmtId="0" fontId="3" fillId="0" borderId="11" xfId="0" applyFont="1" applyFill="1" applyBorder="1" applyAlignment="1">
      <alignment wrapText="1"/>
    </xf>
    <xf numFmtId="0" fontId="7" fillId="0" borderId="13" xfId="0" applyFont="1" applyFill="1" applyBorder="1" applyAlignment="1">
      <alignment wrapText="1"/>
    </xf>
    <xf numFmtId="0" fontId="7" fillId="0" borderId="12" xfId="0" applyFont="1" applyFill="1" applyBorder="1" applyAlignment="1">
      <alignment wrapText="1"/>
    </xf>
    <xf numFmtId="0" fontId="3" fillId="4" borderId="11" xfId="0" applyFont="1" applyFill="1" applyBorder="1" applyAlignment="1">
      <alignment horizontal="left" wrapText="1"/>
    </xf>
    <xf numFmtId="0" fontId="3" fillId="4" borderId="13" xfId="0" applyFont="1" applyFill="1" applyBorder="1" applyAlignment="1">
      <alignment horizontal="left" wrapText="1"/>
    </xf>
    <xf numFmtId="0" fontId="3" fillId="4" borderId="12" xfId="0" applyFont="1" applyFill="1" applyBorder="1" applyAlignment="1">
      <alignment horizontal="left" wrapText="1"/>
    </xf>
    <xf numFmtId="0" fontId="6" fillId="36" borderId="10" xfId="0" applyFont="1" applyFill="1" applyBorder="1" applyAlignment="1">
      <alignment vertical="center" wrapText="1"/>
    </xf>
    <xf numFmtId="3" fontId="6" fillId="4" borderId="11" xfId="44" applyNumberFormat="1" applyFont="1" applyFill="1" applyBorder="1" applyAlignment="1">
      <alignment horizontal="left"/>
    </xf>
    <xf numFmtId="3" fontId="6" fillId="4" borderId="12" xfId="44" applyNumberFormat="1" applyFont="1" applyFill="1" applyBorder="1" applyAlignment="1">
      <alignment horizontal="left"/>
    </xf>
    <xf numFmtId="0" fontId="3" fillId="0" borderId="10" xfId="0" applyFont="1" applyFill="1" applyBorder="1" applyAlignment="1"/>
    <xf numFmtId="0" fontId="6" fillId="36" borderId="10" xfId="0" applyFont="1" applyFill="1" applyBorder="1" applyAlignment="1">
      <alignment horizontal="center" vertical="center"/>
    </xf>
    <xf numFmtId="0" fontId="5" fillId="36" borderId="17" xfId="0" applyFont="1" applyFill="1" applyBorder="1" applyAlignment="1">
      <alignment horizontal="left" vertical="center" wrapText="1"/>
    </xf>
    <xf numFmtId="0" fontId="5" fillId="36" borderId="18" xfId="0" applyFont="1" applyFill="1" applyBorder="1" applyAlignment="1">
      <alignment horizontal="left" vertical="center" wrapText="1"/>
    </xf>
    <xf numFmtId="0" fontId="5" fillId="36" borderId="19" xfId="0" applyFont="1" applyFill="1" applyBorder="1" applyAlignment="1">
      <alignment horizontal="center" vertical="center" wrapText="1"/>
    </xf>
    <xf numFmtId="0" fontId="5" fillId="36" borderId="24" xfId="0" applyFont="1" applyFill="1" applyBorder="1" applyAlignment="1">
      <alignment horizontal="center" vertical="center" wrapText="1"/>
    </xf>
    <xf numFmtId="0" fontId="5" fillId="36" borderId="20" xfId="0" applyFont="1" applyFill="1" applyBorder="1" applyAlignment="1">
      <alignment horizontal="center" vertical="center" wrapText="1"/>
    </xf>
    <xf numFmtId="0" fontId="5" fillId="36" borderId="11" xfId="0" applyFont="1" applyFill="1" applyBorder="1" applyAlignment="1">
      <alignment horizontal="left" vertical="center"/>
    </xf>
    <xf numFmtId="0" fontId="5" fillId="36" borderId="13" xfId="0" applyFont="1" applyFill="1" applyBorder="1" applyAlignment="1">
      <alignment horizontal="left" vertical="center"/>
    </xf>
    <xf numFmtId="0" fontId="5" fillId="36" borderId="12" xfId="0" applyFont="1" applyFill="1" applyBorder="1" applyAlignment="1">
      <alignment horizontal="left" vertical="center"/>
    </xf>
    <xf numFmtId="3" fontId="5" fillId="36" borderId="11" xfId="0" applyNumberFormat="1" applyFont="1" applyFill="1" applyBorder="1" applyAlignment="1">
      <alignment horizontal="center" vertical="center"/>
    </xf>
    <xf numFmtId="3" fontId="5" fillId="36" borderId="13" xfId="0" applyNumberFormat="1" applyFont="1" applyFill="1" applyBorder="1" applyAlignment="1">
      <alignment horizontal="center" vertical="center"/>
    </xf>
    <xf numFmtId="3" fontId="5" fillId="36" borderId="12" xfId="0" applyNumberFormat="1" applyFont="1" applyFill="1" applyBorder="1" applyAlignment="1">
      <alignment horizontal="center" vertical="center"/>
    </xf>
    <xf numFmtId="0" fontId="5" fillId="36" borderId="11" xfId="0" applyFont="1" applyFill="1" applyBorder="1" applyAlignment="1">
      <alignment horizontal="center" vertical="center"/>
    </xf>
    <xf numFmtId="0" fontId="5" fillId="36" borderId="13" xfId="0" applyFont="1" applyFill="1" applyBorder="1" applyAlignment="1">
      <alignment horizontal="center" vertical="center"/>
    </xf>
    <xf numFmtId="0" fontId="5" fillId="36" borderId="12" xfId="0" applyFont="1" applyFill="1" applyBorder="1" applyAlignment="1">
      <alignment horizontal="center" vertical="center"/>
    </xf>
    <xf numFmtId="0" fontId="5" fillId="36" borderId="16" xfId="0" applyFont="1" applyFill="1" applyBorder="1" applyAlignment="1">
      <alignment horizontal="left" vertical="center"/>
    </xf>
    <xf numFmtId="0" fontId="5" fillId="36" borderId="23" xfId="0" applyFont="1" applyFill="1" applyBorder="1" applyAlignment="1">
      <alignment horizontal="left" vertical="center"/>
    </xf>
    <xf numFmtId="0" fontId="4" fillId="2" borderId="19" xfId="0" applyFont="1" applyFill="1" applyBorder="1" applyAlignment="1">
      <alignment vertical="center" wrapText="1"/>
    </xf>
    <xf numFmtId="0" fontId="4" fillId="2" borderId="20" xfId="0" applyFont="1" applyFill="1" applyBorder="1" applyAlignment="1">
      <alignment vertical="center" wrapText="1"/>
    </xf>
    <xf numFmtId="0" fontId="4" fillId="0" borderId="19" xfId="0" applyFont="1" applyFill="1" applyBorder="1" applyAlignment="1">
      <alignment vertical="center" wrapText="1"/>
    </xf>
    <xf numFmtId="0" fontId="4" fillId="0" borderId="20" xfId="0" applyFont="1" applyFill="1" applyBorder="1" applyAlignment="1">
      <alignment vertical="center" wrapText="1"/>
    </xf>
    <xf numFmtId="0" fontId="5" fillId="36" borderId="11" xfId="0" applyFont="1" applyFill="1" applyBorder="1" applyAlignment="1">
      <alignment vertical="top" wrapText="1"/>
    </xf>
    <xf numFmtId="0" fontId="5" fillId="36" borderId="12" xfId="0" applyFont="1" applyFill="1" applyBorder="1" applyAlignment="1">
      <alignment vertical="top" wrapText="1"/>
    </xf>
    <xf numFmtId="0" fontId="35" fillId="3" borderId="0" xfId="0" applyFont="1" applyFill="1" applyBorder="1" applyAlignment="1">
      <alignment horizontal="left"/>
    </xf>
    <xf numFmtId="0" fontId="4" fillId="2" borderId="0" xfId="0" applyFont="1" applyFill="1" applyBorder="1" applyAlignment="1">
      <alignment horizontal="left" vertical="top" wrapText="1"/>
    </xf>
    <xf numFmtId="0" fontId="4" fillId="0" borderId="19" xfId="0" applyFont="1" applyFill="1" applyBorder="1" applyAlignment="1">
      <alignment horizontal="left" vertical="center" wrapText="1"/>
    </xf>
    <xf numFmtId="0" fontId="4" fillId="0" borderId="20" xfId="0" applyFont="1" applyFill="1" applyBorder="1" applyAlignment="1">
      <alignment horizontal="left" vertical="center" wrapText="1"/>
    </xf>
    <xf numFmtId="0" fontId="5" fillId="36" borderId="11" xfId="0" applyFont="1" applyFill="1" applyBorder="1" applyAlignment="1"/>
    <xf numFmtId="0" fontId="5" fillId="36" borderId="12" xfId="0" applyFont="1" applyFill="1" applyBorder="1" applyAlignment="1"/>
    <xf numFmtId="0" fontId="35" fillId="3" borderId="0" xfId="0" applyFont="1" applyFill="1" applyBorder="1" applyAlignment="1"/>
    <xf numFmtId="0" fontId="5" fillId="0" borderId="0" xfId="0" applyFont="1" applyFill="1" applyAlignment="1">
      <alignment wrapText="1"/>
    </xf>
    <xf numFmtId="0" fontId="5" fillId="0" borderId="0" xfId="0" applyFont="1" applyFill="1" applyAlignment="1">
      <alignment horizontal="right" wrapText="1"/>
    </xf>
    <xf numFmtId="14" fontId="5" fillId="0" borderId="0" xfId="0" applyNumberFormat="1" applyFont="1" applyFill="1" applyAlignment="1">
      <alignment horizontal="center" wrapText="1"/>
    </xf>
    <xf numFmtId="3" fontId="5" fillId="0" borderId="0" xfId="0" applyNumberFormat="1" applyFont="1" applyFill="1" applyAlignment="1">
      <alignment wrapText="1"/>
    </xf>
    <xf numFmtId="14" fontId="4" fillId="0" borderId="0" xfId="0" applyNumberFormat="1" applyFont="1" applyFill="1" applyAlignment="1" applyProtection="1">
      <alignment horizontal="center" vertical="center"/>
    </xf>
    <xf numFmtId="14" fontId="4" fillId="0" borderId="0" xfId="0" applyNumberFormat="1" applyFont="1" applyFill="1" applyAlignment="1">
      <alignment horizontal="center"/>
    </xf>
    <xf numFmtId="14" fontId="4" fillId="0" borderId="0" xfId="0" applyNumberFormat="1" applyFont="1" applyFill="1" applyAlignment="1">
      <alignment horizontal="right"/>
    </xf>
    <xf numFmtId="21" fontId="4" fillId="0" borderId="0" xfId="0" quotePrefix="1" applyNumberFormat="1" applyFont="1" applyFill="1" applyAlignment="1">
      <alignment horizontal="center"/>
    </xf>
    <xf numFmtId="0" fontId="4" fillId="0" borderId="0" xfId="0" quotePrefix="1" applyFont="1" applyFill="1" applyAlignment="1">
      <alignment horizontal="center"/>
    </xf>
    <xf numFmtId="0" fontId="0" fillId="0" borderId="0" xfId="0" applyFill="1" applyAlignment="1">
      <alignment horizontal="left"/>
    </xf>
    <xf numFmtId="0" fontId="0" fillId="0" borderId="0" xfId="0" applyFill="1"/>
    <xf numFmtId="0" fontId="0" fillId="0" borderId="0" xfId="0" applyNumberFormat="1" applyFill="1"/>
    <xf numFmtId="14" fontId="0" fillId="0" borderId="0" xfId="0" applyNumberFormat="1" applyFill="1"/>
  </cellXfs>
  <cellStyles count="4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4" builtinId="3"/>
    <cellStyle name="Currency" xfId="28" builtinId="4"/>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Linked Cell" xfId="36" builtinId="24" customBuiltin="1"/>
    <cellStyle name="Neutral" xfId="37" builtinId="28" customBuiltin="1"/>
    <cellStyle name="Normal" xfId="0" builtinId="0" customBuiltin="1"/>
    <cellStyle name="Note" xfId="38" builtinId="10" customBuiltin="1"/>
    <cellStyle name="Output" xfId="39" builtinId="21" customBuiltin="1"/>
    <cellStyle name="Percent" xfId="40" builtinId="5"/>
    <cellStyle name="Title" xfId="41" builtinId="15" customBuiltin="1"/>
    <cellStyle name="Total" xfId="42" builtinId="25" customBuiltin="1"/>
    <cellStyle name="Warning Text" xfId="43" builtinId="11" customBuiltin="1"/>
  </cellStyles>
  <dxfs count="1">
    <dxf>
      <fill>
        <patternFill patternType="solid">
          <fgColor rgb="FFFFFF66"/>
          <bgColor rgb="FF00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E3E3E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66"/>
      <color rgb="FF99CC00"/>
      <color rgb="FF66FFFF"/>
      <color rgb="FFFFFFCC"/>
      <color rgb="FF990033"/>
      <color rgb="FF9966FF"/>
      <color rgb="FFBEBEBE"/>
      <color rgb="FF669900"/>
      <color rgb="FFFF9900"/>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pivotCacheDefinition" Target="pivotCache/pivotCacheDefinition2.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pivotCacheDefinition" Target="pivotCache/pivotCacheDefinition1.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Breakdown of development pipeline (net dwellings)</a:t>
            </a:r>
          </a:p>
        </c:rich>
      </c:tx>
      <c:layout>
        <c:manualLayout>
          <c:xMode val="edge"/>
          <c:yMode val="edge"/>
          <c:x val="0.21170876367726763"/>
          <c:y val="4.1044590096628985E-3"/>
        </c:manualLayout>
      </c:layout>
      <c:overlay val="0"/>
    </c:title>
    <c:autoTitleDeleted val="0"/>
    <c:plotArea>
      <c:layout>
        <c:manualLayout>
          <c:layoutTarget val="inner"/>
          <c:xMode val="edge"/>
          <c:yMode val="edge"/>
          <c:x val="2.3867654356417294E-2"/>
          <c:y val="0.12198068991376078"/>
          <c:w val="0.82887633922808834"/>
          <c:h val="0.80159955005624295"/>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DCDE-4A53-BB5F-2C95ECFE0B4E}"/>
              </c:ext>
            </c:extLst>
          </c:dPt>
          <c:dPt>
            <c:idx val="1"/>
            <c:invertIfNegative val="0"/>
            <c:bubble3D val="0"/>
            <c:extLst>
              <c:ext xmlns:c16="http://schemas.microsoft.com/office/drawing/2014/chart" uri="{C3380CC4-5D6E-409C-BE32-E72D297353CC}">
                <c16:uniqueId val="{00000001-DCDE-4A53-BB5F-2C95ECFE0B4E}"/>
              </c:ext>
            </c:extLst>
          </c:dPt>
          <c:dPt>
            <c:idx val="2"/>
            <c:invertIfNegative val="0"/>
            <c:bubble3D val="0"/>
            <c:extLst>
              <c:ext xmlns:c16="http://schemas.microsoft.com/office/drawing/2014/chart" uri="{C3380CC4-5D6E-409C-BE32-E72D297353CC}">
                <c16:uniqueId val="{00000002-DCDE-4A53-BB5F-2C95ECFE0B4E}"/>
              </c:ext>
            </c:extLst>
          </c:dPt>
          <c:dPt>
            <c:idx val="3"/>
            <c:invertIfNegative val="0"/>
            <c:bubble3D val="0"/>
            <c:extLst>
              <c:ext xmlns:c16="http://schemas.microsoft.com/office/drawing/2014/chart" uri="{C3380CC4-5D6E-409C-BE32-E72D297353CC}">
                <c16:uniqueId val="{00000003-DCDE-4A53-BB5F-2C95ECFE0B4E}"/>
              </c:ext>
            </c:extLst>
          </c:dPt>
          <c:cat>
            <c:strRef>
              <c:f>'Summary Tables'!$A$40:$C$43</c:f>
              <c:strCache>
                <c:ptCount val="4"/>
                <c:pt idx="0">
                  <c:v>Under Construction</c:v>
                </c:pt>
                <c:pt idx="1">
                  <c:v>Planning Permissions</c:v>
                </c:pt>
                <c:pt idx="2">
                  <c:v>Applications Undecided</c:v>
                </c:pt>
                <c:pt idx="3">
                  <c:v>Potential Sites</c:v>
                </c:pt>
              </c:strCache>
            </c:strRef>
          </c:cat>
          <c:val>
            <c:numRef>
              <c:f>'Summary Tables'!$I$40:$I$43</c:f>
              <c:numCache>
                <c:formatCode>#,##0</c:formatCode>
                <c:ptCount val="4"/>
                <c:pt idx="0">
                  <c:v>13257</c:v>
                </c:pt>
                <c:pt idx="1">
                  <c:v>4511</c:v>
                </c:pt>
                <c:pt idx="2">
                  <c:v>2772</c:v>
                </c:pt>
                <c:pt idx="3">
                  <c:v>6254</c:v>
                </c:pt>
              </c:numCache>
            </c:numRef>
          </c:val>
          <c:extLst>
            <c:ext xmlns:c16="http://schemas.microsoft.com/office/drawing/2014/chart" uri="{C3380CC4-5D6E-409C-BE32-E72D297353CC}">
              <c16:uniqueId val="{00000004-DCDE-4A53-BB5F-2C95ECFE0B4E}"/>
            </c:ext>
          </c:extLst>
        </c:ser>
        <c:dLbls>
          <c:showLegendKey val="0"/>
          <c:showVal val="0"/>
          <c:showCatName val="0"/>
          <c:showSerName val="0"/>
          <c:showPercent val="0"/>
          <c:showBubbleSize val="0"/>
        </c:dLbls>
        <c:gapWidth val="40"/>
        <c:axId val="140401280"/>
        <c:axId val="140399744"/>
      </c:barChart>
      <c:valAx>
        <c:axId val="140399744"/>
        <c:scaling>
          <c:orientation val="minMax"/>
        </c:scaling>
        <c:delete val="0"/>
        <c:axPos val="l"/>
        <c:majorGridlines/>
        <c:numFmt formatCode="#,##0" sourceLinked="1"/>
        <c:majorTickMark val="out"/>
        <c:minorTickMark val="none"/>
        <c:tickLblPos val="nextTo"/>
        <c:crossAx val="140401280"/>
        <c:crosses val="autoZero"/>
        <c:crossBetween val="between"/>
      </c:valAx>
      <c:catAx>
        <c:axId val="140401280"/>
        <c:scaling>
          <c:orientation val="minMax"/>
        </c:scaling>
        <c:delete val="0"/>
        <c:axPos val="b"/>
        <c:numFmt formatCode="General" sourceLinked="0"/>
        <c:majorTickMark val="out"/>
        <c:minorTickMark val="none"/>
        <c:tickLblPos val="nextTo"/>
        <c:crossAx val="140399744"/>
        <c:crossesAt val="0"/>
        <c:auto val="0"/>
        <c:lblAlgn val="ctr"/>
        <c:lblOffset val="100"/>
        <c:noMultiLvlLbl val="0"/>
      </c:catAx>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Planning permissions for conversions at end 2017/18 (gross proposed units)</a:t>
            </a:r>
          </a:p>
        </c:rich>
      </c:tx>
      <c:overlay val="0"/>
    </c:title>
    <c:autoTitleDeleted val="0"/>
    <c:plotArea>
      <c:layout/>
      <c:pieChart>
        <c:varyColors val="1"/>
        <c:ser>
          <c:idx val="0"/>
          <c:order val="0"/>
          <c:tx>
            <c:strRef>
              <c:f>'Summary Tables'!$D$351</c:f>
              <c:strCache>
                <c:ptCount val="1"/>
                <c:pt idx="0">
                  <c:v>2017/18</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Tables'!$A$352:$B$357</c:f>
              <c:strCache>
                <c:ptCount val="6"/>
                <c:pt idx="0">
                  <c:v>House &gt; Flats</c:v>
                </c:pt>
                <c:pt idx="1">
                  <c:v>Flats &gt; House</c:v>
                </c:pt>
                <c:pt idx="2">
                  <c:v>Flats &gt; Flats</c:v>
                </c:pt>
                <c:pt idx="3">
                  <c:v>Houses &gt; Houses</c:v>
                </c:pt>
                <c:pt idx="4">
                  <c:v>Change of Use</c:v>
                </c:pt>
                <c:pt idx="5">
                  <c:v>Vertical Extension</c:v>
                </c:pt>
              </c:strCache>
            </c:strRef>
          </c:cat>
          <c:val>
            <c:numRef>
              <c:f>'Summary Tables'!$D$352:$D$357</c:f>
              <c:numCache>
                <c:formatCode>#,##0</c:formatCode>
                <c:ptCount val="6"/>
                <c:pt idx="0">
                  <c:v>129</c:v>
                </c:pt>
                <c:pt idx="1">
                  <c:v>26</c:v>
                </c:pt>
                <c:pt idx="2">
                  <c:v>247</c:v>
                </c:pt>
                <c:pt idx="3">
                  <c:v>0</c:v>
                </c:pt>
                <c:pt idx="4">
                  <c:v>1208</c:v>
                </c:pt>
                <c:pt idx="5">
                  <c:v>90</c:v>
                </c:pt>
              </c:numCache>
            </c:numRef>
          </c:val>
          <c:extLst>
            <c:ext xmlns:c16="http://schemas.microsoft.com/office/drawing/2014/chart" uri="{C3380CC4-5D6E-409C-BE32-E72D297353CC}">
              <c16:uniqueId val="{00000000-302E-4BB2-94E9-9B0E6D1878CA}"/>
            </c:ext>
          </c:extLst>
        </c:ser>
        <c:dLbls>
          <c:showLegendKey val="0"/>
          <c:showVal val="0"/>
          <c:showCatName val="0"/>
          <c:showSerName val="0"/>
          <c:showPercent val="1"/>
          <c:showBubbleSize val="0"/>
          <c:showLeaderLines val="1"/>
        </c:dLbls>
        <c:firstSliceAng val="0"/>
      </c:pieChart>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'Summary Tables'!$B$113:$C$113</c:f>
              <c:strCache>
                <c:ptCount val="1"/>
                <c:pt idx="0">
                  <c:v> Open Market</c:v>
                </c:pt>
              </c:strCache>
            </c:strRef>
          </c:tx>
          <c:invertIfNegative val="0"/>
          <c:cat>
            <c:strRef>
              <c:f>'Summary Tables'!$A$115:$A$131</c:f>
              <c:strCache>
                <c:ptCount val="17"/>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strCache>
            </c:strRef>
          </c:cat>
          <c:val>
            <c:numRef>
              <c:f>'Summary Tables'!$B$115:$B$131</c:f>
              <c:numCache>
                <c:formatCode>#,##0</c:formatCode>
                <c:ptCount val="17"/>
                <c:pt idx="0">
                  <c:v>537</c:v>
                </c:pt>
                <c:pt idx="1">
                  <c:v>868</c:v>
                </c:pt>
                <c:pt idx="2">
                  <c:v>779</c:v>
                </c:pt>
                <c:pt idx="3">
                  <c:v>1239</c:v>
                </c:pt>
                <c:pt idx="4">
                  <c:v>1155</c:v>
                </c:pt>
                <c:pt idx="5">
                  <c:v>1039</c:v>
                </c:pt>
                <c:pt idx="6">
                  <c:v>728</c:v>
                </c:pt>
                <c:pt idx="7">
                  <c:v>1079</c:v>
                </c:pt>
                <c:pt idx="8">
                  <c:v>1061</c:v>
                </c:pt>
                <c:pt idx="9">
                  <c:v>371</c:v>
                </c:pt>
                <c:pt idx="10">
                  <c:v>713</c:v>
                </c:pt>
                <c:pt idx="11">
                  <c:v>633</c:v>
                </c:pt>
                <c:pt idx="12">
                  <c:v>969</c:v>
                </c:pt>
                <c:pt idx="13">
                  <c:v>805</c:v>
                </c:pt>
                <c:pt idx="14">
                  <c:v>2212</c:v>
                </c:pt>
                <c:pt idx="15">
                  <c:v>1968</c:v>
                </c:pt>
                <c:pt idx="16">
                  <c:v>1834</c:v>
                </c:pt>
              </c:numCache>
            </c:numRef>
          </c:val>
          <c:extLst>
            <c:ext xmlns:c16="http://schemas.microsoft.com/office/drawing/2014/chart" uri="{C3380CC4-5D6E-409C-BE32-E72D297353CC}">
              <c16:uniqueId val="{00000000-B3E4-4282-9112-A8EAC7AE9806}"/>
            </c:ext>
          </c:extLst>
        </c:ser>
        <c:ser>
          <c:idx val="1"/>
          <c:order val="1"/>
          <c:tx>
            <c:strRef>
              <c:f>'Summary Tables'!$D$113:$E$113</c:f>
              <c:strCache>
                <c:ptCount val="1"/>
                <c:pt idx="0">
                  <c:v>  Intermediate </c:v>
                </c:pt>
              </c:strCache>
            </c:strRef>
          </c:tx>
          <c:invertIfNegative val="0"/>
          <c:cat>
            <c:strRef>
              <c:f>'Summary Tables'!$A$115:$A$131</c:f>
              <c:strCache>
                <c:ptCount val="17"/>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strCache>
            </c:strRef>
          </c:cat>
          <c:val>
            <c:numRef>
              <c:f>'Summary Tables'!$D$115:$D$131</c:f>
              <c:numCache>
                <c:formatCode>#,##0</c:formatCode>
                <c:ptCount val="17"/>
                <c:pt idx="0">
                  <c:v>0</c:v>
                </c:pt>
                <c:pt idx="1">
                  <c:v>0</c:v>
                </c:pt>
                <c:pt idx="2">
                  <c:v>196</c:v>
                </c:pt>
                <c:pt idx="3">
                  <c:v>119</c:v>
                </c:pt>
                <c:pt idx="4">
                  <c:v>93</c:v>
                </c:pt>
                <c:pt idx="5">
                  <c:v>206</c:v>
                </c:pt>
                <c:pt idx="6">
                  <c:v>281</c:v>
                </c:pt>
                <c:pt idx="7">
                  <c:v>393</c:v>
                </c:pt>
                <c:pt idx="8">
                  <c:v>453</c:v>
                </c:pt>
                <c:pt idx="9">
                  <c:v>103</c:v>
                </c:pt>
                <c:pt idx="10">
                  <c:v>198</c:v>
                </c:pt>
                <c:pt idx="11">
                  <c:v>118</c:v>
                </c:pt>
                <c:pt idx="12">
                  <c:v>175</c:v>
                </c:pt>
                <c:pt idx="13">
                  <c:v>109</c:v>
                </c:pt>
                <c:pt idx="14">
                  <c:v>325</c:v>
                </c:pt>
                <c:pt idx="15" formatCode="General">
                  <c:v>298</c:v>
                </c:pt>
                <c:pt idx="16">
                  <c:v>142</c:v>
                </c:pt>
              </c:numCache>
            </c:numRef>
          </c:val>
          <c:extLst>
            <c:ext xmlns:c16="http://schemas.microsoft.com/office/drawing/2014/chart" uri="{C3380CC4-5D6E-409C-BE32-E72D297353CC}">
              <c16:uniqueId val="{00000001-B3E4-4282-9112-A8EAC7AE9806}"/>
            </c:ext>
          </c:extLst>
        </c:ser>
        <c:ser>
          <c:idx val="2"/>
          <c:order val="2"/>
          <c:tx>
            <c:strRef>
              <c:f>'Summary Tables'!$F$113:$G$113</c:f>
              <c:strCache>
                <c:ptCount val="1"/>
                <c:pt idx="0">
                  <c:v>  Social/Affordable Rent </c:v>
                </c:pt>
              </c:strCache>
            </c:strRef>
          </c:tx>
          <c:invertIfNegative val="0"/>
          <c:cat>
            <c:strRef>
              <c:f>'Summary Tables'!$A$115:$A$131</c:f>
              <c:strCache>
                <c:ptCount val="17"/>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strCache>
            </c:strRef>
          </c:cat>
          <c:val>
            <c:numRef>
              <c:f>'Summary Tables'!$F$115:$F$131</c:f>
              <c:numCache>
                <c:formatCode>#,##0</c:formatCode>
                <c:ptCount val="17"/>
                <c:pt idx="0">
                  <c:v>32</c:v>
                </c:pt>
                <c:pt idx="1">
                  <c:v>80</c:v>
                </c:pt>
                <c:pt idx="2">
                  <c:v>89</c:v>
                </c:pt>
                <c:pt idx="3">
                  <c:v>132</c:v>
                </c:pt>
                <c:pt idx="4">
                  <c:v>56</c:v>
                </c:pt>
                <c:pt idx="5">
                  <c:v>33</c:v>
                </c:pt>
                <c:pt idx="6">
                  <c:v>22</c:v>
                </c:pt>
                <c:pt idx="7">
                  <c:v>88</c:v>
                </c:pt>
                <c:pt idx="8">
                  <c:v>25</c:v>
                </c:pt>
                <c:pt idx="9">
                  <c:v>7</c:v>
                </c:pt>
                <c:pt idx="10">
                  <c:v>68</c:v>
                </c:pt>
                <c:pt idx="11">
                  <c:v>91</c:v>
                </c:pt>
                <c:pt idx="12">
                  <c:v>53</c:v>
                </c:pt>
                <c:pt idx="13">
                  <c:v>22</c:v>
                </c:pt>
                <c:pt idx="14">
                  <c:v>239</c:v>
                </c:pt>
                <c:pt idx="15" formatCode="General">
                  <c:v>79</c:v>
                </c:pt>
                <c:pt idx="16">
                  <c:v>60</c:v>
                </c:pt>
              </c:numCache>
            </c:numRef>
          </c:val>
          <c:extLst>
            <c:ext xmlns:c16="http://schemas.microsoft.com/office/drawing/2014/chart" uri="{C3380CC4-5D6E-409C-BE32-E72D297353CC}">
              <c16:uniqueId val="{00000002-B3E4-4282-9112-A8EAC7AE9806}"/>
            </c:ext>
          </c:extLst>
        </c:ser>
        <c:dLbls>
          <c:showLegendKey val="0"/>
          <c:showVal val="0"/>
          <c:showCatName val="0"/>
          <c:showSerName val="0"/>
          <c:showPercent val="0"/>
          <c:showBubbleSize val="0"/>
        </c:dLbls>
        <c:gapWidth val="150"/>
        <c:axId val="142842880"/>
        <c:axId val="142848768"/>
      </c:barChart>
      <c:catAx>
        <c:axId val="142842880"/>
        <c:scaling>
          <c:orientation val="minMax"/>
        </c:scaling>
        <c:delete val="0"/>
        <c:axPos val="b"/>
        <c:numFmt formatCode="General" sourceLinked="0"/>
        <c:majorTickMark val="out"/>
        <c:minorTickMark val="none"/>
        <c:tickLblPos val="nextTo"/>
        <c:crossAx val="142848768"/>
        <c:crosses val="autoZero"/>
        <c:auto val="1"/>
        <c:lblAlgn val="ctr"/>
        <c:lblOffset val="100"/>
        <c:noMultiLvlLbl val="0"/>
      </c:catAx>
      <c:valAx>
        <c:axId val="142848768"/>
        <c:scaling>
          <c:orientation val="minMax"/>
        </c:scaling>
        <c:delete val="0"/>
        <c:axPos val="l"/>
        <c:majorGridlines/>
        <c:numFmt formatCode="#,##0" sourceLinked="1"/>
        <c:majorTickMark val="out"/>
        <c:minorTickMark val="none"/>
        <c:tickLblPos val="nextTo"/>
        <c:crossAx val="142842880"/>
        <c:crosses val="autoZero"/>
        <c:crossBetween val="between"/>
      </c:valAx>
    </c:plotArea>
    <c:legend>
      <c:legendPos val="l"/>
      <c:layout>
        <c:manualLayout>
          <c:xMode val="edge"/>
          <c:yMode val="edge"/>
          <c:x val="8.1957186544342503E-2"/>
          <c:y val="0.10372739865850102"/>
          <c:w val="0.11891720745482928"/>
          <c:h val="0.20909282466452256"/>
        </c:manualLayout>
      </c:layout>
      <c:overlay val="1"/>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a:t>Completions by ward in 2017/18</a:t>
            </a:r>
          </a:p>
        </c:rich>
      </c:tx>
      <c:overlay val="0"/>
    </c:title>
    <c:autoTitleDeleted val="0"/>
    <c:plotArea>
      <c:layout/>
      <c:barChart>
        <c:barDir val="bar"/>
        <c:grouping val="clustered"/>
        <c:varyColors val="0"/>
        <c:ser>
          <c:idx val="0"/>
          <c:order val="0"/>
          <c:tx>
            <c:strRef>
              <c:f>'Summary Tables'!$G$279</c:f>
              <c:strCache>
                <c:ptCount val="1"/>
                <c:pt idx="0">
                  <c:v>Completions</c:v>
                </c:pt>
              </c:strCache>
            </c:strRef>
          </c:tx>
          <c:invertIfNegative val="0"/>
          <c:cat>
            <c:strRef>
              <c:f>'Summary Tables'!$A$281:$C$300</c:f>
              <c:strCache>
                <c:ptCount val="20"/>
                <c:pt idx="0">
                  <c:v>Balham</c:v>
                </c:pt>
                <c:pt idx="1">
                  <c:v>Bedford</c:v>
                </c:pt>
                <c:pt idx="2">
                  <c:v>Earlsfield</c:v>
                </c:pt>
                <c:pt idx="3">
                  <c:v>East Putney</c:v>
                </c:pt>
                <c:pt idx="4">
                  <c:v>Fairfield</c:v>
                </c:pt>
                <c:pt idx="5">
                  <c:v>Furzedown</c:v>
                </c:pt>
                <c:pt idx="6">
                  <c:v>Graveney</c:v>
                </c:pt>
                <c:pt idx="7">
                  <c:v>Latchmere</c:v>
                </c:pt>
                <c:pt idx="8">
                  <c:v>Nightingale</c:v>
                </c:pt>
                <c:pt idx="9">
                  <c:v>Northcote</c:v>
                </c:pt>
                <c:pt idx="10">
                  <c:v>Queenstown</c:v>
                </c:pt>
                <c:pt idx="11">
                  <c:v>Roehampton and Putney Heath</c:v>
                </c:pt>
                <c:pt idx="12">
                  <c:v>Shaftesbury</c:v>
                </c:pt>
                <c:pt idx="13">
                  <c:v>Southfields</c:v>
                </c:pt>
                <c:pt idx="14">
                  <c:v>St Mary's Park</c:v>
                </c:pt>
                <c:pt idx="15">
                  <c:v>Thamesfield</c:v>
                </c:pt>
                <c:pt idx="16">
                  <c:v>Tooting</c:v>
                </c:pt>
                <c:pt idx="17">
                  <c:v>Wandsworth Common</c:v>
                </c:pt>
                <c:pt idx="18">
                  <c:v>West Hill</c:v>
                </c:pt>
                <c:pt idx="19">
                  <c:v>West Putney</c:v>
                </c:pt>
              </c:strCache>
            </c:strRef>
          </c:cat>
          <c:val>
            <c:numRef>
              <c:f>'Summary Tables'!$G$281:$G$300</c:f>
              <c:numCache>
                <c:formatCode>#,##0</c:formatCode>
                <c:ptCount val="20"/>
                <c:pt idx="0">
                  <c:v>29</c:v>
                </c:pt>
                <c:pt idx="1">
                  <c:v>25</c:v>
                </c:pt>
                <c:pt idx="2">
                  <c:v>18</c:v>
                </c:pt>
                <c:pt idx="3">
                  <c:v>8</c:v>
                </c:pt>
                <c:pt idx="4">
                  <c:v>233</c:v>
                </c:pt>
                <c:pt idx="5">
                  <c:v>15</c:v>
                </c:pt>
                <c:pt idx="6">
                  <c:v>22</c:v>
                </c:pt>
                <c:pt idx="7">
                  <c:v>37</c:v>
                </c:pt>
                <c:pt idx="8">
                  <c:v>23</c:v>
                </c:pt>
                <c:pt idx="9">
                  <c:v>-55</c:v>
                </c:pt>
                <c:pt idx="10">
                  <c:v>1337</c:v>
                </c:pt>
                <c:pt idx="11">
                  <c:v>5</c:v>
                </c:pt>
                <c:pt idx="12">
                  <c:v>19</c:v>
                </c:pt>
                <c:pt idx="13">
                  <c:v>110</c:v>
                </c:pt>
                <c:pt idx="14">
                  <c:v>163</c:v>
                </c:pt>
                <c:pt idx="15">
                  <c:v>6</c:v>
                </c:pt>
                <c:pt idx="16">
                  <c:v>38</c:v>
                </c:pt>
                <c:pt idx="17">
                  <c:v>2</c:v>
                </c:pt>
                <c:pt idx="18">
                  <c:v>-6</c:v>
                </c:pt>
                <c:pt idx="19">
                  <c:v>7</c:v>
                </c:pt>
              </c:numCache>
            </c:numRef>
          </c:val>
          <c:extLst>
            <c:ext xmlns:c16="http://schemas.microsoft.com/office/drawing/2014/chart" uri="{C3380CC4-5D6E-409C-BE32-E72D297353CC}">
              <c16:uniqueId val="{00000000-6D94-4A1E-AA09-62B00EDE4BA6}"/>
            </c:ext>
          </c:extLst>
        </c:ser>
        <c:dLbls>
          <c:showLegendKey val="0"/>
          <c:showVal val="0"/>
          <c:showCatName val="0"/>
          <c:showSerName val="0"/>
          <c:showPercent val="0"/>
          <c:showBubbleSize val="0"/>
        </c:dLbls>
        <c:gapWidth val="150"/>
        <c:axId val="142934400"/>
        <c:axId val="142935936"/>
      </c:barChart>
      <c:catAx>
        <c:axId val="142934400"/>
        <c:scaling>
          <c:orientation val="minMax"/>
        </c:scaling>
        <c:delete val="0"/>
        <c:axPos val="l"/>
        <c:numFmt formatCode="General" sourceLinked="0"/>
        <c:majorTickMark val="out"/>
        <c:minorTickMark val="none"/>
        <c:tickLblPos val="nextTo"/>
        <c:crossAx val="142935936"/>
        <c:crosses val="autoZero"/>
        <c:auto val="1"/>
        <c:lblAlgn val="ctr"/>
        <c:lblOffset val="150"/>
        <c:noMultiLvlLbl val="0"/>
      </c:catAx>
      <c:valAx>
        <c:axId val="142935936"/>
        <c:scaling>
          <c:orientation val="minMax"/>
          <c:max val="1400"/>
        </c:scaling>
        <c:delete val="0"/>
        <c:axPos val="b"/>
        <c:majorGridlines/>
        <c:numFmt formatCode="#,##0" sourceLinked="1"/>
        <c:majorTickMark val="out"/>
        <c:minorTickMark val="none"/>
        <c:tickLblPos val="nextTo"/>
        <c:spPr>
          <a:noFill/>
          <a:ln>
            <a:noFill/>
          </a:ln>
        </c:spPr>
        <c:crossAx val="142934400"/>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900"/>
            </a:pPr>
            <a:r>
              <a:rPr lang="en-US" sz="900"/>
              <a:t>Net new build units completed</a:t>
            </a:r>
          </a:p>
        </c:rich>
      </c:tx>
      <c:overlay val="0"/>
    </c:title>
    <c:autoTitleDeleted val="0"/>
    <c:plotArea>
      <c:layout/>
      <c:pieChart>
        <c:varyColors val="1"/>
        <c:ser>
          <c:idx val="1"/>
          <c:order val="0"/>
          <c:tx>
            <c:strRef>
              <c:f>'Summary Tables'!$B$314</c:f>
              <c:strCache>
                <c:ptCount val="1"/>
                <c:pt idx="0">
                  <c:v>Net new build units completed by unit size and tenure</c:v>
                </c:pt>
              </c:strCache>
            </c:strRef>
          </c:tx>
          <c:cat>
            <c:strRef>
              <c:f>'Summary Tables'!$C$315:$I$315</c:f>
              <c:strCache>
                <c:ptCount val="7"/>
                <c:pt idx="0">
                  <c:v>Studio</c:v>
                </c:pt>
                <c:pt idx="1">
                  <c:v>1 bed</c:v>
                </c:pt>
                <c:pt idx="2">
                  <c:v>2 bed</c:v>
                </c:pt>
                <c:pt idx="3">
                  <c:v>3 bed</c:v>
                </c:pt>
                <c:pt idx="4">
                  <c:v>4 bed</c:v>
                </c:pt>
                <c:pt idx="5">
                  <c:v>5+ bed</c:v>
                </c:pt>
                <c:pt idx="6">
                  <c:v>Not Known</c:v>
                </c:pt>
              </c:strCache>
            </c:strRef>
          </c:cat>
          <c:val>
            <c:numRef>
              <c:f>'Summary Tables'!$C$322:$I$322</c:f>
              <c:numCache>
                <c:formatCode>#,##0</c:formatCode>
                <c:ptCount val="7"/>
                <c:pt idx="0">
                  <c:v>103</c:v>
                </c:pt>
                <c:pt idx="1">
                  <c:v>537</c:v>
                </c:pt>
                <c:pt idx="2">
                  <c:v>849</c:v>
                </c:pt>
                <c:pt idx="3">
                  <c:v>353</c:v>
                </c:pt>
                <c:pt idx="4">
                  <c:v>27</c:v>
                </c:pt>
                <c:pt idx="5">
                  <c:v>1</c:v>
                </c:pt>
                <c:pt idx="6">
                  <c:v>0</c:v>
                </c:pt>
              </c:numCache>
            </c:numRef>
          </c:val>
          <c:extLst>
            <c:ext xmlns:c16="http://schemas.microsoft.com/office/drawing/2014/chart" uri="{C3380CC4-5D6E-409C-BE32-E72D297353CC}">
              <c16:uniqueId val="{00000000-4A98-439B-9FB2-8984BFAF562D}"/>
            </c:ext>
          </c:extLst>
        </c:ser>
        <c:dLbls>
          <c:showLegendKey val="0"/>
          <c:showVal val="0"/>
          <c:showCatName val="0"/>
          <c:showSerName val="0"/>
          <c:showPercent val="0"/>
          <c:showBubbleSize val="0"/>
          <c:showLeaderLines val="1"/>
        </c:dLbls>
        <c:firstSliceAng val="0"/>
      </c:pieChart>
    </c:plotArea>
    <c:legend>
      <c:legendPos val="r"/>
      <c:overlay val="1"/>
    </c:legend>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900"/>
            </a:pPr>
            <a:r>
              <a:rPr lang="en-US" sz="900"/>
              <a:t>Net new build units with planning permission</a:t>
            </a:r>
          </a:p>
        </c:rich>
      </c:tx>
      <c:overlay val="0"/>
    </c:title>
    <c:autoTitleDeleted val="0"/>
    <c:plotArea>
      <c:layout/>
      <c:pieChart>
        <c:varyColors val="1"/>
        <c:ser>
          <c:idx val="0"/>
          <c:order val="0"/>
          <c:tx>
            <c:strRef>
              <c:f>'Summary Tables'!$B$326</c:f>
              <c:strCache>
                <c:ptCount val="1"/>
                <c:pt idx="0">
                  <c:v>Net new build units with planning permission by unit size and tenure</c:v>
                </c:pt>
              </c:strCache>
            </c:strRef>
          </c:tx>
          <c:cat>
            <c:strRef>
              <c:f>'Summary Tables'!$C$315:$I$315</c:f>
              <c:strCache>
                <c:ptCount val="7"/>
                <c:pt idx="0">
                  <c:v>Studio</c:v>
                </c:pt>
                <c:pt idx="1">
                  <c:v>1 bed</c:v>
                </c:pt>
                <c:pt idx="2">
                  <c:v>2 bed</c:v>
                </c:pt>
                <c:pt idx="3">
                  <c:v>3 bed</c:v>
                </c:pt>
                <c:pt idx="4">
                  <c:v>4 bed</c:v>
                </c:pt>
                <c:pt idx="5">
                  <c:v>5+ bed</c:v>
                </c:pt>
                <c:pt idx="6">
                  <c:v>Not Known</c:v>
                </c:pt>
              </c:strCache>
            </c:strRef>
          </c:cat>
          <c:val>
            <c:numRef>
              <c:f>'Summary Tables'!$C$322:$I$322</c:f>
              <c:numCache>
                <c:formatCode>#,##0</c:formatCode>
                <c:ptCount val="7"/>
                <c:pt idx="0">
                  <c:v>103</c:v>
                </c:pt>
                <c:pt idx="1">
                  <c:v>537</c:v>
                </c:pt>
                <c:pt idx="2">
                  <c:v>849</c:v>
                </c:pt>
                <c:pt idx="3">
                  <c:v>353</c:v>
                </c:pt>
                <c:pt idx="4">
                  <c:v>27</c:v>
                </c:pt>
                <c:pt idx="5">
                  <c:v>1</c:v>
                </c:pt>
                <c:pt idx="6">
                  <c:v>0</c:v>
                </c:pt>
              </c:numCache>
            </c:numRef>
          </c:val>
          <c:extLst>
            <c:ext xmlns:c16="http://schemas.microsoft.com/office/drawing/2014/chart" uri="{C3380CC4-5D6E-409C-BE32-E72D297353CC}">
              <c16:uniqueId val="{00000000-4B72-4B47-8122-D9AE3530D72D}"/>
            </c:ext>
          </c:extLst>
        </c:ser>
        <c:dLbls>
          <c:showLegendKey val="0"/>
          <c:showVal val="0"/>
          <c:showCatName val="0"/>
          <c:showSerName val="0"/>
          <c:showPercent val="0"/>
          <c:showBubbleSize val="0"/>
          <c:showLeaderLines val="1"/>
        </c:dLbls>
        <c:firstSliceAng val="0"/>
      </c:pieChart>
    </c:plotArea>
    <c:legend>
      <c:legendPos val="r"/>
      <c:overlay val="1"/>
    </c:legend>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Housing Delivery</a:t>
            </a:r>
            <a:r>
              <a:rPr lang="en-GB" baseline="0"/>
              <a:t> Trajectory and Managed Target</a:t>
            </a:r>
            <a:endParaRPr lang="en-GB"/>
          </a:p>
        </c:rich>
      </c:tx>
      <c:overlay val="0"/>
    </c:title>
    <c:autoTitleDeleted val="0"/>
    <c:plotArea>
      <c:layout/>
      <c:barChart>
        <c:barDir val="col"/>
        <c:grouping val="clustered"/>
        <c:varyColors val="0"/>
        <c:ser>
          <c:idx val="0"/>
          <c:order val="0"/>
          <c:tx>
            <c:strRef>
              <c:f>'Trajectory Scenario 1'!$B$5</c:f>
              <c:strCache>
                <c:ptCount val="1"/>
                <c:pt idx="0">
                  <c:v>Past Completions</c:v>
                </c:pt>
              </c:strCache>
            </c:strRef>
          </c:tx>
          <c:spPr>
            <a:solidFill>
              <a:schemeClr val="tx2"/>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'Trajectory Scenario 1'!$C$3:$X$3</c:f>
              <c:strCache>
                <c:ptCount val="22"/>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strCache>
            </c:strRef>
          </c:cat>
          <c:val>
            <c:numRef>
              <c:f>'Trajectory Scenario 1'!$C$5:$X$5</c:f>
              <c:numCache>
                <c:formatCode>#,##0</c:formatCode>
                <c:ptCount val="22"/>
                <c:pt idx="0">
                  <c:v>1465</c:v>
                </c:pt>
                <c:pt idx="1">
                  <c:v>793</c:v>
                </c:pt>
                <c:pt idx="2">
                  <c:v>1086</c:v>
                </c:pt>
                <c:pt idx="3">
                  <c:v>1511</c:v>
                </c:pt>
                <c:pt idx="4">
                  <c:v>2735</c:v>
                </c:pt>
                <c:pt idx="5">
                  <c:v>2710</c:v>
                </c:pt>
                <c:pt idx="6">
                  <c:v>2025</c:v>
                </c:pt>
              </c:numCache>
            </c:numRef>
          </c:val>
          <c:extLst>
            <c:ext xmlns:c16="http://schemas.microsoft.com/office/drawing/2014/chart" uri="{C3380CC4-5D6E-409C-BE32-E72D297353CC}">
              <c16:uniqueId val="{00000000-A337-458F-AA58-DC058BEC71FC}"/>
            </c:ext>
          </c:extLst>
        </c:ser>
        <c:ser>
          <c:idx val="1"/>
          <c:order val="1"/>
          <c:tx>
            <c:strRef>
              <c:f>'Trajectory Scenario 1'!$B$6</c:f>
              <c:strCache>
                <c:ptCount val="1"/>
                <c:pt idx="0">
                  <c:v>Projected Completions</c:v>
                </c:pt>
              </c:strCache>
            </c:strRef>
          </c:tx>
          <c:spPr>
            <a:solidFill>
              <a:schemeClr val="accent1"/>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'Trajectory Scenario 1'!$C$3:$X$3</c:f>
              <c:strCache>
                <c:ptCount val="22"/>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strCache>
            </c:strRef>
          </c:cat>
          <c:val>
            <c:numRef>
              <c:f>'Trajectory Scenario 1'!$C$6:$X$6</c:f>
              <c:numCache>
                <c:formatCode>#,##0</c:formatCode>
                <c:ptCount val="22"/>
                <c:pt idx="7">
                  <c:v>2303.9499999999998</c:v>
                </c:pt>
                <c:pt idx="8">
                  <c:v>3426.8500000000013</c:v>
                </c:pt>
                <c:pt idx="9">
                  <c:v>3187.8500000000013</c:v>
                </c:pt>
                <c:pt idx="10">
                  <c:v>4279.5166666666673</c:v>
                </c:pt>
                <c:pt idx="11">
                  <c:v>3038.9333333333411</c:v>
                </c:pt>
                <c:pt idx="12">
                  <c:v>2454.9999999999973</c:v>
                </c:pt>
                <c:pt idx="13">
                  <c:v>2100.5803921568595</c:v>
                </c:pt>
                <c:pt idx="14">
                  <c:v>2210.9137254901962</c:v>
                </c:pt>
                <c:pt idx="15">
                  <c:v>1290.2470588235292</c:v>
                </c:pt>
                <c:pt idx="16">
                  <c:v>1645.2470588235287</c:v>
                </c:pt>
                <c:pt idx="17">
                  <c:v>1099.1470588235295</c:v>
                </c:pt>
                <c:pt idx="18">
                  <c:v>804.73039215686265</c:v>
                </c:pt>
                <c:pt idx="19">
                  <c:v>636.73039215686276</c:v>
                </c:pt>
                <c:pt idx="20">
                  <c:v>636.73039215686276</c:v>
                </c:pt>
                <c:pt idx="21">
                  <c:v>636.73039215686276</c:v>
                </c:pt>
              </c:numCache>
            </c:numRef>
          </c:val>
          <c:extLst>
            <c:ext xmlns:c16="http://schemas.microsoft.com/office/drawing/2014/chart" uri="{C3380CC4-5D6E-409C-BE32-E72D297353CC}">
              <c16:uniqueId val="{00000001-A337-458F-AA58-DC058BEC71FC}"/>
            </c:ext>
          </c:extLst>
        </c:ser>
        <c:dLbls>
          <c:showLegendKey val="0"/>
          <c:showVal val="0"/>
          <c:showCatName val="0"/>
          <c:showSerName val="0"/>
          <c:showPercent val="0"/>
          <c:showBubbleSize val="0"/>
        </c:dLbls>
        <c:gapWidth val="100"/>
        <c:overlap val="100"/>
        <c:axId val="143106048"/>
        <c:axId val="143107968"/>
      </c:barChart>
      <c:lineChart>
        <c:grouping val="standard"/>
        <c:varyColors val="0"/>
        <c:ser>
          <c:idx val="2"/>
          <c:order val="2"/>
          <c:tx>
            <c:strRef>
              <c:f>'Trajectory Scenario 1'!$B$8</c:f>
              <c:strCache>
                <c:ptCount val="1"/>
                <c:pt idx="0">
                  <c:v>Annual Target</c:v>
                </c:pt>
              </c:strCache>
            </c:strRef>
          </c:tx>
          <c:spPr>
            <a:ln>
              <a:solidFill>
                <a:schemeClr val="accent6">
                  <a:lumMod val="50000"/>
                </a:schemeClr>
              </a:solidFill>
            </a:ln>
          </c:spPr>
          <c:marker>
            <c:symbol val="none"/>
          </c:marker>
          <c:val>
            <c:numRef>
              <c:f>'Trajectory Scenario 1'!$C$8:$X$8</c:f>
              <c:numCache>
                <c:formatCode>#,##0</c:formatCode>
                <c:ptCount val="22"/>
                <c:pt idx="0">
                  <c:v>1145</c:v>
                </c:pt>
                <c:pt idx="1">
                  <c:v>1145</c:v>
                </c:pt>
                <c:pt idx="2">
                  <c:v>1145</c:v>
                </c:pt>
                <c:pt idx="3">
                  <c:v>1145</c:v>
                </c:pt>
                <c:pt idx="4">
                  <c:v>1812</c:v>
                </c:pt>
                <c:pt idx="5">
                  <c:v>1812</c:v>
                </c:pt>
                <c:pt idx="6">
                  <c:v>1812</c:v>
                </c:pt>
                <c:pt idx="7">
                  <c:v>1812</c:v>
                </c:pt>
                <c:pt idx="8">
                  <c:v>1812</c:v>
                </c:pt>
                <c:pt idx="9">
                  <c:v>1812</c:v>
                </c:pt>
                <c:pt idx="10">
                  <c:v>1812</c:v>
                </c:pt>
                <c:pt idx="11">
                  <c:v>1812</c:v>
                </c:pt>
                <c:pt idx="12">
                  <c:v>1812</c:v>
                </c:pt>
                <c:pt idx="13">
                  <c:v>1812</c:v>
                </c:pt>
                <c:pt idx="14">
                  <c:v>1812</c:v>
                </c:pt>
                <c:pt idx="15">
                  <c:v>1812</c:v>
                </c:pt>
                <c:pt idx="16">
                  <c:v>1812</c:v>
                </c:pt>
                <c:pt idx="17">
                  <c:v>1812</c:v>
                </c:pt>
                <c:pt idx="18">
                  <c:v>1812</c:v>
                </c:pt>
                <c:pt idx="19">
                  <c:v>1812</c:v>
                </c:pt>
                <c:pt idx="20">
                  <c:v>1812</c:v>
                </c:pt>
                <c:pt idx="21">
                  <c:v>1812</c:v>
                </c:pt>
              </c:numCache>
            </c:numRef>
          </c:val>
          <c:smooth val="0"/>
          <c:extLst>
            <c:ext xmlns:c16="http://schemas.microsoft.com/office/drawing/2014/chart" uri="{C3380CC4-5D6E-409C-BE32-E72D297353CC}">
              <c16:uniqueId val="{00000002-A337-458F-AA58-DC058BEC71FC}"/>
            </c:ext>
          </c:extLst>
        </c:ser>
        <c:ser>
          <c:idx val="3"/>
          <c:order val="3"/>
          <c:tx>
            <c:strRef>
              <c:f>'Trajectory Scenario 1'!$B$11</c:f>
              <c:strCache>
                <c:ptCount val="1"/>
                <c:pt idx="0">
                  <c:v>Managed Annual Target Taking Account of Past and Projected Completions</c:v>
                </c:pt>
              </c:strCache>
            </c:strRef>
          </c:tx>
          <c:spPr>
            <a:ln>
              <a:solidFill>
                <a:schemeClr val="accent6"/>
              </a:solidFill>
              <a:prstDash val="solid"/>
            </a:ln>
          </c:spPr>
          <c:marker>
            <c:symbol val="none"/>
          </c:marker>
          <c:val>
            <c:numRef>
              <c:f>'Trajectory Scenario 1'!$C$11:$X$11</c:f>
              <c:numCache>
                <c:formatCode>#,##0</c:formatCode>
                <c:ptCount val="22"/>
                <c:pt idx="0">
                  <c:v>1145</c:v>
                </c:pt>
                <c:pt idx="1">
                  <c:v>1109.4444444444443</c:v>
                </c:pt>
                <c:pt idx="2">
                  <c:v>1149</c:v>
                </c:pt>
                <c:pt idx="3">
                  <c:v>1158</c:v>
                </c:pt>
                <c:pt idx="4">
                  <c:v>1812</c:v>
                </c:pt>
                <c:pt idx="5">
                  <c:v>1709.4444444444443</c:v>
                </c:pt>
                <c:pt idx="6">
                  <c:v>1584.375</c:v>
                </c:pt>
                <c:pt idx="7">
                  <c:v>1521.4285714285713</c:v>
                </c:pt>
                <c:pt idx="8">
                  <c:v>1391.0083333333332</c:v>
                </c:pt>
                <c:pt idx="9">
                  <c:v>983.83999999999946</c:v>
                </c:pt>
                <c:pt idx="10">
                  <c:v>432.83749999999873</c:v>
                </c:pt>
                <c:pt idx="11">
                  <c:v>0</c:v>
                </c:pt>
                <c:pt idx="12">
                  <c:v>0</c:v>
                </c:pt>
                <c:pt idx="13">
                  <c:v>0</c:v>
                </c:pt>
              </c:numCache>
            </c:numRef>
          </c:val>
          <c:smooth val="0"/>
          <c:extLst>
            <c:ext xmlns:c16="http://schemas.microsoft.com/office/drawing/2014/chart" uri="{C3380CC4-5D6E-409C-BE32-E72D297353CC}">
              <c16:uniqueId val="{00000003-A337-458F-AA58-DC058BEC71FC}"/>
            </c:ext>
          </c:extLst>
        </c:ser>
        <c:dLbls>
          <c:showLegendKey val="0"/>
          <c:showVal val="0"/>
          <c:showCatName val="0"/>
          <c:showSerName val="0"/>
          <c:showPercent val="0"/>
          <c:showBubbleSize val="0"/>
        </c:dLbls>
        <c:marker val="1"/>
        <c:smooth val="0"/>
        <c:axId val="143106048"/>
        <c:axId val="143107968"/>
      </c:lineChart>
      <c:catAx>
        <c:axId val="143106048"/>
        <c:scaling>
          <c:orientation val="minMax"/>
        </c:scaling>
        <c:delete val="0"/>
        <c:axPos val="b"/>
        <c:title>
          <c:tx>
            <c:rich>
              <a:bodyPr/>
              <a:lstStyle/>
              <a:p>
                <a:pPr>
                  <a:defRPr/>
                </a:pPr>
                <a:r>
                  <a:rPr lang="en-GB"/>
                  <a:t>Year</a:t>
                </a:r>
              </a:p>
            </c:rich>
          </c:tx>
          <c:overlay val="0"/>
        </c:title>
        <c:numFmt formatCode="General" sourceLinked="0"/>
        <c:majorTickMark val="out"/>
        <c:minorTickMark val="none"/>
        <c:tickLblPos val="nextTo"/>
        <c:crossAx val="143107968"/>
        <c:crosses val="autoZero"/>
        <c:auto val="1"/>
        <c:lblAlgn val="ctr"/>
        <c:lblOffset val="100"/>
        <c:noMultiLvlLbl val="0"/>
      </c:catAx>
      <c:valAx>
        <c:axId val="143107968"/>
        <c:scaling>
          <c:orientation val="minMax"/>
        </c:scaling>
        <c:delete val="0"/>
        <c:axPos val="l"/>
        <c:majorGridlines>
          <c:spPr>
            <a:ln>
              <a:noFill/>
            </a:ln>
          </c:spPr>
        </c:majorGridlines>
        <c:title>
          <c:tx>
            <c:rich>
              <a:bodyPr rot="-5400000" vert="horz"/>
              <a:lstStyle/>
              <a:p>
                <a:pPr>
                  <a:defRPr/>
                </a:pPr>
                <a:r>
                  <a:rPr lang="en-US"/>
                  <a:t>Net Completions</a:t>
                </a:r>
              </a:p>
            </c:rich>
          </c:tx>
          <c:overlay val="0"/>
        </c:title>
        <c:numFmt formatCode="#,##0" sourceLinked="1"/>
        <c:majorTickMark val="out"/>
        <c:minorTickMark val="none"/>
        <c:tickLblPos val="nextTo"/>
        <c:crossAx val="143106048"/>
        <c:crosses val="autoZero"/>
        <c:crossBetween val="between"/>
      </c:valAx>
    </c:plotArea>
    <c:legend>
      <c:legendPos val="b"/>
      <c:overlay val="0"/>
    </c:legend>
    <c:plotVisOnly val="1"/>
    <c:dispBlanksAs val="gap"/>
    <c:showDLblsOverMax val="0"/>
  </c:chart>
  <c:spPr>
    <a:ln w="6350">
      <a:solidFill>
        <a:schemeClr val="bg1">
          <a:lumMod val="50000"/>
        </a:schemeClr>
      </a:solidFill>
    </a:ln>
  </c:spPr>
  <c:txPr>
    <a:bodyPr/>
    <a:lstStyle/>
    <a:p>
      <a:pPr>
        <a:defRPr sz="900"/>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Housing Delivery above or below</a:t>
            </a:r>
            <a:r>
              <a:rPr lang="en-US" baseline="0"/>
              <a:t> the Target over Time</a:t>
            </a:r>
            <a:endParaRPr lang="en-US"/>
          </a:p>
        </c:rich>
      </c:tx>
      <c:overlay val="0"/>
    </c:title>
    <c:autoTitleDeleted val="0"/>
    <c:plotArea>
      <c:layout/>
      <c:lineChart>
        <c:grouping val="standard"/>
        <c:varyColors val="0"/>
        <c:ser>
          <c:idx val="0"/>
          <c:order val="0"/>
          <c:tx>
            <c:strRef>
              <c:f>'Trajectory Scenario 1'!$B$10</c:f>
              <c:strCache>
                <c:ptCount val="1"/>
                <c:pt idx="0">
                  <c:v>Cumulative Completions above Cumulative Target</c:v>
                </c:pt>
              </c:strCache>
            </c:strRef>
          </c:tx>
          <c:spPr>
            <a:ln>
              <a:solidFill>
                <a:schemeClr val="accent6">
                  <a:lumMod val="50000"/>
                </a:schemeClr>
              </a:solidFill>
            </a:ln>
          </c:spPr>
          <c:marker>
            <c:symbol val="none"/>
          </c:marker>
          <c:cat>
            <c:strLit>
              <c:ptCount val="21"/>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strLit>
          </c:cat>
          <c:val>
            <c:numRef>
              <c:f>'Trajectory Scenario 1'!$C$10:$X$10</c:f>
              <c:numCache>
                <c:formatCode>#,##0</c:formatCode>
                <c:ptCount val="22"/>
                <c:pt idx="0">
                  <c:v>320</c:v>
                </c:pt>
                <c:pt idx="1">
                  <c:v>-32</c:v>
                </c:pt>
                <c:pt idx="2">
                  <c:v>-91</c:v>
                </c:pt>
                <c:pt idx="3">
                  <c:v>275</c:v>
                </c:pt>
                <c:pt idx="4">
                  <c:v>923</c:v>
                </c:pt>
                <c:pt idx="5">
                  <c:v>1821</c:v>
                </c:pt>
                <c:pt idx="6">
                  <c:v>2034</c:v>
                </c:pt>
                <c:pt idx="7">
                  <c:v>2525.9500000000007</c:v>
                </c:pt>
                <c:pt idx="8">
                  <c:v>4140.8000000000029</c:v>
                </c:pt>
                <c:pt idx="9">
                  <c:v>5516.6500000000051</c:v>
                </c:pt>
                <c:pt idx="10">
                  <c:v>7984.1666666666715</c:v>
                </c:pt>
                <c:pt idx="11">
                  <c:v>9211.1000000000131</c:v>
                </c:pt>
                <c:pt idx="12">
                  <c:v>9854.1000000000095</c:v>
                </c:pt>
                <c:pt idx="13">
                  <c:v>10142.680392156868</c:v>
                </c:pt>
                <c:pt idx="14">
                  <c:v>10541.594117647066</c:v>
                </c:pt>
                <c:pt idx="15">
                  <c:v>10019.841176470596</c:v>
                </c:pt>
                <c:pt idx="16">
                  <c:v>9853.0882352941262</c:v>
                </c:pt>
                <c:pt idx="17">
                  <c:v>9140.2352941176578</c:v>
                </c:pt>
                <c:pt idx="18">
                  <c:v>8132.9656862745178</c:v>
                </c:pt>
                <c:pt idx="19">
                  <c:v>6957.6960784313778</c:v>
                </c:pt>
                <c:pt idx="20">
                  <c:v>5782.4264705882379</c:v>
                </c:pt>
                <c:pt idx="21">
                  <c:v>4607.1568627450979</c:v>
                </c:pt>
              </c:numCache>
            </c:numRef>
          </c:val>
          <c:smooth val="0"/>
          <c:extLst>
            <c:ext xmlns:c16="http://schemas.microsoft.com/office/drawing/2014/chart" uri="{C3380CC4-5D6E-409C-BE32-E72D297353CC}">
              <c16:uniqueId val="{00000000-2C77-49E0-8C01-4F3899661AED}"/>
            </c:ext>
          </c:extLst>
        </c:ser>
        <c:dLbls>
          <c:showLegendKey val="0"/>
          <c:showVal val="0"/>
          <c:showCatName val="0"/>
          <c:showSerName val="0"/>
          <c:showPercent val="0"/>
          <c:showBubbleSize val="0"/>
        </c:dLbls>
        <c:smooth val="0"/>
        <c:axId val="143144064"/>
        <c:axId val="143145984"/>
      </c:lineChart>
      <c:catAx>
        <c:axId val="143144064"/>
        <c:scaling>
          <c:orientation val="minMax"/>
        </c:scaling>
        <c:delete val="0"/>
        <c:axPos val="b"/>
        <c:title>
          <c:tx>
            <c:rich>
              <a:bodyPr/>
              <a:lstStyle/>
              <a:p>
                <a:pPr>
                  <a:defRPr/>
                </a:pPr>
                <a:r>
                  <a:rPr lang="en-GB"/>
                  <a:t>Year</a:t>
                </a:r>
              </a:p>
            </c:rich>
          </c:tx>
          <c:overlay val="0"/>
        </c:title>
        <c:numFmt formatCode="General" sourceLinked="0"/>
        <c:majorTickMark val="out"/>
        <c:minorTickMark val="none"/>
        <c:tickLblPos val="nextTo"/>
        <c:crossAx val="143145984"/>
        <c:crosses val="autoZero"/>
        <c:auto val="1"/>
        <c:lblAlgn val="ctr"/>
        <c:lblOffset val="100"/>
        <c:noMultiLvlLbl val="0"/>
      </c:catAx>
      <c:valAx>
        <c:axId val="143145984"/>
        <c:scaling>
          <c:orientation val="minMax"/>
        </c:scaling>
        <c:delete val="0"/>
        <c:axPos val="l"/>
        <c:majorGridlines>
          <c:spPr>
            <a:ln>
              <a:noFill/>
            </a:ln>
          </c:spPr>
        </c:majorGridlines>
        <c:title>
          <c:tx>
            <c:rich>
              <a:bodyPr rot="-5400000" vert="horz"/>
              <a:lstStyle/>
              <a:p>
                <a:pPr>
                  <a:defRPr/>
                </a:pPr>
                <a:r>
                  <a:rPr lang="en-GB"/>
                  <a:t>Net Completions</a:t>
                </a:r>
              </a:p>
            </c:rich>
          </c:tx>
          <c:overlay val="0"/>
        </c:title>
        <c:numFmt formatCode="#,##0" sourceLinked="1"/>
        <c:majorTickMark val="out"/>
        <c:minorTickMark val="none"/>
        <c:tickLblPos val="nextTo"/>
        <c:crossAx val="143144064"/>
        <c:crosses val="autoZero"/>
        <c:crossBetween val="between"/>
      </c:valAx>
    </c:plotArea>
    <c:legend>
      <c:legendPos val="b"/>
      <c:overlay val="0"/>
    </c:legend>
    <c:plotVisOnly val="1"/>
    <c:dispBlanksAs val="gap"/>
    <c:showDLblsOverMax val="0"/>
  </c:chart>
  <c:spPr>
    <a:ln w="6350">
      <a:solidFill>
        <a:schemeClr val="bg1">
          <a:lumMod val="50000"/>
        </a:schemeClr>
      </a:solidFill>
    </a:ln>
  </c:spPr>
  <c:txPr>
    <a:bodyPr/>
    <a:lstStyle/>
    <a:p>
      <a:pPr>
        <a:defRPr sz="900"/>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Housing Delivery</a:t>
            </a:r>
            <a:r>
              <a:rPr lang="en-GB" baseline="0"/>
              <a:t> Trajectory and Managed Target</a:t>
            </a:r>
            <a:endParaRPr lang="en-GB"/>
          </a:p>
        </c:rich>
      </c:tx>
      <c:overlay val="0"/>
    </c:title>
    <c:autoTitleDeleted val="0"/>
    <c:plotArea>
      <c:layout/>
      <c:barChart>
        <c:barDir val="col"/>
        <c:grouping val="clustered"/>
        <c:varyColors val="0"/>
        <c:ser>
          <c:idx val="0"/>
          <c:order val="0"/>
          <c:tx>
            <c:strRef>
              <c:f>'Trajectory Scenario 2'!$B$5</c:f>
              <c:strCache>
                <c:ptCount val="1"/>
                <c:pt idx="0">
                  <c:v>Past Completions</c:v>
                </c:pt>
              </c:strCache>
            </c:strRef>
          </c:tx>
          <c:spPr>
            <a:solidFill>
              <a:schemeClr val="tx2"/>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'Trajectory Scenario 2'!$C$3:$X$3</c:f>
              <c:strCache>
                <c:ptCount val="22"/>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strCache>
            </c:strRef>
          </c:cat>
          <c:val>
            <c:numRef>
              <c:f>'Trajectory Scenario 2'!$C$5:$X$5</c:f>
              <c:numCache>
                <c:formatCode>#,##0</c:formatCode>
                <c:ptCount val="22"/>
                <c:pt idx="0">
                  <c:v>1465</c:v>
                </c:pt>
                <c:pt idx="1">
                  <c:v>793</c:v>
                </c:pt>
                <c:pt idx="2">
                  <c:v>1086</c:v>
                </c:pt>
                <c:pt idx="3">
                  <c:v>1511</c:v>
                </c:pt>
                <c:pt idx="4">
                  <c:v>2735</c:v>
                </c:pt>
                <c:pt idx="5">
                  <c:v>2710</c:v>
                </c:pt>
                <c:pt idx="6">
                  <c:v>2025</c:v>
                </c:pt>
              </c:numCache>
            </c:numRef>
          </c:val>
          <c:extLst>
            <c:ext xmlns:c16="http://schemas.microsoft.com/office/drawing/2014/chart" uri="{C3380CC4-5D6E-409C-BE32-E72D297353CC}">
              <c16:uniqueId val="{00000000-8102-4141-9121-9F9C9CD25C9A}"/>
            </c:ext>
          </c:extLst>
        </c:ser>
        <c:ser>
          <c:idx val="1"/>
          <c:order val="1"/>
          <c:tx>
            <c:strRef>
              <c:f>'Trajectory Scenario 2'!$B$6</c:f>
              <c:strCache>
                <c:ptCount val="1"/>
                <c:pt idx="0">
                  <c:v>Projected Completions</c:v>
                </c:pt>
              </c:strCache>
            </c:strRef>
          </c:tx>
          <c:spPr>
            <a:solidFill>
              <a:schemeClr val="accent1"/>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'Trajectory Scenario 2'!$C$3:$X$3</c:f>
              <c:strCache>
                <c:ptCount val="22"/>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strCache>
            </c:strRef>
          </c:cat>
          <c:val>
            <c:numRef>
              <c:f>'Trajectory Scenario 2'!$C$6:$X$6</c:f>
              <c:numCache>
                <c:formatCode>#,##0</c:formatCode>
                <c:ptCount val="22"/>
                <c:pt idx="7">
                  <c:v>1964.9499999999998</c:v>
                </c:pt>
                <c:pt idx="8">
                  <c:v>3439.4499999999953</c:v>
                </c:pt>
                <c:pt idx="9">
                  <c:v>3138.4499999999948</c:v>
                </c:pt>
                <c:pt idx="10">
                  <c:v>3074.4500000000003</c:v>
                </c:pt>
                <c:pt idx="11">
                  <c:v>3061.3666666666759</c:v>
                </c:pt>
                <c:pt idx="12">
                  <c:v>3145.4333333333425</c:v>
                </c:pt>
                <c:pt idx="13">
                  <c:v>2502.5803921568599</c:v>
                </c:pt>
                <c:pt idx="14">
                  <c:v>2243.8737254901957</c:v>
                </c:pt>
                <c:pt idx="15">
                  <c:v>1447.2870588235294</c:v>
                </c:pt>
                <c:pt idx="16">
                  <c:v>1611.2470588235287</c:v>
                </c:pt>
                <c:pt idx="17">
                  <c:v>1197.1470588235293</c:v>
                </c:pt>
                <c:pt idx="18">
                  <c:v>846.73039215686276</c:v>
                </c:pt>
                <c:pt idx="19">
                  <c:v>804.73039215686265</c:v>
                </c:pt>
                <c:pt idx="20">
                  <c:v>636.73039215686276</c:v>
                </c:pt>
                <c:pt idx="21">
                  <c:v>636.73039215686276</c:v>
                </c:pt>
              </c:numCache>
            </c:numRef>
          </c:val>
          <c:extLst>
            <c:ext xmlns:c16="http://schemas.microsoft.com/office/drawing/2014/chart" uri="{C3380CC4-5D6E-409C-BE32-E72D297353CC}">
              <c16:uniqueId val="{00000001-8102-4141-9121-9F9C9CD25C9A}"/>
            </c:ext>
          </c:extLst>
        </c:ser>
        <c:dLbls>
          <c:showLegendKey val="0"/>
          <c:showVal val="0"/>
          <c:showCatName val="0"/>
          <c:showSerName val="0"/>
          <c:showPercent val="0"/>
          <c:showBubbleSize val="0"/>
        </c:dLbls>
        <c:gapWidth val="100"/>
        <c:overlap val="100"/>
        <c:axId val="143217792"/>
        <c:axId val="143219712"/>
      </c:barChart>
      <c:lineChart>
        <c:grouping val="standard"/>
        <c:varyColors val="0"/>
        <c:ser>
          <c:idx val="2"/>
          <c:order val="2"/>
          <c:tx>
            <c:strRef>
              <c:f>'Trajectory Scenario 2'!$B$8</c:f>
              <c:strCache>
                <c:ptCount val="1"/>
                <c:pt idx="0">
                  <c:v>Annual Target</c:v>
                </c:pt>
              </c:strCache>
            </c:strRef>
          </c:tx>
          <c:spPr>
            <a:ln>
              <a:solidFill>
                <a:schemeClr val="accent6">
                  <a:lumMod val="50000"/>
                </a:schemeClr>
              </a:solidFill>
            </a:ln>
          </c:spPr>
          <c:marker>
            <c:symbol val="none"/>
          </c:marker>
          <c:val>
            <c:numRef>
              <c:f>'Trajectory Scenario 2'!$C$8:$X$8</c:f>
              <c:numCache>
                <c:formatCode>#,##0</c:formatCode>
                <c:ptCount val="22"/>
                <c:pt idx="0">
                  <c:v>1145</c:v>
                </c:pt>
                <c:pt idx="1">
                  <c:v>1145</c:v>
                </c:pt>
                <c:pt idx="2">
                  <c:v>1145</c:v>
                </c:pt>
                <c:pt idx="3">
                  <c:v>1145</c:v>
                </c:pt>
                <c:pt idx="4">
                  <c:v>1812</c:v>
                </c:pt>
                <c:pt idx="5">
                  <c:v>1812</c:v>
                </c:pt>
                <c:pt idx="6">
                  <c:v>1812</c:v>
                </c:pt>
                <c:pt idx="7">
                  <c:v>1812</c:v>
                </c:pt>
                <c:pt idx="8">
                  <c:v>1812</c:v>
                </c:pt>
                <c:pt idx="9">
                  <c:v>1812</c:v>
                </c:pt>
                <c:pt idx="10">
                  <c:v>1812</c:v>
                </c:pt>
                <c:pt idx="11">
                  <c:v>1812</c:v>
                </c:pt>
                <c:pt idx="12">
                  <c:v>1812</c:v>
                </c:pt>
                <c:pt idx="13">
                  <c:v>1812</c:v>
                </c:pt>
                <c:pt idx="14">
                  <c:v>1812</c:v>
                </c:pt>
                <c:pt idx="15">
                  <c:v>1812</c:v>
                </c:pt>
                <c:pt idx="16">
                  <c:v>1812</c:v>
                </c:pt>
                <c:pt idx="17">
                  <c:v>1812</c:v>
                </c:pt>
                <c:pt idx="18">
                  <c:v>1812</c:v>
                </c:pt>
                <c:pt idx="19">
                  <c:v>1812</c:v>
                </c:pt>
                <c:pt idx="20">
                  <c:v>1812</c:v>
                </c:pt>
                <c:pt idx="21">
                  <c:v>1812</c:v>
                </c:pt>
              </c:numCache>
            </c:numRef>
          </c:val>
          <c:smooth val="0"/>
          <c:extLst>
            <c:ext xmlns:c16="http://schemas.microsoft.com/office/drawing/2014/chart" uri="{C3380CC4-5D6E-409C-BE32-E72D297353CC}">
              <c16:uniqueId val="{00000002-8102-4141-9121-9F9C9CD25C9A}"/>
            </c:ext>
          </c:extLst>
        </c:ser>
        <c:ser>
          <c:idx val="3"/>
          <c:order val="3"/>
          <c:tx>
            <c:strRef>
              <c:f>'Trajectory Scenario 2'!$B$11</c:f>
              <c:strCache>
                <c:ptCount val="1"/>
                <c:pt idx="0">
                  <c:v>Managed Annual Target Taking Account of Past and Projected Completions</c:v>
                </c:pt>
              </c:strCache>
            </c:strRef>
          </c:tx>
          <c:spPr>
            <a:ln>
              <a:solidFill>
                <a:schemeClr val="accent6"/>
              </a:solidFill>
              <a:prstDash val="solid"/>
            </a:ln>
          </c:spPr>
          <c:marker>
            <c:symbol val="none"/>
          </c:marker>
          <c:val>
            <c:numRef>
              <c:f>'Trajectory Scenario 2'!$C$11:$X$11</c:f>
              <c:numCache>
                <c:formatCode>#,##0</c:formatCode>
                <c:ptCount val="22"/>
                <c:pt idx="0">
                  <c:v>1145</c:v>
                </c:pt>
                <c:pt idx="1">
                  <c:v>1109.4444444444443</c:v>
                </c:pt>
                <c:pt idx="2">
                  <c:v>1149</c:v>
                </c:pt>
                <c:pt idx="3">
                  <c:v>1158</c:v>
                </c:pt>
                <c:pt idx="4">
                  <c:v>1812</c:v>
                </c:pt>
                <c:pt idx="5">
                  <c:v>1709.4444444444443</c:v>
                </c:pt>
                <c:pt idx="6">
                  <c:v>1584.375</c:v>
                </c:pt>
                <c:pt idx="7">
                  <c:v>1521.4285714285713</c:v>
                </c:pt>
                <c:pt idx="8">
                  <c:v>1447.5083333333332</c:v>
                </c:pt>
                <c:pt idx="9">
                  <c:v>1049.1200000000008</c:v>
                </c:pt>
                <c:pt idx="10">
                  <c:v>526.78750000000218</c:v>
                </c:pt>
                <c:pt idx="11">
                  <c:v>0</c:v>
                </c:pt>
                <c:pt idx="12">
                  <c:v>0</c:v>
                </c:pt>
                <c:pt idx="13">
                  <c:v>0</c:v>
                </c:pt>
              </c:numCache>
            </c:numRef>
          </c:val>
          <c:smooth val="0"/>
          <c:extLst>
            <c:ext xmlns:c16="http://schemas.microsoft.com/office/drawing/2014/chart" uri="{C3380CC4-5D6E-409C-BE32-E72D297353CC}">
              <c16:uniqueId val="{00000003-8102-4141-9121-9F9C9CD25C9A}"/>
            </c:ext>
          </c:extLst>
        </c:ser>
        <c:dLbls>
          <c:showLegendKey val="0"/>
          <c:showVal val="0"/>
          <c:showCatName val="0"/>
          <c:showSerName val="0"/>
          <c:showPercent val="0"/>
          <c:showBubbleSize val="0"/>
        </c:dLbls>
        <c:marker val="1"/>
        <c:smooth val="0"/>
        <c:axId val="143217792"/>
        <c:axId val="143219712"/>
      </c:lineChart>
      <c:catAx>
        <c:axId val="143217792"/>
        <c:scaling>
          <c:orientation val="minMax"/>
        </c:scaling>
        <c:delete val="0"/>
        <c:axPos val="b"/>
        <c:title>
          <c:tx>
            <c:rich>
              <a:bodyPr/>
              <a:lstStyle/>
              <a:p>
                <a:pPr>
                  <a:defRPr/>
                </a:pPr>
                <a:r>
                  <a:rPr lang="en-GB"/>
                  <a:t>Year</a:t>
                </a:r>
              </a:p>
            </c:rich>
          </c:tx>
          <c:overlay val="0"/>
        </c:title>
        <c:numFmt formatCode="General" sourceLinked="0"/>
        <c:majorTickMark val="out"/>
        <c:minorTickMark val="none"/>
        <c:tickLblPos val="nextTo"/>
        <c:crossAx val="143219712"/>
        <c:crosses val="autoZero"/>
        <c:auto val="1"/>
        <c:lblAlgn val="ctr"/>
        <c:lblOffset val="100"/>
        <c:noMultiLvlLbl val="0"/>
      </c:catAx>
      <c:valAx>
        <c:axId val="143219712"/>
        <c:scaling>
          <c:orientation val="minMax"/>
          <c:max val="4500"/>
        </c:scaling>
        <c:delete val="0"/>
        <c:axPos val="l"/>
        <c:majorGridlines>
          <c:spPr>
            <a:ln>
              <a:noFill/>
            </a:ln>
          </c:spPr>
        </c:majorGridlines>
        <c:title>
          <c:tx>
            <c:rich>
              <a:bodyPr rot="-5400000" vert="horz"/>
              <a:lstStyle/>
              <a:p>
                <a:pPr>
                  <a:defRPr/>
                </a:pPr>
                <a:r>
                  <a:rPr lang="en-US"/>
                  <a:t>Net Completions</a:t>
                </a:r>
              </a:p>
            </c:rich>
          </c:tx>
          <c:overlay val="0"/>
        </c:title>
        <c:numFmt formatCode="#,##0" sourceLinked="1"/>
        <c:majorTickMark val="out"/>
        <c:minorTickMark val="none"/>
        <c:tickLblPos val="nextTo"/>
        <c:crossAx val="143217792"/>
        <c:crosses val="autoZero"/>
        <c:crossBetween val="between"/>
      </c:valAx>
    </c:plotArea>
    <c:legend>
      <c:legendPos val="b"/>
      <c:overlay val="0"/>
    </c:legend>
    <c:plotVisOnly val="1"/>
    <c:dispBlanksAs val="gap"/>
    <c:showDLblsOverMax val="0"/>
  </c:chart>
  <c:spPr>
    <a:ln w="6350">
      <a:solidFill>
        <a:schemeClr val="bg1">
          <a:lumMod val="50000"/>
        </a:schemeClr>
      </a:solidFill>
    </a:ln>
  </c:spPr>
  <c:txPr>
    <a:bodyPr/>
    <a:lstStyle/>
    <a:p>
      <a:pPr>
        <a:defRPr sz="900"/>
      </a:pPr>
      <a:endParaRPr lang="en-US"/>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Housing Delivery above or below</a:t>
            </a:r>
            <a:r>
              <a:rPr lang="en-US" baseline="0"/>
              <a:t> the Target over Time</a:t>
            </a:r>
            <a:endParaRPr lang="en-US"/>
          </a:p>
        </c:rich>
      </c:tx>
      <c:overlay val="0"/>
    </c:title>
    <c:autoTitleDeleted val="0"/>
    <c:plotArea>
      <c:layout/>
      <c:lineChart>
        <c:grouping val="standard"/>
        <c:varyColors val="0"/>
        <c:ser>
          <c:idx val="0"/>
          <c:order val="0"/>
          <c:tx>
            <c:strRef>
              <c:f>'Trajectory Scenario 2'!$B$10</c:f>
              <c:strCache>
                <c:ptCount val="1"/>
                <c:pt idx="0">
                  <c:v>Cumulative Completions above Cumulative Target</c:v>
                </c:pt>
              </c:strCache>
            </c:strRef>
          </c:tx>
          <c:spPr>
            <a:ln>
              <a:solidFill>
                <a:schemeClr val="accent6">
                  <a:lumMod val="50000"/>
                </a:schemeClr>
              </a:solidFill>
            </a:ln>
          </c:spPr>
          <c:marker>
            <c:symbol val="none"/>
          </c:marker>
          <c:cat>
            <c:strLit>
              <c:ptCount val="21"/>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strLit>
          </c:cat>
          <c:val>
            <c:numRef>
              <c:f>'Trajectory Scenario 2'!$C$10:$X$10</c:f>
              <c:numCache>
                <c:formatCode>#,##0</c:formatCode>
                <c:ptCount val="22"/>
                <c:pt idx="0">
                  <c:v>320</c:v>
                </c:pt>
                <c:pt idx="1">
                  <c:v>-32</c:v>
                </c:pt>
                <c:pt idx="2">
                  <c:v>-91</c:v>
                </c:pt>
                <c:pt idx="3">
                  <c:v>275</c:v>
                </c:pt>
                <c:pt idx="4">
                  <c:v>923</c:v>
                </c:pt>
                <c:pt idx="5">
                  <c:v>1821</c:v>
                </c:pt>
                <c:pt idx="6">
                  <c:v>2034</c:v>
                </c:pt>
                <c:pt idx="7">
                  <c:v>2186.9500000000007</c:v>
                </c:pt>
                <c:pt idx="8">
                  <c:v>3814.399999999996</c:v>
                </c:pt>
                <c:pt idx="9">
                  <c:v>5140.8499999999913</c:v>
                </c:pt>
                <c:pt idx="10">
                  <c:v>6403.299999999992</c:v>
                </c:pt>
                <c:pt idx="11">
                  <c:v>7652.6666666666679</c:v>
                </c:pt>
                <c:pt idx="12">
                  <c:v>8986.1000000000095</c:v>
                </c:pt>
                <c:pt idx="13">
                  <c:v>9676.680392156868</c:v>
                </c:pt>
                <c:pt idx="14">
                  <c:v>10108.554117647065</c:v>
                </c:pt>
                <c:pt idx="15">
                  <c:v>9743.8411764705961</c:v>
                </c:pt>
                <c:pt idx="16">
                  <c:v>9543.0882352941262</c:v>
                </c:pt>
                <c:pt idx="17">
                  <c:v>8928.2352941176578</c:v>
                </c:pt>
                <c:pt idx="18">
                  <c:v>7962.9656862745178</c:v>
                </c:pt>
                <c:pt idx="19">
                  <c:v>6955.6960784313778</c:v>
                </c:pt>
                <c:pt idx="20">
                  <c:v>5780.4264705882379</c:v>
                </c:pt>
                <c:pt idx="21">
                  <c:v>4605.1568627450979</c:v>
                </c:pt>
              </c:numCache>
            </c:numRef>
          </c:val>
          <c:smooth val="0"/>
          <c:extLst>
            <c:ext xmlns:c16="http://schemas.microsoft.com/office/drawing/2014/chart" uri="{C3380CC4-5D6E-409C-BE32-E72D297353CC}">
              <c16:uniqueId val="{00000000-3934-4E9C-B189-7DE1C9FEE414}"/>
            </c:ext>
          </c:extLst>
        </c:ser>
        <c:dLbls>
          <c:showLegendKey val="0"/>
          <c:showVal val="0"/>
          <c:showCatName val="0"/>
          <c:showSerName val="0"/>
          <c:showPercent val="0"/>
          <c:showBubbleSize val="0"/>
        </c:dLbls>
        <c:smooth val="0"/>
        <c:axId val="143251712"/>
        <c:axId val="143253888"/>
      </c:lineChart>
      <c:catAx>
        <c:axId val="143251712"/>
        <c:scaling>
          <c:orientation val="minMax"/>
        </c:scaling>
        <c:delete val="0"/>
        <c:axPos val="b"/>
        <c:title>
          <c:tx>
            <c:rich>
              <a:bodyPr/>
              <a:lstStyle/>
              <a:p>
                <a:pPr>
                  <a:defRPr/>
                </a:pPr>
                <a:r>
                  <a:rPr lang="en-GB"/>
                  <a:t>Year</a:t>
                </a:r>
              </a:p>
            </c:rich>
          </c:tx>
          <c:overlay val="0"/>
        </c:title>
        <c:numFmt formatCode="General" sourceLinked="0"/>
        <c:majorTickMark val="out"/>
        <c:minorTickMark val="none"/>
        <c:tickLblPos val="nextTo"/>
        <c:crossAx val="143253888"/>
        <c:crosses val="autoZero"/>
        <c:auto val="1"/>
        <c:lblAlgn val="ctr"/>
        <c:lblOffset val="100"/>
        <c:noMultiLvlLbl val="0"/>
      </c:catAx>
      <c:valAx>
        <c:axId val="143253888"/>
        <c:scaling>
          <c:orientation val="minMax"/>
        </c:scaling>
        <c:delete val="0"/>
        <c:axPos val="l"/>
        <c:majorGridlines>
          <c:spPr>
            <a:ln>
              <a:noFill/>
            </a:ln>
          </c:spPr>
        </c:majorGridlines>
        <c:title>
          <c:tx>
            <c:rich>
              <a:bodyPr rot="-5400000" vert="horz"/>
              <a:lstStyle/>
              <a:p>
                <a:pPr>
                  <a:defRPr/>
                </a:pPr>
                <a:r>
                  <a:rPr lang="en-GB"/>
                  <a:t>Net Completions</a:t>
                </a:r>
              </a:p>
            </c:rich>
          </c:tx>
          <c:overlay val="0"/>
        </c:title>
        <c:numFmt formatCode="#,##0" sourceLinked="1"/>
        <c:majorTickMark val="out"/>
        <c:minorTickMark val="none"/>
        <c:tickLblPos val="nextTo"/>
        <c:crossAx val="143251712"/>
        <c:crosses val="autoZero"/>
        <c:crossBetween val="between"/>
      </c:valAx>
    </c:plotArea>
    <c:legend>
      <c:legendPos val="b"/>
      <c:overlay val="0"/>
    </c:legend>
    <c:plotVisOnly val="1"/>
    <c:dispBlanksAs val="gap"/>
    <c:showDLblsOverMax val="0"/>
  </c:chart>
  <c:spPr>
    <a:ln w="6350">
      <a:solidFill>
        <a:schemeClr val="bg1">
          <a:lumMod val="50000"/>
        </a:schemeClr>
      </a:solidFill>
    </a:ln>
  </c:spPr>
  <c:txPr>
    <a:bodyPr/>
    <a:lstStyle/>
    <a:p>
      <a:pPr>
        <a:defRPr sz="9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3362720710506"/>
          <c:y val="6.9767441860465115E-2"/>
          <c:w val="0.86111344703083503"/>
          <c:h val="0.78604651162790695"/>
        </c:manualLayout>
      </c:layout>
      <c:barChart>
        <c:barDir val="col"/>
        <c:grouping val="stacked"/>
        <c:varyColors val="0"/>
        <c:ser>
          <c:idx val="0"/>
          <c:order val="0"/>
          <c:tx>
            <c:strRef>
              <c:f>'Summary Tables'!$A$96</c:f>
              <c:strCache>
                <c:ptCount val="1"/>
                <c:pt idx="0">
                  <c:v>New Build</c:v>
                </c:pt>
              </c:strCache>
            </c:strRef>
          </c:tx>
          <c:invertIfNegative val="0"/>
          <c:cat>
            <c:strRef>
              <c:f>'Summary Tables'!$C$95:$E$95</c:f>
              <c:strCache>
                <c:ptCount val="3"/>
                <c:pt idx="0">
                  <c:v>Permissions</c:v>
                </c:pt>
                <c:pt idx="1">
                  <c:v>Starts</c:v>
                </c:pt>
                <c:pt idx="2">
                  <c:v>Completions</c:v>
                </c:pt>
              </c:strCache>
            </c:strRef>
          </c:cat>
          <c:val>
            <c:numRef>
              <c:f>'Summary Tables'!$C$96:$E$96</c:f>
              <c:numCache>
                <c:formatCode>#,##0</c:formatCode>
                <c:ptCount val="3"/>
                <c:pt idx="0">
                  <c:v>5457</c:v>
                </c:pt>
                <c:pt idx="1">
                  <c:v>1868</c:v>
                </c:pt>
                <c:pt idx="2">
                  <c:v>1912</c:v>
                </c:pt>
              </c:numCache>
            </c:numRef>
          </c:val>
          <c:extLst>
            <c:ext xmlns:c16="http://schemas.microsoft.com/office/drawing/2014/chart" uri="{C3380CC4-5D6E-409C-BE32-E72D297353CC}">
              <c16:uniqueId val="{00000000-AA58-44DE-BF79-54EFAC11D956}"/>
            </c:ext>
          </c:extLst>
        </c:ser>
        <c:ser>
          <c:idx val="1"/>
          <c:order val="1"/>
          <c:tx>
            <c:strRef>
              <c:f>'Summary Tables'!$A$97</c:f>
              <c:strCache>
                <c:ptCount val="1"/>
                <c:pt idx="0">
                  <c:v>Conversions</c:v>
                </c:pt>
              </c:strCache>
            </c:strRef>
          </c:tx>
          <c:invertIfNegative val="0"/>
          <c:cat>
            <c:strRef>
              <c:f>'Summary Tables'!$C$95:$E$95</c:f>
              <c:strCache>
                <c:ptCount val="3"/>
                <c:pt idx="0">
                  <c:v>Permissions</c:v>
                </c:pt>
                <c:pt idx="1">
                  <c:v>Starts</c:v>
                </c:pt>
                <c:pt idx="2">
                  <c:v>Completions</c:v>
                </c:pt>
              </c:strCache>
            </c:strRef>
          </c:cat>
          <c:val>
            <c:numRef>
              <c:f>'Summary Tables'!$C$97:$E$97</c:f>
              <c:numCache>
                <c:formatCode>#,##0</c:formatCode>
                <c:ptCount val="3"/>
                <c:pt idx="0">
                  <c:v>626</c:v>
                </c:pt>
                <c:pt idx="1">
                  <c:v>232</c:v>
                </c:pt>
                <c:pt idx="2">
                  <c:v>124</c:v>
                </c:pt>
              </c:numCache>
            </c:numRef>
          </c:val>
          <c:extLst>
            <c:ext xmlns:c16="http://schemas.microsoft.com/office/drawing/2014/chart" uri="{C3380CC4-5D6E-409C-BE32-E72D297353CC}">
              <c16:uniqueId val="{00000001-AA58-44DE-BF79-54EFAC11D956}"/>
            </c:ext>
          </c:extLst>
        </c:ser>
        <c:dLbls>
          <c:showLegendKey val="0"/>
          <c:showVal val="0"/>
          <c:showCatName val="0"/>
          <c:showSerName val="0"/>
          <c:showPercent val="0"/>
          <c:showBubbleSize val="0"/>
        </c:dLbls>
        <c:gapWidth val="56"/>
        <c:overlap val="100"/>
        <c:axId val="141655040"/>
        <c:axId val="141656832"/>
      </c:barChart>
      <c:catAx>
        <c:axId val="141655040"/>
        <c:scaling>
          <c:orientation val="minMax"/>
        </c:scaling>
        <c:delete val="0"/>
        <c:axPos val="b"/>
        <c:numFmt formatCode="General" sourceLinked="1"/>
        <c:majorTickMark val="out"/>
        <c:minorTickMark val="none"/>
        <c:tickLblPos val="nextTo"/>
        <c:txPr>
          <a:bodyPr rot="0" vert="horz"/>
          <a:lstStyle/>
          <a:p>
            <a:pPr>
              <a:defRPr/>
            </a:pPr>
            <a:endParaRPr lang="en-US"/>
          </a:p>
        </c:txPr>
        <c:crossAx val="141656832"/>
        <c:crosses val="autoZero"/>
        <c:auto val="1"/>
        <c:lblAlgn val="ctr"/>
        <c:lblOffset val="100"/>
        <c:tickLblSkip val="1"/>
        <c:tickMarkSkip val="1"/>
        <c:noMultiLvlLbl val="0"/>
      </c:catAx>
      <c:valAx>
        <c:axId val="141656832"/>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41655040"/>
        <c:crosses val="autoZero"/>
        <c:crossBetween val="between"/>
      </c:valAx>
    </c:plotArea>
    <c:legend>
      <c:legendPos val="r"/>
      <c:layout>
        <c:manualLayout>
          <c:xMode val="edge"/>
          <c:yMode val="edge"/>
          <c:x val="0.73357206607720016"/>
          <c:y val="0.13943108213348474"/>
          <c:w val="0.2048997772828508"/>
          <c:h val="0.17154811715481172"/>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44840027565073"/>
          <c:y val="5.1903201880139423E-2"/>
          <c:w val="0.84618486063704224"/>
          <c:h val="0.76470717436738744"/>
        </c:manualLayout>
      </c:layout>
      <c:barChart>
        <c:barDir val="col"/>
        <c:grouping val="stacked"/>
        <c:varyColors val="0"/>
        <c:ser>
          <c:idx val="0"/>
          <c:order val="0"/>
          <c:tx>
            <c:strRef>
              <c:f>'Summary Tables'!$B$196:$C$196</c:f>
              <c:strCache>
                <c:ptCount val="1"/>
                <c:pt idx="0">
                  <c:v>Open Market</c:v>
                </c:pt>
              </c:strCache>
            </c:strRef>
          </c:tx>
          <c:invertIfNegative val="0"/>
          <c:cat>
            <c:strRef>
              <c:f>'Summary Tables'!$A$198:$A$214</c:f>
              <c:strCache>
                <c:ptCount val="17"/>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strCache>
            </c:strRef>
          </c:cat>
          <c:val>
            <c:numRef>
              <c:f>'Summary Tables'!$B$198:$B$214</c:f>
              <c:numCache>
                <c:formatCode>#,##0</c:formatCode>
                <c:ptCount val="17"/>
                <c:pt idx="0">
                  <c:v>1050</c:v>
                </c:pt>
                <c:pt idx="1">
                  <c:v>1137</c:v>
                </c:pt>
                <c:pt idx="2">
                  <c:v>1021</c:v>
                </c:pt>
                <c:pt idx="3">
                  <c:v>912</c:v>
                </c:pt>
                <c:pt idx="4">
                  <c:v>809</c:v>
                </c:pt>
                <c:pt idx="5">
                  <c:v>1300</c:v>
                </c:pt>
                <c:pt idx="6">
                  <c:v>974</c:v>
                </c:pt>
                <c:pt idx="7">
                  <c:v>482</c:v>
                </c:pt>
                <c:pt idx="8">
                  <c:v>358</c:v>
                </c:pt>
                <c:pt idx="9">
                  <c:v>1127</c:v>
                </c:pt>
                <c:pt idx="10">
                  <c:v>1728</c:v>
                </c:pt>
                <c:pt idx="11">
                  <c:v>1075</c:v>
                </c:pt>
                <c:pt idx="12">
                  <c:v>2053</c:v>
                </c:pt>
                <c:pt idx="13">
                  <c:v>914</c:v>
                </c:pt>
                <c:pt idx="14">
                  <c:v>1686</c:v>
                </c:pt>
                <c:pt idx="15">
                  <c:v>2776</c:v>
                </c:pt>
                <c:pt idx="16">
                  <c:v>1669</c:v>
                </c:pt>
              </c:numCache>
            </c:numRef>
          </c:val>
          <c:extLst>
            <c:ext xmlns:c16="http://schemas.microsoft.com/office/drawing/2014/chart" uri="{C3380CC4-5D6E-409C-BE32-E72D297353CC}">
              <c16:uniqueId val="{00000000-F492-46E1-B835-A12F26DDF8C1}"/>
            </c:ext>
          </c:extLst>
        </c:ser>
        <c:ser>
          <c:idx val="1"/>
          <c:order val="1"/>
          <c:tx>
            <c:strRef>
              <c:f>'Summary Tables'!$H$196</c:f>
              <c:strCache>
                <c:ptCount val="1"/>
                <c:pt idx="0">
                  <c:v>Total Affordable</c:v>
                </c:pt>
              </c:strCache>
            </c:strRef>
          </c:tx>
          <c:invertIfNegative val="0"/>
          <c:cat>
            <c:strRef>
              <c:f>'Summary Tables'!$A$198:$A$214</c:f>
              <c:strCache>
                <c:ptCount val="17"/>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strCache>
            </c:strRef>
          </c:cat>
          <c:val>
            <c:numRef>
              <c:f>'Summary Tables'!$H$198:$H$214</c:f>
              <c:numCache>
                <c:formatCode>#,##0</c:formatCode>
                <c:ptCount val="17"/>
                <c:pt idx="0">
                  <c:v>123</c:v>
                </c:pt>
                <c:pt idx="1">
                  <c:v>270</c:v>
                </c:pt>
                <c:pt idx="2">
                  <c:v>334</c:v>
                </c:pt>
                <c:pt idx="3">
                  <c:v>220</c:v>
                </c:pt>
                <c:pt idx="4">
                  <c:v>201</c:v>
                </c:pt>
                <c:pt idx="5">
                  <c:v>624</c:v>
                </c:pt>
                <c:pt idx="6">
                  <c:v>662</c:v>
                </c:pt>
                <c:pt idx="7">
                  <c:v>119</c:v>
                </c:pt>
                <c:pt idx="8">
                  <c:v>104</c:v>
                </c:pt>
                <c:pt idx="9">
                  <c:v>402</c:v>
                </c:pt>
                <c:pt idx="10">
                  <c:v>432</c:v>
                </c:pt>
                <c:pt idx="11">
                  <c:v>122</c:v>
                </c:pt>
                <c:pt idx="12">
                  <c:v>339</c:v>
                </c:pt>
                <c:pt idx="13">
                  <c:v>220</c:v>
                </c:pt>
                <c:pt idx="14">
                  <c:v>237</c:v>
                </c:pt>
                <c:pt idx="15">
                  <c:v>465</c:v>
                </c:pt>
                <c:pt idx="16">
                  <c:v>431</c:v>
                </c:pt>
              </c:numCache>
            </c:numRef>
          </c:val>
          <c:extLst>
            <c:ext xmlns:c16="http://schemas.microsoft.com/office/drawing/2014/chart" uri="{C3380CC4-5D6E-409C-BE32-E72D297353CC}">
              <c16:uniqueId val="{00000001-F492-46E1-B835-A12F26DDF8C1}"/>
            </c:ext>
          </c:extLst>
        </c:ser>
        <c:dLbls>
          <c:showLegendKey val="0"/>
          <c:showVal val="0"/>
          <c:showCatName val="0"/>
          <c:showSerName val="0"/>
          <c:showPercent val="0"/>
          <c:showBubbleSize val="0"/>
        </c:dLbls>
        <c:gapWidth val="40"/>
        <c:overlap val="100"/>
        <c:axId val="160195712"/>
        <c:axId val="160197248"/>
      </c:barChart>
      <c:catAx>
        <c:axId val="160195712"/>
        <c:scaling>
          <c:orientation val="minMax"/>
        </c:scaling>
        <c:delete val="0"/>
        <c:axPos val="b"/>
        <c:numFmt formatCode="General" sourceLinked="1"/>
        <c:majorTickMark val="out"/>
        <c:minorTickMark val="none"/>
        <c:tickLblPos val="nextTo"/>
        <c:txPr>
          <a:bodyPr rot="3000000" vert="horz"/>
          <a:lstStyle/>
          <a:p>
            <a:pPr>
              <a:defRPr/>
            </a:pPr>
            <a:endParaRPr lang="en-US"/>
          </a:p>
        </c:txPr>
        <c:crossAx val="160197248"/>
        <c:crosses val="autoZero"/>
        <c:auto val="1"/>
        <c:lblAlgn val="ctr"/>
        <c:lblOffset val="100"/>
        <c:tickLblSkip val="1"/>
        <c:tickMarkSkip val="1"/>
        <c:noMultiLvlLbl val="0"/>
      </c:catAx>
      <c:valAx>
        <c:axId val="160197248"/>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60195712"/>
        <c:crosses val="autoZero"/>
        <c:crossBetween val="between"/>
      </c:valAx>
    </c:plotArea>
    <c:legend>
      <c:legendPos val="r"/>
      <c:layout>
        <c:manualLayout>
          <c:xMode val="edge"/>
          <c:yMode val="edge"/>
          <c:x val="0.10295748850063978"/>
          <c:y val="6.4846894138232719E-2"/>
          <c:w val="0.24597060922057706"/>
          <c:h val="0.14186851211072665"/>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44680461453948E-2"/>
          <c:y val="5.5749128919860627E-2"/>
          <c:w val="0.91696096127518945"/>
          <c:h val="0.78192429893631721"/>
        </c:manualLayout>
      </c:layout>
      <c:barChart>
        <c:barDir val="col"/>
        <c:grouping val="stacked"/>
        <c:varyColors val="0"/>
        <c:ser>
          <c:idx val="0"/>
          <c:order val="0"/>
          <c:tx>
            <c:strRef>
              <c:f>'Summary Tables'!$B$171:$C$171</c:f>
              <c:strCache>
                <c:ptCount val="1"/>
                <c:pt idx="0">
                  <c:v>New Build</c:v>
                </c:pt>
              </c:strCache>
            </c:strRef>
          </c:tx>
          <c:invertIfNegative val="0"/>
          <c:dPt>
            <c:idx val="8"/>
            <c:invertIfNegative val="0"/>
            <c:bubble3D val="0"/>
            <c:extLst>
              <c:ext xmlns:c16="http://schemas.microsoft.com/office/drawing/2014/chart" uri="{C3380CC4-5D6E-409C-BE32-E72D297353CC}">
                <c16:uniqueId val="{00000000-C577-487E-A539-63264F86A722}"/>
              </c:ext>
            </c:extLst>
          </c:dPt>
          <c:cat>
            <c:strRef>
              <c:f>'Summary Tables'!$A$173:$A$189</c:f>
              <c:strCache>
                <c:ptCount val="17"/>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strCache>
            </c:strRef>
          </c:cat>
          <c:val>
            <c:numRef>
              <c:f>'Summary Tables'!$C$173:$C$189</c:f>
              <c:numCache>
                <c:formatCode>#,##0</c:formatCode>
                <c:ptCount val="17"/>
                <c:pt idx="0">
                  <c:v>482</c:v>
                </c:pt>
                <c:pt idx="1">
                  <c:v>794</c:v>
                </c:pt>
                <c:pt idx="2">
                  <c:v>929</c:v>
                </c:pt>
                <c:pt idx="3">
                  <c:v>1286</c:v>
                </c:pt>
                <c:pt idx="4">
                  <c:v>1100</c:v>
                </c:pt>
                <c:pt idx="5">
                  <c:v>1080</c:v>
                </c:pt>
                <c:pt idx="6">
                  <c:v>840</c:v>
                </c:pt>
                <c:pt idx="7">
                  <c:v>1385</c:v>
                </c:pt>
                <c:pt idx="8">
                  <c:v>1413</c:v>
                </c:pt>
                <c:pt idx="9">
                  <c:v>340</c:v>
                </c:pt>
                <c:pt idx="10">
                  <c:v>851</c:v>
                </c:pt>
                <c:pt idx="11">
                  <c:v>721</c:v>
                </c:pt>
                <c:pt idx="12">
                  <c:v>1079</c:v>
                </c:pt>
                <c:pt idx="13">
                  <c:v>812</c:v>
                </c:pt>
                <c:pt idx="14">
                  <c:v>2639</c:v>
                </c:pt>
                <c:pt idx="15">
                  <c:v>1968</c:v>
                </c:pt>
                <c:pt idx="16">
                  <c:v>1912</c:v>
                </c:pt>
              </c:numCache>
            </c:numRef>
          </c:val>
          <c:extLst>
            <c:ext xmlns:c16="http://schemas.microsoft.com/office/drawing/2014/chart" uri="{C3380CC4-5D6E-409C-BE32-E72D297353CC}">
              <c16:uniqueId val="{00000001-C577-487E-A539-63264F86A722}"/>
            </c:ext>
          </c:extLst>
        </c:ser>
        <c:ser>
          <c:idx val="1"/>
          <c:order val="1"/>
          <c:tx>
            <c:strRef>
              <c:f>'Summary Tables'!$D$171:$E$171</c:f>
              <c:strCache>
                <c:ptCount val="1"/>
                <c:pt idx="0">
                  <c:v>Conversions</c:v>
                </c:pt>
              </c:strCache>
            </c:strRef>
          </c:tx>
          <c:invertIfNegative val="0"/>
          <c:cat>
            <c:strRef>
              <c:f>'Summary Tables'!$A$173:$A$189</c:f>
              <c:strCache>
                <c:ptCount val="17"/>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strCache>
            </c:strRef>
          </c:cat>
          <c:val>
            <c:numRef>
              <c:f>'Summary Tables'!$E$173:$E$189</c:f>
              <c:numCache>
                <c:formatCode>#,##0</c:formatCode>
                <c:ptCount val="17"/>
                <c:pt idx="0">
                  <c:v>87</c:v>
                </c:pt>
                <c:pt idx="1">
                  <c:v>154</c:v>
                </c:pt>
                <c:pt idx="2">
                  <c:v>135</c:v>
                </c:pt>
                <c:pt idx="3">
                  <c:v>204</c:v>
                </c:pt>
                <c:pt idx="4">
                  <c:v>204</c:v>
                </c:pt>
                <c:pt idx="5">
                  <c:v>198</c:v>
                </c:pt>
                <c:pt idx="6">
                  <c:v>191</c:v>
                </c:pt>
                <c:pt idx="7">
                  <c:v>175</c:v>
                </c:pt>
                <c:pt idx="8">
                  <c:v>126</c:v>
                </c:pt>
                <c:pt idx="9">
                  <c:v>141</c:v>
                </c:pt>
                <c:pt idx="10">
                  <c:v>128</c:v>
                </c:pt>
                <c:pt idx="11">
                  <c:v>121</c:v>
                </c:pt>
                <c:pt idx="12">
                  <c:v>118</c:v>
                </c:pt>
                <c:pt idx="13">
                  <c:v>124</c:v>
                </c:pt>
                <c:pt idx="14">
                  <c:v>137</c:v>
                </c:pt>
                <c:pt idx="15">
                  <c:v>377</c:v>
                </c:pt>
                <c:pt idx="16">
                  <c:v>124</c:v>
                </c:pt>
              </c:numCache>
            </c:numRef>
          </c:val>
          <c:extLst>
            <c:ext xmlns:c16="http://schemas.microsoft.com/office/drawing/2014/chart" uri="{C3380CC4-5D6E-409C-BE32-E72D297353CC}">
              <c16:uniqueId val="{00000002-C577-487E-A539-63264F86A722}"/>
            </c:ext>
          </c:extLst>
        </c:ser>
        <c:dLbls>
          <c:showLegendKey val="0"/>
          <c:showVal val="0"/>
          <c:showCatName val="0"/>
          <c:showSerName val="0"/>
          <c:showPercent val="0"/>
          <c:showBubbleSize val="0"/>
        </c:dLbls>
        <c:gapWidth val="40"/>
        <c:overlap val="100"/>
        <c:axId val="160238592"/>
        <c:axId val="160240384"/>
      </c:barChart>
      <c:catAx>
        <c:axId val="160238592"/>
        <c:scaling>
          <c:orientation val="minMax"/>
        </c:scaling>
        <c:delete val="0"/>
        <c:axPos val="b"/>
        <c:numFmt formatCode="General" sourceLinked="1"/>
        <c:majorTickMark val="out"/>
        <c:minorTickMark val="none"/>
        <c:tickLblPos val="nextTo"/>
        <c:txPr>
          <a:bodyPr rot="1320000" vert="horz"/>
          <a:lstStyle/>
          <a:p>
            <a:pPr>
              <a:defRPr/>
            </a:pPr>
            <a:endParaRPr lang="en-US"/>
          </a:p>
        </c:txPr>
        <c:crossAx val="160240384"/>
        <c:crosses val="autoZero"/>
        <c:auto val="1"/>
        <c:lblAlgn val="ctr"/>
        <c:lblOffset val="100"/>
        <c:noMultiLvlLbl val="0"/>
      </c:catAx>
      <c:valAx>
        <c:axId val="160240384"/>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60238592"/>
        <c:crosses val="autoZero"/>
        <c:crossBetween val="between"/>
      </c:valAx>
    </c:plotArea>
    <c:legend>
      <c:legendPos val="r"/>
      <c:layout>
        <c:manualLayout>
          <c:xMode val="edge"/>
          <c:yMode val="edge"/>
          <c:x val="7.641198696316806E-2"/>
          <c:y val="9.6359085549088966E-2"/>
          <c:w val="0.15644486746848948"/>
          <c:h val="0.11474852599946746"/>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Total net completions by tenure 2001/02 to 2017/18</a:t>
            </a:r>
          </a:p>
        </c:rich>
      </c:tx>
      <c:layout>
        <c:manualLayout>
          <c:xMode val="edge"/>
          <c:yMode val="edge"/>
          <c:x val="2.5613632466795922E-3"/>
          <c:y val="0.12239741771409007"/>
        </c:manualLayout>
      </c:layout>
      <c:overlay val="0"/>
    </c:title>
    <c:autoTitleDeleted val="0"/>
    <c:plotArea>
      <c:layout>
        <c:manualLayout>
          <c:layoutTarget val="inner"/>
          <c:xMode val="edge"/>
          <c:yMode val="edge"/>
          <c:x val="6.9681500486596465E-2"/>
          <c:y val="0.21365157480314961"/>
          <c:w val="0.56325370845498257"/>
          <c:h val="0.69624416739574224"/>
        </c:manualLayout>
      </c:layout>
      <c:pieChart>
        <c:varyColors val="1"/>
        <c:ser>
          <c:idx val="0"/>
          <c:order val="0"/>
          <c:dPt>
            <c:idx val="0"/>
            <c:bubble3D val="0"/>
            <c:extLst>
              <c:ext xmlns:c16="http://schemas.microsoft.com/office/drawing/2014/chart" uri="{C3380CC4-5D6E-409C-BE32-E72D297353CC}">
                <c16:uniqueId val="{00000000-E5D0-419B-A63C-9E095E3EEC4D}"/>
              </c:ext>
            </c:extLst>
          </c:dPt>
          <c:dPt>
            <c:idx val="1"/>
            <c:bubble3D val="0"/>
            <c:extLst>
              <c:ext xmlns:c16="http://schemas.microsoft.com/office/drawing/2014/chart" uri="{C3380CC4-5D6E-409C-BE32-E72D297353CC}">
                <c16:uniqueId val="{00000001-E5D0-419B-A63C-9E095E3EEC4D}"/>
              </c:ext>
            </c:extLst>
          </c:dPt>
          <c:dPt>
            <c:idx val="2"/>
            <c:bubble3D val="0"/>
            <c:extLst>
              <c:ext xmlns:c16="http://schemas.microsoft.com/office/drawing/2014/chart" uri="{C3380CC4-5D6E-409C-BE32-E72D297353CC}">
                <c16:uniqueId val="{00000002-E5D0-419B-A63C-9E095E3EEC4D}"/>
              </c:ext>
            </c:extLst>
          </c:dPt>
          <c:dLbls>
            <c:numFmt formatCode="0%" sourceLinked="0"/>
            <c:spPr>
              <a:no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('Summary Tables'!$B$113,'Summary Tables'!$D$113,'Summary Tables'!$F$113)</c:f>
              <c:strCache>
                <c:ptCount val="3"/>
                <c:pt idx="0">
                  <c:v> Open Market</c:v>
                </c:pt>
                <c:pt idx="1">
                  <c:v>  Intermediate </c:v>
                </c:pt>
                <c:pt idx="2">
                  <c:v>  Social/Affordable Rent </c:v>
                </c:pt>
              </c:strCache>
            </c:strRef>
          </c:cat>
          <c:val>
            <c:numRef>
              <c:f>('Summary Tables'!$B$132,'Summary Tables'!$D$132,'Summary Tables'!$F$132)</c:f>
              <c:numCache>
                <c:formatCode>#,##0</c:formatCode>
                <c:ptCount val="3"/>
                <c:pt idx="0">
                  <c:v>17990</c:v>
                </c:pt>
                <c:pt idx="1">
                  <c:v>3209</c:v>
                </c:pt>
                <c:pt idx="2">
                  <c:v>1176</c:v>
                </c:pt>
              </c:numCache>
            </c:numRef>
          </c:val>
          <c:extLst>
            <c:ext xmlns:c16="http://schemas.microsoft.com/office/drawing/2014/chart" uri="{C3380CC4-5D6E-409C-BE32-E72D297353CC}">
              <c16:uniqueId val="{00000003-E5D0-419B-A63C-9E095E3EEC4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513478151914428"/>
          <c:y val="0.49175037902870838"/>
          <c:w val="0.34503092892282938"/>
          <c:h val="0.14752808072903933"/>
        </c:manualLayout>
      </c:layout>
      <c:overlay val="0"/>
    </c:legend>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331011068010791E-2"/>
          <c:y val="5.1724137931034482E-2"/>
          <c:w val="0.90647561621411332"/>
          <c:h val="0.78620689655172415"/>
        </c:manualLayout>
      </c:layout>
      <c:barChart>
        <c:barDir val="col"/>
        <c:grouping val="stacked"/>
        <c:varyColors val="0"/>
        <c:ser>
          <c:idx val="0"/>
          <c:order val="0"/>
          <c:tx>
            <c:strRef>
              <c:f>'Summary Tables'!$B$221:$C$221</c:f>
              <c:strCache>
                <c:ptCount val="1"/>
                <c:pt idx="0">
                  <c:v> New Build</c:v>
                </c:pt>
              </c:strCache>
            </c:strRef>
          </c:tx>
          <c:invertIfNegative val="0"/>
          <c:cat>
            <c:strRef>
              <c:f>'Summary Tables'!$A$223:$A$239</c:f>
              <c:strCache>
                <c:ptCount val="17"/>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strCache>
            </c:strRef>
          </c:cat>
          <c:val>
            <c:numRef>
              <c:f>'Summary Tables'!$B$223:$B$239</c:f>
              <c:numCache>
                <c:formatCode>#,##0</c:formatCode>
                <c:ptCount val="17"/>
                <c:pt idx="0">
                  <c:v>2554</c:v>
                </c:pt>
                <c:pt idx="1">
                  <c:v>2415</c:v>
                </c:pt>
                <c:pt idx="2">
                  <c:v>1368</c:v>
                </c:pt>
                <c:pt idx="3">
                  <c:v>3352</c:v>
                </c:pt>
                <c:pt idx="4">
                  <c:v>1682</c:v>
                </c:pt>
                <c:pt idx="5">
                  <c:v>2464</c:v>
                </c:pt>
                <c:pt idx="6">
                  <c:v>1920</c:v>
                </c:pt>
                <c:pt idx="7">
                  <c:v>1547</c:v>
                </c:pt>
                <c:pt idx="8">
                  <c:v>1162</c:v>
                </c:pt>
                <c:pt idx="9">
                  <c:v>2807</c:v>
                </c:pt>
                <c:pt idx="10">
                  <c:v>10369</c:v>
                </c:pt>
                <c:pt idx="11">
                  <c:v>5033</c:v>
                </c:pt>
                <c:pt idx="12">
                  <c:v>1690</c:v>
                </c:pt>
                <c:pt idx="13">
                  <c:v>4598</c:v>
                </c:pt>
                <c:pt idx="14">
                  <c:v>3250</c:v>
                </c:pt>
                <c:pt idx="15">
                  <c:v>3068</c:v>
                </c:pt>
                <c:pt idx="16">
                  <c:v>5485</c:v>
                </c:pt>
              </c:numCache>
            </c:numRef>
          </c:val>
          <c:extLst>
            <c:ext xmlns:c16="http://schemas.microsoft.com/office/drawing/2014/chart" uri="{C3380CC4-5D6E-409C-BE32-E72D297353CC}">
              <c16:uniqueId val="{00000000-12CE-4C48-9CDD-7BECE07775DD}"/>
            </c:ext>
          </c:extLst>
        </c:ser>
        <c:ser>
          <c:idx val="1"/>
          <c:order val="1"/>
          <c:tx>
            <c:strRef>
              <c:f>'Summary Tables'!$D$221:$E$221</c:f>
              <c:strCache>
                <c:ptCount val="1"/>
                <c:pt idx="0">
                  <c:v> Conversions</c:v>
                </c:pt>
              </c:strCache>
            </c:strRef>
          </c:tx>
          <c:invertIfNegative val="0"/>
          <c:cat>
            <c:strRef>
              <c:f>'Summary Tables'!$A$223:$A$239</c:f>
              <c:strCache>
                <c:ptCount val="17"/>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strCache>
            </c:strRef>
          </c:cat>
          <c:val>
            <c:numRef>
              <c:f>'Summary Tables'!$E$223:$E$239</c:f>
              <c:numCache>
                <c:formatCode>#,##0</c:formatCode>
                <c:ptCount val="17"/>
                <c:pt idx="0">
                  <c:v>147</c:v>
                </c:pt>
                <c:pt idx="1">
                  <c:v>235</c:v>
                </c:pt>
                <c:pt idx="2">
                  <c:v>282</c:v>
                </c:pt>
                <c:pt idx="3">
                  <c:v>284</c:v>
                </c:pt>
                <c:pt idx="4">
                  <c:v>294</c:v>
                </c:pt>
                <c:pt idx="5">
                  <c:v>229</c:v>
                </c:pt>
                <c:pt idx="6">
                  <c:v>239</c:v>
                </c:pt>
                <c:pt idx="7">
                  <c:v>219</c:v>
                </c:pt>
                <c:pt idx="8">
                  <c:v>139</c:v>
                </c:pt>
                <c:pt idx="9">
                  <c:v>178</c:v>
                </c:pt>
                <c:pt idx="10">
                  <c:v>196</c:v>
                </c:pt>
                <c:pt idx="11">
                  <c:v>143</c:v>
                </c:pt>
                <c:pt idx="12">
                  <c:v>416</c:v>
                </c:pt>
                <c:pt idx="13">
                  <c:v>460</c:v>
                </c:pt>
                <c:pt idx="14">
                  <c:v>232</c:v>
                </c:pt>
                <c:pt idx="15">
                  <c:v>343</c:v>
                </c:pt>
                <c:pt idx="16">
                  <c:v>626</c:v>
                </c:pt>
              </c:numCache>
            </c:numRef>
          </c:val>
          <c:extLst>
            <c:ext xmlns:c16="http://schemas.microsoft.com/office/drawing/2014/chart" uri="{C3380CC4-5D6E-409C-BE32-E72D297353CC}">
              <c16:uniqueId val="{00000001-12CE-4C48-9CDD-7BECE07775DD}"/>
            </c:ext>
          </c:extLst>
        </c:ser>
        <c:dLbls>
          <c:showLegendKey val="0"/>
          <c:showVal val="0"/>
          <c:showCatName val="0"/>
          <c:showSerName val="0"/>
          <c:showPercent val="0"/>
          <c:showBubbleSize val="0"/>
        </c:dLbls>
        <c:gapWidth val="50"/>
        <c:overlap val="100"/>
        <c:axId val="160290688"/>
        <c:axId val="160292224"/>
      </c:barChart>
      <c:catAx>
        <c:axId val="160290688"/>
        <c:scaling>
          <c:orientation val="minMax"/>
        </c:scaling>
        <c:delete val="0"/>
        <c:axPos val="b"/>
        <c:numFmt formatCode="General" sourceLinked="1"/>
        <c:majorTickMark val="out"/>
        <c:minorTickMark val="none"/>
        <c:tickLblPos val="nextTo"/>
        <c:txPr>
          <a:bodyPr rot="1320000" vert="horz"/>
          <a:lstStyle/>
          <a:p>
            <a:pPr>
              <a:defRPr/>
            </a:pPr>
            <a:endParaRPr lang="en-US"/>
          </a:p>
        </c:txPr>
        <c:crossAx val="160292224"/>
        <c:crosses val="autoZero"/>
        <c:auto val="1"/>
        <c:lblAlgn val="ctr"/>
        <c:lblOffset val="100"/>
        <c:noMultiLvlLbl val="0"/>
      </c:catAx>
      <c:valAx>
        <c:axId val="160292224"/>
        <c:scaling>
          <c:orientation val="minMax"/>
          <c:max val="11000"/>
          <c:min val="0"/>
        </c:scaling>
        <c:delete val="0"/>
        <c:axPos val="l"/>
        <c:majorGridlines/>
        <c:numFmt formatCode="#,##0" sourceLinked="1"/>
        <c:majorTickMark val="out"/>
        <c:minorTickMark val="none"/>
        <c:tickLblPos val="nextTo"/>
        <c:txPr>
          <a:bodyPr rot="0" vert="horz"/>
          <a:lstStyle/>
          <a:p>
            <a:pPr>
              <a:defRPr/>
            </a:pPr>
            <a:endParaRPr lang="en-US"/>
          </a:p>
        </c:txPr>
        <c:crossAx val="160290688"/>
        <c:crosses val="autoZero"/>
        <c:crossBetween val="between"/>
      </c:valAx>
    </c:plotArea>
    <c:legend>
      <c:legendPos val="r"/>
      <c:layout>
        <c:manualLayout>
          <c:xMode val="edge"/>
          <c:yMode val="edge"/>
          <c:x val="8.7931034482758616E-2"/>
          <c:y val="6.2068965517241378E-2"/>
          <c:w val="0.15532247262195673"/>
          <c:h val="0.13899370421834525"/>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horizontalDpi="-3"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'Summary Tables'!$B$75</c:f>
              <c:strCache>
                <c:ptCount val="1"/>
                <c:pt idx="0">
                  <c:v> Permissions</c:v>
                </c:pt>
              </c:strCache>
            </c:strRef>
          </c:tx>
          <c:invertIfNegative val="0"/>
          <c:cat>
            <c:strRef>
              <c:f>'Summary Tables'!$A$76:$A$92</c:f>
              <c:strCache>
                <c:ptCount val="17"/>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strCache>
            </c:strRef>
          </c:cat>
          <c:val>
            <c:numRef>
              <c:f>'Summary Tables'!$B$76:$B$92</c:f>
              <c:numCache>
                <c:formatCode>#,##0</c:formatCode>
                <c:ptCount val="17"/>
                <c:pt idx="0">
                  <c:v>2680</c:v>
                </c:pt>
                <c:pt idx="1">
                  <c:v>2597</c:v>
                </c:pt>
                <c:pt idx="2">
                  <c:v>1576</c:v>
                </c:pt>
                <c:pt idx="3">
                  <c:v>3575</c:v>
                </c:pt>
                <c:pt idx="4">
                  <c:v>1885</c:v>
                </c:pt>
                <c:pt idx="5">
                  <c:v>2652</c:v>
                </c:pt>
                <c:pt idx="6">
                  <c:v>2037</c:v>
                </c:pt>
                <c:pt idx="7">
                  <c:v>1705</c:v>
                </c:pt>
                <c:pt idx="8">
                  <c:v>1270</c:v>
                </c:pt>
                <c:pt idx="9">
                  <c:v>2934</c:v>
                </c:pt>
                <c:pt idx="10">
                  <c:v>10498</c:v>
                </c:pt>
                <c:pt idx="11">
                  <c:v>4775</c:v>
                </c:pt>
                <c:pt idx="12">
                  <c:v>2006</c:v>
                </c:pt>
                <c:pt idx="13">
                  <c:v>4972</c:v>
                </c:pt>
                <c:pt idx="14">
                  <c:v>3339</c:v>
                </c:pt>
                <c:pt idx="15">
                  <c:v>3128</c:v>
                </c:pt>
                <c:pt idx="16">
                  <c:v>6083</c:v>
                </c:pt>
              </c:numCache>
            </c:numRef>
          </c:val>
          <c:extLst>
            <c:ext xmlns:c16="http://schemas.microsoft.com/office/drawing/2014/chart" uri="{C3380CC4-5D6E-409C-BE32-E72D297353CC}">
              <c16:uniqueId val="{00000000-CB61-4C4D-91C4-D64C6C0229CA}"/>
            </c:ext>
          </c:extLst>
        </c:ser>
        <c:ser>
          <c:idx val="1"/>
          <c:order val="1"/>
          <c:tx>
            <c:strRef>
              <c:f>'Summary Tables'!$C$75</c:f>
              <c:strCache>
                <c:ptCount val="1"/>
                <c:pt idx="0">
                  <c:v> Starts</c:v>
                </c:pt>
              </c:strCache>
            </c:strRef>
          </c:tx>
          <c:invertIfNegative val="0"/>
          <c:cat>
            <c:strRef>
              <c:f>'Summary Tables'!$A$76:$A$92</c:f>
              <c:strCache>
                <c:ptCount val="17"/>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strCache>
            </c:strRef>
          </c:cat>
          <c:val>
            <c:numRef>
              <c:f>'Summary Tables'!$C$76:$C$92</c:f>
              <c:numCache>
                <c:formatCode>#,##0</c:formatCode>
                <c:ptCount val="17"/>
                <c:pt idx="0">
                  <c:v>1173</c:v>
                </c:pt>
                <c:pt idx="1">
                  <c:v>1407</c:v>
                </c:pt>
                <c:pt idx="2">
                  <c:v>1355</c:v>
                </c:pt>
                <c:pt idx="3">
                  <c:v>1132</c:v>
                </c:pt>
                <c:pt idx="4">
                  <c:v>1010</c:v>
                </c:pt>
                <c:pt idx="5">
                  <c:v>1924</c:v>
                </c:pt>
                <c:pt idx="6">
                  <c:v>1636</c:v>
                </c:pt>
                <c:pt idx="7">
                  <c:v>601</c:v>
                </c:pt>
                <c:pt idx="8">
                  <c:v>462</c:v>
                </c:pt>
                <c:pt idx="9">
                  <c:v>1529</c:v>
                </c:pt>
                <c:pt idx="10">
                  <c:v>2160</c:v>
                </c:pt>
                <c:pt idx="11">
                  <c:v>1197</c:v>
                </c:pt>
                <c:pt idx="12">
                  <c:v>2392</c:v>
                </c:pt>
                <c:pt idx="13">
                  <c:v>1134</c:v>
                </c:pt>
                <c:pt idx="14">
                  <c:v>1923</c:v>
                </c:pt>
                <c:pt idx="15">
                  <c:v>3241</c:v>
                </c:pt>
                <c:pt idx="16">
                  <c:v>2100</c:v>
                </c:pt>
              </c:numCache>
            </c:numRef>
          </c:val>
          <c:extLst>
            <c:ext xmlns:c16="http://schemas.microsoft.com/office/drawing/2014/chart" uri="{C3380CC4-5D6E-409C-BE32-E72D297353CC}">
              <c16:uniqueId val="{00000001-CB61-4C4D-91C4-D64C6C0229CA}"/>
            </c:ext>
          </c:extLst>
        </c:ser>
        <c:ser>
          <c:idx val="2"/>
          <c:order val="2"/>
          <c:tx>
            <c:strRef>
              <c:f>'Summary Tables'!$D$75</c:f>
              <c:strCache>
                <c:ptCount val="1"/>
                <c:pt idx="0">
                  <c:v> Completions</c:v>
                </c:pt>
              </c:strCache>
            </c:strRef>
          </c:tx>
          <c:invertIfNegative val="0"/>
          <c:cat>
            <c:strRef>
              <c:f>'Summary Tables'!$A$76:$A$92</c:f>
              <c:strCache>
                <c:ptCount val="17"/>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strCache>
            </c:strRef>
          </c:cat>
          <c:val>
            <c:numRef>
              <c:f>'Summary Tables'!$D$76:$D$92</c:f>
              <c:numCache>
                <c:formatCode>#,##0</c:formatCode>
                <c:ptCount val="17"/>
                <c:pt idx="0">
                  <c:v>569</c:v>
                </c:pt>
                <c:pt idx="1">
                  <c:v>948</c:v>
                </c:pt>
                <c:pt idx="2">
                  <c:v>1064</c:v>
                </c:pt>
                <c:pt idx="3">
                  <c:v>1490</c:v>
                </c:pt>
                <c:pt idx="4">
                  <c:v>1304</c:v>
                </c:pt>
                <c:pt idx="5">
                  <c:v>1278</c:v>
                </c:pt>
                <c:pt idx="6">
                  <c:v>1031</c:v>
                </c:pt>
                <c:pt idx="7">
                  <c:v>1560</c:v>
                </c:pt>
                <c:pt idx="8">
                  <c:v>1539</c:v>
                </c:pt>
                <c:pt idx="9">
                  <c:v>481</c:v>
                </c:pt>
                <c:pt idx="10">
                  <c:v>979</c:v>
                </c:pt>
                <c:pt idx="11">
                  <c:v>774</c:v>
                </c:pt>
                <c:pt idx="12">
                  <c:v>1197</c:v>
                </c:pt>
                <c:pt idx="13">
                  <c:v>936</c:v>
                </c:pt>
                <c:pt idx="14">
                  <c:v>2776</c:v>
                </c:pt>
                <c:pt idx="15">
                  <c:v>2345</c:v>
                </c:pt>
                <c:pt idx="16">
                  <c:v>2036</c:v>
                </c:pt>
              </c:numCache>
            </c:numRef>
          </c:val>
          <c:extLst>
            <c:ext xmlns:c16="http://schemas.microsoft.com/office/drawing/2014/chart" uri="{C3380CC4-5D6E-409C-BE32-E72D297353CC}">
              <c16:uniqueId val="{00000002-CB61-4C4D-91C4-D64C6C0229CA}"/>
            </c:ext>
          </c:extLst>
        </c:ser>
        <c:dLbls>
          <c:showLegendKey val="0"/>
          <c:showVal val="0"/>
          <c:showCatName val="0"/>
          <c:showSerName val="0"/>
          <c:showPercent val="0"/>
          <c:showBubbleSize val="0"/>
        </c:dLbls>
        <c:gapWidth val="150"/>
        <c:axId val="160396032"/>
        <c:axId val="160397568"/>
      </c:barChart>
      <c:catAx>
        <c:axId val="160396032"/>
        <c:scaling>
          <c:orientation val="minMax"/>
        </c:scaling>
        <c:delete val="0"/>
        <c:axPos val="b"/>
        <c:numFmt formatCode="General" sourceLinked="0"/>
        <c:majorTickMark val="out"/>
        <c:minorTickMark val="none"/>
        <c:tickLblPos val="nextTo"/>
        <c:txPr>
          <a:bodyPr rot="1800000"/>
          <a:lstStyle/>
          <a:p>
            <a:pPr>
              <a:defRPr/>
            </a:pPr>
            <a:endParaRPr lang="en-US"/>
          </a:p>
        </c:txPr>
        <c:crossAx val="160397568"/>
        <c:crosses val="autoZero"/>
        <c:auto val="1"/>
        <c:lblAlgn val="ctr"/>
        <c:lblOffset val="100"/>
        <c:noMultiLvlLbl val="0"/>
      </c:catAx>
      <c:valAx>
        <c:axId val="160397568"/>
        <c:scaling>
          <c:orientation val="minMax"/>
        </c:scaling>
        <c:delete val="0"/>
        <c:axPos val="l"/>
        <c:majorGridlines/>
        <c:numFmt formatCode="#,##0" sourceLinked="1"/>
        <c:majorTickMark val="out"/>
        <c:minorTickMark val="none"/>
        <c:tickLblPos val="nextTo"/>
        <c:crossAx val="160396032"/>
        <c:crosses val="autoZero"/>
        <c:crossBetween val="between"/>
      </c:valAx>
      <c:spPr>
        <a:ln>
          <a:noFill/>
        </a:ln>
      </c:spPr>
    </c:plotArea>
    <c:legend>
      <c:legendPos val="r"/>
      <c:layout>
        <c:manualLayout>
          <c:xMode val="edge"/>
          <c:yMode val="edge"/>
          <c:x val="0.83898274960518793"/>
          <c:y val="0.10975564793713601"/>
          <c:w val="9.8510514652821679E-2"/>
          <c:h val="0.1946962695236866"/>
        </c:manualLayout>
      </c:layout>
      <c:overlay val="1"/>
      <c:spPr>
        <a:solidFill>
          <a:schemeClr val="bg1"/>
        </a:solidFill>
      </c:spPr>
    </c:legend>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2017/18 conversions – net completions</a:t>
            </a:r>
          </a:p>
        </c:rich>
      </c:tx>
      <c:overlay val="0"/>
    </c:title>
    <c:autoTitleDeleted val="0"/>
    <c:plotArea>
      <c:layout/>
      <c:pieChart>
        <c:varyColors val="1"/>
        <c:ser>
          <c:idx val="1"/>
          <c:order val="1"/>
          <c:tx>
            <c:strRef>
              <c:f>'Summary Tables'!$D$341</c:f>
              <c:strCache>
                <c:ptCount val="1"/>
                <c:pt idx="0">
                  <c:v>2017/18</c:v>
                </c:pt>
              </c:strCache>
            </c:strRef>
          </c:tx>
          <c:dLbls>
            <c:delete val="1"/>
          </c:dLbls>
          <c:cat>
            <c:strRef>
              <c:f>'Summary Tables'!$A$342:$B$347</c:f>
              <c:strCache>
                <c:ptCount val="6"/>
                <c:pt idx="0">
                  <c:v>House &gt; Flats</c:v>
                </c:pt>
                <c:pt idx="1">
                  <c:v>Flats &gt; House</c:v>
                </c:pt>
                <c:pt idx="2">
                  <c:v>Flats &gt; Flats</c:v>
                </c:pt>
                <c:pt idx="3">
                  <c:v>Houses &gt; Houses</c:v>
                </c:pt>
                <c:pt idx="4">
                  <c:v>Change of Use</c:v>
                </c:pt>
                <c:pt idx="5">
                  <c:v>Vertical Extension</c:v>
                </c:pt>
              </c:strCache>
            </c:strRef>
          </c:cat>
          <c:val>
            <c:numRef>
              <c:f>'Summary Tables'!$D$342:$D$347</c:f>
              <c:numCache>
                <c:formatCode>#,##0</c:formatCode>
                <c:ptCount val="6"/>
                <c:pt idx="0">
                  <c:v>69</c:v>
                </c:pt>
                <c:pt idx="1">
                  <c:v>29</c:v>
                </c:pt>
                <c:pt idx="2">
                  <c:v>95</c:v>
                </c:pt>
                <c:pt idx="3">
                  <c:v>2</c:v>
                </c:pt>
                <c:pt idx="4">
                  <c:v>148</c:v>
                </c:pt>
                <c:pt idx="5">
                  <c:v>13</c:v>
                </c:pt>
              </c:numCache>
            </c:numRef>
          </c:val>
          <c:extLst>
            <c:ext xmlns:c16="http://schemas.microsoft.com/office/drawing/2014/chart" uri="{C3380CC4-5D6E-409C-BE32-E72D297353CC}">
              <c16:uniqueId val="{00000000-E340-47B6-AFCE-CC94A516A8EF}"/>
            </c:ext>
          </c:extLst>
        </c:ser>
        <c:ser>
          <c:idx val="0"/>
          <c:order val="0"/>
          <c:tx>
            <c:strRef>
              <c:f>'Summary Tables'!$D$341</c:f>
              <c:strCache>
                <c:ptCount val="1"/>
                <c:pt idx="0">
                  <c:v>2017/18</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Tables'!$A$342:$B$347</c:f>
              <c:strCache>
                <c:ptCount val="6"/>
                <c:pt idx="0">
                  <c:v>House &gt; Flats</c:v>
                </c:pt>
                <c:pt idx="1">
                  <c:v>Flats &gt; House</c:v>
                </c:pt>
                <c:pt idx="2">
                  <c:v>Flats &gt; Flats</c:v>
                </c:pt>
                <c:pt idx="3">
                  <c:v>Houses &gt; Houses</c:v>
                </c:pt>
                <c:pt idx="4">
                  <c:v>Change of Use</c:v>
                </c:pt>
                <c:pt idx="5">
                  <c:v>Vertical Extension</c:v>
                </c:pt>
              </c:strCache>
            </c:strRef>
          </c:cat>
          <c:val>
            <c:numRef>
              <c:f>'Summary Tables'!$D$342:$D$347</c:f>
              <c:numCache>
                <c:formatCode>#,##0</c:formatCode>
                <c:ptCount val="6"/>
                <c:pt idx="0">
                  <c:v>69</c:v>
                </c:pt>
                <c:pt idx="1">
                  <c:v>29</c:v>
                </c:pt>
                <c:pt idx="2">
                  <c:v>95</c:v>
                </c:pt>
                <c:pt idx="3">
                  <c:v>2</c:v>
                </c:pt>
                <c:pt idx="4">
                  <c:v>148</c:v>
                </c:pt>
                <c:pt idx="5">
                  <c:v>13</c:v>
                </c:pt>
              </c:numCache>
            </c:numRef>
          </c:val>
          <c:extLst>
            <c:ext xmlns:c16="http://schemas.microsoft.com/office/drawing/2014/chart" uri="{C3380CC4-5D6E-409C-BE32-E72D297353CC}">
              <c16:uniqueId val="{00000001-E340-47B6-AFCE-CC94A516A8EF}"/>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0.11018518518518519"/>
          <c:y val="0.68303495805355618"/>
          <c:w val="0.77731481481481479"/>
          <c:h val="0.21208637263900296"/>
        </c:manualLayout>
      </c:layout>
      <c:overlay val="0"/>
      <c:spPr>
        <a:solidFill>
          <a:sysClr val="window" lastClr="FFFFFF"/>
        </a:solidFill>
      </c:spPr>
    </c:legend>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Conversions in 2017/18 (gross proposed units)</a:t>
            </a:r>
          </a:p>
        </c:rich>
      </c:tx>
      <c:overlay val="0"/>
    </c:title>
    <c:autoTitleDeleted val="0"/>
    <c:plotArea>
      <c:layout/>
      <c:pieChart>
        <c:varyColors val="1"/>
        <c:ser>
          <c:idx val="1"/>
          <c:order val="1"/>
          <c:tx>
            <c:strRef>
              <c:f>'Summary Tables'!$D$341</c:f>
              <c:strCache>
                <c:ptCount val="1"/>
                <c:pt idx="0">
                  <c:v>2017/18</c:v>
                </c:pt>
              </c:strCache>
            </c:strRef>
          </c:tx>
          <c:dLbls>
            <c:spPr>
              <a:no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Tables'!$A$342:$B$347</c:f>
              <c:strCache>
                <c:ptCount val="6"/>
                <c:pt idx="0">
                  <c:v>House &gt; Flats</c:v>
                </c:pt>
                <c:pt idx="1">
                  <c:v>Flats &gt; House</c:v>
                </c:pt>
                <c:pt idx="2">
                  <c:v>Flats &gt; Flats</c:v>
                </c:pt>
                <c:pt idx="3">
                  <c:v>Houses &gt; Houses</c:v>
                </c:pt>
                <c:pt idx="4">
                  <c:v>Change of Use</c:v>
                </c:pt>
                <c:pt idx="5">
                  <c:v>Vertical Extension</c:v>
                </c:pt>
              </c:strCache>
            </c:strRef>
          </c:cat>
          <c:val>
            <c:numRef>
              <c:f>'Summary Tables'!$D$342:$D$347</c:f>
              <c:numCache>
                <c:formatCode>#,##0</c:formatCode>
                <c:ptCount val="6"/>
                <c:pt idx="0">
                  <c:v>69</c:v>
                </c:pt>
                <c:pt idx="1">
                  <c:v>29</c:v>
                </c:pt>
                <c:pt idx="2">
                  <c:v>95</c:v>
                </c:pt>
                <c:pt idx="3">
                  <c:v>2</c:v>
                </c:pt>
                <c:pt idx="4">
                  <c:v>148</c:v>
                </c:pt>
                <c:pt idx="5">
                  <c:v>13</c:v>
                </c:pt>
              </c:numCache>
            </c:numRef>
          </c:val>
          <c:extLst>
            <c:ext xmlns:c16="http://schemas.microsoft.com/office/drawing/2014/chart" uri="{C3380CC4-5D6E-409C-BE32-E72D297353CC}">
              <c16:uniqueId val="{00000000-25D9-4A10-84C6-75189B976FFB}"/>
            </c:ext>
          </c:extLst>
        </c:ser>
        <c:ser>
          <c:idx val="0"/>
          <c:order val="0"/>
          <c:tx>
            <c:strRef>
              <c:f>'Summary Tables'!$D$341</c:f>
              <c:strCache>
                <c:ptCount val="1"/>
                <c:pt idx="0">
                  <c:v>2017/18</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Tables'!$A$342:$B$347</c:f>
              <c:strCache>
                <c:ptCount val="6"/>
                <c:pt idx="0">
                  <c:v>House &gt; Flats</c:v>
                </c:pt>
                <c:pt idx="1">
                  <c:v>Flats &gt; House</c:v>
                </c:pt>
                <c:pt idx="2">
                  <c:v>Flats &gt; Flats</c:v>
                </c:pt>
                <c:pt idx="3">
                  <c:v>Houses &gt; Houses</c:v>
                </c:pt>
                <c:pt idx="4">
                  <c:v>Change of Use</c:v>
                </c:pt>
                <c:pt idx="5">
                  <c:v>Vertical Extension</c:v>
                </c:pt>
              </c:strCache>
            </c:strRef>
          </c:cat>
          <c:val>
            <c:numRef>
              <c:f>'Summary Tables'!$D$342:$D$347</c:f>
              <c:numCache>
                <c:formatCode>#,##0</c:formatCode>
                <c:ptCount val="6"/>
                <c:pt idx="0">
                  <c:v>69</c:v>
                </c:pt>
                <c:pt idx="1">
                  <c:v>29</c:v>
                </c:pt>
                <c:pt idx="2">
                  <c:v>95</c:v>
                </c:pt>
                <c:pt idx="3">
                  <c:v>2</c:v>
                </c:pt>
                <c:pt idx="4">
                  <c:v>148</c:v>
                </c:pt>
                <c:pt idx="5">
                  <c:v>13</c:v>
                </c:pt>
              </c:numCache>
            </c:numRef>
          </c:val>
          <c:extLst>
            <c:ext xmlns:c16="http://schemas.microsoft.com/office/drawing/2014/chart" uri="{C3380CC4-5D6E-409C-BE32-E72D297353CC}">
              <c16:uniqueId val="{00000001-25D9-4A10-84C6-75189B976FFB}"/>
            </c:ext>
          </c:extLst>
        </c:ser>
        <c:dLbls>
          <c:showLegendKey val="0"/>
          <c:showVal val="0"/>
          <c:showCatName val="0"/>
          <c:showSerName val="0"/>
          <c:showPercent val="1"/>
          <c:showBubbleSize val="0"/>
          <c:showLeaderLines val="1"/>
        </c:dLbls>
        <c:firstSliceAng val="0"/>
      </c:pieChart>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9</xdr:col>
      <xdr:colOff>381001</xdr:colOff>
      <xdr:row>35</xdr:row>
      <xdr:rowOff>19050</xdr:rowOff>
    </xdr:from>
    <xdr:to>
      <xdr:col>16</xdr:col>
      <xdr:colOff>457201</xdr:colOff>
      <xdr:row>45</xdr:row>
      <xdr:rowOff>104775</xdr:rowOff>
    </xdr:to>
    <xdr:graphicFrame macro="">
      <xdr:nvGraphicFramePr>
        <xdr:cNvPr id="62356" name="Chart 1">
          <a:extLst>
            <a:ext uri="{FF2B5EF4-FFF2-40B4-BE49-F238E27FC236}">
              <a16:creationId xmlns:a16="http://schemas.microsoft.com/office/drawing/2014/main" id="{00000000-0008-0000-0000-000094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92</xdr:row>
      <xdr:rowOff>111474</xdr:rowOff>
    </xdr:from>
    <xdr:to>
      <xdr:col>16</xdr:col>
      <xdr:colOff>500635</xdr:colOff>
      <xdr:row>106</xdr:row>
      <xdr:rowOff>67235</xdr:rowOff>
    </xdr:to>
    <xdr:graphicFrame macro="">
      <xdr:nvGraphicFramePr>
        <xdr:cNvPr id="62358" name="Chart 20">
          <a:extLst>
            <a:ext uri="{FF2B5EF4-FFF2-40B4-BE49-F238E27FC236}">
              <a16:creationId xmlns:a16="http://schemas.microsoft.com/office/drawing/2014/main" id="{00000000-0008-0000-0000-000096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195</xdr:row>
      <xdr:rowOff>0</xdr:rowOff>
    </xdr:from>
    <xdr:to>
      <xdr:col>17</xdr:col>
      <xdr:colOff>0</xdr:colOff>
      <xdr:row>215</xdr:row>
      <xdr:rowOff>0</xdr:rowOff>
    </xdr:to>
    <xdr:graphicFrame macro="">
      <xdr:nvGraphicFramePr>
        <xdr:cNvPr id="62359" name="Chart 23">
          <a:extLst>
            <a:ext uri="{FF2B5EF4-FFF2-40B4-BE49-F238E27FC236}">
              <a16:creationId xmlns:a16="http://schemas.microsoft.com/office/drawing/2014/main" id="{00000000-0008-0000-0000-000097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219075</xdr:colOff>
      <xdr:row>170</xdr:row>
      <xdr:rowOff>0</xdr:rowOff>
    </xdr:from>
    <xdr:to>
      <xdr:col>16</xdr:col>
      <xdr:colOff>466725</xdr:colOff>
      <xdr:row>190</xdr:row>
      <xdr:rowOff>47625</xdr:rowOff>
    </xdr:to>
    <xdr:graphicFrame macro="">
      <xdr:nvGraphicFramePr>
        <xdr:cNvPr id="62360" name="Chart 26">
          <a:extLst>
            <a:ext uri="{FF2B5EF4-FFF2-40B4-BE49-F238E27FC236}">
              <a16:creationId xmlns:a16="http://schemas.microsoft.com/office/drawing/2014/main" id="{00000000-0008-0000-0000-000098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409575</xdr:colOff>
      <xdr:row>112</xdr:row>
      <xdr:rowOff>9526</xdr:rowOff>
    </xdr:from>
    <xdr:to>
      <xdr:col>16</xdr:col>
      <xdr:colOff>485775</xdr:colOff>
      <xdr:row>131</xdr:row>
      <xdr:rowOff>1</xdr:rowOff>
    </xdr:to>
    <xdr:graphicFrame macro="">
      <xdr:nvGraphicFramePr>
        <xdr:cNvPr id="62361" name="Chart 34">
          <a:extLst>
            <a:ext uri="{FF2B5EF4-FFF2-40B4-BE49-F238E27FC236}">
              <a16:creationId xmlns:a16="http://schemas.microsoft.com/office/drawing/2014/main" id="{00000000-0008-0000-0000-000099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66674</xdr:colOff>
      <xdr:row>220</xdr:row>
      <xdr:rowOff>9525</xdr:rowOff>
    </xdr:from>
    <xdr:to>
      <xdr:col>16</xdr:col>
      <xdr:colOff>552449</xdr:colOff>
      <xdr:row>240</xdr:row>
      <xdr:rowOff>47625</xdr:rowOff>
    </xdr:to>
    <xdr:graphicFrame macro="">
      <xdr:nvGraphicFramePr>
        <xdr:cNvPr id="62362" name="Chart 35">
          <a:extLst>
            <a:ext uri="{FF2B5EF4-FFF2-40B4-BE49-F238E27FC236}">
              <a16:creationId xmlns:a16="http://schemas.microsoft.com/office/drawing/2014/main" id="{00000000-0008-0000-0000-00009A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114300</xdr:colOff>
      <xdr:row>74</xdr:row>
      <xdr:rowOff>9524</xdr:rowOff>
    </xdr:from>
    <xdr:to>
      <xdr:col>17</xdr:col>
      <xdr:colOff>0</xdr:colOff>
      <xdr:row>91</xdr:row>
      <xdr:rowOff>161924</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349</xdr:row>
      <xdr:rowOff>57149</xdr:rowOff>
    </xdr:from>
    <xdr:to>
      <xdr:col>16</xdr:col>
      <xdr:colOff>561975</xdr:colOff>
      <xdr:row>358</xdr:row>
      <xdr:rowOff>152399</xdr:rowOff>
    </xdr:to>
    <xdr:graphicFrame macro="">
      <xdr:nvGraphicFramePr>
        <xdr:cNvPr id="17" name="Chart 59">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xdr:colOff>
      <xdr:row>337</xdr:row>
      <xdr:rowOff>9525</xdr:rowOff>
    </xdr:from>
    <xdr:to>
      <xdr:col>12</xdr:col>
      <xdr:colOff>1</xdr:colOff>
      <xdr:row>356</xdr:row>
      <xdr:rowOff>9525</xdr:rowOff>
    </xdr:to>
    <xdr:graphicFrame macro="">
      <xdr:nvGraphicFramePr>
        <xdr:cNvPr id="62366" name="Chart 59">
          <a:extLst>
            <a:ext uri="{FF2B5EF4-FFF2-40B4-BE49-F238E27FC236}">
              <a16:creationId xmlns:a16="http://schemas.microsoft.com/office/drawing/2014/main" id="{00000000-0008-0000-0000-00009E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337</xdr:row>
      <xdr:rowOff>9526</xdr:rowOff>
    </xdr:from>
    <xdr:to>
      <xdr:col>17</xdr:col>
      <xdr:colOff>0</xdr:colOff>
      <xdr:row>356</xdr:row>
      <xdr:rowOff>9525</xdr:rowOff>
    </xdr:to>
    <xdr:graphicFrame macro="">
      <xdr:nvGraphicFramePr>
        <xdr:cNvPr id="62367" name="Chart 60">
          <a:extLst>
            <a:ext uri="{FF2B5EF4-FFF2-40B4-BE49-F238E27FC236}">
              <a16:creationId xmlns:a16="http://schemas.microsoft.com/office/drawing/2014/main" id="{00000000-0008-0000-0000-00009F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85725</xdr:colOff>
      <xdr:row>132</xdr:row>
      <xdr:rowOff>38100</xdr:rowOff>
    </xdr:from>
    <xdr:to>
      <xdr:col>16</xdr:col>
      <xdr:colOff>552451</xdr:colOff>
      <xdr:row>148</xdr:row>
      <xdr:rowOff>152400</xdr:rowOff>
    </xdr:to>
    <xdr:graphicFrame macro="">
      <xdr:nvGraphicFramePr>
        <xdr:cNvPr id="4" name="Chart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66675</xdr:colOff>
      <xdr:row>277</xdr:row>
      <xdr:rowOff>161924</xdr:rowOff>
    </xdr:from>
    <xdr:to>
      <xdr:col>16</xdr:col>
      <xdr:colOff>552449</xdr:colOff>
      <xdr:row>301</xdr:row>
      <xdr:rowOff>9524</xdr:rowOff>
    </xdr:to>
    <xdr:graphicFrame macro="">
      <xdr:nvGraphicFramePr>
        <xdr:cNvPr id="5" name="Chart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312</xdr:row>
      <xdr:rowOff>1</xdr:rowOff>
    </xdr:from>
    <xdr:to>
      <xdr:col>17</xdr:col>
      <xdr:colOff>0</xdr:colOff>
      <xdr:row>324</xdr:row>
      <xdr:rowOff>1</xdr:rowOff>
    </xdr:to>
    <xdr:graphicFrame macro="">
      <xdr:nvGraphicFramePr>
        <xdr:cNvPr id="7" name="Chart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324</xdr:row>
      <xdr:rowOff>1</xdr:rowOff>
    </xdr:from>
    <xdr:to>
      <xdr:col>17</xdr:col>
      <xdr:colOff>0</xdr:colOff>
      <xdr:row>336</xdr:row>
      <xdr:rowOff>1</xdr:rowOff>
    </xdr:to>
    <xdr:graphicFrame macro="">
      <xdr:nvGraphicFramePr>
        <xdr:cNvPr id="22" name="Chart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13</xdr:row>
      <xdr:rowOff>0</xdr:rowOff>
    </xdr:from>
    <xdr:to>
      <xdr:col>24</xdr:col>
      <xdr:colOff>0</xdr:colOff>
      <xdr:row>47</xdr:row>
      <xdr:rowOff>0</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0</xdr:rowOff>
    </xdr:from>
    <xdr:to>
      <xdr:col>24</xdr:col>
      <xdr:colOff>0</xdr:colOff>
      <xdr:row>69</xdr:row>
      <xdr:rowOff>0</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13</xdr:row>
      <xdr:rowOff>0</xdr:rowOff>
    </xdr:from>
    <xdr:to>
      <xdr:col>24</xdr:col>
      <xdr:colOff>0</xdr:colOff>
      <xdr:row>47</xdr:row>
      <xdr:rowOff>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0</xdr:rowOff>
    </xdr:from>
    <xdr:to>
      <xdr:col>24</xdr:col>
      <xdr:colOff>0</xdr:colOff>
      <xdr:row>69</xdr:row>
      <xdr:rowOff>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3602.453800578704" createdVersion="4" refreshedVersion="6" minRefreshableVersion="3" recordCount="1478" xr:uid="{00000000-000A-0000-FFFF-FFFF01000000}">
  <cacheSource type="worksheet">
    <worksheetSource ref="A1:CY1479" sheet="Conventional Supply Scenario 1"/>
  </cacheSource>
  <cacheFields count="103">
    <cacheField name="Site" numFmtId="0">
      <sharedItems containsString="0" containsBlank="1" containsNumber="1" containsInteger="1" minValue="35" maxValue="6922"/>
    </cacheField>
    <cacheField name="Status" numFmtId="0">
      <sharedItems count="9">
        <s v="01 Completion"/>
        <s v="03 Planning"/>
        <s v="02 Under Construction"/>
        <s v="04 Subject to Legal Agreement"/>
        <s v="05 Pending or at Appeal"/>
        <s v="06 Identified Site"/>
        <s v="07 SHLAA Potential Sites"/>
        <s v="08 SHLAA Small Sites"/>
        <s v="09 Completion Correction"/>
      </sharedItems>
    </cacheField>
    <cacheField name="Application" numFmtId="0">
      <sharedItems containsBlank="1"/>
    </cacheField>
    <cacheField name="Name" numFmtId="0">
      <sharedItems containsBlank="1"/>
    </cacheField>
    <cacheField name="Address" numFmtId="0">
      <sharedItems containsBlank="1"/>
    </cacheField>
    <cacheField name="Phase" numFmtId="0">
      <sharedItems containsBlank="1"/>
    </cacheField>
    <cacheField name="Easting" numFmtId="0">
      <sharedItems containsString="0" containsBlank="1" containsNumber="1" containsInteger="1" minValue="521107" maxValue="530104"/>
    </cacheField>
    <cacheField name="Northing" numFmtId="0">
      <sharedItems containsString="0" containsBlank="1" containsNumber="1" containsInteger="1" minValue="170439" maxValue="177808"/>
    </cacheField>
    <cacheField name="Ward" numFmtId="0">
      <sharedItems containsBlank="1" count="21">
        <s v="Fairfield"/>
        <s v="St Mary's Park"/>
        <s v="Latchmere"/>
        <s v="Bedford"/>
        <s v="Tooting"/>
        <s v="Southfields"/>
        <s v="Queenstown"/>
        <s v="West Putney"/>
        <s v="Graveney"/>
        <s v="Balham"/>
        <s v="Shaftesbury"/>
        <s v="Nightingale"/>
        <s v="Furzedown"/>
        <s v="Thamesfield"/>
        <s v="Northcote"/>
        <s v="Roehampton and Putney Heath"/>
        <s v="East Putney"/>
        <s v="Wandsworth Common"/>
        <s v="Earlsfield"/>
        <s v="West Hill"/>
        <m/>
      </sharedItems>
    </cacheField>
    <cacheField name="Site Construction Date" numFmtId="0">
      <sharedItems containsNonDate="0" containsDate="1" containsString="0" containsBlank="1" minDate="2004-10-01T00:00:00" maxDate="2018-04-01T00:00:00"/>
    </cacheField>
    <cacheField name="Site Completion Date" numFmtId="0">
      <sharedItems containsNonDate="0" containsDate="1" containsString="0" containsBlank="1" minDate="2015-03-31T00:00:00" maxDate="2018-04-01T00:00:00"/>
    </cacheField>
    <cacheField name="Phase Existing Units" numFmtId="0">
      <sharedItems containsSemiMixedTypes="0" containsString="0" containsNumber="1" containsInteger="1" minValue="0" maxValue="97"/>
    </cacheField>
    <cacheField name="Phase Proposed Units" numFmtId="0">
      <sharedItems containsSemiMixedTypes="0" containsString="0" containsNumber="1" containsInteger="1" minValue="0" maxValue="7362"/>
    </cacheField>
    <cacheField name="Phase Net Units" numFmtId="0">
      <sharedItems containsSemiMixedTypes="0" containsString="0" containsNumber="1" containsInteger="1" minValue="-97" maxValue="7362"/>
    </cacheField>
    <cacheField name="Application Proposed Units" numFmtId="0">
      <sharedItems containsSemiMixedTypes="0" containsString="0" containsNumber="1" containsInteger="1" minValue="0" maxValue="7362"/>
    </cacheField>
    <cacheField name="Application Net Units" numFmtId="0">
      <sharedItems containsSemiMixedTypes="0" containsString="0" containsNumber="1" containsInteger="1" minValue="-62" maxValue="7362"/>
    </cacheField>
    <cacheField name="Scheme of 10 or More Proposed Units" numFmtId="0">
      <sharedItems containsBlank="1"/>
    </cacheField>
    <cacheField name="Proposal" numFmtId="0">
      <sharedItems containsBlank="1" longText="1"/>
    </cacheField>
    <cacheField name="Application Status" numFmtId="0">
      <sharedItems/>
    </cacheField>
    <cacheField name="Application Received Date" numFmtId="0">
      <sharedItems containsDate="1" containsString="0" containsBlank="1" containsMixedTypes="1" minDate="2007-03-26T00:00:00" maxDate="2018-03-30T00:00:00"/>
    </cacheField>
    <cacheField name="Application Decision Date" numFmtId="0">
      <sharedItems containsNonDate="0" containsDate="1" containsString="0" containsBlank="1" minDate="2007-05-21T00:00:00" maxDate="2018-03-30T00:00:00"/>
    </cacheField>
    <cacheField name="Reporting Year Decision" numFmtId="0">
      <sharedItems containsBlank="1" count="2">
        <m/>
        <s v="Y"/>
      </sharedItems>
    </cacheField>
    <cacheField name="Appeal Status" numFmtId="0">
      <sharedItems/>
    </cacheField>
    <cacheField name="Appeal Decision Date" numFmtId="0">
      <sharedItems containsNonDate="0" containsDate="1" containsString="0" containsBlank="1" minDate="2012-06-22T00:00:00" maxDate="2017-11-30T00:00:00"/>
    </cacheField>
    <cacheField name="Land Type" numFmtId="0">
      <sharedItems/>
    </cacheField>
    <cacheField name="Development Type" numFmtId="0">
      <sharedItems containsBlank="1" count="6">
        <s v="NB"/>
        <s v="CON"/>
        <s v="EXT"/>
        <s v="COU"/>
        <s v="MIX"/>
        <m u="1"/>
      </sharedItems>
    </cacheField>
    <cacheField name="Large Residential Development Type" numFmtId="0">
      <sharedItems containsBlank="1" count="7">
        <s v="n/a"/>
        <s v="NB"/>
        <s v="EXT"/>
        <s v="OTC"/>
        <s v="LRC"/>
        <s v="OFC"/>
        <m u="1"/>
      </sharedItems>
    </cacheField>
    <cacheField name="Minor Residential Development Type" numFmtId="0">
      <sharedItems containsBlank="1" count="15">
        <s v="n"/>
        <s v="n/a"/>
        <s v="c-"/>
        <s v="k"/>
        <s v="e"/>
        <s v="g"/>
        <s v="h"/>
        <s v="b"/>
        <s v="a"/>
        <s v="f"/>
        <s v="c+"/>
        <s v="d"/>
        <s v="j+"/>
        <s v="i"/>
        <m u="1"/>
      </sharedItems>
    </cacheField>
    <cacheField name="Phase Residential Site Area (ha)" numFmtId="0">
      <sharedItems containsSemiMixedTypes="0" containsString="0" containsNumber="1" minValue="0" maxValue="5.72300004959106"/>
    </cacheField>
    <cacheField name="Phase Construction Date" numFmtId="0">
      <sharedItems containsDate="1" containsString="0" containsBlank="1" containsMixedTypes="1" minDate="2004-10-01T00:00:00" maxDate="2018-04-01T00:00:00"/>
    </cacheField>
    <cacheField name="Reporting Year Start" numFmtId="0">
      <sharedItems containsBlank="1" count="2">
        <m/>
        <s v="Y"/>
      </sharedItems>
    </cacheField>
    <cacheField name="Phase Completion Date" numFmtId="0">
      <sharedItems containsNonDate="0" containsDate="1" containsString="0" containsBlank="1" minDate="2015-03-31T00:00:00" maxDate="2018-04-01T00:00:00"/>
    </cacheField>
    <cacheField name="Tenure" numFmtId="0">
      <sharedItems containsBlank="1" count="4">
        <s v="Open Market"/>
        <s v="Intermediate"/>
        <s v="Social/Affordable Rent"/>
        <m u="1"/>
      </sharedItems>
    </cacheField>
    <cacheField name="Tenure Code" numFmtId="0">
      <sharedItems containsBlank="1"/>
    </cacheField>
    <cacheField name="Site Specific Allocations Document Reference" numFmtId="0">
      <sharedItems containsBlank="1"/>
    </cacheField>
    <cacheField name="London SHLAA 2017 Reference" numFmtId="0">
      <sharedItems containsString="0" containsBlank="1" containsNumber="1" containsInteger="1" minValue="17320018" maxValue="17320350"/>
    </cacheField>
    <cacheField name="Lifetime Homes" numFmtId="0">
      <sharedItems containsString="0" containsBlank="1" containsNumber="1" containsInteger="1" minValue="0" maxValue="827"/>
    </cacheField>
    <cacheField name="M4(2) Dwellings" numFmtId="0">
      <sharedItems containsString="0" containsBlank="1" containsNumber="1" containsInteger="1" minValue="0" maxValue="297"/>
    </cacheField>
    <cacheField name="Wheelchair Accessible Homes" numFmtId="0">
      <sharedItems containsString="0" containsBlank="1" containsNumber="1" containsInteger="1" minValue="0" maxValue="94"/>
    </cacheField>
    <cacheField name="M4(3) Dwellings" numFmtId="0">
      <sharedItems containsString="0" containsBlank="1" containsNumber="1" containsInteger="1" minValue="0" maxValue="395"/>
    </cacheField>
    <cacheField name="Net Studio Units" numFmtId="0">
      <sharedItems containsSemiMixedTypes="0" containsString="0" containsNumber="1" containsInteger="1" minValue="-53" maxValue="126"/>
    </cacheField>
    <cacheField name="Net 1 Bed Units" numFmtId="0">
      <sharedItems containsSemiMixedTypes="0" containsString="0" containsNumber="1" containsInteger="1" minValue="-31" maxValue="275"/>
    </cacheField>
    <cacheField name="Net 2 Bed Units" numFmtId="0">
      <sharedItems containsSemiMixedTypes="0" containsString="0" containsNumber="1" containsInteger="1" minValue="-39" maxValue="362"/>
    </cacheField>
    <cacheField name="Net 3 Bed Units" numFmtId="0">
      <sharedItems containsSemiMixedTypes="0" containsString="0" containsNumber="1" containsInteger="1" minValue="-25" maxValue="160"/>
    </cacheField>
    <cacheField name="Net 4 Bed Units" numFmtId="0">
      <sharedItems containsSemiMixedTypes="0" containsString="0" containsNumber="1" containsInteger="1" minValue="-3" maxValue="35"/>
    </cacheField>
    <cacheField name="Net 5+ Bed Units" numFmtId="0">
      <sharedItems containsSemiMixedTypes="0" containsString="0" containsNumber="1" containsInteger="1" minValue="-1" maxValue="66"/>
    </cacheField>
    <cacheField name="Net Not Known Bed Units" numFmtId="0">
      <sharedItems containsSemiMixedTypes="0" containsString="0" containsNumber="1" containsInteger="1" minValue="-2" maxValue="626"/>
    </cacheField>
    <cacheField name="Net Studio Flats" numFmtId="0">
      <sharedItems containsSemiMixedTypes="0" containsString="0" containsNumber="1" containsInteger="1" minValue="-53" maxValue="126"/>
    </cacheField>
    <cacheField name="Net 1 Bed Flats" numFmtId="0">
      <sharedItems containsSemiMixedTypes="0" containsString="0" containsNumber="1" containsInteger="1" minValue="-31" maxValue="275"/>
    </cacheField>
    <cacheField name="Net 2 Bed Flats" numFmtId="0">
      <sharedItems containsSemiMixedTypes="0" containsString="0" containsNumber="1" containsInteger="1" minValue="-39" maxValue="362"/>
    </cacheField>
    <cacheField name="Net 3 Bed Flats" numFmtId="0">
      <sharedItems containsSemiMixedTypes="0" containsString="0" containsNumber="1" containsInteger="1" minValue="-25" maxValue="160"/>
    </cacheField>
    <cacheField name="Net 4 Bed Flats" numFmtId="0">
      <sharedItems containsSemiMixedTypes="0" containsString="0" containsNumber="1" containsInteger="1" minValue="-3" maxValue="35"/>
    </cacheField>
    <cacheField name="Net 5+ Bed Flats" numFmtId="0">
      <sharedItems containsSemiMixedTypes="0" containsString="0" containsNumber="1" containsInteger="1" minValue="-1" maxValue="66"/>
    </cacheField>
    <cacheField name="Net Not Known Bed Flats" numFmtId="0">
      <sharedItems containsSemiMixedTypes="0" containsString="0" containsNumber="1" containsInteger="1" minValue="-2" maxValue="626"/>
    </cacheField>
    <cacheField name="Net Studio Houses" numFmtId="0">
      <sharedItems containsSemiMixedTypes="0" containsString="0" containsNumber="1" containsInteger="1" minValue="0" maxValue="0"/>
    </cacheField>
    <cacheField name="Net 1 Bed Houses" numFmtId="0">
      <sharedItems containsSemiMixedTypes="0" containsString="0" containsNumber="1" containsInteger="1" minValue="-1" maxValue="5"/>
    </cacheField>
    <cacheField name="Net 2 Bed Houses" numFmtId="0">
      <sharedItems containsSemiMixedTypes="0" containsString="0" containsNumber="1" containsInteger="1" minValue="-1" maxValue="38"/>
    </cacheField>
    <cacheField name="Net 3 Bed Houses" numFmtId="0">
      <sharedItems containsSemiMixedTypes="0" containsString="0" containsNumber="1" containsInteger="1" minValue="-1" maxValue="71"/>
    </cacheField>
    <cacheField name="Net 4 Bed Houses" numFmtId="0">
      <sharedItems containsSemiMixedTypes="0" containsString="0" containsNumber="1" containsInteger="1" minValue="-1" maxValue="35"/>
    </cacheField>
    <cacheField name="Net 5+ Bed Houses" numFmtId="0">
      <sharedItems containsSemiMixedTypes="0" containsString="0" containsNumber="1" containsInteger="1" minValue="-1" maxValue="60"/>
    </cacheField>
    <cacheField name="Net Not Known Bed Houses" numFmtId="0">
      <sharedItems containsSemiMixedTypes="0" containsString="0" containsNumber="1" containsInteger="1" minValue="-1" maxValue="0"/>
    </cacheField>
    <cacheField name="Net Studio Live Work" numFmtId="0">
      <sharedItems containsSemiMixedTypes="0" containsString="0" containsNumber="1" containsInteger="1" minValue="0" maxValue="2"/>
    </cacheField>
    <cacheField name="Net 1 Bed Live Work" numFmtId="0">
      <sharedItems containsSemiMixedTypes="0" containsString="0" containsNumber="1" containsInteger="1" minValue="-1" maxValue="0"/>
    </cacheField>
    <cacheField name="Net 2 Bed Live Work" numFmtId="0">
      <sharedItems containsSemiMixedTypes="0" containsString="0" containsNumber="1" containsInteger="1" minValue="0" maxValue="0"/>
    </cacheField>
    <cacheField name="Net 3 Bed Live Work" numFmtId="0">
      <sharedItems containsSemiMixedTypes="0" containsString="0" containsNumber="1" containsInteger="1" minValue="-1" maxValue="1"/>
    </cacheField>
    <cacheField name="Net 4 Bed Live Work" numFmtId="0">
      <sharedItems containsSemiMixedTypes="0" containsString="0" containsNumber="1" containsInteger="1" minValue="-1" maxValue="1"/>
    </cacheField>
    <cacheField name="Net 5+ Bed Live Work" numFmtId="0">
      <sharedItems containsSemiMixedTypes="0" containsString="0" containsNumber="1" containsInteger="1" minValue="0" maxValue="0"/>
    </cacheField>
    <cacheField name="Net Not Known Live Work" numFmtId="0">
      <sharedItems containsSemiMixedTypes="0" containsString="0" containsNumber="1" containsInteger="1" minValue="0" maxValue="0"/>
    </cacheField>
    <cacheField name="Development Management Area Team" numFmtId="0">
      <sharedItems containsBlank="1"/>
    </cacheField>
    <cacheField name="Town Centre" numFmtId="0">
      <sharedItems containsBlank="1" count="6">
        <m/>
        <s v="Tooting"/>
        <s v="Balham"/>
        <s v="Putney"/>
        <s v="Wandsworth"/>
        <s v="Clapham Junction"/>
      </sharedItems>
    </cacheField>
    <cacheField name="VNEB" numFmtId="0">
      <sharedItems containsBlank="1" count="2">
        <m/>
        <s v="Y"/>
      </sharedItems>
    </cacheField>
    <cacheField name="Central Wandsworth and the Wandle Delta" numFmtId="0">
      <sharedItems containsBlank="1" count="2">
        <s v="Y"/>
        <m/>
      </sharedItems>
    </cacheField>
    <cacheField name="Clapham Junction and the Adjoining Area" numFmtId="0">
      <sharedItems containsBlank="1" count="2">
        <m/>
        <s v="Y"/>
      </sharedItems>
    </cacheField>
    <cacheField name="East Putney and Upper Richmond Road" numFmtId="0">
      <sharedItems containsBlank="1" count="2">
        <m/>
        <s v="Y"/>
      </sharedItems>
    </cacheField>
    <cacheField name="Heart of Roehampton" numFmtId="0">
      <sharedItems containsNonDate="0" containsString="0" containsBlank="1" count="1">
        <m/>
      </sharedItems>
    </cacheField>
    <cacheField name="Thames Policy Area Excluding Nine Elms, North-East Battersea, Central Wandsworth and the Wandle Delta" numFmtId="0">
      <sharedItems containsBlank="1"/>
    </cacheField>
    <cacheField name="Wandle Valley" numFmtId="0">
      <sharedItems containsBlank="1" count="2">
        <m/>
        <s v="Y"/>
      </sharedItems>
    </cacheField>
    <cacheField name="Included in Phasing" numFmtId="0">
      <sharedItems/>
    </cacheField>
    <cacheField name="Phasing Assumption" numFmtId="0">
      <sharedItems containsMixedTypes="1" containsNumber="1" containsInteger="1" minValue="1" maxValue="16"/>
    </cacheField>
    <cacheField name="Phasing Notes" numFmtId="0">
      <sharedItems containsBlank="1"/>
    </cacheField>
    <cacheField name="2017/18" numFmtId="3">
      <sharedItems containsSemiMixedTypes="0" containsString="0" containsNumber="1" containsInteger="1" minValue="-62" maxValue="593"/>
    </cacheField>
    <cacheField name="2018/19" numFmtId="3">
      <sharedItems containsSemiMixedTypes="0" containsString="0" containsNumber="1" minValue="-5" maxValue="279"/>
    </cacheField>
    <cacheField name="2019/20" numFmtId="0">
      <sharedItems containsSemiMixedTypes="0" containsString="0" containsNumber="1" minValue="-32.333333333333336" maxValue="536"/>
    </cacheField>
    <cacheField name="2020/21" numFmtId="3">
      <sharedItems containsSemiMixedTypes="0" containsString="0" containsNumber="1" minValue="-32.333333333333336" maxValue="409"/>
    </cacheField>
    <cacheField name="2021/22" numFmtId="3">
      <sharedItems containsSemiMixedTypes="0" containsString="0" containsNumber="1" minValue="-32.333333333333336" maxValue="827"/>
    </cacheField>
    <cacheField name="2022/23" numFmtId="3">
      <sharedItems containsSemiMixedTypes="0" containsString="0" containsNumber="1" minValue="-7.666666666666667" maxValue="664"/>
    </cacheField>
    <cacheField name="2023/24" numFmtId="3">
      <sharedItems containsSemiMixedTypes="0" containsString="0" containsNumber="1" minValue="-7.666666666666667" maxValue="409"/>
    </cacheField>
    <cacheField name="2024/25" numFmtId="0">
      <sharedItems containsSemiMixedTypes="0" containsString="0" containsNumber="1" minValue="-7.666666666666667" maxValue="409"/>
    </cacheField>
    <cacheField name="2025/26" numFmtId="0">
      <sharedItems containsSemiMixedTypes="0" containsString="0" containsNumber="1" minValue="0" maxValue="422"/>
    </cacheField>
    <cacheField name="2026/27" numFmtId="0">
      <sharedItems containsSemiMixedTypes="0" containsString="0" containsNumber="1" minValue="0" maxValue="409"/>
    </cacheField>
    <cacheField name="2027/28" numFmtId="3">
      <sharedItems containsSemiMixedTypes="0" containsString="0" containsNumber="1" minValue="0" maxValue="409"/>
    </cacheField>
    <cacheField name="2028/29" numFmtId="3">
      <sharedItems containsSemiMixedTypes="0" containsString="0" containsNumber="1" minValue="0" maxValue="409"/>
    </cacheField>
    <cacheField name="2029/30" numFmtId="3">
      <sharedItems containsSemiMixedTypes="0" containsString="0" containsNumber="1" minValue="0" maxValue="409"/>
    </cacheField>
    <cacheField name="2030/31" numFmtId="3">
      <sharedItems containsSemiMixedTypes="0" containsString="0" containsNumber="1" minValue="0" maxValue="409"/>
    </cacheField>
    <cacheField name="2031/32" numFmtId="3">
      <sharedItems containsSemiMixedTypes="0" containsString="0" containsNumber="1" minValue="0" maxValue="409"/>
    </cacheField>
    <cacheField name="2032/33" numFmtId="3">
      <sharedItems containsSemiMixedTypes="0" containsString="0" containsNumber="1" minValue="0" maxValue="409"/>
    </cacheField>
    <cacheField name="2033/34" numFmtId="3">
      <sharedItems containsSemiMixedTypes="0" containsString="0" containsNumber="1" minValue="0" maxValue="409"/>
    </cacheField>
    <cacheField name="2034/35" numFmtId="3">
      <sharedItems containsSemiMixedTypes="0" containsString="0" containsNumber="1" minValue="0" maxValue="409"/>
    </cacheField>
    <cacheField name="2035/36" numFmtId="3">
      <sharedItems containsSemiMixedTypes="0" containsString="0" containsNumber="1" minValue="0" maxValue="409"/>
    </cacheField>
    <cacheField name="2036/37" numFmtId="3">
      <sharedItems containsSemiMixedTypes="0" containsString="0" containsNumber="1" minValue="0" maxValue="409"/>
    </cacheField>
    <cacheField name="2037/38" numFmtId="3">
      <sharedItems containsSemiMixedTypes="0" containsString="0" containsNumber="1" minValue="0" maxValue="409"/>
    </cacheField>
    <cacheField name="Delivery in 5 Years" numFmtId="3">
      <sharedItems containsSemiMixedTypes="0" containsString="0" containsNumber="1" minValue="-97" maxValue="1227"/>
    </cacheField>
    <cacheField name="Delivery in 10 Years" numFmtId="3">
      <sharedItems containsSemiMixedTypes="0" containsString="0" containsNumber="1" minValue="-97" maxValue="327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3602.453805439814" createdVersion="4" refreshedVersion="6" minRefreshableVersion="3" recordCount="35" xr:uid="{00000000-000A-0000-FFFF-FFFF00000000}">
  <cacheSource type="worksheet">
    <worksheetSource ref="A1:BP36" sheet="Non-Self-Contained Supply"/>
  </cacheSource>
  <cacheFields count="68">
    <cacheField name="Site" numFmtId="0">
      <sharedItems containsSemiMixedTypes="0" containsString="0" containsNumber="1" containsInteger="1" minValue="13" maxValue="6827"/>
    </cacheField>
    <cacheField name="Status" numFmtId="0">
      <sharedItems count="4">
        <s v="01 Completion"/>
        <s v="02 Under Construction"/>
        <s v="03 Planning"/>
        <s v="05 Pending or at Appeal"/>
      </sharedItems>
    </cacheField>
    <cacheField name="Application" numFmtId="0">
      <sharedItems/>
    </cacheField>
    <cacheField name="Name" numFmtId="0">
      <sharedItems containsBlank="1"/>
    </cacheField>
    <cacheField name="Address" numFmtId="0">
      <sharedItems/>
    </cacheField>
    <cacheField name="Easting" numFmtId="0">
      <sharedItems containsSemiMixedTypes="0" containsString="0" containsNumber="1" containsInteger="1" minValue="521657" maxValue="529441"/>
    </cacheField>
    <cacheField name="Northing" numFmtId="0">
      <sharedItems containsSemiMixedTypes="0" containsString="0" containsNumber="1" containsInteger="1" minValue="170963" maxValue="176723"/>
    </cacheField>
    <cacheField name="Ward" numFmtId="0">
      <sharedItems/>
    </cacheField>
    <cacheField name="Site Construction Date" numFmtId="0">
      <sharedItems containsNonDate="0" containsDate="1" containsString="0" containsBlank="1" minDate="2015-08-28T00:00:00" maxDate="2018-04-01T00:00:00"/>
    </cacheField>
    <cacheField name="Site Completion Date" numFmtId="0">
      <sharedItems containsNonDate="0" containsDate="1" containsString="0" containsBlank="1" minDate="2017-05-04T00:00:00" maxDate="2018-04-01T00:00:00"/>
    </cacheField>
    <cacheField name="Existing Hostel Rooms" numFmtId="0">
      <sharedItems containsSemiMixedTypes="0" containsString="0" containsNumber="1" containsInteger="1" minValue="0" maxValue="16"/>
    </cacheField>
    <cacheField name="Proposed Hostel Rooms" numFmtId="0">
      <sharedItems containsSemiMixedTypes="0" containsString="0" containsNumber="1" containsInteger="1" minValue="0" maxValue="68"/>
    </cacheField>
    <cacheField name="Net Hostel Rooms" numFmtId="0">
      <sharedItems containsSemiMixedTypes="0" containsString="0" containsNumber="1" containsInteger="1" minValue="-16" maxValue="68"/>
    </cacheField>
    <cacheField name="Existing Home Rooms" numFmtId="0">
      <sharedItems containsSemiMixedTypes="0" containsString="0" containsNumber="1" containsInteger="1" minValue="0" maxValue="87"/>
    </cacheField>
    <cacheField name="Proposed Home Rooms" numFmtId="0">
      <sharedItems containsSemiMixedTypes="0" containsString="0" containsNumber="1" containsInteger="1" minValue="0" maxValue="108"/>
    </cacheField>
    <cacheField name="Net Home Rooms" numFmtId="0">
      <sharedItems containsSemiMixedTypes="0" containsString="0" containsNumber="1" containsInteger="1" minValue="-87" maxValue="98"/>
    </cacheField>
    <cacheField name="Existing Staff Rooms" numFmtId="0">
      <sharedItems containsSemiMixedTypes="0" containsString="0" containsNumber="1" containsInteger="1" minValue="0" maxValue="10"/>
    </cacheField>
    <cacheField name="Proposed Staff Rooms" numFmtId="0">
      <sharedItems containsSemiMixedTypes="0" containsString="0" containsNumber="1" containsInteger="1" minValue="0" maxValue="0"/>
    </cacheField>
    <cacheField name="Net Staff Rooms" numFmtId="0">
      <sharedItems containsSemiMixedTypes="0" containsString="0" containsNumber="1" containsInteger="1" minValue="-10" maxValue="0"/>
    </cacheField>
    <cacheField name="Existing Student Rooms" numFmtId="0">
      <sharedItems containsSemiMixedTypes="0" containsString="0" containsNumber="1" containsInteger="1" minValue="0" maxValue="0"/>
    </cacheField>
    <cacheField name="Proposed Student Rooms" numFmtId="0">
      <sharedItems containsSemiMixedTypes="0" containsString="0" containsNumber="1" containsInteger="1" minValue="0" maxValue="75"/>
    </cacheField>
    <cacheField name="Net Student Rooms" numFmtId="0">
      <sharedItems containsSemiMixedTypes="0" containsString="0" containsNumber="1" containsInteger="1" minValue="0" maxValue="75"/>
    </cacheField>
    <cacheField name="Existing House in Multiple Occupation Rooms" numFmtId="0">
      <sharedItems containsSemiMixedTypes="0" containsString="0" containsNumber="1" containsInteger="1" minValue="0" maxValue="9"/>
    </cacheField>
    <cacheField name="Proposed House in Multiple Occupation Rooms" numFmtId="0">
      <sharedItems containsSemiMixedTypes="0" containsString="0" containsNumber="1" containsInteger="1" minValue="0" maxValue="13"/>
    </cacheField>
    <cacheField name="Net House in Multiple Occupation Rooms" numFmtId="0">
      <sharedItems containsSemiMixedTypes="0" containsString="0" containsNumber="1" containsInteger="1" minValue="-9" maxValue="13"/>
    </cacheField>
    <cacheField name="Existing Non-Self-Contained Rooms" numFmtId="0">
      <sharedItems containsSemiMixedTypes="0" containsString="0" containsNumber="1" containsInteger="1" minValue="0" maxValue="87"/>
    </cacheField>
    <cacheField name="Proposed Non-Self-Contained Rooms" numFmtId="0">
      <sharedItems containsSemiMixedTypes="0" containsString="0" containsNumber="1" containsInteger="1" minValue="0" maxValue="108"/>
    </cacheField>
    <cacheField name="Net Non-Self-Contained Rooms" numFmtId="0">
      <sharedItems containsSemiMixedTypes="0" containsString="0" containsNumber="1" containsInteger="1" minValue="-87" maxValue="98"/>
    </cacheField>
    <cacheField name="Proposal" numFmtId="0">
      <sharedItems longText="1"/>
    </cacheField>
    <cacheField name="Application Status" numFmtId="0">
      <sharedItems/>
    </cacheField>
    <cacheField name="Application Received Date" numFmtId="14">
      <sharedItems containsSemiMixedTypes="0" containsNonDate="0" containsDate="1" containsString="0" minDate="2010-09-10T00:00:00" maxDate="2018-03-22T00:00:00"/>
    </cacheField>
    <cacheField name="Application Decision Date" numFmtId="0">
      <sharedItems containsNonDate="0" containsDate="1" containsString="0" containsBlank="1" minDate="2011-02-13T00:00:00" maxDate="2018-03-16T00:00:00"/>
    </cacheField>
    <cacheField name="Appeal Status" numFmtId="0">
      <sharedItems/>
    </cacheField>
    <cacheField name="Appeal Decision Date" numFmtId="0">
      <sharedItems containsNonDate="0" containsDate="1" containsString="0" containsBlank="1" minDate="2012-06-22T00:00:00" maxDate="2016-07-27T00:00:00"/>
    </cacheField>
    <cacheField name="Non-Self-Contained Rooms Construction Date" numFmtId="0">
      <sharedItems containsNonDate="0" containsDate="1" containsString="0" containsBlank="1" minDate="2016-08-14T00:00:00" maxDate="2018-04-01T00:00:00"/>
    </cacheField>
    <cacheField name="Non-Self-Contained Rooms Completion Date" numFmtId="0">
      <sharedItems containsNonDate="0" containsDate="1" containsString="0" containsBlank="1" minDate="2017-05-04T00:00:00" maxDate="2018-04-01T00:00:00"/>
    </cacheField>
    <cacheField name="Tenure" numFmtId="0">
      <sharedItems containsNonDate="0" containsString="0" containsBlank="1"/>
    </cacheField>
    <cacheField name="Tenure Code" numFmtId="0">
      <sharedItems containsBlank="1"/>
    </cacheField>
    <cacheField name="Site Specific Allocations Document Reference" numFmtId="0">
      <sharedItems containsBlank="1"/>
    </cacheField>
    <cacheField name="London SHLAA 2017 Reference" numFmtId="0">
      <sharedItems containsNonDate="0" containsString="0" containsBlank="1"/>
    </cacheField>
    <cacheField name="Special Needs" numFmtId="0">
      <sharedItems containsBlank="1"/>
    </cacheField>
    <cacheField name="Special Needs Type" numFmtId="0">
      <sharedItems containsBlank="1"/>
    </cacheField>
    <cacheField name="Included in Phasing" numFmtId="0">
      <sharedItems/>
    </cacheField>
    <cacheField name="Phasing Assumption" numFmtId="0">
      <sharedItems containsMixedTypes="1" containsNumber="1" containsInteger="1" minValue="1" maxValue="15"/>
    </cacheField>
    <cacheField name="Phasing Notes" numFmtId="0">
      <sharedItems containsBlank="1"/>
    </cacheField>
    <cacheField name="2017/18" numFmtId="3">
      <sharedItems containsSemiMixedTypes="0" containsString="0" containsNumber="1" containsInteger="1" minValue="-16" maxValue="7"/>
    </cacheField>
    <cacheField name="2018/19" numFmtId="3">
      <sharedItems containsSemiMixedTypes="0" containsString="0" containsNumber="1" containsInteger="1" minValue="-87" maxValue="5"/>
    </cacheField>
    <cacheField name="2019/20" numFmtId="3">
      <sharedItems containsSemiMixedTypes="0" containsString="0" containsNumber="1" minValue="-13" maxValue="98"/>
    </cacheField>
    <cacheField name="2020/21" numFmtId="3">
      <sharedItems containsSemiMixedTypes="0" containsString="0" containsNumber="1" minValue="-4" maxValue="50"/>
    </cacheField>
    <cacheField name="2021/22" numFmtId="3">
      <sharedItems containsSemiMixedTypes="0" containsString="0" containsNumber="1" minValue="-4" maxValue="6.25"/>
    </cacheField>
    <cacheField name="2022/23" numFmtId="3">
      <sharedItems containsSemiMixedTypes="0" containsString="0" containsNumber="1" minValue="-4" maxValue="22.666666666666668"/>
    </cacheField>
    <cacheField name="2023/24" numFmtId="3">
      <sharedItems containsSemiMixedTypes="0" containsString="0" containsNumber="1" minValue="-2.3333333333333335" maxValue="22.666666666666668"/>
    </cacheField>
    <cacheField name="2024/25" numFmtId="3">
      <sharedItems containsSemiMixedTypes="0" containsString="0" containsNumber="1" minValue="-2.3333333333333335" maxValue="22.666666666666668"/>
    </cacheField>
    <cacheField name="2025/26" numFmtId="3">
      <sharedItems containsSemiMixedTypes="0" containsString="0" containsNumber="1" containsInteger="1" minValue="0" maxValue="0"/>
    </cacheField>
    <cacheField name="2026/27" numFmtId="3">
      <sharedItems containsSemiMixedTypes="0" containsString="0" containsNumber="1" containsInteger="1" minValue="0" maxValue="0"/>
    </cacheField>
    <cacheField name="2027/28" numFmtId="3">
      <sharedItems containsSemiMixedTypes="0" containsString="0" containsNumber="1" containsInteger="1" minValue="0" maxValue="0"/>
    </cacheField>
    <cacheField name="2028/29" numFmtId="3">
      <sharedItems containsSemiMixedTypes="0" containsString="0" containsNumber="1" containsInteger="1" minValue="0" maxValue="0"/>
    </cacheField>
    <cacheField name="2029/30" numFmtId="3">
      <sharedItems containsSemiMixedTypes="0" containsString="0" containsNumber="1" containsInteger="1" minValue="0" maxValue="0"/>
    </cacheField>
    <cacheField name="2030/31" numFmtId="3">
      <sharedItems containsSemiMixedTypes="0" containsString="0" containsNumber="1" containsInteger="1" minValue="0" maxValue="0"/>
    </cacheField>
    <cacheField name="2031/32" numFmtId="3">
      <sharedItems containsSemiMixedTypes="0" containsString="0" containsNumber="1" containsInteger="1" minValue="0" maxValue="0"/>
    </cacheField>
    <cacheField name="2032/33" numFmtId="3">
      <sharedItems containsSemiMixedTypes="0" containsString="0" containsNumber="1" containsInteger="1" minValue="0" maxValue="0"/>
    </cacheField>
    <cacheField name="2033/34" numFmtId="3">
      <sharedItems containsSemiMixedTypes="0" containsString="0" containsNumber="1" containsInteger="1" minValue="0" maxValue="0"/>
    </cacheField>
    <cacheField name="2034/35" numFmtId="3">
      <sharedItems containsSemiMixedTypes="0" containsString="0" containsNumber="1" containsInteger="1" minValue="0" maxValue="0"/>
    </cacheField>
    <cacheField name="2035/36" numFmtId="3">
      <sharedItems containsSemiMixedTypes="0" containsString="0" containsNumber="1" containsInteger="1" minValue="0" maxValue="0"/>
    </cacheField>
    <cacheField name="2036/37" numFmtId="3">
      <sharedItems containsSemiMixedTypes="0" containsString="0" containsNumber="1" containsInteger="1" minValue="0" maxValue="0"/>
    </cacheField>
    <cacheField name="2037/38" numFmtId="3">
      <sharedItems containsSemiMixedTypes="0" containsString="0" containsNumber="1" containsInteger="1" minValue="0" maxValue="0"/>
    </cacheField>
    <cacheField name="Delivery in 5 Years" numFmtId="3">
      <sharedItems containsSemiMixedTypes="0" containsString="0" containsNumber="1" minValue="-87" maxValue="98"/>
    </cacheField>
    <cacheField name="Delivery in 10 Years" numFmtId="3">
      <sharedItems containsSemiMixedTypes="0" containsString="0" containsNumber="1" containsInteger="1" minValue="-87" maxValue="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78">
  <r>
    <n v="101"/>
    <x v="0"/>
    <s v="2012/1443"/>
    <m/>
    <s v="374 Old York Road"/>
    <m/>
    <n v="525852"/>
    <n v="174974"/>
    <x v="0"/>
    <d v="2014-06-30T00:00:00"/>
    <d v="2017-05-04T00:00:00"/>
    <n v="0"/>
    <n v="3"/>
    <n v="3"/>
    <n v="3"/>
    <n v="3"/>
    <m/>
    <s v="Erection of three-storey building plus basement and rear lightwell to provide retail (Class A1) unit in front part of ground and lower ground floors, a one-bedroom maisonette on the ground and lower ground floors, and two 2-bedroom flats on the upper floors with rear balconies."/>
    <s v="PF"/>
    <d v="2012-03-29T00:00:00"/>
    <d v="2012-08-24T00:00:00"/>
    <x v="0"/>
    <s v="Nil"/>
    <m/>
    <s v="BF"/>
    <x v="0"/>
    <x v="0"/>
    <x v="0"/>
    <n v="7.0000002160668399E-3"/>
    <d v="2014-06-30T00:00:00"/>
    <x v="0"/>
    <d v="2017-05-04T00:00:00"/>
    <x v="0"/>
    <s v="P"/>
    <m/>
    <m/>
    <n v="0"/>
    <m/>
    <n v="0"/>
    <m/>
    <n v="0"/>
    <n v="0"/>
    <n v="1"/>
    <n v="2"/>
    <n v="0"/>
    <n v="0"/>
    <n v="0"/>
    <n v="0"/>
    <n v="0"/>
    <n v="1"/>
    <n v="2"/>
    <n v="0"/>
    <n v="0"/>
    <n v="0"/>
    <n v="0"/>
    <n v="0"/>
    <n v="0"/>
    <n v="0"/>
    <n v="0"/>
    <n v="0"/>
    <n v="0"/>
    <n v="0"/>
    <n v="0"/>
    <n v="0"/>
    <n v="0"/>
    <n v="0"/>
    <n v="0"/>
    <n v="0"/>
    <s v="West"/>
    <x v="0"/>
    <x v="0"/>
    <x v="0"/>
    <x v="0"/>
    <x v="0"/>
    <x v="0"/>
    <m/>
    <x v="0"/>
    <s v="Y"/>
    <n v="1"/>
    <m/>
    <n v="3"/>
    <n v="0"/>
    <n v="0"/>
    <n v="0"/>
    <n v="0"/>
    <n v="0"/>
    <n v="0"/>
    <n v="0"/>
    <n v="0"/>
    <n v="0"/>
    <n v="0"/>
    <n v="0"/>
    <n v="0"/>
    <n v="0"/>
    <n v="0"/>
    <n v="0"/>
    <n v="0"/>
    <n v="0"/>
    <n v="0"/>
    <n v="0"/>
    <n v="0"/>
    <n v="0"/>
    <n v="0"/>
  </r>
  <r>
    <n v="167"/>
    <x v="0"/>
    <s v="2014/6909"/>
    <s v="Lombard Wharf"/>
    <s v="12-14 Lombard Road"/>
    <m/>
    <n v="526673"/>
    <n v="176397"/>
    <x v="1"/>
    <d v="2016-01-20T00:00:00"/>
    <d v="2018-03-06T00:00:00"/>
    <n v="0"/>
    <n v="108"/>
    <n v="108"/>
    <n v="135"/>
    <n v="135"/>
    <s v="Y"/>
    <s v="Demolition of part-retained building on site. Erection of a 28 storey building comprising 135 residential units and ancillary floorspace (Use Class C3); commercial floorspace at ground floor and mezzanine levels (Use Classes A3-A4 (restaurants and cafes and drinking establishments); 30 car parking spaces, cycle parking and waste storage within a basement; infrastructure groundworks; on-site CHP and substation; public realm works; works to river wall; and access to two car lifts off Lombard Road"/>
    <s v="PFLA"/>
    <d v="2014-12-02T00:00:00"/>
    <d v="2015-06-12T00:00:00"/>
    <x v="0"/>
    <s v="Nil"/>
    <m/>
    <s v="BF"/>
    <x v="0"/>
    <x v="1"/>
    <x v="1"/>
    <n v="0.196999996900558"/>
    <d v="2016-01-20T00:00:00"/>
    <x v="0"/>
    <d v="2018-03-06T00:00:00"/>
    <x v="0"/>
    <s v="P"/>
    <s v="10.5"/>
    <m/>
    <n v="108"/>
    <m/>
    <n v="10"/>
    <m/>
    <n v="0"/>
    <n v="22"/>
    <n v="63"/>
    <n v="23"/>
    <n v="0"/>
    <n v="0"/>
    <n v="0"/>
    <n v="0"/>
    <n v="22"/>
    <n v="63"/>
    <n v="23"/>
    <n v="0"/>
    <n v="0"/>
    <n v="0"/>
    <n v="0"/>
    <n v="0"/>
    <n v="0"/>
    <n v="0"/>
    <n v="0"/>
    <n v="0"/>
    <n v="0"/>
    <n v="0"/>
    <n v="0"/>
    <n v="0"/>
    <n v="0"/>
    <n v="0"/>
    <n v="0"/>
    <n v="0"/>
    <s v="East"/>
    <x v="0"/>
    <x v="0"/>
    <x v="1"/>
    <x v="0"/>
    <x v="0"/>
    <x v="0"/>
    <s v="Y"/>
    <x v="0"/>
    <s v="Y"/>
    <n v="1"/>
    <m/>
    <n v="108"/>
    <n v="0"/>
    <n v="0"/>
    <n v="0"/>
    <n v="0"/>
    <n v="0"/>
    <n v="0"/>
    <n v="0"/>
    <n v="0"/>
    <n v="0"/>
    <n v="0"/>
    <n v="0"/>
    <n v="0"/>
    <n v="0"/>
    <n v="0"/>
    <n v="0"/>
    <n v="0"/>
    <n v="0"/>
    <n v="0"/>
    <n v="0"/>
    <n v="0"/>
    <n v="0"/>
    <n v="0"/>
  </r>
  <r>
    <n v="167"/>
    <x v="0"/>
    <s v="2014/6909"/>
    <s v="Lombard Wharf"/>
    <s v="12-14 Lombard Road"/>
    <m/>
    <n v="526673"/>
    <n v="176397"/>
    <x v="1"/>
    <d v="2016-01-20T00:00:00"/>
    <d v="2018-03-06T00:00:00"/>
    <n v="0"/>
    <n v="27"/>
    <n v="27"/>
    <n v="135"/>
    <n v="135"/>
    <s v="Y"/>
    <s v="Demolition of part-retained building on site. Erection of a 28 storey building comprising 135 residential units and ancillary floorspace (Use Class C3); commercial floorspace at ground floor and mezzanine levels (Use Classes A3-A4 (restaurants and cafes and drinking establishments); 30 car parking spaces, cycle parking and waste storage within a basement; infrastructure groundworks; on-site CHP and substation; public realm works; works to river wall; and access to two car lifts off Lombard Road"/>
    <s v="PFLA"/>
    <d v="2014-12-02T00:00:00"/>
    <d v="2015-06-12T00:00:00"/>
    <x v="0"/>
    <s v="Nil"/>
    <m/>
    <s v="BF"/>
    <x v="0"/>
    <x v="1"/>
    <x v="1"/>
    <n v="1.60000007599592E-2"/>
    <d v="2016-01-20T00:00:00"/>
    <x v="0"/>
    <d v="2018-03-06T00:00:00"/>
    <x v="1"/>
    <s v="HASO"/>
    <s v="10.5"/>
    <m/>
    <n v="27"/>
    <m/>
    <n v="3"/>
    <m/>
    <n v="0"/>
    <n v="16"/>
    <n v="11"/>
    <n v="0"/>
    <n v="0"/>
    <n v="0"/>
    <n v="0"/>
    <n v="0"/>
    <n v="16"/>
    <n v="11"/>
    <n v="0"/>
    <n v="0"/>
    <n v="0"/>
    <n v="0"/>
    <n v="0"/>
    <n v="0"/>
    <n v="0"/>
    <n v="0"/>
    <n v="0"/>
    <n v="0"/>
    <n v="0"/>
    <n v="0"/>
    <n v="0"/>
    <n v="0"/>
    <n v="0"/>
    <n v="0"/>
    <n v="0"/>
    <n v="0"/>
    <s v="East"/>
    <x v="0"/>
    <x v="0"/>
    <x v="1"/>
    <x v="0"/>
    <x v="0"/>
    <x v="0"/>
    <s v="Y"/>
    <x v="0"/>
    <s v="Y"/>
    <n v="1"/>
    <m/>
    <n v="27"/>
    <n v="0"/>
    <n v="0"/>
    <n v="0"/>
    <n v="0"/>
    <n v="0"/>
    <n v="0"/>
    <n v="0"/>
    <n v="0"/>
    <n v="0"/>
    <n v="0"/>
    <n v="0"/>
    <n v="0"/>
    <n v="0"/>
    <n v="0"/>
    <n v="0"/>
    <n v="0"/>
    <n v="0"/>
    <n v="0"/>
    <n v="0"/>
    <n v="0"/>
    <n v="0"/>
    <n v="0"/>
  </r>
  <r>
    <n v="167"/>
    <x v="0"/>
    <s v="2016/1760"/>
    <s v="Lombard Wharf"/>
    <s v="12-14 Lombard Road"/>
    <m/>
    <n v="526673"/>
    <n v="176397"/>
    <x v="1"/>
    <d v="2016-04-28T00:00:00"/>
    <d v="2018-03-06T00:00:00"/>
    <n v="3"/>
    <n v="2"/>
    <n v="-1"/>
    <n v="2"/>
    <n v="-1"/>
    <s v="Y"/>
    <s v="Non-material amendment to planning permission dated 12/06/2015 ref. 2014/6909 (Demolition of part-retained building on site. Erection of a 28 storey building comprising 135 residential units and ancillary floorspace (Use Class C3); commercial floorspace at ground floor and mezzanine levels (Use Classes A3-A4 (restaurants and cafes and drinking establishments); 30 car parking spaces, cycle parking and waste storage within a basement; infrastructure groundworks; on-site CHP and substation; public realm works; works to river wall; and access to two car lifts off Lombard Road.) to allow alterations to the facade including relocation and addition of balcony doors and ground floor doors, removal of ground floor louvre panel, replacement of 3 duplex apartments with 2 lateral apartments on levels 25 and 26 to reduce the number of units to 134."/>
    <s v="S96A"/>
    <d v="2016-04-01T00:00:00"/>
    <d v="2016-04-28T00:00:00"/>
    <x v="0"/>
    <s v="Nil"/>
    <m/>
    <s v="BF"/>
    <x v="1"/>
    <x v="0"/>
    <x v="2"/>
    <n v="4.9999998882412902E-3"/>
    <d v="2016-04-28T00:00:00"/>
    <x v="0"/>
    <d v="2018-03-06T00:00:00"/>
    <x v="0"/>
    <s v="P"/>
    <s v="10.5"/>
    <m/>
    <n v="2"/>
    <m/>
    <n v="0"/>
    <m/>
    <n v="0"/>
    <n v="0"/>
    <n v="0"/>
    <n v="0"/>
    <n v="-1"/>
    <n v="0"/>
    <n v="0"/>
    <n v="0"/>
    <n v="0"/>
    <n v="0"/>
    <n v="0"/>
    <n v="-1"/>
    <n v="0"/>
    <n v="0"/>
    <n v="0"/>
    <n v="0"/>
    <n v="0"/>
    <n v="0"/>
    <n v="0"/>
    <n v="0"/>
    <n v="0"/>
    <n v="0"/>
    <n v="0"/>
    <n v="0"/>
    <n v="0"/>
    <n v="0"/>
    <n v="0"/>
    <n v="0"/>
    <s v="East"/>
    <x v="0"/>
    <x v="0"/>
    <x v="1"/>
    <x v="0"/>
    <x v="0"/>
    <x v="0"/>
    <s v="Y"/>
    <x v="0"/>
    <s v="Y"/>
    <n v="7"/>
    <m/>
    <n v="-1"/>
    <n v="0"/>
    <n v="0"/>
    <n v="0"/>
    <n v="0"/>
    <n v="0"/>
    <n v="0"/>
    <n v="0"/>
    <n v="0"/>
    <n v="0"/>
    <n v="0"/>
    <n v="0"/>
    <n v="0"/>
    <n v="0"/>
    <n v="0"/>
    <n v="0"/>
    <n v="0"/>
    <n v="0"/>
    <n v="0"/>
    <n v="0"/>
    <n v="0"/>
    <n v="0"/>
    <n v="0"/>
  </r>
  <r>
    <n v="211"/>
    <x v="0"/>
    <s v="2016/4950"/>
    <m/>
    <s v="Land front of, 1-3 Candahar Road"/>
    <m/>
    <n v="527282"/>
    <n v="176235"/>
    <x v="2"/>
    <d v="2017-03-31T00:00:00"/>
    <d v="2018-03-31T00:00:00"/>
    <n v="0"/>
    <n v="1"/>
    <n v="1"/>
    <n v="1"/>
    <n v="1"/>
    <m/>
    <s v="Erection of a three-storey, 3-bedroom dwellinghouse to the front of nos. 1-3 Candahar Road. The proposal would include a garage with room for two car parking spaces and two cycles parking spaces. Erection of external terrace at second floor level, which would span over the width of the entrance driveway and adjoin no. 5 Candahar Road."/>
    <s v="PF"/>
    <d v="2016-08-18T00:00:00"/>
    <d v="2016-10-13T00:00:00"/>
    <x v="0"/>
    <s v="Nil"/>
    <m/>
    <s v="BF"/>
    <x v="0"/>
    <x v="0"/>
    <x v="0"/>
    <n v="3.29999998211861E-2"/>
    <d v="2017-03-31T00:00:00"/>
    <x v="0"/>
    <d v="2018-03-31T00:00:00"/>
    <x v="0"/>
    <s v="P"/>
    <m/>
    <m/>
    <n v="0"/>
    <m/>
    <n v="0"/>
    <m/>
    <n v="0"/>
    <n v="0"/>
    <n v="0"/>
    <n v="1"/>
    <n v="0"/>
    <n v="0"/>
    <n v="0"/>
    <n v="0"/>
    <n v="0"/>
    <n v="0"/>
    <n v="0"/>
    <n v="0"/>
    <n v="0"/>
    <n v="0"/>
    <n v="0"/>
    <n v="0"/>
    <n v="0"/>
    <n v="1"/>
    <n v="0"/>
    <n v="0"/>
    <n v="0"/>
    <n v="0"/>
    <n v="0"/>
    <n v="0"/>
    <n v="0"/>
    <n v="0"/>
    <n v="0"/>
    <n v="0"/>
    <s v="East"/>
    <x v="0"/>
    <x v="0"/>
    <x v="1"/>
    <x v="0"/>
    <x v="0"/>
    <x v="0"/>
    <m/>
    <x v="0"/>
    <s v="Y"/>
    <n v="1"/>
    <m/>
    <n v="1"/>
    <n v="0"/>
    <n v="0"/>
    <n v="0"/>
    <n v="0"/>
    <n v="0"/>
    <n v="0"/>
    <n v="0"/>
    <n v="0"/>
    <n v="0"/>
    <n v="0"/>
    <n v="0"/>
    <n v="0"/>
    <n v="0"/>
    <n v="0"/>
    <n v="0"/>
    <n v="0"/>
    <n v="0"/>
    <n v="0"/>
    <n v="0"/>
    <n v="0"/>
    <n v="0"/>
    <n v="0"/>
  </r>
  <r>
    <n v="449"/>
    <x v="0"/>
    <s v="2015/6177"/>
    <m/>
    <s v="17-19 Upper Tooting Road"/>
    <m/>
    <n v="527966"/>
    <n v="172285"/>
    <x v="3"/>
    <d v="2017-04-01T00:00:00"/>
    <d v="2018-03-31T00:00:00"/>
    <n v="0"/>
    <n v="1"/>
    <n v="1"/>
    <n v="1"/>
    <n v="1"/>
    <m/>
    <s v="Alterations in connection with the conversion of roofspace into one studio self contained flat including erection of roof extension to main rear roof and above part of back addition; increase in height of flue at the rear."/>
    <s v="PF"/>
    <d v="2015-11-04T00:00:00"/>
    <d v="2016-03-11T00:00:00"/>
    <x v="0"/>
    <s v="Nil"/>
    <m/>
    <s v="BF"/>
    <x v="2"/>
    <x v="0"/>
    <x v="3"/>
    <n v="3.0000000260770299E-3"/>
    <d v="2017-04-01T00:00:00"/>
    <x v="1"/>
    <d v="2018-03-31T00:00:00"/>
    <x v="0"/>
    <s v="P"/>
    <m/>
    <m/>
    <n v="0"/>
    <m/>
    <n v="0"/>
    <m/>
    <n v="1"/>
    <n v="0"/>
    <n v="0"/>
    <n v="0"/>
    <n v="0"/>
    <n v="0"/>
    <n v="0"/>
    <n v="1"/>
    <n v="0"/>
    <n v="0"/>
    <n v="0"/>
    <n v="0"/>
    <n v="0"/>
    <n v="0"/>
    <n v="0"/>
    <n v="0"/>
    <n v="0"/>
    <n v="0"/>
    <n v="0"/>
    <n v="0"/>
    <n v="0"/>
    <n v="0"/>
    <n v="0"/>
    <n v="0"/>
    <n v="0"/>
    <n v="0"/>
    <n v="0"/>
    <n v="0"/>
    <s v="East"/>
    <x v="0"/>
    <x v="0"/>
    <x v="1"/>
    <x v="0"/>
    <x v="0"/>
    <x v="0"/>
    <m/>
    <x v="0"/>
    <s v="Y"/>
    <n v="7"/>
    <m/>
    <n v="1"/>
    <n v="0"/>
    <n v="0"/>
    <n v="0"/>
    <n v="0"/>
    <n v="0"/>
    <n v="0"/>
    <n v="0"/>
    <n v="0"/>
    <n v="0"/>
    <n v="0"/>
    <n v="0"/>
    <n v="0"/>
    <n v="0"/>
    <n v="0"/>
    <n v="0"/>
    <n v="0"/>
    <n v="0"/>
    <n v="0"/>
    <n v="0"/>
    <n v="0"/>
    <n v="0"/>
    <n v="0"/>
  </r>
  <r>
    <n v="1183"/>
    <x v="0"/>
    <s v="2016/6874"/>
    <m/>
    <s v="66 West Hill"/>
    <m/>
    <n v="524979"/>
    <n v="174628"/>
    <x v="0"/>
    <d v="2017-07-01T00:00:00"/>
    <d v="2018-02-14T00:00:00"/>
    <n v="0"/>
    <n v="1"/>
    <n v="1"/>
    <n v="1"/>
    <n v="1"/>
    <m/>
    <s v="Determination as to whether prior approval is required for change of use from retail (Class A1) to 1 x 2-bedroom flat (Class C3)."/>
    <s v="PANR"/>
    <d v="2016-11-30T00:00:00"/>
    <d v="2017-01-17T00:00:00"/>
    <x v="0"/>
    <s v="Nil"/>
    <m/>
    <s v="BF"/>
    <x v="3"/>
    <x v="0"/>
    <x v="4"/>
    <n v="4.9999998882412902E-3"/>
    <d v="2017-07-01T00:00:00"/>
    <x v="1"/>
    <d v="2018-02-14T00:00:00"/>
    <x v="0"/>
    <s v="P"/>
    <m/>
    <m/>
    <n v="0"/>
    <m/>
    <n v="0"/>
    <m/>
    <n v="0"/>
    <n v="0"/>
    <n v="1"/>
    <n v="0"/>
    <n v="0"/>
    <n v="0"/>
    <n v="0"/>
    <n v="0"/>
    <n v="0"/>
    <n v="1"/>
    <n v="0"/>
    <n v="0"/>
    <n v="0"/>
    <n v="0"/>
    <n v="0"/>
    <n v="0"/>
    <n v="0"/>
    <n v="0"/>
    <n v="0"/>
    <n v="0"/>
    <n v="0"/>
    <n v="0"/>
    <n v="0"/>
    <n v="0"/>
    <n v="0"/>
    <n v="0"/>
    <n v="0"/>
    <n v="0"/>
    <s v="West"/>
    <x v="0"/>
    <x v="0"/>
    <x v="1"/>
    <x v="0"/>
    <x v="0"/>
    <x v="0"/>
    <m/>
    <x v="0"/>
    <s v="Y"/>
    <n v="7"/>
    <m/>
    <n v="1"/>
    <n v="0"/>
    <n v="0"/>
    <n v="0"/>
    <n v="0"/>
    <n v="0"/>
    <n v="0"/>
    <n v="0"/>
    <n v="0"/>
    <n v="0"/>
    <n v="0"/>
    <n v="0"/>
    <n v="0"/>
    <n v="0"/>
    <n v="0"/>
    <n v="0"/>
    <n v="0"/>
    <n v="0"/>
    <n v="0"/>
    <n v="0"/>
    <n v="0"/>
    <n v="0"/>
    <n v="0"/>
  </r>
  <r>
    <n v="1359"/>
    <x v="0"/>
    <s v="2017/6759"/>
    <s v="812c also known as 812d workshop"/>
    <s v="Coach house rear of, 812 Garratt Lane"/>
    <m/>
    <n v="526900"/>
    <n v="171788"/>
    <x v="4"/>
    <m/>
    <d v="2018-03-31T00:00:00"/>
    <n v="0"/>
    <n v="1"/>
    <n v="1"/>
    <n v="1"/>
    <n v="1"/>
    <m/>
    <s v="Change of use of ground floor from workshop/storage (B1/B8) to residential (C3) in connection with creation of 1 x 2-bedroom flat. Erection of single-storey rear extension and alterations to fenestration."/>
    <s v="PF"/>
    <d v="2017-12-20T00:00:00"/>
    <d v="2018-02-14T00:00:00"/>
    <x v="1"/>
    <s v="Nil"/>
    <m/>
    <s v="BF"/>
    <x v="4"/>
    <x v="0"/>
    <x v="5"/>
    <n v="6.0000000521540598E-3"/>
    <m/>
    <x v="0"/>
    <d v="2018-03-31T00:00:00"/>
    <x v="0"/>
    <s v="P"/>
    <m/>
    <m/>
    <n v="0"/>
    <m/>
    <n v="0"/>
    <m/>
    <n v="0"/>
    <n v="0"/>
    <n v="1"/>
    <n v="0"/>
    <n v="0"/>
    <n v="0"/>
    <n v="0"/>
    <n v="0"/>
    <n v="0"/>
    <n v="1"/>
    <n v="0"/>
    <n v="0"/>
    <n v="0"/>
    <n v="0"/>
    <n v="0"/>
    <n v="0"/>
    <n v="0"/>
    <n v="0"/>
    <n v="0"/>
    <n v="0"/>
    <n v="0"/>
    <n v="0"/>
    <n v="0"/>
    <n v="0"/>
    <n v="0"/>
    <n v="0"/>
    <n v="0"/>
    <n v="0"/>
    <s v="East"/>
    <x v="0"/>
    <x v="0"/>
    <x v="1"/>
    <x v="0"/>
    <x v="0"/>
    <x v="0"/>
    <m/>
    <x v="0"/>
    <s v="Y"/>
    <n v="7"/>
    <m/>
    <n v="1"/>
    <n v="0"/>
    <n v="0"/>
    <n v="0"/>
    <n v="0"/>
    <n v="0"/>
    <n v="0"/>
    <n v="0"/>
    <n v="0"/>
    <n v="0"/>
    <n v="0"/>
    <n v="0"/>
    <n v="0"/>
    <n v="0"/>
    <n v="0"/>
    <n v="0"/>
    <n v="0"/>
    <n v="0"/>
    <n v="0"/>
    <n v="0"/>
    <n v="0"/>
    <n v="0"/>
    <n v="0"/>
  </r>
  <r>
    <n v="1389"/>
    <x v="0"/>
    <s v="2017/4351"/>
    <m/>
    <s v="65 Battersea Bridge Road"/>
    <m/>
    <n v="527222"/>
    <n v="177053"/>
    <x v="1"/>
    <d v="2007-06-01T00:00:00"/>
    <d v="2017-11-16T00:00:00"/>
    <n v="0"/>
    <n v="1"/>
    <n v="1"/>
    <n v="1"/>
    <n v="1"/>
    <m/>
    <s v="Use of the lower ground and ground floor of the property as a 2-bedroom flat."/>
    <s v="LDC Exist"/>
    <d v="2017-09-21T00:00:00"/>
    <d v="2017-11-16T00:00:00"/>
    <x v="1"/>
    <s v="Nil"/>
    <m/>
    <s v="BF"/>
    <x v="3"/>
    <x v="0"/>
    <x v="5"/>
    <n v="3.0000000260770299E-3"/>
    <d v="2007-06-01T00:00:00"/>
    <x v="0"/>
    <d v="2017-11-16T00:00:00"/>
    <x v="0"/>
    <s v="P"/>
    <m/>
    <m/>
    <n v="0"/>
    <m/>
    <n v="0"/>
    <m/>
    <n v="0"/>
    <n v="0"/>
    <n v="1"/>
    <n v="0"/>
    <n v="0"/>
    <n v="0"/>
    <n v="0"/>
    <n v="0"/>
    <n v="0"/>
    <n v="1"/>
    <n v="0"/>
    <n v="0"/>
    <n v="0"/>
    <n v="0"/>
    <n v="0"/>
    <n v="0"/>
    <n v="0"/>
    <n v="0"/>
    <n v="0"/>
    <n v="0"/>
    <n v="0"/>
    <n v="0"/>
    <n v="0"/>
    <n v="0"/>
    <n v="0"/>
    <n v="0"/>
    <n v="0"/>
    <n v="0"/>
    <s v="East"/>
    <x v="0"/>
    <x v="0"/>
    <x v="1"/>
    <x v="0"/>
    <x v="0"/>
    <x v="0"/>
    <m/>
    <x v="0"/>
    <s v="Y"/>
    <n v="7"/>
    <m/>
    <n v="1"/>
    <n v="0"/>
    <n v="0"/>
    <n v="0"/>
    <n v="0"/>
    <n v="0"/>
    <n v="0"/>
    <n v="0"/>
    <n v="0"/>
    <n v="0"/>
    <n v="0"/>
    <n v="0"/>
    <n v="0"/>
    <n v="0"/>
    <n v="0"/>
    <n v="0"/>
    <n v="0"/>
    <n v="0"/>
    <n v="0"/>
    <n v="0"/>
    <n v="0"/>
    <n v="0"/>
    <n v="0"/>
  </r>
  <r>
    <n v="1502"/>
    <x v="0"/>
    <s v="2017/6647"/>
    <m/>
    <s v="30 Bushnell Road"/>
    <m/>
    <n v="528652"/>
    <n v="172479"/>
    <x v="3"/>
    <d v="2018-03-26T00:00:00"/>
    <d v="2018-03-31T00:00:00"/>
    <n v="1"/>
    <n v="1"/>
    <n v="0"/>
    <n v="1"/>
    <n v="0"/>
    <m/>
    <s v="Use of ground floor as day nursery/childcare (Class D1) with residential above (Class C3) for up to 9 children between 07:30am to 18:30pm Mondays to Fridays."/>
    <s v="PF"/>
    <d v="2017-12-11T00:00:00"/>
    <d v="2018-03-26T00:00:00"/>
    <x v="1"/>
    <s v="Nil"/>
    <m/>
    <s v="BF"/>
    <x v="3"/>
    <x v="0"/>
    <x v="6"/>
    <n v="2.3000000044703501E-2"/>
    <d v="2018-03-26T00:00:00"/>
    <x v="1"/>
    <d v="2018-03-31T00:00:00"/>
    <x v="0"/>
    <s v="P"/>
    <m/>
    <m/>
    <n v="0"/>
    <m/>
    <n v="0"/>
    <m/>
    <n v="0"/>
    <n v="0"/>
    <n v="0"/>
    <n v="0"/>
    <n v="0"/>
    <n v="0"/>
    <n v="0"/>
    <n v="0"/>
    <n v="0"/>
    <n v="0"/>
    <n v="0"/>
    <n v="0"/>
    <n v="0"/>
    <n v="0"/>
    <n v="0"/>
    <n v="0"/>
    <n v="0"/>
    <n v="0"/>
    <n v="0"/>
    <n v="0"/>
    <n v="0"/>
    <n v="0"/>
    <n v="0"/>
    <n v="0"/>
    <n v="0"/>
    <n v="0"/>
    <n v="0"/>
    <n v="0"/>
    <s v="East"/>
    <x v="0"/>
    <x v="0"/>
    <x v="1"/>
    <x v="0"/>
    <x v="0"/>
    <x v="0"/>
    <m/>
    <x v="0"/>
    <s v="Y"/>
    <n v="7"/>
    <m/>
    <n v="0"/>
    <n v="0"/>
    <n v="0"/>
    <n v="0"/>
    <n v="0"/>
    <n v="0"/>
    <n v="0"/>
    <n v="0"/>
    <n v="0"/>
    <n v="0"/>
    <n v="0"/>
    <n v="0"/>
    <n v="0"/>
    <n v="0"/>
    <n v="0"/>
    <n v="0"/>
    <n v="0"/>
    <n v="0"/>
    <n v="0"/>
    <n v="0"/>
    <n v="0"/>
    <n v="0"/>
    <n v="0"/>
  </r>
  <r>
    <n v="1583"/>
    <x v="0"/>
    <s v="2013/6634"/>
    <m/>
    <s v="Old Garden House, The Lanterns, Bridge Lane"/>
    <m/>
    <n v="527339"/>
    <n v="176604"/>
    <x v="1"/>
    <d v="2016-04-18T00:00:00"/>
    <d v="2018-01-24T00:00:00"/>
    <n v="0"/>
    <n v="3"/>
    <n v="3"/>
    <n v="3"/>
    <n v="3"/>
    <m/>
    <s v="Alteration to reduce number of approved flats from 8 to 3 houses involving internal changes only."/>
    <s v="PF"/>
    <d v="2014-03-17T00:00:00"/>
    <d v="2014-05-19T00:00:00"/>
    <x v="0"/>
    <s v="Nil"/>
    <m/>
    <s v="BF"/>
    <x v="1"/>
    <x v="0"/>
    <x v="7"/>
    <n v="3.20000015199184E-2"/>
    <d v="2016-04-18T00:00:00"/>
    <x v="0"/>
    <d v="2018-01-24T00:00:00"/>
    <x v="0"/>
    <s v="P"/>
    <m/>
    <m/>
    <n v="0"/>
    <m/>
    <n v="0"/>
    <m/>
    <n v="0"/>
    <n v="0"/>
    <n v="0"/>
    <n v="1"/>
    <n v="2"/>
    <n v="0"/>
    <n v="0"/>
    <n v="0"/>
    <n v="0"/>
    <n v="0"/>
    <n v="0"/>
    <n v="0"/>
    <n v="0"/>
    <n v="0"/>
    <n v="0"/>
    <n v="0"/>
    <n v="0"/>
    <n v="1"/>
    <n v="2"/>
    <n v="0"/>
    <n v="0"/>
    <n v="0"/>
    <n v="0"/>
    <n v="0"/>
    <n v="0"/>
    <n v="0"/>
    <n v="0"/>
    <n v="0"/>
    <s v="East"/>
    <x v="0"/>
    <x v="0"/>
    <x v="1"/>
    <x v="0"/>
    <x v="0"/>
    <x v="0"/>
    <m/>
    <x v="0"/>
    <s v="Y"/>
    <n v="7"/>
    <m/>
    <n v="3"/>
    <n v="0"/>
    <n v="0"/>
    <n v="0"/>
    <n v="0"/>
    <n v="0"/>
    <n v="0"/>
    <n v="0"/>
    <n v="0"/>
    <n v="0"/>
    <n v="0"/>
    <n v="0"/>
    <n v="0"/>
    <n v="0"/>
    <n v="0"/>
    <n v="0"/>
    <n v="0"/>
    <n v="0"/>
    <n v="0"/>
    <n v="0"/>
    <n v="0"/>
    <n v="0"/>
    <n v="0"/>
  </r>
  <r>
    <n v="1647"/>
    <x v="0"/>
    <s v="2014/2300"/>
    <m/>
    <s v="63 Franciscan Road"/>
    <m/>
    <n v="528445"/>
    <n v="171853"/>
    <x v="3"/>
    <d v="2016-10-25T00:00:00"/>
    <d v="2017-10-05T00:00:00"/>
    <n v="1"/>
    <n v="3"/>
    <n v="2"/>
    <n v="3"/>
    <n v="2"/>
    <m/>
    <s v="Conversion of house to 3 flats (1 x 3 bed, 1 x 2-bed, 1 x 1-bed) including erection of single and two-storey rear extensions (including French doors and balustrade) and erection of rear mansard roof extension."/>
    <s v="PF"/>
    <d v="2014-05-07T00:00:00"/>
    <d v="2014-09-18T00:00:00"/>
    <x v="0"/>
    <s v="Nil"/>
    <m/>
    <s v="BF"/>
    <x v="4"/>
    <x v="0"/>
    <x v="8"/>
    <n v="1.4000000432133701E-2"/>
    <d v="2016-10-25T00:00:00"/>
    <x v="0"/>
    <d v="2017-10-05T00:00:00"/>
    <x v="0"/>
    <s v="P"/>
    <m/>
    <m/>
    <n v="0"/>
    <m/>
    <n v="0"/>
    <m/>
    <n v="0"/>
    <n v="1"/>
    <n v="1"/>
    <n v="1"/>
    <n v="-1"/>
    <n v="0"/>
    <n v="0"/>
    <n v="0"/>
    <n v="1"/>
    <n v="1"/>
    <n v="1"/>
    <n v="0"/>
    <n v="0"/>
    <n v="0"/>
    <n v="0"/>
    <n v="0"/>
    <n v="0"/>
    <n v="0"/>
    <n v="-1"/>
    <n v="0"/>
    <n v="0"/>
    <n v="0"/>
    <n v="0"/>
    <n v="0"/>
    <n v="0"/>
    <n v="0"/>
    <n v="0"/>
    <n v="0"/>
    <s v="East"/>
    <x v="0"/>
    <x v="0"/>
    <x v="1"/>
    <x v="0"/>
    <x v="0"/>
    <x v="0"/>
    <m/>
    <x v="0"/>
    <s v="Y"/>
    <n v="7"/>
    <m/>
    <n v="2"/>
    <n v="0"/>
    <n v="0"/>
    <n v="0"/>
    <n v="0"/>
    <n v="0"/>
    <n v="0"/>
    <n v="0"/>
    <n v="0"/>
    <n v="0"/>
    <n v="0"/>
    <n v="0"/>
    <n v="0"/>
    <n v="0"/>
    <n v="0"/>
    <n v="0"/>
    <n v="0"/>
    <n v="0"/>
    <n v="0"/>
    <n v="0"/>
    <n v="0"/>
    <n v="0"/>
    <n v="0"/>
  </r>
  <r>
    <n v="1667"/>
    <x v="0"/>
    <s v="2017/2851"/>
    <m/>
    <s v="122a Plough Road"/>
    <m/>
    <n v="526823"/>
    <n v="175309"/>
    <x v="0"/>
    <d v="2005-06-04T00:00:00"/>
    <d v="2017-08-16T00:00:00"/>
    <n v="0"/>
    <n v="1"/>
    <n v="1"/>
    <n v="1"/>
    <n v="1"/>
    <m/>
    <s v="Use as residential unit (Class C3)."/>
    <s v="LDC Prop"/>
    <d v="2017-06-21T00:00:00"/>
    <d v="2017-08-16T00:00:00"/>
    <x v="1"/>
    <s v="Nil"/>
    <m/>
    <s v="BF"/>
    <x v="3"/>
    <x v="0"/>
    <x v="4"/>
    <n v="4.0000001899898104E-3"/>
    <d v="2005-06-04T00:00:00"/>
    <x v="0"/>
    <d v="2017-08-16T00:00:00"/>
    <x v="0"/>
    <s v="P"/>
    <m/>
    <m/>
    <n v="0"/>
    <m/>
    <n v="0"/>
    <m/>
    <n v="0"/>
    <n v="0"/>
    <n v="1"/>
    <n v="0"/>
    <n v="0"/>
    <n v="0"/>
    <n v="0"/>
    <n v="0"/>
    <n v="0"/>
    <n v="1"/>
    <n v="0"/>
    <n v="0"/>
    <n v="0"/>
    <n v="0"/>
    <n v="0"/>
    <n v="0"/>
    <n v="0"/>
    <n v="0"/>
    <n v="0"/>
    <n v="0"/>
    <n v="0"/>
    <n v="0"/>
    <n v="0"/>
    <n v="0"/>
    <n v="0"/>
    <n v="0"/>
    <n v="0"/>
    <n v="0"/>
    <s v="West"/>
    <x v="0"/>
    <x v="0"/>
    <x v="1"/>
    <x v="0"/>
    <x v="0"/>
    <x v="0"/>
    <m/>
    <x v="0"/>
    <s v="Y"/>
    <n v="7"/>
    <m/>
    <n v="1"/>
    <n v="0"/>
    <n v="0"/>
    <n v="0"/>
    <n v="0"/>
    <n v="0"/>
    <n v="0"/>
    <n v="0"/>
    <n v="0"/>
    <n v="0"/>
    <n v="0"/>
    <n v="0"/>
    <n v="0"/>
    <n v="0"/>
    <n v="0"/>
    <n v="0"/>
    <n v="0"/>
    <n v="0"/>
    <n v="0"/>
    <n v="0"/>
    <n v="0"/>
    <n v="0"/>
    <n v="0"/>
  </r>
  <r>
    <n v="1815"/>
    <x v="0"/>
    <s v="2014/4951"/>
    <s v="Flats 1-8"/>
    <s v="Previous Somers Arms P H - The Optic, 2a Rochelle Close"/>
    <m/>
    <n v="526506"/>
    <n v="175214"/>
    <x v="0"/>
    <d v="2017-04-01T00:00:00"/>
    <d v="2018-03-31T00:00:00"/>
    <n v="0"/>
    <n v="1"/>
    <n v="1"/>
    <n v="1"/>
    <n v="1"/>
    <m/>
    <s v="Erection of roof extension to provide 1x2bedroom flat with roof terrace."/>
    <s v="PF"/>
    <d v="2014-10-29T00:00:00"/>
    <d v="2015-02-19T00:00:00"/>
    <x v="0"/>
    <s v="Nil"/>
    <m/>
    <s v="BF"/>
    <x v="0"/>
    <x v="0"/>
    <x v="0"/>
    <n v="7.0000002160668399E-3"/>
    <d v="2017-04-01T00:00:00"/>
    <x v="1"/>
    <d v="2018-03-31T00:00:00"/>
    <x v="0"/>
    <s v="P"/>
    <m/>
    <m/>
    <n v="0"/>
    <m/>
    <n v="0"/>
    <m/>
    <n v="0"/>
    <n v="0"/>
    <n v="1"/>
    <n v="0"/>
    <n v="0"/>
    <n v="0"/>
    <n v="0"/>
    <n v="0"/>
    <n v="0"/>
    <n v="1"/>
    <n v="0"/>
    <n v="0"/>
    <n v="0"/>
    <n v="0"/>
    <n v="0"/>
    <n v="0"/>
    <n v="0"/>
    <n v="0"/>
    <n v="0"/>
    <n v="0"/>
    <n v="0"/>
    <n v="0"/>
    <n v="0"/>
    <n v="0"/>
    <n v="0"/>
    <n v="0"/>
    <n v="0"/>
    <n v="0"/>
    <s v="West"/>
    <x v="0"/>
    <x v="0"/>
    <x v="1"/>
    <x v="0"/>
    <x v="0"/>
    <x v="0"/>
    <m/>
    <x v="0"/>
    <s v="Y"/>
    <n v="1"/>
    <m/>
    <n v="1"/>
    <n v="0"/>
    <n v="0"/>
    <n v="0"/>
    <n v="0"/>
    <n v="0"/>
    <n v="0"/>
    <n v="0"/>
    <n v="0"/>
    <n v="0"/>
    <n v="0"/>
    <n v="0"/>
    <n v="0"/>
    <n v="0"/>
    <n v="0"/>
    <n v="0"/>
    <n v="0"/>
    <n v="0"/>
    <n v="0"/>
    <n v="0"/>
    <n v="0"/>
    <n v="0"/>
    <n v="0"/>
  </r>
  <r>
    <n v="2097"/>
    <x v="0"/>
    <s v="2016/3569"/>
    <s v="1-14 Priscilla Court, 145"/>
    <s v="143-149 Merton Road"/>
    <m/>
    <n v="525308"/>
    <n v="173997"/>
    <x v="5"/>
    <d v="2016-06-17T00:00:00"/>
    <d v="2017-07-20T00:00:00"/>
    <n v="0"/>
    <n v="2"/>
    <n v="2"/>
    <n v="2"/>
    <n v="2"/>
    <m/>
    <s v="Minor material amendment to planning permission 2014/6409 dated 23/03/2015 (Conversion of an unused ground floor commercial unit (A2) to form 2 self-contained, shared ownership flats. Alterations including terraces, windows and doors.) to allow the removal of step/kink in new external wall along Merton Road and Avening Terrace elevation so that it now follows the line of the existing concrete plinth originally intended for commercial unit glazing;  Proposed external area now amended to be 2 No. private amenity spaces, rather than the communal facility; New external doors/windows types and swings amended to suit floor layouts;  Internal layout nominally amended to suit LTH criteria."/>
    <s v="S73"/>
    <d v="2016-06-20T00:00:00"/>
    <d v="2016-08-15T00:00:00"/>
    <x v="0"/>
    <s v="Nil"/>
    <m/>
    <s v="BF"/>
    <x v="3"/>
    <x v="0"/>
    <x v="9"/>
    <n v="1.7999999225139601E-2"/>
    <d v="2016-06-17T00:00:00"/>
    <x v="0"/>
    <d v="2017-07-20T00:00:00"/>
    <x v="1"/>
    <s v="HASO"/>
    <m/>
    <m/>
    <n v="0"/>
    <m/>
    <n v="0"/>
    <m/>
    <n v="0"/>
    <n v="1"/>
    <n v="1"/>
    <n v="0"/>
    <n v="0"/>
    <n v="0"/>
    <n v="0"/>
    <n v="0"/>
    <n v="1"/>
    <n v="1"/>
    <n v="0"/>
    <n v="0"/>
    <n v="0"/>
    <n v="0"/>
    <n v="0"/>
    <n v="0"/>
    <n v="0"/>
    <n v="0"/>
    <n v="0"/>
    <n v="0"/>
    <n v="0"/>
    <n v="0"/>
    <n v="0"/>
    <n v="0"/>
    <n v="0"/>
    <n v="0"/>
    <n v="0"/>
    <n v="0"/>
    <s v="West"/>
    <x v="0"/>
    <x v="0"/>
    <x v="1"/>
    <x v="0"/>
    <x v="0"/>
    <x v="0"/>
    <m/>
    <x v="0"/>
    <s v="Y"/>
    <n v="7"/>
    <m/>
    <n v="2"/>
    <n v="0"/>
    <n v="0"/>
    <n v="0"/>
    <n v="0"/>
    <n v="0"/>
    <n v="0"/>
    <n v="0"/>
    <n v="0"/>
    <n v="0"/>
    <n v="0"/>
    <n v="0"/>
    <n v="0"/>
    <n v="0"/>
    <n v="0"/>
    <n v="0"/>
    <n v="0"/>
    <n v="0"/>
    <n v="0"/>
    <n v="0"/>
    <n v="0"/>
    <n v="0"/>
    <n v="0"/>
  </r>
  <r>
    <n v="2217"/>
    <x v="0"/>
    <s v="2016/6490"/>
    <m/>
    <s v="1-3 Corunna Road"/>
    <m/>
    <n v="529351"/>
    <n v="176948"/>
    <x v="6"/>
    <d v="2017-03-31T00:00:00"/>
    <d v="2018-03-31T00:00:00"/>
    <n v="0"/>
    <n v="1"/>
    <n v="1"/>
    <n v="1"/>
    <n v="1"/>
    <m/>
    <s v="construction of an additional storey to create 1 x 1 bedroom apartment with associated refuse, recycling and cycle facilities"/>
    <s v="PF"/>
    <d v="2016-11-04T00:00:00"/>
    <d v="2016-12-09T00:00:00"/>
    <x v="0"/>
    <s v="Nil"/>
    <m/>
    <s v="BF"/>
    <x v="2"/>
    <x v="0"/>
    <x v="3"/>
    <n v="4.0000001899898104E-3"/>
    <d v="2017-03-31T00:00:00"/>
    <x v="0"/>
    <d v="2018-03-31T00:00:00"/>
    <x v="0"/>
    <s v="P"/>
    <m/>
    <m/>
    <n v="0"/>
    <m/>
    <n v="0"/>
    <m/>
    <n v="0"/>
    <n v="1"/>
    <n v="0"/>
    <n v="0"/>
    <n v="0"/>
    <n v="0"/>
    <n v="0"/>
    <n v="0"/>
    <n v="1"/>
    <n v="0"/>
    <n v="0"/>
    <n v="0"/>
    <n v="0"/>
    <n v="0"/>
    <n v="0"/>
    <n v="0"/>
    <n v="0"/>
    <n v="0"/>
    <n v="0"/>
    <n v="0"/>
    <n v="0"/>
    <n v="0"/>
    <n v="0"/>
    <n v="0"/>
    <n v="0"/>
    <n v="0"/>
    <n v="0"/>
    <n v="0"/>
    <s v="Strategic Planning/Nine Elms"/>
    <x v="0"/>
    <x v="1"/>
    <x v="1"/>
    <x v="0"/>
    <x v="0"/>
    <x v="0"/>
    <m/>
    <x v="0"/>
    <s v="Y"/>
    <n v="7"/>
    <m/>
    <n v="1"/>
    <n v="0"/>
    <n v="0"/>
    <n v="0"/>
    <n v="0"/>
    <n v="0"/>
    <n v="0"/>
    <n v="0"/>
    <n v="0"/>
    <n v="0"/>
    <n v="0"/>
    <n v="0"/>
    <n v="0"/>
    <n v="0"/>
    <n v="0"/>
    <n v="0"/>
    <n v="0"/>
    <n v="0"/>
    <n v="0"/>
    <n v="0"/>
    <n v="0"/>
    <n v="0"/>
    <n v="0"/>
  </r>
  <r>
    <n v="2230"/>
    <x v="0"/>
    <s v="2014/6765"/>
    <m/>
    <s v="1a Colinette Road"/>
    <m/>
    <n v="523081"/>
    <n v="175252"/>
    <x v="7"/>
    <d v="2015-08-17T00:00:00"/>
    <d v="2017-11-15T00:00:00"/>
    <n v="0"/>
    <n v="4"/>
    <n v="4"/>
    <n v="4"/>
    <n v="4"/>
    <m/>
    <s v="Demolition of existing building and erection of four dwelling houses with associated parking."/>
    <s v="PF"/>
    <d v="2014-11-27T00:00:00"/>
    <d v="2015-02-19T00:00:00"/>
    <x v="0"/>
    <s v="Nil"/>
    <m/>
    <s v="BF"/>
    <x v="0"/>
    <x v="0"/>
    <x v="0"/>
    <n v="7.5999997556209606E-2"/>
    <d v="2015-08-17T00:00:00"/>
    <x v="0"/>
    <d v="2017-11-15T00:00:00"/>
    <x v="0"/>
    <s v="P"/>
    <m/>
    <m/>
    <n v="0"/>
    <m/>
    <n v="0"/>
    <m/>
    <n v="0"/>
    <n v="0"/>
    <n v="0"/>
    <n v="2"/>
    <n v="2"/>
    <n v="0"/>
    <n v="0"/>
    <n v="0"/>
    <n v="0"/>
    <n v="0"/>
    <n v="0"/>
    <n v="0"/>
    <n v="0"/>
    <n v="0"/>
    <n v="0"/>
    <n v="0"/>
    <n v="0"/>
    <n v="2"/>
    <n v="2"/>
    <n v="0"/>
    <n v="0"/>
    <n v="0"/>
    <n v="0"/>
    <n v="0"/>
    <n v="0"/>
    <n v="0"/>
    <n v="0"/>
    <n v="0"/>
    <s v="West"/>
    <x v="0"/>
    <x v="0"/>
    <x v="1"/>
    <x v="0"/>
    <x v="0"/>
    <x v="0"/>
    <m/>
    <x v="0"/>
    <s v="Y"/>
    <n v="1"/>
    <m/>
    <n v="4"/>
    <n v="0"/>
    <n v="0"/>
    <n v="0"/>
    <n v="0"/>
    <n v="0"/>
    <n v="0"/>
    <n v="0"/>
    <n v="0"/>
    <n v="0"/>
    <n v="0"/>
    <n v="0"/>
    <n v="0"/>
    <n v="0"/>
    <n v="0"/>
    <n v="0"/>
    <n v="0"/>
    <n v="0"/>
    <n v="0"/>
    <n v="0"/>
    <n v="0"/>
    <n v="0"/>
    <n v="0"/>
  </r>
  <r>
    <n v="2302"/>
    <x v="0"/>
    <s v="2007/5659"/>
    <m/>
    <s v="204 Mitcham Road"/>
    <m/>
    <n v="527958"/>
    <n v="170935"/>
    <x v="8"/>
    <d v="2017-03-31T00:00:00"/>
    <d v="2018-03-31T00:00:00"/>
    <n v="6"/>
    <n v="11"/>
    <n v="5"/>
    <n v="11"/>
    <n v="5"/>
    <s v="Y"/>
    <s v="The redevelopment of the site by the erection of a three/four storey building to provide 2 units (A1-A5 use) at ground and basement with 10 flats above, and the erection of a separate building over the rear access with Byton Road to provide a maisonette."/>
    <s v="PF"/>
    <d v="2007-10-27T00:00:00"/>
    <d v="2008-03-20T00:00:00"/>
    <x v="0"/>
    <s v="Nil"/>
    <m/>
    <s v="BF"/>
    <x v="0"/>
    <x v="1"/>
    <x v="1"/>
    <n v="4.6999998390674598E-2"/>
    <d v="2017-03-31T00:00:00"/>
    <x v="0"/>
    <d v="2018-03-31T00:00:00"/>
    <x v="0"/>
    <s v="P"/>
    <m/>
    <m/>
    <m/>
    <m/>
    <m/>
    <m/>
    <n v="0"/>
    <n v="5"/>
    <n v="1"/>
    <n v="-1"/>
    <n v="0"/>
    <n v="0"/>
    <n v="0"/>
    <n v="0"/>
    <n v="5"/>
    <n v="1"/>
    <n v="-1"/>
    <n v="0"/>
    <n v="0"/>
    <n v="0"/>
    <n v="0"/>
    <n v="0"/>
    <n v="0"/>
    <n v="0"/>
    <n v="0"/>
    <n v="0"/>
    <n v="0"/>
    <n v="0"/>
    <n v="0"/>
    <n v="0"/>
    <n v="0"/>
    <n v="0"/>
    <n v="0"/>
    <n v="0"/>
    <s v="East"/>
    <x v="0"/>
    <x v="0"/>
    <x v="1"/>
    <x v="0"/>
    <x v="0"/>
    <x v="0"/>
    <m/>
    <x v="0"/>
    <s v="Y"/>
    <n v="1"/>
    <m/>
    <n v="5"/>
    <n v="0"/>
    <n v="0"/>
    <n v="0"/>
    <n v="0"/>
    <n v="0"/>
    <n v="0"/>
    <n v="0"/>
    <n v="0"/>
    <n v="0"/>
    <n v="0"/>
    <n v="0"/>
    <n v="0"/>
    <n v="0"/>
    <n v="0"/>
    <n v="0"/>
    <n v="0"/>
    <n v="0"/>
    <n v="0"/>
    <n v="0"/>
    <n v="0"/>
    <n v="0"/>
    <n v="0"/>
  </r>
  <r>
    <n v="2411"/>
    <x v="0"/>
    <s v="2016/5098"/>
    <s v="Battersea Power Station"/>
    <s v="South Lambeth Goods Depot, Cringle St./Battersea Park Rd., Kirtling Street"/>
    <s v="Phase 1 (RS-1) Remaining"/>
    <n v="528934"/>
    <n v="177496"/>
    <x v="6"/>
    <d v="2013-11-21T00:00:00"/>
    <d v="2018-03-31T00:00:00"/>
    <n v="0"/>
    <n v="593"/>
    <n v="593"/>
    <n v="865"/>
    <n v="865"/>
    <s v="Y"/>
    <s v="Details of the scale of the buildings and structures, external appearance of those buildings and structures including facing materials, and landscaping (Condition 3) in relation to Phase 1 (Development Zone RS-1) of the Battersea Power Station development of outline planning permission dated 23rd August 2011 (ref.2009/3575) for restoration, extension, alterations and conversion of the Power Station building and demolition of other buildings and development of the land surrounding the Power Station to provide a mix of uses and open space and landscaping works. (The application consists of a partial resubmission of reserved matters relating to Phase 1 as approved 20/12/12 (ref. 2012/4584), 08/05/13 (ref. 2013/1192), 20/12/13 (ref. 2013/4229) and 02/11/2015 (ref. 2015/2320) (and also constitutes a consolidation of decision notices in relation to Phase 1 Reserve Matters)"/>
    <s v="DT"/>
    <d v="2016-10-11T00:00:00"/>
    <d v="2016-11-08T00:00:00"/>
    <x v="0"/>
    <s v="Nil"/>
    <m/>
    <s v="BF"/>
    <x v="0"/>
    <x v="1"/>
    <x v="1"/>
    <n v="0.82099999999999995"/>
    <d v="2013-11-21T00:00:00"/>
    <x v="0"/>
    <d v="2018-03-31T00:00:00"/>
    <x v="0"/>
    <s v="P"/>
    <s v="2.1.1"/>
    <m/>
    <n v="593"/>
    <m/>
    <n v="59"/>
    <m/>
    <n v="85"/>
    <n v="164"/>
    <n v="294"/>
    <n v="35"/>
    <n v="15"/>
    <n v="0"/>
    <n v="0"/>
    <n v="85"/>
    <n v="164"/>
    <n v="294"/>
    <n v="35"/>
    <n v="15"/>
    <n v="0"/>
    <n v="0"/>
    <n v="0"/>
    <n v="0"/>
    <n v="0"/>
    <n v="0"/>
    <n v="0"/>
    <n v="0"/>
    <n v="0"/>
    <n v="0"/>
    <n v="0"/>
    <n v="0"/>
    <n v="0"/>
    <n v="0"/>
    <n v="0"/>
    <n v="0"/>
    <s v="Strategic Planning/Nine Elms"/>
    <x v="0"/>
    <x v="1"/>
    <x v="1"/>
    <x v="0"/>
    <x v="0"/>
    <x v="0"/>
    <m/>
    <x v="0"/>
    <s v="Y"/>
    <n v="1"/>
    <m/>
    <n v="593"/>
    <n v="0"/>
    <n v="0"/>
    <n v="0"/>
    <n v="0"/>
    <n v="0"/>
    <n v="0"/>
    <n v="0"/>
    <n v="0"/>
    <n v="0"/>
    <n v="0"/>
    <n v="0"/>
    <n v="0"/>
    <n v="0"/>
    <n v="0"/>
    <n v="0"/>
    <n v="0"/>
    <n v="0"/>
    <n v="0"/>
    <n v="0"/>
    <n v="0"/>
    <n v="0"/>
    <n v="0"/>
  </r>
  <r>
    <n v="2417"/>
    <x v="0"/>
    <s v="2007/1256"/>
    <m/>
    <s v="18 Winders Road"/>
    <m/>
    <n v="527141"/>
    <n v="176309"/>
    <x v="1"/>
    <d v="2015-09-24T00:00:00"/>
    <d v="2017-05-24T00:00:00"/>
    <n v="0"/>
    <n v="1"/>
    <n v="1"/>
    <n v="1"/>
    <n v="1"/>
    <m/>
    <s v="Erection of a house providing accommodation at basement, ground and first floor. (Amendment to planning permission Reference 2006/2744)."/>
    <s v="PF"/>
    <d v="2007-03-26T00:00:00"/>
    <d v="2007-05-21T00:00:00"/>
    <x v="0"/>
    <s v="Nil"/>
    <m/>
    <s v="BF"/>
    <x v="0"/>
    <x v="0"/>
    <x v="0"/>
    <n v="8.9999996125698107E-3"/>
    <d v="2015-09-24T00:00:00"/>
    <x v="0"/>
    <d v="2017-05-24T00:00:00"/>
    <x v="0"/>
    <s v="P"/>
    <m/>
    <m/>
    <m/>
    <m/>
    <m/>
    <m/>
    <n v="0"/>
    <n v="0"/>
    <n v="1"/>
    <n v="0"/>
    <n v="0"/>
    <n v="0"/>
    <n v="0"/>
    <n v="0"/>
    <n v="0"/>
    <n v="0"/>
    <n v="0"/>
    <n v="0"/>
    <n v="0"/>
    <n v="0"/>
    <n v="0"/>
    <n v="0"/>
    <n v="1"/>
    <n v="0"/>
    <n v="0"/>
    <n v="0"/>
    <n v="0"/>
    <n v="0"/>
    <n v="0"/>
    <n v="0"/>
    <n v="0"/>
    <n v="0"/>
    <n v="0"/>
    <n v="0"/>
    <s v="East"/>
    <x v="0"/>
    <x v="0"/>
    <x v="1"/>
    <x v="0"/>
    <x v="0"/>
    <x v="0"/>
    <m/>
    <x v="0"/>
    <s v="Y"/>
    <n v="1"/>
    <m/>
    <n v="1"/>
    <n v="0"/>
    <n v="0"/>
    <n v="0"/>
    <n v="0"/>
    <n v="0"/>
    <n v="0"/>
    <n v="0"/>
    <n v="0"/>
    <n v="0"/>
    <n v="0"/>
    <n v="0"/>
    <n v="0"/>
    <n v="0"/>
    <n v="0"/>
    <n v="0"/>
    <n v="0"/>
    <n v="0"/>
    <n v="0"/>
    <n v="0"/>
    <n v="0"/>
    <n v="0"/>
    <n v="0"/>
  </r>
  <r>
    <n v="2759"/>
    <x v="0"/>
    <s v="2015/4775"/>
    <m/>
    <s v="26 Tooting High Street"/>
    <m/>
    <n v="527493"/>
    <n v="171577"/>
    <x v="4"/>
    <d v="2016-04-27T00:00:00"/>
    <d v="2018-03-31T00:00:00"/>
    <n v="1"/>
    <n v="3"/>
    <n v="2"/>
    <n v="3"/>
    <n v="2"/>
    <m/>
    <s v="Alterations including erection of 3-storey rear extension and formation of roof terraces with 1.7m safety balustrade at first and second floor levels; creation of new entrances to flats along side elevation in connection with use of upper floors into 3 x 1 bedroom flats."/>
    <s v="PF"/>
    <d v="2015-08-26T00:00:00"/>
    <d v="2016-01-25T00:00:00"/>
    <x v="0"/>
    <s v="Nil"/>
    <m/>
    <s v="BF"/>
    <x v="4"/>
    <x v="0"/>
    <x v="10"/>
    <n v="7.0000002160668399E-3"/>
    <d v="2016-04-27T00:00:00"/>
    <x v="0"/>
    <d v="2018-03-31T00:00:00"/>
    <x v="0"/>
    <s v="P"/>
    <m/>
    <m/>
    <n v="0"/>
    <m/>
    <n v="0"/>
    <m/>
    <n v="0"/>
    <n v="3"/>
    <n v="0"/>
    <n v="0"/>
    <n v="-1"/>
    <n v="0"/>
    <n v="0"/>
    <n v="0"/>
    <n v="3"/>
    <n v="0"/>
    <n v="0"/>
    <n v="-1"/>
    <n v="0"/>
    <n v="0"/>
    <n v="0"/>
    <n v="0"/>
    <n v="0"/>
    <n v="0"/>
    <n v="0"/>
    <n v="0"/>
    <n v="0"/>
    <n v="0"/>
    <n v="0"/>
    <n v="0"/>
    <n v="0"/>
    <n v="0"/>
    <n v="0"/>
    <n v="0"/>
    <s v="East"/>
    <x v="1"/>
    <x v="0"/>
    <x v="1"/>
    <x v="0"/>
    <x v="0"/>
    <x v="0"/>
    <m/>
    <x v="0"/>
    <s v="Y"/>
    <n v="7"/>
    <m/>
    <n v="2"/>
    <n v="0"/>
    <n v="0"/>
    <n v="0"/>
    <n v="0"/>
    <n v="0"/>
    <n v="0"/>
    <n v="0"/>
    <n v="0"/>
    <n v="0"/>
    <n v="0"/>
    <n v="0"/>
    <n v="0"/>
    <n v="0"/>
    <n v="0"/>
    <n v="0"/>
    <n v="0"/>
    <n v="0"/>
    <n v="0"/>
    <n v="0"/>
    <n v="0"/>
    <n v="0"/>
    <n v="0"/>
  </r>
  <r>
    <n v="2881"/>
    <x v="0"/>
    <s v="2016/4722"/>
    <m/>
    <s v="132 The Studio Nightingale Lane, 1 Bolingbroke Grove"/>
    <m/>
    <n v="527732"/>
    <n v="173776"/>
    <x v="9"/>
    <d v="2017-11-10T00:00:00"/>
    <d v="2018-03-31T00:00:00"/>
    <n v="0"/>
    <n v="1"/>
    <n v="1"/>
    <n v="1"/>
    <n v="1"/>
    <m/>
    <s v="Use of ancillary residential building as a self contained dwelling (retrospective)"/>
    <s v="RP"/>
    <d v="2016-10-11T00:00:00"/>
    <d v="2017-02-27T00:00:00"/>
    <x v="1"/>
    <s v="APG"/>
    <d v="2017-11-09T00:00:00"/>
    <s v="BF"/>
    <x v="1"/>
    <x v="0"/>
    <x v="11"/>
    <n v="6.0000000521540598E-3"/>
    <d v="2017-11-10T00:00:00"/>
    <x v="1"/>
    <d v="2018-03-31T00:00:00"/>
    <x v="0"/>
    <s v="P"/>
    <m/>
    <m/>
    <n v="0"/>
    <m/>
    <n v="0"/>
    <m/>
    <n v="0"/>
    <n v="1"/>
    <n v="0"/>
    <n v="0"/>
    <n v="0"/>
    <n v="0"/>
    <n v="0"/>
    <n v="0"/>
    <n v="0"/>
    <n v="0"/>
    <n v="0"/>
    <n v="0"/>
    <n v="0"/>
    <n v="0"/>
    <n v="0"/>
    <n v="1"/>
    <n v="0"/>
    <n v="0"/>
    <n v="0"/>
    <n v="0"/>
    <n v="0"/>
    <n v="0"/>
    <n v="0"/>
    <n v="0"/>
    <n v="0"/>
    <n v="0"/>
    <n v="0"/>
    <n v="0"/>
    <s v="East"/>
    <x v="0"/>
    <x v="0"/>
    <x v="1"/>
    <x v="0"/>
    <x v="0"/>
    <x v="0"/>
    <m/>
    <x v="0"/>
    <s v="Y"/>
    <n v="7"/>
    <m/>
    <n v="1"/>
    <n v="0"/>
    <n v="0"/>
    <n v="0"/>
    <n v="0"/>
    <n v="0"/>
    <n v="0"/>
    <n v="0"/>
    <n v="0"/>
    <n v="0"/>
    <n v="0"/>
    <n v="0"/>
    <n v="0"/>
    <n v="0"/>
    <n v="0"/>
    <n v="0"/>
    <n v="0"/>
    <n v="0"/>
    <n v="0"/>
    <n v="0"/>
    <n v="0"/>
    <n v="0"/>
    <n v="0"/>
  </r>
  <r>
    <n v="2939"/>
    <x v="0"/>
    <s v="2015/5850"/>
    <m/>
    <s v="131 St Johns Hill"/>
    <m/>
    <n v="526842"/>
    <n v="175078"/>
    <x v="0"/>
    <d v="2016-09-09T00:00:00"/>
    <d v="2017-08-01T00:00:00"/>
    <n v="1"/>
    <n v="2"/>
    <n v="1"/>
    <n v="3"/>
    <n v="2"/>
    <m/>
    <s v="Alterations and extensions in connection with the conversion of upper floors into 2 flats; change of use to convert existing rear ground floor office unit (B1) to residential (C3) to allow 1 flat. Extensions and alterations to include: front and rear mansard roof extensions to main roof (with french doors and safety railings); erection of replacement two-storey back addition linked to two-storey rear extension (basement and ground floor against rear boundary). Installation of new shopfront."/>
    <s v="PF"/>
    <d v="2015-10-19T00:00:00"/>
    <d v="2015-12-30T00:00:00"/>
    <x v="0"/>
    <s v="Nil"/>
    <m/>
    <s v="BF"/>
    <x v="4"/>
    <x v="0"/>
    <x v="10"/>
    <n v="4.9999998882412902E-3"/>
    <d v="2016-09-09T00:00:00"/>
    <x v="0"/>
    <d v="2017-08-01T00:00:00"/>
    <x v="0"/>
    <s v="P"/>
    <m/>
    <m/>
    <n v="0"/>
    <m/>
    <n v="0"/>
    <m/>
    <n v="0"/>
    <n v="1"/>
    <n v="1"/>
    <n v="-1"/>
    <n v="0"/>
    <n v="0"/>
    <n v="0"/>
    <n v="0"/>
    <n v="1"/>
    <n v="1"/>
    <n v="-1"/>
    <n v="0"/>
    <n v="0"/>
    <n v="0"/>
    <n v="0"/>
    <n v="0"/>
    <n v="0"/>
    <n v="0"/>
    <n v="0"/>
    <n v="0"/>
    <n v="0"/>
    <n v="0"/>
    <n v="0"/>
    <n v="0"/>
    <n v="0"/>
    <n v="0"/>
    <n v="0"/>
    <n v="0"/>
    <s v="West"/>
    <x v="0"/>
    <x v="0"/>
    <x v="1"/>
    <x v="0"/>
    <x v="0"/>
    <x v="0"/>
    <m/>
    <x v="0"/>
    <s v="Y"/>
    <n v="7"/>
    <m/>
    <n v="1"/>
    <n v="0"/>
    <n v="0"/>
    <n v="0"/>
    <n v="0"/>
    <n v="0"/>
    <n v="0"/>
    <n v="0"/>
    <n v="0"/>
    <n v="0"/>
    <n v="0"/>
    <n v="0"/>
    <n v="0"/>
    <n v="0"/>
    <n v="0"/>
    <n v="0"/>
    <n v="0"/>
    <n v="0"/>
    <n v="0"/>
    <n v="0"/>
    <n v="0"/>
    <n v="0"/>
    <n v="0"/>
  </r>
  <r>
    <n v="2939"/>
    <x v="0"/>
    <s v="2015/5850"/>
    <m/>
    <s v="131 St Johns Hill"/>
    <m/>
    <n v="526842"/>
    <n v="175078"/>
    <x v="0"/>
    <d v="2016-09-09T00:00:00"/>
    <d v="2017-08-01T00:00:00"/>
    <n v="0"/>
    <n v="1"/>
    <n v="1"/>
    <n v="3"/>
    <n v="2"/>
    <m/>
    <s v="Alterations and extensions in connection with the conversion of upper floors into 2 flats; change of use to convert existing rear ground floor office unit (B1) to residential (C3) to allow 1 flat. Extensions and alterations to include: front and rear mansard roof extensions to main roof (with french doors and safety railings); erection of replacement two-storey back addition linked to two-storey rear extension (basement and ground floor against rear boundary). Installation of new shopfront."/>
    <s v="PF"/>
    <d v="2015-10-19T00:00:00"/>
    <d v="2015-12-30T00:00:00"/>
    <x v="0"/>
    <s v="Nil"/>
    <m/>
    <s v="BF"/>
    <x v="4"/>
    <x v="0"/>
    <x v="9"/>
    <n v="3.0000000260770299E-3"/>
    <d v="2016-09-09T00:00:00"/>
    <x v="0"/>
    <d v="2017-08-01T00:00:00"/>
    <x v="0"/>
    <s v="P"/>
    <m/>
    <m/>
    <n v="0"/>
    <m/>
    <n v="0"/>
    <m/>
    <n v="0"/>
    <n v="1"/>
    <n v="0"/>
    <n v="0"/>
    <n v="0"/>
    <n v="0"/>
    <n v="0"/>
    <n v="0"/>
    <n v="1"/>
    <n v="0"/>
    <n v="0"/>
    <n v="0"/>
    <n v="0"/>
    <n v="0"/>
    <n v="0"/>
    <n v="0"/>
    <n v="0"/>
    <n v="0"/>
    <n v="0"/>
    <n v="0"/>
    <n v="0"/>
    <n v="0"/>
    <n v="0"/>
    <n v="0"/>
    <n v="0"/>
    <n v="0"/>
    <n v="0"/>
    <n v="0"/>
    <s v="West"/>
    <x v="0"/>
    <x v="0"/>
    <x v="1"/>
    <x v="0"/>
    <x v="0"/>
    <x v="0"/>
    <m/>
    <x v="0"/>
    <s v="Y"/>
    <n v="7"/>
    <m/>
    <n v="1"/>
    <n v="0"/>
    <n v="0"/>
    <n v="0"/>
    <n v="0"/>
    <n v="0"/>
    <n v="0"/>
    <n v="0"/>
    <n v="0"/>
    <n v="0"/>
    <n v="0"/>
    <n v="0"/>
    <n v="0"/>
    <n v="0"/>
    <n v="0"/>
    <n v="0"/>
    <n v="0"/>
    <n v="0"/>
    <n v="0"/>
    <n v="0"/>
    <n v="0"/>
    <n v="0"/>
    <n v="0"/>
  </r>
  <r>
    <n v="3018"/>
    <x v="0"/>
    <s v="2017/6675"/>
    <m/>
    <s v="9 Lavender Hill"/>
    <m/>
    <n v="528529"/>
    <n v="175746"/>
    <x v="10"/>
    <m/>
    <d v="2018-02-01T00:00:00"/>
    <n v="0"/>
    <n v="1"/>
    <n v="1"/>
    <n v="1"/>
    <n v="1"/>
    <m/>
    <s v="Use of the rear ground floor and basement as a self-contained flat."/>
    <s v="LDC Exist"/>
    <d v="2017-12-08T00:00:00"/>
    <d v="2018-02-01T00:00:00"/>
    <x v="1"/>
    <s v="Nil"/>
    <m/>
    <s v="BF"/>
    <x v="3"/>
    <x v="0"/>
    <x v="5"/>
    <n v="8.9999996125698107E-3"/>
    <m/>
    <x v="0"/>
    <d v="2018-02-01T00:00:00"/>
    <x v="0"/>
    <s v="P"/>
    <m/>
    <m/>
    <n v="0"/>
    <m/>
    <n v="0"/>
    <m/>
    <n v="0"/>
    <n v="0"/>
    <n v="0"/>
    <n v="0"/>
    <n v="1"/>
    <n v="0"/>
    <n v="0"/>
    <n v="0"/>
    <n v="0"/>
    <n v="0"/>
    <n v="0"/>
    <n v="1"/>
    <n v="0"/>
    <n v="0"/>
    <n v="0"/>
    <n v="0"/>
    <n v="0"/>
    <n v="0"/>
    <n v="0"/>
    <n v="0"/>
    <n v="0"/>
    <n v="0"/>
    <n v="0"/>
    <n v="0"/>
    <n v="0"/>
    <n v="0"/>
    <n v="0"/>
    <n v="0"/>
    <s v="East"/>
    <x v="0"/>
    <x v="0"/>
    <x v="1"/>
    <x v="0"/>
    <x v="0"/>
    <x v="0"/>
    <m/>
    <x v="0"/>
    <s v="Y"/>
    <n v="7"/>
    <m/>
    <n v="1"/>
    <n v="0"/>
    <n v="0"/>
    <n v="0"/>
    <n v="0"/>
    <n v="0"/>
    <n v="0"/>
    <n v="0"/>
    <n v="0"/>
    <n v="0"/>
    <n v="0"/>
    <n v="0"/>
    <n v="0"/>
    <n v="0"/>
    <n v="0"/>
    <n v="0"/>
    <n v="0"/>
    <n v="0"/>
    <n v="0"/>
    <n v="0"/>
    <n v="0"/>
    <n v="0"/>
    <n v="0"/>
  </r>
  <r>
    <n v="3079"/>
    <x v="0"/>
    <s v="2017/6534"/>
    <m/>
    <s v="22 Glenburnie Road"/>
    <m/>
    <n v="527812"/>
    <n v="172484"/>
    <x v="11"/>
    <d v="2009-11-02T00:00:00"/>
    <d v="2018-02-08T00:00:00"/>
    <n v="0"/>
    <n v="2"/>
    <n v="2"/>
    <n v="2"/>
    <n v="2"/>
    <m/>
    <s v="Use of the property as two studio flats."/>
    <s v="LDC Exist"/>
    <d v="2017-12-18T00:00:00"/>
    <d v="2018-02-08T00:00:00"/>
    <x v="1"/>
    <s v="Nil"/>
    <m/>
    <s v="BF"/>
    <x v="1"/>
    <x v="0"/>
    <x v="4"/>
    <n v="0"/>
    <d v="2009-11-02T00:00:00"/>
    <x v="0"/>
    <d v="2018-02-08T00:00:00"/>
    <x v="0"/>
    <s v="P"/>
    <m/>
    <m/>
    <n v="0"/>
    <m/>
    <n v="0"/>
    <m/>
    <n v="2"/>
    <n v="0"/>
    <n v="0"/>
    <n v="0"/>
    <n v="0"/>
    <n v="0"/>
    <n v="0"/>
    <n v="2"/>
    <n v="0"/>
    <n v="0"/>
    <n v="0"/>
    <n v="0"/>
    <n v="0"/>
    <n v="0"/>
    <n v="0"/>
    <n v="0"/>
    <n v="0"/>
    <n v="0"/>
    <n v="0"/>
    <n v="0"/>
    <n v="0"/>
    <n v="0"/>
    <n v="0"/>
    <n v="0"/>
    <n v="0"/>
    <n v="0"/>
    <n v="0"/>
    <n v="0"/>
    <s v="East"/>
    <x v="0"/>
    <x v="0"/>
    <x v="1"/>
    <x v="0"/>
    <x v="0"/>
    <x v="0"/>
    <m/>
    <x v="0"/>
    <s v="Y"/>
    <n v="7"/>
    <m/>
    <n v="2"/>
    <n v="0"/>
    <n v="0"/>
    <n v="0"/>
    <n v="0"/>
    <n v="0"/>
    <n v="0"/>
    <n v="0"/>
    <n v="0"/>
    <n v="0"/>
    <n v="0"/>
    <n v="0"/>
    <n v="0"/>
    <n v="0"/>
    <n v="0"/>
    <n v="0"/>
    <n v="0"/>
    <n v="0"/>
    <n v="0"/>
    <n v="0"/>
    <n v="0"/>
    <n v="0"/>
    <n v="0"/>
  </r>
  <r>
    <n v="3102"/>
    <x v="0"/>
    <s v="2013/3575"/>
    <m/>
    <s v="60 Trinity Road"/>
    <m/>
    <n v="527898"/>
    <n v="172499"/>
    <x v="11"/>
    <d v="2016-03-31T00:00:00"/>
    <d v="2017-07-20T00:00:00"/>
    <n v="0"/>
    <n v="1"/>
    <n v="1"/>
    <n v="1"/>
    <n v="1"/>
    <m/>
    <s v="Construction of first and second floor extensions to enlarge existing first floor flat and provide a new one-bedroom flat at second floor level."/>
    <s v="PF"/>
    <d v="2013-07-17T00:00:00"/>
    <d v="2013-10-25T00:00:00"/>
    <x v="0"/>
    <s v="Nil"/>
    <m/>
    <s v="BF"/>
    <x v="4"/>
    <x v="0"/>
    <x v="0"/>
    <n v="2.0000000949949E-3"/>
    <d v="2016-03-31T00:00:00"/>
    <x v="0"/>
    <d v="2017-07-20T00:00:00"/>
    <x v="0"/>
    <s v="P"/>
    <m/>
    <m/>
    <n v="0"/>
    <m/>
    <n v="0"/>
    <m/>
    <n v="0"/>
    <n v="1"/>
    <n v="0"/>
    <n v="0"/>
    <n v="0"/>
    <n v="0"/>
    <n v="0"/>
    <n v="0"/>
    <n v="1"/>
    <n v="0"/>
    <n v="0"/>
    <n v="0"/>
    <n v="0"/>
    <n v="0"/>
    <n v="0"/>
    <n v="0"/>
    <n v="0"/>
    <n v="0"/>
    <n v="0"/>
    <n v="0"/>
    <n v="0"/>
    <n v="0"/>
    <n v="0"/>
    <n v="0"/>
    <n v="0"/>
    <n v="0"/>
    <n v="0"/>
    <n v="0"/>
    <s v="East"/>
    <x v="0"/>
    <x v="0"/>
    <x v="1"/>
    <x v="0"/>
    <x v="0"/>
    <x v="0"/>
    <m/>
    <x v="0"/>
    <s v="Y"/>
    <n v="7"/>
    <m/>
    <n v="1"/>
    <n v="0"/>
    <n v="0"/>
    <n v="0"/>
    <n v="0"/>
    <n v="0"/>
    <n v="0"/>
    <n v="0"/>
    <n v="0"/>
    <n v="0"/>
    <n v="0"/>
    <n v="0"/>
    <n v="0"/>
    <n v="0"/>
    <n v="0"/>
    <n v="0"/>
    <n v="0"/>
    <n v="0"/>
    <n v="0"/>
    <n v="0"/>
    <n v="0"/>
    <n v="0"/>
    <n v="0"/>
  </r>
  <r>
    <n v="3121"/>
    <x v="0"/>
    <s v="2014/1778"/>
    <m/>
    <s v="82 Balham High Road"/>
    <m/>
    <n v="528670"/>
    <n v="173572"/>
    <x v="9"/>
    <d v="2017-04-01T00:00:00"/>
    <d v="2018-03-31T00:00:00"/>
    <n v="0"/>
    <n v="1"/>
    <n v="1"/>
    <n v="1"/>
    <n v="1"/>
    <m/>
    <s v="Erection of two storey building to provide a 1 bedroom self contained residential unit to the rear of existing shop."/>
    <s v="PF"/>
    <d v="2014-04-10T00:00:00"/>
    <d v="2014-09-12T00:00:00"/>
    <x v="0"/>
    <s v="Nil"/>
    <m/>
    <s v="BF"/>
    <x v="0"/>
    <x v="0"/>
    <x v="0"/>
    <n v="4.9999998882412902E-3"/>
    <d v="2017-04-01T00:00:00"/>
    <x v="1"/>
    <d v="2018-03-31T00:00:00"/>
    <x v="0"/>
    <s v="P"/>
    <m/>
    <m/>
    <n v="0"/>
    <m/>
    <n v="0"/>
    <m/>
    <n v="0"/>
    <n v="1"/>
    <n v="0"/>
    <n v="0"/>
    <n v="0"/>
    <n v="0"/>
    <n v="0"/>
    <n v="0"/>
    <n v="1"/>
    <n v="0"/>
    <n v="0"/>
    <n v="0"/>
    <n v="0"/>
    <n v="0"/>
    <n v="0"/>
    <n v="0"/>
    <n v="0"/>
    <n v="0"/>
    <n v="0"/>
    <n v="0"/>
    <n v="0"/>
    <n v="0"/>
    <n v="0"/>
    <n v="0"/>
    <n v="0"/>
    <n v="0"/>
    <n v="0"/>
    <n v="0"/>
    <s v="East"/>
    <x v="2"/>
    <x v="0"/>
    <x v="1"/>
    <x v="0"/>
    <x v="0"/>
    <x v="0"/>
    <m/>
    <x v="0"/>
    <s v="Y"/>
    <n v="1"/>
    <m/>
    <n v="1"/>
    <n v="0"/>
    <n v="0"/>
    <n v="0"/>
    <n v="0"/>
    <n v="0"/>
    <n v="0"/>
    <n v="0"/>
    <n v="0"/>
    <n v="0"/>
    <n v="0"/>
    <n v="0"/>
    <n v="0"/>
    <n v="0"/>
    <n v="0"/>
    <n v="0"/>
    <n v="0"/>
    <n v="0"/>
    <n v="0"/>
    <n v="0"/>
    <n v="0"/>
    <n v="0"/>
    <n v="0"/>
  </r>
  <r>
    <n v="3290"/>
    <x v="0"/>
    <s v="2015/5374"/>
    <m/>
    <s v="160 Franciscan Road"/>
    <m/>
    <n v="527974"/>
    <n v="171515"/>
    <x v="8"/>
    <d v="2016-03-31T00:00:00"/>
    <d v="2017-04-19T00:00:00"/>
    <n v="1"/>
    <n v="2"/>
    <n v="1"/>
    <n v="2"/>
    <n v="1"/>
    <m/>
    <s v="Change of use of ground floor mini-cab office (sui generis use) to form a ground floor flat (Use Class C3) with erection of part single- part two-storey side/rear extension including formation of roof terrace at first floor level. Alterations including erection of dormer roof extension to main rear roof."/>
    <s v="PF"/>
    <d v="2015-10-12T00:00:00"/>
    <d v="2016-02-04T00:00:00"/>
    <x v="0"/>
    <s v="Nil"/>
    <m/>
    <s v="BF"/>
    <x v="4"/>
    <x v="0"/>
    <x v="10"/>
    <n v="9.9999997764825804E-3"/>
    <d v="2016-03-31T00:00:00"/>
    <x v="0"/>
    <d v="2017-04-19T00:00:00"/>
    <x v="0"/>
    <s v="P"/>
    <m/>
    <m/>
    <n v="0"/>
    <m/>
    <n v="0"/>
    <m/>
    <n v="0"/>
    <n v="-1"/>
    <n v="2"/>
    <n v="0"/>
    <n v="0"/>
    <n v="0"/>
    <n v="0"/>
    <n v="0"/>
    <n v="-1"/>
    <n v="2"/>
    <n v="0"/>
    <n v="0"/>
    <n v="0"/>
    <n v="0"/>
    <n v="0"/>
    <n v="0"/>
    <n v="0"/>
    <n v="0"/>
    <n v="0"/>
    <n v="0"/>
    <n v="0"/>
    <n v="0"/>
    <n v="0"/>
    <n v="0"/>
    <n v="0"/>
    <n v="0"/>
    <n v="0"/>
    <n v="0"/>
    <s v="East"/>
    <x v="0"/>
    <x v="0"/>
    <x v="1"/>
    <x v="0"/>
    <x v="0"/>
    <x v="0"/>
    <m/>
    <x v="0"/>
    <s v="Y"/>
    <n v="7"/>
    <m/>
    <n v="1"/>
    <n v="0"/>
    <n v="0"/>
    <n v="0"/>
    <n v="0"/>
    <n v="0"/>
    <n v="0"/>
    <n v="0"/>
    <n v="0"/>
    <n v="0"/>
    <n v="0"/>
    <n v="0"/>
    <n v="0"/>
    <n v="0"/>
    <n v="0"/>
    <n v="0"/>
    <n v="0"/>
    <n v="0"/>
    <n v="0"/>
    <n v="0"/>
    <n v="0"/>
    <n v="0"/>
    <n v="0"/>
  </r>
  <r>
    <n v="3338"/>
    <x v="0"/>
    <s v="2016/3439"/>
    <m/>
    <s v="Unit 8 Mandeville Courtyard, 142 Battersea Park Road"/>
    <m/>
    <n v="528077"/>
    <n v="176658"/>
    <x v="6"/>
    <d v="2016-12-14T00:00:00"/>
    <d v="2018-02-16T00:00:00"/>
    <n v="0"/>
    <n v="1"/>
    <n v="1"/>
    <n v="1"/>
    <n v="1"/>
    <m/>
    <s v="Determination as to whether prior approval is required for change of use of office at lower ground and ground floors (Class Use B1a) to 1x1 bedroom residential unit (Class Use C3)."/>
    <s v="PAG"/>
    <d v="2016-06-16T00:00:00"/>
    <d v="2016-08-11T00:00:00"/>
    <x v="0"/>
    <s v="Nil"/>
    <m/>
    <s v="BF"/>
    <x v="3"/>
    <x v="0"/>
    <x v="9"/>
    <n v="3.0000000260770299E-3"/>
    <d v="2016-12-14T00:00:00"/>
    <x v="0"/>
    <d v="2018-02-16T00:00:00"/>
    <x v="0"/>
    <s v="P"/>
    <m/>
    <m/>
    <n v="0"/>
    <m/>
    <n v="0"/>
    <m/>
    <n v="0"/>
    <n v="1"/>
    <n v="0"/>
    <n v="0"/>
    <n v="0"/>
    <n v="0"/>
    <n v="0"/>
    <n v="0"/>
    <n v="1"/>
    <n v="0"/>
    <n v="0"/>
    <n v="0"/>
    <n v="0"/>
    <n v="0"/>
    <n v="0"/>
    <n v="0"/>
    <n v="0"/>
    <n v="0"/>
    <n v="0"/>
    <n v="0"/>
    <n v="0"/>
    <n v="0"/>
    <n v="0"/>
    <n v="0"/>
    <n v="0"/>
    <n v="0"/>
    <n v="0"/>
    <n v="0"/>
    <s v="East"/>
    <x v="0"/>
    <x v="0"/>
    <x v="1"/>
    <x v="0"/>
    <x v="0"/>
    <x v="0"/>
    <m/>
    <x v="0"/>
    <s v="Y"/>
    <n v="7"/>
    <m/>
    <n v="1"/>
    <n v="0"/>
    <n v="0"/>
    <n v="0"/>
    <n v="0"/>
    <n v="0"/>
    <n v="0"/>
    <n v="0"/>
    <n v="0"/>
    <n v="0"/>
    <n v="0"/>
    <n v="0"/>
    <n v="0"/>
    <n v="0"/>
    <n v="0"/>
    <n v="0"/>
    <n v="0"/>
    <n v="0"/>
    <n v="0"/>
    <n v="0"/>
    <n v="0"/>
    <n v="0"/>
    <n v="0"/>
  </r>
  <r>
    <n v="3438"/>
    <x v="0"/>
    <s v="2016/5620"/>
    <m/>
    <s v="245 Mitcham Lane"/>
    <m/>
    <n v="528986"/>
    <n v="170585"/>
    <x v="12"/>
    <d v="2017-03-24T00:00:00"/>
    <d v="2017-06-28T00:00:00"/>
    <n v="0"/>
    <n v="1"/>
    <n v="1"/>
    <n v="1"/>
    <n v="1"/>
    <m/>
    <s v="Change of use of part of ground floor shop (Class A1)  into 1 x 1 bedroom flat (Class C3), and alterations to side elevation at ground floor."/>
    <s v="PF"/>
    <d v="2016-09-27T00:00:00"/>
    <d v="2016-11-22T00:00:00"/>
    <x v="0"/>
    <s v="Nil"/>
    <m/>
    <s v="BF"/>
    <x v="4"/>
    <x v="0"/>
    <x v="4"/>
    <n v="6.0000000521540598E-3"/>
    <d v="2017-03-24T00:00:00"/>
    <x v="0"/>
    <d v="2017-06-28T00:00:00"/>
    <x v="0"/>
    <s v="P"/>
    <m/>
    <m/>
    <n v="0"/>
    <m/>
    <n v="0"/>
    <m/>
    <n v="0"/>
    <n v="1"/>
    <n v="0"/>
    <n v="0"/>
    <n v="0"/>
    <n v="0"/>
    <n v="0"/>
    <n v="0"/>
    <n v="1"/>
    <n v="0"/>
    <n v="0"/>
    <n v="0"/>
    <n v="0"/>
    <n v="0"/>
    <n v="0"/>
    <n v="0"/>
    <n v="0"/>
    <n v="0"/>
    <n v="0"/>
    <n v="0"/>
    <n v="0"/>
    <n v="0"/>
    <n v="0"/>
    <n v="0"/>
    <n v="0"/>
    <n v="0"/>
    <n v="0"/>
    <n v="0"/>
    <s v="East"/>
    <x v="0"/>
    <x v="0"/>
    <x v="1"/>
    <x v="0"/>
    <x v="0"/>
    <x v="0"/>
    <m/>
    <x v="0"/>
    <s v="Y"/>
    <n v="7"/>
    <m/>
    <n v="1"/>
    <n v="0"/>
    <n v="0"/>
    <n v="0"/>
    <n v="0"/>
    <n v="0"/>
    <n v="0"/>
    <n v="0"/>
    <n v="0"/>
    <n v="0"/>
    <n v="0"/>
    <n v="0"/>
    <n v="0"/>
    <n v="0"/>
    <n v="0"/>
    <n v="0"/>
    <n v="0"/>
    <n v="0"/>
    <n v="0"/>
    <n v="0"/>
    <n v="0"/>
    <n v="0"/>
    <n v="0"/>
  </r>
  <r>
    <n v="3474"/>
    <x v="0"/>
    <s v="2017/3232"/>
    <m/>
    <s v="70 Upper Tooting Road"/>
    <m/>
    <n v="527800"/>
    <n v="172183"/>
    <x v="4"/>
    <d v="2017-08-24T00:00:00"/>
    <d v="2018-03-31T00:00:00"/>
    <n v="0"/>
    <n v="1"/>
    <n v="1"/>
    <n v="1"/>
    <n v="1"/>
    <m/>
    <s v="Alterations including erection of single storey rear extension in connection with partial change of use at ground floor from shop (Class A1) into 1 x 2-bedroom flat (Class C3)."/>
    <s v="PF"/>
    <d v="2017-07-03T00:00:00"/>
    <d v="2017-08-24T00:00:00"/>
    <x v="1"/>
    <s v="Nil"/>
    <m/>
    <s v="BF"/>
    <x v="4"/>
    <x v="0"/>
    <x v="0"/>
    <n v="7.0000002160668399E-3"/>
    <d v="2017-08-24T00:00:00"/>
    <x v="1"/>
    <d v="2018-03-31T00:00:00"/>
    <x v="0"/>
    <s v="P"/>
    <m/>
    <m/>
    <n v="0"/>
    <m/>
    <n v="0"/>
    <m/>
    <n v="0"/>
    <n v="0"/>
    <n v="1"/>
    <n v="0"/>
    <n v="0"/>
    <n v="0"/>
    <n v="0"/>
    <n v="0"/>
    <n v="0"/>
    <n v="1"/>
    <n v="0"/>
    <n v="0"/>
    <n v="0"/>
    <n v="0"/>
    <n v="0"/>
    <n v="0"/>
    <n v="0"/>
    <n v="0"/>
    <n v="0"/>
    <n v="0"/>
    <n v="0"/>
    <n v="0"/>
    <n v="0"/>
    <n v="0"/>
    <n v="0"/>
    <n v="0"/>
    <n v="0"/>
    <n v="0"/>
    <s v="East"/>
    <x v="0"/>
    <x v="0"/>
    <x v="1"/>
    <x v="0"/>
    <x v="0"/>
    <x v="0"/>
    <m/>
    <x v="0"/>
    <s v="Y"/>
    <n v="7"/>
    <m/>
    <n v="1"/>
    <n v="0"/>
    <n v="0"/>
    <n v="0"/>
    <n v="0"/>
    <n v="0"/>
    <n v="0"/>
    <n v="0"/>
    <n v="0"/>
    <n v="0"/>
    <n v="0"/>
    <n v="0"/>
    <n v="0"/>
    <n v="0"/>
    <n v="0"/>
    <n v="0"/>
    <n v="0"/>
    <n v="0"/>
    <n v="0"/>
    <n v="0"/>
    <n v="0"/>
    <n v="0"/>
    <n v="0"/>
  </r>
  <r>
    <n v="3480"/>
    <x v="0"/>
    <s v="2014/6635"/>
    <m/>
    <s v="99 Norroy Road"/>
    <m/>
    <n v="523754"/>
    <n v="175202"/>
    <x v="13"/>
    <d v="2017-04-04T00:00:00"/>
    <d v="2017-10-19T00:00:00"/>
    <n v="2"/>
    <n v="1"/>
    <n v="-1"/>
    <n v="1"/>
    <n v="-1"/>
    <m/>
    <s v="Erection of single-storey rear/side extension.Excavation to create basement including formation of front and side lightwells with grille over.Erection of mansard roof extension to main rear roof. Conversion of property into single dwelling house."/>
    <s v="PF"/>
    <d v="2015-01-26T00:00:00"/>
    <d v="2015-03-23T00:00:00"/>
    <x v="0"/>
    <s v="Nil"/>
    <m/>
    <s v="BF"/>
    <x v="4"/>
    <x v="0"/>
    <x v="7"/>
    <n v="1.30000002682209E-2"/>
    <d v="2017-04-04T00:00:00"/>
    <x v="1"/>
    <d v="2017-10-19T00:00:00"/>
    <x v="0"/>
    <s v="P"/>
    <m/>
    <m/>
    <n v="0"/>
    <m/>
    <n v="0"/>
    <m/>
    <n v="0"/>
    <n v="0"/>
    <n v="-2"/>
    <n v="0"/>
    <n v="1"/>
    <n v="0"/>
    <n v="0"/>
    <n v="0"/>
    <n v="0"/>
    <n v="-2"/>
    <n v="0"/>
    <n v="0"/>
    <n v="0"/>
    <n v="0"/>
    <n v="0"/>
    <n v="0"/>
    <n v="0"/>
    <n v="0"/>
    <n v="1"/>
    <n v="0"/>
    <n v="0"/>
    <n v="0"/>
    <n v="0"/>
    <n v="0"/>
    <n v="0"/>
    <n v="0"/>
    <n v="0"/>
    <n v="0"/>
    <s v="West"/>
    <x v="0"/>
    <x v="0"/>
    <x v="1"/>
    <x v="0"/>
    <x v="0"/>
    <x v="0"/>
    <m/>
    <x v="0"/>
    <s v="Y"/>
    <n v="7"/>
    <m/>
    <n v="-1"/>
    <n v="0"/>
    <n v="0"/>
    <n v="0"/>
    <n v="0"/>
    <n v="0"/>
    <n v="0"/>
    <n v="0"/>
    <n v="0"/>
    <n v="0"/>
    <n v="0"/>
    <n v="0"/>
    <n v="0"/>
    <n v="0"/>
    <n v="0"/>
    <n v="0"/>
    <n v="0"/>
    <n v="0"/>
    <n v="0"/>
    <n v="0"/>
    <n v="0"/>
    <n v="0"/>
    <n v="0"/>
  </r>
  <r>
    <n v="3501"/>
    <x v="0"/>
    <s v="2014/4626"/>
    <m/>
    <s v="208-214 York Road and, 4 Chatfield Road"/>
    <s v="Block A - Clemence House"/>
    <n v="526469"/>
    <n v="175635"/>
    <x v="1"/>
    <d v="2015-09-28T00:00:00"/>
    <m/>
    <n v="0"/>
    <n v="12"/>
    <n v="12"/>
    <n v="51"/>
    <n v="51"/>
    <s v="Y"/>
    <s v="Redevelopment of the site incorporating the erection of a part 4/ part 5 storey building fronting York Road, and a 3-5 storey building partially fronting Chatfield Road and extending to part 5/ part 6 storey building to the rear to provide a total of 51 residential units (including balconies and terraces), 362 sqm of retail space (use class A1), 155 sqm of office space (use class B1a); excavation of basement to provide a car park (accessed off Chatfield Road), ancillary works and landscaping."/>
    <s v="PFLA"/>
    <d v="2014-08-11T00:00:00"/>
    <d v="2015-06-24T00:00:00"/>
    <x v="0"/>
    <s v="Nil"/>
    <m/>
    <s v="BF"/>
    <x v="0"/>
    <x v="1"/>
    <x v="1"/>
    <n v="4.80000004172325E-2"/>
    <d v="2015-09-28T00:00:00"/>
    <x v="0"/>
    <d v="2018-01-11T00:00:00"/>
    <x v="2"/>
    <s v="HAAR"/>
    <s v="10.10"/>
    <m/>
    <n v="12"/>
    <m/>
    <n v="0"/>
    <m/>
    <n v="0"/>
    <n v="0"/>
    <n v="3"/>
    <n v="9"/>
    <n v="0"/>
    <n v="0"/>
    <n v="0"/>
    <n v="0"/>
    <n v="0"/>
    <n v="3"/>
    <n v="9"/>
    <n v="0"/>
    <n v="0"/>
    <n v="0"/>
    <n v="0"/>
    <n v="0"/>
    <n v="0"/>
    <n v="0"/>
    <n v="0"/>
    <n v="0"/>
    <n v="0"/>
    <n v="0"/>
    <n v="0"/>
    <n v="0"/>
    <n v="0"/>
    <n v="0"/>
    <n v="0"/>
    <n v="0"/>
    <s v="East"/>
    <x v="0"/>
    <x v="0"/>
    <x v="1"/>
    <x v="0"/>
    <x v="0"/>
    <x v="0"/>
    <s v="Y"/>
    <x v="0"/>
    <s v="Y"/>
    <n v="1"/>
    <m/>
    <n v="12"/>
    <n v="0"/>
    <n v="0"/>
    <n v="0"/>
    <n v="0"/>
    <n v="0"/>
    <n v="0"/>
    <n v="0"/>
    <n v="0"/>
    <n v="0"/>
    <n v="0"/>
    <n v="0"/>
    <n v="0"/>
    <n v="0"/>
    <n v="0"/>
    <n v="0"/>
    <n v="0"/>
    <n v="0"/>
    <n v="0"/>
    <n v="0"/>
    <n v="0"/>
    <n v="0"/>
    <n v="0"/>
  </r>
  <r>
    <n v="3501"/>
    <x v="0"/>
    <s v="2014/4626"/>
    <m/>
    <s v="208-214 York Road and, 4 Chatfield Road"/>
    <s v="Block C - Constance Court"/>
    <n v="526469"/>
    <n v="175635"/>
    <x v="1"/>
    <d v="2015-09-28T00:00:00"/>
    <m/>
    <n v="0"/>
    <n v="5"/>
    <n v="5"/>
    <n v="51"/>
    <n v="51"/>
    <s v="Y"/>
    <s v="Redevelopment of the site incorporating the erection of a part 4/ part 5 storey building fronting York Road, and a 3-5 storey building partially fronting Chatfield Road and extending to part 5/ part 6 storey building to the rear to provide a total of 51 residential units (including balconies and terraces), 362 sqm of retail space (use class A1), 155 sqm of office space (use class B1a); excavation of basement to provide a car park (accessed off Chatfield Road), ancillary works and landscaping."/>
    <s v="PFLA"/>
    <d v="2014-08-11T00:00:00"/>
    <d v="2015-06-24T00:00:00"/>
    <x v="0"/>
    <s v="Nil"/>
    <m/>
    <s v="BF"/>
    <x v="0"/>
    <x v="1"/>
    <x v="1"/>
    <n v="0"/>
    <d v="2015-09-28T00:00:00"/>
    <x v="0"/>
    <d v="2018-03-27T00:00:00"/>
    <x v="0"/>
    <s v="P"/>
    <s v="10.10"/>
    <m/>
    <n v="0"/>
    <m/>
    <n v="0"/>
    <m/>
    <n v="0"/>
    <n v="4"/>
    <n v="1"/>
    <n v="0"/>
    <n v="0"/>
    <n v="0"/>
    <n v="0"/>
    <n v="0"/>
    <n v="4"/>
    <n v="1"/>
    <n v="0"/>
    <n v="0"/>
    <n v="0"/>
    <n v="0"/>
    <n v="0"/>
    <n v="0"/>
    <n v="0"/>
    <n v="0"/>
    <n v="0"/>
    <n v="0"/>
    <n v="0"/>
    <n v="0"/>
    <n v="0"/>
    <n v="0"/>
    <n v="0"/>
    <n v="0"/>
    <n v="0"/>
    <n v="0"/>
    <s v="East"/>
    <x v="0"/>
    <x v="0"/>
    <x v="1"/>
    <x v="0"/>
    <x v="0"/>
    <x v="0"/>
    <s v="Y"/>
    <x v="0"/>
    <s v="Y"/>
    <n v="1"/>
    <m/>
    <n v="5"/>
    <n v="0"/>
    <n v="0"/>
    <n v="0"/>
    <n v="0"/>
    <n v="0"/>
    <n v="0"/>
    <n v="0"/>
    <n v="0"/>
    <n v="0"/>
    <n v="0"/>
    <n v="0"/>
    <n v="0"/>
    <n v="0"/>
    <n v="0"/>
    <n v="0"/>
    <n v="0"/>
    <n v="0"/>
    <n v="0"/>
    <n v="0"/>
    <n v="0"/>
    <n v="0"/>
    <n v="0"/>
  </r>
  <r>
    <n v="3510"/>
    <x v="0"/>
    <s v="2011/3748"/>
    <s v="Riverlight"/>
    <s v="Tideway Industrial Estate, 87 Kirtling Street"/>
    <s v="Riverlight 5 (Block A)"/>
    <n v="529424"/>
    <n v="177541"/>
    <x v="6"/>
    <d v="2011-12-15T00:00:00"/>
    <d v="2018-03-31T00:00:00"/>
    <n v="0"/>
    <n v="74"/>
    <n v="74"/>
    <n v="813"/>
    <n v="813"/>
    <s v="Y"/>
    <s v="Redevelopment of the site to provide a residential-led mixed-use development of six buildings between twelve and twenty storeys (plus two basement levels) comprising 806 residential units, including affordable housing, flexible commercial uses at ground and first floor levels including retail, financial and professional services, restaurant/café and bar uses, healthcare facilities, a crèche and gallery space (A1/A2/A3/A4 and D1 uses), together with ancillary uses including a concierge/management suite, a business suite and leisure facilities, and associated car and bicycle parking and landscaping including provision of a riverside walk."/>
    <s v="PFLA"/>
    <d v="2011-08-31T00:00:00"/>
    <d v="2011-12-15T00:00:00"/>
    <x v="0"/>
    <s v="Nil"/>
    <m/>
    <s v="BF"/>
    <x v="0"/>
    <x v="1"/>
    <x v="1"/>
    <n v="0.167999997735023"/>
    <d v="2014-08-01T00:00:00"/>
    <x v="0"/>
    <d v="2018-03-31T00:00:00"/>
    <x v="0"/>
    <s v="P"/>
    <s v="2.1.9"/>
    <m/>
    <n v="74"/>
    <m/>
    <n v="7"/>
    <m/>
    <n v="5"/>
    <n v="18"/>
    <n v="14"/>
    <n v="37"/>
    <n v="0"/>
    <n v="0"/>
    <n v="0"/>
    <n v="5"/>
    <n v="18"/>
    <n v="14"/>
    <n v="37"/>
    <n v="0"/>
    <n v="0"/>
    <n v="0"/>
    <n v="0"/>
    <n v="0"/>
    <n v="0"/>
    <n v="0"/>
    <n v="0"/>
    <n v="0"/>
    <n v="0"/>
    <n v="0"/>
    <n v="0"/>
    <n v="0"/>
    <n v="0"/>
    <n v="0"/>
    <n v="0"/>
    <n v="0"/>
    <s v="Strategic Planning/Nine Elms"/>
    <x v="0"/>
    <x v="1"/>
    <x v="1"/>
    <x v="0"/>
    <x v="0"/>
    <x v="0"/>
    <m/>
    <x v="0"/>
    <s v="Y"/>
    <n v="1"/>
    <m/>
    <n v="74"/>
    <n v="0"/>
    <n v="0"/>
    <n v="0"/>
    <n v="0"/>
    <n v="0"/>
    <n v="0"/>
    <n v="0"/>
    <n v="0"/>
    <n v="0"/>
    <n v="0"/>
    <n v="0"/>
    <n v="0"/>
    <n v="0"/>
    <n v="0"/>
    <n v="0"/>
    <n v="0"/>
    <n v="0"/>
    <n v="0"/>
    <n v="0"/>
    <n v="0"/>
    <n v="0"/>
    <n v="0"/>
  </r>
  <r>
    <n v="3510"/>
    <x v="0"/>
    <s v="2016/6949"/>
    <s v="Riverlight"/>
    <s v="Tideway Industrial Estate, 87 Kirtling Street"/>
    <m/>
    <n v="529424"/>
    <n v="177541"/>
    <x v="6"/>
    <d v="2017-05-03T00:00:00"/>
    <d v="2017-09-13T00:00:00"/>
    <n v="2"/>
    <n v="1"/>
    <n v="-1"/>
    <n v="1"/>
    <n v="-1"/>
    <m/>
    <s v="Conversion of two 2-bedroom units (flat nos. 50 and 51) into one 4-bedroom unit on the 9th floor of 2 Riverlight Quay. No external alterations are proposed."/>
    <s v="PF"/>
    <d v="2016-12-08T00:00:00"/>
    <d v="2017-01-13T00:00:00"/>
    <x v="0"/>
    <s v="Nil"/>
    <m/>
    <s v="BF"/>
    <x v="1"/>
    <x v="0"/>
    <x v="2"/>
    <n v="1.8999999389052401E-2"/>
    <d v="2017-05-03T00:00:00"/>
    <x v="1"/>
    <d v="2017-09-13T00:00:00"/>
    <x v="0"/>
    <s v="P"/>
    <s v="2.1.9"/>
    <m/>
    <n v="0"/>
    <m/>
    <n v="0"/>
    <m/>
    <n v="0"/>
    <n v="0"/>
    <n v="-2"/>
    <n v="0"/>
    <n v="1"/>
    <n v="0"/>
    <n v="0"/>
    <n v="0"/>
    <n v="0"/>
    <n v="-2"/>
    <n v="0"/>
    <n v="1"/>
    <n v="0"/>
    <n v="0"/>
    <n v="0"/>
    <n v="0"/>
    <n v="0"/>
    <n v="0"/>
    <n v="0"/>
    <n v="0"/>
    <n v="0"/>
    <n v="0"/>
    <n v="0"/>
    <n v="0"/>
    <n v="0"/>
    <n v="0"/>
    <n v="0"/>
    <n v="0"/>
    <s v="Strategic Planning/Nine Elms"/>
    <x v="0"/>
    <x v="1"/>
    <x v="1"/>
    <x v="0"/>
    <x v="0"/>
    <x v="0"/>
    <m/>
    <x v="0"/>
    <s v="Y"/>
    <n v="7"/>
    <m/>
    <n v="-1"/>
    <n v="0"/>
    <n v="0"/>
    <n v="0"/>
    <n v="0"/>
    <n v="0"/>
    <n v="0"/>
    <n v="0"/>
    <n v="0"/>
    <n v="0"/>
    <n v="0"/>
    <n v="0"/>
    <n v="0"/>
    <n v="0"/>
    <n v="0"/>
    <n v="0"/>
    <n v="0"/>
    <n v="0"/>
    <n v="0"/>
    <n v="0"/>
    <n v="0"/>
    <n v="0"/>
    <n v="0"/>
  </r>
  <r>
    <n v="3515"/>
    <x v="1"/>
    <s v="2014/7344"/>
    <s v="Wereldhave Site"/>
    <s v="56-70, 56-66 Putney High Street"/>
    <m/>
    <n v="524039"/>
    <n v="175460"/>
    <x v="13"/>
    <m/>
    <m/>
    <n v="0"/>
    <n v="78"/>
    <n v="78"/>
    <n v="97"/>
    <n v="95"/>
    <s v="Y"/>
    <s v="Demolition of existing building and erection of a new mixed use development up to six-storeys high, with a partial seventh-storey along Felsham Road frontage (recessed on all sides), plus the provision of basement levels, providing 3137 sq.m. of commercial floorspace (flexible class A1, A2 or A3 uses) at ground floor and basement level; 447 sq.m. of class D2 assembly and leisure use (predominantly at basement level with separate entrance off Walkers Place), and 97 residential units on the upper floors (comprising 1x studio, 33 x one-bedroom; 57 x two-bedroom and 6 x three-bedroom units), with associated balconies, roof terraces and winter gardens, with 26 basement car parking spaces (accessed via car lift off Felsham Road), and associated cycle parking spaces; mechanical plant; landscaping and public realm works, including provision of a new public square along Lacy Road."/>
    <s v="PFLA"/>
    <d v="2015-01-06T00:00:00"/>
    <d v="2016-04-29T00:00:00"/>
    <x v="0"/>
    <s v="Nil"/>
    <m/>
    <s v="BF"/>
    <x v="0"/>
    <x v="1"/>
    <x v="1"/>
    <n v="0.23199999332428001"/>
    <m/>
    <x v="0"/>
    <m/>
    <x v="0"/>
    <s v="P"/>
    <s v="6.1.1"/>
    <m/>
    <n v="78"/>
    <m/>
    <n v="8"/>
    <m/>
    <n v="1"/>
    <n v="19"/>
    <n v="52"/>
    <n v="6"/>
    <n v="0"/>
    <n v="0"/>
    <n v="0"/>
    <n v="1"/>
    <n v="19"/>
    <n v="52"/>
    <n v="6"/>
    <n v="0"/>
    <n v="0"/>
    <n v="0"/>
    <n v="0"/>
    <n v="0"/>
    <n v="0"/>
    <n v="0"/>
    <n v="0"/>
    <n v="0"/>
    <n v="0"/>
    <n v="0"/>
    <n v="0"/>
    <n v="0"/>
    <n v="0"/>
    <n v="0"/>
    <n v="0"/>
    <n v="0"/>
    <s v="West"/>
    <x v="3"/>
    <x v="0"/>
    <x v="1"/>
    <x v="0"/>
    <x v="0"/>
    <x v="0"/>
    <m/>
    <x v="0"/>
    <s v="Y"/>
    <s v="5B"/>
    <m/>
    <n v="0"/>
    <n v="0"/>
    <n v="0"/>
    <n v="0"/>
    <n v="26"/>
    <n v="26"/>
    <n v="26"/>
    <n v="0"/>
    <n v="0"/>
    <n v="0"/>
    <n v="0"/>
    <n v="0"/>
    <n v="0"/>
    <n v="0"/>
    <n v="0"/>
    <n v="0"/>
    <n v="0"/>
    <n v="0"/>
    <n v="0"/>
    <n v="0"/>
    <n v="0"/>
    <n v="52"/>
    <n v="78"/>
  </r>
  <r>
    <n v="3515"/>
    <x v="1"/>
    <s v="2014/7344"/>
    <s v="Wereldhave Site"/>
    <s v="56-70, 56-66 Putney High Street"/>
    <m/>
    <n v="524039"/>
    <n v="175460"/>
    <x v="13"/>
    <m/>
    <m/>
    <n v="2"/>
    <n v="19"/>
    <n v="17"/>
    <n v="97"/>
    <n v="95"/>
    <s v="Y"/>
    <s v="Demolition of existing building and erection of a new mixed use development up to six-storeys high, with a partial seventh-storey along Felsham Road frontage (recessed on all sides), plus the provision of basement levels, providing 3137 sq.m. of commercial floorspace (flexible class A1, A2 or A3 uses) at ground floor and basement level; 447 sq.m. of class D2 assembly and leisure use (predominantly at basement level with separate entrance off Walkers Place), and 97 residential units on the upper floors (comprising 1x studio, 33 x one-bedroom; 57 x two-bedroom and 6 x three-bedroom units), with associated balconies, roof terraces and winter gardens, with 26 basement car parking spaces (accessed via car lift off Felsham Road), and associated cycle parking spaces; mechanical plant; landscaping and public realm works, including provision of a new public square along Lacy Road."/>
    <s v="PFLA"/>
    <d v="2015-01-06T00:00:00"/>
    <d v="2016-04-29T00:00:00"/>
    <x v="0"/>
    <s v="Nil"/>
    <m/>
    <s v="BF"/>
    <x v="0"/>
    <x v="1"/>
    <x v="1"/>
    <n v="5.7999998331069898E-2"/>
    <m/>
    <x v="0"/>
    <m/>
    <x v="1"/>
    <s v="HASO"/>
    <s v="6.1.1"/>
    <m/>
    <n v="19"/>
    <m/>
    <n v="2"/>
    <m/>
    <n v="0"/>
    <n v="14"/>
    <n v="5"/>
    <n v="-2"/>
    <n v="0"/>
    <n v="0"/>
    <n v="0"/>
    <n v="0"/>
    <n v="14"/>
    <n v="5"/>
    <n v="-2"/>
    <n v="0"/>
    <n v="0"/>
    <n v="0"/>
    <n v="0"/>
    <n v="0"/>
    <n v="0"/>
    <n v="0"/>
    <n v="0"/>
    <n v="0"/>
    <n v="0"/>
    <n v="0"/>
    <n v="0"/>
    <n v="0"/>
    <n v="0"/>
    <n v="0"/>
    <n v="0"/>
    <n v="0"/>
    <s v="West"/>
    <x v="3"/>
    <x v="0"/>
    <x v="1"/>
    <x v="0"/>
    <x v="0"/>
    <x v="0"/>
    <m/>
    <x v="0"/>
    <s v="Y"/>
    <s v="5B"/>
    <m/>
    <n v="0"/>
    <n v="0"/>
    <n v="0"/>
    <n v="0"/>
    <n v="6.333333333333333"/>
    <n v="6.333333333333333"/>
    <n v="6.333333333333333"/>
    <n v="0"/>
    <n v="0"/>
    <n v="0"/>
    <n v="0"/>
    <n v="0"/>
    <n v="0"/>
    <n v="0"/>
    <n v="0"/>
    <n v="0"/>
    <n v="0"/>
    <n v="0"/>
    <n v="0"/>
    <n v="0"/>
    <n v="0"/>
    <n v="12.666666666666666"/>
    <n v="19"/>
  </r>
  <r>
    <n v="3516"/>
    <x v="0"/>
    <s v="2015/7533"/>
    <s v="Vista, Chelsea Bridge"/>
    <s v="Marco Polo House, 346 Queenstown Road"/>
    <s v="Block C"/>
    <n v="528672"/>
    <n v="177315"/>
    <x v="6"/>
    <d v="2014-07-08T00:00:00"/>
    <d v="2018-03-31T00:00:00"/>
    <n v="0"/>
    <n v="275"/>
    <n v="275"/>
    <n v="453"/>
    <n v="453"/>
    <s v="Y"/>
    <s v="Application pursuant to s73 for further variation of condition 13 (approved drawing numbers) to enable minor material amendment to planning permission granted 30 March 2012 (ref: 2011/2089, as amended) for demolition of the existing buildings, erection of two new buildings of up to 17-storeys and 15-storeys in height to provide 456 residential units (reduced by subsequent amendments to 448 dwellings) and 1,257sqm of commercial floor area comprising of office (B1 and A2), retail (A1) and café/restaurant (A3) uses, together with new pedestrian link and vehicular access, basement car and cycle parking, landscaping, excavation works and servicing. Amendment relates to the relocation of affordable business unit and the creation of two duplex residential apartments to Block L at ground and basement level."/>
    <s v="S73"/>
    <d v="2015-12-24T00:00:00"/>
    <d v="2016-06-20T00:00:00"/>
    <x v="0"/>
    <s v="Nil"/>
    <m/>
    <s v="BF"/>
    <x v="0"/>
    <x v="1"/>
    <x v="1"/>
    <n v="0.66799998283386197"/>
    <d v="2014-07-08T00:00:00"/>
    <x v="0"/>
    <d v="2018-03-31T00:00:00"/>
    <x v="0"/>
    <s v="P"/>
    <s v="2.1.5"/>
    <m/>
    <n v="0"/>
    <m/>
    <n v="0"/>
    <n v="45"/>
    <n v="0"/>
    <n v="60"/>
    <n v="126"/>
    <n v="82"/>
    <n v="7"/>
    <n v="0"/>
    <n v="0"/>
    <n v="0"/>
    <n v="60"/>
    <n v="126"/>
    <n v="82"/>
    <n v="7"/>
    <n v="0"/>
    <n v="0"/>
    <n v="0"/>
    <n v="0"/>
    <n v="0"/>
    <n v="0"/>
    <n v="0"/>
    <n v="0"/>
    <n v="0"/>
    <n v="0"/>
    <n v="0"/>
    <n v="0"/>
    <n v="0"/>
    <n v="0"/>
    <n v="0"/>
    <n v="0"/>
    <s v="Strategic Planning/Nine Elms"/>
    <x v="0"/>
    <x v="1"/>
    <x v="1"/>
    <x v="0"/>
    <x v="0"/>
    <x v="0"/>
    <m/>
    <x v="0"/>
    <s v="Y"/>
    <n v="1"/>
    <m/>
    <n v="275"/>
    <n v="0"/>
    <n v="0"/>
    <n v="0"/>
    <n v="0"/>
    <n v="0"/>
    <n v="0"/>
    <n v="0"/>
    <n v="0"/>
    <n v="0"/>
    <n v="0"/>
    <n v="0"/>
    <n v="0"/>
    <n v="0"/>
    <n v="0"/>
    <n v="0"/>
    <n v="0"/>
    <n v="0"/>
    <n v="0"/>
    <n v="0"/>
    <n v="0"/>
    <n v="0"/>
    <n v="0"/>
  </r>
  <r>
    <n v="3516"/>
    <x v="0"/>
    <s v="2015/7533"/>
    <s v="Vista, Chelsea Bridge"/>
    <s v="Marco Polo House, 346 Queenstown Road"/>
    <s v="Block L"/>
    <n v="528672"/>
    <n v="177315"/>
    <x v="6"/>
    <d v="2014-07-08T00:00:00"/>
    <d v="2018-03-31T00:00:00"/>
    <n v="0"/>
    <n v="110"/>
    <n v="110"/>
    <n v="453"/>
    <n v="453"/>
    <s v="Y"/>
    <s v="Application pursuant to s73 for further variation of condition 13 (approved drawing numbers) to enable minor material amendment to planning permission granted 30 March 2012 (ref: 2011/2089, as amended) for demolition of the existing buildings, erection of two new buildings of up to 17-storeys and 15-storeys in height to provide 456 residential units (reduced by subsequent amendments to 448 dwellings) and 1,257sqm of commercial floor area comprising of office (B1 and A2), retail (A1) and café/restaurant (A3) uses, together with new pedestrian link and vehicular access, basement car and cycle parking, landscaping, excavation works and servicing. Amendment relates to the relocation of affordable business unit and the creation of two duplex residential apartments to Block L at ground and basement level."/>
    <s v="S73"/>
    <d v="2015-12-24T00:00:00"/>
    <d v="2016-06-20T00:00:00"/>
    <x v="0"/>
    <s v="Nil"/>
    <m/>
    <s v="BF"/>
    <x v="0"/>
    <x v="1"/>
    <x v="1"/>
    <n v="0.26699998974800099"/>
    <d v="2014-07-08T00:00:00"/>
    <x v="0"/>
    <d v="2018-03-31T00:00:00"/>
    <x v="0"/>
    <s v="P"/>
    <s v="2.1.5"/>
    <m/>
    <n v="0"/>
    <m/>
    <n v="0"/>
    <m/>
    <n v="0"/>
    <n v="22"/>
    <n v="54"/>
    <n v="34"/>
    <n v="0"/>
    <n v="0"/>
    <n v="0"/>
    <n v="0"/>
    <n v="22"/>
    <n v="54"/>
    <n v="34"/>
    <n v="0"/>
    <n v="0"/>
    <n v="0"/>
    <n v="0"/>
    <n v="0"/>
    <n v="0"/>
    <n v="0"/>
    <n v="0"/>
    <n v="0"/>
    <n v="0"/>
    <n v="0"/>
    <n v="0"/>
    <n v="0"/>
    <n v="0"/>
    <n v="0"/>
    <n v="0"/>
    <n v="0"/>
    <s v="Strategic Planning/Nine Elms"/>
    <x v="0"/>
    <x v="1"/>
    <x v="1"/>
    <x v="0"/>
    <x v="0"/>
    <x v="0"/>
    <m/>
    <x v="0"/>
    <s v="Y"/>
    <n v="1"/>
    <m/>
    <n v="110"/>
    <n v="0"/>
    <n v="0"/>
    <n v="0"/>
    <n v="0"/>
    <n v="0"/>
    <n v="0"/>
    <n v="0"/>
    <n v="0"/>
    <n v="0"/>
    <n v="0"/>
    <n v="0"/>
    <n v="0"/>
    <n v="0"/>
    <n v="0"/>
    <n v="0"/>
    <n v="0"/>
    <n v="0"/>
    <n v="0"/>
    <n v="0"/>
    <n v="0"/>
    <n v="0"/>
    <n v="0"/>
  </r>
  <r>
    <n v="3516"/>
    <x v="0"/>
    <s v="2015/7533"/>
    <s v="Vista, Chelsea Bridge"/>
    <s v="Marco Polo House, 346 Queenstown Road"/>
    <s v="Block L"/>
    <n v="528672"/>
    <n v="177315"/>
    <x v="6"/>
    <d v="2014-07-08T00:00:00"/>
    <d v="2018-03-31T00:00:00"/>
    <n v="0"/>
    <n v="54"/>
    <n v="54"/>
    <n v="453"/>
    <n v="453"/>
    <s v="Y"/>
    <s v="Application pursuant to s73 for further variation of condition 13 (approved drawing numbers) to enable minor material amendment to planning permission granted 30 March 2012 (ref: 2011/2089, as amended) for demolition of the existing buildings, erection of two new buildings of up to 17-storeys and 15-storeys in height to provide 456 residential units (reduced by subsequent amendments to 448 dwellings) and 1,257sqm of commercial floor area comprising of office (B1 and A2), retail (A1) and café/restaurant (A3) uses, together with new pedestrian link and vehicular access, basement car and cycle parking, landscaping, excavation works and servicing. Amendment relates to the relocation of affordable business unit and the creation of two duplex residential apartments to Block L at ground and basement level."/>
    <s v="S73"/>
    <d v="2015-12-24T00:00:00"/>
    <d v="2016-06-20T00:00:00"/>
    <x v="0"/>
    <s v="Nil"/>
    <m/>
    <s v="BF"/>
    <x v="0"/>
    <x v="1"/>
    <x v="1"/>
    <n v="0.13099999725818601"/>
    <d v="2014-07-08T00:00:00"/>
    <x v="0"/>
    <d v="2018-03-31T00:00:00"/>
    <x v="1"/>
    <s v="HAIS"/>
    <s v="2.1.5"/>
    <m/>
    <n v="0"/>
    <m/>
    <n v="0"/>
    <m/>
    <n v="0"/>
    <n v="19"/>
    <n v="35"/>
    <n v="0"/>
    <n v="0"/>
    <n v="0"/>
    <n v="0"/>
    <n v="0"/>
    <n v="19"/>
    <n v="35"/>
    <n v="0"/>
    <n v="0"/>
    <n v="0"/>
    <n v="0"/>
    <n v="0"/>
    <n v="0"/>
    <n v="0"/>
    <n v="0"/>
    <n v="0"/>
    <n v="0"/>
    <n v="0"/>
    <n v="0"/>
    <n v="0"/>
    <n v="0"/>
    <n v="0"/>
    <n v="0"/>
    <n v="0"/>
    <n v="0"/>
    <s v="Strategic Planning/Nine Elms"/>
    <x v="0"/>
    <x v="1"/>
    <x v="1"/>
    <x v="0"/>
    <x v="0"/>
    <x v="0"/>
    <m/>
    <x v="0"/>
    <s v="Y"/>
    <n v="1"/>
    <m/>
    <n v="54"/>
    <n v="0"/>
    <n v="0"/>
    <n v="0"/>
    <n v="0"/>
    <n v="0"/>
    <n v="0"/>
    <n v="0"/>
    <n v="0"/>
    <n v="0"/>
    <n v="0"/>
    <n v="0"/>
    <n v="0"/>
    <n v="0"/>
    <n v="0"/>
    <n v="0"/>
    <n v="0"/>
    <n v="0"/>
    <n v="0"/>
    <n v="0"/>
    <n v="0"/>
    <n v="0"/>
    <n v="0"/>
  </r>
  <r>
    <n v="3516"/>
    <x v="0"/>
    <s v="2015/7533"/>
    <s v="Vista, Chelsea Bridge"/>
    <s v="Marco Polo House, 346 Queenstown Road"/>
    <s v="Block L"/>
    <n v="528672"/>
    <n v="177315"/>
    <x v="6"/>
    <d v="2014-07-08T00:00:00"/>
    <d v="2018-03-31T00:00:00"/>
    <n v="0"/>
    <n v="14"/>
    <n v="14"/>
    <n v="453"/>
    <n v="453"/>
    <s v="Y"/>
    <s v="Application pursuant to s73 for further variation of condition 13 (approved drawing numbers) to enable minor material amendment to planning permission granted 30 March 2012 (ref: 2011/2089, as amended) for demolition of the existing buildings, erection of two new buildings of up to 17-storeys and 15-storeys in height to provide 456 residential units (reduced by subsequent amendments to 448 dwellings) and 1,257sqm of commercial floor area comprising of office (B1 and A2), retail (A1) and café/restaurant (A3) uses, together with new pedestrian link and vehicular access, basement car and cycle parking, landscaping, excavation works and servicing. Amendment relates to the relocation of affordable business unit and the creation of two duplex residential apartments to Block L at ground and basement level."/>
    <s v="S73"/>
    <d v="2015-12-24T00:00:00"/>
    <d v="2016-06-20T00:00:00"/>
    <x v="0"/>
    <s v="Nil"/>
    <m/>
    <s v="BF"/>
    <x v="0"/>
    <x v="1"/>
    <x v="1"/>
    <n v="3.4000001847744002E-2"/>
    <d v="2014-07-08T00:00:00"/>
    <x v="0"/>
    <d v="2018-03-31T00:00:00"/>
    <x v="1"/>
    <s v="HAIU"/>
    <s v="2.1.5"/>
    <m/>
    <n v="0"/>
    <m/>
    <n v="0"/>
    <m/>
    <n v="0"/>
    <n v="0"/>
    <n v="0"/>
    <n v="14"/>
    <n v="0"/>
    <n v="0"/>
    <n v="0"/>
    <n v="0"/>
    <n v="0"/>
    <n v="0"/>
    <n v="14"/>
    <n v="0"/>
    <n v="0"/>
    <n v="0"/>
    <n v="0"/>
    <n v="0"/>
    <n v="0"/>
    <n v="0"/>
    <n v="0"/>
    <n v="0"/>
    <n v="0"/>
    <n v="0"/>
    <n v="0"/>
    <n v="0"/>
    <n v="0"/>
    <n v="0"/>
    <n v="0"/>
    <n v="0"/>
    <s v="Strategic Planning/Nine Elms"/>
    <x v="0"/>
    <x v="1"/>
    <x v="1"/>
    <x v="0"/>
    <x v="0"/>
    <x v="0"/>
    <m/>
    <x v="0"/>
    <s v="Y"/>
    <n v="1"/>
    <m/>
    <n v="14"/>
    <n v="0"/>
    <n v="0"/>
    <n v="0"/>
    <n v="0"/>
    <n v="0"/>
    <n v="0"/>
    <n v="0"/>
    <n v="0"/>
    <n v="0"/>
    <n v="0"/>
    <n v="0"/>
    <n v="0"/>
    <n v="0"/>
    <n v="0"/>
    <n v="0"/>
    <n v="0"/>
    <n v="0"/>
    <n v="0"/>
    <n v="0"/>
    <n v="0"/>
    <n v="0"/>
    <n v="0"/>
  </r>
  <r>
    <n v="3518"/>
    <x v="0"/>
    <s v="2012/5286"/>
    <s v="The Ram Quarter"/>
    <s v="Ram Brewery, Capital Studios &amp; Duvall Works, Ram Street/Armoury Way/Wandsworth High Street"/>
    <s v="Building 03B"/>
    <n v="525666"/>
    <n v="174804"/>
    <x v="0"/>
    <d v="2015-04-01T00:00:00"/>
    <m/>
    <n v="0"/>
    <n v="55"/>
    <n v="55"/>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x v="0"/>
    <x v="1"/>
    <x v="1"/>
    <n v="0"/>
    <d v="2015-04-01T00:00:00"/>
    <x v="0"/>
    <d v="2018-02-21T00:00:00"/>
    <x v="0"/>
    <s v="P"/>
    <s v="3.1.2"/>
    <m/>
    <n v="0"/>
    <m/>
    <n v="7"/>
    <m/>
    <n v="2"/>
    <n v="20"/>
    <n v="11"/>
    <n v="22"/>
    <n v="0"/>
    <n v="0"/>
    <n v="0"/>
    <n v="2"/>
    <n v="20"/>
    <n v="11"/>
    <n v="22"/>
    <n v="0"/>
    <n v="0"/>
    <n v="0"/>
    <n v="0"/>
    <n v="0"/>
    <n v="0"/>
    <n v="0"/>
    <n v="0"/>
    <n v="0"/>
    <n v="0"/>
    <n v="0"/>
    <n v="0"/>
    <n v="0"/>
    <n v="0"/>
    <n v="0"/>
    <n v="0"/>
    <n v="0"/>
    <s v="West"/>
    <x v="4"/>
    <x v="0"/>
    <x v="0"/>
    <x v="0"/>
    <x v="0"/>
    <x v="0"/>
    <m/>
    <x v="0"/>
    <s v="Y"/>
    <n v="1"/>
    <m/>
    <n v="55"/>
    <n v="0"/>
    <n v="0"/>
    <n v="0"/>
    <n v="0"/>
    <n v="0"/>
    <n v="0"/>
    <n v="0"/>
    <n v="0"/>
    <n v="0"/>
    <n v="0"/>
    <n v="0"/>
    <n v="0"/>
    <n v="0"/>
    <n v="0"/>
    <n v="0"/>
    <n v="0"/>
    <n v="0"/>
    <n v="0"/>
    <n v="0"/>
    <n v="0"/>
    <n v="0"/>
    <n v="0"/>
  </r>
  <r>
    <n v="3518"/>
    <x v="0"/>
    <s v="2012/5286"/>
    <s v="The Ram Quarter"/>
    <s v="Ram Brewery, Capital Studios &amp; Duvall Works, Ram Street/Armoury Way/Wandsworth High Street"/>
    <s v="Building 03C"/>
    <n v="525666"/>
    <n v="174804"/>
    <x v="0"/>
    <d v="2015-04-01T00:00:00"/>
    <m/>
    <n v="0"/>
    <n v="87"/>
    <n v="87"/>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x v="0"/>
    <x v="1"/>
    <x v="1"/>
    <n v="0"/>
    <d v="2015-04-01T00:00:00"/>
    <x v="0"/>
    <d v="2018-02-21T00:00:00"/>
    <x v="0"/>
    <s v="P"/>
    <s v="3.1.2"/>
    <m/>
    <m/>
    <m/>
    <n v="8"/>
    <m/>
    <n v="7"/>
    <n v="33"/>
    <n v="22"/>
    <n v="24"/>
    <n v="1"/>
    <n v="0"/>
    <n v="0"/>
    <n v="7"/>
    <n v="33"/>
    <n v="22"/>
    <n v="24"/>
    <n v="1"/>
    <n v="0"/>
    <n v="0"/>
    <n v="0"/>
    <n v="0"/>
    <n v="0"/>
    <n v="0"/>
    <n v="0"/>
    <n v="0"/>
    <n v="0"/>
    <n v="0"/>
    <n v="0"/>
    <n v="0"/>
    <n v="0"/>
    <n v="0"/>
    <n v="0"/>
    <n v="0"/>
    <s v="West"/>
    <x v="4"/>
    <x v="0"/>
    <x v="0"/>
    <x v="0"/>
    <x v="0"/>
    <x v="0"/>
    <m/>
    <x v="0"/>
    <s v="Y"/>
    <n v="1"/>
    <m/>
    <n v="87"/>
    <n v="0"/>
    <n v="0"/>
    <n v="0"/>
    <n v="0"/>
    <n v="0"/>
    <n v="0"/>
    <n v="0"/>
    <n v="0"/>
    <n v="0"/>
    <n v="0"/>
    <n v="0"/>
    <n v="0"/>
    <n v="0"/>
    <n v="0"/>
    <n v="0"/>
    <n v="0"/>
    <n v="0"/>
    <n v="0"/>
    <n v="0"/>
    <n v="0"/>
    <n v="0"/>
    <n v="0"/>
  </r>
  <r>
    <n v="3518"/>
    <x v="0"/>
    <s v="2012/5286"/>
    <s v="The Ram Quarter"/>
    <s v="Ram Brewery, Capital Studios &amp; Duvall Works, Ram Street/Armoury Way/Wandsworth High Street"/>
    <s v="Building 10J"/>
    <n v="525666"/>
    <n v="174804"/>
    <x v="0"/>
    <d v="2015-04-01T00:00:00"/>
    <m/>
    <n v="0"/>
    <n v="63"/>
    <n v="63"/>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x v="0"/>
    <x v="1"/>
    <x v="1"/>
    <n v="0"/>
    <d v="2015-04-01T00:00:00"/>
    <x v="0"/>
    <d v="2018-02-21T00:00:00"/>
    <x v="0"/>
    <s v="P"/>
    <s v="3.1.2"/>
    <m/>
    <n v="0"/>
    <m/>
    <n v="14"/>
    <m/>
    <n v="1"/>
    <n v="29"/>
    <n v="21"/>
    <n v="11"/>
    <n v="1"/>
    <n v="0"/>
    <n v="0"/>
    <n v="1"/>
    <n v="29"/>
    <n v="21"/>
    <n v="11"/>
    <n v="1"/>
    <n v="0"/>
    <n v="0"/>
    <n v="0"/>
    <n v="0"/>
    <n v="0"/>
    <n v="0"/>
    <n v="0"/>
    <n v="0"/>
    <n v="0"/>
    <n v="0"/>
    <n v="0"/>
    <n v="0"/>
    <n v="0"/>
    <n v="0"/>
    <n v="0"/>
    <n v="0"/>
    <s v="West"/>
    <x v="4"/>
    <x v="0"/>
    <x v="0"/>
    <x v="0"/>
    <x v="0"/>
    <x v="0"/>
    <m/>
    <x v="0"/>
    <s v="Y"/>
    <n v="1"/>
    <m/>
    <n v="63"/>
    <n v="0"/>
    <n v="0"/>
    <n v="0"/>
    <n v="0"/>
    <n v="0"/>
    <n v="0"/>
    <n v="0"/>
    <n v="0"/>
    <n v="0"/>
    <n v="0"/>
    <n v="0"/>
    <n v="0"/>
    <n v="0"/>
    <n v="0"/>
    <n v="0"/>
    <n v="0"/>
    <n v="0"/>
    <n v="0"/>
    <n v="0"/>
    <n v="0"/>
    <n v="0"/>
    <n v="0"/>
  </r>
  <r>
    <n v="3518"/>
    <x v="0"/>
    <s v="2012/5286"/>
    <s v="The Ram Quarter"/>
    <s v="Ram Brewery, Capital Studios &amp; Duvall Works, Ram Street/Armoury Way/Wandsworth High Street"/>
    <s v="Building 12"/>
    <n v="525666"/>
    <n v="174804"/>
    <x v="0"/>
    <d v="2015-04-01T00:00:00"/>
    <m/>
    <n v="0"/>
    <n v="12"/>
    <n v="12"/>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x v="0"/>
    <x v="1"/>
    <x v="1"/>
    <n v="0"/>
    <d v="2015-04-01T00:00:00"/>
    <x v="0"/>
    <d v="2018-03-31T00:00:00"/>
    <x v="0"/>
    <s v="P"/>
    <s v="3.1.2"/>
    <m/>
    <n v="0"/>
    <m/>
    <n v="0"/>
    <m/>
    <n v="0"/>
    <n v="6"/>
    <n v="6"/>
    <n v="0"/>
    <n v="0"/>
    <n v="0"/>
    <n v="0"/>
    <n v="0"/>
    <n v="6"/>
    <n v="6"/>
    <n v="0"/>
    <n v="0"/>
    <n v="0"/>
    <n v="0"/>
    <n v="0"/>
    <n v="0"/>
    <n v="0"/>
    <n v="0"/>
    <n v="0"/>
    <n v="0"/>
    <n v="0"/>
    <n v="0"/>
    <n v="0"/>
    <n v="0"/>
    <n v="0"/>
    <n v="0"/>
    <n v="0"/>
    <n v="0"/>
    <s v="West"/>
    <x v="4"/>
    <x v="0"/>
    <x v="0"/>
    <x v="0"/>
    <x v="0"/>
    <x v="0"/>
    <m/>
    <x v="0"/>
    <s v="Y"/>
    <n v="1"/>
    <m/>
    <n v="12"/>
    <n v="0"/>
    <n v="0"/>
    <n v="0"/>
    <n v="0"/>
    <n v="0"/>
    <n v="0"/>
    <n v="0"/>
    <n v="0"/>
    <n v="0"/>
    <n v="0"/>
    <n v="0"/>
    <n v="0"/>
    <n v="0"/>
    <n v="0"/>
    <n v="0"/>
    <n v="0"/>
    <n v="0"/>
    <n v="0"/>
    <n v="0"/>
    <n v="0"/>
    <n v="0"/>
    <n v="0"/>
  </r>
  <r>
    <n v="3577"/>
    <x v="0"/>
    <s v="2010/0722"/>
    <m/>
    <s v="74 St Rule Street"/>
    <m/>
    <n v="529035"/>
    <n v="176328"/>
    <x v="6"/>
    <d v="2012-02-06T00:00:00"/>
    <d v="2017-12-18T00:00:00"/>
    <n v="2"/>
    <n v="9"/>
    <n v="7"/>
    <n v="9"/>
    <n v="7"/>
    <m/>
    <s v="Demolition of existing public house building. Redevelopment of the site to provide a five-storey building with shops and a cafe/community area on the ground floor and nine flats above with balconies/terraces, with 10 basement parking spaces."/>
    <s v="PF"/>
    <d v="2010-07-23T00:00:00"/>
    <d v="2010-10-13T00:00:00"/>
    <x v="0"/>
    <s v="Nil"/>
    <m/>
    <s v="BF"/>
    <x v="0"/>
    <x v="0"/>
    <x v="0"/>
    <n v="3.29999998211861E-2"/>
    <d v="2012-02-06T00:00:00"/>
    <x v="0"/>
    <d v="2017-12-18T00:00:00"/>
    <x v="0"/>
    <s v="P"/>
    <m/>
    <m/>
    <n v="9"/>
    <m/>
    <n v="1"/>
    <m/>
    <n v="0"/>
    <n v="2"/>
    <n v="2"/>
    <n v="3"/>
    <n v="0"/>
    <n v="0"/>
    <n v="0"/>
    <n v="0"/>
    <n v="2"/>
    <n v="2"/>
    <n v="3"/>
    <n v="0"/>
    <n v="0"/>
    <n v="0"/>
    <n v="0"/>
    <n v="0"/>
    <n v="0"/>
    <n v="0"/>
    <n v="0"/>
    <n v="0"/>
    <n v="0"/>
    <n v="0"/>
    <n v="0"/>
    <n v="0"/>
    <n v="0"/>
    <n v="0"/>
    <n v="0"/>
    <n v="0"/>
    <s v="Strategic Planning/Nine Elms"/>
    <x v="0"/>
    <x v="1"/>
    <x v="1"/>
    <x v="0"/>
    <x v="0"/>
    <x v="0"/>
    <m/>
    <x v="0"/>
    <s v="Y"/>
    <n v="1"/>
    <m/>
    <n v="7"/>
    <n v="0"/>
    <n v="0"/>
    <n v="0"/>
    <n v="0"/>
    <n v="0"/>
    <n v="0"/>
    <n v="0"/>
    <n v="0"/>
    <n v="0"/>
    <n v="0"/>
    <n v="0"/>
    <n v="0"/>
    <n v="0"/>
    <n v="0"/>
    <n v="0"/>
    <n v="0"/>
    <n v="0"/>
    <n v="0"/>
    <n v="0"/>
    <n v="0"/>
    <n v="0"/>
    <n v="0"/>
  </r>
  <r>
    <n v="3704"/>
    <x v="0"/>
    <s v="2014/2898"/>
    <m/>
    <s v="Garage adjoining 67, 67A Blakenham Road"/>
    <m/>
    <n v="527795"/>
    <n v="171699"/>
    <x v="8"/>
    <d v="2017-08-16T00:00:00"/>
    <d v="2017-12-11T00:00:00"/>
    <n v="0"/>
    <n v="1"/>
    <n v="1"/>
    <n v="1"/>
    <n v="1"/>
    <m/>
    <s v="Change of use from store (Class B8) to a one-bedroom dwelling (Class C3)."/>
    <s v="PF"/>
    <d v="2014-07-03T00:00:00"/>
    <d v="2014-09-11T00:00:00"/>
    <x v="0"/>
    <s v="Nil"/>
    <m/>
    <s v="BF"/>
    <x v="3"/>
    <x v="0"/>
    <x v="5"/>
    <n v="4.0000001899898104E-3"/>
    <d v="2017-08-16T00:00:00"/>
    <x v="1"/>
    <d v="2017-12-11T00:00:00"/>
    <x v="0"/>
    <s v="P"/>
    <m/>
    <m/>
    <n v="0"/>
    <m/>
    <n v="0"/>
    <m/>
    <n v="0"/>
    <n v="1"/>
    <n v="0"/>
    <n v="0"/>
    <n v="0"/>
    <n v="0"/>
    <n v="0"/>
    <n v="0"/>
    <n v="0"/>
    <n v="0"/>
    <n v="0"/>
    <n v="0"/>
    <n v="0"/>
    <n v="0"/>
    <n v="0"/>
    <n v="1"/>
    <n v="0"/>
    <n v="0"/>
    <n v="0"/>
    <n v="0"/>
    <n v="0"/>
    <n v="0"/>
    <n v="0"/>
    <n v="0"/>
    <n v="0"/>
    <n v="0"/>
    <n v="0"/>
    <n v="0"/>
    <s v="East"/>
    <x v="0"/>
    <x v="0"/>
    <x v="1"/>
    <x v="0"/>
    <x v="0"/>
    <x v="0"/>
    <m/>
    <x v="0"/>
    <s v="Y"/>
    <n v="7"/>
    <m/>
    <n v="1"/>
    <n v="0"/>
    <n v="0"/>
    <n v="0"/>
    <n v="0"/>
    <n v="0"/>
    <n v="0"/>
    <n v="0"/>
    <n v="0"/>
    <n v="0"/>
    <n v="0"/>
    <n v="0"/>
    <n v="0"/>
    <n v="0"/>
    <n v="0"/>
    <n v="0"/>
    <n v="0"/>
    <n v="0"/>
    <n v="0"/>
    <n v="0"/>
    <n v="0"/>
    <n v="0"/>
    <n v="0"/>
  </r>
  <r>
    <n v="3743"/>
    <x v="0"/>
    <s v="2016/2345"/>
    <m/>
    <s v="294 Cavendish Road"/>
    <m/>
    <n v="529002"/>
    <n v="173313"/>
    <x v="9"/>
    <d v="2017-03-16T00:00:00"/>
    <d v="2017-06-29T00:00:00"/>
    <n v="1"/>
    <n v="1"/>
    <n v="0"/>
    <n v="1"/>
    <n v="0"/>
    <m/>
    <s v="Conversion of ground floor minicab (use class sui generis) and upper floor flat to a 5-bedroom dwellinghouse, and replacement of shopfront with windows and front door."/>
    <s v="PF"/>
    <d v="2016-05-17T00:00:00"/>
    <d v="2016-07-12T00:00:00"/>
    <x v="0"/>
    <s v="Nil"/>
    <m/>
    <s v="BF"/>
    <x v="4"/>
    <x v="0"/>
    <x v="7"/>
    <n v="9.9999997764825804E-3"/>
    <d v="2017-03-16T00:00:00"/>
    <x v="0"/>
    <d v="2017-06-29T00:00:00"/>
    <x v="0"/>
    <s v="P"/>
    <m/>
    <m/>
    <n v="0"/>
    <m/>
    <n v="0"/>
    <m/>
    <n v="0"/>
    <n v="0"/>
    <n v="0"/>
    <n v="0"/>
    <n v="-1"/>
    <n v="1"/>
    <n v="0"/>
    <n v="0"/>
    <n v="0"/>
    <n v="0"/>
    <n v="0"/>
    <n v="-1"/>
    <n v="0"/>
    <n v="0"/>
    <n v="0"/>
    <n v="0"/>
    <n v="0"/>
    <n v="0"/>
    <n v="0"/>
    <n v="1"/>
    <n v="0"/>
    <n v="0"/>
    <n v="0"/>
    <n v="0"/>
    <n v="0"/>
    <n v="0"/>
    <n v="0"/>
    <n v="0"/>
    <s v="East"/>
    <x v="0"/>
    <x v="0"/>
    <x v="1"/>
    <x v="0"/>
    <x v="0"/>
    <x v="0"/>
    <m/>
    <x v="0"/>
    <s v="Y"/>
    <n v="7"/>
    <m/>
    <n v="0"/>
    <n v="0"/>
    <n v="0"/>
    <n v="0"/>
    <n v="0"/>
    <n v="0"/>
    <n v="0"/>
    <n v="0"/>
    <n v="0"/>
    <n v="0"/>
    <n v="0"/>
    <n v="0"/>
    <n v="0"/>
    <n v="0"/>
    <n v="0"/>
    <n v="0"/>
    <n v="0"/>
    <n v="0"/>
    <n v="0"/>
    <n v="0"/>
    <n v="0"/>
    <n v="0"/>
    <n v="0"/>
  </r>
  <r>
    <n v="3845"/>
    <x v="0"/>
    <s v="2016/2881"/>
    <m/>
    <s v="88 Bedford Hill"/>
    <m/>
    <n v="528714"/>
    <n v="173055"/>
    <x v="11"/>
    <d v="2016-11-03T00:00:00"/>
    <d v="2017-07-27T00:00:00"/>
    <n v="0"/>
    <n v="1"/>
    <n v="1"/>
    <n v="1"/>
    <n v="1"/>
    <m/>
    <s v="Change of use from retail (Class A1) to residential (Class C3) and erection of single-storey rear extension to create a 2-bedroom flat."/>
    <s v="PF"/>
    <d v="2016-05-19T00:00:00"/>
    <d v="2016-08-18T00:00:00"/>
    <x v="0"/>
    <s v="Nil"/>
    <m/>
    <s v="BF"/>
    <x v="4"/>
    <x v="0"/>
    <x v="4"/>
    <n v="4.0000001899898104E-3"/>
    <d v="2016-11-03T00:00:00"/>
    <x v="0"/>
    <d v="2017-07-27T00:00:00"/>
    <x v="0"/>
    <s v="P"/>
    <m/>
    <m/>
    <n v="0"/>
    <m/>
    <n v="0"/>
    <m/>
    <n v="0"/>
    <n v="0"/>
    <n v="1"/>
    <n v="0"/>
    <n v="0"/>
    <n v="0"/>
    <n v="0"/>
    <n v="0"/>
    <n v="0"/>
    <n v="1"/>
    <n v="0"/>
    <n v="0"/>
    <n v="0"/>
    <n v="0"/>
    <n v="0"/>
    <n v="0"/>
    <n v="0"/>
    <n v="0"/>
    <n v="0"/>
    <n v="0"/>
    <n v="0"/>
    <n v="0"/>
    <n v="0"/>
    <n v="0"/>
    <n v="0"/>
    <n v="0"/>
    <n v="0"/>
    <n v="0"/>
    <s v="East"/>
    <x v="0"/>
    <x v="0"/>
    <x v="1"/>
    <x v="0"/>
    <x v="0"/>
    <x v="0"/>
    <m/>
    <x v="0"/>
    <s v="Y"/>
    <n v="7"/>
    <m/>
    <n v="1"/>
    <n v="0"/>
    <n v="0"/>
    <n v="0"/>
    <n v="0"/>
    <n v="0"/>
    <n v="0"/>
    <n v="0"/>
    <n v="0"/>
    <n v="0"/>
    <n v="0"/>
    <n v="0"/>
    <n v="0"/>
    <n v="0"/>
    <n v="0"/>
    <n v="0"/>
    <n v="0"/>
    <n v="0"/>
    <n v="0"/>
    <n v="0"/>
    <n v="0"/>
    <n v="0"/>
    <n v="0"/>
  </r>
  <r>
    <n v="3944"/>
    <x v="0"/>
    <s v="2016/4720"/>
    <s v="The Residence"/>
    <s v="Christies Auctioneers Depot, 40-42 Ponton Road"/>
    <s v="Western Parcel"/>
    <n v="529725"/>
    <n v="177404"/>
    <x v="6"/>
    <d v="2015-04-01T00:00:00"/>
    <m/>
    <n v="0"/>
    <n v="114"/>
    <n v="114"/>
    <n v="514"/>
    <n v="514"/>
    <s v="Y"/>
    <s v="Minor Material Amendment Application pursuant to Condition 2 (approved plans) of planning permission dated 20th October 2016 (ref: 2016/1397) for a reconfiguration of internal layouts and associated alterations of Block B within the Eastern Parcel to facilitate a revised residential mix comprising an additional 9 residential units. (Permission 2016/1397 amended original October 2014 permission (ref: 2014/0614), which was for the demolition of existing buildings and redevelopment of the site to provide new buildings ranging from 2 to 19 storeys in height comprising 510 residential units (Use Class C3), including 15% (76 units) affordable housing; 1,352.5 sq.m of flexible commercial (Use Classes A1/A2/A3/B1/D1/D2), and 1,122.5 sq.m of community use floorspace (use class D1), together with ground floor car parking, public realm and landscaping)."/>
    <s v="S73"/>
    <n v="42669"/>
    <d v="2017-03-16T00:00:00"/>
    <x v="0"/>
    <s v="Nil"/>
    <m/>
    <s v="BF"/>
    <x v="0"/>
    <x v="1"/>
    <x v="1"/>
    <n v="0.19099999964237199"/>
    <n v="42095"/>
    <x v="0"/>
    <d v="2017-08-31T00:00:00"/>
    <x v="0"/>
    <s v="PB"/>
    <s v="2.1.19"/>
    <m/>
    <n v="0"/>
    <m/>
    <n v="0"/>
    <m/>
    <n v="0"/>
    <n v="52"/>
    <n v="56"/>
    <n v="6"/>
    <n v="0"/>
    <n v="0"/>
    <n v="0"/>
    <n v="0"/>
    <n v="52"/>
    <n v="56"/>
    <n v="6"/>
    <n v="0"/>
    <n v="0"/>
    <n v="0"/>
    <n v="0"/>
    <n v="0"/>
    <n v="0"/>
    <n v="0"/>
    <n v="0"/>
    <n v="0"/>
    <n v="0"/>
    <n v="0"/>
    <n v="0"/>
    <n v="0"/>
    <n v="0"/>
    <n v="0"/>
    <n v="0"/>
    <n v="0"/>
    <s v="Strategic Planning/Nine Elms"/>
    <x v="0"/>
    <x v="1"/>
    <x v="1"/>
    <x v="0"/>
    <x v="0"/>
    <x v="0"/>
    <m/>
    <x v="0"/>
    <s v="Y"/>
    <n v="1"/>
    <m/>
    <n v="114"/>
    <n v="0"/>
    <n v="0"/>
    <n v="0"/>
    <n v="0"/>
    <n v="0"/>
    <n v="0"/>
    <n v="0"/>
    <n v="0"/>
    <n v="0"/>
    <n v="0"/>
    <n v="0"/>
    <n v="0"/>
    <n v="0"/>
    <n v="0"/>
    <n v="0"/>
    <n v="0"/>
    <n v="0"/>
    <n v="0"/>
    <n v="0"/>
    <n v="0"/>
    <n v="0"/>
    <n v="0"/>
  </r>
  <r>
    <n v="3944"/>
    <x v="0"/>
    <s v="2016/4720"/>
    <s v="The Residence"/>
    <s v="Christies Auctioneers Depot, 40-42 Ponton Road"/>
    <s v="Western Parcel"/>
    <n v="529725"/>
    <n v="177404"/>
    <x v="6"/>
    <d v="2015-04-01T00:00:00"/>
    <m/>
    <n v="0"/>
    <n v="44"/>
    <n v="44"/>
    <n v="514"/>
    <n v="514"/>
    <s v="Y"/>
    <s v="Minor Material Amendment Application pursuant to Condition 2 (approved plans) of planning permission dated 20th October 2016 (ref: 2016/1397) for a reconfiguration of internal layouts and associated alterations of Block B within the Eastern Parcel to facilitate a revised residential mix comprising an additional 9 residential units. (Permission 2016/1397 amended original October 2014 permission (ref: 2014/0614), which was for the demolition of existing buildings and redevelopment of the site to provide new buildings ranging from 2 to 19 storeys in height comprising 510 residential units (Use Class C3), including 15% (76 units) affordable housing; 1,352.5 sq.m of flexible commercial (Use Classes A1/A2/A3/B1/D1/D2), and 1,122.5 sq.m of community use floorspace (use class D1), together with ground floor car parking, public realm and landscaping)."/>
    <s v="S73"/>
    <n v="42669"/>
    <d v="2017-03-16T00:00:00"/>
    <x v="0"/>
    <s v="Nil"/>
    <m/>
    <s v="BF"/>
    <x v="0"/>
    <x v="1"/>
    <x v="1"/>
    <n v="7.4000000953674303E-2"/>
    <n v="42095"/>
    <x v="0"/>
    <d v="2017-08-31T00:00:00"/>
    <x v="2"/>
    <s v="HAAR"/>
    <s v="2.1.19"/>
    <m/>
    <n v="0"/>
    <m/>
    <n v="0"/>
    <m/>
    <n v="0"/>
    <n v="7"/>
    <n v="18"/>
    <n v="16"/>
    <n v="3"/>
    <n v="0"/>
    <n v="0"/>
    <n v="0"/>
    <n v="7"/>
    <n v="18"/>
    <n v="16"/>
    <n v="3"/>
    <n v="0"/>
    <n v="0"/>
    <n v="0"/>
    <n v="0"/>
    <n v="0"/>
    <n v="0"/>
    <n v="0"/>
    <n v="0"/>
    <n v="0"/>
    <n v="0"/>
    <n v="0"/>
    <n v="0"/>
    <n v="0"/>
    <n v="0"/>
    <n v="0"/>
    <n v="0"/>
    <s v="Strategic Planning/Nine Elms"/>
    <x v="0"/>
    <x v="1"/>
    <x v="1"/>
    <x v="0"/>
    <x v="0"/>
    <x v="0"/>
    <m/>
    <x v="0"/>
    <s v="Y"/>
    <n v="1"/>
    <m/>
    <n v="44"/>
    <n v="0"/>
    <n v="0"/>
    <n v="0"/>
    <n v="0"/>
    <n v="0"/>
    <n v="0"/>
    <n v="0"/>
    <n v="0"/>
    <n v="0"/>
    <n v="0"/>
    <n v="0"/>
    <n v="0"/>
    <n v="0"/>
    <n v="0"/>
    <n v="0"/>
    <n v="0"/>
    <n v="0"/>
    <n v="0"/>
    <n v="0"/>
    <n v="0"/>
    <n v="0"/>
    <n v="0"/>
  </r>
  <r>
    <n v="3944"/>
    <x v="0"/>
    <s v="2016/4720"/>
    <s v="The Residence"/>
    <s v="Christies Auctioneers Depot, 40-42 Ponton Road"/>
    <s v="Western Parcel"/>
    <n v="529725"/>
    <n v="177404"/>
    <x v="6"/>
    <d v="2015-04-01T00:00:00"/>
    <m/>
    <n v="0"/>
    <n v="32"/>
    <n v="32"/>
    <n v="514"/>
    <n v="514"/>
    <s v="Y"/>
    <s v="Minor Material Amendment Application pursuant to Condition 2 (approved plans) of planning permission dated 20th October 2016 (ref: 2016/1397) for a reconfiguration of internal layouts and associated alterations of Block B within the Eastern Parcel to facilitate a revised residential mix comprising an additional 9 residential units. (Permission 2016/1397 amended original October 2014 permission (ref: 2014/0614), which was for the demolition of existing buildings and redevelopment of the site to provide new buildings ranging from 2 to 19 storeys in height comprising 510 residential units (Use Class C3), including 15% (76 units) affordable housing; 1,352.5 sq.m of flexible commercial (Use Classes A1/A2/A3/B1/D1/D2), and 1,122.5 sq.m of community use floorspace (use class D1), together with ground floor car parking, public realm and landscaping)."/>
    <s v="S73"/>
    <n v="42669"/>
    <d v="2017-03-16T00:00:00"/>
    <x v="0"/>
    <s v="Nil"/>
    <m/>
    <s v="BF"/>
    <x v="0"/>
    <x v="1"/>
    <x v="1"/>
    <n v="5.4000001400709201E-2"/>
    <n v="42095"/>
    <x v="0"/>
    <d v="2017-08-31T00:00:00"/>
    <x v="1"/>
    <s v="HAIU"/>
    <s v="2.1.19"/>
    <m/>
    <n v="0"/>
    <m/>
    <n v="0"/>
    <m/>
    <n v="0"/>
    <n v="18"/>
    <n v="14"/>
    <n v="0"/>
    <n v="0"/>
    <n v="0"/>
    <n v="0"/>
    <n v="0"/>
    <n v="18"/>
    <n v="14"/>
    <n v="0"/>
    <n v="0"/>
    <n v="0"/>
    <n v="0"/>
    <n v="0"/>
    <n v="0"/>
    <n v="0"/>
    <n v="0"/>
    <n v="0"/>
    <n v="0"/>
    <n v="0"/>
    <n v="0"/>
    <n v="0"/>
    <n v="0"/>
    <n v="0"/>
    <n v="0"/>
    <n v="0"/>
    <n v="0"/>
    <s v="Strategic Planning/Nine Elms"/>
    <x v="0"/>
    <x v="1"/>
    <x v="1"/>
    <x v="0"/>
    <x v="0"/>
    <x v="0"/>
    <m/>
    <x v="0"/>
    <s v="Y"/>
    <n v="1"/>
    <m/>
    <n v="32"/>
    <n v="0"/>
    <n v="0"/>
    <n v="0"/>
    <n v="0"/>
    <n v="0"/>
    <n v="0"/>
    <n v="0"/>
    <n v="0"/>
    <n v="0"/>
    <n v="0"/>
    <n v="0"/>
    <n v="0"/>
    <n v="0"/>
    <n v="0"/>
    <n v="0"/>
    <n v="0"/>
    <n v="0"/>
    <n v="0"/>
    <n v="0"/>
    <n v="0"/>
    <n v="0"/>
    <n v="0"/>
  </r>
  <r>
    <n v="4043"/>
    <x v="0"/>
    <s v="2017/0194"/>
    <m/>
    <s v="184 Northcote Road"/>
    <m/>
    <n v="527663"/>
    <n v="174334"/>
    <x v="14"/>
    <d v="2017-07-20T00:00:00"/>
    <d v="2018-03-26T00:00:00"/>
    <n v="0"/>
    <n v="1"/>
    <n v="1"/>
    <n v="1"/>
    <n v="1"/>
    <m/>
    <s v="Determination as to whether prior approval is required for change of use of rear part of ground and first floors from retail (Class A1) to 1 x 1-bedroom residential unit (Class C3), with associated external alterations."/>
    <s v="PANR"/>
    <d v="2017-02-14T00:00:00"/>
    <d v="2017-04-11T00:00:00"/>
    <x v="1"/>
    <s v="Nil"/>
    <m/>
    <s v="BF"/>
    <x v="3"/>
    <x v="0"/>
    <x v="4"/>
    <n v="8.0000003799796104E-3"/>
    <d v="2017-07-20T00:00:00"/>
    <x v="1"/>
    <d v="2018-03-26T00:00:00"/>
    <x v="0"/>
    <s v="P"/>
    <m/>
    <m/>
    <n v="0"/>
    <m/>
    <n v="0"/>
    <m/>
    <n v="0"/>
    <n v="1"/>
    <n v="0"/>
    <n v="0"/>
    <n v="0"/>
    <n v="0"/>
    <n v="0"/>
    <n v="0"/>
    <n v="1"/>
    <n v="0"/>
    <n v="0"/>
    <n v="0"/>
    <n v="0"/>
    <n v="0"/>
    <n v="0"/>
    <n v="0"/>
    <n v="0"/>
    <n v="0"/>
    <n v="0"/>
    <n v="0"/>
    <n v="0"/>
    <n v="0"/>
    <n v="0"/>
    <n v="0"/>
    <n v="0"/>
    <n v="0"/>
    <n v="0"/>
    <n v="0"/>
    <s v="East"/>
    <x v="0"/>
    <x v="0"/>
    <x v="1"/>
    <x v="0"/>
    <x v="0"/>
    <x v="0"/>
    <m/>
    <x v="0"/>
    <s v="Y"/>
    <n v="7"/>
    <m/>
    <n v="1"/>
    <n v="0"/>
    <n v="0"/>
    <n v="0"/>
    <n v="0"/>
    <n v="0"/>
    <n v="0"/>
    <n v="0"/>
    <n v="0"/>
    <n v="0"/>
    <n v="0"/>
    <n v="0"/>
    <n v="0"/>
    <n v="0"/>
    <n v="0"/>
    <n v="0"/>
    <n v="0"/>
    <n v="0"/>
    <n v="0"/>
    <n v="0"/>
    <n v="0"/>
    <n v="0"/>
    <n v="0"/>
  </r>
  <r>
    <n v="4043"/>
    <x v="0"/>
    <s v="2017/3546"/>
    <m/>
    <s v="184 Northcote Road"/>
    <m/>
    <n v="527663"/>
    <n v="174334"/>
    <x v="14"/>
    <d v="2017-07-20T00:00:00"/>
    <d v="2018-03-26T00:00:00"/>
    <n v="1"/>
    <n v="2"/>
    <n v="1"/>
    <n v="2"/>
    <n v="1"/>
    <m/>
    <s v="Alterations including erection of mansard roof extension to main rear roof (with french doors and safety railings) in connection with conversion to 1 x 2-bedroom and 1 x 1-bedroom flats."/>
    <s v="PF"/>
    <d v="2017-07-03T00:00:00"/>
    <d v="2017-08-24T00:00:00"/>
    <x v="1"/>
    <s v="Nil"/>
    <m/>
    <s v="BF"/>
    <x v="1"/>
    <x v="0"/>
    <x v="10"/>
    <n v="8.0000003799796104E-3"/>
    <d v="2017-07-20T00:00:00"/>
    <x v="1"/>
    <d v="2018-03-26T00:00:00"/>
    <x v="0"/>
    <s v="P"/>
    <m/>
    <m/>
    <n v="0"/>
    <m/>
    <n v="0"/>
    <m/>
    <n v="0"/>
    <n v="1"/>
    <n v="1"/>
    <n v="-1"/>
    <n v="0"/>
    <n v="0"/>
    <n v="0"/>
    <n v="0"/>
    <n v="1"/>
    <n v="1"/>
    <n v="-1"/>
    <n v="0"/>
    <n v="0"/>
    <n v="0"/>
    <n v="0"/>
    <n v="0"/>
    <n v="0"/>
    <n v="0"/>
    <n v="0"/>
    <n v="0"/>
    <n v="0"/>
    <n v="0"/>
    <n v="0"/>
    <n v="0"/>
    <n v="0"/>
    <n v="0"/>
    <n v="0"/>
    <n v="0"/>
    <s v="East"/>
    <x v="0"/>
    <x v="0"/>
    <x v="1"/>
    <x v="0"/>
    <x v="0"/>
    <x v="0"/>
    <m/>
    <x v="0"/>
    <s v="Y"/>
    <n v="7"/>
    <m/>
    <n v="1"/>
    <n v="0"/>
    <n v="0"/>
    <n v="0"/>
    <n v="0"/>
    <n v="0"/>
    <n v="0"/>
    <n v="0"/>
    <n v="0"/>
    <n v="0"/>
    <n v="0"/>
    <n v="0"/>
    <n v="0"/>
    <n v="0"/>
    <n v="0"/>
    <n v="0"/>
    <n v="0"/>
    <n v="0"/>
    <n v="0"/>
    <n v="0"/>
    <n v="0"/>
    <n v="0"/>
    <n v="0"/>
  </r>
  <r>
    <n v="4047"/>
    <x v="0"/>
    <s v="2015/2404"/>
    <m/>
    <s v="Unit 2, 10 Bective Place"/>
    <m/>
    <n v="524590"/>
    <n v="175197"/>
    <x v="13"/>
    <d v="2017-05-02T00:00:00"/>
    <d v="2018-01-08T00:00:00"/>
    <n v="0"/>
    <n v="1"/>
    <n v="1"/>
    <n v="1"/>
    <n v="1"/>
    <m/>
    <s v="Determination as to whether prior approval is required for change of use from office (Class B1a) to a two bedroom residential unit (Class C3)."/>
    <s v="PANR"/>
    <d v="2015-05-15T00:00:00"/>
    <d v="2015-07-10T00:00:00"/>
    <x v="0"/>
    <s v="Nil"/>
    <m/>
    <s v="BF"/>
    <x v="3"/>
    <x v="0"/>
    <x v="9"/>
    <n v="8.0000003799796104E-3"/>
    <d v="2017-05-02T00:00:00"/>
    <x v="1"/>
    <d v="2018-01-08T00:00:00"/>
    <x v="0"/>
    <s v="P"/>
    <m/>
    <m/>
    <n v="0"/>
    <m/>
    <n v="0"/>
    <m/>
    <n v="0"/>
    <n v="0"/>
    <n v="1"/>
    <n v="0"/>
    <n v="0"/>
    <n v="0"/>
    <n v="0"/>
    <n v="0"/>
    <n v="0"/>
    <n v="1"/>
    <n v="0"/>
    <n v="0"/>
    <n v="0"/>
    <n v="0"/>
    <n v="0"/>
    <n v="0"/>
    <n v="0"/>
    <n v="0"/>
    <n v="0"/>
    <n v="0"/>
    <n v="0"/>
    <n v="0"/>
    <n v="0"/>
    <n v="0"/>
    <n v="0"/>
    <n v="0"/>
    <n v="0"/>
    <n v="0"/>
    <s v="West"/>
    <x v="0"/>
    <x v="0"/>
    <x v="1"/>
    <x v="0"/>
    <x v="0"/>
    <x v="0"/>
    <m/>
    <x v="0"/>
    <s v="Y"/>
    <n v="7"/>
    <m/>
    <n v="1"/>
    <n v="0"/>
    <n v="0"/>
    <n v="0"/>
    <n v="0"/>
    <n v="0"/>
    <n v="0"/>
    <n v="0"/>
    <n v="0"/>
    <n v="0"/>
    <n v="0"/>
    <n v="0"/>
    <n v="0"/>
    <n v="0"/>
    <n v="0"/>
    <n v="0"/>
    <n v="0"/>
    <n v="0"/>
    <n v="0"/>
    <n v="0"/>
    <n v="0"/>
    <n v="0"/>
    <n v="0"/>
  </r>
  <r>
    <n v="4193"/>
    <x v="0"/>
    <s v="2017/2445"/>
    <m/>
    <s v="71 Hosack Road"/>
    <m/>
    <n v="528045"/>
    <n v="172866"/>
    <x v="11"/>
    <d v="2017-06-23T00:00:00"/>
    <d v="2018-03-31T00:00:00"/>
    <n v="1"/>
    <n v="3"/>
    <n v="2"/>
    <n v="3"/>
    <n v="2"/>
    <m/>
    <s v="Alterations including conversion of property to 1 x 1-bedroom, 1 x 2-bedroom and 1 x 3-bedroom flats with associated cycle and refuse storage."/>
    <s v="PF"/>
    <d v="2017-04-28T00:00:00"/>
    <d v="2017-06-23T00:00:00"/>
    <x v="1"/>
    <s v="Nil"/>
    <m/>
    <s v="BF"/>
    <x v="4"/>
    <x v="0"/>
    <x v="8"/>
    <n v="1.7999999225139601E-2"/>
    <d v="2017-06-23T00:00:00"/>
    <x v="1"/>
    <d v="2018-03-31T00:00:00"/>
    <x v="0"/>
    <s v="P"/>
    <m/>
    <m/>
    <n v="0"/>
    <m/>
    <n v="0"/>
    <m/>
    <n v="0"/>
    <n v="1"/>
    <n v="1"/>
    <n v="1"/>
    <n v="0"/>
    <n v="-1"/>
    <n v="0"/>
    <n v="0"/>
    <n v="1"/>
    <n v="1"/>
    <n v="1"/>
    <n v="0"/>
    <n v="0"/>
    <n v="0"/>
    <n v="0"/>
    <n v="0"/>
    <n v="0"/>
    <n v="0"/>
    <n v="0"/>
    <n v="-1"/>
    <n v="0"/>
    <n v="0"/>
    <n v="0"/>
    <n v="0"/>
    <n v="0"/>
    <n v="0"/>
    <n v="0"/>
    <n v="0"/>
    <s v="East"/>
    <x v="0"/>
    <x v="0"/>
    <x v="1"/>
    <x v="0"/>
    <x v="0"/>
    <x v="0"/>
    <m/>
    <x v="0"/>
    <s v="Y"/>
    <n v="7"/>
    <m/>
    <n v="2"/>
    <n v="0"/>
    <n v="0"/>
    <n v="0"/>
    <n v="0"/>
    <n v="0"/>
    <n v="0"/>
    <n v="0"/>
    <n v="0"/>
    <n v="0"/>
    <n v="0"/>
    <n v="0"/>
    <n v="0"/>
    <n v="0"/>
    <n v="0"/>
    <n v="0"/>
    <n v="0"/>
    <n v="0"/>
    <n v="0"/>
    <n v="0"/>
    <n v="0"/>
    <n v="0"/>
    <n v="0"/>
  </r>
  <r>
    <n v="4669"/>
    <x v="0"/>
    <s v="2014/3609"/>
    <m/>
    <s v="137a Broomwood Road"/>
    <m/>
    <n v="528025"/>
    <n v="174475"/>
    <x v="9"/>
    <d v="2015-09-17T00:00:00"/>
    <d v="2018-03-31T00:00:00"/>
    <n v="1"/>
    <n v="2"/>
    <n v="1"/>
    <n v="2"/>
    <n v="1"/>
    <m/>
    <s v="Construction of a basement extension with front lightwell (with railing surround) and rear lightwell. Construction of single storey rear and side extensions.  Associated internal and external alterations (including provision of bin storage to front) to provide two self-contained flats at ground and basement levels."/>
    <s v="PF"/>
    <d v="2014-06-30T00:00:00"/>
    <d v="2014-10-14T00:00:00"/>
    <x v="0"/>
    <s v="Nil"/>
    <m/>
    <s v="BF"/>
    <x v="4"/>
    <x v="0"/>
    <x v="10"/>
    <n v="8.9999996125698107E-3"/>
    <d v="2015-09-17T00:00:00"/>
    <x v="0"/>
    <d v="2018-03-31T00:00:00"/>
    <x v="0"/>
    <s v="P"/>
    <m/>
    <m/>
    <n v="0"/>
    <m/>
    <n v="0"/>
    <m/>
    <n v="0"/>
    <n v="1"/>
    <n v="-1"/>
    <n v="1"/>
    <n v="0"/>
    <n v="0"/>
    <n v="0"/>
    <n v="0"/>
    <n v="1"/>
    <n v="-1"/>
    <n v="1"/>
    <n v="0"/>
    <n v="0"/>
    <n v="0"/>
    <n v="0"/>
    <n v="0"/>
    <n v="0"/>
    <n v="0"/>
    <n v="0"/>
    <n v="0"/>
    <n v="0"/>
    <n v="0"/>
    <n v="0"/>
    <n v="0"/>
    <n v="0"/>
    <n v="0"/>
    <n v="0"/>
    <n v="0"/>
    <s v="East"/>
    <x v="0"/>
    <x v="0"/>
    <x v="1"/>
    <x v="0"/>
    <x v="0"/>
    <x v="0"/>
    <m/>
    <x v="0"/>
    <s v="Y"/>
    <n v="7"/>
    <m/>
    <n v="1"/>
    <n v="0"/>
    <n v="0"/>
    <n v="0"/>
    <n v="0"/>
    <n v="0"/>
    <n v="0"/>
    <n v="0"/>
    <n v="0"/>
    <n v="0"/>
    <n v="0"/>
    <n v="0"/>
    <n v="0"/>
    <n v="0"/>
    <n v="0"/>
    <n v="0"/>
    <n v="0"/>
    <n v="0"/>
    <n v="0"/>
    <n v="0"/>
    <n v="0"/>
    <n v="0"/>
    <n v="0"/>
  </r>
  <r>
    <n v="4718"/>
    <x v="0"/>
    <s v="2015/7506"/>
    <s v="Embassy Gardens"/>
    <s v="Main Site, Ballymore, Ponton Road"/>
    <s v="A10 - BLOCK A"/>
    <n v="529643"/>
    <n v="177593"/>
    <x v="6"/>
    <d v="2013-01-01T00:00:00"/>
    <d v="2018-03-31T00:00:00"/>
    <n v="0"/>
    <n v="1"/>
    <n v="1"/>
    <n v="8"/>
    <n v="8"/>
    <s v="Y"/>
    <s v="Variation of Condition 61 (approved drawings) in respect of Plots A010 and A11 Phase 1 of planning permission 2011/1815 (as amended) dated 30th of March 2012 for the &quot;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Proposal seeks amendments to the to the ground, first, second and third floor of Plot A10 and the second floor of Plot A11 to provide eight additional residential units."/>
    <s v="S73"/>
    <d v="2015-12-24T00:00:00"/>
    <d v="2017-05-10T00:00:00"/>
    <x v="1"/>
    <s v="Nil"/>
    <m/>
    <s v="BF"/>
    <x v="0"/>
    <x v="1"/>
    <x v="1"/>
    <n v="2.0000000949949E-3"/>
    <d v="2013-01-01T00:00:00"/>
    <x v="0"/>
    <d v="2018-03-31T00:00:00"/>
    <x v="0"/>
    <s v="P"/>
    <s v="2.1.16"/>
    <m/>
    <n v="1"/>
    <m/>
    <n v="0"/>
    <m/>
    <n v="0"/>
    <n v="0"/>
    <n v="1"/>
    <n v="0"/>
    <n v="0"/>
    <n v="0"/>
    <n v="0"/>
    <n v="0"/>
    <n v="0"/>
    <n v="1"/>
    <n v="0"/>
    <n v="0"/>
    <n v="0"/>
    <n v="0"/>
    <n v="0"/>
    <n v="0"/>
    <n v="0"/>
    <n v="0"/>
    <n v="0"/>
    <n v="0"/>
    <n v="0"/>
    <n v="0"/>
    <n v="0"/>
    <n v="0"/>
    <n v="0"/>
    <n v="0"/>
    <n v="0"/>
    <n v="0"/>
    <s v="Strategic Planning/Nine Elms"/>
    <x v="0"/>
    <x v="1"/>
    <x v="1"/>
    <x v="0"/>
    <x v="0"/>
    <x v="0"/>
    <m/>
    <x v="0"/>
    <s v="Y"/>
    <n v="1"/>
    <m/>
    <n v="1"/>
    <n v="0"/>
    <n v="0"/>
    <n v="0"/>
    <n v="0"/>
    <n v="0"/>
    <n v="0"/>
    <n v="0"/>
    <n v="0"/>
    <n v="0"/>
    <n v="0"/>
    <n v="0"/>
    <n v="0"/>
    <n v="0"/>
    <n v="0"/>
    <n v="0"/>
    <n v="0"/>
    <n v="0"/>
    <n v="0"/>
    <n v="0"/>
    <n v="0"/>
    <n v="0"/>
    <n v="0"/>
  </r>
  <r>
    <n v="4718"/>
    <x v="0"/>
    <s v="2015/7506"/>
    <s v="Embassy Gardens"/>
    <s v="Main Site, Ballymore, Ponton Road"/>
    <s v="A10 - BLOCK B"/>
    <n v="529643"/>
    <n v="177593"/>
    <x v="6"/>
    <d v="2013-01-01T00:00:00"/>
    <d v="2018-03-31T00:00:00"/>
    <n v="0"/>
    <n v="6"/>
    <n v="6"/>
    <n v="8"/>
    <n v="8"/>
    <s v="Y"/>
    <s v="Variation of Condition 61 (approved drawings) in respect of Plots A010 and A11 Phase 1 of planning permission 2011/1815 (as amended) dated 30th of March 2012 for the &quot;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Proposal seeks amendments to the to the ground, first, second and third floor of Plot A10 and the second floor of Plot A11 to provide eight additional residential units."/>
    <s v="S73"/>
    <d v="2015-12-24T00:00:00"/>
    <d v="2017-05-10T00:00:00"/>
    <x v="1"/>
    <s v="Nil"/>
    <m/>
    <s v="BF"/>
    <x v="0"/>
    <x v="1"/>
    <x v="1"/>
    <n v="7.0000002160668399E-3"/>
    <d v="2013-01-01T00:00:00"/>
    <x v="0"/>
    <d v="2018-03-31T00:00:00"/>
    <x v="0"/>
    <s v="P"/>
    <s v="2.1.16"/>
    <m/>
    <n v="6"/>
    <m/>
    <n v="1"/>
    <m/>
    <n v="0"/>
    <n v="3"/>
    <n v="2"/>
    <n v="1"/>
    <n v="0"/>
    <n v="0"/>
    <n v="0"/>
    <n v="0"/>
    <n v="3"/>
    <n v="2"/>
    <n v="1"/>
    <n v="0"/>
    <n v="0"/>
    <n v="0"/>
    <n v="0"/>
    <n v="0"/>
    <n v="0"/>
    <n v="0"/>
    <n v="0"/>
    <n v="0"/>
    <n v="0"/>
    <n v="0"/>
    <n v="0"/>
    <n v="0"/>
    <n v="0"/>
    <n v="0"/>
    <n v="0"/>
    <n v="0"/>
    <s v="Strategic Planning/Nine Elms"/>
    <x v="0"/>
    <x v="1"/>
    <x v="1"/>
    <x v="0"/>
    <x v="0"/>
    <x v="0"/>
    <m/>
    <x v="0"/>
    <s v="Y"/>
    <n v="1"/>
    <m/>
    <n v="6"/>
    <n v="0"/>
    <n v="0"/>
    <n v="0"/>
    <n v="0"/>
    <n v="0"/>
    <n v="0"/>
    <n v="0"/>
    <n v="0"/>
    <n v="0"/>
    <n v="0"/>
    <n v="0"/>
    <n v="0"/>
    <n v="0"/>
    <n v="0"/>
    <n v="0"/>
    <n v="0"/>
    <n v="0"/>
    <n v="0"/>
    <n v="0"/>
    <n v="0"/>
    <n v="0"/>
    <n v="0"/>
  </r>
  <r>
    <n v="4718"/>
    <x v="0"/>
    <s v="2015/7506"/>
    <s v="Embassy Gardens"/>
    <s v="Main Site, Ballymore, Ponton Road"/>
    <s v="A11"/>
    <n v="529643"/>
    <n v="177593"/>
    <x v="6"/>
    <d v="2013-01-01T00:00:00"/>
    <d v="2018-03-31T00:00:00"/>
    <n v="0"/>
    <n v="1"/>
    <n v="1"/>
    <n v="8"/>
    <n v="8"/>
    <s v="Y"/>
    <s v="Variation of Condition 61 (approved drawings) in respect of Plots A010 and A11 Phase 1 of planning permission 2011/1815 (as amended) dated 30th of March 2012 for the &quot;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Proposal seeks amendments to the to the ground, first, second and third floor of Plot A10 and the second floor of Plot A11 to provide eight additional residential units."/>
    <s v="S73"/>
    <d v="2015-12-24T00:00:00"/>
    <d v="2017-05-10T00:00:00"/>
    <x v="1"/>
    <s v="Nil"/>
    <m/>
    <s v="BF"/>
    <x v="0"/>
    <x v="1"/>
    <x v="1"/>
    <n v="1.00000004749745E-3"/>
    <d v="2013-01-01T00:00:00"/>
    <x v="0"/>
    <d v="2018-03-31T00:00:00"/>
    <x v="0"/>
    <s v="P"/>
    <s v="2.1.16"/>
    <m/>
    <n v="1"/>
    <m/>
    <n v="0"/>
    <m/>
    <n v="0"/>
    <n v="1"/>
    <n v="0"/>
    <n v="0"/>
    <n v="0"/>
    <n v="0"/>
    <n v="0"/>
    <n v="0"/>
    <n v="1"/>
    <n v="0"/>
    <n v="0"/>
    <n v="0"/>
    <n v="0"/>
    <n v="0"/>
    <n v="0"/>
    <n v="0"/>
    <n v="0"/>
    <n v="0"/>
    <n v="0"/>
    <n v="0"/>
    <n v="0"/>
    <n v="0"/>
    <n v="0"/>
    <n v="0"/>
    <n v="0"/>
    <n v="0"/>
    <n v="0"/>
    <n v="0"/>
    <s v="Strategic Planning/Nine Elms"/>
    <x v="0"/>
    <x v="1"/>
    <x v="1"/>
    <x v="0"/>
    <x v="0"/>
    <x v="0"/>
    <m/>
    <x v="0"/>
    <s v="Y"/>
    <n v="1"/>
    <m/>
    <n v="1"/>
    <n v="0"/>
    <n v="0"/>
    <n v="0"/>
    <n v="0"/>
    <n v="0"/>
    <n v="0"/>
    <n v="0"/>
    <n v="0"/>
    <n v="0"/>
    <n v="0"/>
    <n v="0"/>
    <n v="0"/>
    <n v="0"/>
    <n v="0"/>
    <n v="0"/>
    <n v="0"/>
    <n v="0"/>
    <n v="0"/>
    <n v="0"/>
    <n v="0"/>
    <n v="0"/>
    <n v="0"/>
  </r>
  <r>
    <n v="4748"/>
    <x v="0"/>
    <s v="2014/2693"/>
    <m/>
    <s v="19 Thrale Road"/>
    <m/>
    <n v="529231"/>
    <n v="171142"/>
    <x v="12"/>
    <d v="2015-09-30T00:00:00"/>
    <d v="2017-07-04T00:00:00"/>
    <n v="0"/>
    <n v="1"/>
    <n v="1"/>
    <n v="1"/>
    <n v="1"/>
    <m/>
    <s v="Part change of use of A2 Use Class commercial unit to C3 Use Class to form 1 x one-bedroom self contained flat. Including the demolition of a single-storey extension to the rear and the erection of a single-storey extension to rear together with other alterations."/>
    <s v="PF"/>
    <d v="2014-05-14T00:00:00"/>
    <d v="2014-07-08T00:00:00"/>
    <x v="0"/>
    <s v="Nil"/>
    <m/>
    <s v="BF"/>
    <x v="3"/>
    <x v="0"/>
    <x v="9"/>
    <n v="4.9999998882412902E-3"/>
    <d v="2015-09-30T00:00:00"/>
    <x v="0"/>
    <d v="2017-07-04T00:00:00"/>
    <x v="0"/>
    <s v="P"/>
    <m/>
    <m/>
    <n v="0"/>
    <m/>
    <n v="0"/>
    <m/>
    <n v="0"/>
    <n v="1"/>
    <n v="0"/>
    <n v="0"/>
    <n v="0"/>
    <n v="0"/>
    <n v="0"/>
    <n v="0"/>
    <n v="1"/>
    <n v="0"/>
    <n v="0"/>
    <n v="0"/>
    <n v="0"/>
    <n v="0"/>
    <n v="0"/>
    <n v="0"/>
    <n v="0"/>
    <n v="0"/>
    <n v="0"/>
    <n v="0"/>
    <n v="0"/>
    <n v="0"/>
    <n v="0"/>
    <n v="0"/>
    <n v="0"/>
    <n v="0"/>
    <n v="0"/>
    <n v="0"/>
    <s v="East"/>
    <x v="0"/>
    <x v="0"/>
    <x v="1"/>
    <x v="0"/>
    <x v="0"/>
    <x v="0"/>
    <m/>
    <x v="0"/>
    <s v="Y"/>
    <n v="7"/>
    <m/>
    <n v="1"/>
    <n v="0"/>
    <n v="0"/>
    <n v="0"/>
    <n v="0"/>
    <n v="0"/>
    <n v="0"/>
    <n v="0"/>
    <n v="0"/>
    <n v="0"/>
    <n v="0"/>
    <n v="0"/>
    <n v="0"/>
    <n v="0"/>
    <n v="0"/>
    <n v="0"/>
    <n v="0"/>
    <n v="0"/>
    <n v="0"/>
    <n v="0"/>
    <n v="0"/>
    <n v="0"/>
    <n v="0"/>
  </r>
  <r>
    <n v="4748"/>
    <x v="0"/>
    <s v="2017/3065"/>
    <m/>
    <s v="19 Thrale Road"/>
    <m/>
    <n v="529231"/>
    <n v="171142"/>
    <x v="12"/>
    <d v="2017-07-26T00:00:00"/>
    <d v="2017-07-26T00:00:00"/>
    <n v="1"/>
    <n v="1"/>
    <n v="0"/>
    <n v="1"/>
    <n v="0"/>
    <m/>
    <s v="Alterations including change from 1 x 1-bedroom to 1 x 2-bedroom flat; part change of use of A2 Use Class commercial unit to C3 Use Class to provide additional floor area for 2-bedroom flat; alterations to rear elevation."/>
    <s v="PF"/>
    <d v="2017-05-31T00:00:00"/>
    <d v="2017-07-26T00:00:00"/>
    <x v="1"/>
    <s v="Nil"/>
    <m/>
    <s v="BF"/>
    <x v="4"/>
    <x v="0"/>
    <x v="10"/>
    <n v="4.9999998882412902E-3"/>
    <d v="2017-07-26T00:00:00"/>
    <x v="1"/>
    <d v="2017-07-26T00:00:00"/>
    <x v="0"/>
    <s v="P"/>
    <m/>
    <m/>
    <n v="0"/>
    <m/>
    <n v="0"/>
    <m/>
    <n v="0"/>
    <n v="-1"/>
    <n v="1"/>
    <n v="0"/>
    <n v="0"/>
    <n v="0"/>
    <n v="0"/>
    <n v="0"/>
    <n v="-1"/>
    <n v="1"/>
    <n v="0"/>
    <n v="0"/>
    <n v="0"/>
    <n v="0"/>
    <n v="0"/>
    <n v="0"/>
    <n v="0"/>
    <n v="0"/>
    <n v="0"/>
    <n v="0"/>
    <n v="0"/>
    <n v="0"/>
    <n v="0"/>
    <n v="0"/>
    <n v="0"/>
    <n v="0"/>
    <n v="0"/>
    <n v="0"/>
    <s v="East"/>
    <x v="0"/>
    <x v="0"/>
    <x v="1"/>
    <x v="0"/>
    <x v="0"/>
    <x v="0"/>
    <m/>
    <x v="0"/>
    <s v="Y"/>
    <n v="7"/>
    <m/>
    <n v="0"/>
    <n v="0"/>
    <n v="0"/>
    <n v="0"/>
    <n v="0"/>
    <n v="0"/>
    <n v="0"/>
    <n v="0"/>
    <n v="0"/>
    <n v="0"/>
    <n v="0"/>
    <n v="0"/>
    <n v="0"/>
    <n v="0"/>
    <n v="0"/>
    <n v="0"/>
    <n v="0"/>
    <n v="0"/>
    <n v="0"/>
    <n v="0"/>
    <n v="0"/>
    <n v="0"/>
    <n v="0"/>
  </r>
  <r>
    <n v="4774"/>
    <x v="0"/>
    <s v="2014/7305"/>
    <m/>
    <s v="45 Trinity Road"/>
    <m/>
    <n v="527896"/>
    <n v="172432"/>
    <x v="11"/>
    <d v="2016-02-09T00:00:00"/>
    <d v="2017-12-05T00:00:00"/>
    <n v="0"/>
    <n v="1"/>
    <n v="1"/>
    <n v="1"/>
    <n v="1"/>
    <m/>
    <s v="Conversion of rear office area (ancillary to shop A1 use class) to form a one-bedroom self-contained residential unit (Use Class C3), including external alterations to lower the roof and create a courtyard area."/>
    <s v="PF"/>
    <d v="2015-01-06T00:00:00"/>
    <d v="2015-03-03T00:00:00"/>
    <x v="0"/>
    <s v="Nil"/>
    <m/>
    <s v="BF"/>
    <x v="3"/>
    <x v="0"/>
    <x v="4"/>
    <n v="6.0000000521540598E-3"/>
    <d v="2016-02-09T00:00:00"/>
    <x v="0"/>
    <d v="2017-12-05T00:00:00"/>
    <x v="0"/>
    <s v="P"/>
    <m/>
    <m/>
    <n v="0"/>
    <m/>
    <n v="0"/>
    <m/>
    <n v="0"/>
    <n v="1"/>
    <n v="0"/>
    <n v="0"/>
    <n v="0"/>
    <n v="0"/>
    <n v="0"/>
    <n v="0"/>
    <n v="1"/>
    <n v="0"/>
    <n v="0"/>
    <n v="0"/>
    <n v="0"/>
    <n v="0"/>
    <n v="0"/>
    <n v="0"/>
    <n v="0"/>
    <n v="0"/>
    <n v="0"/>
    <n v="0"/>
    <n v="0"/>
    <n v="0"/>
    <n v="0"/>
    <n v="0"/>
    <n v="0"/>
    <n v="0"/>
    <n v="0"/>
    <n v="0"/>
    <s v="East"/>
    <x v="0"/>
    <x v="0"/>
    <x v="1"/>
    <x v="0"/>
    <x v="0"/>
    <x v="0"/>
    <m/>
    <x v="0"/>
    <s v="Y"/>
    <n v="7"/>
    <m/>
    <n v="1"/>
    <n v="0"/>
    <n v="0"/>
    <n v="0"/>
    <n v="0"/>
    <n v="0"/>
    <n v="0"/>
    <n v="0"/>
    <n v="0"/>
    <n v="0"/>
    <n v="0"/>
    <n v="0"/>
    <n v="0"/>
    <n v="0"/>
    <n v="0"/>
    <n v="0"/>
    <n v="0"/>
    <n v="0"/>
    <n v="0"/>
    <n v="0"/>
    <n v="0"/>
    <n v="0"/>
    <n v="0"/>
  </r>
  <r>
    <n v="4775"/>
    <x v="0"/>
    <s v="2014/2019"/>
    <m/>
    <s v="Templeton, 118 Priory Lane"/>
    <m/>
    <n v="521333"/>
    <n v="174425"/>
    <x v="15"/>
    <d v="2015-03-31T00:00:00"/>
    <d v="2018-03-31T00:00:00"/>
    <n v="0"/>
    <n v="2"/>
    <n v="2"/>
    <n v="2"/>
    <n v="2"/>
    <m/>
    <s v="Alteration and conversion of the courts outbuilding to provide two amended ancillary flats to the main house, including part demolition and opening up a new ground level pathway link; amendments to the garages to incorporate the relocated stables; formation of driveway to northern side of 21 Roehampton Gate with associated landscaping  (amendment to planning permission ref: 2013/2661 dated 8.7.13)."/>
    <s v="PF"/>
    <d v="2014-04-01T00:00:00"/>
    <d v="2014-07-22T00:00:00"/>
    <x v="0"/>
    <s v="Nil"/>
    <m/>
    <s v="BF"/>
    <x v="0"/>
    <x v="0"/>
    <x v="0"/>
    <n v="1.60000007599592E-2"/>
    <d v="2015-03-31T00:00:00"/>
    <x v="0"/>
    <d v="2018-03-31T00:00:00"/>
    <x v="0"/>
    <s v="P"/>
    <m/>
    <m/>
    <n v="0"/>
    <m/>
    <n v="0"/>
    <m/>
    <n v="0"/>
    <n v="1"/>
    <n v="1"/>
    <n v="0"/>
    <n v="0"/>
    <n v="0"/>
    <n v="0"/>
    <n v="0"/>
    <n v="1"/>
    <n v="1"/>
    <n v="0"/>
    <n v="0"/>
    <n v="0"/>
    <n v="0"/>
    <n v="0"/>
    <n v="0"/>
    <n v="0"/>
    <n v="0"/>
    <n v="0"/>
    <n v="0"/>
    <n v="0"/>
    <n v="0"/>
    <n v="0"/>
    <n v="0"/>
    <n v="0"/>
    <n v="0"/>
    <n v="0"/>
    <n v="0"/>
    <s v="West"/>
    <x v="0"/>
    <x v="0"/>
    <x v="1"/>
    <x v="0"/>
    <x v="0"/>
    <x v="0"/>
    <m/>
    <x v="0"/>
    <s v="Y"/>
    <n v="1"/>
    <m/>
    <n v="2"/>
    <n v="0"/>
    <n v="0"/>
    <n v="0"/>
    <n v="0"/>
    <n v="0"/>
    <n v="0"/>
    <n v="0"/>
    <n v="0"/>
    <n v="0"/>
    <n v="0"/>
    <n v="0"/>
    <n v="0"/>
    <n v="0"/>
    <n v="0"/>
    <n v="0"/>
    <n v="0"/>
    <n v="0"/>
    <n v="0"/>
    <n v="0"/>
    <n v="0"/>
    <n v="0"/>
    <n v="0"/>
  </r>
  <r>
    <n v="4811"/>
    <x v="0"/>
    <s v="2017/4893"/>
    <m/>
    <s v="22 Melrose Road"/>
    <m/>
    <n v="524902"/>
    <n v="174155"/>
    <x v="16"/>
    <d v="2017-10-31T00:00:00"/>
    <d v="2018-03-31T00:00:00"/>
    <n v="2"/>
    <n v="0"/>
    <n v="-2"/>
    <n v="0"/>
    <n v="-2"/>
    <m/>
    <s v="Retention of alterations in connection with continued use as a house in multiple occupation (Class C4)."/>
    <s v="PF"/>
    <d v="2017-09-05T00:00:00"/>
    <d v="2017-10-31T00:00:00"/>
    <x v="1"/>
    <s v="Nil"/>
    <m/>
    <s v="BF"/>
    <x v="4"/>
    <x v="0"/>
    <x v="2"/>
    <n v="3.5000000149011598E-2"/>
    <d v="2017-10-31T00:00:00"/>
    <x v="1"/>
    <d v="2018-03-31T00:00:00"/>
    <x v="0"/>
    <s v="P"/>
    <m/>
    <m/>
    <n v="0"/>
    <m/>
    <n v="0"/>
    <m/>
    <n v="0"/>
    <n v="-1"/>
    <n v="0"/>
    <n v="0"/>
    <n v="-1"/>
    <n v="0"/>
    <n v="0"/>
    <n v="0"/>
    <n v="-1"/>
    <n v="0"/>
    <n v="0"/>
    <n v="-1"/>
    <n v="0"/>
    <n v="0"/>
    <n v="0"/>
    <n v="0"/>
    <n v="0"/>
    <n v="0"/>
    <n v="0"/>
    <n v="0"/>
    <n v="0"/>
    <n v="0"/>
    <n v="0"/>
    <n v="0"/>
    <n v="0"/>
    <n v="0"/>
    <n v="0"/>
    <n v="0"/>
    <s v="West"/>
    <x v="0"/>
    <x v="0"/>
    <x v="1"/>
    <x v="0"/>
    <x v="0"/>
    <x v="0"/>
    <m/>
    <x v="0"/>
    <s v="Y"/>
    <n v="7"/>
    <m/>
    <n v="-2"/>
    <n v="0"/>
    <n v="0"/>
    <n v="0"/>
    <n v="0"/>
    <n v="0"/>
    <n v="0"/>
    <n v="0"/>
    <n v="0"/>
    <n v="0"/>
    <n v="0"/>
    <n v="0"/>
    <n v="0"/>
    <n v="0"/>
    <n v="0"/>
    <n v="0"/>
    <n v="0"/>
    <n v="0"/>
    <n v="0"/>
    <n v="0"/>
    <n v="0"/>
    <n v="0"/>
    <n v="0"/>
  </r>
  <r>
    <n v="4822"/>
    <x v="0"/>
    <s v="2016/5598"/>
    <m/>
    <s v="Rear of 32, Brightwell Crescent"/>
    <m/>
    <n v="527588"/>
    <n v="171057"/>
    <x v="8"/>
    <d v="2016-07-08T00:00:00"/>
    <d v="2018-03-31T00:00:00"/>
    <n v="0"/>
    <n v="5"/>
    <n v="5"/>
    <n v="5"/>
    <n v="5"/>
    <m/>
    <s v="Alterations and extensions to existing building to the rear of 32 Brightwell Crescent in connection with conversion of building into 4 x 1-bedroom and 1 x 2-bedroom houses and associated cycle and refuse storage."/>
    <s v="PF"/>
    <d v="2016-09-23T00:00:00"/>
    <d v="2017-03-28T00:00:00"/>
    <x v="0"/>
    <s v="Nil"/>
    <m/>
    <s v="BF"/>
    <x v="3"/>
    <x v="0"/>
    <x v="9"/>
    <n v="3.5000000149011598E-2"/>
    <d v="2016-07-08T00:00:00"/>
    <x v="0"/>
    <d v="2018-03-31T00:00:00"/>
    <x v="0"/>
    <s v="P"/>
    <m/>
    <m/>
    <n v="0"/>
    <m/>
    <n v="0"/>
    <m/>
    <n v="0"/>
    <n v="5"/>
    <n v="0"/>
    <n v="0"/>
    <n v="0"/>
    <n v="0"/>
    <n v="0"/>
    <n v="0"/>
    <n v="0"/>
    <n v="0"/>
    <n v="0"/>
    <n v="0"/>
    <n v="0"/>
    <n v="0"/>
    <n v="0"/>
    <n v="5"/>
    <n v="0"/>
    <n v="0"/>
    <n v="0"/>
    <n v="0"/>
    <n v="0"/>
    <n v="0"/>
    <n v="0"/>
    <n v="0"/>
    <n v="0"/>
    <n v="0"/>
    <n v="0"/>
    <n v="0"/>
    <s v="East"/>
    <x v="0"/>
    <x v="0"/>
    <x v="1"/>
    <x v="0"/>
    <x v="0"/>
    <x v="0"/>
    <m/>
    <x v="0"/>
    <s v="Y"/>
    <n v="7"/>
    <m/>
    <n v="5"/>
    <n v="0"/>
    <n v="0"/>
    <n v="0"/>
    <n v="0"/>
    <n v="0"/>
    <n v="0"/>
    <n v="0"/>
    <n v="0"/>
    <n v="0"/>
    <n v="0"/>
    <n v="0"/>
    <n v="0"/>
    <n v="0"/>
    <n v="0"/>
    <n v="0"/>
    <n v="0"/>
    <n v="0"/>
    <n v="0"/>
    <n v="0"/>
    <n v="0"/>
    <n v="0"/>
    <n v="0"/>
  </r>
  <r>
    <n v="4954"/>
    <x v="0"/>
    <s v="2017/0325"/>
    <m/>
    <s v="8 Parkgate Road"/>
    <m/>
    <n v="527231"/>
    <n v="177059"/>
    <x v="1"/>
    <d v="2017-07-21T00:00:00"/>
    <d v="2018-03-31T00:00:00"/>
    <n v="1"/>
    <n v="1"/>
    <n v="0"/>
    <n v="1"/>
    <n v="0"/>
    <m/>
    <s v="Demolition of existing building and erection of a two-storey 1-bedroom house including basement and roof terrace with 1.7m high screen."/>
    <s v="PF"/>
    <d v="2017-01-30T00:00:00"/>
    <d v="2017-03-27T00:00:00"/>
    <x v="0"/>
    <s v="Nil"/>
    <m/>
    <s v="BF"/>
    <x v="0"/>
    <x v="0"/>
    <x v="0"/>
    <n v="2.0000000949949E-3"/>
    <d v="2017-07-21T00:00:00"/>
    <x v="1"/>
    <d v="2018-03-31T00:00:00"/>
    <x v="0"/>
    <s v="P"/>
    <m/>
    <m/>
    <n v="0"/>
    <m/>
    <n v="0"/>
    <m/>
    <n v="0"/>
    <n v="0"/>
    <n v="0"/>
    <n v="0"/>
    <n v="0"/>
    <n v="0"/>
    <n v="0"/>
    <n v="0"/>
    <n v="0"/>
    <n v="0"/>
    <n v="0"/>
    <n v="0"/>
    <n v="0"/>
    <n v="0"/>
    <n v="0"/>
    <n v="0"/>
    <n v="0"/>
    <n v="0"/>
    <n v="0"/>
    <n v="0"/>
    <n v="0"/>
    <n v="0"/>
    <n v="0"/>
    <n v="0"/>
    <n v="0"/>
    <n v="0"/>
    <n v="0"/>
    <n v="0"/>
    <s v="East"/>
    <x v="0"/>
    <x v="0"/>
    <x v="1"/>
    <x v="0"/>
    <x v="0"/>
    <x v="0"/>
    <m/>
    <x v="0"/>
    <s v="Y"/>
    <n v="1"/>
    <m/>
    <n v="0"/>
    <n v="0"/>
    <n v="0"/>
    <n v="0"/>
    <n v="0"/>
    <n v="0"/>
    <n v="0"/>
    <n v="0"/>
    <n v="0"/>
    <n v="0"/>
    <n v="0"/>
    <n v="0"/>
    <n v="0"/>
    <n v="0"/>
    <n v="0"/>
    <n v="0"/>
    <n v="0"/>
    <n v="0"/>
    <n v="0"/>
    <n v="0"/>
    <n v="0"/>
    <n v="0"/>
    <n v="0"/>
  </r>
  <r>
    <n v="5034"/>
    <x v="0"/>
    <s v="2013/6533"/>
    <m/>
    <s v="235 Queenstown Road"/>
    <m/>
    <n v="528686"/>
    <n v="176535"/>
    <x v="6"/>
    <d v="2015-09-03T00:00:00"/>
    <d v="2017-04-21T00:00:00"/>
    <n v="1"/>
    <n v="9"/>
    <n v="8"/>
    <n v="9"/>
    <n v="8"/>
    <m/>
    <s v="Minor material amendments to planning permission ref. 2013/2262 (dated 09/08/13) for retention of main facades with demolition of remainder of existing building; erection of four-storey building to provide 9 residential units incorporating roof terraces and cycle storage, with associated alterations to windows/doors within retained facades to enable the developmenet to be carried out other than in accordance with the approved plans. The amendments sought include alterations to the internal layouts resulting in provision of 8 x two-bedroom apartments and one studio unit, and alterations to the existing ground floor window to the north elevation to form doors to allow access to outdoor amenity space."/>
    <s v="PF"/>
    <d v="2014-01-07T00:00:00"/>
    <d v="2014-03-04T00:00:00"/>
    <x v="0"/>
    <s v="Nil"/>
    <m/>
    <s v="BF"/>
    <x v="0"/>
    <x v="0"/>
    <x v="0"/>
    <n v="2.3000000044703501E-2"/>
    <d v="2015-09-03T00:00:00"/>
    <x v="0"/>
    <d v="2017-04-21T00:00:00"/>
    <x v="0"/>
    <s v="P"/>
    <m/>
    <m/>
    <n v="0"/>
    <m/>
    <n v="0"/>
    <m/>
    <n v="1"/>
    <n v="0"/>
    <n v="8"/>
    <n v="0"/>
    <n v="-1"/>
    <n v="0"/>
    <n v="0"/>
    <n v="1"/>
    <n v="0"/>
    <n v="8"/>
    <n v="0"/>
    <n v="0"/>
    <n v="0"/>
    <n v="0"/>
    <n v="0"/>
    <n v="0"/>
    <n v="0"/>
    <n v="0"/>
    <n v="-1"/>
    <n v="0"/>
    <n v="0"/>
    <n v="0"/>
    <n v="0"/>
    <n v="0"/>
    <n v="0"/>
    <n v="0"/>
    <n v="0"/>
    <n v="0"/>
    <s v="East"/>
    <x v="0"/>
    <x v="0"/>
    <x v="1"/>
    <x v="0"/>
    <x v="0"/>
    <x v="0"/>
    <m/>
    <x v="0"/>
    <s v="Y"/>
    <n v="1"/>
    <m/>
    <n v="8"/>
    <n v="0"/>
    <n v="0"/>
    <n v="0"/>
    <n v="0"/>
    <n v="0"/>
    <n v="0"/>
    <n v="0"/>
    <n v="0"/>
    <n v="0"/>
    <n v="0"/>
    <n v="0"/>
    <n v="0"/>
    <n v="0"/>
    <n v="0"/>
    <n v="0"/>
    <n v="0"/>
    <n v="0"/>
    <n v="0"/>
    <n v="0"/>
    <n v="0"/>
    <n v="0"/>
    <n v="0"/>
  </r>
  <r>
    <n v="5189"/>
    <x v="0"/>
    <s v="2015/6193"/>
    <m/>
    <s v="18 Sisters Avenue"/>
    <m/>
    <n v="527922"/>
    <n v="175459"/>
    <x v="10"/>
    <d v="2016-04-21T00:00:00"/>
    <d v="2017-06-08T00:00:00"/>
    <n v="10"/>
    <n v="6"/>
    <n v="-4"/>
    <n v="6"/>
    <n v="-4"/>
    <m/>
    <s v="Extensions and alterations including erection of three-storey side extension; single storey rear extension, alterations to rear windows and provision of cycle and refuse stores to the front of the property in connection with the conversion of the property into 6 flats (2x 1-bedroom, 3 x 2-bedroom and 1x 3-bedroom)"/>
    <s v="PF"/>
    <d v="2016-01-20T00:00:00"/>
    <d v="2016-03-16T00:00:00"/>
    <x v="0"/>
    <s v="Nil"/>
    <m/>
    <s v="BF"/>
    <x v="4"/>
    <x v="0"/>
    <x v="2"/>
    <n v="2.0999999716877899E-2"/>
    <d v="2016-04-21T00:00:00"/>
    <x v="0"/>
    <d v="2017-06-08T00:00:00"/>
    <x v="0"/>
    <s v="P"/>
    <m/>
    <m/>
    <n v="0"/>
    <m/>
    <n v="0"/>
    <m/>
    <n v="-7"/>
    <n v="3"/>
    <n v="2"/>
    <n v="-2"/>
    <n v="0"/>
    <n v="0"/>
    <n v="0"/>
    <n v="-7"/>
    <n v="3"/>
    <n v="2"/>
    <n v="-2"/>
    <n v="0"/>
    <n v="0"/>
    <n v="0"/>
    <n v="0"/>
    <n v="0"/>
    <n v="0"/>
    <n v="0"/>
    <n v="0"/>
    <n v="0"/>
    <n v="0"/>
    <n v="0"/>
    <n v="0"/>
    <n v="0"/>
    <n v="0"/>
    <n v="0"/>
    <n v="0"/>
    <n v="0"/>
    <s v="East"/>
    <x v="0"/>
    <x v="0"/>
    <x v="1"/>
    <x v="0"/>
    <x v="0"/>
    <x v="0"/>
    <m/>
    <x v="0"/>
    <s v="Y"/>
    <n v="7"/>
    <m/>
    <n v="-4"/>
    <n v="0"/>
    <n v="0"/>
    <n v="0"/>
    <n v="0"/>
    <n v="0"/>
    <n v="0"/>
    <n v="0"/>
    <n v="0"/>
    <n v="0"/>
    <n v="0"/>
    <n v="0"/>
    <n v="0"/>
    <n v="0"/>
    <n v="0"/>
    <n v="0"/>
    <n v="0"/>
    <n v="0"/>
    <n v="0"/>
    <n v="0"/>
    <n v="0"/>
    <n v="0"/>
    <n v="0"/>
  </r>
  <r>
    <n v="5273"/>
    <x v="0"/>
    <s v="2013/2786"/>
    <m/>
    <s v="R/O Southwest London Law Centres, 101A Tooting High Street"/>
    <m/>
    <n v="527367"/>
    <n v="171295"/>
    <x v="8"/>
    <d v="2015-09-01T00:00:00"/>
    <d v="2018-03-31T00:00:00"/>
    <n v="0"/>
    <n v="1"/>
    <n v="1"/>
    <n v="1"/>
    <n v="1"/>
    <m/>
    <s v="Change of use from B1 (Business) to C3 (Residential) / A1 (Shop). The change of use application would provide for a two-bedroom flat at first floor level and a shop at part of ground floor, with first floor extension &amp; installation of a new shopfront."/>
    <s v="PF"/>
    <d v="2013-06-07T00:00:00"/>
    <d v="2013-08-02T00:00:00"/>
    <x v="0"/>
    <s v="Nil"/>
    <m/>
    <s v="BF"/>
    <x v="4"/>
    <x v="0"/>
    <x v="9"/>
    <n v="4.9999998882412902E-3"/>
    <d v="2015-09-01T00:00:00"/>
    <x v="0"/>
    <d v="2018-03-31T00:00:00"/>
    <x v="0"/>
    <s v="P"/>
    <m/>
    <m/>
    <n v="0"/>
    <m/>
    <n v="0"/>
    <m/>
    <n v="0"/>
    <n v="0"/>
    <n v="1"/>
    <n v="0"/>
    <n v="0"/>
    <n v="0"/>
    <n v="0"/>
    <n v="0"/>
    <n v="0"/>
    <n v="1"/>
    <n v="0"/>
    <n v="0"/>
    <n v="0"/>
    <n v="0"/>
    <n v="0"/>
    <n v="0"/>
    <n v="0"/>
    <n v="0"/>
    <n v="0"/>
    <n v="0"/>
    <n v="0"/>
    <n v="0"/>
    <n v="0"/>
    <n v="0"/>
    <n v="0"/>
    <n v="0"/>
    <n v="0"/>
    <n v="0"/>
    <s v="East"/>
    <x v="0"/>
    <x v="0"/>
    <x v="1"/>
    <x v="0"/>
    <x v="0"/>
    <x v="0"/>
    <m/>
    <x v="0"/>
    <s v="Y"/>
    <n v="7"/>
    <m/>
    <n v="1"/>
    <n v="0"/>
    <n v="0"/>
    <n v="0"/>
    <n v="0"/>
    <n v="0"/>
    <n v="0"/>
    <n v="0"/>
    <n v="0"/>
    <n v="0"/>
    <n v="0"/>
    <n v="0"/>
    <n v="0"/>
    <n v="0"/>
    <n v="0"/>
    <n v="0"/>
    <n v="0"/>
    <n v="0"/>
    <n v="0"/>
    <n v="0"/>
    <n v="0"/>
    <n v="0"/>
    <n v="0"/>
  </r>
  <r>
    <n v="5286"/>
    <x v="0"/>
    <s v="2013/1901"/>
    <m/>
    <s v="17 Cicada Road"/>
    <m/>
    <n v="526435"/>
    <n v="174560"/>
    <x v="17"/>
    <d v="2017-07-12T00:00:00"/>
    <d v="2017-09-01T00:00:00"/>
    <n v="2"/>
    <n v="1"/>
    <n v="-1"/>
    <n v="1"/>
    <n v="-1"/>
    <m/>
    <s v="Conversion of property from two self contained flats to single family dwelling house."/>
    <s v="PF"/>
    <d v="2013-04-17T00:00:00"/>
    <d v="2013-06-11T00:00:00"/>
    <x v="0"/>
    <s v="Nil"/>
    <m/>
    <s v="BF"/>
    <x v="1"/>
    <x v="0"/>
    <x v="7"/>
    <n v="1.30000002682209E-2"/>
    <d v="2017-07-12T00:00:00"/>
    <x v="1"/>
    <d v="2017-09-01T00:00:00"/>
    <x v="0"/>
    <s v="P"/>
    <m/>
    <m/>
    <n v="0"/>
    <m/>
    <n v="0"/>
    <m/>
    <n v="0"/>
    <n v="-1"/>
    <n v="-1"/>
    <n v="0"/>
    <n v="1"/>
    <n v="0"/>
    <n v="0"/>
    <n v="0"/>
    <n v="-1"/>
    <n v="-1"/>
    <n v="0"/>
    <n v="0"/>
    <n v="0"/>
    <n v="0"/>
    <n v="0"/>
    <n v="0"/>
    <n v="0"/>
    <n v="0"/>
    <n v="1"/>
    <n v="0"/>
    <n v="0"/>
    <n v="0"/>
    <n v="0"/>
    <n v="0"/>
    <n v="0"/>
    <n v="0"/>
    <n v="0"/>
    <n v="0"/>
    <s v="West"/>
    <x v="0"/>
    <x v="0"/>
    <x v="1"/>
    <x v="0"/>
    <x v="0"/>
    <x v="0"/>
    <m/>
    <x v="0"/>
    <s v="Y"/>
    <n v="7"/>
    <m/>
    <n v="-1"/>
    <n v="0"/>
    <n v="0"/>
    <n v="0"/>
    <n v="0"/>
    <n v="0"/>
    <n v="0"/>
    <n v="0"/>
    <n v="0"/>
    <n v="0"/>
    <n v="0"/>
    <n v="0"/>
    <n v="0"/>
    <n v="0"/>
    <n v="0"/>
    <n v="0"/>
    <n v="0"/>
    <n v="0"/>
    <n v="0"/>
    <n v="0"/>
    <n v="0"/>
    <n v="0"/>
    <n v="0"/>
  </r>
  <r>
    <n v="5291"/>
    <x v="0"/>
    <s v="2012/6002"/>
    <m/>
    <s v="107 West Hill Road"/>
    <m/>
    <n v="525172"/>
    <n v="174052"/>
    <x v="5"/>
    <d v="2017-04-01T00:00:00"/>
    <d v="2018-03-31T00:00:00"/>
    <n v="2"/>
    <n v="1"/>
    <n v="-1"/>
    <n v="1"/>
    <n v="-1"/>
    <m/>
    <s v="Change of use from two flats to a single dwelling including the reinstatement of the front entrance door"/>
    <s v="PF"/>
    <d v="2013-05-08T00:00:00"/>
    <d v="2013-06-26T00:00:00"/>
    <x v="0"/>
    <s v="Nil"/>
    <m/>
    <s v="BF"/>
    <x v="1"/>
    <x v="0"/>
    <x v="7"/>
    <n v="3.20000015199184E-2"/>
    <d v="2017-04-01T00:00:00"/>
    <x v="1"/>
    <d v="2018-03-31T00:00:00"/>
    <x v="0"/>
    <s v="P"/>
    <m/>
    <m/>
    <n v="0"/>
    <m/>
    <n v="0"/>
    <m/>
    <n v="0"/>
    <n v="0"/>
    <n v="0"/>
    <n v="-2"/>
    <n v="1"/>
    <n v="0"/>
    <n v="0"/>
    <n v="0"/>
    <n v="0"/>
    <n v="0"/>
    <n v="-2"/>
    <n v="0"/>
    <n v="0"/>
    <n v="0"/>
    <n v="0"/>
    <n v="0"/>
    <n v="0"/>
    <n v="0"/>
    <n v="1"/>
    <n v="0"/>
    <n v="0"/>
    <n v="0"/>
    <n v="0"/>
    <n v="0"/>
    <n v="0"/>
    <n v="0"/>
    <n v="0"/>
    <n v="0"/>
    <s v="West"/>
    <x v="0"/>
    <x v="0"/>
    <x v="1"/>
    <x v="0"/>
    <x v="0"/>
    <x v="0"/>
    <m/>
    <x v="0"/>
    <s v="Y"/>
    <n v="7"/>
    <m/>
    <n v="-1"/>
    <n v="0"/>
    <n v="0"/>
    <n v="0"/>
    <n v="0"/>
    <n v="0"/>
    <n v="0"/>
    <n v="0"/>
    <n v="0"/>
    <n v="0"/>
    <n v="0"/>
    <n v="0"/>
    <n v="0"/>
    <n v="0"/>
    <n v="0"/>
    <n v="0"/>
    <n v="0"/>
    <n v="0"/>
    <n v="0"/>
    <n v="0"/>
    <n v="0"/>
    <n v="0"/>
    <n v="0"/>
  </r>
  <r>
    <n v="5297"/>
    <x v="0"/>
    <s v="2014/3881"/>
    <m/>
    <s v="44-46 Falcon Road"/>
    <m/>
    <n v="527113"/>
    <n v="176021"/>
    <x v="2"/>
    <d v="2017-03-31T00:00:00"/>
    <d v="2017-12-07T00:00:00"/>
    <n v="0"/>
    <n v="16"/>
    <n v="16"/>
    <n v="25"/>
    <n v="25"/>
    <s v="Y"/>
    <s v="Demolition of existing building and erection of a five storey building plus basement to provide 25 residential units (4 x one bedroom, 20 x two bedroom, 1 x three bedroom) and two commercial units (Class A1/A2, 470sqm of floorspace) together with cycle storage and refuse stores."/>
    <s v="PFLA"/>
    <d v="2014-07-03T00:00:00"/>
    <d v="2015-12-02T00:00:00"/>
    <x v="0"/>
    <s v="Nil"/>
    <m/>
    <s v="BF"/>
    <x v="0"/>
    <x v="1"/>
    <x v="1"/>
    <n v="0"/>
    <d v="2017-03-31T00:00:00"/>
    <x v="0"/>
    <d v="2017-12-07T00:00:00"/>
    <x v="0"/>
    <s v="P"/>
    <m/>
    <m/>
    <n v="16"/>
    <m/>
    <n v="1"/>
    <m/>
    <n v="0"/>
    <n v="3"/>
    <n v="12"/>
    <n v="1"/>
    <n v="0"/>
    <n v="0"/>
    <n v="0"/>
    <n v="0"/>
    <n v="3"/>
    <n v="12"/>
    <n v="1"/>
    <n v="0"/>
    <n v="0"/>
    <n v="0"/>
    <n v="0"/>
    <n v="0"/>
    <n v="0"/>
    <n v="0"/>
    <n v="0"/>
    <n v="0"/>
    <n v="0"/>
    <n v="0"/>
    <n v="0"/>
    <n v="0"/>
    <n v="0"/>
    <n v="0"/>
    <n v="0"/>
    <n v="0"/>
    <s v="East"/>
    <x v="0"/>
    <x v="0"/>
    <x v="1"/>
    <x v="0"/>
    <x v="0"/>
    <x v="0"/>
    <m/>
    <x v="0"/>
    <s v="Y"/>
    <n v="1"/>
    <m/>
    <n v="16"/>
    <n v="0"/>
    <n v="0"/>
    <n v="0"/>
    <n v="0"/>
    <n v="0"/>
    <n v="0"/>
    <n v="0"/>
    <n v="0"/>
    <n v="0"/>
    <n v="0"/>
    <n v="0"/>
    <n v="0"/>
    <n v="0"/>
    <n v="0"/>
    <n v="0"/>
    <n v="0"/>
    <n v="0"/>
    <n v="0"/>
    <n v="0"/>
    <n v="0"/>
    <n v="0"/>
    <n v="0"/>
  </r>
  <r>
    <n v="5297"/>
    <x v="0"/>
    <s v="2014/3881"/>
    <m/>
    <s v="44-46 Falcon Road"/>
    <m/>
    <n v="527113"/>
    <n v="176021"/>
    <x v="2"/>
    <d v="2017-03-31T00:00:00"/>
    <d v="2017-12-07T00:00:00"/>
    <n v="0"/>
    <n v="9"/>
    <n v="9"/>
    <n v="25"/>
    <n v="25"/>
    <s v="Y"/>
    <s v="Demolition of existing building and erection of a five storey building plus basement to provide 25 residential units (4 x one bedroom, 20 x two bedroom, 1 x three bedroom) and two commercial units (Class A1/A2, 470sqm of floorspace) together with cycle storage and refuse stores."/>
    <s v="PFLA"/>
    <d v="2014-07-03T00:00:00"/>
    <d v="2015-12-02T00:00:00"/>
    <x v="0"/>
    <s v="Nil"/>
    <m/>
    <s v="BF"/>
    <x v="0"/>
    <x v="1"/>
    <x v="1"/>
    <n v="3.4000001847744002E-2"/>
    <d v="2017-03-31T00:00:00"/>
    <x v="0"/>
    <d v="2017-12-07T00:00:00"/>
    <x v="1"/>
    <s v="HASO"/>
    <m/>
    <m/>
    <n v="9"/>
    <m/>
    <n v="1"/>
    <m/>
    <n v="0"/>
    <n v="1"/>
    <n v="8"/>
    <n v="0"/>
    <n v="0"/>
    <n v="0"/>
    <n v="0"/>
    <n v="0"/>
    <n v="1"/>
    <n v="8"/>
    <n v="0"/>
    <n v="0"/>
    <n v="0"/>
    <n v="0"/>
    <n v="0"/>
    <n v="0"/>
    <n v="0"/>
    <n v="0"/>
    <n v="0"/>
    <n v="0"/>
    <n v="0"/>
    <n v="0"/>
    <n v="0"/>
    <n v="0"/>
    <n v="0"/>
    <n v="0"/>
    <n v="0"/>
    <n v="0"/>
    <s v="East"/>
    <x v="0"/>
    <x v="0"/>
    <x v="1"/>
    <x v="0"/>
    <x v="0"/>
    <x v="0"/>
    <m/>
    <x v="0"/>
    <s v="Y"/>
    <n v="1"/>
    <m/>
    <n v="9"/>
    <n v="0"/>
    <n v="0"/>
    <n v="0"/>
    <n v="0"/>
    <n v="0"/>
    <n v="0"/>
    <n v="0"/>
    <n v="0"/>
    <n v="0"/>
    <n v="0"/>
    <n v="0"/>
    <n v="0"/>
    <n v="0"/>
    <n v="0"/>
    <n v="0"/>
    <n v="0"/>
    <n v="0"/>
    <n v="0"/>
    <n v="0"/>
    <n v="0"/>
    <n v="0"/>
    <n v="0"/>
  </r>
  <r>
    <n v="5335"/>
    <x v="0"/>
    <s v="2013/2946"/>
    <m/>
    <s v="37 Elmfield Road"/>
    <m/>
    <n v="528599"/>
    <n v="172872"/>
    <x v="3"/>
    <d v="2017-03-31T00:00:00"/>
    <d v="2017-12-07T00:00:00"/>
    <n v="1"/>
    <n v="3"/>
    <n v="2"/>
    <n v="3"/>
    <n v="2"/>
    <m/>
    <s v="Conversion of existing dwellinghouse to form three self contained flats with family sized accommodation at ground floor level. Demolition of existing single-storey rear extension and erection of single-storey rear extension. Erection of rear roof extension with french doors and safety railings as well as the installation of rooflights to front and side roof slopes."/>
    <s v="PF"/>
    <d v="2013-06-10T00:00:00"/>
    <d v="2013-12-16T00:00:00"/>
    <x v="0"/>
    <s v="Nil"/>
    <m/>
    <s v="BF"/>
    <x v="4"/>
    <x v="0"/>
    <x v="8"/>
    <n v="1.7000000923872001E-2"/>
    <d v="2017-03-31T00:00:00"/>
    <x v="0"/>
    <d v="2017-12-07T00:00:00"/>
    <x v="0"/>
    <s v="P"/>
    <m/>
    <m/>
    <n v="0"/>
    <m/>
    <n v="0"/>
    <m/>
    <n v="0"/>
    <n v="0"/>
    <n v="2"/>
    <n v="1"/>
    <n v="-1"/>
    <n v="0"/>
    <n v="0"/>
    <n v="0"/>
    <n v="0"/>
    <n v="2"/>
    <n v="1"/>
    <n v="0"/>
    <n v="0"/>
    <n v="0"/>
    <n v="0"/>
    <n v="0"/>
    <n v="0"/>
    <n v="0"/>
    <n v="-1"/>
    <n v="0"/>
    <n v="0"/>
    <n v="0"/>
    <n v="0"/>
    <n v="0"/>
    <n v="0"/>
    <n v="0"/>
    <n v="0"/>
    <n v="0"/>
    <s v="East"/>
    <x v="0"/>
    <x v="0"/>
    <x v="1"/>
    <x v="0"/>
    <x v="0"/>
    <x v="0"/>
    <m/>
    <x v="0"/>
    <s v="Y"/>
    <n v="7"/>
    <m/>
    <n v="2"/>
    <n v="0"/>
    <n v="0"/>
    <n v="0"/>
    <n v="0"/>
    <n v="0"/>
    <n v="0"/>
    <n v="0"/>
    <n v="0"/>
    <n v="0"/>
    <n v="0"/>
    <n v="0"/>
    <n v="0"/>
    <n v="0"/>
    <n v="0"/>
    <n v="0"/>
    <n v="0"/>
    <n v="0"/>
    <n v="0"/>
    <n v="0"/>
    <n v="0"/>
    <n v="0"/>
    <n v="0"/>
  </r>
  <r>
    <n v="5360"/>
    <x v="0"/>
    <s v="2013/2947"/>
    <m/>
    <s v="Land Adjacent, 10 Glentanner Way"/>
    <m/>
    <n v="526566"/>
    <n v="172115"/>
    <x v="18"/>
    <d v="2014-07-23T00:00:00"/>
    <d v="2018-03-31T00:00:00"/>
    <n v="0"/>
    <n v="1"/>
    <n v="1"/>
    <n v="1"/>
    <n v="1"/>
    <m/>
    <s v="Demolition of garage and erection of two-storey house."/>
    <s v="PF"/>
    <d v="2013-07-22T00:00:00"/>
    <d v="2013-09-16T00:00:00"/>
    <x v="0"/>
    <s v="Nil"/>
    <m/>
    <s v="BF"/>
    <x v="0"/>
    <x v="0"/>
    <x v="0"/>
    <n v="8.0000003799796104E-3"/>
    <d v="2014-07-23T00:00:00"/>
    <x v="0"/>
    <d v="2018-03-31T00:00:00"/>
    <x v="0"/>
    <s v="P"/>
    <m/>
    <m/>
    <n v="0"/>
    <m/>
    <n v="0"/>
    <m/>
    <n v="0"/>
    <n v="0"/>
    <n v="1"/>
    <n v="0"/>
    <n v="0"/>
    <n v="0"/>
    <n v="0"/>
    <n v="0"/>
    <n v="0"/>
    <n v="0"/>
    <n v="0"/>
    <n v="0"/>
    <n v="0"/>
    <n v="0"/>
    <n v="0"/>
    <n v="0"/>
    <n v="1"/>
    <n v="0"/>
    <n v="0"/>
    <n v="0"/>
    <n v="0"/>
    <n v="0"/>
    <n v="0"/>
    <n v="0"/>
    <n v="0"/>
    <n v="0"/>
    <n v="0"/>
    <n v="0"/>
    <s v="West"/>
    <x v="0"/>
    <x v="0"/>
    <x v="1"/>
    <x v="0"/>
    <x v="0"/>
    <x v="0"/>
    <m/>
    <x v="0"/>
    <s v="Y"/>
    <n v="1"/>
    <m/>
    <n v="1"/>
    <n v="0"/>
    <n v="0"/>
    <n v="0"/>
    <n v="0"/>
    <n v="0"/>
    <n v="0"/>
    <n v="0"/>
    <n v="0"/>
    <n v="0"/>
    <n v="0"/>
    <n v="0"/>
    <n v="0"/>
    <n v="0"/>
    <n v="0"/>
    <n v="0"/>
    <n v="0"/>
    <n v="0"/>
    <n v="0"/>
    <n v="0"/>
    <n v="0"/>
    <n v="0"/>
    <n v="0"/>
  </r>
  <r>
    <n v="5361"/>
    <x v="0"/>
    <s v="2013/2197"/>
    <m/>
    <s v="16 Sisters Avenue"/>
    <m/>
    <n v="527921"/>
    <n v="175466"/>
    <x v="10"/>
    <d v="2016-04-21T00:00:00"/>
    <d v="2017-06-08T00:00:00"/>
    <n v="4"/>
    <n v="6"/>
    <n v="2"/>
    <n v="6"/>
    <n v="2"/>
    <m/>
    <s v="Erection of single-storey rear extension, three-storey infill extension to the side, mansard roof extension with rear facing dormer windows, extension over part of the existing rear extension and provision of rear terrace, new bike store to front of basement level and installation of roofilghts to the front roofslope in connection with proposed alterations to the four existing units to create two additional residential units."/>
    <s v="PF"/>
    <d v="2013-05-09T00:00:00"/>
    <d v="2013-09-16T00:00:00"/>
    <x v="0"/>
    <s v="Nil"/>
    <m/>
    <s v="BF"/>
    <x v="4"/>
    <x v="0"/>
    <x v="0"/>
    <n v="2.0999999716877899E-2"/>
    <d v="2016-04-21T00:00:00"/>
    <x v="0"/>
    <d v="2017-06-08T00:00:00"/>
    <x v="0"/>
    <s v="P"/>
    <m/>
    <m/>
    <n v="0"/>
    <m/>
    <n v="0"/>
    <m/>
    <n v="-3"/>
    <n v="1"/>
    <n v="3"/>
    <n v="2"/>
    <n v="-1"/>
    <n v="0"/>
    <n v="0"/>
    <n v="-3"/>
    <n v="1"/>
    <n v="3"/>
    <n v="2"/>
    <n v="-1"/>
    <n v="0"/>
    <n v="0"/>
    <n v="0"/>
    <n v="0"/>
    <n v="0"/>
    <n v="0"/>
    <n v="0"/>
    <n v="0"/>
    <n v="0"/>
    <n v="0"/>
    <n v="0"/>
    <n v="0"/>
    <n v="0"/>
    <n v="0"/>
    <n v="0"/>
    <n v="0"/>
    <s v="East"/>
    <x v="0"/>
    <x v="0"/>
    <x v="1"/>
    <x v="0"/>
    <x v="0"/>
    <x v="0"/>
    <m/>
    <x v="0"/>
    <s v="Y"/>
    <n v="7"/>
    <m/>
    <n v="2"/>
    <n v="0"/>
    <n v="0"/>
    <n v="0"/>
    <n v="0"/>
    <n v="0"/>
    <n v="0"/>
    <n v="0"/>
    <n v="0"/>
    <n v="0"/>
    <n v="0"/>
    <n v="0"/>
    <n v="0"/>
    <n v="0"/>
    <n v="0"/>
    <n v="0"/>
    <n v="0"/>
    <n v="0"/>
    <n v="0"/>
    <n v="0"/>
    <n v="0"/>
    <n v="0"/>
    <n v="0"/>
  </r>
  <r>
    <n v="5380"/>
    <x v="0"/>
    <s v="2016/1804"/>
    <m/>
    <s v="115 Lower Richmond Road"/>
    <m/>
    <n v="523621"/>
    <n v="175794"/>
    <x v="13"/>
    <d v="2016-11-04T00:00:00"/>
    <d v="2017-08-22T00:00:00"/>
    <n v="0"/>
    <n v="1"/>
    <n v="1"/>
    <n v="1"/>
    <n v="1"/>
    <m/>
    <s v="Erection of single-storey side and rear extension in connection with the change of use of the shop (A1) to part professional and financial services (A2) at the front, and part self contained one bedroom flat (C3) at the rear. Other alterations to include insertion of windows in side and rear elevation and alterations to include installation of replacement shopfront."/>
    <s v="PF"/>
    <d v="2016-04-01T00:00:00"/>
    <d v="2016-05-27T00:00:00"/>
    <x v="0"/>
    <s v="Nil"/>
    <m/>
    <s v="BF"/>
    <x v="4"/>
    <x v="0"/>
    <x v="4"/>
    <n v="4.9999998882412902E-3"/>
    <d v="2016-11-04T00:00:00"/>
    <x v="0"/>
    <d v="2017-08-22T00:00:00"/>
    <x v="0"/>
    <s v="P"/>
    <m/>
    <m/>
    <n v="0"/>
    <m/>
    <n v="0"/>
    <m/>
    <n v="0"/>
    <n v="1"/>
    <n v="0"/>
    <n v="0"/>
    <n v="0"/>
    <n v="0"/>
    <n v="0"/>
    <n v="0"/>
    <n v="1"/>
    <n v="0"/>
    <n v="0"/>
    <n v="0"/>
    <n v="0"/>
    <n v="0"/>
    <n v="0"/>
    <n v="0"/>
    <n v="0"/>
    <n v="0"/>
    <n v="0"/>
    <n v="0"/>
    <n v="0"/>
    <n v="0"/>
    <n v="0"/>
    <n v="0"/>
    <n v="0"/>
    <n v="0"/>
    <n v="0"/>
    <n v="0"/>
    <s v="West"/>
    <x v="0"/>
    <x v="0"/>
    <x v="1"/>
    <x v="0"/>
    <x v="0"/>
    <x v="0"/>
    <m/>
    <x v="0"/>
    <s v="Y"/>
    <n v="7"/>
    <m/>
    <n v="1"/>
    <n v="0"/>
    <n v="0"/>
    <n v="0"/>
    <n v="0"/>
    <n v="0"/>
    <n v="0"/>
    <n v="0"/>
    <n v="0"/>
    <n v="0"/>
    <n v="0"/>
    <n v="0"/>
    <n v="0"/>
    <n v="0"/>
    <n v="0"/>
    <n v="0"/>
    <n v="0"/>
    <n v="0"/>
    <n v="0"/>
    <n v="0"/>
    <n v="0"/>
    <n v="0"/>
    <n v="0"/>
  </r>
  <r>
    <n v="5391"/>
    <x v="0"/>
    <s v="2013/4881"/>
    <m/>
    <s v="103A Putney High Street"/>
    <m/>
    <n v="524044"/>
    <n v="175282"/>
    <x v="13"/>
    <d v="2016-02-12T00:00:00"/>
    <d v="2017-05-12T00:00:00"/>
    <n v="1"/>
    <n v="3"/>
    <n v="2"/>
    <n v="3"/>
    <n v="2"/>
    <m/>
    <s v="Erection of part first floor, and part second floor rear extension, with roof terraces at first floor and third floor level, and additional window and door to the rear elevation at third floor level and refuse store at ground floor level in connection with conversion the existing 5-bedroom flat to form no.1; 2-bedroom flat and no.2; 1-bedroom flats."/>
    <s v="PF"/>
    <d v="2013-10-01T00:00:00"/>
    <d v="2013-12-18T00:00:00"/>
    <x v="0"/>
    <s v="Nil"/>
    <m/>
    <s v="BF"/>
    <x v="4"/>
    <x v="0"/>
    <x v="10"/>
    <n v="1.4000000432133701E-2"/>
    <d v="2016-02-12T00:00:00"/>
    <x v="0"/>
    <d v="2017-05-12T00:00:00"/>
    <x v="0"/>
    <s v="P"/>
    <m/>
    <m/>
    <n v="0"/>
    <m/>
    <n v="0"/>
    <m/>
    <n v="0"/>
    <n v="2"/>
    <n v="1"/>
    <n v="0"/>
    <n v="0"/>
    <n v="-1"/>
    <n v="0"/>
    <n v="0"/>
    <n v="2"/>
    <n v="1"/>
    <n v="0"/>
    <n v="0"/>
    <n v="-1"/>
    <n v="0"/>
    <n v="0"/>
    <n v="0"/>
    <n v="0"/>
    <n v="0"/>
    <n v="0"/>
    <n v="0"/>
    <n v="0"/>
    <n v="0"/>
    <n v="0"/>
    <n v="0"/>
    <n v="0"/>
    <n v="0"/>
    <n v="0"/>
    <n v="0"/>
    <s v="West"/>
    <x v="3"/>
    <x v="0"/>
    <x v="1"/>
    <x v="0"/>
    <x v="0"/>
    <x v="0"/>
    <m/>
    <x v="0"/>
    <s v="Y"/>
    <n v="7"/>
    <m/>
    <n v="2"/>
    <n v="0"/>
    <n v="0"/>
    <n v="0"/>
    <n v="0"/>
    <n v="0"/>
    <n v="0"/>
    <n v="0"/>
    <n v="0"/>
    <n v="0"/>
    <n v="0"/>
    <n v="0"/>
    <n v="0"/>
    <n v="0"/>
    <n v="0"/>
    <n v="0"/>
    <n v="0"/>
    <n v="0"/>
    <n v="0"/>
    <n v="0"/>
    <n v="0"/>
    <n v="0"/>
    <n v="0"/>
  </r>
  <r>
    <n v="5420"/>
    <x v="0"/>
    <s v="2013/4945"/>
    <m/>
    <s v="Broadway Studio, 28 Tooting High Street"/>
    <m/>
    <n v="527461"/>
    <n v="171563"/>
    <x v="4"/>
    <d v="2015-06-30T00:00:00"/>
    <d v="2017-11-27T00:00:00"/>
    <n v="0"/>
    <n v="9"/>
    <n v="9"/>
    <n v="9"/>
    <n v="9"/>
    <m/>
    <s v="Construction of extensions at ground, first and new second floor level and alterations to the site and creation of a mixed-use quarter comprising of: a new semi-public open space for external markets and occasional events; 8no. new starter shop units (Class A1) + restaurant/cafe (Class A3) units; and 9no. flats (Class C3) with a mix of 1-bed, 2-bed and 3-bed units at first and second floor levels.  New access gates, cycle and refuse storage."/>
    <s v="PFLA"/>
    <d v="2013-11-18T00:00:00"/>
    <d v="2014-09-01T00:00:00"/>
    <x v="0"/>
    <s v="Nil"/>
    <m/>
    <s v="BF"/>
    <x v="4"/>
    <x v="0"/>
    <x v="0"/>
    <n v="8.6999997496604906E-2"/>
    <d v="2015-06-30T00:00:00"/>
    <x v="0"/>
    <d v="2017-11-27T00:00:00"/>
    <x v="0"/>
    <s v="P"/>
    <m/>
    <m/>
    <n v="0"/>
    <m/>
    <n v="0"/>
    <m/>
    <n v="0"/>
    <n v="1"/>
    <n v="6"/>
    <n v="2"/>
    <n v="0"/>
    <n v="0"/>
    <n v="0"/>
    <n v="0"/>
    <n v="1"/>
    <n v="6"/>
    <n v="2"/>
    <n v="0"/>
    <n v="0"/>
    <n v="0"/>
    <n v="0"/>
    <n v="0"/>
    <n v="0"/>
    <n v="0"/>
    <n v="0"/>
    <n v="0"/>
    <n v="0"/>
    <n v="0"/>
    <n v="0"/>
    <n v="0"/>
    <n v="0"/>
    <n v="0"/>
    <n v="0"/>
    <n v="0"/>
    <s v="East"/>
    <x v="1"/>
    <x v="0"/>
    <x v="1"/>
    <x v="0"/>
    <x v="0"/>
    <x v="0"/>
    <m/>
    <x v="0"/>
    <s v="Y"/>
    <n v="7"/>
    <m/>
    <n v="9"/>
    <n v="0"/>
    <n v="0"/>
    <n v="0"/>
    <n v="0"/>
    <n v="0"/>
    <n v="0"/>
    <n v="0"/>
    <n v="0"/>
    <n v="0"/>
    <n v="0"/>
    <n v="0"/>
    <n v="0"/>
    <n v="0"/>
    <n v="0"/>
    <n v="0"/>
    <n v="0"/>
    <n v="0"/>
    <n v="0"/>
    <n v="0"/>
    <n v="0"/>
    <n v="0"/>
    <n v="0"/>
  </r>
  <r>
    <n v="5437"/>
    <x v="0"/>
    <s v="2013/3916"/>
    <m/>
    <s v="Harvard Mansions, St Johns Hill"/>
    <m/>
    <n v="526888"/>
    <n v="175093"/>
    <x v="0"/>
    <d v="2016-02-01T00:00:00"/>
    <d v="2017-08-02T00:00:00"/>
    <n v="0"/>
    <n v="3"/>
    <n v="3"/>
    <n v="3"/>
    <n v="3"/>
    <m/>
    <s v="Erection of additional floor to Mansion Block to accommodate no.3 (3-bedroom) flats with roof terraces."/>
    <s v="PF"/>
    <d v="2013-08-08T00:00:00"/>
    <d v="2013-10-10T00:00:00"/>
    <x v="0"/>
    <s v="Nil"/>
    <m/>
    <s v="BF"/>
    <x v="0"/>
    <x v="0"/>
    <x v="0"/>
    <n v="1.4000000432133701E-2"/>
    <d v="2016-02-01T00:00:00"/>
    <x v="0"/>
    <d v="2017-08-02T00:00:00"/>
    <x v="0"/>
    <s v="P"/>
    <m/>
    <m/>
    <n v="0"/>
    <m/>
    <n v="0"/>
    <m/>
    <n v="0"/>
    <n v="0"/>
    <n v="0"/>
    <n v="3"/>
    <n v="0"/>
    <n v="0"/>
    <n v="0"/>
    <n v="0"/>
    <n v="0"/>
    <n v="0"/>
    <n v="3"/>
    <n v="0"/>
    <n v="0"/>
    <n v="0"/>
    <n v="0"/>
    <n v="0"/>
    <n v="0"/>
    <n v="0"/>
    <n v="0"/>
    <n v="0"/>
    <n v="0"/>
    <n v="0"/>
    <n v="0"/>
    <n v="0"/>
    <n v="0"/>
    <n v="0"/>
    <n v="0"/>
    <n v="0"/>
    <s v="West"/>
    <x v="0"/>
    <x v="0"/>
    <x v="1"/>
    <x v="0"/>
    <x v="0"/>
    <x v="0"/>
    <m/>
    <x v="0"/>
    <s v="Y"/>
    <n v="1"/>
    <m/>
    <n v="3"/>
    <n v="0"/>
    <n v="0"/>
    <n v="0"/>
    <n v="0"/>
    <n v="0"/>
    <n v="0"/>
    <n v="0"/>
    <n v="0"/>
    <n v="0"/>
    <n v="0"/>
    <n v="0"/>
    <n v="0"/>
    <n v="0"/>
    <n v="0"/>
    <n v="0"/>
    <n v="0"/>
    <n v="0"/>
    <n v="0"/>
    <n v="0"/>
    <n v="0"/>
    <n v="0"/>
    <n v="0"/>
  </r>
  <r>
    <n v="5480"/>
    <x v="0"/>
    <s v="2016/0510"/>
    <m/>
    <s v="Brynmaer House, Brynmaer Road"/>
    <m/>
    <n v="527831"/>
    <n v="176627"/>
    <x v="6"/>
    <d v="2017-03-31T00:00:00"/>
    <d v="2018-03-31T00:00:00"/>
    <n v="0"/>
    <n v="1"/>
    <n v="1"/>
    <n v="1"/>
    <n v="1"/>
    <m/>
    <s v="Erection to create additional floor of accommodation to provide 1 x 3-bedroom flat and creation of roof terraces. Alterations to external windows and doors.  Installation of entrance gates and railings above existing boundary wall along front and side elevations."/>
    <s v="PF"/>
    <d v="2016-01-27T00:00:00"/>
    <d v="2016-04-28T00:00:00"/>
    <x v="0"/>
    <s v="Nil"/>
    <m/>
    <s v="BF"/>
    <x v="2"/>
    <x v="0"/>
    <x v="3"/>
    <n v="7.0000002160668399E-3"/>
    <d v="2017-03-31T00:00:00"/>
    <x v="0"/>
    <d v="2018-03-31T00:00:00"/>
    <x v="0"/>
    <s v="P"/>
    <m/>
    <m/>
    <n v="0"/>
    <m/>
    <n v="0"/>
    <m/>
    <n v="0"/>
    <n v="0"/>
    <n v="0"/>
    <n v="1"/>
    <n v="0"/>
    <n v="0"/>
    <n v="0"/>
    <n v="0"/>
    <n v="0"/>
    <n v="0"/>
    <n v="1"/>
    <n v="0"/>
    <n v="0"/>
    <n v="0"/>
    <n v="0"/>
    <n v="0"/>
    <n v="0"/>
    <n v="0"/>
    <n v="0"/>
    <n v="0"/>
    <n v="0"/>
    <n v="0"/>
    <n v="0"/>
    <n v="0"/>
    <n v="0"/>
    <n v="0"/>
    <n v="0"/>
    <n v="0"/>
    <s v="East"/>
    <x v="0"/>
    <x v="0"/>
    <x v="1"/>
    <x v="0"/>
    <x v="0"/>
    <x v="0"/>
    <m/>
    <x v="0"/>
    <s v="Y"/>
    <n v="7"/>
    <m/>
    <n v="1"/>
    <n v="0"/>
    <n v="0"/>
    <n v="0"/>
    <n v="0"/>
    <n v="0"/>
    <n v="0"/>
    <n v="0"/>
    <n v="0"/>
    <n v="0"/>
    <n v="0"/>
    <n v="0"/>
    <n v="0"/>
    <n v="0"/>
    <n v="0"/>
    <n v="0"/>
    <n v="0"/>
    <n v="0"/>
    <n v="0"/>
    <n v="0"/>
    <n v="0"/>
    <n v="0"/>
    <n v="0"/>
  </r>
  <r>
    <n v="5526"/>
    <x v="0"/>
    <s v="2015/5408"/>
    <s v="Former care home"/>
    <s v="10 Fontenoy Road"/>
    <m/>
    <n v="529051"/>
    <n v="172623"/>
    <x v="3"/>
    <d v="2016-06-01T00:00:00"/>
    <d v="2017-12-22T00:00:00"/>
    <n v="0"/>
    <n v="9"/>
    <n v="9"/>
    <n v="9"/>
    <n v="9"/>
    <m/>
    <s v="Demolition of a 3 storey detached building (formerly serving as a care home) and the construction of a four storey block (with accommodation within the roof) to provide 9 flats (3 x 3 bedroom flats and 6 x 2 bedroom flats)."/>
    <s v="PF"/>
    <d v="2015-09-25T00:00:00"/>
    <d v="2016-04-04T00:00:00"/>
    <x v="0"/>
    <s v="Nil"/>
    <m/>
    <s v="BF"/>
    <x v="0"/>
    <x v="0"/>
    <x v="0"/>
    <n v="7.5000002980232197E-2"/>
    <d v="2016-06-01T00:00:00"/>
    <x v="0"/>
    <d v="2017-12-22T00:00:00"/>
    <x v="0"/>
    <s v="P"/>
    <m/>
    <m/>
    <n v="9"/>
    <m/>
    <n v="0"/>
    <m/>
    <n v="0"/>
    <n v="0"/>
    <n v="6"/>
    <n v="3"/>
    <n v="0"/>
    <n v="0"/>
    <n v="0"/>
    <n v="0"/>
    <n v="0"/>
    <n v="6"/>
    <n v="3"/>
    <n v="0"/>
    <n v="0"/>
    <n v="0"/>
    <n v="0"/>
    <n v="0"/>
    <n v="0"/>
    <n v="0"/>
    <n v="0"/>
    <n v="0"/>
    <n v="0"/>
    <n v="0"/>
    <n v="0"/>
    <n v="0"/>
    <n v="0"/>
    <n v="0"/>
    <n v="0"/>
    <n v="0"/>
    <s v="East"/>
    <x v="0"/>
    <x v="0"/>
    <x v="1"/>
    <x v="0"/>
    <x v="0"/>
    <x v="0"/>
    <m/>
    <x v="0"/>
    <s v="Y"/>
    <n v="1"/>
    <m/>
    <n v="9"/>
    <n v="0"/>
    <n v="0"/>
    <n v="0"/>
    <n v="0"/>
    <n v="0"/>
    <n v="0"/>
    <n v="0"/>
    <n v="0"/>
    <n v="0"/>
    <n v="0"/>
    <n v="0"/>
    <n v="0"/>
    <n v="0"/>
    <n v="0"/>
    <n v="0"/>
    <n v="0"/>
    <n v="0"/>
    <n v="0"/>
    <n v="0"/>
    <n v="0"/>
    <n v="0"/>
    <n v="0"/>
  </r>
  <r>
    <n v="5546"/>
    <x v="0"/>
    <s v="2014/0900"/>
    <m/>
    <s v="4 Treport Street"/>
    <m/>
    <n v="525916"/>
    <n v="173928"/>
    <x v="18"/>
    <d v="2017-04-19T00:00:00"/>
    <d v="2018-03-31T00:00:00"/>
    <n v="0"/>
    <n v="1"/>
    <n v="1"/>
    <n v="1"/>
    <n v="1"/>
    <m/>
    <s v="Erection of rear mansard roof extension to main roof and above back addition with french doors and safety railings to access second floor level rear roof terrace in connection with provision of a 1-bedroom flat."/>
    <s v="PF"/>
    <d v="2014-02-20T00:00:00"/>
    <d v="2014-04-17T00:00:00"/>
    <x v="0"/>
    <s v="Nil"/>
    <m/>
    <s v="BF"/>
    <x v="0"/>
    <x v="0"/>
    <x v="0"/>
    <n v="4.9999998882412902E-3"/>
    <d v="2017-04-19T00:00:00"/>
    <x v="1"/>
    <d v="2018-03-31T00:00:00"/>
    <x v="0"/>
    <s v="P"/>
    <m/>
    <m/>
    <n v="0"/>
    <m/>
    <n v="0"/>
    <m/>
    <n v="0"/>
    <n v="1"/>
    <n v="0"/>
    <n v="0"/>
    <n v="0"/>
    <n v="0"/>
    <n v="0"/>
    <n v="0"/>
    <n v="1"/>
    <n v="0"/>
    <n v="0"/>
    <n v="0"/>
    <n v="0"/>
    <n v="0"/>
    <n v="0"/>
    <n v="0"/>
    <n v="0"/>
    <n v="0"/>
    <n v="0"/>
    <n v="0"/>
    <n v="0"/>
    <n v="0"/>
    <n v="0"/>
    <n v="0"/>
    <n v="0"/>
    <n v="0"/>
    <n v="0"/>
    <n v="0"/>
    <s v="West"/>
    <x v="0"/>
    <x v="0"/>
    <x v="1"/>
    <x v="0"/>
    <x v="0"/>
    <x v="0"/>
    <m/>
    <x v="0"/>
    <s v="Y"/>
    <n v="1"/>
    <m/>
    <n v="1"/>
    <n v="0"/>
    <n v="0"/>
    <n v="0"/>
    <n v="0"/>
    <n v="0"/>
    <n v="0"/>
    <n v="0"/>
    <n v="0"/>
    <n v="0"/>
    <n v="0"/>
    <n v="0"/>
    <n v="0"/>
    <n v="0"/>
    <n v="0"/>
    <n v="0"/>
    <n v="0"/>
    <n v="0"/>
    <n v="0"/>
    <n v="0"/>
    <n v="0"/>
    <n v="0"/>
    <n v="0"/>
  </r>
  <r>
    <n v="5560"/>
    <x v="0"/>
    <s v="2015/5883"/>
    <m/>
    <s v="29 Dafforne Road"/>
    <m/>
    <n v="528096"/>
    <n v="172192"/>
    <x v="3"/>
    <d v="2017-03-31T00:00:00"/>
    <d v="2018-03-26T00:00:00"/>
    <n v="1"/>
    <n v="3"/>
    <n v="2"/>
    <n v="3"/>
    <n v="2"/>
    <m/>
    <s v="Alterations including erection of mansard roof extension and erection of a part single, part two storey rear extension in conjunction with the conversion of a single dwelling house into three self contained flats (1 x 4 bedroom, 1 x 3 bedroom and 1 x 1 bedroom units)"/>
    <s v="PF"/>
    <d v="2015-10-16T00:00:00"/>
    <d v="2016-04-04T00:00:00"/>
    <x v="0"/>
    <s v="Nil"/>
    <m/>
    <s v="BF"/>
    <x v="4"/>
    <x v="0"/>
    <x v="8"/>
    <n v="2.0999999716877899E-2"/>
    <d v="2017-03-31T00:00:00"/>
    <x v="0"/>
    <d v="2018-03-26T00:00:00"/>
    <x v="0"/>
    <s v="P"/>
    <m/>
    <m/>
    <n v="0"/>
    <m/>
    <n v="0"/>
    <m/>
    <n v="0"/>
    <n v="1"/>
    <n v="0"/>
    <n v="1"/>
    <n v="0"/>
    <n v="0"/>
    <n v="0"/>
    <n v="0"/>
    <n v="1"/>
    <n v="0"/>
    <n v="1"/>
    <n v="1"/>
    <n v="0"/>
    <n v="0"/>
    <n v="0"/>
    <n v="0"/>
    <n v="0"/>
    <n v="0"/>
    <n v="-1"/>
    <n v="0"/>
    <n v="0"/>
    <n v="0"/>
    <n v="0"/>
    <n v="0"/>
    <n v="0"/>
    <n v="0"/>
    <n v="0"/>
    <n v="0"/>
    <s v="East"/>
    <x v="0"/>
    <x v="0"/>
    <x v="1"/>
    <x v="0"/>
    <x v="0"/>
    <x v="0"/>
    <m/>
    <x v="0"/>
    <s v="Y"/>
    <n v="7"/>
    <m/>
    <n v="2"/>
    <n v="0"/>
    <n v="0"/>
    <n v="0"/>
    <n v="0"/>
    <n v="0"/>
    <n v="0"/>
    <n v="0"/>
    <n v="0"/>
    <n v="0"/>
    <n v="0"/>
    <n v="0"/>
    <n v="0"/>
    <n v="0"/>
    <n v="0"/>
    <n v="0"/>
    <n v="0"/>
    <n v="0"/>
    <n v="0"/>
    <n v="0"/>
    <n v="0"/>
    <n v="0"/>
    <n v="0"/>
  </r>
  <r>
    <n v="5562"/>
    <x v="0"/>
    <s v="2014/0752"/>
    <m/>
    <s v="82 Cicada Road"/>
    <m/>
    <n v="526160"/>
    <n v="174434"/>
    <x v="0"/>
    <d v="2016-10-06T00:00:00"/>
    <d v="2017-11-20T00:00:00"/>
    <n v="2"/>
    <n v="1"/>
    <n v="-1"/>
    <n v="1"/>
    <n v="-1"/>
    <m/>
    <s v="Conversion of 2 flats into a single dwelling together with the erection of rear/side single-storey extension."/>
    <s v="PF"/>
    <d v="2014-03-10T00:00:00"/>
    <d v="2014-05-01T00:00:00"/>
    <x v="0"/>
    <s v="Nil"/>
    <m/>
    <s v="BF"/>
    <x v="1"/>
    <x v="0"/>
    <x v="7"/>
    <n v="1.4000000432133701E-2"/>
    <d v="2016-10-06T00:00:00"/>
    <x v="0"/>
    <d v="2017-11-20T00:00:00"/>
    <x v="0"/>
    <s v="P"/>
    <m/>
    <m/>
    <n v="0"/>
    <m/>
    <n v="0"/>
    <m/>
    <n v="0"/>
    <n v="-1"/>
    <n v="-1"/>
    <n v="1"/>
    <n v="0"/>
    <n v="0"/>
    <n v="0"/>
    <n v="0"/>
    <n v="-1"/>
    <n v="-1"/>
    <n v="0"/>
    <n v="0"/>
    <n v="0"/>
    <n v="0"/>
    <n v="0"/>
    <n v="0"/>
    <n v="0"/>
    <n v="1"/>
    <n v="0"/>
    <n v="0"/>
    <n v="0"/>
    <n v="0"/>
    <n v="0"/>
    <n v="0"/>
    <n v="0"/>
    <n v="0"/>
    <n v="0"/>
    <n v="0"/>
    <s v="West"/>
    <x v="0"/>
    <x v="0"/>
    <x v="1"/>
    <x v="0"/>
    <x v="0"/>
    <x v="0"/>
    <m/>
    <x v="0"/>
    <s v="Y"/>
    <n v="7"/>
    <m/>
    <n v="-1"/>
    <n v="0"/>
    <n v="0"/>
    <n v="0"/>
    <n v="0"/>
    <n v="0"/>
    <n v="0"/>
    <n v="0"/>
    <n v="0"/>
    <n v="0"/>
    <n v="0"/>
    <n v="0"/>
    <n v="0"/>
    <n v="0"/>
    <n v="0"/>
    <n v="0"/>
    <n v="0"/>
    <n v="0"/>
    <n v="0"/>
    <n v="0"/>
    <n v="0"/>
    <n v="0"/>
    <n v="0"/>
  </r>
  <r>
    <n v="5569"/>
    <x v="0"/>
    <s v="2013/4653"/>
    <s v="Former Army Cadet Force Building"/>
    <s v="Phase 2 Development Wandsworth Business Village, Buckhold Road"/>
    <m/>
    <n v="525381"/>
    <n v="174578"/>
    <x v="5"/>
    <d v="2016-09-30T00:00:00"/>
    <d v="2018-03-31T00:00:00"/>
    <n v="0"/>
    <n v="73"/>
    <n v="73"/>
    <n v="77"/>
    <n v="77"/>
    <s v="Y"/>
    <s v="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s v="PFLA"/>
    <d v="2013-09-24T00:00:00"/>
    <d v="2014-07-22T00:00:00"/>
    <x v="0"/>
    <s v="Nil"/>
    <m/>
    <s v="BF"/>
    <x v="0"/>
    <x v="1"/>
    <x v="1"/>
    <n v="4.1999999433755902E-2"/>
    <d v="2016-09-30T00:00:00"/>
    <x v="0"/>
    <d v="2018-03-31T00:00:00"/>
    <x v="0"/>
    <s v="P"/>
    <s v="3.1.1"/>
    <m/>
    <n v="73"/>
    <m/>
    <n v="7"/>
    <m/>
    <n v="2"/>
    <n v="24"/>
    <n v="41"/>
    <n v="6"/>
    <n v="0"/>
    <n v="0"/>
    <n v="0"/>
    <n v="2"/>
    <n v="24"/>
    <n v="41"/>
    <n v="6"/>
    <n v="0"/>
    <n v="0"/>
    <n v="0"/>
    <n v="0"/>
    <n v="0"/>
    <n v="0"/>
    <n v="0"/>
    <n v="0"/>
    <n v="0"/>
    <n v="0"/>
    <n v="0"/>
    <n v="0"/>
    <n v="0"/>
    <n v="0"/>
    <n v="0"/>
    <n v="0"/>
    <n v="0"/>
    <s v="West"/>
    <x v="4"/>
    <x v="0"/>
    <x v="0"/>
    <x v="0"/>
    <x v="0"/>
    <x v="0"/>
    <m/>
    <x v="0"/>
    <s v="Y"/>
    <n v="1"/>
    <m/>
    <n v="73"/>
    <n v="0"/>
    <n v="0"/>
    <n v="0"/>
    <n v="0"/>
    <n v="0"/>
    <n v="0"/>
    <n v="0"/>
    <n v="0"/>
    <n v="0"/>
    <n v="0"/>
    <n v="0"/>
    <n v="0"/>
    <n v="0"/>
    <n v="0"/>
    <n v="0"/>
    <n v="0"/>
    <n v="0"/>
    <n v="0"/>
    <n v="0"/>
    <n v="0"/>
    <n v="0"/>
    <n v="0"/>
  </r>
  <r>
    <n v="5569"/>
    <x v="0"/>
    <s v="2013/4653"/>
    <s v="Former Army Cadet Force Building"/>
    <s v="Phase 2 Development Wandsworth Business Village, Buckhold Road"/>
    <m/>
    <n v="525381"/>
    <n v="174578"/>
    <x v="5"/>
    <d v="2016-09-30T00:00:00"/>
    <d v="2018-03-31T00:00:00"/>
    <n v="0"/>
    <n v="4"/>
    <n v="4"/>
    <n v="77"/>
    <n v="77"/>
    <s v="Y"/>
    <s v="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s v="PFLA"/>
    <d v="2013-09-24T00:00:00"/>
    <d v="2014-07-22T00:00:00"/>
    <x v="0"/>
    <s v="Nil"/>
    <m/>
    <s v="BF"/>
    <x v="0"/>
    <x v="1"/>
    <x v="1"/>
    <n v="0"/>
    <d v="2016-09-30T00:00:00"/>
    <x v="0"/>
    <d v="2018-03-31T00:00:00"/>
    <x v="1"/>
    <s v="HASO"/>
    <s v="3.1.1"/>
    <m/>
    <n v="4"/>
    <m/>
    <n v="0"/>
    <m/>
    <n v="0"/>
    <n v="1"/>
    <n v="3"/>
    <n v="0"/>
    <n v="0"/>
    <n v="0"/>
    <n v="0"/>
    <n v="0"/>
    <n v="1"/>
    <n v="3"/>
    <n v="0"/>
    <n v="0"/>
    <n v="0"/>
    <n v="0"/>
    <n v="0"/>
    <n v="0"/>
    <n v="0"/>
    <n v="0"/>
    <n v="0"/>
    <n v="0"/>
    <n v="0"/>
    <n v="0"/>
    <n v="0"/>
    <n v="0"/>
    <n v="0"/>
    <n v="0"/>
    <n v="0"/>
    <n v="0"/>
    <s v="West"/>
    <x v="4"/>
    <x v="0"/>
    <x v="0"/>
    <x v="0"/>
    <x v="0"/>
    <x v="0"/>
    <m/>
    <x v="0"/>
    <s v="Y"/>
    <n v="1"/>
    <m/>
    <n v="4"/>
    <n v="0"/>
    <n v="0"/>
    <n v="0"/>
    <n v="0"/>
    <n v="0"/>
    <n v="0"/>
    <n v="0"/>
    <n v="0"/>
    <n v="0"/>
    <n v="0"/>
    <n v="0"/>
    <n v="0"/>
    <n v="0"/>
    <n v="0"/>
    <n v="0"/>
    <n v="0"/>
    <n v="0"/>
    <n v="0"/>
    <n v="0"/>
    <n v="0"/>
    <n v="0"/>
    <n v="0"/>
  </r>
  <r>
    <n v="5600"/>
    <x v="0"/>
    <s v="2014/1888"/>
    <m/>
    <s v="196A Trinity Road"/>
    <m/>
    <n v="527515"/>
    <n v="173123"/>
    <x v="11"/>
    <d v="2015-01-10T00:00:00"/>
    <d v="2018-03-31T00:00:00"/>
    <n v="1"/>
    <n v="3"/>
    <n v="2"/>
    <n v="3"/>
    <n v="2"/>
    <m/>
    <s v="Conversion of existing three-storey maisonette into 3 self contained flats consisting of 2 x 2 bedroom units and 1 x studio unit."/>
    <s v="RP"/>
    <d v="2014-04-04T00:00:00"/>
    <d v="2014-05-30T00:00:00"/>
    <x v="0"/>
    <s v="APG"/>
    <d v="2015-01-09T00:00:00"/>
    <s v="BF"/>
    <x v="1"/>
    <x v="0"/>
    <x v="10"/>
    <n v="1.60000007599592E-2"/>
    <d v="2015-01-10T00:00:00"/>
    <x v="0"/>
    <d v="2018-03-31T00:00:00"/>
    <x v="0"/>
    <s v="P"/>
    <m/>
    <m/>
    <n v="0"/>
    <m/>
    <n v="0"/>
    <m/>
    <n v="1"/>
    <n v="0"/>
    <n v="2"/>
    <n v="0"/>
    <n v="-1"/>
    <n v="0"/>
    <n v="0"/>
    <n v="1"/>
    <n v="0"/>
    <n v="2"/>
    <n v="0"/>
    <n v="-1"/>
    <n v="0"/>
    <n v="0"/>
    <n v="0"/>
    <n v="0"/>
    <n v="0"/>
    <n v="0"/>
    <n v="0"/>
    <n v="0"/>
    <n v="0"/>
    <n v="0"/>
    <n v="0"/>
    <n v="0"/>
    <n v="0"/>
    <n v="0"/>
    <n v="0"/>
    <n v="0"/>
    <s v="East"/>
    <x v="0"/>
    <x v="0"/>
    <x v="1"/>
    <x v="0"/>
    <x v="0"/>
    <x v="0"/>
    <m/>
    <x v="0"/>
    <s v="Y"/>
    <n v="7"/>
    <m/>
    <n v="2"/>
    <n v="0"/>
    <n v="0"/>
    <n v="0"/>
    <n v="0"/>
    <n v="0"/>
    <n v="0"/>
    <n v="0"/>
    <n v="0"/>
    <n v="0"/>
    <n v="0"/>
    <n v="0"/>
    <n v="0"/>
    <n v="0"/>
    <n v="0"/>
    <n v="0"/>
    <n v="0"/>
    <n v="0"/>
    <n v="0"/>
    <n v="0"/>
    <n v="0"/>
    <n v="0"/>
    <n v="0"/>
  </r>
  <r>
    <n v="5613"/>
    <x v="0"/>
    <s v="2014/7364"/>
    <m/>
    <s v="50 Northcote Road"/>
    <m/>
    <n v="527472"/>
    <n v="174926"/>
    <x v="14"/>
    <d v="2015-08-17T00:00:00"/>
    <d v="2017-06-08T00:00:00"/>
    <n v="0"/>
    <n v="1"/>
    <n v="1"/>
    <n v="1"/>
    <n v="1"/>
    <m/>
    <s v="Erection of a roof extension to main roof and a rear extension raising ridge height (with French doors and a glazed screen) and erection of extension to rear at first and second floor levels, with creation of roof terraces at first floor level in association with the creation of an additional residential unit; erection of ground floor rear extension to shop with refuse and cycle storage."/>
    <s v="PF"/>
    <d v="2014-12-29T00:00:00"/>
    <d v="2015-04-27T00:00:00"/>
    <x v="0"/>
    <s v="Nil"/>
    <m/>
    <s v="BF"/>
    <x v="2"/>
    <x v="0"/>
    <x v="3"/>
    <n v="4.0000001899898104E-3"/>
    <d v="2015-08-17T00:00:00"/>
    <x v="0"/>
    <d v="2017-06-08T00:00:00"/>
    <x v="0"/>
    <s v="P"/>
    <m/>
    <m/>
    <n v="0"/>
    <m/>
    <n v="0"/>
    <m/>
    <n v="0"/>
    <n v="0"/>
    <n v="1"/>
    <n v="0"/>
    <n v="0"/>
    <n v="0"/>
    <n v="0"/>
    <n v="0"/>
    <n v="0"/>
    <n v="1"/>
    <n v="0"/>
    <n v="0"/>
    <n v="0"/>
    <n v="0"/>
    <n v="0"/>
    <n v="0"/>
    <n v="0"/>
    <n v="0"/>
    <n v="0"/>
    <n v="0"/>
    <n v="0"/>
    <n v="0"/>
    <n v="0"/>
    <n v="0"/>
    <n v="0"/>
    <n v="0"/>
    <n v="0"/>
    <n v="0"/>
    <s v="East"/>
    <x v="5"/>
    <x v="0"/>
    <x v="1"/>
    <x v="0"/>
    <x v="0"/>
    <x v="0"/>
    <m/>
    <x v="0"/>
    <s v="Y"/>
    <n v="7"/>
    <m/>
    <n v="1"/>
    <n v="0"/>
    <n v="0"/>
    <n v="0"/>
    <n v="0"/>
    <n v="0"/>
    <n v="0"/>
    <n v="0"/>
    <n v="0"/>
    <n v="0"/>
    <n v="0"/>
    <n v="0"/>
    <n v="0"/>
    <n v="0"/>
    <n v="0"/>
    <n v="0"/>
    <n v="0"/>
    <n v="0"/>
    <n v="0"/>
    <n v="0"/>
    <n v="0"/>
    <n v="0"/>
    <n v="0"/>
  </r>
  <r>
    <n v="5629"/>
    <x v="0"/>
    <s v="2014/2603"/>
    <m/>
    <s v="86-88 Garratt Lane"/>
    <m/>
    <n v="525681"/>
    <n v="174324"/>
    <x v="5"/>
    <d v="2014-10-09T00:00:00"/>
    <d v="2017-04-27T00:00:00"/>
    <n v="0"/>
    <n v="14"/>
    <n v="14"/>
    <n v="14"/>
    <n v="14"/>
    <s v="Y"/>
    <s v="Prior approval for conversion of offices on first and second floors (B1) to 14 x residential flats (C3)."/>
    <s v="PANR"/>
    <d v="2014-05-07T00:00:00"/>
    <d v="2014-07-02T00:00:00"/>
    <x v="0"/>
    <s v="Nil"/>
    <m/>
    <s v="BF"/>
    <x v="3"/>
    <x v="0"/>
    <x v="9"/>
    <n v="2.60000005364418E-2"/>
    <d v="2014-10-09T00:00:00"/>
    <x v="0"/>
    <d v="2017-04-27T00:00:00"/>
    <x v="0"/>
    <s v="P"/>
    <m/>
    <m/>
    <n v="0"/>
    <m/>
    <n v="0"/>
    <m/>
    <n v="0"/>
    <n v="12"/>
    <n v="2"/>
    <n v="0"/>
    <n v="0"/>
    <n v="0"/>
    <n v="0"/>
    <n v="0"/>
    <n v="12"/>
    <n v="2"/>
    <n v="0"/>
    <n v="0"/>
    <n v="0"/>
    <n v="0"/>
    <n v="0"/>
    <n v="0"/>
    <n v="0"/>
    <n v="0"/>
    <n v="0"/>
    <n v="0"/>
    <n v="0"/>
    <n v="0"/>
    <n v="0"/>
    <n v="0"/>
    <n v="0"/>
    <n v="0"/>
    <n v="0"/>
    <n v="0"/>
    <s v="West"/>
    <x v="4"/>
    <x v="0"/>
    <x v="0"/>
    <x v="0"/>
    <x v="0"/>
    <x v="0"/>
    <m/>
    <x v="0"/>
    <s v="Y"/>
    <n v="7"/>
    <m/>
    <n v="14"/>
    <n v="0"/>
    <n v="0"/>
    <n v="0"/>
    <n v="0"/>
    <n v="0"/>
    <n v="0"/>
    <n v="0"/>
    <n v="0"/>
    <n v="0"/>
    <n v="0"/>
    <n v="0"/>
    <n v="0"/>
    <n v="0"/>
    <n v="0"/>
    <n v="0"/>
    <n v="0"/>
    <n v="0"/>
    <n v="0"/>
    <n v="0"/>
    <n v="0"/>
    <n v="0"/>
    <n v="0"/>
  </r>
  <r>
    <n v="5629"/>
    <x v="0"/>
    <s v="2014/6428"/>
    <m/>
    <s v="86-88 Garratt Lane"/>
    <m/>
    <n v="525681"/>
    <n v="174324"/>
    <x v="5"/>
    <d v="2015-05-01T00:00:00"/>
    <d v="2017-04-27T00:00:00"/>
    <n v="0"/>
    <n v="2"/>
    <n v="2"/>
    <n v="2"/>
    <n v="2"/>
    <m/>
    <s v="Prior approval for the change of use of the front part of the ground floor from office use (Use class B1) to two self-contained residential units (Use Class C3)."/>
    <s v="PAG"/>
    <d v="2014-12-02T00:00:00"/>
    <d v="2015-01-27T00:00:00"/>
    <x v="0"/>
    <s v="Nil"/>
    <m/>
    <s v="BF"/>
    <x v="3"/>
    <x v="0"/>
    <x v="9"/>
    <n v="1.30000002682209E-2"/>
    <d v="2015-05-01T00:00:00"/>
    <x v="0"/>
    <d v="2017-04-27T00:00:00"/>
    <x v="0"/>
    <s v="P"/>
    <m/>
    <m/>
    <n v="0"/>
    <m/>
    <n v="0"/>
    <m/>
    <n v="0"/>
    <n v="1"/>
    <n v="1"/>
    <n v="0"/>
    <n v="0"/>
    <n v="0"/>
    <n v="0"/>
    <n v="0"/>
    <n v="1"/>
    <n v="1"/>
    <n v="0"/>
    <n v="0"/>
    <n v="0"/>
    <n v="0"/>
    <n v="0"/>
    <n v="0"/>
    <n v="0"/>
    <n v="0"/>
    <n v="0"/>
    <n v="0"/>
    <n v="0"/>
    <n v="0"/>
    <n v="0"/>
    <n v="0"/>
    <n v="0"/>
    <n v="0"/>
    <n v="0"/>
    <n v="0"/>
    <s v="West"/>
    <x v="4"/>
    <x v="0"/>
    <x v="0"/>
    <x v="0"/>
    <x v="0"/>
    <x v="0"/>
    <m/>
    <x v="0"/>
    <s v="Y"/>
    <n v="7"/>
    <m/>
    <n v="2"/>
    <n v="0"/>
    <n v="0"/>
    <n v="0"/>
    <n v="0"/>
    <n v="0"/>
    <n v="0"/>
    <n v="0"/>
    <n v="0"/>
    <n v="0"/>
    <n v="0"/>
    <n v="0"/>
    <n v="0"/>
    <n v="0"/>
    <n v="0"/>
    <n v="0"/>
    <n v="0"/>
    <n v="0"/>
    <n v="0"/>
    <n v="0"/>
    <n v="0"/>
    <n v="0"/>
    <n v="0"/>
  </r>
  <r>
    <n v="5639"/>
    <x v="0"/>
    <s v="2014/4775"/>
    <m/>
    <s v="90-92 Garratt Lane"/>
    <m/>
    <n v="525706"/>
    <n v="174298"/>
    <x v="5"/>
    <d v="2015-05-01T00:00:00"/>
    <d v="2017-04-27T00:00:00"/>
    <n v="0"/>
    <n v="4"/>
    <n v="4"/>
    <n v="4"/>
    <n v="4"/>
    <m/>
    <s v="Prior Approval for conversion from offices (Class B1) at second floor level to 2 x 1-bedroom and 2 x 2-bedroom residential units (Class C3)."/>
    <s v="PANR"/>
    <d v="2014-08-19T00:00:00"/>
    <d v="2014-10-08T00:00:00"/>
    <x v="0"/>
    <s v="Nil"/>
    <m/>
    <s v="BF"/>
    <x v="3"/>
    <x v="0"/>
    <x v="9"/>
    <n v="1.30000002682209E-2"/>
    <d v="2015-05-01T00:00:00"/>
    <x v="0"/>
    <d v="2017-04-27T00:00:00"/>
    <x v="0"/>
    <s v="P"/>
    <m/>
    <m/>
    <n v="0"/>
    <m/>
    <n v="0"/>
    <m/>
    <n v="0"/>
    <n v="2"/>
    <n v="2"/>
    <n v="0"/>
    <n v="0"/>
    <n v="0"/>
    <n v="0"/>
    <n v="0"/>
    <n v="2"/>
    <n v="2"/>
    <n v="0"/>
    <n v="0"/>
    <n v="0"/>
    <n v="0"/>
    <n v="0"/>
    <n v="0"/>
    <n v="0"/>
    <n v="0"/>
    <n v="0"/>
    <n v="0"/>
    <n v="0"/>
    <n v="0"/>
    <n v="0"/>
    <n v="0"/>
    <n v="0"/>
    <n v="0"/>
    <n v="0"/>
    <n v="0"/>
    <s v="West"/>
    <x v="4"/>
    <x v="0"/>
    <x v="0"/>
    <x v="0"/>
    <x v="0"/>
    <x v="0"/>
    <m/>
    <x v="0"/>
    <s v="Y"/>
    <n v="7"/>
    <m/>
    <n v="4"/>
    <n v="0"/>
    <n v="0"/>
    <n v="0"/>
    <n v="0"/>
    <n v="0"/>
    <n v="0"/>
    <n v="0"/>
    <n v="0"/>
    <n v="0"/>
    <n v="0"/>
    <n v="0"/>
    <n v="0"/>
    <n v="0"/>
    <n v="0"/>
    <n v="0"/>
    <n v="0"/>
    <n v="0"/>
    <n v="0"/>
    <n v="0"/>
    <n v="0"/>
    <n v="0"/>
    <n v="0"/>
  </r>
  <r>
    <n v="5643"/>
    <x v="0"/>
    <s v="2014/7018"/>
    <m/>
    <s v="261 Lavender Hill"/>
    <m/>
    <n v="527641"/>
    <n v="175495"/>
    <x v="10"/>
    <d v="2015-10-21T00:00:00"/>
    <d v="2017-05-25T00:00:00"/>
    <n v="0"/>
    <n v="3"/>
    <n v="3"/>
    <n v="3"/>
    <n v="3"/>
    <m/>
    <s v="Conversion to provide 3 x residential units. Erection of basement extension with rear lightwell, ground floor rear extension and first floor rear extension to include staircase and roof terrace, and creation of second floor roof terrace. Erection of rear roof extension."/>
    <s v="PF"/>
    <d v="2014-12-09T00:00:00"/>
    <d v="2015-03-10T00:00:00"/>
    <x v="0"/>
    <s v="Nil"/>
    <m/>
    <s v="BF"/>
    <x v="4"/>
    <x v="0"/>
    <x v="9"/>
    <n v="1.09999999403954E-2"/>
    <d v="2015-10-21T00:00:00"/>
    <x v="0"/>
    <d v="2017-05-25T00:00:00"/>
    <x v="0"/>
    <s v="P"/>
    <m/>
    <m/>
    <n v="3"/>
    <m/>
    <n v="0"/>
    <m/>
    <n v="0"/>
    <n v="2"/>
    <n v="1"/>
    <n v="0"/>
    <n v="0"/>
    <n v="0"/>
    <n v="0"/>
    <n v="0"/>
    <n v="2"/>
    <n v="1"/>
    <n v="0"/>
    <n v="0"/>
    <n v="0"/>
    <n v="0"/>
    <n v="0"/>
    <n v="0"/>
    <n v="0"/>
    <n v="0"/>
    <n v="0"/>
    <n v="0"/>
    <n v="0"/>
    <n v="0"/>
    <n v="0"/>
    <n v="0"/>
    <n v="0"/>
    <n v="0"/>
    <n v="0"/>
    <n v="0"/>
    <s v="East"/>
    <x v="5"/>
    <x v="0"/>
    <x v="1"/>
    <x v="0"/>
    <x v="0"/>
    <x v="0"/>
    <m/>
    <x v="0"/>
    <s v="Y"/>
    <n v="7"/>
    <m/>
    <n v="3"/>
    <n v="0"/>
    <n v="0"/>
    <n v="0"/>
    <n v="0"/>
    <n v="0"/>
    <n v="0"/>
    <n v="0"/>
    <n v="0"/>
    <n v="0"/>
    <n v="0"/>
    <n v="0"/>
    <n v="0"/>
    <n v="0"/>
    <n v="0"/>
    <n v="0"/>
    <n v="0"/>
    <n v="0"/>
    <n v="0"/>
    <n v="0"/>
    <n v="0"/>
    <n v="0"/>
    <n v="0"/>
  </r>
  <r>
    <n v="5645"/>
    <x v="0"/>
    <s v="2014/5735"/>
    <s v="Ransomes Dock Business Centre"/>
    <s v="Unit 17, 18 21, 22 &amp; 23 Ransomes Dock Business Centre, 35-37 Parkgate Road"/>
    <m/>
    <n v="527292"/>
    <n v="177189"/>
    <x v="1"/>
    <d v="2015-02-25T00:00:00"/>
    <m/>
    <n v="0"/>
    <n v="1"/>
    <n v="1"/>
    <n v="2"/>
    <n v="2"/>
    <m/>
    <s v="Change of use of first floor units from offices (Use Class B1) to residentail (Use Class C3) as two studio flats."/>
    <s v="PAG"/>
    <d v="2014-11-04T00:00:00"/>
    <d v="2015-02-25T00:00:00"/>
    <x v="0"/>
    <s v="Nil"/>
    <m/>
    <s v="BF"/>
    <x v="3"/>
    <x v="0"/>
    <x v="9"/>
    <n v="4.0000001899898104E-3"/>
    <d v="2015-02-25T00:00:00"/>
    <x v="0"/>
    <d v="2017-04-01T00:00:00"/>
    <x v="0"/>
    <s v="P"/>
    <m/>
    <m/>
    <n v="0"/>
    <m/>
    <n v="0"/>
    <m/>
    <n v="1"/>
    <n v="0"/>
    <n v="0"/>
    <n v="0"/>
    <n v="0"/>
    <n v="0"/>
    <n v="0"/>
    <n v="1"/>
    <n v="0"/>
    <n v="0"/>
    <n v="0"/>
    <n v="0"/>
    <n v="0"/>
    <n v="0"/>
    <n v="0"/>
    <n v="0"/>
    <n v="0"/>
    <n v="0"/>
    <n v="0"/>
    <n v="0"/>
    <n v="0"/>
    <n v="0"/>
    <n v="0"/>
    <n v="0"/>
    <n v="0"/>
    <n v="0"/>
    <n v="0"/>
    <n v="0"/>
    <s v="East"/>
    <x v="0"/>
    <x v="0"/>
    <x v="1"/>
    <x v="0"/>
    <x v="0"/>
    <x v="0"/>
    <s v="Y"/>
    <x v="0"/>
    <s v="Y"/>
    <n v="7"/>
    <m/>
    <n v="1"/>
    <n v="0"/>
    <n v="0"/>
    <n v="0"/>
    <n v="0"/>
    <n v="0"/>
    <n v="0"/>
    <n v="0"/>
    <n v="0"/>
    <n v="0"/>
    <n v="0"/>
    <n v="0"/>
    <n v="0"/>
    <n v="0"/>
    <n v="0"/>
    <n v="0"/>
    <n v="0"/>
    <n v="0"/>
    <n v="0"/>
    <n v="0"/>
    <n v="0"/>
    <n v="0"/>
    <n v="0"/>
  </r>
  <r>
    <n v="5647"/>
    <x v="0"/>
    <s v="2014/3761"/>
    <m/>
    <s v="159 Putney High Street"/>
    <m/>
    <n v="523995"/>
    <n v="175107"/>
    <x v="13"/>
    <d v="2016-05-24T00:00:00"/>
    <d v="2017-05-03T00:00:00"/>
    <n v="0"/>
    <n v="9"/>
    <n v="9"/>
    <n v="9"/>
    <n v="9"/>
    <m/>
    <s v="Prior approval for conversion of office (Use Class B1a) to nine self-contained residential units (Use Class C3)."/>
    <s v="PANR"/>
    <d v="2014-07-15T00:00:00"/>
    <d v="2014-09-09T00:00:00"/>
    <x v="0"/>
    <s v="Nil"/>
    <m/>
    <s v="BF"/>
    <x v="3"/>
    <x v="0"/>
    <x v="9"/>
    <n v="1.30000002682209E-2"/>
    <d v="2016-05-24T00:00:00"/>
    <x v="0"/>
    <d v="2017-05-03T00:00:00"/>
    <x v="0"/>
    <s v="P"/>
    <m/>
    <m/>
    <n v="0"/>
    <m/>
    <n v="0"/>
    <m/>
    <n v="9"/>
    <n v="0"/>
    <n v="0"/>
    <n v="0"/>
    <n v="0"/>
    <n v="0"/>
    <n v="0"/>
    <n v="9"/>
    <n v="0"/>
    <n v="0"/>
    <n v="0"/>
    <n v="0"/>
    <n v="0"/>
    <n v="0"/>
    <n v="0"/>
    <n v="0"/>
    <n v="0"/>
    <n v="0"/>
    <n v="0"/>
    <n v="0"/>
    <n v="0"/>
    <n v="0"/>
    <n v="0"/>
    <n v="0"/>
    <n v="0"/>
    <n v="0"/>
    <n v="0"/>
    <n v="0"/>
    <s v="West"/>
    <x v="3"/>
    <x v="0"/>
    <x v="1"/>
    <x v="0"/>
    <x v="0"/>
    <x v="0"/>
    <m/>
    <x v="0"/>
    <s v="Y"/>
    <n v="7"/>
    <m/>
    <n v="9"/>
    <n v="0"/>
    <n v="0"/>
    <n v="0"/>
    <n v="0"/>
    <n v="0"/>
    <n v="0"/>
    <n v="0"/>
    <n v="0"/>
    <n v="0"/>
    <n v="0"/>
    <n v="0"/>
    <n v="0"/>
    <n v="0"/>
    <n v="0"/>
    <n v="0"/>
    <n v="0"/>
    <n v="0"/>
    <n v="0"/>
    <n v="0"/>
    <n v="0"/>
    <n v="0"/>
    <n v="0"/>
  </r>
  <r>
    <n v="5649"/>
    <x v="0"/>
    <s v="2014/3107"/>
    <m/>
    <s v="60 Albert Drive"/>
    <m/>
    <n v="524193"/>
    <n v="172907"/>
    <x v="19"/>
    <d v="2016-01-26T00:00:00"/>
    <d v="2017-04-27T00:00:00"/>
    <n v="2"/>
    <n v="1"/>
    <n v="-1"/>
    <n v="1"/>
    <n v="-1"/>
    <m/>
    <s v="Change of use from two flats to a single dwelling house."/>
    <s v="PF"/>
    <d v="2014-05-28T00:00:00"/>
    <d v="2014-07-23T00:00:00"/>
    <x v="0"/>
    <s v="Nil"/>
    <m/>
    <s v="BF"/>
    <x v="1"/>
    <x v="0"/>
    <x v="7"/>
    <n v="7.4000000953674303E-2"/>
    <d v="2016-01-26T00:00:00"/>
    <x v="0"/>
    <d v="2017-04-27T00:00:00"/>
    <x v="0"/>
    <s v="P"/>
    <m/>
    <m/>
    <n v="0"/>
    <m/>
    <n v="0"/>
    <m/>
    <n v="0"/>
    <n v="0"/>
    <n v="-1"/>
    <n v="-1"/>
    <n v="1"/>
    <n v="0"/>
    <n v="0"/>
    <n v="0"/>
    <n v="0"/>
    <n v="-1"/>
    <n v="-1"/>
    <n v="0"/>
    <n v="0"/>
    <n v="0"/>
    <n v="0"/>
    <n v="0"/>
    <n v="0"/>
    <n v="0"/>
    <n v="1"/>
    <n v="0"/>
    <n v="0"/>
    <n v="0"/>
    <n v="0"/>
    <n v="0"/>
    <n v="0"/>
    <n v="0"/>
    <n v="0"/>
    <n v="0"/>
    <s v="West"/>
    <x v="0"/>
    <x v="0"/>
    <x v="1"/>
    <x v="0"/>
    <x v="0"/>
    <x v="0"/>
    <m/>
    <x v="0"/>
    <s v="Y"/>
    <n v="7"/>
    <m/>
    <n v="-1"/>
    <n v="0"/>
    <n v="0"/>
    <n v="0"/>
    <n v="0"/>
    <n v="0"/>
    <n v="0"/>
    <n v="0"/>
    <n v="0"/>
    <n v="0"/>
    <n v="0"/>
    <n v="0"/>
    <n v="0"/>
    <n v="0"/>
    <n v="0"/>
    <n v="0"/>
    <n v="0"/>
    <n v="0"/>
    <n v="0"/>
    <n v="0"/>
    <n v="0"/>
    <n v="0"/>
    <n v="0"/>
  </r>
  <r>
    <n v="5669"/>
    <x v="0"/>
    <s v="2014/3598"/>
    <m/>
    <s v="271-273 Upper Richmond Road"/>
    <m/>
    <n v="523325"/>
    <n v="175241"/>
    <x v="7"/>
    <d v="2015-01-14T00:00:00"/>
    <d v="2017-05-10T00:00:00"/>
    <n v="1"/>
    <n v="2"/>
    <n v="1"/>
    <n v="2"/>
    <n v="1"/>
    <m/>
    <s v="Alterations involving change of use of ground floor restaurant (A3) to part shop/commerical floorspace (A1/A2) and involving extensions to form two dwellings; demolition of rear single-storey additions and erection of part single, part two-storey rear extension; new shopfront and new window to front and rear."/>
    <s v="PF"/>
    <d v="2014-06-11T00:00:00"/>
    <d v="2014-10-22T00:00:00"/>
    <x v="0"/>
    <s v="Nil"/>
    <m/>
    <s v="BF"/>
    <x v="4"/>
    <x v="0"/>
    <x v="0"/>
    <n v="8.0000003799796104E-3"/>
    <d v="2015-01-14T00:00:00"/>
    <x v="0"/>
    <d v="2017-05-10T00:00:00"/>
    <x v="0"/>
    <s v="P"/>
    <m/>
    <m/>
    <n v="0"/>
    <m/>
    <n v="0"/>
    <m/>
    <n v="0"/>
    <n v="1"/>
    <n v="0"/>
    <n v="0"/>
    <n v="0"/>
    <n v="0"/>
    <n v="0"/>
    <n v="0"/>
    <n v="1"/>
    <n v="-1"/>
    <n v="0"/>
    <n v="0"/>
    <n v="0"/>
    <n v="0"/>
    <n v="0"/>
    <n v="0"/>
    <n v="1"/>
    <n v="0"/>
    <n v="0"/>
    <n v="0"/>
    <n v="0"/>
    <n v="0"/>
    <n v="0"/>
    <n v="0"/>
    <n v="0"/>
    <n v="0"/>
    <n v="0"/>
    <n v="0"/>
    <s v="West"/>
    <x v="0"/>
    <x v="0"/>
    <x v="1"/>
    <x v="0"/>
    <x v="0"/>
    <x v="0"/>
    <m/>
    <x v="0"/>
    <s v="Y"/>
    <n v="7"/>
    <m/>
    <n v="1"/>
    <n v="0"/>
    <n v="0"/>
    <n v="0"/>
    <n v="0"/>
    <n v="0"/>
    <n v="0"/>
    <n v="0"/>
    <n v="0"/>
    <n v="0"/>
    <n v="0"/>
    <n v="0"/>
    <n v="0"/>
    <n v="0"/>
    <n v="0"/>
    <n v="0"/>
    <n v="0"/>
    <n v="0"/>
    <n v="0"/>
    <n v="0"/>
    <n v="0"/>
    <n v="0"/>
    <n v="0"/>
  </r>
  <r>
    <n v="5687"/>
    <x v="0"/>
    <s v="2016/2466"/>
    <m/>
    <s v="525 Old York Road"/>
    <m/>
    <n v="525944"/>
    <n v="174996"/>
    <x v="0"/>
    <d v="2015-12-05T00:00:00"/>
    <d v="2017-07-05T00:00:00"/>
    <n v="1"/>
    <n v="3"/>
    <n v="2"/>
    <n v="3"/>
    <n v="2"/>
    <m/>
    <s v="Alterations to include the erection of enlarged dormer to front roof slope,  erection of a part-single, part two-storey rear extension, rear mansard roof extension and roof extension with roof terrace over rear addition; basement excavation with rear enclosed courtyard and formation of side lightwell; change of use of rear part of ground floor commercial unit/shop (Class Use B1)  to residential (Class Use C3) in connection with retention of office (Class B1) unit and provision of three flats (subsequent application to planning permission ref: 2014/4269 dated 18/09/2016)"/>
    <s v="PF"/>
    <d v="2016-05-17T00:00:00"/>
    <d v="2016-10-14T00:00:00"/>
    <x v="0"/>
    <s v="Nil"/>
    <m/>
    <s v="BF"/>
    <x v="4"/>
    <x v="0"/>
    <x v="9"/>
    <n v="8.9999996125698107E-3"/>
    <d v="2015-12-05T00:00:00"/>
    <x v="0"/>
    <d v="2017-07-05T00:00:00"/>
    <x v="0"/>
    <s v="P"/>
    <m/>
    <m/>
    <n v="0"/>
    <m/>
    <n v="0"/>
    <m/>
    <n v="0"/>
    <n v="1"/>
    <n v="0"/>
    <n v="0"/>
    <n v="1"/>
    <n v="0"/>
    <n v="0"/>
    <n v="0"/>
    <n v="1"/>
    <n v="0"/>
    <n v="0"/>
    <n v="1"/>
    <n v="0"/>
    <n v="0"/>
    <n v="0"/>
    <n v="0"/>
    <n v="0"/>
    <n v="0"/>
    <n v="0"/>
    <n v="0"/>
    <n v="0"/>
    <n v="0"/>
    <n v="0"/>
    <n v="0"/>
    <n v="0"/>
    <n v="0"/>
    <n v="0"/>
    <n v="0"/>
    <s v="West"/>
    <x v="0"/>
    <x v="0"/>
    <x v="1"/>
    <x v="0"/>
    <x v="0"/>
    <x v="0"/>
    <m/>
    <x v="0"/>
    <s v="Y"/>
    <n v="7"/>
    <m/>
    <n v="2"/>
    <n v="0"/>
    <n v="0"/>
    <n v="0"/>
    <n v="0"/>
    <n v="0"/>
    <n v="0"/>
    <n v="0"/>
    <n v="0"/>
    <n v="0"/>
    <n v="0"/>
    <n v="0"/>
    <n v="0"/>
    <n v="0"/>
    <n v="0"/>
    <n v="0"/>
    <n v="0"/>
    <n v="0"/>
    <n v="0"/>
    <n v="0"/>
    <n v="0"/>
    <n v="0"/>
    <n v="0"/>
  </r>
  <r>
    <n v="5694"/>
    <x v="0"/>
    <s v="2017/1825"/>
    <m/>
    <s v="The Wheatsheaf P.H, 2 Upper Tooting Road"/>
    <m/>
    <n v="527981"/>
    <n v="172352"/>
    <x v="11"/>
    <d v="2017-05-24T00:00:00"/>
    <d v="2018-02-16T00:00:00"/>
    <n v="8"/>
    <n v="6"/>
    <n v="-2"/>
    <n v="6"/>
    <n v="-2"/>
    <m/>
    <s v="Variation of conditions 2 (in accordance with approved drawings) and 9 (landlord's flat) pursuant to planning permission dated 17/04/2015 ref 2014/3954 (Erection of mansard roof extensions to create third floor, and create second floor to provide 8 no. self-contained residential units at first, second and third floor levels (comprising 1 x 1-bed, 6 x 2-bed and 1 x 3-bed units) and landlord's flat. Cycle store to service yard, and associated internal alterations to create access up to flats.) to allow alterations to materials, omit new third floor addition and reduce number of residential units from 8 no. to 6 no."/>
    <s v="PF"/>
    <d v="2017-03-27T00:00:00"/>
    <d v="2017-05-24T00:00:00"/>
    <x v="1"/>
    <s v="Nil"/>
    <m/>
    <s v="BF"/>
    <x v="2"/>
    <x v="0"/>
    <x v="2"/>
    <n v="3.5999998450279201E-2"/>
    <d v="2017-05-24T00:00:00"/>
    <x v="1"/>
    <d v="2018-02-16T00:00:00"/>
    <x v="0"/>
    <s v="P"/>
    <m/>
    <m/>
    <n v="0"/>
    <m/>
    <n v="0"/>
    <m/>
    <n v="0"/>
    <n v="0"/>
    <n v="-1"/>
    <n v="-1"/>
    <n v="0"/>
    <n v="0"/>
    <n v="0"/>
    <n v="0"/>
    <n v="0"/>
    <n v="-1"/>
    <n v="-1"/>
    <n v="0"/>
    <n v="0"/>
    <n v="0"/>
    <n v="0"/>
    <n v="0"/>
    <n v="0"/>
    <n v="0"/>
    <n v="0"/>
    <n v="0"/>
    <n v="0"/>
    <n v="0"/>
    <n v="0"/>
    <n v="0"/>
    <n v="0"/>
    <n v="0"/>
    <n v="0"/>
    <n v="0"/>
    <s v="East"/>
    <x v="0"/>
    <x v="0"/>
    <x v="1"/>
    <x v="0"/>
    <x v="0"/>
    <x v="0"/>
    <m/>
    <x v="0"/>
    <s v="Y"/>
    <n v="7"/>
    <m/>
    <n v="-2"/>
    <n v="0"/>
    <n v="0"/>
    <n v="0"/>
    <n v="0"/>
    <n v="0"/>
    <n v="0"/>
    <n v="0"/>
    <n v="0"/>
    <n v="0"/>
    <n v="0"/>
    <n v="0"/>
    <n v="0"/>
    <n v="0"/>
    <n v="0"/>
    <n v="0"/>
    <n v="0"/>
    <n v="0"/>
    <n v="0"/>
    <n v="0"/>
    <n v="0"/>
    <n v="0"/>
    <n v="0"/>
  </r>
  <r>
    <n v="5699"/>
    <x v="0"/>
    <s v="2014/4531"/>
    <m/>
    <s v="Land Adjacent, 33 Vandyke Close"/>
    <m/>
    <n v="523902"/>
    <n v="174030"/>
    <x v="16"/>
    <d v="2017-04-01T00:00:00"/>
    <d v="2018-03-31T00:00:00"/>
    <n v="0"/>
    <n v="1"/>
    <n v="1"/>
    <n v="1"/>
    <n v="1"/>
    <m/>
    <s v="Erection of three-storey dwellinghouse with associated parking and landscaping."/>
    <s v="PF"/>
    <d v="2014-08-06T00:00:00"/>
    <d v="2014-11-13T00:00:00"/>
    <x v="0"/>
    <s v="Nil"/>
    <m/>
    <s v="BF"/>
    <x v="0"/>
    <x v="0"/>
    <x v="0"/>
    <n v="1.4999999664723899E-2"/>
    <d v="2017-04-01T00:00:00"/>
    <x v="1"/>
    <d v="2018-03-31T00:00:00"/>
    <x v="0"/>
    <s v="P"/>
    <m/>
    <m/>
    <n v="0"/>
    <m/>
    <n v="0"/>
    <m/>
    <n v="0"/>
    <n v="0"/>
    <n v="0"/>
    <n v="0"/>
    <n v="1"/>
    <n v="0"/>
    <n v="0"/>
    <n v="0"/>
    <n v="0"/>
    <n v="0"/>
    <n v="0"/>
    <n v="0"/>
    <n v="0"/>
    <n v="0"/>
    <n v="0"/>
    <n v="0"/>
    <n v="0"/>
    <n v="0"/>
    <n v="1"/>
    <n v="0"/>
    <n v="0"/>
    <n v="0"/>
    <n v="0"/>
    <n v="0"/>
    <n v="0"/>
    <n v="0"/>
    <n v="0"/>
    <n v="0"/>
    <s v="West"/>
    <x v="0"/>
    <x v="0"/>
    <x v="1"/>
    <x v="0"/>
    <x v="0"/>
    <x v="0"/>
    <m/>
    <x v="0"/>
    <s v="Y"/>
    <n v="1"/>
    <m/>
    <n v="1"/>
    <n v="0"/>
    <n v="0"/>
    <n v="0"/>
    <n v="0"/>
    <n v="0"/>
    <n v="0"/>
    <n v="0"/>
    <n v="0"/>
    <n v="0"/>
    <n v="0"/>
    <n v="0"/>
    <n v="0"/>
    <n v="0"/>
    <n v="0"/>
    <n v="0"/>
    <n v="0"/>
    <n v="0"/>
    <n v="0"/>
    <n v="0"/>
    <n v="0"/>
    <n v="0"/>
    <n v="0"/>
  </r>
  <r>
    <n v="5720"/>
    <x v="0"/>
    <s v="2015/0874"/>
    <m/>
    <s v="4 Beeches Road"/>
    <m/>
    <n v="527464"/>
    <n v="172254"/>
    <x v="4"/>
    <d v="2017-03-31T00:00:00"/>
    <d v="2017-11-30T00:00:00"/>
    <n v="0"/>
    <n v="1"/>
    <n v="1"/>
    <n v="2"/>
    <n v="1"/>
    <m/>
    <s v="Erection of side roof extension, rear roof extension and part conversion of first floor maisonette in order to create 1 x 1 bedroom flat at second floor level.  Installation of external stair to rear."/>
    <s v="PF"/>
    <d v="2015-02-17T00:00:00"/>
    <d v="2015-04-14T00:00:00"/>
    <x v="0"/>
    <s v="Nil"/>
    <m/>
    <s v="BF"/>
    <x v="4"/>
    <x v="0"/>
    <x v="0"/>
    <n v="4.0000001899898104E-3"/>
    <d v="2017-03-31T00:00:00"/>
    <x v="0"/>
    <d v="2017-11-30T00:00:00"/>
    <x v="0"/>
    <s v="P"/>
    <m/>
    <m/>
    <n v="0"/>
    <m/>
    <n v="0"/>
    <m/>
    <n v="0"/>
    <n v="1"/>
    <n v="0"/>
    <n v="0"/>
    <n v="0"/>
    <n v="0"/>
    <n v="0"/>
    <n v="0"/>
    <n v="1"/>
    <n v="0"/>
    <n v="0"/>
    <n v="0"/>
    <n v="0"/>
    <n v="0"/>
    <n v="0"/>
    <n v="0"/>
    <n v="0"/>
    <n v="0"/>
    <n v="0"/>
    <n v="0"/>
    <n v="0"/>
    <n v="0"/>
    <n v="0"/>
    <n v="0"/>
    <n v="0"/>
    <n v="0"/>
    <n v="0"/>
    <n v="0"/>
    <s v="East"/>
    <x v="0"/>
    <x v="0"/>
    <x v="1"/>
    <x v="0"/>
    <x v="0"/>
    <x v="0"/>
    <m/>
    <x v="0"/>
    <s v="Y"/>
    <n v="7"/>
    <m/>
    <n v="1"/>
    <n v="0"/>
    <n v="0"/>
    <n v="0"/>
    <n v="0"/>
    <n v="0"/>
    <n v="0"/>
    <n v="0"/>
    <n v="0"/>
    <n v="0"/>
    <n v="0"/>
    <n v="0"/>
    <n v="0"/>
    <n v="0"/>
    <n v="0"/>
    <n v="0"/>
    <n v="0"/>
    <n v="0"/>
    <n v="0"/>
    <n v="0"/>
    <n v="0"/>
    <n v="0"/>
    <n v="0"/>
  </r>
  <r>
    <n v="5720"/>
    <x v="0"/>
    <s v="2015/0874"/>
    <m/>
    <s v="4 Beeches Road"/>
    <m/>
    <n v="527464"/>
    <n v="172254"/>
    <x v="4"/>
    <d v="2017-03-31T00:00:00"/>
    <d v="2017-11-30T00:00:00"/>
    <n v="1"/>
    <n v="1"/>
    <n v="0"/>
    <n v="2"/>
    <n v="1"/>
    <m/>
    <s v="Erection of side roof extension, rear roof extension and part conversion of first floor maisonette in order to create 1 x 1 bedroom flat at second floor level.  Installation of external stair to rear."/>
    <s v="PF"/>
    <d v="2015-02-17T00:00:00"/>
    <d v="2015-04-14T00:00:00"/>
    <x v="0"/>
    <s v="Nil"/>
    <m/>
    <s v="BF"/>
    <x v="4"/>
    <x v="0"/>
    <x v="10"/>
    <n v="4.9999998882412902E-3"/>
    <d v="2017-03-31T00:00:00"/>
    <x v="0"/>
    <d v="2017-11-30T00:00:00"/>
    <x v="0"/>
    <s v="P"/>
    <m/>
    <m/>
    <n v="0"/>
    <m/>
    <n v="0"/>
    <m/>
    <n v="0"/>
    <n v="0"/>
    <n v="0"/>
    <n v="1"/>
    <n v="-1"/>
    <n v="0"/>
    <n v="0"/>
    <n v="0"/>
    <n v="0"/>
    <n v="0"/>
    <n v="1"/>
    <n v="-1"/>
    <n v="0"/>
    <n v="0"/>
    <n v="0"/>
    <n v="0"/>
    <n v="0"/>
    <n v="0"/>
    <n v="0"/>
    <n v="0"/>
    <n v="0"/>
    <n v="0"/>
    <n v="0"/>
    <n v="0"/>
    <n v="0"/>
    <n v="0"/>
    <n v="0"/>
    <n v="0"/>
    <s v="East"/>
    <x v="0"/>
    <x v="0"/>
    <x v="1"/>
    <x v="0"/>
    <x v="0"/>
    <x v="0"/>
    <m/>
    <x v="0"/>
    <s v="Y"/>
    <n v="7"/>
    <m/>
    <n v="0"/>
    <n v="0"/>
    <n v="0"/>
    <n v="0"/>
    <n v="0"/>
    <n v="0"/>
    <n v="0"/>
    <n v="0"/>
    <n v="0"/>
    <n v="0"/>
    <n v="0"/>
    <n v="0"/>
    <n v="0"/>
    <n v="0"/>
    <n v="0"/>
    <n v="0"/>
    <n v="0"/>
    <n v="0"/>
    <n v="0"/>
    <n v="0"/>
    <n v="0"/>
    <n v="0"/>
    <n v="0"/>
  </r>
  <r>
    <n v="5725"/>
    <x v="0"/>
    <s v="2016/2074"/>
    <m/>
    <s v="The Cottage, 7F Carlton Drive"/>
    <m/>
    <n v="524061"/>
    <n v="174621"/>
    <x v="16"/>
    <d v="2017-02-08T00:00:00"/>
    <d v="2017-11-28T00:00:00"/>
    <n v="1"/>
    <n v="1"/>
    <n v="0"/>
    <n v="1"/>
    <n v="0"/>
    <m/>
    <s v="Demolition of existing dwelling and erection of a 3-storey 3-bedroom house."/>
    <s v="PF"/>
    <d v="2016-04-21T00:00:00"/>
    <d v="2016-06-14T00:00:00"/>
    <x v="0"/>
    <s v="Nil"/>
    <m/>
    <s v="BF"/>
    <x v="0"/>
    <x v="0"/>
    <x v="0"/>
    <n v="3.5000000149011598E-2"/>
    <d v="2017-02-08T00:00:00"/>
    <x v="0"/>
    <d v="2017-11-28T00:00:00"/>
    <x v="0"/>
    <s v="P"/>
    <m/>
    <m/>
    <n v="1"/>
    <m/>
    <n v="0"/>
    <m/>
    <n v="0"/>
    <n v="0"/>
    <n v="-1"/>
    <n v="1"/>
    <n v="0"/>
    <n v="0"/>
    <n v="0"/>
    <n v="0"/>
    <n v="0"/>
    <n v="0"/>
    <n v="0"/>
    <n v="0"/>
    <n v="0"/>
    <n v="0"/>
    <n v="0"/>
    <n v="0"/>
    <n v="-1"/>
    <n v="1"/>
    <n v="0"/>
    <n v="0"/>
    <n v="0"/>
    <n v="0"/>
    <n v="0"/>
    <n v="0"/>
    <n v="0"/>
    <n v="0"/>
    <n v="0"/>
    <n v="0"/>
    <s v="West"/>
    <x v="0"/>
    <x v="0"/>
    <x v="1"/>
    <x v="0"/>
    <x v="0"/>
    <x v="0"/>
    <m/>
    <x v="0"/>
    <s v="Y"/>
    <n v="1"/>
    <m/>
    <n v="0"/>
    <n v="0"/>
    <n v="0"/>
    <n v="0"/>
    <n v="0"/>
    <n v="0"/>
    <n v="0"/>
    <n v="0"/>
    <n v="0"/>
    <n v="0"/>
    <n v="0"/>
    <n v="0"/>
    <n v="0"/>
    <n v="0"/>
    <n v="0"/>
    <n v="0"/>
    <n v="0"/>
    <n v="0"/>
    <n v="0"/>
    <n v="0"/>
    <n v="0"/>
    <n v="0"/>
    <n v="0"/>
  </r>
  <r>
    <n v="5728"/>
    <x v="0"/>
    <s v="2014/4425"/>
    <m/>
    <s v="A &amp; C, 105 Albert Bridge Road"/>
    <m/>
    <n v="527445"/>
    <n v="177289"/>
    <x v="1"/>
    <d v="2015-03-31T00:00:00"/>
    <d v="2018-03-31T00:00:00"/>
    <n v="2"/>
    <n v="1"/>
    <n v="-1"/>
    <n v="1"/>
    <n v="-1"/>
    <m/>
    <s v="Conversion of flats A &amp; C into one residential unit.  Erection of rear mansard roof extension to main roof including formation of roof terrace with safety balustrading; external alterations to rear windows."/>
    <s v="PF"/>
    <d v="2014-09-22T00:00:00"/>
    <d v="2014-11-17T00:00:00"/>
    <x v="0"/>
    <s v="Nil"/>
    <m/>
    <s v="BF"/>
    <x v="4"/>
    <x v="0"/>
    <x v="2"/>
    <n v="1.4000000432133701E-2"/>
    <d v="2015-03-31T00:00:00"/>
    <x v="0"/>
    <d v="2018-03-31T00:00:00"/>
    <x v="0"/>
    <s v="P"/>
    <m/>
    <m/>
    <n v="0"/>
    <m/>
    <n v="0"/>
    <m/>
    <n v="0"/>
    <n v="-1"/>
    <n v="0"/>
    <n v="-1"/>
    <n v="1"/>
    <n v="0"/>
    <n v="0"/>
    <n v="0"/>
    <n v="-1"/>
    <n v="0"/>
    <n v="-1"/>
    <n v="1"/>
    <n v="0"/>
    <n v="0"/>
    <n v="0"/>
    <n v="0"/>
    <n v="0"/>
    <n v="0"/>
    <n v="0"/>
    <n v="0"/>
    <n v="0"/>
    <n v="0"/>
    <n v="0"/>
    <n v="0"/>
    <n v="0"/>
    <n v="0"/>
    <n v="0"/>
    <n v="0"/>
    <s v="East"/>
    <x v="0"/>
    <x v="0"/>
    <x v="1"/>
    <x v="0"/>
    <x v="0"/>
    <x v="0"/>
    <s v="Y"/>
    <x v="0"/>
    <s v="Y"/>
    <n v="7"/>
    <m/>
    <n v="-1"/>
    <n v="0"/>
    <n v="0"/>
    <n v="0"/>
    <n v="0"/>
    <n v="0"/>
    <n v="0"/>
    <n v="0"/>
    <n v="0"/>
    <n v="0"/>
    <n v="0"/>
    <n v="0"/>
    <n v="0"/>
    <n v="0"/>
    <n v="0"/>
    <n v="0"/>
    <n v="0"/>
    <n v="0"/>
    <n v="0"/>
    <n v="0"/>
    <n v="0"/>
    <n v="0"/>
    <n v="0"/>
  </r>
  <r>
    <n v="5741"/>
    <x v="0"/>
    <s v="2015/3222"/>
    <m/>
    <s v="59 Gilbey Road"/>
    <m/>
    <n v="527218"/>
    <n v="171484"/>
    <x v="4"/>
    <d v="2016-01-05T00:00:00"/>
    <d v="2017-12-11T00:00:00"/>
    <n v="2"/>
    <n v="3"/>
    <n v="1"/>
    <n v="3"/>
    <n v="1"/>
    <m/>
    <s v="Alterations in connection with the conversion of property into 1 x three-bedroom 1 x two-bedroom and 1 x one-bedroom flats including erection of roof extension to main rear roof and erection of single-storey rear extension. Erection of side external staircase from first floor to rear garden."/>
    <s v="PF"/>
    <d v="2015-06-11T00:00:00"/>
    <d v="2015-08-06T00:00:00"/>
    <x v="0"/>
    <s v="Nil"/>
    <m/>
    <s v="BF"/>
    <x v="4"/>
    <x v="0"/>
    <x v="10"/>
    <n v="1.30000002682209E-2"/>
    <d v="2016-01-05T00:00:00"/>
    <x v="0"/>
    <d v="2017-12-11T00:00:00"/>
    <x v="0"/>
    <s v="P"/>
    <m/>
    <m/>
    <n v="0"/>
    <m/>
    <n v="0"/>
    <m/>
    <n v="0"/>
    <n v="0"/>
    <n v="1"/>
    <n v="0"/>
    <n v="0"/>
    <n v="0"/>
    <n v="0"/>
    <n v="0"/>
    <n v="0"/>
    <n v="1"/>
    <n v="0"/>
    <n v="0"/>
    <n v="0"/>
    <n v="0"/>
    <n v="0"/>
    <n v="0"/>
    <n v="0"/>
    <n v="0"/>
    <n v="0"/>
    <n v="0"/>
    <n v="0"/>
    <n v="0"/>
    <n v="0"/>
    <n v="0"/>
    <n v="0"/>
    <n v="0"/>
    <n v="0"/>
    <n v="0"/>
    <s v="East"/>
    <x v="0"/>
    <x v="0"/>
    <x v="1"/>
    <x v="0"/>
    <x v="0"/>
    <x v="0"/>
    <m/>
    <x v="0"/>
    <s v="Y"/>
    <n v="7"/>
    <m/>
    <n v="1"/>
    <n v="0"/>
    <n v="0"/>
    <n v="0"/>
    <n v="0"/>
    <n v="0"/>
    <n v="0"/>
    <n v="0"/>
    <n v="0"/>
    <n v="0"/>
    <n v="0"/>
    <n v="0"/>
    <n v="0"/>
    <n v="0"/>
    <n v="0"/>
    <n v="0"/>
    <n v="0"/>
    <n v="0"/>
    <n v="0"/>
    <n v="0"/>
    <n v="0"/>
    <n v="0"/>
    <n v="0"/>
  </r>
  <r>
    <n v="5746"/>
    <x v="0"/>
    <s v="2014/5494"/>
    <m/>
    <s v="Unit A, 46 Oakmead Road"/>
    <m/>
    <n v="528552"/>
    <n v="173138"/>
    <x v="11"/>
    <d v="2016-02-23T00:00:00"/>
    <d v="2017-11-06T00:00:00"/>
    <n v="0"/>
    <n v="4"/>
    <n v="4"/>
    <n v="4"/>
    <n v="4"/>
    <m/>
    <s v="Demolish existing unit (Use Class B1) and construction of 2 storey building to provide 4 self contained apartments (2 x one bedroom and 2 x two bedroom) with refuse and store and cycle parking."/>
    <s v="PF"/>
    <d v="2014-10-10T00:00:00"/>
    <d v="2015-04-20T00:00:00"/>
    <x v="0"/>
    <s v="Nil"/>
    <m/>
    <s v="BF"/>
    <x v="0"/>
    <x v="0"/>
    <x v="0"/>
    <n v="1.7000000923872001E-2"/>
    <d v="2016-02-23T00:00:00"/>
    <x v="0"/>
    <d v="2017-11-06T00:00:00"/>
    <x v="0"/>
    <s v="P"/>
    <m/>
    <m/>
    <n v="4"/>
    <m/>
    <n v="0"/>
    <m/>
    <n v="0"/>
    <n v="2"/>
    <n v="2"/>
    <n v="0"/>
    <n v="0"/>
    <n v="0"/>
    <n v="0"/>
    <n v="0"/>
    <n v="2"/>
    <n v="2"/>
    <n v="0"/>
    <n v="0"/>
    <n v="0"/>
    <n v="0"/>
    <n v="0"/>
    <n v="0"/>
    <n v="0"/>
    <n v="0"/>
    <n v="0"/>
    <n v="0"/>
    <n v="0"/>
    <n v="0"/>
    <n v="0"/>
    <n v="0"/>
    <n v="0"/>
    <n v="0"/>
    <n v="0"/>
    <n v="0"/>
    <s v="East"/>
    <x v="0"/>
    <x v="0"/>
    <x v="1"/>
    <x v="0"/>
    <x v="0"/>
    <x v="0"/>
    <m/>
    <x v="0"/>
    <s v="Y"/>
    <n v="1"/>
    <m/>
    <n v="4"/>
    <n v="0"/>
    <n v="0"/>
    <n v="0"/>
    <n v="0"/>
    <n v="0"/>
    <n v="0"/>
    <n v="0"/>
    <n v="0"/>
    <n v="0"/>
    <n v="0"/>
    <n v="0"/>
    <n v="0"/>
    <n v="0"/>
    <n v="0"/>
    <n v="0"/>
    <n v="0"/>
    <n v="0"/>
    <n v="0"/>
    <n v="0"/>
    <n v="0"/>
    <n v="0"/>
    <n v="0"/>
  </r>
  <r>
    <n v="5752"/>
    <x v="0"/>
    <s v="2015/5021"/>
    <m/>
    <s v="14 Oakhill Road"/>
    <m/>
    <n v="524731"/>
    <n v="174845"/>
    <x v="16"/>
    <d v="2017-04-01T00:00:00"/>
    <d v="2018-03-31T00:00:00"/>
    <n v="0"/>
    <n v="2"/>
    <n v="2"/>
    <n v="2"/>
    <n v="2"/>
    <m/>
    <s v="Excavation to enlarge existing basement including formation of front and rear lightwells to provide two 1-bedroom flats; demolition of existing side garage and erection of single storey side extension to provide 1 additional bedroom in ground floor flat. (Revisions to planning permission ref 2014/5704 dated 18/12/14 to include increased basement floorspace and provision of two flats instead of one)."/>
    <s v="PF"/>
    <d v="2015-09-08T00:00:00"/>
    <d v="2015-12-01T00:00:00"/>
    <x v="0"/>
    <s v="Nil"/>
    <m/>
    <s v="BF"/>
    <x v="4"/>
    <x v="0"/>
    <x v="0"/>
    <n v="6.0000000521540598E-3"/>
    <d v="2017-04-01T00:00:00"/>
    <x v="1"/>
    <d v="2018-03-31T00:00:00"/>
    <x v="2"/>
    <s v="HAAR"/>
    <m/>
    <m/>
    <n v="0"/>
    <m/>
    <n v="0"/>
    <m/>
    <n v="0"/>
    <n v="2"/>
    <n v="0"/>
    <n v="0"/>
    <n v="0"/>
    <n v="0"/>
    <n v="0"/>
    <n v="0"/>
    <n v="2"/>
    <n v="0"/>
    <n v="0"/>
    <n v="0"/>
    <n v="0"/>
    <n v="0"/>
    <n v="0"/>
    <n v="0"/>
    <n v="0"/>
    <n v="0"/>
    <n v="0"/>
    <n v="0"/>
    <n v="0"/>
    <n v="0"/>
    <n v="0"/>
    <n v="0"/>
    <n v="0"/>
    <n v="0"/>
    <n v="0"/>
    <n v="0"/>
    <s v="West"/>
    <x v="0"/>
    <x v="0"/>
    <x v="1"/>
    <x v="0"/>
    <x v="0"/>
    <x v="0"/>
    <m/>
    <x v="0"/>
    <s v="Y"/>
    <n v="7"/>
    <m/>
    <n v="2"/>
    <n v="0"/>
    <n v="0"/>
    <n v="0"/>
    <n v="0"/>
    <n v="0"/>
    <n v="0"/>
    <n v="0"/>
    <n v="0"/>
    <n v="0"/>
    <n v="0"/>
    <n v="0"/>
    <n v="0"/>
    <n v="0"/>
    <n v="0"/>
    <n v="0"/>
    <n v="0"/>
    <n v="0"/>
    <n v="0"/>
    <n v="0"/>
    <n v="0"/>
    <n v="0"/>
    <n v="0"/>
  </r>
  <r>
    <n v="5796"/>
    <x v="0"/>
    <s v="2014/6941"/>
    <m/>
    <s v="1 Gatton Road"/>
    <m/>
    <n v="527522"/>
    <n v="171673"/>
    <x v="4"/>
    <d v="2017-10-25T00:00:00"/>
    <d v="2017-11-20T00:00:00"/>
    <n v="0"/>
    <n v="10"/>
    <n v="10"/>
    <n v="10"/>
    <n v="10"/>
    <s v="Y"/>
    <s v="Determination as to whether prior approval is required to change of the use of first and second floors from offices to 10 x self contained studio flats."/>
    <s v="PANR"/>
    <d v="2014-12-12T00:00:00"/>
    <d v="2015-02-06T00:00:00"/>
    <x v="0"/>
    <s v="Nil"/>
    <m/>
    <s v="BF"/>
    <x v="3"/>
    <x v="0"/>
    <x v="9"/>
    <n v="2.5000000372528999E-2"/>
    <d v="2017-10-25T00:00:00"/>
    <x v="1"/>
    <d v="2017-11-20T00:00:00"/>
    <x v="0"/>
    <s v="P"/>
    <m/>
    <m/>
    <n v="0"/>
    <m/>
    <n v="0"/>
    <m/>
    <n v="10"/>
    <n v="0"/>
    <n v="0"/>
    <n v="0"/>
    <n v="0"/>
    <n v="0"/>
    <n v="0"/>
    <n v="10"/>
    <n v="0"/>
    <n v="0"/>
    <n v="0"/>
    <n v="0"/>
    <n v="0"/>
    <n v="0"/>
    <n v="0"/>
    <n v="0"/>
    <n v="0"/>
    <n v="0"/>
    <n v="0"/>
    <n v="0"/>
    <n v="0"/>
    <n v="0"/>
    <n v="0"/>
    <n v="0"/>
    <n v="0"/>
    <n v="0"/>
    <n v="0"/>
    <n v="0"/>
    <s v="East"/>
    <x v="1"/>
    <x v="0"/>
    <x v="1"/>
    <x v="0"/>
    <x v="0"/>
    <x v="0"/>
    <m/>
    <x v="0"/>
    <s v="Y"/>
    <n v="7"/>
    <m/>
    <n v="10"/>
    <n v="0"/>
    <n v="0"/>
    <n v="0"/>
    <n v="0"/>
    <n v="0"/>
    <n v="0"/>
    <n v="0"/>
    <n v="0"/>
    <n v="0"/>
    <n v="0"/>
    <n v="0"/>
    <n v="0"/>
    <n v="0"/>
    <n v="0"/>
    <n v="0"/>
    <n v="0"/>
    <n v="0"/>
    <n v="0"/>
    <n v="0"/>
    <n v="0"/>
    <n v="0"/>
    <n v="0"/>
  </r>
  <r>
    <n v="5813"/>
    <x v="0"/>
    <s v="2014/6901"/>
    <m/>
    <s v="194 Lavender Hill"/>
    <m/>
    <n v="527658"/>
    <n v="175538"/>
    <x v="10"/>
    <d v="2015-12-16T00:00:00"/>
    <d v="2017-05-04T00:00:00"/>
    <n v="0"/>
    <n v="2"/>
    <n v="2"/>
    <n v="2"/>
    <n v="2"/>
    <m/>
    <s v="Erection of a part single-storey part two-storey rear extension, in connection with the change of use of first floor and part of the ground floor commercial space to form two residential flats (1 x 1 bed, 1 x studio) accessed off Dorothy Road."/>
    <s v="PF"/>
    <d v="2014-12-15T00:00:00"/>
    <d v="2015-02-09T00:00:00"/>
    <x v="0"/>
    <s v="Nil"/>
    <m/>
    <s v="BF"/>
    <x v="4"/>
    <x v="0"/>
    <x v="9"/>
    <n v="6.0000000521540598E-3"/>
    <d v="2015-12-16T00:00:00"/>
    <x v="0"/>
    <d v="2017-05-04T00:00:00"/>
    <x v="0"/>
    <s v="P"/>
    <m/>
    <m/>
    <n v="0"/>
    <m/>
    <n v="0"/>
    <m/>
    <n v="1"/>
    <n v="1"/>
    <n v="0"/>
    <n v="0"/>
    <n v="0"/>
    <n v="0"/>
    <n v="0"/>
    <n v="1"/>
    <n v="1"/>
    <n v="0"/>
    <n v="0"/>
    <n v="0"/>
    <n v="0"/>
    <n v="0"/>
    <n v="0"/>
    <n v="0"/>
    <n v="0"/>
    <n v="0"/>
    <n v="0"/>
    <n v="0"/>
    <n v="0"/>
    <n v="0"/>
    <n v="0"/>
    <n v="0"/>
    <n v="0"/>
    <n v="0"/>
    <n v="0"/>
    <n v="0"/>
    <s v="East"/>
    <x v="5"/>
    <x v="0"/>
    <x v="1"/>
    <x v="0"/>
    <x v="0"/>
    <x v="0"/>
    <m/>
    <x v="0"/>
    <s v="Y"/>
    <n v="7"/>
    <m/>
    <n v="2"/>
    <n v="0"/>
    <n v="0"/>
    <n v="0"/>
    <n v="0"/>
    <n v="0"/>
    <n v="0"/>
    <n v="0"/>
    <n v="0"/>
    <n v="0"/>
    <n v="0"/>
    <n v="0"/>
    <n v="0"/>
    <n v="0"/>
    <n v="0"/>
    <n v="0"/>
    <n v="0"/>
    <n v="0"/>
    <n v="0"/>
    <n v="0"/>
    <n v="0"/>
    <n v="0"/>
    <n v="0"/>
  </r>
  <r>
    <n v="5817"/>
    <x v="0"/>
    <s v="2016/3196"/>
    <m/>
    <s v="199 Garratt Lane"/>
    <m/>
    <n v="525896"/>
    <n v="173915"/>
    <x v="18"/>
    <d v="2016-09-01T00:00:00"/>
    <d v="2017-05-01T00:00:00"/>
    <n v="1"/>
    <n v="1"/>
    <n v="0"/>
    <n v="1"/>
    <n v="0"/>
    <m/>
    <s v="Change of use of basement and part ground floor from Opticians (Class Use D1) to Retail (Class Use A1) and to convert part ground floor to C3 (residential) to enlarge existing studio flat to create 1 x 1-bedroom residential unit (Class Use C3). Relocation of existing side door at ground floor level."/>
    <s v="PF"/>
    <d v="2016-06-13T00:00:00"/>
    <d v="2016-08-05T00:00:00"/>
    <x v="0"/>
    <s v="Nil"/>
    <m/>
    <s v="BF"/>
    <x v="4"/>
    <x v="0"/>
    <x v="5"/>
    <n v="6.0000000521540598E-3"/>
    <d v="2016-09-01T00:00:00"/>
    <x v="0"/>
    <d v="2017-05-01T00:00:00"/>
    <x v="0"/>
    <s v="P"/>
    <m/>
    <m/>
    <n v="0"/>
    <m/>
    <n v="0"/>
    <m/>
    <n v="-1"/>
    <n v="1"/>
    <n v="0"/>
    <n v="0"/>
    <n v="0"/>
    <n v="0"/>
    <n v="0"/>
    <n v="-1"/>
    <n v="1"/>
    <n v="0"/>
    <n v="0"/>
    <n v="0"/>
    <n v="0"/>
    <n v="0"/>
    <n v="0"/>
    <n v="0"/>
    <n v="0"/>
    <n v="0"/>
    <n v="0"/>
    <n v="0"/>
    <n v="0"/>
    <n v="0"/>
    <n v="0"/>
    <n v="0"/>
    <n v="0"/>
    <n v="0"/>
    <n v="0"/>
    <n v="0"/>
    <s v="West"/>
    <x v="0"/>
    <x v="0"/>
    <x v="1"/>
    <x v="0"/>
    <x v="0"/>
    <x v="0"/>
    <m/>
    <x v="0"/>
    <s v="Y"/>
    <n v="7"/>
    <m/>
    <n v="0"/>
    <n v="0"/>
    <n v="0"/>
    <n v="0"/>
    <n v="0"/>
    <n v="0"/>
    <n v="0"/>
    <n v="0"/>
    <n v="0"/>
    <n v="0"/>
    <n v="0"/>
    <n v="0"/>
    <n v="0"/>
    <n v="0"/>
    <n v="0"/>
    <n v="0"/>
    <n v="0"/>
    <n v="0"/>
    <n v="0"/>
    <n v="0"/>
    <n v="0"/>
    <n v="0"/>
    <n v="0"/>
  </r>
  <r>
    <n v="5822"/>
    <x v="0"/>
    <s v="2014/7272"/>
    <m/>
    <s v="105 Bramfield Road"/>
    <m/>
    <n v="527719"/>
    <n v="174621"/>
    <x v="14"/>
    <d v="2015-08-05T00:00:00"/>
    <d v="2017-04-01T00:00:00"/>
    <n v="2"/>
    <n v="1"/>
    <n v="-1"/>
    <n v="1"/>
    <n v="-1"/>
    <m/>
    <s v="Conversion of property from two flats to one single dwelling.  External alterations to rear including removal of the existing rear garden store, lowering of rear ground floor level  by approximately 170mm, infill of ground floor rear lightwell  with a glazed metal-framed rooflight above, removal of external rear garden staircase and replacement of external door on the first floor with a sash window."/>
    <s v="PF"/>
    <d v="2014-12-22T00:00:00"/>
    <d v="2015-02-16T00:00:00"/>
    <x v="0"/>
    <s v="Nil"/>
    <m/>
    <s v="BF"/>
    <x v="1"/>
    <x v="0"/>
    <x v="7"/>
    <n v="1.2000000104308101E-2"/>
    <d v="2015-08-05T00:00:00"/>
    <x v="0"/>
    <d v="2017-04-01T00:00:00"/>
    <x v="0"/>
    <s v="P"/>
    <m/>
    <m/>
    <n v="0"/>
    <m/>
    <n v="0"/>
    <m/>
    <n v="0"/>
    <n v="0"/>
    <n v="-1"/>
    <n v="0"/>
    <n v="0"/>
    <n v="0"/>
    <n v="0"/>
    <n v="0"/>
    <n v="0"/>
    <n v="-1"/>
    <n v="-1"/>
    <n v="0"/>
    <n v="0"/>
    <n v="0"/>
    <n v="0"/>
    <n v="0"/>
    <n v="0"/>
    <n v="1"/>
    <n v="0"/>
    <n v="0"/>
    <n v="0"/>
    <n v="0"/>
    <n v="0"/>
    <n v="0"/>
    <n v="0"/>
    <n v="0"/>
    <n v="0"/>
    <n v="0"/>
    <s v="East"/>
    <x v="0"/>
    <x v="0"/>
    <x v="1"/>
    <x v="0"/>
    <x v="0"/>
    <x v="0"/>
    <m/>
    <x v="0"/>
    <s v="Y"/>
    <n v="7"/>
    <m/>
    <n v="-1"/>
    <n v="0"/>
    <n v="0"/>
    <n v="0"/>
    <n v="0"/>
    <n v="0"/>
    <n v="0"/>
    <n v="0"/>
    <n v="0"/>
    <n v="0"/>
    <n v="0"/>
    <n v="0"/>
    <n v="0"/>
    <n v="0"/>
    <n v="0"/>
    <n v="0"/>
    <n v="0"/>
    <n v="0"/>
    <n v="0"/>
    <n v="0"/>
    <n v="0"/>
    <n v="0"/>
    <n v="0"/>
  </r>
  <r>
    <n v="5824"/>
    <x v="0"/>
    <s v="2014/7080"/>
    <m/>
    <s v="3 Selkirk Road"/>
    <m/>
    <n v="527513"/>
    <n v="171624"/>
    <x v="4"/>
    <d v="2017-04-01T00:00:00"/>
    <d v="2018-03-31T00:00:00"/>
    <n v="0"/>
    <n v="1"/>
    <n v="1"/>
    <n v="1"/>
    <n v="1"/>
    <m/>
    <s v="Construction of mansard roof extension to main roof; creation of front entrance door and change of use of first floor all in association with the creation of a two-bedroom residential unit."/>
    <s v="PF"/>
    <d v="2014-12-12T00:00:00"/>
    <d v="2015-02-06T00:00:00"/>
    <x v="0"/>
    <s v="Nil"/>
    <m/>
    <s v="BF"/>
    <x v="0"/>
    <x v="0"/>
    <x v="0"/>
    <n v="4.0000001899898104E-3"/>
    <d v="2017-04-01T00:00:00"/>
    <x v="1"/>
    <d v="2018-03-31T00:00:00"/>
    <x v="0"/>
    <s v="P"/>
    <m/>
    <m/>
    <n v="0"/>
    <m/>
    <n v="0"/>
    <m/>
    <n v="0"/>
    <n v="0"/>
    <n v="1"/>
    <n v="0"/>
    <n v="0"/>
    <n v="0"/>
    <n v="0"/>
    <n v="0"/>
    <n v="0"/>
    <n v="1"/>
    <n v="0"/>
    <n v="0"/>
    <n v="0"/>
    <n v="0"/>
    <n v="0"/>
    <n v="0"/>
    <n v="0"/>
    <n v="0"/>
    <n v="0"/>
    <n v="0"/>
    <n v="0"/>
    <n v="0"/>
    <n v="0"/>
    <n v="0"/>
    <n v="0"/>
    <n v="0"/>
    <n v="0"/>
    <n v="0"/>
    <s v="East"/>
    <x v="1"/>
    <x v="0"/>
    <x v="1"/>
    <x v="0"/>
    <x v="0"/>
    <x v="0"/>
    <m/>
    <x v="0"/>
    <s v="Y"/>
    <n v="1"/>
    <m/>
    <n v="1"/>
    <n v="0"/>
    <n v="0"/>
    <n v="0"/>
    <n v="0"/>
    <n v="0"/>
    <n v="0"/>
    <n v="0"/>
    <n v="0"/>
    <n v="0"/>
    <n v="0"/>
    <n v="0"/>
    <n v="0"/>
    <n v="0"/>
    <n v="0"/>
    <n v="0"/>
    <n v="0"/>
    <n v="0"/>
    <n v="0"/>
    <n v="0"/>
    <n v="0"/>
    <n v="0"/>
    <n v="0"/>
  </r>
  <r>
    <n v="5837"/>
    <x v="0"/>
    <s v="2014/7337"/>
    <m/>
    <s v="43 Wandsworth Common West Side"/>
    <m/>
    <n v="526501"/>
    <n v="174529"/>
    <x v="17"/>
    <d v="2015-03-31T00:00:00"/>
    <d v="2018-03-31T00:00:00"/>
    <n v="2"/>
    <n v="1"/>
    <n v="-1"/>
    <n v="1"/>
    <n v="-1"/>
    <m/>
    <s v="Demolition of garages at rear; erection of a single-storey rear extension in connection with use as a single dwelling."/>
    <s v="PF"/>
    <d v="2014-12-29T00:00:00"/>
    <d v="2015-02-19T00:00:00"/>
    <x v="0"/>
    <s v="Nil"/>
    <m/>
    <s v="BF"/>
    <x v="4"/>
    <x v="0"/>
    <x v="7"/>
    <n v="1.8999999389052401E-2"/>
    <d v="2015-03-31T00:00:00"/>
    <x v="0"/>
    <d v="2018-03-31T00:00:00"/>
    <x v="0"/>
    <s v="P"/>
    <m/>
    <m/>
    <n v="0"/>
    <m/>
    <n v="0"/>
    <m/>
    <n v="0"/>
    <n v="-1"/>
    <n v="-1"/>
    <n v="1"/>
    <n v="0"/>
    <n v="0"/>
    <n v="0"/>
    <n v="0"/>
    <n v="-1"/>
    <n v="-1"/>
    <n v="0"/>
    <n v="0"/>
    <n v="0"/>
    <n v="0"/>
    <n v="0"/>
    <n v="0"/>
    <n v="0"/>
    <n v="1"/>
    <n v="0"/>
    <n v="0"/>
    <n v="0"/>
    <n v="0"/>
    <n v="0"/>
    <n v="0"/>
    <n v="0"/>
    <n v="0"/>
    <n v="0"/>
    <n v="0"/>
    <s v="West"/>
    <x v="0"/>
    <x v="0"/>
    <x v="1"/>
    <x v="0"/>
    <x v="0"/>
    <x v="0"/>
    <m/>
    <x v="0"/>
    <s v="Y"/>
    <n v="7"/>
    <m/>
    <n v="-1"/>
    <n v="0"/>
    <n v="0"/>
    <n v="0"/>
    <n v="0"/>
    <n v="0"/>
    <n v="0"/>
    <n v="0"/>
    <n v="0"/>
    <n v="0"/>
    <n v="0"/>
    <n v="0"/>
    <n v="0"/>
    <n v="0"/>
    <n v="0"/>
    <n v="0"/>
    <n v="0"/>
    <n v="0"/>
    <n v="0"/>
    <n v="0"/>
    <n v="0"/>
    <n v="0"/>
    <n v="0"/>
  </r>
  <r>
    <n v="5839"/>
    <x v="0"/>
    <s v="2014/7184"/>
    <m/>
    <s v="2 Ravenswood Road"/>
    <m/>
    <n v="528757"/>
    <n v="173681"/>
    <x v="9"/>
    <d v="2016-06-01T00:00:00"/>
    <d v="2017-05-30T00:00:00"/>
    <n v="0"/>
    <n v="1"/>
    <n v="1"/>
    <n v="1"/>
    <n v="1"/>
    <m/>
    <s v="Conversion of ground and first floor shop (Class A1) to a one-bedroom dwelling (Class C3); and external alterations (Prior Approval Application)."/>
    <s v="PAG"/>
    <d v="2014-12-15T00:00:00"/>
    <d v="2015-02-09T00:00:00"/>
    <x v="0"/>
    <s v="Nil"/>
    <m/>
    <s v="BF"/>
    <x v="3"/>
    <x v="0"/>
    <x v="4"/>
    <n v="1.00000004749745E-3"/>
    <d v="2016-06-01T00:00:00"/>
    <x v="0"/>
    <d v="2017-05-30T00:00:00"/>
    <x v="0"/>
    <s v="P"/>
    <m/>
    <m/>
    <n v="0"/>
    <m/>
    <n v="0"/>
    <m/>
    <n v="0"/>
    <n v="1"/>
    <n v="0"/>
    <n v="0"/>
    <n v="0"/>
    <n v="0"/>
    <n v="0"/>
    <n v="0"/>
    <n v="1"/>
    <n v="0"/>
    <n v="0"/>
    <n v="0"/>
    <n v="0"/>
    <n v="0"/>
    <n v="0"/>
    <n v="0"/>
    <n v="0"/>
    <n v="0"/>
    <n v="0"/>
    <n v="0"/>
    <n v="0"/>
    <n v="0"/>
    <n v="0"/>
    <n v="0"/>
    <n v="0"/>
    <n v="0"/>
    <n v="0"/>
    <n v="0"/>
    <s v="East"/>
    <x v="2"/>
    <x v="0"/>
    <x v="1"/>
    <x v="0"/>
    <x v="0"/>
    <x v="0"/>
    <m/>
    <x v="0"/>
    <s v="Y"/>
    <n v="7"/>
    <m/>
    <n v="1"/>
    <n v="0"/>
    <n v="0"/>
    <n v="0"/>
    <n v="0"/>
    <n v="0"/>
    <n v="0"/>
    <n v="0"/>
    <n v="0"/>
    <n v="0"/>
    <n v="0"/>
    <n v="0"/>
    <n v="0"/>
    <n v="0"/>
    <n v="0"/>
    <n v="0"/>
    <n v="0"/>
    <n v="0"/>
    <n v="0"/>
    <n v="0"/>
    <n v="0"/>
    <n v="0"/>
    <n v="0"/>
  </r>
  <r>
    <n v="5843"/>
    <x v="0"/>
    <s v="2015/0351"/>
    <m/>
    <s v="63 Sistova Road"/>
    <m/>
    <n v="528907"/>
    <n v="173296"/>
    <x v="9"/>
    <d v="2015-02-06T00:00:00"/>
    <d v="2017-04-13T00:00:00"/>
    <n v="1"/>
    <n v="3"/>
    <n v="2"/>
    <n v="3"/>
    <n v="2"/>
    <m/>
    <s v="Conversion of dwelling house into 3 self-contained flats (1x3-bedroom and 2x1-bedroom) including erection of single-storey side extension with internal lightwell to basement level."/>
    <s v="PF"/>
    <d v="2015-01-27T00:00:00"/>
    <d v="2015-04-13T00:00:00"/>
    <x v="0"/>
    <s v="Nil"/>
    <m/>
    <s v="BF"/>
    <x v="1"/>
    <x v="0"/>
    <x v="8"/>
    <n v="1.7000000923872001E-2"/>
    <d v="2015-02-06T00:00:00"/>
    <x v="0"/>
    <d v="2017-04-13T00:00:00"/>
    <x v="0"/>
    <s v="P"/>
    <m/>
    <m/>
    <n v="0"/>
    <m/>
    <n v="0"/>
    <m/>
    <n v="0"/>
    <n v="2"/>
    <n v="0"/>
    <n v="1"/>
    <n v="0"/>
    <n v="-1"/>
    <n v="0"/>
    <n v="0"/>
    <n v="2"/>
    <n v="0"/>
    <n v="1"/>
    <n v="0"/>
    <n v="0"/>
    <n v="0"/>
    <n v="0"/>
    <n v="0"/>
    <n v="0"/>
    <n v="0"/>
    <n v="0"/>
    <n v="-1"/>
    <n v="0"/>
    <n v="0"/>
    <n v="0"/>
    <n v="0"/>
    <n v="0"/>
    <n v="0"/>
    <n v="0"/>
    <n v="0"/>
    <s v="East"/>
    <x v="0"/>
    <x v="0"/>
    <x v="1"/>
    <x v="0"/>
    <x v="0"/>
    <x v="0"/>
    <m/>
    <x v="0"/>
    <s v="Y"/>
    <n v="7"/>
    <m/>
    <n v="2"/>
    <n v="0"/>
    <n v="0"/>
    <n v="0"/>
    <n v="0"/>
    <n v="0"/>
    <n v="0"/>
    <n v="0"/>
    <n v="0"/>
    <n v="0"/>
    <n v="0"/>
    <n v="0"/>
    <n v="0"/>
    <n v="0"/>
    <n v="0"/>
    <n v="0"/>
    <n v="0"/>
    <n v="0"/>
    <n v="0"/>
    <n v="0"/>
    <n v="0"/>
    <n v="0"/>
    <n v="0"/>
  </r>
  <r>
    <n v="5848"/>
    <x v="0"/>
    <s v="2014/7331"/>
    <m/>
    <s v="2A Revelstoke Road"/>
    <m/>
    <n v="525374"/>
    <n v="172805"/>
    <x v="5"/>
    <d v="2015-10-06T00:00:00"/>
    <d v="2018-02-28T00:00:00"/>
    <n v="0"/>
    <n v="9"/>
    <n v="9"/>
    <n v="9"/>
    <n v="9"/>
    <m/>
    <s v="Demolition of existing warehouse and the erection of a three-storey building to provide 9 flats."/>
    <s v="PF"/>
    <d v="2015-01-06T00:00:00"/>
    <d v="2015-04-22T00:00:00"/>
    <x v="0"/>
    <s v="Nil"/>
    <m/>
    <s v="BF"/>
    <x v="0"/>
    <x v="0"/>
    <x v="0"/>
    <n v="6.1000000685453401E-2"/>
    <d v="2015-10-06T00:00:00"/>
    <x v="0"/>
    <d v="2018-02-28T00:00:00"/>
    <x v="0"/>
    <s v="P"/>
    <m/>
    <m/>
    <n v="9"/>
    <m/>
    <n v="0"/>
    <m/>
    <n v="0"/>
    <n v="0"/>
    <n v="2"/>
    <n v="7"/>
    <n v="0"/>
    <n v="0"/>
    <n v="0"/>
    <n v="0"/>
    <n v="0"/>
    <n v="2"/>
    <n v="7"/>
    <n v="0"/>
    <n v="0"/>
    <n v="0"/>
    <n v="0"/>
    <n v="0"/>
    <n v="0"/>
    <n v="0"/>
    <n v="0"/>
    <n v="0"/>
    <n v="0"/>
    <n v="0"/>
    <n v="0"/>
    <n v="0"/>
    <n v="0"/>
    <n v="0"/>
    <n v="0"/>
    <n v="0"/>
    <s v="West"/>
    <x v="0"/>
    <x v="0"/>
    <x v="1"/>
    <x v="0"/>
    <x v="0"/>
    <x v="0"/>
    <m/>
    <x v="1"/>
    <s v="Y"/>
    <n v="1"/>
    <m/>
    <n v="9"/>
    <n v="0"/>
    <n v="0"/>
    <n v="0"/>
    <n v="0"/>
    <n v="0"/>
    <n v="0"/>
    <n v="0"/>
    <n v="0"/>
    <n v="0"/>
    <n v="0"/>
    <n v="0"/>
    <n v="0"/>
    <n v="0"/>
    <n v="0"/>
    <n v="0"/>
    <n v="0"/>
    <n v="0"/>
    <n v="0"/>
    <n v="0"/>
    <n v="0"/>
    <n v="0"/>
    <n v="0"/>
  </r>
  <r>
    <n v="5886"/>
    <x v="0"/>
    <s v="2016/6717"/>
    <m/>
    <s v="11 Carmalt Gardens"/>
    <m/>
    <n v="523460"/>
    <n v="175163"/>
    <x v="7"/>
    <d v="2017-04-01T00:00:00"/>
    <d v="2017-06-17T00:00:00"/>
    <n v="2"/>
    <n v="1"/>
    <n v="-1"/>
    <n v="1"/>
    <n v="-1"/>
    <m/>
    <s v="Alterations in connection with amalgamation of basement and ground floor flats into one residential unit."/>
    <s v="PF"/>
    <d v="2016-12-08T00:00:00"/>
    <d v="2017-02-02T00:00:00"/>
    <x v="0"/>
    <s v="Nil"/>
    <m/>
    <s v="BF"/>
    <x v="1"/>
    <x v="0"/>
    <x v="2"/>
    <n v="1.2000000104308101E-2"/>
    <d v="2017-04-01T00:00:00"/>
    <x v="1"/>
    <d v="2017-06-17T00:00:00"/>
    <x v="0"/>
    <s v="P"/>
    <m/>
    <m/>
    <n v="0"/>
    <m/>
    <n v="0"/>
    <m/>
    <n v="0"/>
    <n v="-1"/>
    <n v="0"/>
    <n v="0"/>
    <n v="0"/>
    <n v="0"/>
    <n v="0"/>
    <n v="0"/>
    <n v="-1"/>
    <n v="0"/>
    <n v="0"/>
    <n v="0"/>
    <n v="0"/>
    <n v="0"/>
    <n v="0"/>
    <n v="0"/>
    <n v="0"/>
    <n v="0"/>
    <n v="0"/>
    <n v="0"/>
    <n v="0"/>
    <n v="0"/>
    <n v="0"/>
    <n v="0"/>
    <n v="0"/>
    <n v="0"/>
    <n v="0"/>
    <n v="0"/>
    <s v="West"/>
    <x v="0"/>
    <x v="0"/>
    <x v="1"/>
    <x v="0"/>
    <x v="0"/>
    <x v="0"/>
    <m/>
    <x v="0"/>
    <s v="Y"/>
    <n v="7"/>
    <m/>
    <n v="-1"/>
    <n v="0"/>
    <n v="0"/>
    <n v="0"/>
    <n v="0"/>
    <n v="0"/>
    <n v="0"/>
    <n v="0"/>
    <n v="0"/>
    <n v="0"/>
    <n v="0"/>
    <n v="0"/>
    <n v="0"/>
    <n v="0"/>
    <n v="0"/>
    <n v="0"/>
    <n v="0"/>
    <n v="0"/>
    <n v="0"/>
    <n v="0"/>
    <n v="0"/>
    <n v="0"/>
    <n v="0"/>
  </r>
  <r>
    <n v="5930"/>
    <x v="0"/>
    <s v="2015/1156"/>
    <m/>
    <s v="627 Garratt Lane"/>
    <m/>
    <n v="526145"/>
    <n v="172581"/>
    <x v="18"/>
    <d v="2015-11-18T00:00:00"/>
    <d v="2018-03-30T00:00:00"/>
    <n v="0"/>
    <n v="4"/>
    <n v="4"/>
    <n v="4"/>
    <n v="4"/>
    <m/>
    <s v="Alterations and extensions to provide 4 self-contained units, including part single / part two-storey rear extension; mansard roof extension above part of back addition and to main rear roof. Refurbishment and alterations to existing shop (Class A1) to provide a commercial unit (shop/Class A1 or financial and professional services/Class A2) on the ground and basement levels."/>
    <s v="PF"/>
    <d v="2015-05-11T00:00:00"/>
    <d v="2015-07-02T00:00:00"/>
    <x v="0"/>
    <s v="Nil"/>
    <m/>
    <s v="BF"/>
    <x v="4"/>
    <x v="0"/>
    <x v="0"/>
    <n v="2.3000000044703501E-2"/>
    <d v="2015-11-18T00:00:00"/>
    <x v="0"/>
    <d v="2018-03-30T00:00:00"/>
    <x v="0"/>
    <s v="P"/>
    <m/>
    <m/>
    <n v="0"/>
    <m/>
    <n v="0"/>
    <m/>
    <n v="0"/>
    <n v="2"/>
    <n v="2"/>
    <n v="0"/>
    <n v="0"/>
    <n v="0"/>
    <n v="0"/>
    <n v="0"/>
    <n v="2"/>
    <n v="2"/>
    <n v="0"/>
    <n v="0"/>
    <n v="0"/>
    <n v="0"/>
    <n v="0"/>
    <n v="0"/>
    <n v="0"/>
    <n v="0"/>
    <n v="0"/>
    <n v="0"/>
    <n v="0"/>
    <n v="0"/>
    <n v="0"/>
    <n v="0"/>
    <n v="0"/>
    <n v="0"/>
    <n v="0"/>
    <n v="0"/>
    <s v="West"/>
    <x v="0"/>
    <x v="0"/>
    <x v="1"/>
    <x v="0"/>
    <x v="0"/>
    <x v="0"/>
    <m/>
    <x v="0"/>
    <s v="Y"/>
    <n v="7"/>
    <m/>
    <n v="4"/>
    <n v="0"/>
    <n v="0"/>
    <n v="0"/>
    <n v="0"/>
    <n v="0"/>
    <n v="0"/>
    <n v="0"/>
    <n v="0"/>
    <n v="0"/>
    <n v="0"/>
    <n v="0"/>
    <n v="0"/>
    <n v="0"/>
    <n v="0"/>
    <n v="0"/>
    <n v="0"/>
    <n v="0"/>
    <n v="0"/>
    <n v="0"/>
    <n v="0"/>
    <n v="0"/>
    <n v="0"/>
  </r>
  <r>
    <n v="5931"/>
    <x v="0"/>
    <s v="2015/1913"/>
    <m/>
    <s v="Land rear of 63A, 63 Westcote Road"/>
    <m/>
    <n v="529306"/>
    <n v="171047"/>
    <x v="12"/>
    <d v="2017-03-31T00:00:00"/>
    <d v="2018-03-31T00:00:00"/>
    <n v="0"/>
    <n v="9"/>
    <n v="9"/>
    <n v="9"/>
    <n v="9"/>
    <m/>
    <s v="Demolition of the existing garage/workshop buildings and the erection of 9 x 2-storey 3-bedroom dwellings with associated alterations including 9 car parking spaces and  cycle storage."/>
    <s v="PF"/>
    <d v="2015-04-15T00:00:00"/>
    <d v="2015-08-14T00:00:00"/>
    <x v="0"/>
    <s v="Nil"/>
    <m/>
    <s v="BF"/>
    <x v="0"/>
    <x v="0"/>
    <x v="0"/>
    <n v="0.12600000202655801"/>
    <d v="2017-03-31T00:00:00"/>
    <x v="0"/>
    <d v="2018-03-31T00:00:00"/>
    <x v="0"/>
    <s v="P"/>
    <m/>
    <m/>
    <n v="9"/>
    <m/>
    <n v="0"/>
    <m/>
    <n v="0"/>
    <n v="0"/>
    <n v="0"/>
    <n v="9"/>
    <n v="0"/>
    <n v="0"/>
    <n v="0"/>
    <n v="0"/>
    <n v="0"/>
    <n v="0"/>
    <n v="0"/>
    <n v="0"/>
    <n v="0"/>
    <n v="0"/>
    <n v="0"/>
    <n v="0"/>
    <n v="0"/>
    <n v="9"/>
    <n v="0"/>
    <n v="0"/>
    <n v="0"/>
    <n v="0"/>
    <n v="0"/>
    <n v="0"/>
    <n v="0"/>
    <n v="0"/>
    <n v="0"/>
    <n v="0"/>
    <s v="East"/>
    <x v="0"/>
    <x v="0"/>
    <x v="1"/>
    <x v="0"/>
    <x v="0"/>
    <x v="0"/>
    <m/>
    <x v="0"/>
    <s v="Y"/>
    <n v="1"/>
    <m/>
    <n v="9"/>
    <n v="0"/>
    <n v="0"/>
    <n v="0"/>
    <n v="0"/>
    <n v="0"/>
    <n v="0"/>
    <n v="0"/>
    <n v="0"/>
    <n v="0"/>
    <n v="0"/>
    <n v="0"/>
    <n v="0"/>
    <n v="0"/>
    <n v="0"/>
    <n v="0"/>
    <n v="0"/>
    <n v="0"/>
    <n v="0"/>
    <n v="0"/>
    <n v="0"/>
    <n v="0"/>
    <n v="0"/>
  </r>
  <r>
    <n v="5933"/>
    <x v="0"/>
    <s v="2015/2091"/>
    <m/>
    <s v="31 St Johns Hill"/>
    <m/>
    <n v="527226"/>
    <n v="175356"/>
    <x v="14"/>
    <d v="2015-09-07T00:00:00"/>
    <d v="2017-04-19T00:00:00"/>
    <n v="0"/>
    <n v="1"/>
    <n v="1"/>
    <n v="1"/>
    <n v="1"/>
    <m/>
    <s v="Determination as to whether prior approval is required for change of use of first floor from office (Class B1a) to one residential unit (Class C3)."/>
    <s v="PANR"/>
    <d v="2015-04-23T00:00:00"/>
    <d v="2015-06-18T00:00:00"/>
    <x v="0"/>
    <s v="Nil"/>
    <m/>
    <s v="BF"/>
    <x v="3"/>
    <x v="0"/>
    <x v="9"/>
    <n v="4.9999998882412902E-3"/>
    <d v="2015-09-07T00:00:00"/>
    <x v="0"/>
    <d v="2017-04-19T00:00:00"/>
    <x v="0"/>
    <s v="P"/>
    <m/>
    <m/>
    <n v="0"/>
    <m/>
    <n v="0"/>
    <m/>
    <n v="0"/>
    <n v="1"/>
    <n v="0"/>
    <n v="0"/>
    <n v="0"/>
    <n v="0"/>
    <n v="0"/>
    <n v="0"/>
    <n v="1"/>
    <n v="0"/>
    <n v="0"/>
    <n v="0"/>
    <n v="0"/>
    <n v="0"/>
    <n v="0"/>
    <n v="0"/>
    <n v="0"/>
    <n v="0"/>
    <n v="0"/>
    <n v="0"/>
    <n v="0"/>
    <n v="0"/>
    <n v="0"/>
    <n v="0"/>
    <n v="0"/>
    <n v="0"/>
    <n v="0"/>
    <n v="0"/>
    <s v="East"/>
    <x v="5"/>
    <x v="0"/>
    <x v="1"/>
    <x v="0"/>
    <x v="0"/>
    <x v="0"/>
    <m/>
    <x v="0"/>
    <s v="Y"/>
    <n v="7"/>
    <m/>
    <n v="1"/>
    <n v="0"/>
    <n v="0"/>
    <n v="0"/>
    <n v="0"/>
    <n v="0"/>
    <n v="0"/>
    <n v="0"/>
    <n v="0"/>
    <n v="0"/>
    <n v="0"/>
    <n v="0"/>
    <n v="0"/>
    <n v="0"/>
    <n v="0"/>
    <n v="0"/>
    <n v="0"/>
    <n v="0"/>
    <n v="0"/>
    <n v="0"/>
    <n v="0"/>
    <n v="0"/>
    <n v="0"/>
  </r>
  <r>
    <n v="5933"/>
    <x v="0"/>
    <s v="2016/1193"/>
    <m/>
    <s v="31 St Johns Hill"/>
    <m/>
    <n v="527226"/>
    <n v="175356"/>
    <x v="14"/>
    <d v="2015-09-07T00:00:00"/>
    <d v="2017-04-19T00:00:00"/>
    <n v="0"/>
    <n v="1"/>
    <n v="1"/>
    <n v="2"/>
    <n v="2"/>
    <m/>
    <s v="Change of use of part of the ground floor from retail (Class A1) to residential (Class C3) to provide a self-contained studio flat including erection of single-storey side/rear extension.  Erection of front and rear roof extension to provide an additional floor of accommodation to provide a self-contained studio flat."/>
    <s v="PF"/>
    <d v="2016-04-13T00:00:00"/>
    <d v="2016-06-08T00:00:00"/>
    <x v="0"/>
    <s v="Nil"/>
    <m/>
    <s v="BF"/>
    <x v="4"/>
    <x v="0"/>
    <x v="4"/>
    <n v="4.9999998882412902E-3"/>
    <d v="2015-09-07T00:00:00"/>
    <x v="0"/>
    <d v="2017-04-19T00:00:00"/>
    <x v="0"/>
    <s v="P"/>
    <m/>
    <m/>
    <n v="0"/>
    <m/>
    <n v="0"/>
    <m/>
    <n v="1"/>
    <n v="0"/>
    <n v="0"/>
    <n v="0"/>
    <n v="0"/>
    <n v="0"/>
    <n v="0"/>
    <n v="1"/>
    <n v="0"/>
    <n v="0"/>
    <n v="0"/>
    <n v="0"/>
    <n v="0"/>
    <n v="0"/>
    <n v="0"/>
    <n v="0"/>
    <n v="0"/>
    <n v="0"/>
    <n v="0"/>
    <n v="0"/>
    <n v="0"/>
    <n v="0"/>
    <n v="0"/>
    <n v="0"/>
    <n v="0"/>
    <n v="0"/>
    <n v="0"/>
    <n v="0"/>
    <s v="East"/>
    <x v="5"/>
    <x v="0"/>
    <x v="1"/>
    <x v="0"/>
    <x v="0"/>
    <x v="0"/>
    <m/>
    <x v="0"/>
    <s v="Y"/>
    <n v="7"/>
    <m/>
    <n v="1"/>
    <n v="0"/>
    <n v="0"/>
    <n v="0"/>
    <n v="0"/>
    <n v="0"/>
    <n v="0"/>
    <n v="0"/>
    <n v="0"/>
    <n v="0"/>
    <n v="0"/>
    <n v="0"/>
    <n v="0"/>
    <n v="0"/>
    <n v="0"/>
    <n v="0"/>
    <n v="0"/>
    <n v="0"/>
    <n v="0"/>
    <n v="0"/>
    <n v="0"/>
    <n v="0"/>
    <n v="0"/>
  </r>
  <r>
    <n v="5933"/>
    <x v="0"/>
    <s v="2016/1193"/>
    <m/>
    <s v="31 St Johns Hill"/>
    <m/>
    <n v="527226"/>
    <n v="175356"/>
    <x v="14"/>
    <d v="2015-09-07T00:00:00"/>
    <d v="2017-04-19T00:00:00"/>
    <n v="0"/>
    <n v="1"/>
    <n v="1"/>
    <n v="2"/>
    <n v="2"/>
    <m/>
    <s v="Change of use of part of the ground floor from retail (Class A1) to residential (Class C3) to provide a self-contained studio flat including erection of single-storey side/rear extension.  Erection of front and rear roof extension to provide an additional floor of accommodation to provide a self-contained studio flat."/>
    <s v="PF"/>
    <d v="2016-04-13T00:00:00"/>
    <d v="2016-06-08T00:00:00"/>
    <x v="0"/>
    <s v="Nil"/>
    <m/>
    <s v="BF"/>
    <x v="4"/>
    <x v="0"/>
    <x v="0"/>
    <n v="4.9999998882412902E-3"/>
    <d v="2015-09-07T00:00:00"/>
    <x v="0"/>
    <d v="2017-04-19T00:00:00"/>
    <x v="0"/>
    <s v="P"/>
    <m/>
    <m/>
    <n v="0"/>
    <m/>
    <n v="0"/>
    <m/>
    <n v="1"/>
    <n v="0"/>
    <n v="0"/>
    <n v="0"/>
    <n v="0"/>
    <n v="0"/>
    <n v="0"/>
    <n v="1"/>
    <n v="0"/>
    <n v="0"/>
    <n v="0"/>
    <n v="0"/>
    <n v="0"/>
    <n v="0"/>
    <n v="0"/>
    <n v="0"/>
    <n v="0"/>
    <n v="0"/>
    <n v="0"/>
    <n v="0"/>
    <n v="0"/>
    <n v="0"/>
    <n v="0"/>
    <n v="0"/>
    <n v="0"/>
    <n v="0"/>
    <n v="0"/>
    <n v="0"/>
    <s v="East"/>
    <x v="5"/>
    <x v="0"/>
    <x v="1"/>
    <x v="0"/>
    <x v="0"/>
    <x v="0"/>
    <m/>
    <x v="0"/>
    <s v="Y"/>
    <n v="7"/>
    <m/>
    <n v="1"/>
    <n v="0"/>
    <n v="0"/>
    <n v="0"/>
    <n v="0"/>
    <n v="0"/>
    <n v="0"/>
    <n v="0"/>
    <n v="0"/>
    <n v="0"/>
    <n v="0"/>
    <n v="0"/>
    <n v="0"/>
    <n v="0"/>
    <n v="0"/>
    <n v="0"/>
    <n v="0"/>
    <n v="0"/>
    <n v="0"/>
    <n v="0"/>
    <n v="0"/>
    <n v="0"/>
    <n v="0"/>
  </r>
  <r>
    <n v="5941"/>
    <x v="0"/>
    <s v="2016/2536"/>
    <m/>
    <s v="116 Clapham Common North Side"/>
    <m/>
    <n v="527877"/>
    <n v="175208"/>
    <x v="10"/>
    <d v="2017-03-31T00:00:00"/>
    <d v="2018-03-31T00:00:00"/>
    <n v="1"/>
    <n v="4"/>
    <n v="3"/>
    <n v="4"/>
    <n v="3"/>
    <m/>
    <s v="Extension to existing basement including enlargement of front lightwell. Enlargement of existing rear dormer roof extension (with French doors and safety railings) and roof extension over existing back addition. Internal/external alterations in connection with the conversion of the property into 4 self-contained residential units (1 x 3-bedroom, 2 x 2-bedroom and 1 x 1-bedroom)."/>
    <s v="PF"/>
    <d v="2016-05-19T00:00:00"/>
    <d v="2016-07-14T00:00:00"/>
    <x v="0"/>
    <s v="Nil"/>
    <m/>
    <s v="BF"/>
    <x v="4"/>
    <x v="0"/>
    <x v="8"/>
    <n v="2.5000000372528999E-2"/>
    <d v="2017-03-31T00:00:00"/>
    <x v="0"/>
    <d v="2018-03-31T00:00:00"/>
    <x v="0"/>
    <s v="P"/>
    <m/>
    <m/>
    <n v="0"/>
    <m/>
    <n v="0"/>
    <m/>
    <n v="0"/>
    <n v="1"/>
    <n v="2"/>
    <n v="1"/>
    <n v="-1"/>
    <n v="0"/>
    <n v="0"/>
    <n v="0"/>
    <n v="1"/>
    <n v="2"/>
    <n v="1"/>
    <n v="0"/>
    <n v="0"/>
    <n v="0"/>
    <n v="0"/>
    <n v="0"/>
    <n v="0"/>
    <n v="0"/>
    <n v="-1"/>
    <n v="0"/>
    <n v="0"/>
    <n v="0"/>
    <n v="0"/>
    <n v="0"/>
    <n v="0"/>
    <n v="0"/>
    <n v="0"/>
    <n v="0"/>
    <s v="East"/>
    <x v="0"/>
    <x v="0"/>
    <x v="1"/>
    <x v="0"/>
    <x v="0"/>
    <x v="0"/>
    <m/>
    <x v="0"/>
    <s v="Y"/>
    <n v="7"/>
    <m/>
    <n v="3"/>
    <n v="0"/>
    <n v="0"/>
    <n v="0"/>
    <n v="0"/>
    <n v="0"/>
    <n v="0"/>
    <n v="0"/>
    <n v="0"/>
    <n v="0"/>
    <n v="0"/>
    <n v="0"/>
    <n v="0"/>
    <n v="0"/>
    <n v="0"/>
    <n v="0"/>
    <n v="0"/>
    <n v="0"/>
    <n v="0"/>
    <n v="0"/>
    <n v="0"/>
    <n v="0"/>
    <n v="0"/>
  </r>
  <r>
    <n v="5943"/>
    <x v="0"/>
    <s v="2015/1999"/>
    <m/>
    <s v="79 Trinity Road"/>
    <m/>
    <n v="527832"/>
    <n v="172523"/>
    <x v="11"/>
    <d v="2017-03-31T00:00:00"/>
    <d v="2018-03-31T00:00:00"/>
    <n v="0"/>
    <n v="9"/>
    <n v="9"/>
    <n v="9"/>
    <n v="9"/>
    <m/>
    <s v="Erection of two-storey rear extension in connection with change of use of from office (Use Class B1) to 9 self-contained residential flats (3x1, 6x2 bed) (Use Class C3); external alterations including demolition of various ancillary buildings."/>
    <s v="PF"/>
    <d v="2015-04-20T00:00:00"/>
    <d v="2015-07-21T00:00:00"/>
    <x v="0"/>
    <s v="Nil"/>
    <m/>
    <s v="BF"/>
    <x v="4"/>
    <x v="0"/>
    <x v="0"/>
    <n v="0.103000000119209"/>
    <d v="2017-03-31T00:00:00"/>
    <x v="0"/>
    <d v="2018-03-31T00:00:00"/>
    <x v="0"/>
    <s v="P"/>
    <m/>
    <m/>
    <n v="0"/>
    <m/>
    <n v="0"/>
    <m/>
    <n v="0"/>
    <n v="3"/>
    <n v="6"/>
    <n v="0"/>
    <n v="0"/>
    <n v="0"/>
    <n v="0"/>
    <n v="0"/>
    <n v="3"/>
    <n v="6"/>
    <n v="0"/>
    <n v="0"/>
    <n v="0"/>
    <n v="0"/>
    <n v="0"/>
    <n v="0"/>
    <n v="0"/>
    <n v="0"/>
    <n v="0"/>
    <n v="0"/>
    <n v="0"/>
    <n v="0"/>
    <n v="0"/>
    <n v="0"/>
    <n v="0"/>
    <n v="0"/>
    <n v="0"/>
    <n v="0"/>
    <s v="East"/>
    <x v="0"/>
    <x v="0"/>
    <x v="1"/>
    <x v="0"/>
    <x v="0"/>
    <x v="0"/>
    <m/>
    <x v="0"/>
    <s v="Y"/>
    <n v="7"/>
    <m/>
    <n v="9"/>
    <n v="0"/>
    <n v="0"/>
    <n v="0"/>
    <n v="0"/>
    <n v="0"/>
    <n v="0"/>
    <n v="0"/>
    <n v="0"/>
    <n v="0"/>
    <n v="0"/>
    <n v="0"/>
    <n v="0"/>
    <n v="0"/>
    <n v="0"/>
    <n v="0"/>
    <n v="0"/>
    <n v="0"/>
    <n v="0"/>
    <n v="0"/>
    <n v="0"/>
    <n v="0"/>
    <n v="0"/>
  </r>
  <r>
    <n v="5946"/>
    <x v="0"/>
    <s v="2015/2251"/>
    <m/>
    <s v="60 Lavender Hill"/>
    <m/>
    <n v="528334"/>
    <n v="175747"/>
    <x v="10"/>
    <d v="2017-03-31T00:00:00"/>
    <m/>
    <n v="0"/>
    <n v="1"/>
    <n v="1"/>
    <n v="3"/>
    <n v="2"/>
    <m/>
    <s v="Refurbishment of ground floor commercial unit; external alterations and erection of four-storey rear extension with formation of terraces with safety balustrades at upper ground, first and second floor levels in connection with the use of the rear ground and upper floors of the property as 3 self-contained flats (1 x 2 bedroom and 2 x 1 bedroom) (Use Class C3)."/>
    <s v="PF"/>
    <d v="2015-04-29T00:00:00"/>
    <d v="2015-10-22T00:00:00"/>
    <x v="0"/>
    <s v="Nil"/>
    <m/>
    <s v="BF"/>
    <x v="4"/>
    <x v="0"/>
    <x v="4"/>
    <n v="0"/>
    <d v="2017-03-31T00:00:00"/>
    <x v="0"/>
    <d v="2018-02-26T00:00:00"/>
    <x v="0"/>
    <s v="P"/>
    <m/>
    <m/>
    <n v="0"/>
    <m/>
    <n v="0"/>
    <m/>
    <n v="0"/>
    <n v="0"/>
    <n v="1"/>
    <n v="0"/>
    <n v="0"/>
    <n v="0"/>
    <n v="0"/>
    <n v="0"/>
    <n v="0"/>
    <n v="1"/>
    <n v="0"/>
    <n v="0"/>
    <n v="0"/>
    <n v="0"/>
    <n v="0"/>
    <n v="0"/>
    <n v="0"/>
    <n v="0"/>
    <n v="0"/>
    <n v="0"/>
    <n v="0"/>
    <n v="0"/>
    <n v="0"/>
    <n v="0"/>
    <n v="0"/>
    <n v="0"/>
    <n v="0"/>
    <n v="0"/>
    <s v="East"/>
    <x v="0"/>
    <x v="0"/>
    <x v="1"/>
    <x v="0"/>
    <x v="0"/>
    <x v="0"/>
    <m/>
    <x v="0"/>
    <s v="Y"/>
    <n v="7"/>
    <m/>
    <n v="1"/>
    <n v="0"/>
    <n v="0"/>
    <n v="0"/>
    <n v="0"/>
    <n v="0"/>
    <n v="0"/>
    <n v="0"/>
    <n v="0"/>
    <n v="0"/>
    <n v="0"/>
    <n v="0"/>
    <n v="0"/>
    <n v="0"/>
    <n v="0"/>
    <n v="0"/>
    <n v="0"/>
    <n v="0"/>
    <n v="0"/>
    <n v="0"/>
    <n v="0"/>
    <n v="0"/>
    <n v="0"/>
  </r>
  <r>
    <n v="5954"/>
    <x v="0"/>
    <s v="2015/2419"/>
    <m/>
    <s v="33 Oberstein Road"/>
    <m/>
    <n v="526836"/>
    <n v="175207"/>
    <x v="0"/>
    <d v="2015-10-07T00:00:00"/>
    <d v="2018-03-31T00:00:00"/>
    <n v="2"/>
    <n v="1"/>
    <n v="-1"/>
    <n v="1"/>
    <n v="-1"/>
    <m/>
    <s v="Alterations including excavation to enlarge basement including formation of rear lightwell, erection of single to three-storey (lower ground to first floors) rear extension with french doors at rear of ground and first floors, terrace at ground floor level and rear mansard roof extension to main rear roof slope in connection with use as a single dwellinghouse."/>
    <s v="PF"/>
    <d v="2015-06-05T00:00:00"/>
    <d v="2015-07-27T00:00:00"/>
    <x v="0"/>
    <s v="Nil"/>
    <m/>
    <s v="BF"/>
    <x v="4"/>
    <x v="0"/>
    <x v="7"/>
    <n v="1.4000000432133701E-2"/>
    <d v="2015-10-08T00:00:00"/>
    <x v="0"/>
    <d v="2018-03-31T00:00:00"/>
    <x v="0"/>
    <s v="P"/>
    <m/>
    <m/>
    <n v="0"/>
    <m/>
    <n v="0"/>
    <m/>
    <n v="0"/>
    <n v="-1"/>
    <n v="0"/>
    <n v="0"/>
    <n v="-1"/>
    <n v="1"/>
    <n v="0"/>
    <n v="0"/>
    <n v="-1"/>
    <n v="0"/>
    <n v="0"/>
    <n v="-1"/>
    <n v="0"/>
    <n v="0"/>
    <n v="0"/>
    <n v="0"/>
    <n v="0"/>
    <n v="0"/>
    <n v="0"/>
    <n v="1"/>
    <n v="0"/>
    <n v="0"/>
    <n v="0"/>
    <n v="0"/>
    <n v="0"/>
    <n v="0"/>
    <n v="0"/>
    <n v="0"/>
    <s v="West"/>
    <x v="0"/>
    <x v="0"/>
    <x v="1"/>
    <x v="0"/>
    <x v="0"/>
    <x v="0"/>
    <m/>
    <x v="0"/>
    <s v="Y"/>
    <n v="7"/>
    <m/>
    <n v="-1"/>
    <n v="0"/>
    <n v="0"/>
    <n v="0"/>
    <n v="0"/>
    <n v="0"/>
    <n v="0"/>
    <n v="0"/>
    <n v="0"/>
    <n v="0"/>
    <n v="0"/>
    <n v="0"/>
    <n v="0"/>
    <n v="0"/>
    <n v="0"/>
    <n v="0"/>
    <n v="0"/>
    <n v="0"/>
    <n v="0"/>
    <n v="0"/>
    <n v="0"/>
    <n v="0"/>
    <n v="0"/>
  </r>
  <r>
    <n v="5956"/>
    <x v="0"/>
    <s v="2015/2506"/>
    <m/>
    <s v="48 &amp; 47A, 48 Lower Richmond Road"/>
    <m/>
    <n v="523775"/>
    <n v="175783"/>
    <x v="13"/>
    <d v="2015-10-28T00:00:00"/>
    <d v="2018-03-31T00:00:00"/>
    <n v="1"/>
    <n v="2"/>
    <n v="1"/>
    <n v="2"/>
    <n v="1"/>
    <m/>
    <s v="Conversion of the rear part of ground floor retail unit and upper floor flat into 1x1bedroom and 1x2-bedroom self contained flats. Alterations to front dormer and enlargement of rear dormer including erection of two-storey side extension; insertion of additional windows, french doors safety railings to rear and side elevation, including new entrance door fronting onto Glendarvon Street. Formation of roof terrace at second floor level with screening."/>
    <s v="PF"/>
    <d v="2015-04-15T00:00:00"/>
    <d v="2015-10-28T00:00:00"/>
    <x v="0"/>
    <s v="Nil"/>
    <m/>
    <s v="BF"/>
    <x v="4"/>
    <x v="0"/>
    <x v="10"/>
    <n v="7.0000002160668399E-3"/>
    <d v="2015-10-28T00:00:00"/>
    <x v="0"/>
    <d v="2018-03-31T00:00:00"/>
    <x v="0"/>
    <s v="P"/>
    <m/>
    <m/>
    <n v="0"/>
    <m/>
    <n v="0"/>
    <m/>
    <n v="0"/>
    <n v="2"/>
    <n v="0"/>
    <n v="-1"/>
    <n v="0"/>
    <n v="0"/>
    <n v="0"/>
    <n v="0"/>
    <n v="2"/>
    <n v="0"/>
    <n v="-1"/>
    <n v="0"/>
    <n v="0"/>
    <n v="0"/>
    <n v="0"/>
    <n v="0"/>
    <n v="0"/>
    <n v="0"/>
    <n v="0"/>
    <n v="0"/>
    <n v="0"/>
    <n v="0"/>
    <n v="0"/>
    <n v="0"/>
    <n v="0"/>
    <n v="0"/>
    <n v="0"/>
    <n v="0"/>
    <s v="West"/>
    <x v="0"/>
    <x v="0"/>
    <x v="1"/>
    <x v="0"/>
    <x v="0"/>
    <x v="0"/>
    <m/>
    <x v="0"/>
    <s v="Y"/>
    <n v="7"/>
    <m/>
    <n v="1"/>
    <n v="0"/>
    <n v="0"/>
    <n v="0"/>
    <n v="0"/>
    <n v="0"/>
    <n v="0"/>
    <n v="0"/>
    <n v="0"/>
    <n v="0"/>
    <n v="0"/>
    <n v="0"/>
    <n v="0"/>
    <n v="0"/>
    <n v="0"/>
    <n v="0"/>
    <n v="0"/>
    <n v="0"/>
    <n v="0"/>
    <n v="0"/>
    <n v="0"/>
    <n v="0"/>
    <n v="0"/>
  </r>
  <r>
    <n v="5964"/>
    <x v="0"/>
    <s v="2016/1844"/>
    <m/>
    <s v="4 Abercrombie Street"/>
    <m/>
    <n v="527305"/>
    <n v="176281"/>
    <x v="2"/>
    <d v="2016-08-23T00:00:00"/>
    <d v="2017-06-08T00:00:00"/>
    <n v="0"/>
    <n v="1"/>
    <n v="1"/>
    <n v="1"/>
    <n v="1"/>
    <m/>
    <s v="Determination as to whether prior approval is required for change of use from office (Class B1a) to 1 x 1-bedroom residential unit (Class C3)."/>
    <s v="PAG"/>
    <d v="2016-04-01T00:00:00"/>
    <d v="2016-05-24T00:00:00"/>
    <x v="0"/>
    <s v="Nil"/>
    <m/>
    <s v="BF"/>
    <x v="3"/>
    <x v="0"/>
    <x v="9"/>
    <n v="4.0000001899898104E-3"/>
    <d v="2016-08-23T00:00:00"/>
    <x v="0"/>
    <d v="2017-05-08T00:00:00"/>
    <x v="0"/>
    <s v="P"/>
    <m/>
    <m/>
    <n v="0"/>
    <m/>
    <n v="0"/>
    <m/>
    <n v="0"/>
    <n v="1"/>
    <n v="0"/>
    <n v="0"/>
    <n v="0"/>
    <n v="0"/>
    <n v="0"/>
    <n v="0"/>
    <n v="1"/>
    <n v="0"/>
    <n v="0"/>
    <n v="0"/>
    <n v="0"/>
    <n v="0"/>
    <n v="0"/>
    <n v="0"/>
    <n v="0"/>
    <n v="0"/>
    <n v="0"/>
    <n v="0"/>
    <n v="0"/>
    <n v="0"/>
    <n v="0"/>
    <n v="0"/>
    <n v="0"/>
    <n v="0"/>
    <n v="0"/>
    <n v="0"/>
    <s v="East"/>
    <x v="0"/>
    <x v="0"/>
    <x v="1"/>
    <x v="0"/>
    <x v="0"/>
    <x v="0"/>
    <m/>
    <x v="0"/>
    <s v="Y"/>
    <n v="7"/>
    <m/>
    <n v="1"/>
    <n v="0"/>
    <n v="0"/>
    <n v="0"/>
    <n v="0"/>
    <n v="0"/>
    <n v="0"/>
    <n v="0"/>
    <n v="0"/>
    <n v="0"/>
    <n v="0"/>
    <n v="0"/>
    <n v="0"/>
    <n v="0"/>
    <n v="0"/>
    <n v="0"/>
    <n v="0"/>
    <n v="0"/>
    <n v="0"/>
    <n v="0"/>
    <n v="0"/>
    <n v="0"/>
    <n v="0"/>
  </r>
  <r>
    <n v="5966"/>
    <x v="0"/>
    <s v="2015/7662"/>
    <s v="Ransomes Dock Business Centre"/>
    <s v="Unit 3 &amp; 20 Ransomes Dock Business Centre, 35-37 Parkgate Road"/>
    <m/>
    <n v="527304"/>
    <n v="177160"/>
    <x v="1"/>
    <d v="2017-03-31T00:00:00"/>
    <m/>
    <n v="0"/>
    <n v="1"/>
    <n v="1"/>
    <n v="2"/>
    <n v="2"/>
    <m/>
    <s v="Determination as to whether prior approval is required for change of use from office (Class B1a) to two residential units (Class C3)."/>
    <s v="PANR"/>
    <d v="2015-12-13T00:00:00"/>
    <d v="2016-03-14T00:00:00"/>
    <x v="0"/>
    <s v="Nil"/>
    <m/>
    <s v="BF"/>
    <x v="3"/>
    <x v="0"/>
    <x v="9"/>
    <n v="2.8999999165535001E-2"/>
    <d v="2017-03-31T00:00:00"/>
    <x v="0"/>
    <d v="2017-04-01T00:00:00"/>
    <x v="0"/>
    <s v="P"/>
    <m/>
    <m/>
    <n v="0"/>
    <m/>
    <n v="0"/>
    <m/>
    <n v="1"/>
    <n v="0"/>
    <n v="0"/>
    <n v="0"/>
    <n v="0"/>
    <n v="0"/>
    <n v="0"/>
    <n v="1"/>
    <n v="0"/>
    <n v="0"/>
    <n v="0"/>
    <n v="0"/>
    <n v="0"/>
    <n v="0"/>
    <n v="0"/>
    <n v="0"/>
    <n v="0"/>
    <n v="0"/>
    <n v="0"/>
    <n v="0"/>
    <n v="0"/>
    <n v="0"/>
    <n v="0"/>
    <n v="0"/>
    <n v="0"/>
    <n v="0"/>
    <n v="0"/>
    <n v="0"/>
    <s v="East"/>
    <x v="0"/>
    <x v="0"/>
    <x v="1"/>
    <x v="0"/>
    <x v="0"/>
    <x v="0"/>
    <s v="Y"/>
    <x v="0"/>
    <s v="Y"/>
    <n v="7"/>
    <m/>
    <n v="1"/>
    <n v="0"/>
    <n v="0"/>
    <n v="0"/>
    <n v="0"/>
    <n v="0"/>
    <n v="0"/>
    <n v="0"/>
    <n v="0"/>
    <n v="0"/>
    <n v="0"/>
    <n v="0"/>
    <n v="0"/>
    <n v="0"/>
    <n v="0"/>
    <n v="0"/>
    <n v="0"/>
    <n v="0"/>
    <n v="0"/>
    <n v="0"/>
    <n v="0"/>
    <n v="0"/>
    <n v="0"/>
  </r>
  <r>
    <n v="5977"/>
    <x v="0"/>
    <s v="2015/2668"/>
    <m/>
    <s v="55 Balham Park Road"/>
    <m/>
    <n v="527954"/>
    <n v="173242"/>
    <x v="11"/>
    <d v="2017-03-31T00:00:00"/>
    <d v="2018-03-31T00:00:00"/>
    <n v="3"/>
    <n v="1"/>
    <n v="-2"/>
    <n v="1"/>
    <n v="-2"/>
    <m/>
    <s v="Conversion of three flats to a single dwellinghouse."/>
    <s v="PF"/>
    <d v="2015-05-20T00:00:00"/>
    <d v="2015-07-15T00:00:00"/>
    <x v="0"/>
    <s v="Nil"/>
    <m/>
    <s v="BF"/>
    <x v="1"/>
    <x v="0"/>
    <x v="7"/>
    <n v="3.4000001847744002E-2"/>
    <d v="2017-03-31T00:00:00"/>
    <x v="0"/>
    <d v="2018-03-31T00:00:00"/>
    <x v="0"/>
    <s v="P"/>
    <m/>
    <m/>
    <n v="0"/>
    <m/>
    <n v="0"/>
    <m/>
    <n v="0"/>
    <n v="-2"/>
    <n v="-1"/>
    <n v="1"/>
    <n v="0"/>
    <n v="0"/>
    <n v="0"/>
    <n v="0"/>
    <n v="-2"/>
    <n v="-1"/>
    <n v="0"/>
    <n v="0"/>
    <n v="0"/>
    <n v="0"/>
    <n v="0"/>
    <n v="0"/>
    <n v="0"/>
    <n v="1"/>
    <n v="0"/>
    <n v="0"/>
    <n v="0"/>
    <n v="0"/>
    <n v="0"/>
    <n v="0"/>
    <n v="0"/>
    <n v="0"/>
    <n v="0"/>
    <n v="0"/>
    <s v="East"/>
    <x v="0"/>
    <x v="0"/>
    <x v="1"/>
    <x v="0"/>
    <x v="0"/>
    <x v="0"/>
    <m/>
    <x v="0"/>
    <s v="Y"/>
    <n v="7"/>
    <m/>
    <n v="-2"/>
    <n v="0"/>
    <n v="0"/>
    <n v="0"/>
    <n v="0"/>
    <n v="0"/>
    <n v="0"/>
    <n v="0"/>
    <n v="0"/>
    <n v="0"/>
    <n v="0"/>
    <n v="0"/>
    <n v="0"/>
    <n v="0"/>
    <n v="0"/>
    <n v="0"/>
    <n v="0"/>
    <n v="0"/>
    <n v="0"/>
    <n v="0"/>
    <n v="0"/>
    <n v="0"/>
    <n v="0"/>
  </r>
  <r>
    <n v="5989"/>
    <x v="0"/>
    <s v="2015/3613"/>
    <m/>
    <s v="222 Cavendish Road"/>
    <m/>
    <n v="528980"/>
    <n v="173751"/>
    <x v="9"/>
    <d v="2017-03-31T00:00:00"/>
    <d v="2017-11-09T00:00:00"/>
    <n v="2"/>
    <n v="1"/>
    <n v="-1"/>
    <n v="1"/>
    <n v="-1"/>
    <m/>
    <s v="Conversion of property from two flats (1 x 3-bedroom unit and 1 x 1-bedroom unit) into a single dwellinghouse."/>
    <s v="PF"/>
    <d v="2015-07-03T00:00:00"/>
    <d v="2015-08-27T00:00:00"/>
    <x v="0"/>
    <s v="Nil"/>
    <m/>
    <s v="BF"/>
    <x v="1"/>
    <x v="0"/>
    <x v="7"/>
    <n v="1.7999999225139601E-2"/>
    <d v="2017-03-31T00:00:00"/>
    <x v="0"/>
    <d v="2017-11-09T00:00:00"/>
    <x v="0"/>
    <s v="P"/>
    <m/>
    <m/>
    <n v="0"/>
    <m/>
    <n v="0"/>
    <m/>
    <n v="0"/>
    <n v="-1"/>
    <n v="0"/>
    <n v="-1"/>
    <n v="1"/>
    <n v="0"/>
    <n v="0"/>
    <n v="0"/>
    <n v="-1"/>
    <n v="0"/>
    <n v="-1"/>
    <n v="0"/>
    <n v="0"/>
    <n v="0"/>
    <n v="0"/>
    <n v="0"/>
    <n v="0"/>
    <n v="0"/>
    <n v="1"/>
    <n v="0"/>
    <n v="0"/>
    <n v="0"/>
    <n v="0"/>
    <n v="0"/>
    <n v="0"/>
    <n v="0"/>
    <n v="0"/>
    <n v="0"/>
    <s v="East"/>
    <x v="0"/>
    <x v="0"/>
    <x v="1"/>
    <x v="0"/>
    <x v="0"/>
    <x v="0"/>
    <m/>
    <x v="0"/>
    <s v="Y"/>
    <n v="7"/>
    <m/>
    <n v="-1"/>
    <n v="0"/>
    <n v="0"/>
    <n v="0"/>
    <n v="0"/>
    <n v="0"/>
    <n v="0"/>
    <n v="0"/>
    <n v="0"/>
    <n v="0"/>
    <n v="0"/>
    <n v="0"/>
    <n v="0"/>
    <n v="0"/>
    <n v="0"/>
    <n v="0"/>
    <n v="0"/>
    <n v="0"/>
    <n v="0"/>
    <n v="0"/>
    <n v="0"/>
    <n v="0"/>
    <n v="0"/>
  </r>
  <r>
    <n v="6004"/>
    <x v="0"/>
    <s v="2015/2650"/>
    <m/>
    <s v="53-55 Tooting High Street"/>
    <m/>
    <n v="527498"/>
    <n v="171520"/>
    <x v="8"/>
    <d v="2016-04-12T00:00:00"/>
    <d v="2017-08-18T00:00:00"/>
    <n v="0"/>
    <n v="6"/>
    <n v="6"/>
    <n v="6"/>
    <n v="6"/>
    <m/>
    <s v="Erection of two-storey rear extension (at first and second floor levels) with roof extension above in association with the creation of 6 no. residential units. Erection of ground floor rear extension to retail unit, basement alterations, and replacement external stair to rear.  Erection of detached cycle and refuse store to the rear of the site."/>
    <s v="PF"/>
    <d v="2015-06-24T00:00:00"/>
    <d v="2015-12-09T00:00:00"/>
    <x v="0"/>
    <s v="Nil"/>
    <m/>
    <s v="BF"/>
    <x v="4"/>
    <x v="0"/>
    <x v="0"/>
    <n v="1.7000000923872001E-2"/>
    <d v="2016-04-12T00:00:00"/>
    <x v="0"/>
    <d v="2017-08-18T00:00:00"/>
    <x v="0"/>
    <s v="P"/>
    <s v="5.2"/>
    <m/>
    <n v="0"/>
    <m/>
    <n v="0"/>
    <m/>
    <n v="0"/>
    <n v="3"/>
    <n v="3"/>
    <n v="0"/>
    <n v="0"/>
    <n v="0"/>
    <n v="0"/>
    <n v="0"/>
    <n v="3"/>
    <n v="3"/>
    <n v="0"/>
    <n v="0"/>
    <n v="0"/>
    <n v="0"/>
    <n v="0"/>
    <n v="0"/>
    <n v="0"/>
    <n v="0"/>
    <n v="0"/>
    <n v="0"/>
    <n v="0"/>
    <n v="0"/>
    <n v="0"/>
    <n v="0"/>
    <n v="0"/>
    <n v="0"/>
    <n v="0"/>
    <n v="0"/>
    <s v="East"/>
    <x v="1"/>
    <x v="0"/>
    <x v="1"/>
    <x v="0"/>
    <x v="0"/>
    <x v="0"/>
    <m/>
    <x v="0"/>
    <s v="Y"/>
    <n v="7"/>
    <m/>
    <n v="6"/>
    <n v="0"/>
    <n v="0"/>
    <n v="0"/>
    <n v="0"/>
    <n v="0"/>
    <n v="0"/>
    <n v="0"/>
    <n v="0"/>
    <n v="0"/>
    <n v="0"/>
    <n v="0"/>
    <n v="0"/>
    <n v="0"/>
    <n v="0"/>
    <n v="0"/>
    <n v="0"/>
    <n v="0"/>
    <n v="0"/>
    <n v="0"/>
    <n v="0"/>
    <n v="0"/>
    <n v="0"/>
  </r>
  <r>
    <n v="6005"/>
    <x v="0"/>
    <s v="2015/3021"/>
    <m/>
    <s v="9 Putney Heath Lane"/>
    <m/>
    <n v="523785"/>
    <n v="174060"/>
    <x v="16"/>
    <d v="2017-04-01T00:00:00"/>
    <d v="2018-03-31T00:00:00"/>
    <n v="1"/>
    <n v="2"/>
    <n v="1"/>
    <n v="2"/>
    <n v="1"/>
    <m/>
    <s v="Internal and external alterations to covert existing two-storey side extension to a 1-bedroom house."/>
    <s v="PF"/>
    <d v="2015-06-08T00:00:00"/>
    <d v="2015-09-23T00:00:00"/>
    <x v="0"/>
    <s v="Nil"/>
    <m/>
    <s v="BF"/>
    <x v="1"/>
    <x v="0"/>
    <x v="12"/>
    <n v="4.1999999433755902E-2"/>
    <d v="2017-04-01T00:00:00"/>
    <x v="1"/>
    <d v="2018-03-31T00:00:00"/>
    <x v="0"/>
    <s v="P"/>
    <m/>
    <m/>
    <n v="0"/>
    <m/>
    <n v="0"/>
    <m/>
    <n v="0"/>
    <n v="1"/>
    <n v="0"/>
    <n v="0"/>
    <n v="1"/>
    <n v="-1"/>
    <n v="0"/>
    <n v="0"/>
    <n v="0"/>
    <n v="0"/>
    <n v="0"/>
    <n v="0"/>
    <n v="0"/>
    <n v="0"/>
    <n v="0"/>
    <n v="1"/>
    <n v="0"/>
    <n v="0"/>
    <n v="1"/>
    <n v="-1"/>
    <n v="0"/>
    <n v="0"/>
    <n v="0"/>
    <n v="0"/>
    <n v="0"/>
    <n v="0"/>
    <n v="0"/>
    <n v="0"/>
    <s v="West"/>
    <x v="0"/>
    <x v="0"/>
    <x v="1"/>
    <x v="0"/>
    <x v="0"/>
    <x v="0"/>
    <m/>
    <x v="0"/>
    <s v="Y"/>
    <n v="7"/>
    <m/>
    <n v="1"/>
    <n v="0"/>
    <n v="0"/>
    <n v="0"/>
    <n v="0"/>
    <n v="0"/>
    <n v="0"/>
    <n v="0"/>
    <n v="0"/>
    <n v="0"/>
    <n v="0"/>
    <n v="0"/>
    <n v="0"/>
    <n v="0"/>
    <n v="0"/>
    <n v="0"/>
    <n v="0"/>
    <n v="0"/>
    <n v="0"/>
    <n v="0"/>
    <n v="0"/>
    <n v="0"/>
    <n v="0"/>
  </r>
  <r>
    <n v="6012"/>
    <x v="0"/>
    <s v="2015/3138"/>
    <m/>
    <s v="Garages west of, 13 Limpsfield Avenue"/>
    <m/>
    <n v="523712"/>
    <n v="172976"/>
    <x v="19"/>
    <d v="2016-09-27T00:00:00"/>
    <d v="2017-07-28T00:00:00"/>
    <n v="0"/>
    <n v="2"/>
    <n v="2"/>
    <n v="2"/>
    <n v="2"/>
    <m/>
    <s v="Demolition of six of existing garages, nine storage sheds and erection of two semi-detached houses with associated landscaping."/>
    <s v="PF"/>
    <d v="2015-07-06T00:00:00"/>
    <d v="2015-09-10T00:00:00"/>
    <x v="0"/>
    <s v="Nil"/>
    <m/>
    <s v="BF"/>
    <x v="0"/>
    <x v="0"/>
    <x v="0"/>
    <n v="3.4000001847744002E-2"/>
    <d v="2016-09-27T00:00:00"/>
    <x v="0"/>
    <d v="2017-07-28T00:00:00"/>
    <x v="2"/>
    <s v="C"/>
    <m/>
    <m/>
    <n v="2"/>
    <m/>
    <n v="0"/>
    <m/>
    <n v="0"/>
    <n v="0"/>
    <n v="0"/>
    <n v="2"/>
    <n v="0"/>
    <n v="0"/>
    <n v="0"/>
    <n v="0"/>
    <n v="0"/>
    <n v="0"/>
    <n v="0"/>
    <n v="0"/>
    <n v="0"/>
    <n v="0"/>
    <n v="0"/>
    <n v="0"/>
    <n v="0"/>
    <n v="2"/>
    <n v="0"/>
    <n v="0"/>
    <n v="0"/>
    <n v="0"/>
    <n v="0"/>
    <n v="0"/>
    <n v="0"/>
    <n v="0"/>
    <n v="0"/>
    <n v="0"/>
    <s v="West"/>
    <x v="0"/>
    <x v="0"/>
    <x v="1"/>
    <x v="0"/>
    <x v="0"/>
    <x v="0"/>
    <m/>
    <x v="0"/>
    <s v="Y"/>
    <n v="1"/>
    <m/>
    <n v="2"/>
    <n v="0"/>
    <n v="0"/>
    <n v="0"/>
    <n v="0"/>
    <n v="0"/>
    <n v="0"/>
    <n v="0"/>
    <n v="0"/>
    <n v="0"/>
    <n v="0"/>
    <n v="0"/>
    <n v="0"/>
    <n v="0"/>
    <n v="0"/>
    <n v="0"/>
    <n v="0"/>
    <n v="0"/>
    <n v="0"/>
    <n v="0"/>
    <n v="0"/>
    <n v="0"/>
    <n v="0"/>
  </r>
  <r>
    <n v="6014"/>
    <x v="0"/>
    <s v="2015/5954"/>
    <m/>
    <s v="47 Thurleigh Road"/>
    <m/>
    <n v="527855"/>
    <n v="174092"/>
    <x v="14"/>
    <d v="2016-11-28T00:00:00"/>
    <d v="2018-01-16T00:00:00"/>
    <n v="0"/>
    <n v="1"/>
    <n v="1"/>
    <n v="1"/>
    <n v="1"/>
    <m/>
    <s v="Erection of single-storey rear/side extension, external alterations, excavation to enlarge basement including formation of front lightwell (with railings surround), replacement windows and insertion of rooflights in connection with the conversion of existing nine bedroom (House of Multiple Occupation - Use Class sui generis) to a six bedroom family dwelling house (Use Class C3). Formation of hard landscaping to front garden and vehicle crossover in connection with the provision of one car parking space."/>
    <s v="RP"/>
    <d v="2015-10-22T00:00:00"/>
    <d v="2016-01-22T00:00:00"/>
    <x v="0"/>
    <s v="APG"/>
    <d v="2016-07-26T00:00:00"/>
    <s v="BF"/>
    <x v="4"/>
    <x v="0"/>
    <x v="5"/>
    <n v="2.4000000208616298E-2"/>
    <d v="2016-11-28T00:00:00"/>
    <x v="0"/>
    <d v="2018-01-16T00:00:00"/>
    <x v="0"/>
    <s v="P"/>
    <m/>
    <m/>
    <n v="0"/>
    <m/>
    <n v="0"/>
    <m/>
    <n v="0"/>
    <n v="0"/>
    <n v="0"/>
    <n v="0"/>
    <n v="0"/>
    <n v="1"/>
    <n v="0"/>
    <n v="0"/>
    <n v="0"/>
    <n v="0"/>
    <n v="0"/>
    <n v="0"/>
    <n v="0"/>
    <n v="0"/>
    <n v="0"/>
    <n v="0"/>
    <n v="0"/>
    <n v="0"/>
    <n v="0"/>
    <n v="1"/>
    <n v="0"/>
    <n v="0"/>
    <n v="0"/>
    <n v="0"/>
    <n v="0"/>
    <n v="0"/>
    <n v="0"/>
    <n v="0"/>
    <s v="East"/>
    <x v="0"/>
    <x v="0"/>
    <x v="1"/>
    <x v="0"/>
    <x v="0"/>
    <x v="0"/>
    <m/>
    <x v="0"/>
    <s v="Y"/>
    <n v="7"/>
    <m/>
    <n v="1"/>
    <n v="0"/>
    <n v="0"/>
    <n v="0"/>
    <n v="0"/>
    <n v="0"/>
    <n v="0"/>
    <n v="0"/>
    <n v="0"/>
    <n v="0"/>
    <n v="0"/>
    <n v="0"/>
    <n v="0"/>
    <n v="0"/>
    <n v="0"/>
    <n v="0"/>
    <n v="0"/>
    <n v="0"/>
    <n v="0"/>
    <n v="0"/>
    <n v="0"/>
    <n v="0"/>
    <n v="0"/>
  </r>
  <r>
    <n v="6019"/>
    <x v="0"/>
    <s v="2015/3721"/>
    <m/>
    <s v="59 Southfields Road"/>
    <m/>
    <n v="525160"/>
    <n v="174246"/>
    <x v="16"/>
    <d v="2017-03-31T00:00:00"/>
    <d v="2017-06-05T00:00:00"/>
    <n v="2"/>
    <n v="1"/>
    <n v="-1"/>
    <n v="1"/>
    <n v="-1"/>
    <m/>
    <s v="Alterations including the erection of part single, part two storey rear/side extension in connection with use as a single dwellinghouse."/>
    <s v="PF"/>
    <d v="2015-07-20T00:00:00"/>
    <d v="2015-11-12T00:00:00"/>
    <x v="0"/>
    <s v="Nil"/>
    <m/>
    <s v="BF"/>
    <x v="4"/>
    <x v="0"/>
    <x v="7"/>
    <n v="1.4999999664723899E-2"/>
    <d v="2017-03-31T00:00:00"/>
    <x v="0"/>
    <d v="2017-06-05T00:00:00"/>
    <x v="0"/>
    <s v="P"/>
    <m/>
    <m/>
    <n v="0"/>
    <m/>
    <n v="0"/>
    <m/>
    <n v="0"/>
    <n v="-1"/>
    <n v="-1"/>
    <n v="1"/>
    <n v="0"/>
    <n v="0"/>
    <n v="0"/>
    <n v="0"/>
    <n v="-1"/>
    <n v="-1"/>
    <n v="0"/>
    <n v="0"/>
    <n v="0"/>
    <n v="0"/>
    <n v="0"/>
    <n v="0"/>
    <n v="0"/>
    <n v="1"/>
    <n v="0"/>
    <n v="0"/>
    <n v="0"/>
    <n v="0"/>
    <n v="0"/>
    <n v="0"/>
    <n v="0"/>
    <n v="0"/>
    <n v="0"/>
    <n v="0"/>
    <s v="West"/>
    <x v="0"/>
    <x v="0"/>
    <x v="1"/>
    <x v="0"/>
    <x v="0"/>
    <x v="0"/>
    <m/>
    <x v="0"/>
    <s v="Y"/>
    <n v="7"/>
    <m/>
    <n v="-1"/>
    <n v="0"/>
    <n v="0"/>
    <n v="0"/>
    <n v="0"/>
    <n v="0"/>
    <n v="0"/>
    <n v="0"/>
    <n v="0"/>
    <n v="0"/>
    <n v="0"/>
    <n v="0"/>
    <n v="0"/>
    <n v="0"/>
    <n v="0"/>
    <n v="0"/>
    <n v="0"/>
    <n v="0"/>
    <n v="0"/>
    <n v="0"/>
    <n v="0"/>
    <n v="0"/>
    <n v="0"/>
  </r>
  <r>
    <n v="6026"/>
    <x v="0"/>
    <s v="2015/4077"/>
    <m/>
    <s v="The Stable Yard, 16A Balham Hill"/>
    <m/>
    <n v="528765"/>
    <n v="174023"/>
    <x v="9"/>
    <d v="2017-03-31T00:00:00"/>
    <d v="2018-01-12T00:00:00"/>
    <n v="0"/>
    <n v="7"/>
    <n v="7"/>
    <n v="7"/>
    <n v="7"/>
    <m/>
    <s v="Demolition of existing buildings to rear of site (Use Class B1) and erection of part 2/3-storey buildings to provide 7 residential units (Use Class C3) formed of 1x studio unit, 3x 1-bedroom units and 3x 2-bedroom units with associated balconies and roof terraces.  Retention of and alterations to front building to provide 1x 3-bedroom unit with associated cycle and refuse storage and landscaping."/>
    <s v="PF"/>
    <d v="2015-08-11T00:00:00"/>
    <d v="2015-10-27T00:00:00"/>
    <x v="0"/>
    <s v="Nil"/>
    <m/>
    <s v="BF"/>
    <x v="4"/>
    <x v="0"/>
    <x v="9"/>
    <n v="3.7999998778104803E-2"/>
    <d v="2017-03-31T00:00:00"/>
    <x v="0"/>
    <d v="2018-01-12T00:00:00"/>
    <x v="0"/>
    <s v="P"/>
    <m/>
    <m/>
    <n v="7"/>
    <m/>
    <n v="0"/>
    <m/>
    <n v="1"/>
    <n v="3"/>
    <n v="3"/>
    <n v="0"/>
    <n v="0"/>
    <n v="0"/>
    <n v="0"/>
    <n v="1"/>
    <n v="3"/>
    <n v="3"/>
    <n v="0"/>
    <n v="0"/>
    <n v="0"/>
    <n v="0"/>
    <n v="0"/>
    <n v="0"/>
    <n v="0"/>
    <n v="0"/>
    <n v="0"/>
    <n v="0"/>
    <n v="0"/>
    <n v="0"/>
    <n v="0"/>
    <n v="0"/>
    <n v="0"/>
    <n v="0"/>
    <n v="0"/>
    <n v="0"/>
    <s v="East"/>
    <x v="0"/>
    <x v="0"/>
    <x v="1"/>
    <x v="0"/>
    <x v="0"/>
    <x v="0"/>
    <m/>
    <x v="0"/>
    <s v="Y"/>
    <n v="7"/>
    <m/>
    <n v="7"/>
    <n v="0"/>
    <n v="0"/>
    <n v="0"/>
    <n v="0"/>
    <n v="0"/>
    <n v="0"/>
    <n v="0"/>
    <n v="0"/>
    <n v="0"/>
    <n v="0"/>
    <n v="0"/>
    <n v="0"/>
    <n v="0"/>
    <n v="0"/>
    <n v="0"/>
    <n v="0"/>
    <n v="0"/>
    <n v="0"/>
    <n v="0"/>
    <n v="0"/>
    <n v="0"/>
    <n v="0"/>
  </r>
  <r>
    <n v="6041"/>
    <x v="0"/>
    <s v="2015/7069"/>
    <m/>
    <s v="9-11 Chestnut Grove"/>
    <s v="No 11"/>
    <n v="528421"/>
    <n v="173244"/>
    <x v="11"/>
    <d v="2016-03-03T00:00:00"/>
    <d v="2017-04-13T00:00:00"/>
    <n v="1"/>
    <n v="2"/>
    <n v="1"/>
    <n v="4"/>
    <n v="1"/>
    <m/>
    <s v="Erection of a part single/part three-storey rear extension and rear roof extensions to provide additional accommodation for existing flats at no.9 and no.11 including conversion of the upper floors of no. 11 to provide (2 x 2-bedroom and 2 x1-bedroom units)."/>
    <s v="PF"/>
    <d v="2015-12-10T00:00:00"/>
    <d v="2016-02-04T00:00:00"/>
    <x v="0"/>
    <s v="Nil"/>
    <m/>
    <s v="BF"/>
    <x v="4"/>
    <x v="0"/>
    <x v="10"/>
    <n v="1.2000000104308101E-2"/>
    <d v="2016-03-03T00:00:00"/>
    <x v="0"/>
    <d v="2017-04-13T00:00:00"/>
    <x v="0"/>
    <s v="P"/>
    <m/>
    <m/>
    <n v="0"/>
    <m/>
    <n v="0"/>
    <m/>
    <n v="0"/>
    <n v="1"/>
    <n v="0"/>
    <n v="0"/>
    <n v="0"/>
    <n v="0"/>
    <n v="0"/>
    <n v="0"/>
    <n v="1"/>
    <n v="0"/>
    <n v="0"/>
    <n v="0"/>
    <n v="0"/>
    <n v="0"/>
    <n v="0"/>
    <n v="0"/>
    <n v="0"/>
    <n v="0"/>
    <n v="0"/>
    <n v="0"/>
    <n v="0"/>
    <n v="0"/>
    <n v="0"/>
    <n v="0"/>
    <n v="0"/>
    <n v="0"/>
    <n v="0"/>
    <n v="0"/>
    <s v="East"/>
    <x v="2"/>
    <x v="0"/>
    <x v="1"/>
    <x v="0"/>
    <x v="0"/>
    <x v="0"/>
    <m/>
    <x v="0"/>
    <s v="Y"/>
    <n v="7"/>
    <m/>
    <n v="1"/>
    <n v="0"/>
    <n v="0"/>
    <n v="0"/>
    <n v="0"/>
    <n v="0"/>
    <n v="0"/>
    <n v="0"/>
    <n v="0"/>
    <n v="0"/>
    <n v="0"/>
    <n v="0"/>
    <n v="0"/>
    <n v="0"/>
    <n v="0"/>
    <n v="0"/>
    <n v="0"/>
    <n v="0"/>
    <n v="0"/>
    <n v="0"/>
    <n v="0"/>
    <n v="0"/>
    <n v="0"/>
  </r>
  <r>
    <n v="6041"/>
    <x v="0"/>
    <s v="2015/7069"/>
    <m/>
    <s v="9-11 Chestnut Grove"/>
    <s v="No 9"/>
    <n v="528421"/>
    <n v="173244"/>
    <x v="11"/>
    <d v="2016-03-03T00:00:00"/>
    <d v="2017-04-13T00:00:00"/>
    <n v="2"/>
    <n v="2"/>
    <n v="0"/>
    <n v="4"/>
    <n v="1"/>
    <m/>
    <s v="Erection of a part single/part three-storey rear extension and rear roof extensions to provide additional accommodation for existing flats at no.9 and no.11 including conversion of the upper floors of no. 11 to provide (2 x 2-bedroom and 2 x1-bedroom units)."/>
    <s v="PF"/>
    <d v="2015-12-10T00:00:00"/>
    <d v="2016-02-04T00:00:00"/>
    <x v="0"/>
    <s v="Nil"/>
    <m/>
    <s v="BF"/>
    <x v="4"/>
    <x v="0"/>
    <x v="10"/>
    <n v="1.2000000104308101E-2"/>
    <d v="2016-03-03T00:00:00"/>
    <x v="0"/>
    <d v="2017-04-13T00:00:00"/>
    <x v="0"/>
    <s v="P"/>
    <m/>
    <m/>
    <n v="0"/>
    <m/>
    <n v="0"/>
    <m/>
    <n v="-1"/>
    <n v="1"/>
    <n v="0"/>
    <n v="0"/>
    <n v="0"/>
    <n v="0"/>
    <n v="0"/>
    <n v="-1"/>
    <n v="1"/>
    <n v="0"/>
    <n v="0"/>
    <n v="0"/>
    <n v="0"/>
    <n v="0"/>
    <n v="0"/>
    <n v="0"/>
    <n v="0"/>
    <n v="0"/>
    <n v="0"/>
    <n v="0"/>
    <n v="0"/>
    <n v="0"/>
    <n v="0"/>
    <n v="0"/>
    <n v="0"/>
    <n v="0"/>
    <n v="0"/>
    <n v="0"/>
    <s v="East"/>
    <x v="2"/>
    <x v="0"/>
    <x v="1"/>
    <x v="0"/>
    <x v="0"/>
    <x v="0"/>
    <m/>
    <x v="0"/>
    <s v="Y"/>
    <n v="7"/>
    <m/>
    <n v="0"/>
    <n v="0"/>
    <n v="0"/>
    <n v="0"/>
    <n v="0"/>
    <n v="0"/>
    <n v="0"/>
    <n v="0"/>
    <n v="0"/>
    <n v="0"/>
    <n v="0"/>
    <n v="0"/>
    <n v="0"/>
    <n v="0"/>
    <n v="0"/>
    <n v="0"/>
    <n v="0"/>
    <n v="0"/>
    <n v="0"/>
    <n v="0"/>
    <n v="0"/>
    <n v="0"/>
    <n v="0"/>
  </r>
  <r>
    <n v="6056"/>
    <x v="0"/>
    <s v="2015/4585"/>
    <m/>
    <s v="175 Replingham Road"/>
    <m/>
    <n v="525134"/>
    <n v="173399"/>
    <x v="5"/>
    <d v="2016-01-19T00:00:00"/>
    <d v="2017-04-05T00:00:00"/>
    <n v="0"/>
    <n v="2"/>
    <n v="2"/>
    <n v="2"/>
    <n v="2"/>
    <m/>
    <s v="Change of use from restaurant (Class A3) to residential (Class C3) with alterations to provide two additional self contained flats. Alterations include; modifications to ground floor front elevation; erection of mansard roof extension to main rear roof including raising the ridge by 300mm (with French doors) and above part of two-storey back addition; formation of roof terrace above two-storey back addition with 1.7m screen adjacent to 177 Replingham Road; erection of single-storey rear/side extension including alterations to the rear to include 1.8m high rear boundary fence."/>
    <s v="PF"/>
    <d v="2015-11-17T00:00:00"/>
    <d v="2016-01-12T00:00:00"/>
    <x v="0"/>
    <s v="Nil"/>
    <m/>
    <s v="BF"/>
    <x v="4"/>
    <x v="0"/>
    <x v="5"/>
    <n v="1.7000000923872001E-2"/>
    <d v="2016-01-19T00:00:00"/>
    <x v="0"/>
    <d v="2017-04-05T00:00:00"/>
    <x v="0"/>
    <s v="P"/>
    <m/>
    <m/>
    <n v="0"/>
    <m/>
    <n v="0"/>
    <m/>
    <n v="1"/>
    <n v="0"/>
    <n v="0"/>
    <n v="1"/>
    <n v="0"/>
    <n v="0"/>
    <n v="0"/>
    <n v="1"/>
    <n v="0"/>
    <n v="0"/>
    <n v="1"/>
    <n v="0"/>
    <n v="0"/>
    <n v="0"/>
    <n v="0"/>
    <n v="0"/>
    <n v="0"/>
    <n v="0"/>
    <n v="0"/>
    <n v="0"/>
    <n v="0"/>
    <n v="0"/>
    <n v="0"/>
    <n v="0"/>
    <n v="0"/>
    <n v="0"/>
    <n v="0"/>
    <n v="0"/>
    <s v="West"/>
    <x v="0"/>
    <x v="0"/>
    <x v="1"/>
    <x v="0"/>
    <x v="0"/>
    <x v="0"/>
    <m/>
    <x v="0"/>
    <s v="Y"/>
    <n v="7"/>
    <m/>
    <n v="2"/>
    <n v="0"/>
    <n v="0"/>
    <n v="0"/>
    <n v="0"/>
    <n v="0"/>
    <n v="0"/>
    <n v="0"/>
    <n v="0"/>
    <n v="0"/>
    <n v="0"/>
    <n v="0"/>
    <n v="0"/>
    <n v="0"/>
    <n v="0"/>
    <n v="0"/>
    <n v="0"/>
    <n v="0"/>
    <n v="0"/>
    <n v="0"/>
    <n v="0"/>
    <n v="0"/>
    <n v="0"/>
  </r>
  <r>
    <n v="6059"/>
    <x v="0"/>
    <s v="2015/4744"/>
    <m/>
    <s v="11 Roehampton Lane"/>
    <m/>
    <n v="522113"/>
    <n v="175402"/>
    <x v="7"/>
    <d v="2017-04-01T00:00:00"/>
    <d v="2018-03-31T00:00:00"/>
    <n v="1"/>
    <n v="2"/>
    <n v="1"/>
    <n v="2"/>
    <n v="1"/>
    <m/>
    <s v="Erection of side and rear dormers (with french doors and safety railings) and formation of roof terrace at rear of first floor in connection with conversion of existing dwelling into two self-contained flats."/>
    <s v="PF"/>
    <d v="2015-09-15T00:00:00"/>
    <d v="2015-11-13T00:00:00"/>
    <x v="0"/>
    <s v="Nil"/>
    <m/>
    <s v="BF"/>
    <x v="1"/>
    <x v="0"/>
    <x v="8"/>
    <n v="2.8000000864267301E-2"/>
    <d v="2017-04-01T00:00:00"/>
    <x v="1"/>
    <d v="2018-03-31T00:00:00"/>
    <x v="0"/>
    <s v="P"/>
    <m/>
    <m/>
    <n v="0"/>
    <m/>
    <n v="0"/>
    <m/>
    <n v="0"/>
    <n v="0"/>
    <n v="1"/>
    <n v="1"/>
    <n v="0"/>
    <n v="-1"/>
    <n v="0"/>
    <n v="0"/>
    <n v="0"/>
    <n v="1"/>
    <n v="1"/>
    <n v="0"/>
    <n v="0"/>
    <n v="0"/>
    <n v="0"/>
    <n v="0"/>
    <n v="0"/>
    <n v="0"/>
    <n v="0"/>
    <n v="-1"/>
    <n v="0"/>
    <n v="0"/>
    <n v="0"/>
    <n v="0"/>
    <n v="0"/>
    <n v="0"/>
    <n v="0"/>
    <n v="0"/>
    <s v="West"/>
    <x v="0"/>
    <x v="0"/>
    <x v="1"/>
    <x v="0"/>
    <x v="0"/>
    <x v="0"/>
    <m/>
    <x v="0"/>
    <s v="Y"/>
    <n v="7"/>
    <m/>
    <n v="1"/>
    <n v="0"/>
    <n v="0"/>
    <n v="0"/>
    <n v="0"/>
    <n v="0"/>
    <n v="0"/>
    <n v="0"/>
    <n v="0"/>
    <n v="0"/>
    <n v="0"/>
    <n v="0"/>
    <n v="0"/>
    <n v="0"/>
    <n v="0"/>
    <n v="0"/>
    <n v="0"/>
    <n v="0"/>
    <n v="0"/>
    <n v="0"/>
    <n v="0"/>
    <n v="0"/>
    <n v="0"/>
  </r>
  <r>
    <n v="6062"/>
    <x v="0"/>
    <s v="2017/4862"/>
    <m/>
    <s v="119 Northcote Road"/>
    <m/>
    <n v="527568"/>
    <n v="174693"/>
    <x v="14"/>
    <d v="2017-11-13T00:00:00"/>
    <d v="2018-03-31T00:00:00"/>
    <n v="1"/>
    <n v="2"/>
    <n v="1"/>
    <n v="2"/>
    <n v="1"/>
    <m/>
    <s v="Conversion of single dwellinghouse to 1 x 3-bedroom and 1 x 2-bedroom self-contained flats. Construction of extension over part of two storey back addition and formation of roof terrace above two-storey back addtion with 1.7m high screen."/>
    <s v="PF"/>
    <d v="2017-08-30T00:00:00"/>
    <d v="2017-11-13T00:00:00"/>
    <x v="1"/>
    <s v="Nil"/>
    <m/>
    <s v="BF"/>
    <x v="4"/>
    <x v="0"/>
    <x v="8"/>
    <n v="1.60000007599592E-2"/>
    <d v="2017-11-13T00:00:00"/>
    <x v="1"/>
    <d v="2018-03-31T00:00:00"/>
    <x v="0"/>
    <s v="P"/>
    <m/>
    <m/>
    <n v="0"/>
    <m/>
    <n v="0"/>
    <m/>
    <n v="0"/>
    <n v="0"/>
    <n v="1"/>
    <n v="0"/>
    <n v="0"/>
    <n v="0"/>
    <n v="0"/>
    <n v="0"/>
    <n v="0"/>
    <n v="1"/>
    <n v="1"/>
    <n v="0"/>
    <n v="0"/>
    <n v="0"/>
    <n v="0"/>
    <n v="0"/>
    <n v="0"/>
    <n v="-1"/>
    <n v="0"/>
    <n v="0"/>
    <n v="0"/>
    <n v="0"/>
    <n v="0"/>
    <n v="0"/>
    <n v="0"/>
    <n v="0"/>
    <n v="0"/>
    <n v="0"/>
    <s v="East"/>
    <x v="0"/>
    <x v="0"/>
    <x v="1"/>
    <x v="0"/>
    <x v="0"/>
    <x v="0"/>
    <m/>
    <x v="0"/>
    <s v="Y"/>
    <n v="7"/>
    <m/>
    <n v="1"/>
    <n v="0"/>
    <n v="0"/>
    <n v="0"/>
    <n v="0"/>
    <n v="0"/>
    <n v="0"/>
    <n v="0"/>
    <n v="0"/>
    <n v="0"/>
    <n v="0"/>
    <n v="0"/>
    <n v="0"/>
    <n v="0"/>
    <n v="0"/>
    <n v="0"/>
    <n v="0"/>
    <n v="0"/>
    <n v="0"/>
    <n v="0"/>
    <n v="0"/>
    <n v="0"/>
    <n v="0"/>
  </r>
  <r>
    <n v="6065"/>
    <x v="0"/>
    <s v="2015/5610"/>
    <m/>
    <s v="Prince of Wales P.H, 270 Cavendish Road"/>
    <m/>
    <n v="528949"/>
    <n v="173592"/>
    <x v="9"/>
    <d v="2016-02-01T00:00:00"/>
    <d v="2017-05-30T00:00:00"/>
    <n v="0"/>
    <n v="5"/>
    <n v="5"/>
    <n v="9"/>
    <n v="9"/>
    <m/>
    <s v="Alterations to retained public house including the erection of roof extension over to provide 1 x 1-bedroom, 2 x 2-bedroom and 1 x 3-bedroom residential units with roof terraces. Erection of two-storey 2-bedroom house with roof terrace to the west of the public house. Erection of three-storey (plus basement) building to the north of the public house to provide 4 x 2-bedroom flats accessed via a glazed bridge link.  Associated landscaping to include bicycle and waste storage and communal garden"/>
    <s v="PF"/>
    <d v="2015-09-29T00:00:00"/>
    <d v="2015-12-21T00:00:00"/>
    <x v="0"/>
    <s v="Nil"/>
    <m/>
    <s v="BF"/>
    <x v="4"/>
    <x v="0"/>
    <x v="0"/>
    <n v="9.9999997764825804E-3"/>
    <d v="2016-02-01T00:00:00"/>
    <x v="0"/>
    <d v="2017-05-30T00:00:00"/>
    <x v="0"/>
    <s v="P"/>
    <m/>
    <m/>
    <n v="5"/>
    <m/>
    <n v="0"/>
    <m/>
    <n v="0"/>
    <n v="0"/>
    <n v="5"/>
    <n v="0"/>
    <n v="0"/>
    <n v="0"/>
    <n v="0"/>
    <n v="0"/>
    <n v="0"/>
    <n v="4"/>
    <n v="0"/>
    <n v="0"/>
    <n v="0"/>
    <n v="0"/>
    <n v="0"/>
    <n v="0"/>
    <n v="1"/>
    <n v="0"/>
    <n v="0"/>
    <n v="0"/>
    <n v="0"/>
    <n v="0"/>
    <n v="0"/>
    <n v="0"/>
    <n v="0"/>
    <n v="0"/>
    <n v="0"/>
    <n v="0"/>
    <s v="East"/>
    <x v="0"/>
    <x v="0"/>
    <x v="1"/>
    <x v="0"/>
    <x v="0"/>
    <x v="0"/>
    <m/>
    <x v="0"/>
    <s v="Y"/>
    <n v="7"/>
    <m/>
    <n v="5"/>
    <n v="0"/>
    <n v="0"/>
    <n v="0"/>
    <n v="0"/>
    <n v="0"/>
    <n v="0"/>
    <n v="0"/>
    <n v="0"/>
    <n v="0"/>
    <n v="0"/>
    <n v="0"/>
    <n v="0"/>
    <n v="0"/>
    <n v="0"/>
    <n v="0"/>
    <n v="0"/>
    <n v="0"/>
    <n v="0"/>
    <n v="0"/>
    <n v="0"/>
    <n v="0"/>
    <n v="0"/>
  </r>
  <r>
    <n v="6065"/>
    <x v="0"/>
    <s v="2015/5610"/>
    <m/>
    <s v="Prince of Wales P.H, 270 Cavendish Road"/>
    <m/>
    <n v="528949"/>
    <n v="173592"/>
    <x v="9"/>
    <d v="2016-02-01T00:00:00"/>
    <d v="2017-05-30T00:00:00"/>
    <n v="0"/>
    <n v="4"/>
    <n v="4"/>
    <n v="9"/>
    <n v="9"/>
    <m/>
    <s v="Alterations to retained public house including the erection of roof extension over to provide 1 x 1-bedroom, 2 x 2-bedroom and 1 x 3-bedroom residential units with roof terraces. Erection of two-storey 2-bedroom house with roof terrace to the west of the public house. Erection of three-storey (plus basement) building to the north of the public house to provide 4 x 2-bedroom flats accessed via a glazed bridge link.  Associated landscaping to include bicycle and waste storage and communal garden"/>
    <s v="PF"/>
    <d v="2015-09-29T00:00:00"/>
    <d v="2015-12-21T00:00:00"/>
    <x v="0"/>
    <s v="Nil"/>
    <m/>
    <s v="BF"/>
    <x v="4"/>
    <x v="0"/>
    <x v="0"/>
    <n v="2.60000005364418E-2"/>
    <d v="2016-02-01T00:00:00"/>
    <x v="0"/>
    <d v="2017-05-30T00:00:00"/>
    <x v="0"/>
    <s v="P"/>
    <m/>
    <m/>
    <n v="0"/>
    <m/>
    <n v="0"/>
    <m/>
    <n v="0"/>
    <n v="1"/>
    <n v="2"/>
    <n v="1"/>
    <n v="0"/>
    <n v="0"/>
    <n v="0"/>
    <n v="0"/>
    <n v="1"/>
    <n v="2"/>
    <n v="1"/>
    <n v="0"/>
    <n v="0"/>
    <n v="0"/>
    <n v="0"/>
    <n v="0"/>
    <n v="0"/>
    <n v="0"/>
    <n v="0"/>
    <n v="0"/>
    <n v="0"/>
    <n v="0"/>
    <n v="0"/>
    <n v="0"/>
    <n v="0"/>
    <n v="0"/>
    <n v="0"/>
    <n v="0"/>
    <s v="East"/>
    <x v="0"/>
    <x v="0"/>
    <x v="1"/>
    <x v="0"/>
    <x v="0"/>
    <x v="0"/>
    <m/>
    <x v="0"/>
    <s v="Y"/>
    <n v="7"/>
    <m/>
    <n v="4"/>
    <n v="0"/>
    <n v="0"/>
    <n v="0"/>
    <n v="0"/>
    <n v="0"/>
    <n v="0"/>
    <n v="0"/>
    <n v="0"/>
    <n v="0"/>
    <n v="0"/>
    <n v="0"/>
    <n v="0"/>
    <n v="0"/>
    <n v="0"/>
    <n v="0"/>
    <n v="0"/>
    <n v="0"/>
    <n v="0"/>
    <n v="0"/>
    <n v="0"/>
    <n v="0"/>
    <n v="0"/>
  </r>
  <r>
    <n v="6073"/>
    <x v="0"/>
    <s v="2015/4528"/>
    <m/>
    <s v="Jack's Place, 12 York Road"/>
    <m/>
    <n v="527023"/>
    <n v="176159"/>
    <x v="1"/>
    <d v="2017-03-31T00:00:00"/>
    <d v="2018-03-31T00:00:00"/>
    <n v="2"/>
    <n v="4"/>
    <n v="2"/>
    <n v="6"/>
    <n v="4"/>
    <m/>
    <s v="Alterations and extension of rear of building, erection of a mansard-style roof extension and internal alterations including part conversion of ground floor from restaurant to residential, all in connection with the formation of 6 self-contained flats."/>
    <s v="PF"/>
    <d v="2015-10-07T00:00:00"/>
    <d v="2016-06-03T00:00:00"/>
    <x v="0"/>
    <s v="Nil"/>
    <m/>
    <s v="BF"/>
    <x v="4"/>
    <x v="0"/>
    <x v="10"/>
    <n v="4.0000001899898104E-3"/>
    <d v="2017-03-31T00:00:00"/>
    <x v="0"/>
    <d v="2018-03-31T00:00:00"/>
    <x v="0"/>
    <s v="P"/>
    <m/>
    <m/>
    <n v="4"/>
    <m/>
    <n v="0"/>
    <m/>
    <n v="0"/>
    <n v="3"/>
    <n v="-1"/>
    <n v="0"/>
    <n v="0"/>
    <n v="0"/>
    <n v="0"/>
    <n v="0"/>
    <n v="3"/>
    <n v="-1"/>
    <n v="0"/>
    <n v="0"/>
    <n v="0"/>
    <n v="0"/>
    <n v="0"/>
    <n v="0"/>
    <n v="0"/>
    <n v="0"/>
    <n v="0"/>
    <n v="0"/>
    <n v="0"/>
    <n v="0"/>
    <n v="0"/>
    <n v="0"/>
    <n v="0"/>
    <n v="0"/>
    <n v="0"/>
    <n v="0"/>
    <s v="East"/>
    <x v="0"/>
    <x v="0"/>
    <x v="1"/>
    <x v="0"/>
    <x v="0"/>
    <x v="0"/>
    <m/>
    <x v="0"/>
    <s v="Y"/>
    <n v="7"/>
    <m/>
    <n v="2"/>
    <n v="0"/>
    <n v="0"/>
    <n v="0"/>
    <n v="0"/>
    <n v="0"/>
    <n v="0"/>
    <n v="0"/>
    <n v="0"/>
    <n v="0"/>
    <n v="0"/>
    <n v="0"/>
    <n v="0"/>
    <n v="0"/>
    <n v="0"/>
    <n v="0"/>
    <n v="0"/>
    <n v="0"/>
    <n v="0"/>
    <n v="0"/>
    <n v="0"/>
    <n v="0"/>
    <n v="0"/>
  </r>
  <r>
    <n v="6073"/>
    <x v="0"/>
    <s v="2015/4528"/>
    <m/>
    <s v="Jack's Place, 12 York Road"/>
    <m/>
    <n v="527023"/>
    <n v="176159"/>
    <x v="1"/>
    <d v="2017-03-31T00:00:00"/>
    <d v="2018-03-31T00:00:00"/>
    <n v="0"/>
    <n v="2"/>
    <n v="2"/>
    <n v="6"/>
    <n v="4"/>
    <m/>
    <s v="Alterations and extension of rear of building, erection of a mansard-style roof extension and internal alterations including part conversion of ground floor from restaurant to residential, all in connection with the formation of 6 self-contained flats."/>
    <s v="PF"/>
    <d v="2015-10-07T00:00:00"/>
    <d v="2016-06-03T00:00:00"/>
    <x v="0"/>
    <s v="Nil"/>
    <m/>
    <s v="BF"/>
    <x v="4"/>
    <x v="0"/>
    <x v="5"/>
    <n v="2.0000000949949E-3"/>
    <d v="2017-03-31T00:00:00"/>
    <x v="0"/>
    <d v="2018-03-31T00:00:00"/>
    <x v="0"/>
    <s v="P"/>
    <m/>
    <m/>
    <n v="0"/>
    <m/>
    <n v="0"/>
    <m/>
    <n v="0"/>
    <n v="2"/>
    <n v="0"/>
    <n v="0"/>
    <n v="0"/>
    <n v="0"/>
    <n v="0"/>
    <n v="0"/>
    <n v="2"/>
    <n v="0"/>
    <n v="0"/>
    <n v="0"/>
    <n v="0"/>
    <n v="0"/>
    <n v="0"/>
    <n v="0"/>
    <n v="0"/>
    <n v="0"/>
    <n v="0"/>
    <n v="0"/>
    <n v="0"/>
    <n v="0"/>
    <n v="0"/>
    <n v="0"/>
    <n v="0"/>
    <n v="0"/>
    <n v="0"/>
    <n v="0"/>
    <s v="East"/>
    <x v="0"/>
    <x v="0"/>
    <x v="1"/>
    <x v="0"/>
    <x v="0"/>
    <x v="0"/>
    <m/>
    <x v="0"/>
    <s v="Y"/>
    <n v="7"/>
    <m/>
    <n v="2"/>
    <n v="0"/>
    <n v="0"/>
    <n v="0"/>
    <n v="0"/>
    <n v="0"/>
    <n v="0"/>
    <n v="0"/>
    <n v="0"/>
    <n v="0"/>
    <n v="0"/>
    <n v="0"/>
    <n v="0"/>
    <n v="0"/>
    <n v="0"/>
    <n v="0"/>
    <n v="0"/>
    <n v="0"/>
    <n v="0"/>
    <n v="0"/>
    <n v="0"/>
    <n v="0"/>
    <n v="0"/>
  </r>
  <r>
    <n v="6074"/>
    <x v="0"/>
    <s v="2015/4796"/>
    <m/>
    <s v="35 Worfield Street"/>
    <m/>
    <n v="527474"/>
    <n v="177065"/>
    <x v="1"/>
    <d v="2017-01-27T00:00:00"/>
    <d v="2017-08-09T00:00:00"/>
    <n v="2"/>
    <n v="1"/>
    <n v="-1"/>
    <n v="1"/>
    <n v="-1"/>
    <m/>
    <s v="Erection of a mansard roof extension to main rear and above part of two-storey rear addition; erection of single-storey rear/side extension; excavation to enlarge basement including formation of front lightwell all in connection with the conversion of two-self contained flats into a single dwelling."/>
    <s v="RP"/>
    <d v="2015-08-27T00:00:00"/>
    <d v="2015-12-17T00:00:00"/>
    <x v="0"/>
    <s v="APG"/>
    <d v="2016-05-09T00:00:00"/>
    <s v="BF"/>
    <x v="1"/>
    <x v="0"/>
    <x v="7"/>
    <n v="1.30000002682209E-2"/>
    <d v="2017-01-27T00:00:00"/>
    <x v="0"/>
    <d v="2017-08-09T00:00:00"/>
    <x v="0"/>
    <s v="P"/>
    <m/>
    <m/>
    <n v="0"/>
    <m/>
    <n v="0"/>
    <m/>
    <n v="0"/>
    <n v="0"/>
    <n v="-2"/>
    <n v="0"/>
    <n v="1"/>
    <n v="0"/>
    <n v="0"/>
    <n v="0"/>
    <n v="0"/>
    <n v="-2"/>
    <n v="0"/>
    <n v="0"/>
    <n v="0"/>
    <n v="0"/>
    <n v="0"/>
    <n v="0"/>
    <n v="0"/>
    <n v="0"/>
    <n v="1"/>
    <n v="0"/>
    <n v="0"/>
    <n v="0"/>
    <n v="0"/>
    <n v="0"/>
    <n v="0"/>
    <n v="0"/>
    <n v="0"/>
    <n v="0"/>
    <s v="East"/>
    <x v="0"/>
    <x v="0"/>
    <x v="1"/>
    <x v="0"/>
    <x v="0"/>
    <x v="0"/>
    <m/>
    <x v="0"/>
    <s v="Y"/>
    <n v="7"/>
    <m/>
    <n v="-1"/>
    <n v="0"/>
    <n v="0"/>
    <n v="0"/>
    <n v="0"/>
    <n v="0"/>
    <n v="0"/>
    <n v="0"/>
    <n v="0"/>
    <n v="0"/>
    <n v="0"/>
    <n v="0"/>
    <n v="0"/>
    <n v="0"/>
    <n v="0"/>
    <n v="0"/>
    <n v="0"/>
    <n v="0"/>
    <n v="0"/>
    <n v="0"/>
    <n v="0"/>
    <n v="0"/>
    <n v="0"/>
  </r>
  <r>
    <n v="6087"/>
    <x v="0"/>
    <s v="2015/5951"/>
    <m/>
    <s v="28 Lacy Road"/>
    <m/>
    <n v="523892"/>
    <n v="175481"/>
    <x v="13"/>
    <d v="2017-04-01T00:00:00"/>
    <d v="2018-03-31T00:00:00"/>
    <n v="0"/>
    <n v="1"/>
    <n v="1"/>
    <n v="1"/>
    <n v="1"/>
    <m/>
    <s v="Change of use of accommodation from retail (Class Use A1) to residential (Class Use C3), incorporating amended rear roof extension and extension above two-storey back addition and creation of roof terrace, enlargement of single-storey rear infill extension and basement, and creation of lightwell at front with railings surround. Removal of shed in rear garden and alterations to side boundary wall, removal of shopfront to create two self-contained residential flats."/>
    <s v="PF"/>
    <d v="2015-10-22T00:00:00"/>
    <d v="2015-12-16T00:00:00"/>
    <x v="0"/>
    <s v="Nil"/>
    <m/>
    <s v="BF"/>
    <x v="4"/>
    <x v="0"/>
    <x v="4"/>
    <n v="9.9999997764825804E-3"/>
    <d v="2017-04-01T00:00:00"/>
    <x v="1"/>
    <d v="2018-03-31T00:00:00"/>
    <x v="0"/>
    <s v="P"/>
    <m/>
    <m/>
    <n v="0"/>
    <m/>
    <n v="0"/>
    <m/>
    <n v="0"/>
    <n v="0"/>
    <n v="0"/>
    <n v="1"/>
    <n v="0"/>
    <n v="0"/>
    <n v="0"/>
    <n v="0"/>
    <n v="0"/>
    <n v="0"/>
    <n v="1"/>
    <n v="0"/>
    <n v="0"/>
    <n v="0"/>
    <n v="0"/>
    <n v="0"/>
    <n v="0"/>
    <n v="0"/>
    <n v="0"/>
    <n v="0"/>
    <n v="0"/>
    <n v="0"/>
    <n v="0"/>
    <n v="0"/>
    <n v="0"/>
    <n v="0"/>
    <n v="0"/>
    <n v="0"/>
    <s v="West"/>
    <x v="0"/>
    <x v="0"/>
    <x v="1"/>
    <x v="0"/>
    <x v="0"/>
    <x v="0"/>
    <m/>
    <x v="0"/>
    <s v="Y"/>
    <n v="7"/>
    <m/>
    <n v="1"/>
    <n v="0"/>
    <n v="0"/>
    <n v="0"/>
    <n v="0"/>
    <n v="0"/>
    <n v="0"/>
    <n v="0"/>
    <n v="0"/>
    <n v="0"/>
    <n v="0"/>
    <n v="0"/>
    <n v="0"/>
    <n v="0"/>
    <n v="0"/>
    <n v="0"/>
    <n v="0"/>
    <n v="0"/>
    <n v="0"/>
    <n v="0"/>
    <n v="0"/>
    <n v="0"/>
    <n v="0"/>
  </r>
  <r>
    <n v="6101"/>
    <x v="0"/>
    <s v="2015/6278"/>
    <m/>
    <s v="95 Broomwood Road"/>
    <m/>
    <n v="527880"/>
    <n v="174389"/>
    <x v="9"/>
    <d v="2017-03-31T00:00:00"/>
    <d v="2018-03-31T00:00:00"/>
    <n v="2"/>
    <n v="1"/>
    <n v="-1"/>
    <n v="1"/>
    <n v="-1"/>
    <m/>
    <s v="Change of use from two flats to a single family dwellinghouse (Use Class C3)."/>
    <s v="PF"/>
    <d v="2015-11-12T00:00:00"/>
    <d v="2016-01-07T00:00:00"/>
    <x v="0"/>
    <s v="Nil"/>
    <m/>
    <s v="BF"/>
    <x v="1"/>
    <x v="0"/>
    <x v="7"/>
    <n v="2.8000000864267301E-2"/>
    <d v="2017-03-31T00:00:00"/>
    <x v="0"/>
    <d v="2018-03-31T00:00:00"/>
    <x v="0"/>
    <s v="P"/>
    <m/>
    <m/>
    <n v="0"/>
    <m/>
    <n v="0"/>
    <m/>
    <n v="0"/>
    <n v="0"/>
    <n v="-1"/>
    <n v="0"/>
    <n v="0"/>
    <n v="0"/>
    <n v="0"/>
    <n v="0"/>
    <n v="0"/>
    <n v="-1"/>
    <n v="-1"/>
    <n v="0"/>
    <n v="0"/>
    <n v="0"/>
    <n v="0"/>
    <n v="0"/>
    <n v="0"/>
    <n v="1"/>
    <n v="0"/>
    <n v="0"/>
    <n v="0"/>
    <n v="0"/>
    <n v="0"/>
    <n v="0"/>
    <n v="0"/>
    <n v="0"/>
    <n v="0"/>
    <n v="0"/>
    <s v="East"/>
    <x v="0"/>
    <x v="0"/>
    <x v="1"/>
    <x v="0"/>
    <x v="0"/>
    <x v="0"/>
    <m/>
    <x v="0"/>
    <s v="Y"/>
    <n v="7"/>
    <m/>
    <n v="-1"/>
    <n v="0"/>
    <n v="0"/>
    <n v="0"/>
    <n v="0"/>
    <n v="0"/>
    <n v="0"/>
    <n v="0"/>
    <n v="0"/>
    <n v="0"/>
    <n v="0"/>
    <n v="0"/>
    <n v="0"/>
    <n v="0"/>
    <n v="0"/>
    <n v="0"/>
    <n v="0"/>
    <n v="0"/>
    <n v="0"/>
    <n v="0"/>
    <n v="0"/>
    <n v="0"/>
    <n v="0"/>
  </r>
  <r>
    <n v="6104"/>
    <x v="0"/>
    <s v="2015/6168"/>
    <m/>
    <s v="33 Taybridge Road"/>
    <m/>
    <n v="528434"/>
    <n v="175621"/>
    <x v="10"/>
    <d v="2017-04-01T00:00:00"/>
    <d v="2018-03-31T00:00:00"/>
    <n v="2"/>
    <n v="2"/>
    <n v="0"/>
    <n v="2"/>
    <n v="0"/>
    <m/>
    <s v="Extensions and reconfiguration of the property to form two maisonette flats (1 x 4-bedroom unit and 1 x 2-bedroom unit), with extension to the basement, a rear/side ground floor extension, formation of a first floor roof terrace, and roof extension over the rear addition."/>
    <s v="PF"/>
    <d v="2015-11-20T00:00:00"/>
    <d v="2016-01-15T00:00:00"/>
    <x v="0"/>
    <s v="Nil"/>
    <m/>
    <s v="BF"/>
    <x v="4"/>
    <x v="0"/>
    <x v="10"/>
    <n v="1.30000002682209E-2"/>
    <d v="2017-04-01T00:00:00"/>
    <x v="1"/>
    <d v="2018-03-31T00:00:00"/>
    <x v="0"/>
    <s v="P"/>
    <m/>
    <m/>
    <n v="0"/>
    <m/>
    <n v="0"/>
    <m/>
    <n v="0"/>
    <n v="-1"/>
    <n v="1"/>
    <n v="-1"/>
    <n v="1"/>
    <n v="0"/>
    <n v="0"/>
    <n v="0"/>
    <n v="-1"/>
    <n v="1"/>
    <n v="-1"/>
    <n v="1"/>
    <n v="0"/>
    <n v="0"/>
    <n v="0"/>
    <n v="0"/>
    <n v="0"/>
    <n v="0"/>
    <n v="0"/>
    <n v="0"/>
    <n v="0"/>
    <n v="0"/>
    <n v="0"/>
    <n v="0"/>
    <n v="0"/>
    <n v="0"/>
    <n v="0"/>
    <n v="0"/>
    <s v="East"/>
    <x v="0"/>
    <x v="0"/>
    <x v="1"/>
    <x v="0"/>
    <x v="0"/>
    <x v="0"/>
    <m/>
    <x v="0"/>
    <s v="Y"/>
    <n v="7"/>
    <m/>
    <n v="0"/>
    <n v="0"/>
    <n v="0"/>
    <n v="0"/>
    <n v="0"/>
    <n v="0"/>
    <n v="0"/>
    <n v="0"/>
    <n v="0"/>
    <n v="0"/>
    <n v="0"/>
    <n v="0"/>
    <n v="0"/>
    <n v="0"/>
    <n v="0"/>
    <n v="0"/>
    <n v="0"/>
    <n v="0"/>
    <n v="0"/>
    <n v="0"/>
    <n v="0"/>
    <n v="0"/>
    <n v="0"/>
  </r>
  <r>
    <n v="6113"/>
    <x v="0"/>
    <s v="2016/1098"/>
    <m/>
    <s v="207 Garratt Lane"/>
    <m/>
    <n v="525900"/>
    <n v="173881"/>
    <x v="18"/>
    <d v="2016-08-31T00:00:00"/>
    <d v="2017-06-13T00:00:00"/>
    <n v="0"/>
    <n v="2"/>
    <n v="2"/>
    <n v="3"/>
    <n v="0"/>
    <m/>
    <s v="Alterations in connection with the conversion of basement and ground floor self contained flats (Class C3) and office (Class B1) into part retail (Class A1) and part residential (Class C3) (1 x one-bedroom flat); conversion of the remainder of the property from 1 x three-bedrrom flat into 1 x one-bedroom flat and 1 x two-bedroom flat including erection of single storey rear/side extension, mansard roof extension to main rear roof and above part of two-storey back addition. Excavation at basement level to create rear lightwell; alterations to include replacement shopfront. (Revised description following amendments to drawings)."/>
    <s v="PF"/>
    <d v="2016-02-25T00:00:00"/>
    <d v="2016-04-21T00:00:00"/>
    <x v="0"/>
    <s v="Nil"/>
    <m/>
    <s v="BF"/>
    <x v="4"/>
    <x v="0"/>
    <x v="10"/>
    <n v="4.9999998882412902E-3"/>
    <d v="2016-08-31T00:00:00"/>
    <x v="0"/>
    <d v="2017-06-13T00:00:00"/>
    <x v="0"/>
    <s v="P"/>
    <m/>
    <m/>
    <n v="0"/>
    <m/>
    <n v="0"/>
    <m/>
    <n v="0"/>
    <n v="1"/>
    <n v="1"/>
    <n v="0"/>
    <n v="0"/>
    <n v="0"/>
    <n v="0"/>
    <n v="0"/>
    <n v="1"/>
    <n v="1"/>
    <n v="0"/>
    <n v="0"/>
    <n v="0"/>
    <n v="0"/>
    <n v="0"/>
    <n v="0"/>
    <n v="0"/>
    <n v="0"/>
    <n v="0"/>
    <n v="0"/>
    <n v="0"/>
    <n v="0"/>
    <n v="0"/>
    <n v="0"/>
    <n v="0"/>
    <n v="0"/>
    <n v="0"/>
    <n v="0"/>
    <s v="West"/>
    <x v="0"/>
    <x v="0"/>
    <x v="1"/>
    <x v="0"/>
    <x v="0"/>
    <x v="0"/>
    <m/>
    <x v="0"/>
    <s v="Y"/>
    <n v="7"/>
    <m/>
    <n v="2"/>
    <n v="0"/>
    <n v="0"/>
    <n v="0"/>
    <n v="0"/>
    <n v="0"/>
    <n v="0"/>
    <n v="0"/>
    <n v="0"/>
    <n v="0"/>
    <n v="0"/>
    <n v="0"/>
    <n v="0"/>
    <n v="0"/>
    <n v="0"/>
    <n v="0"/>
    <n v="0"/>
    <n v="0"/>
    <n v="0"/>
    <n v="0"/>
    <n v="0"/>
    <n v="0"/>
    <n v="0"/>
  </r>
  <r>
    <n v="6113"/>
    <x v="0"/>
    <s v="2016/1098"/>
    <m/>
    <s v="207 Garratt Lane"/>
    <m/>
    <n v="525900"/>
    <n v="173881"/>
    <x v="18"/>
    <d v="2016-08-31T00:00:00"/>
    <d v="2017-06-13T00:00:00"/>
    <n v="3"/>
    <n v="1"/>
    <n v="-2"/>
    <n v="3"/>
    <n v="0"/>
    <m/>
    <s v="Alterations in connection with the conversion of basement and ground floor self contained flats (Class C3) and office (Class B1) into part retail (Class A1) and part residential (Class C3) (1 x one-bedroom flat); conversion of the remainder of the property from 1 x three-bedrrom flat into 1 x one-bedroom flat and 1 x two-bedroom flat including erection of single storey rear/side extension, mansard roof extension to main rear roof and above part of two-storey back addition. Excavation at basement level to create rear lightwell; alterations to include replacement shopfront. (Revised description following amendments to drawings)."/>
    <s v="PF"/>
    <d v="2016-02-25T00:00:00"/>
    <d v="2016-04-21T00:00:00"/>
    <x v="0"/>
    <s v="Nil"/>
    <m/>
    <s v="BF"/>
    <x v="4"/>
    <x v="0"/>
    <x v="9"/>
    <n v="2.0000000949949E-3"/>
    <d v="2016-08-31T00:00:00"/>
    <x v="0"/>
    <d v="2017-06-13T00:00:00"/>
    <x v="0"/>
    <s v="P"/>
    <m/>
    <m/>
    <n v="0"/>
    <m/>
    <n v="0"/>
    <m/>
    <n v="0"/>
    <n v="-1"/>
    <n v="0"/>
    <n v="-1"/>
    <n v="0"/>
    <n v="0"/>
    <n v="0"/>
    <n v="0"/>
    <n v="-1"/>
    <n v="0"/>
    <n v="-1"/>
    <n v="0"/>
    <n v="0"/>
    <n v="0"/>
    <n v="0"/>
    <n v="0"/>
    <n v="0"/>
    <n v="0"/>
    <n v="0"/>
    <n v="0"/>
    <n v="0"/>
    <n v="0"/>
    <n v="0"/>
    <n v="0"/>
    <n v="0"/>
    <n v="0"/>
    <n v="0"/>
    <n v="0"/>
    <s v="West"/>
    <x v="0"/>
    <x v="0"/>
    <x v="1"/>
    <x v="0"/>
    <x v="0"/>
    <x v="0"/>
    <m/>
    <x v="0"/>
    <s v="Y"/>
    <n v="7"/>
    <m/>
    <n v="-2"/>
    <n v="0"/>
    <n v="0"/>
    <n v="0"/>
    <n v="0"/>
    <n v="0"/>
    <n v="0"/>
    <n v="0"/>
    <n v="0"/>
    <n v="0"/>
    <n v="0"/>
    <n v="0"/>
    <n v="0"/>
    <n v="0"/>
    <n v="0"/>
    <n v="0"/>
    <n v="0"/>
    <n v="0"/>
    <n v="0"/>
    <n v="0"/>
    <n v="0"/>
    <n v="0"/>
    <n v="0"/>
  </r>
  <r>
    <n v="6115"/>
    <x v="0"/>
    <s v="2015/7101"/>
    <m/>
    <s v="47 Wimbledon Park Road"/>
    <m/>
    <n v="525079"/>
    <n v="174007"/>
    <x v="5"/>
    <d v="2017-03-31T00:00:00"/>
    <d v="2018-02-05T00:00:00"/>
    <n v="2"/>
    <n v="1"/>
    <n v="-1"/>
    <n v="1"/>
    <n v="-1"/>
    <m/>
    <s v="Conversion of lower ground and ground floor flat into a single 2 bedroom unit and erection of a two-storey rear extension; including erection of a two-storey rear extension and a mansard roof extension to main rear roof to create additional bedroom in upper floor flat; including alterations for a crossover and a retaining wall in the front garden to provide two parking spaces."/>
    <s v="PF"/>
    <d v="2015-12-11T00:00:00"/>
    <d v="2016-02-05T00:00:00"/>
    <x v="0"/>
    <s v="Nil"/>
    <m/>
    <s v="BF"/>
    <x v="4"/>
    <x v="0"/>
    <x v="2"/>
    <n v="1.4999999664723899E-2"/>
    <d v="2017-03-31T00:00:00"/>
    <x v="0"/>
    <d v="2018-02-05T00:00:00"/>
    <x v="0"/>
    <s v="P"/>
    <m/>
    <m/>
    <n v="0"/>
    <m/>
    <n v="0"/>
    <m/>
    <n v="0"/>
    <n v="-2"/>
    <n v="1"/>
    <n v="0"/>
    <n v="0"/>
    <n v="0"/>
    <n v="0"/>
    <n v="0"/>
    <n v="-2"/>
    <n v="1"/>
    <n v="0"/>
    <n v="0"/>
    <n v="0"/>
    <n v="0"/>
    <n v="0"/>
    <n v="0"/>
    <n v="0"/>
    <n v="0"/>
    <n v="0"/>
    <n v="0"/>
    <n v="0"/>
    <n v="0"/>
    <n v="0"/>
    <n v="0"/>
    <n v="0"/>
    <n v="0"/>
    <n v="0"/>
    <n v="0"/>
    <s v="West"/>
    <x v="0"/>
    <x v="0"/>
    <x v="1"/>
    <x v="0"/>
    <x v="0"/>
    <x v="0"/>
    <m/>
    <x v="0"/>
    <s v="Y"/>
    <n v="7"/>
    <m/>
    <n v="-1"/>
    <n v="0"/>
    <n v="0"/>
    <n v="0"/>
    <n v="0"/>
    <n v="0"/>
    <n v="0"/>
    <n v="0"/>
    <n v="0"/>
    <n v="0"/>
    <n v="0"/>
    <n v="0"/>
    <n v="0"/>
    <n v="0"/>
    <n v="0"/>
    <n v="0"/>
    <n v="0"/>
    <n v="0"/>
    <n v="0"/>
    <n v="0"/>
    <n v="0"/>
    <n v="0"/>
    <n v="0"/>
  </r>
  <r>
    <n v="6128"/>
    <x v="0"/>
    <s v="2015/7540"/>
    <m/>
    <s v="8 Borneo Street"/>
    <m/>
    <n v="523465"/>
    <n v="175592"/>
    <x v="13"/>
    <d v="2016-10-02T00:00:00"/>
    <d v="2017-05-15T00:00:00"/>
    <n v="3"/>
    <n v="1"/>
    <n v="-2"/>
    <n v="1"/>
    <n v="-2"/>
    <m/>
    <s v="Change of use of the property from 3 x residential units to use as a single dwellinghouse."/>
    <s v="PF"/>
    <d v="2016-01-05T00:00:00"/>
    <d v="2016-02-29T00:00:00"/>
    <x v="0"/>
    <s v="Nil"/>
    <m/>
    <s v="BF"/>
    <x v="1"/>
    <x v="0"/>
    <x v="7"/>
    <n v="1.4000000432133701E-2"/>
    <d v="2016-10-02T00:00:00"/>
    <x v="0"/>
    <d v="2017-05-15T00:00:00"/>
    <x v="0"/>
    <s v="P"/>
    <m/>
    <m/>
    <n v="0"/>
    <m/>
    <n v="0"/>
    <m/>
    <n v="-1"/>
    <n v="-1"/>
    <n v="-1"/>
    <n v="0"/>
    <n v="1"/>
    <n v="0"/>
    <n v="0"/>
    <n v="-1"/>
    <n v="-1"/>
    <n v="-1"/>
    <n v="0"/>
    <n v="0"/>
    <n v="0"/>
    <n v="0"/>
    <n v="0"/>
    <n v="0"/>
    <n v="0"/>
    <n v="0"/>
    <n v="1"/>
    <n v="0"/>
    <n v="0"/>
    <n v="0"/>
    <n v="0"/>
    <n v="0"/>
    <n v="0"/>
    <n v="0"/>
    <n v="0"/>
    <n v="0"/>
    <s v="West"/>
    <x v="0"/>
    <x v="0"/>
    <x v="1"/>
    <x v="0"/>
    <x v="0"/>
    <x v="0"/>
    <m/>
    <x v="0"/>
    <s v="Y"/>
    <n v="7"/>
    <m/>
    <n v="-2"/>
    <n v="0"/>
    <n v="0"/>
    <n v="0"/>
    <n v="0"/>
    <n v="0"/>
    <n v="0"/>
    <n v="0"/>
    <n v="0"/>
    <n v="0"/>
    <n v="0"/>
    <n v="0"/>
    <n v="0"/>
    <n v="0"/>
    <n v="0"/>
    <n v="0"/>
    <n v="0"/>
    <n v="0"/>
    <n v="0"/>
    <n v="0"/>
    <n v="0"/>
    <n v="0"/>
    <n v="0"/>
  </r>
  <r>
    <n v="6134"/>
    <x v="0"/>
    <s v="2016/1724"/>
    <m/>
    <s v="4 Rookstone Road"/>
    <m/>
    <n v="527684"/>
    <n v="171150"/>
    <x v="8"/>
    <d v="2017-03-31T00:00:00"/>
    <d v="2017-10-19T00:00:00"/>
    <n v="0"/>
    <n v="1"/>
    <n v="1"/>
    <n v="1"/>
    <n v="1"/>
    <m/>
    <s v="Alterations including erection of mansard extension to main rear roof and above part of two storey back addition and formation of roof terrace at second floor level with screening in connection with creation of 1 x 1-bedroom flat.  Erection of single-storey side/rear extension and formation of roof terrace above at first floor level."/>
    <s v="PF"/>
    <d v="2016-03-30T00:00:00"/>
    <d v="2016-05-26T00:00:00"/>
    <x v="0"/>
    <s v="Nil"/>
    <m/>
    <s v="BF"/>
    <x v="2"/>
    <x v="0"/>
    <x v="3"/>
    <n v="4.0000001899898104E-3"/>
    <d v="2017-03-31T00:00:00"/>
    <x v="0"/>
    <d v="2017-10-19T00:00:00"/>
    <x v="0"/>
    <s v="P"/>
    <m/>
    <m/>
    <n v="0"/>
    <m/>
    <n v="0"/>
    <m/>
    <n v="0"/>
    <n v="1"/>
    <n v="0"/>
    <n v="0"/>
    <n v="0"/>
    <n v="0"/>
    <n v="0"/>
    <n v="0"/>
    <n v="1"/>
    <n v="0"/>
    <n v="0"/>
    <n v="0"/>
    <n v="0"/>
    <n v="0"/>
    <n v="0"/>
    <n v="0"/>
    <n v="0"/>
    <n v="0"/>
    <n v="0"/>
    <n v="0"/>
    <n v="0"/>
    <n v="0"/>
    <n v="0"/>
    <n v="0"/>
    <n v="0"/>
    <n v="0"/>
    <n v="0"/>
    <n v="0"/>
    <s v="East"/>
    <x v="0"/>
    <x v="0"/>
    <x v="1"/>
    <x v="0"/>
    <x v="0"/>
    <x v="0"/>
    <m/>
    <x v="0"/>
    <s v="Y"/>
    <n v="7"/>
    <m/>
    <n v="1"/>
    <n v="0"/>
    <n v="0"/>
    <n v="0"/>
    <n v="0"/>
    <n v="0"/>
    <n v="0"/>
    <n v="0"/>
    <n v="0"/>
    <n v="0"/>
    <n v="0"/>
    <n v="0"/>
    <n v="0"/>
    <n v="0"/>
    <n v="0"/>
    <n v="0"/>
    <n v="0"/>
    <n v="0"/>
    <n v="0"/>
    <n v="0"/>
    <n v="0"/>
    <n v="0"/>
    <n v="0"/>
  </r>
  <r>
    <n v="6137"/>
    <x v="0"/>
    <s v="2015/6464"/>
    <m/>
    <s v="19 Rosenau Crescent"/>
    <m/>
    <n v="527520"/>
    <n v="176602"/>
    <x v="1"/>
    <d v="2017-03-31T00:00:00"/>
    <d v="2017-12-12T00:00:00"/>
    <n v="2"/>
    <n v="1"/>
    <n v="-1"/>
    <n v="1"/>
    <n v="-1"/>
    <m/>
    <s v="Conversion of two flats (1 x 1-bedroom and 1 x 3-bedroom) into single family dwelling (1 x 4-bedroom).  Excavation to enlarge basement including formation of rear lightwell. Erection of single-storey side/rear extension. Formation of roof terrace at first floor level with railings.  Erection of dormer extension to main rear roof."/>
    <s v="PF"/>
    <d v="2015-11-26T00:00:00"/>
    <d v="2016-03-18T00:00:00"/>
    <x v="0"/>
    <s v="Nil"/>
    <m/>
    <s v="BF"/>
    <x v="4"/>
    <x v="0"/>
    <x v="7"/>
    <n v="1.30000002682209E-2"/>
    <d v="2017-03-31T00:00:00"/>
    <x v="0"/>
    <d v="2017-12-12T00:00:00"/>
    <x v="0"/>
    <s v="P"/>
    <m/>
    <m/>
    <n v="0"/>
    <m/>
    <n v="0"/>
    <m/>
    <n v="0"/>
    <n v="-1"/>
    <n v="0"/>
    <n v="-1"/>
    <n v="1"/>
    <n v="0"/>
    <n v="0"/>
    <n v="0"/>
    <n v="-1"/>
    <n v="0"/>
    <n v="-1"/>
    <n v="0"/>
    <n v="0"/>
    <n v="0"/>
    <n v="0"/>
    <n v="0"/>
    <n v="0"/>
    <n v="0"/>
    <n v="1"/>
    <n v="0"/>
    <n v="0"/>
    <n v="0"/>
    <n v="0"/>
    <n v="0"/>
    <n v="0"/>
    <n v="0"/>
    <n v="0"/>
    <n v="0"/>
    <s v="East"/>
    <x v="0"/>
    <x v="0"/>
    <x v="1"/>
    <x v="0"/>
    <x v="0"/>
    <x v="0"/>
    <m/>
    <x v="0"/>
    <s v="Y"/>
    <n v="7"/>
    <m/>
    <n v="-1"/>
    <n v="0"/>
    <n v="0"/>
    <n v="0"/>
    <n v="0"/>
    <n v="0"/>
    <n v="0"/>
    <n v="0"/>
    <n v="0"/>
    <n v="0"/>
    <n v="0"/>
    <n v="0"/>
    <n v="0"/>
    <n v="0"/>
    <n v="0"/>
    <n v="0"/>
    <n v="0"/>
    <n v="0"/>
    <n v="0"/>
    <n v="0"/>
    <n v="0"/>
    <n v="0"/>
    <n v="0"/>
  </r>
  <r>
    <n v="6139"/>
    <x v="0"/>
    <s v="2016/0319"/>
    <m/>
    <s v="Putney Lower Common Cemetery Chapels, Lower Richmond Road"/>
    <m/>
    <n v="522866"/>
    <n v="175962"/>
    <x v="13"/>
    <d v="2016-10-24T00:00:00"/>
    <d v="2017-08-01T00:00:00"/>
    <n v="0"/>
    <n v="1"/>
    <n v="1"/>
    <n v="1"/>
    <n v="1"/>
    <m/>
    <s v="Change of use from Cemetery Chapel (Sui Generis) to a single bedroom residential dwelling (Class C3) including external and internal refurbishment and alterations."/>
    <s v="PF"/>
    <d v="2016-01-21T00:00:00"/>
    <d v="2016-03-17T00:00:00"/>
    <x v="0"/>
    <s v="Nil"/>
    <m/>
    <s v="BF"/>
    <x v="3"/>
    <x v="0"/>
    <x v="5"/>
    <n v="8.0000003799796104E-3"/>
    <d v="2016-10-24T00:00:00"/>
    <x v="0"/>
    <d v="2017-08-01T00:00:00"/>
    <x v="0"/>
    <s v="P"/>
    <m/>
    <m/>
    <n v="0"/>
    <m/>
    <n v="0"/>
    <m/>
    <n v="0"/>
    <n v="1"/>
    <n v="0"/>
    <n v="0"/>
    <n v="0"/>
    <n v="0"/>
    <n v="0"/>
    <n v="0"/>
    <n v="1"/>
    <n v="0"/>
    <n v="0"/>
    <n v="0"/>
    <n v="0"/>
    <n v="0"/>
    <n v="0"/>
    <n v="0"/>
    <n v="0"/>
    <n v="0"/>
    <n v="0"/>
    <n v="0"/>
    <n v="0"/>
    <n v="0"/>
    <n v="0"/>
    <n v="0"/>
    <n v="0"/>
    <n v="0"/>
    <n v="0"/>
    <n v="0"/>
    <s v="West"/>
    <x v="0"/>
    <x v="0"/>
    <x v="1"/>
    <x v="0"/>
    <x v="0"/>
    <x v="0"/>
    <m/>
    <x v="0"/>
    <s v="Y"/>
    <n v="7"/>
    <m/>
    <n v="1"/>
    <n v="0"/>
    <n v="0"/>
    <n v="0"/>
    <n v="0"/>
    <n v="0"/>
    <n v="0"/>
    <n v="0"/>
    <n v="0"/>
    <n v="0"/>
    <n v="0"/>
    <n v="0"/>
    <n v="0"/>
    <n v="0"/>
    <n v="0"/>
    <n v="0"/>
    <n v="0"/>
    <n v="0"/>
    <n v="0"/>
    <n v="0"/>
    <n v="0"/>
    <n v="0"/>
    <n v="0"/>
  </r>
  <r>
    <n v="6140"/>
    <x v="0"/>
    <s v="2015/6263"/>
    <m/>
    <s v="53 Melrose Road"/>
    <m/>
    <n v="524679"/>
    <n v="174038"/>
    <x v="16"/>
    <d v="2017-03-31T00:00:00"/>
    <d v="2018-03-31T00:00:00"/>
    <n v="0"/>
    <n v="1"/>
    <n v="1"/>
    <n v="1"/>
    <n v="1"/>
    <m/>
    <s v="Change of use from office (Class B1a) to one residential unit (Class C3) including erection of single-storey rear extension."/>
    <s v="PF"/>
    <d v="2015-11-16T00:00:00"/>
    <d v="2016-03-24T00:00:00"/>
    <x v="0"/>
    <s v="Nil"/>
    <m/>
    <s v="BF"/>
    <x v="4"/>
    <x v="0"/>
    <x v="9"/>
    <n v="2.60000005364418E-2"/>
    <d v="2017-03-31T00:00:00"/>
    <x v="0"/>
    <d v="2018-03-31T00:00:00"/>
    <x v="0"/>
    <s v="P"/>
    <m/>
    <m/>
    <n v="0"/>
    <m/>
    <n v="0"/>
    <m/>
    <n v="0"/>
    <n v="0"/>
    <n v="0"/>
    <n v="1"/>
    <n v="0"/>
    <n v="0"/>
    <n v="0"/>
    <n v="0"/>
    <n v="0"/>
    <n v="0"/>
    <n v="0"/>
    <n v="0"/>
    <n v="0"/>
    <n v="0"/>
    <n v="0"/>
    <n v="0"/>
    <n v="0"/>
    <n v="1"/>
    <n v="0"/>
    <n v="0"/>
    <n v="0"/>
    <n v="0"/>
    <n v="0"/>
    <n v="0"/>
    <n v="0"/>
    <n v="0"/>
    <n v="0"/>
    <n v="0"/>
    <s v="West"/>
    <x v="0"/>
    <x v="0"/>
    <x v="1"/>
    <x v="0"/>
    <x v="0"/>
    <x v="0"/>
    <m/>
    <x v="0"/>
    <s v="Y"/>
    <n v="7"/>
    <m/>
    <n v="1"/>
    <n v="0"/>
    <n v="0"/>
    <n v="0"/>
    <n v="0"/>
    <n v="0"/>
    <n v="0"/>
    <n v="0"/>
    <n v="0"/>
    <n v="0"/>
    <n v="0"/>
    <n v="0"/>
    <n v="0"/>
    <n v="0"/>
    <n v="0"/>
    <n v="0"/>
    <n v="0"/>
    <n v="0"/>
    <n v="0"/>
    <n v="0"/>
    <n v="0"/>
    <n v="0"/>
    <n v="0"/>
  </r>
  <r>
    <n v="6143"/>
    <x v="0"/>
    <s v="2015/7548"/>
    <m/>
    <s v="63a East Hill"/>
    <m/>
    <n v="526209"/>
    <n v="174730"/>
    <x v="17"/>
    <d v="2016-04-25T00:00:00"/>
    <d v="2017-07-28T00:00:00"/>
    <n v="1"/>
    <n v="2"/>
    <n v="1"/>
    <n v="2"/>
    <n v="1"/>
    <m/>
    <s v="Alterations in connection with the use of the upper floors as 1 x two-bedroom &amp; 1 x three-bedroom flats including  erection of mansard  roof extension to main rear roof; erection of first and second floor rear extension with use of part of the flat roof at third floor level as a terrace with 1.7m high screen surround."/>
    <s v="PF"/>
    <d v="2016-02-01T00:00:00"/>
    <d v="2016-03-24T00:00:00"/>
    <x v="0"/>
    <s v="Nil"/>
    <m/>
    <s v="BF"/>
    <x v="4"/>
    <x v="0"/>
    <x v="10"/>
    <n v="8.9999996125698107E-3"/>
    <d v="2016-04-25T00:00:00"/>
    <x v="0"/>
    <d v="2017-07-28T00:00:00"/>
    <x v="0"/>
    <s v="P"/>
    <m/>
    <m/>
    <n v="0"/>
    <m/>
    <n v="0"/>
    <m/>
    <n v="0"/>
    <n v="0"/>
    <n v="1"/>
    <n v="0"/>
    <n v="0"/>
    <n v="0"/>
    <n v="0"/>
    <n v="0"/>
    <n v="0"/>
    <n v="1"/>
    <n v="0"/>
    <n v="0"/>
    <n v="0"/>
    <n v="0"/>
    <n v="0"/>
    <n v="0"/>
    <n v="0"/>
    <n v="0"/>
    <n v="0"/>
    <n v="0"/>
    <n v="0"/>
    <n v="0"/>
    <n v="0"/>
    <n v="0"/>
    <n v="0"/>
    <n v="0"/>
    <n v="0"/>
    <n v="0"/>
    <s v="West"/>
    <x v="0"/>
    <x v="0"/>
    <x v="1"/>
    <x v="0"/>
    <x v="0"/>
    <x v="0"/>
    <m/>
    <x v="0"/>
    <s v="Y"/>
    <n v="7"/>
    <m/>
    <n v="1"/>
    <n v="0"/>
    <n v="0"/>
    <n v="0"/>
    <n v="0"/>
    <n v="0"/>
    <n v="0"/>
    <n v="0"/>
    <n v="0"/>
    <n v="0"/>
    <n v="0"/>
    <n v="0"/>
    <n v="0"/>
    <n v="0"/>
    <n v="0"/>
    <n v="0"/>
    <n v="0"/>
    <n v="0"/>
    <n v="0"/>
    <n v="0"/>
    <n v="0"/>
    <n v="0"/>
    <n v="0"/>
  </r>
  <r>
    <n v="6146"/>
    <x v="0"/>
    <s v="2017/0982"/>
    <m/>
    <s v="234a Battersea Park Road"/>
    <m/>
    <n v="527723"/>
    <n v="176500"/>
    <x v="2"/>
    <d v="2017-10-10T00:00:00"/>
    <d v="2018-03-31T00:00:00"/>
    <n v="1"/>
    <n v="2"/>
    <n v="1"/>
    <n v="2"/>
    <n v="1"/>
    <m/>
    <s v="Alterations including erection of mansard roof extension to main rear roof (with french doors and safety railings), erection of extension over two storey back addition and formation of roof terrace over with 1.7m screen surround, and erection of single-storey side extension in connection with conversion into 2 x 2-bedroom flats."/>
    <s v="PF"/>
    <d v="2017-02-28T00:00:00"/>
    <d v="2017-07-31T00:00:00"/>
    <x v="1"/>
    <s v="Nil"/>
    <m/>
    <s v="BF"/>
    <x v="1"/>
    <x v="0"/>
    <x v="10"/>
    <n v="8.0000003799796104E-3"/>
    <d v="2017-10-10T00:00:00"/>
    <x v="1"/>
    <d v="2018-03-31T00:00:00"/>
    <x v="0"/>
    <s v="P"/>
    <m/>
    <m/>
    <n v="0"/>
    <m/>
    <n v="0"/>
    <m/>
    <n v="0"/>
    <n v="0"/>
    <n v="2"/>
    <n v="-1"/>
    <n v="0"/>
    <n v="0"/>
    <n v="0"/>
    <n v="0"/>
    <n v="0"/>
    <n v="2"/>
    <n v="-1"/>
    <n v="0"/>
    <n v="0"/>
    <n v="0"/>
    <n v="0"/>
    <n v="0"/>
    <n v="0"/>
    <n v="0"/>
    <n v="0"/>
    <n v="0"/>
    <n v="0"/>
    <n v="0"/>
    <n v="0"/>
    <n v="0"/>
    <n v="0"/>
    <n v="0"/>
    <n v="0"/>
    <n v="0"/>
    <s v="East"/>
    <x v="0"/>
    <x v="0"/>
    <x v="1"/>
    <x v="0"/>
    <x v="0"/>
    <x v="0"/>
    <m/>
    <x v="0"/>
    <s v="Y"/>
    <n v="7"/>
    <m/>
    <n v="1"/>
    <n v="0"/>
    <n v="0"/>
    <n v="0"/>
    <n v="0"/>
    <n v="0"/>
    <n v="0"/>
    <n v="0"/>
    <n v="0"/>
    <n v="0"/>
    <n v="0"/>
    <n v="0"/>
    <n v="0"/>
    <n v="0"/>
    <n v="0"/>
    <n v="0"/>
    <n v="0"/>
    <n v="0"/>
    <n v="0"/>
    <n v="0"/>
    <n v="0"/>
    <n v="0"/>
    <n v="0"/>
  </r>
  <r>
    <n v="6152"/>
    <x v="0"/>
    <s v="2017/1439"/>
    <m/>
    <s v="Cherwell House, 88 Elmfield Road"/>
    <m/>
    <n v="528379"/>
    <n v="172983"/>
    <x v="3"/>
    <d v="2017-06-23T00:00:00"/>
    <d v="2018-03-23T00:00:00"/>
    <n v="0"/>
    <n v="2"/>
    <n v="2"/>
    <n v="2"/>
    <n v="2"/>
    <m/>
    <s v="Erection of roof extension to create addition floor of accommodation (comprising 2 x 1 bedroom flats) with associated roof terraces, together with the provision of balconies at first, second and third floor levels to east elevation."/>
    <s v="PF"/>
    <d v="2017-03-28T00:00:00"/>
    <d v="2017-05-23T00:00:00"/>
    <x v="1"/>
    <s v="Nil"/>
    <m/>
    <s v="BF"/>
    <x v="2"/>
    <x v="0"/>
    <x v="3"/>
    <n v="1.09999999403954E-2"/>
    <d v="2017-06-23T00:00:00"/>
    <x v="1"/>
    <d v="2018-03-23T00:00:00"/>
    <x v="0"/>
    <s v="P"/>
    <m/>
    <m/>
    <n v="0"/>
    <m/>
    <n v="0"/>
    <m/>
    <n v="0"/>
    <n v="2"/>
    <n v="0"/>
    <n v="0"/>
    <n v="0"/>
    <n v="0"/>
    <n v="0"/>
    <n v="0"/>
    <n v="2"/>
    <n v="0"/>
    <n v="0"/>
    <n v="0"/>
    <n v="0"/>
    <n v="0"/>
    <n v="0"/>
    <n v="0"/>
    <n v="0"/>
    <n v="0"/>
    <n v="0"/>
    <n v="0"/>
    <n v="0"/>
    <n v="0"/>
    <n v="0"/>
    <n v="0"/>
    <n v="0"/>
    <n v="0"/>
    <n v="0"/>
    <n v="0"/>
    <s v="East"/>
    <x v="0"/>
    <x v="0"/>
    <x v="1"/>
    <x v="0"/>
    <x v="0"/>
    <x v="0"/>
    <m/>
    <x v="0"/>
    <s v="Y"/>
    <n v="7"/>
    <m/>
    <n v="2"/>
    <n v="0"/>
    <n v="0"/>
    <n v="0"/>
    <n v="0"/>
    <n v="0"/>
    <n v="0"/>
    <n v="0"/>
    <n v="0"/>
    <n v="0"/>
    <n v="0"/>
    <n v="0"/>
    <n v="0"/>
    <n v="0"/>
    <n v="0"/>
    <n v="0"/>
    <n v="0"/>
    <n v="0"/>
    <n v="0"/>
    <n v="0"/>
    <n v="0"/>
    <n v="0"/>
    <n v="0"/>
  </r>
  <r>
    <n v="6155"/>
    <x v="0"/>
    <s v="2016/4986"/>
    <m/>
    <s v="23 Theatre Street"/>
    <m/>
    <n v="527814"/>
    <n v="175648"/>
    <x v="10"/>
    <d v="2017-03-31T00:00:00"/>
    <d v="2018-01-12T00:00:00"/>
    <n v="0"/>
    <n v="1"/>
    <n v="1"/>
    <n v="1"/>
    <n v="1"/>
    <m/>
    <s v="Loft conversion including erection of three rear dormer roof extensions to create additional  1x1 residential unit."/>
    <s v="PF"/>
    <d v="2016-09-16T00:00:00"/>
    <d v="2016-11-11T00:00:00"/>
    <x v="0"/>
    <s v="Nil"/>
    <m/>
    <s v="BF"/>
    <x v="2"/>
    <x v="0"/>
    <x v="3"/>
    <n v="3.0000000260770299E-3"/>
    <d v="2017-03-31T00:00:00"/>
    <x v="0"/>
    <d v="2018-01-12T00:00:00"/>
    <x v="0"/>
    <s v="P"/>
    <m/>
    <m/>
    <n v="0"/>
    <m/>
    <n v="0"/>
    <m/>
    <n v="0"/>
    <n v="1"/>
    <n v="0"/>
    <n v="0"/>
    <n v="0"/>
    <n v="0"/>
    <n v="0"/>
    <n v="0"/>
    <n v="1"/>
    <n v="0"/>
    <n v="0"/>
    <n v="0"/>
    <n v="0"/>
    <n v="0"/>
    <n v="0"/>
    <n v="0"/>
    <n v="0"/>
    <n v="0"/>
    <n v="0"/>
    <n v="0"/>
    <n v="0"/>
    <n v="0"/>
    <n v="0"/>
    <n v="0"/>
    <n v="0"/>
    <n v="0"/>
    <n v="0"/>
    <n v="0"/>
    <s v="East"/>
    <x v="0"/>
    <x v="0"/>
    <x v="1"/>
    <x v="0"/>
    <x v="0"/>
    <x v="0"/>
    <m/>
    <x v="0"/>
    <s v="Y"/>
    <n v="7"/>
    <m/>
    <n v="1"/>
    <n v="0"/>
    <n v="0"/>
    <n v="0"/>
    <n v="0"/>
    <n v="0"/>
    <n v="0"/>
    <n v="0"/>
    <n v="0"/>
    <n v="0"/>
    <n v="0"/>
    <n v="0"/>
    <n v="0"/>
    <n v="0"/>
    <n v="0"/>
    <n v="0"/>
    <n v="0"/>
    <n v="0"/>
    <n v="0"/>
    <n v="0"/>
    <n v="0"/>
    <n v="0"/>
    <n v="0"/>
  </r>
  <r>
    <n v="6156"/>
    <x v="0"/>
    <s v="2015/6650"/>
    <m/>
    <s v="581 Garratt Lane"/>
    <m/>
    <n v="526138"/>
    <n v="172736"/>
    <x v="18"/>
    <d v="2016-07-26T00:00:00"/>
    <d v="2017-11-21T00:00:00"/>
    <n v="0"/>
    <n v="1"/>
    <n v="1"/>
    <n v="1"/>
    <n v="1"/>
    <m/>
    <s v="Alterations including change of use of part of the ground floor from shop (Class A1) to residential  (Class C3) to provide 1 x two-bedroom flat including erection of single-storey rear/side extension and internal alterations."/>
    <s v="PF"/>
    <d v="2016-03-29T00:00:00"/>
    <d v="2016-04-14T00:00:00"/>
    <x v="0"/>
    <s v="Nil"/>
    <m/>
    <s v="BF"/>
    <x v="4"/>
    <x v="0"/>
    <x v="4"/>
    <n v="6.0000000521540598E-3"/>
    <d v="2016-07-26T00:00:00"/>
    <x v="0"/>
    <d v="2017-11-21T00:00:00"/>
    <x v="0"/>
    <s v="P"/>
    <m/>
    <m/>
    <n v="0"/>
    <m/>
    <n v="0"/>
    <m/>
    <n v="0"/>
    <n v="0"/>
    <n v="1"/>
    <n v="0"/>
    <n v="0"/>
    <n v="0"/>
    <n v="0"/>
    <n v="0"/>
    <n v="0"/>
    <n v="1"/>
    <n v="0"/>
    <n v="0"/>
    <n v="0"/>
    <n v="0"/>
    <n v="0"/>
    <n v="0"/>
    <n v="0"/>
    <n v="0"/>
    <n v="0"/>
    <n v="0"/>
    <n v="0"/>
    <n v="0"/>
    <n v="0"/>
    <n v="0"/>
    <n v="0"/>
    <n v="0"/>
    <n v="0"/>
    <n v="0"/>
    <s v="West"/>
    <x v="0"/>
    <x v="0"/>
    <x v="1"/>
    <x v="0"/>
    <x v="0"/>
    <x v="0"/>
    <m/>
    <x v="0"/>
    <s v="Y"/>
    <n v="7"/>
    <m/>
    <n v="1"/>
    <n v="0"/>
    <n v="0"/>
    <n v="0"/>
    <n v="0"/>
    <n v="0"/>
    <n v="0"/>
    <n v="0"/>
    <n v="0"/>
    <n v="0"/>
    <n v="0"/>
    <n v="0"/>
    <n v="0"/>
    <n v="0"/>
    <n v="0"/>
    <n v="0"/>
    <n v="0"/>
    <n v="0"/>
    <n v="0"/>
    <n v="0"/>
    <n v="0"/>
    <n v="0"/>
    <n v="0"/>
  </r>
  <r>
    <n v="6166"/>
    <x v="0"/>
    <s v="2016/0141"/>
    <m/>
    <s v="958 Garratt Lane"/>
    <m/>
    <n v="527326"/>
    <n v="171532"/>
    <x v="4"/>
    <d v="2016-09-07T00:00:00"/>
    <d v="2017-06-21T00:00:00"/>
    <n v="0"/>
    <n v="1"/>
    <n v="1"/>
    <n v="1"/>
    <n v="1"/>
    <m/>
    <s v="Demolition of existing garage to the rear of 958 Garratt Lane (fronting Garratt Terrace) and construction of a two-storey 2-bedroom house with the subdivision of the garden of 958 Garratt Lane."/>
    <s v="PF"/>
    <d v="2016-01-13T00:00:00"/>
    <d v="2016-03-08T00:00:00"/>
    <x v="0"/>
    <s v="Nil"/>
    <m/>
    <s v="BF"/>
    <x v="0"/>
    <x v="0"/>
    <x v="0"/>
    <n v="2.3000000044703501E-2"/>
    <d v="2016-09-07T00:00:00"/>
    <x v="0"/>
    <d v="2017-06-21T00:00:00"/>
    <x v="0"/>
    <s v="P"/>
    <m/>
    <m/>
    <n v="1"/>
    <m/>
    <n v="0"/>
    <m/>
    <n v="0"/>
    <n v="0"/>
    <n v="1"/>
    <n v="0"/>
    <n v="0"/>
    <n v="0"/>
    <n v="0"/>
    <n v="0"/>
    <n v="0"/>
    <n v="0"/>
    <n v="0"/>
    <n v="0"/>
    <n v="0"/>
    <n v="0"/>
    <n v="0"/>
    <n v="0"/>
    <n v="1"/>
    <n v="0"/>
    <n v="0"/>
    <n v="0"/>
    <n v="0"/>
    <n v="0"/>
    <n v="0"/>
    <n v="0"/>
    <n v="0"/>
    <n v="0"/>
    <n v="0"/>
    <n v="0"/>
    <s v="East"/>
    <x v="0"/>
    <x v="0"/>
    <x v="1"/>
    <x v="0"/>
    <x v="0"/>
    <x v="0"/>
    <m/>
    <x v="0"/>
    <s v="Y"/>
    <n v="1"/>
    <m/>
    <n v="1"/>
    <n v="0"/>
    <n v="0"/>
    <n v="0"/>
    <n v="0"/>
    <n v="0"/>
    <n v="0"/>
    <n v="0"/>
    <n v="0"/>
    <n v="0"/>
    <n v="0"/>
    <n v="0"/>
    <n v="0"/>
    <n v="0"/>
    <n v="0"/>
    <n v="0"/>
    <n v="0"/>
    <n v="0"/>
    <n v="0"/>
    <n v="0"/>
    <n v="0"/>
    <n v="0"/>
    <n v="0"/>
  </r>
  <r>
    <n v="6178"/>
    <x v="0"/>
    <s v="2016/2018"/>
    <m/>
    <s v="125 Roehampton Vale"/>
    <m/>
    <n v="521677"/>
    <n v="172434"/>
    <x v="15"/>
    <d v="2016-10-14T00:00:00"/>
    <d v="2017-12-18T00:00:00"/>
    <n v="1"/>
    <n v="4"/>
    <n v="3"/>
    <n v="4"/>
    <n v="3"/>
    <m/>
    <s v="Erection of a first floor rear and side extension and conversion of the property into 1 x studio, 1 x 2 bedroom and 2 x 3 bedroom flats."/>
    <s v="PF"/>
    <d v="2016-05-10T00:00:00"/>
    <d v="2016-07-05T00:00:00"/>
    <x v="0"/>
    <s v="Nil"/>
    <m/>
    <s v="BF"/>
    <x v="4"/>
    <x v="0"/>
    <x v="8"/>
    <n v="5.4999999701976797E-2"/>
    <d v="2016-10-14T00:00:00"/>
    <x v="0"/>
    <d v="2017-12-18T00:00:00"/>
    <x v="0"/>
    <s v="P"/>
    <m/>
    <m/>
    <n v="0"/>
    <m/>
    <n v="0"/>
    <m/>
    <n v="1"/>
    <n v="0"/>
    <n v="1"/>
    <n v="2"/>
    <n v="-1"/>
    <n v="0"/>
    <n v="0"/>
    <n v="1"/>
    <n v="0"/>
    <n v="1"/>
    <n v="2"/>
    <n v="0"/>
    <n v="0"/>
    <n v="0"/>
    <n v="0"/>
    <n v="0"/>
    <n v="0"/>
    <n v="0"/>
    <n v="-1"/>
    <n v="0"/>
    <n v="0"/>
    <n v="0"/>
    <n v="0"/>
    <n v="0"/>
    <n v="0"/>
    <n v="0"/>
    <n v="0"/>
    <n v="0"/>
    <s v="West"/>
    <x v="0"/>
    <x v="0"/>
    <x v="1"/>
    <x v="0"/>
    <x v="0"/>
    <x v="0"/>
    <m/>
    <x v="0"/>
    <s v="Y"/>
    <n v="7"/>
    <m/>
    <n v="3"/>
    <n v="0"/>
    <n v="0"/>
    <n v="0"/>
    <n v="0"/>
    <n v="0"/>
    <n v="0"/>
    <n v="0"/>
    <n v="0"/>
    <n v="0"/>
    <n v="0"/>
    <n v="0"/>
    <n v="0"/>
    <n v="0"/>
    <n v="0"/>
    <n v="0"/>
    <n v="0"/>
    <n v="0"/>
    <n v="0"/>
    <n v="0"/>
    <n v="0"/>
    <n v="0"/>
    <n v="0"/>
  </r>
  <r>
    <n v="6186"/>
    <x v="0"/>
    <s v="2017/2905"/>
    <m/>
    <s v="65 &amp; 65a, 65 Garratt Terrace"/>
    <m/>
    <n v="527237"/>
    <n v="171543"/>
    <x v="4"/>
    <d v="2017-07-25T00:00:00"/>
    <d v="2018-03-01T00:00:00"/>
    <n v="2"/>
    <n v="1"/>
    <n v="-1"/>
    <n v="1"/>
    <n v="-1"/>
    <m/>
    <s v="Alterations associated with the conversion of the two existing flats into a single 5-bedroom dwellinghouse."/>
    <s v="PF"/>
    <d v="2017-05-30T00:00:00"/>
    <d v="2017-07-25T00:00:00"/>
    <x v="1"/>
    <s v="Nil"/>
    <m/>
    <s v="BF"/>
    <x v="1"/>
    <x v="0"/>
    <x v="7"/>
    <n v="1.4000000432133701E-2"/>
    <d v="2017-07-25T00:00:00"/>
    <x v="1"/>
    <d v="2018-03-01T00:00:00"/>
    <x v="0"/>
    <s v="P"/>
    <m/>
    <m/>
    <n v="0"/>
    <m/>
    <n v="0"/>
    <m/>
    <n v="0"/>
    <n v="-1"/>
    <n v="0"/>
    <n v="-1"/>
    <n v="0"/>
    <n v="1"/>
    <n v="0"/>
    <n v="0"/>
    <n v="-1"/>
    <n v="0"/>
    <n v="-1"/>
    <n v="0"/>
    <n v="0"/>
    <n v="0"/>
    <n v="0"/>
    <n v="0"/>
    <n v="0"/>
    <n v="0"/>
    <n v="0"/>
    <n v="1"/>
    <n v="0"/>
    <n v="0"/>
    <n v="0"/>
    <n v="0"/>
    <n v="0"/>
    <n v="0"/>
    <n v="0"/>
    <n v="0"/>
    <s v="East"/>
    <x v="0"/>
    <x v="0"/>
    <x v="1"/>
    <x v="0"/>
    <x v="0"/>
    <x v="0"/>
    <m/>
    <x v="0"/>
    <s v="Y"/>
    <n v="7"/>
    <m/>
    <n v="-1"/>
    <n v="0"/>
    <n v="0"/>
    <n v="0"/>
    <n v="0"/>
    <n v="0"/>
    <n v="0"/>
    <n v="0"/>
    <n v="0"/>
    <n v="0"/>
    <n v="0"/>
    <n v="0"/>
    <n v="0"/>
    <n v="0"/>
    <n v="0"/>
    <n v="0"/>
    <n v="0"/>
    <n v="0"/>
    <n v="0"/>
    <n v="0"/>
    <n v="0"/>
    <n v="0"/>
    <n v="0"/>
  </r>
  <r>
    <n v="6187"/>
    <x v="0"/>
    <s v="2017/1233"/>
    <m/>
    <s v="4-6, Yukon Road"/>
    <m/>
    <n v="528827"/>
    <n v="173841"/>
    <x v="9"/>
    <d v="2017-07-20T00:00:00"/>
    <d v="2018-03-31T00:00:00"/>
    <n v="0"/>
    <n v="8"/>
    <n v="8"/>
    <n v="8"/>
    <n v="8"/>
    <m/>
    <s v="Alterations and the change of use from office (Class B1a) to residential (Class C3) including erection of a single storey rear extension, erection of mansard roof extension (with balconies to the rear), formation of roof terraces to rear; excavation to create basement; infill of existing archway, formation of refuse and cycle storage in connection with conversion to 2 x 3-bedroom, 2 x 2-bedroom and 4 x studio flats."/>
    <s v="PF"/>
    <d v="2017-03-01T00:00:00"/>
    <d v="2017-05-22T00:00:00"/>
    <x v="1"/>
    <s v="Nil"/>
    <m/>
    <s v="BF"/>
    <x v="4"/>
    <x v="0"/>
    <x v="9"/>
    <n v="2.9999999329447701E-2"/>
    <d v="2017-07-20T00:00:00"/>
    <x v="1"/>
    <d v="2018-03-31T00:00:00"/>
    <x v="0"/>
    <s v="P"/>
    <m/>
    <m/>
    <n v="0"/>
    <m/>
    <n v="0"/>
    <m/>
    <n v="4"/>
    <n v="0"/>
    <n v="2"/>
    <n v="2"/>
    <n v="0"/>
    <n v="0"/>
    <n v="0"/>
    <n v="4"/>
    <n v="0"/>
    <n v="2"/>
    <n v="2"/>
    <n v="0"/>
    <n v="0"/>
    <n v="0"/>
    <n v="0"/>
    <n v="0"/>
    <n v="0"/>
    <n v="0"/>
    <n v="0"/>
    <n v="0"/>
    <n v="0"/>
    <n v="0"/>
    <n v="0"/>
    <n v="0"/>
    <n v="0"/>
    <n v="0"/>
    <n v="0"/>
    <n v="0"/>
    <s v="East"/>
    <x v="0"/>
    <x v="0"/>
    <x v="1"/>
    <x v="0"/>
    <x v="0"/>
    <x v="0"/>
    <m/>
    <x v="0"/>
    <s v="Y"/>
    <n v="7"/>
    <m/>
    <n v="8"/>
    <n v="0"/>
    <n v="0"/>
    <n v="0"/>
    <n v="0"/>
    <n v="0"/>
    <n v="0"/>
    <n v="0"/>
    <n v="0"/>
    <n v="0"/>
    <n v="0"/>
    <n v="0"/>
    <n v="0"/>
    <n v="0"/>
    <n v="0"/>
    <n v="0"/>
    <n v="0"/>
    <n v="0"/>
    <n v="0"/>
    <n v="0"/>
    <n v="0"/>
    <n v="0"/>
    <n v="0"/>
  </r>
  <r>
    <n v="6190"/>
    <x v="0"/>
    <s v="2016/1120"/>
    <m/>
    <s v="5a, Ramsden Road"/>
    <m/>
    <n v="528499"/>
    <n v="173373"/>
    <x v="11"/>
    <d v="2017-03-31T00:00:00"/>
    <d v="2017-12-12T00:00:00"/>
    <n v="1"/>
    <n v="2"/>
    <n v="1"/>
    <n v="2"/>
    <n v="1"/>
    <m/>
    <s v="Erection of mansard roof extension to main rear roof and conversion of property into 1 x studio and 1 x 2-bedroom flats; installation of replacement windows and installation of rooflights to front roofslope. Enlargement of existing extraction duct."/>
    <s v="PF"/>
    <d v="2016-04-22T00:00:00"/>
    <d v="2016-06-16T00:00:00"/>
    <x v="0"/>
    <s v="Nil"/>
    <m/>
    <s v="BF"/>
    <x v="4"/>
    <x v="0"/>
    <x v="10"/>
    <n v="7.0000002160668399E-3"/>
    <d v="2017-03-31T00:00:00"/>
    <x v="0"/>
    <d v="2017-12-12T00:00:00"/>
    <x v="0"/>
    <s v="P"/>
    <m/>
    <m/>
    <n v="0"/>
    <m/>
    <n v="0"/>
    <m/>
    <n v="1"/>
    <n v="0"/>
    <n v="0"/>
    <n v="0"/>
    <n v="0"/>
    <n v="0"/>
    <n v="0"/>
    <n v="1"/>
    <n v="0"/>
    <n v="0"/>
    <n v="0"/>
    <n v="0"/>
    <n v="0"/>
    <n v="0"/>
    <n v="0"/>
    <n v="0"/>
    <n v="0"/>
    <n v="0"/>
    <n v="0"/>
    <n v="0"/>
    <n v="0"/>
    <n v="0"/>
    <n v="0"/>
    <n v="0"/>
    <n v="0"/>
    <n v="0"/>
    <n v="0"/>
    <n v="0"/>
    <s v="East"/>
    <x v="2"/>
    <x v="0"/>
    <x v="1"/>
    <x v="0"/>
    <x v="0"/>
    <x v="0"/>
    <m/>
    <x v="0"/>
    <s v="Y"/>
    <n v="7"/>
    <m/>
    <n v="1"/>
    <n v="0"/>
    <n v="0"/>
    <n v="0"/>
    <n v="0"/>
    <n v="0"/>
    <n v="0"/>
    <n v="0"/>
    <n v="0"/>
    <n v="0"/>
    <n v="0"/>
    <n v="0"/>
    <n v="0"/>
    <n v="0"/>
    <n v="0"/>
    <n v="0"/>
    <n v="0"/>
    <n v="0"/>
    <n v="0"/>
    <n v="0"/>
    <n v="0"/>
    <n v="0"/>
    <n v="0"/>
  </r>
  <r>
    <n v="6192"/>
    <x v="0"/>
    <s v="2016/0790"/>
    <m/>
    <s v="106c, 106 Mysore Road"/>
    <m/>
    <n v="527973"/>
    <n v="175299"/>
    <x v="10"/>
    <d v="2017-07-20T00:00:00"/>
    <d v="2018-03-31T00:00:00"/>
    <n v="1"/>
    <n v="1"/>
    <n v="0"/>
    <n v="1"/>
    <n v="0"/>
    <m/>
    <s v="Demolition of existing dwelling house and erection of replacement twobedroom dwelling house (with basement and roof terrace)."/>
    <s v="PF"/>
    <d v="2016-02-19T00:00:00"/>
    <d v="2016-06-30T00:00:00"/>
    <x v="0"/>
    <s v="Nil"/>
    <m/>
    <s v="BF"/>
    <x v="0"/>
    <x v="0"/>
    <x v="0"/>
    <n v="3.0000000260770299E-3"/>
    <d v="2017-07-20T00:00:00"/>
    <x v="1"/>
    <d v="2018-03-31T00:00:00"/>
    <x v="0"/>
    <s v="P"/>
    <m/>
    <m/>
    <n v="1"/>
    <m/>
    <n v="0"/>
    <m/>
    <n v="0"/>
    <n v="-1"/>
    <n v="1"/>
    <n v="0"/>
    <n v="0"/>
    <n v="0"/>
    <n v="0"/>
    <n v="0"/>
    <n v="0"/>
    <n v="0"/>
    <n v="0"/>
    <n v="0"/>
    <n v="0"/>
    <n v="0"/>
    <n v="0"/>
    <n v="-1"/>
    <n v="1"/>
    <n v="0"/>
    <n v="0"/>
    <n v="0"/>
    <n v="0"/>
    <n v="0"/>
    <n v="0"/>
    <n v="0"/>
    <n v="0"/>
    <n v="0"/>
    <n v="0"/>
    <n v="0"/>
    <s v="East"/>
    <x v="0"/>
    <x v="0"/>
    <x v="1"/>
    <x v="0"/>
    <x v="0"/>
    <x v="0"/>
    <m/>
    <x v="0"/>
    <s v="Y"/>
    <n v="1"/>
    <m/>
    <n v="0"/>
    <n v="0"/>
    <n v="0"/>
    <n v="0"/>
    <n v="0"/>
    <n v="0"/>
    <n v="0"/>
    <n v="0"/>
    <n v="0"/>
    <n v="0"/>
    <n v="0"/>
    <n v="0"/>
    <n v="0"/>
    <n v="0"/>
    <n v="0"/>
    <n v="0"/>
    <n v="0"/>
    <n v="0"/>
    <n v="0"/>
    <n v="0"/>
    <n v="0"/>
    <n v="0"/>
    <n v="0"/>
  </r>
  <r>
    <n v="6199"/>
    <x v="0"/>
    <s v="2016/0910"/>
    <m/>
    <s v="20 Burstock Road"/>
    <m/>
    <n v="524205"/>
    <n v="175335"/>
    <x v="13"/>
    <d v="2016-08-03T00:00:00"/>
    <d v="2017-11-09T00:00:00"/>
    <n v="2"/>
    <n v="1"/>
    <n v="-1"/>
    <n v="1"/>
    <n v="-1"/>
    <m/>
    <s v="Conversion of flats and bedsits into a single dwelling house including erection of rear roof extension above part of two-storey back addition. Erection of single-storey rear/side extension and first floor rear extension and removal of rear external staircase."/>
    <s v="PF"/>
    <d v="2016-03-10T00:00:00"/>
    <d v="2016-05-12T00:00:00"/>
    <x v="0"/>
    <s v="Nil"/>
    <m/>
    <s v="BF"/>
    <x v="4"/>
    <x v="0"/>
    <x v="7"/>
    <n v="2.8000000864267301E-2"/>
    <d v="2016-08-03T00:00:00"/>
    <x v="0"/>
    <d v="2017-11-09T00:00:00"/>
    <x v="0"/>
    <s v="P"/>
    <m/>
    <m/>
    <n v="0"/>
    <m/>
    <n v="0"/>
    <m/>
    <n v="0"/>
    <n v="-1"/>
    <n v="0"/>
    <n v="0"/>
    <n v="0"/>
    <n v="0"/>
    <n v="0"/>
    <n v="0"/>
    <n v="-1"/>
    <n v="0"/>
    <n v="0"/>
    <n v="-1"/>
    <n v="0"/>
    <n v="0"/>
    <n v="0"/>
    <n v="0"/>
    <n v="0"/>
    <n v="0"/>
    <n v="1"/>
    <n v="0"/>
    <n v="0"/>
    <n v="0"/>
    <n v="0"/>
    <n v="0"/>
    <n v="0"/>
    <n v="0"/>
    <n v="0"/>
    <n v="0"/>
    <s v="West"/>
    <x v="0"/>
    <x v="0"/>
    <x v="1"/>
    <x v="0"/>
    <x v="0"/>
    <x v="0"/>
    <m/>
    <x v="0"/>
    <s v="Y"/>
    <n v="7"/>
    <m/>
    <n v="-1"/>
    <n v="0"/>
    <n v="0"/>
    <n v="0"/>
    <n v="0"/>
    <n v="0"/>
    <n v="0"/>
    <n v="0"/>
    <n v="0"/>
    <n v="0"/>
    <n v="0"/>
    <n v="0"/>
    <n v="0"/>
    <n v="0"/>
    <n v="0"/>
    <n v="0"/>
    <n v="0"/>
    <n v="0"/>
    <n v="0"/>
    <n v="0"/>
    <n v="0"/>
    <n v="0"/>
    <n v="0"/>
  </r>
  <r>
    <n v="6202"/>
    <x v="0"/>
    <s v="2016/1245"/>
    <m/>
    <s v="75 Chestnut Grove"/>
    <m/>
    <n v="528267"/>
    <n v="173503"/>
    <x v="11"/>
    <d v="2016-05-13T00:00:00"/>
    <d v="2017-10-01T00:00:00"/>
    <n v="2"/>
    <n v="1"/>
    <n v="-1"/>
    <n v="1"/>
    <n v="-1"/>
    <m/>
    <s v="Alterations to rear ground floor in connection with change of use of property from two flats to a 4-bedroom house."/>
    <s v="PF"/>
    <d v="2016-03-10T00:00:00"/>
    <d v="2016-05-05T00:00:00"/>
    <x v="0"/>
    <s v="Nil"/>
    <m/>
    <s v="BF"/>
    <x v="1"/>
    <x v="0"/>
    <x v="7"/>
    <n v="1.30000002682209E-2"/>
    <d v="2016-05-13T00:00:00"/>
    <x v="0"/>
    <d v="2017-10-01T00:00:00"/>
    <x v="0"/>
    <s v="P"/>
    <m/>
    <m/>
    <n v="0"/>
    <m/>
    <n v="0"/>
    <m/>
    <n v="0"/>
    <n v="-1"/>
    <n v="0"/>
    <n v="0"/>
    <n v="0"/>
    <n v="0"/>
    <n v="0"/>
    <n v="0"/>
    <n v="-1"/>
    <n v="0"/>
    <n v="0"/>
    <n v="-1"/>
    <n v="0"/>
    <n v="0"/>
    <n v="0"/>
    <n v="0"/>
    <n v="0"/>
    <n v="0"/>
    <n v="1"/>
    <n v="0"/>
    <n v="0"/>
    <n v="0"/>
    <n v="0"/>
    <n v="0"/>
    <n v="0"/>
    <n v="0"/>
    <n v="0"/>
    <n v="0"/>
    <s v="East"/>
    <x v="0"/>
    <x v="0"/>
    <x v="1"/>
    <x v="0"/>
    <x v="0"/>
    <x v="0"/>
    <m/>
    <x v="0"/>
    <s v="Y"/>
    <n v="7"/>
    <m/>
    <n v="-1"/>
    <n v="0"/>
    <n v="0"/>
    <n v="0"/>
    <n v="0"/>
    <n v="0"/>
    <n v="0"/>
    <n v="0"/>
    <n v="0"/>
    <n v="0"/>
    <n v="0"/>
    <n v="0"/>
    <n v="0"/>
    <n v="0"/>
    <n v="0"/>
    <n v="0"/>
    <n v="0"/>
    <n v="0"/>
    <n v="0"/>
    <n v="0"/>
    <n v="0"/>
    <n v="0"/>
    <n v="0"/>
  </r>
  <r>
    <n v="6206"/>
    <x v="0"/>
    <s v="2015/6243"/>
    <m/>
    <s v="45 Lavender Gardens"/>
    <m/>
    <n v="527738"/>
    <n v="175467"/>
    <x v="10"/>
    <d v="2017-03-31T00:00:00"/>
    <d v="2018-03-31T00:00:00"/>
    <n v="3"/>
    <n v="5"/>
    <n v="2"/>
    <n v="5"/>
    <n v="2"/>
    <m/>
    <s v="Erection of single-storey rear extensions and excavation to create enlarged basement including formation of front and rear lightwells (with grille over) and internal alterations to create five self-contained flats."/>
    <s v="RP"/>
    <d v="2015-11-27T00:00:00"/>
    <d v="2016-01-22T00:00:00"/>
    <x v="0"/>
    <s v="APG"/>
    <d v="2016-05-10T00:00:00"/>
    <s v="BF"/>
    <x v="4"/>
    <x v="0"/>
    <x v="10"/>
    <n v="2.9999999329447701E-2"/>
    <d v="2017-03-31T00:00:00"/>
    <x v="0"/>
    <d v="2018-03-31T00:00:00"/>
    <x v="0"/>
    <s v="P"/>
    <m/>
    <m/>
    <n v="0"/>
    <m/>
    <n v="0"/>
    <m/>
    <n v="0"/>
    <n v="0"/>
    <n v="0"/>
    <n v="2"/>
    <n v="0"/>
    <n v="0"/>
    <n v="0"/>
    <n v="0"/>
    <n v="0"/>
    <n v="0"/>
    <n v="2"/>
    <n v="0"/>
    <n v="0"/>
    <n v="0"/>
    <n v="0"/>
    <n v="0"/>
    <n v="0"/>
    <n v="0"/>
    <n v="0"/>
    <n v="0"/>
    <n v="0"/>
    <n v="0"/>
    <n v="0"/>
    <n v="0"/>
    <n v="0"/>
    <n v="0"/>
    <n v="0"/>
    <n v="0"/>
    <s v="East"/>
    <x v="0"/>
    <x v="0"/>
    <x v="1"/>
    <x v="0"/>
    <x v="0"/>
    <x v="0"/>
    <m/>
    <x v="0"/>
    <s v="Y"/>
    <n v="7"/>
    <m/>
    <n v="2"/>
    <n v="0"/>
    <n v="0"/>
    <n v="0"/>
    <n v="0"/>
    <n v="0"/>
    <n v="0"/>
    <n v="0"/>
    <n v="0"/>
    <n v="0"/>
    <n v="0"/>
    <n v="0"/>
    <n v="0"/>
    <n v="0"/>
    <n v="0"/>
    <n v="0"/>
    <n v="0"/>
    <n v="0"/>
    <n v="0"/>
    <n v="0"/>
    <n v="0"/>
    <n v="0"/>
    <n v="0"/>
  </r>
  <r>
    <n v="6217"/>
    <x v="0"/>
    <s v="2016/4474"/>
    <m/>
    <s v="513 Battersea Park Road"/>
    <m/>
    <n v="527469"/>
    <n v="176355"/>
    <x v="2"/>
    <d v="2016-10-05T00:00:00"/>
    <d v="2017-07-12T00:00:00"/>
    <n v="1"/>
    <n v="4"/>
    <n v="3"/>
    <n v="4"/>
    <n v="3"/>
    <m/>
    <s v="Alterations in connection with change of use of ground floor commercial space from shop (Class A1) to financial and professional services (Class A2) and rear store area to residential use (Class C3). Erection of roof extension to create additional storey of accommodation and extensions at first, second floor and third floor, and creation of roof terraces in connection with creation of 2 x 1-bedroom and 2 x 2-bedroom residential units."/>
    <s v="PF"/>
    <d v="2016-08-04T00:00:00"/>
    <d v="2016-11-28T00:00:00"/>
    <x v="0"/>
    <s v="Nil"/>
    <m/>
    <s v="BF"/>
    <x v="4"/>
    <x v="0"/>
    <x v="0"/>
    <n v="8.9999996125698107E-3"/>
    <d v="2016-10-05T00:00:00"/>
    <x v="0"/>
    <d v="2017-07-12T00:00:00"/>
    <x v="0"/>
    <s v="P"/>
    <m/>
    <m/>
    <n v="0"/>
    <m/>
    <n v="0"/>
    <m/>
    <n v="0"/>
    <n v="2"/>
    <n v="1"/>
    <n v="0"/>
    <n v="0"/>
    <n v="0"/>
    <n v="0"/>
    <n v="0"/>
    <n v="2"/>
    <n v="1"/>
    <n v="0"/>
    <n v="0"/>
    <n v="0"/>
    <n v="0"/>
    <n v="0"/>
    <n v="0"/>
    <n v="0"/>
    <n v="0"/>
    <n v="0"/>
    <n v="0"/>
    <n v="0"/>
    <n v="0"/>
    <n v="0"/>
    <n v="0"/>
    <n v="0"/>
    <n v="0"/>
    <n v="0"/>
    <n v="0"/>
    <s v="East"/>
    <x v="0"/>
    <x v="0"/>
    <x v="1"/>
    <x v="0"/>
    <x v="0"/>
    <x v="0"/>
    <m/>
    <x v="0"/>
    <s v="Y"/>
    <n v="7"/>
    <m/>
    <n v="3"/>
    <n v="0"/>
    <n v="0"/>
    <n v="0"/>
    <n v="0"/>
    <n v="0"/>
    <n v="0"/>
    <n v="0"/>
    <n v="0"/>
    <n v="0"/>
    <n v="0"/>
    <n v="0"/>
    <n v="0"/>
    <n v="0"/>
    <n v="0"/>
    <n v="0"/>
    <n v="0"/>
    <n v="0"/>
    <n v="0"/>
    <n v="0"/>
    <n v="0"/>
    <n v="0"/>
    <n v="0"/>
  </r>
  <r>
    <n v="6220"/>
    <x v="0"/>
    <s v="2016/2400"/>
    <m/>
    <s v="4 Skelgill Road"/>
    <m/>
    <n v="524758"/>
    <n v="175113"/>
    <x v="13"/>
    <d v="2016-07-01T00:00:00"/>
    <d v="2018-03-31T00:00:00"/>
    <n v="2"/>
    <n v="1"/>
    <n v="-1"/>
    <n v="1"/>
    <n v="-1"/>
    <m/>
    <s v="Erection of a  single-storey rear/side extension in connection with use as a single dwelling house."/>
    <s v="PF"/>
    <d v="2016-04-26T00:00:00"/>
    <d v="2016-06-16T00:00:00"/>
    <x v="0"/>
    <s v="Nil"/>
    <m/>
    <s v="BF"/>
    <x v="4"/>
    <x v="0"/>
    <x v="7"/>
    <n v="1.4999999664723899E-2"/>
    <d v="2016-07-01T00:00:00"/>
    <x v="0"/>
    <d v="2018-03-31T00:00:00"/>
    <x v="0"/>
    <s v="P"/>
    <m/>
    <m/>
    <n v="0"/>
    <m/>
    <n v="0"/>
    <m/>
    <n v="0"/>
    <n v="-1"/>
    <n v="-1"/>
    <n v="0"/>
    <n v="1"/>
    <n v="0"/>
    <n v="0"/>
    <n v="0"/>
    <n v="-1"/>
    <n v="-1"/>
    <n v="0"/>
    <n v="0"/>
    <n v="0"/>
    <n v="0"/>
    <n v="0"/>
    <n v="0"/>
    <n v="0"/>
    <n v="0"/>
    <n v="1"/>
    <n v="0"/>
    <n v="0"/>
    <n v="0"/>
    <n v="0"/>
    <n v="0"/>
    <n v="0"/>
    <n v="0"/>
    <n v="0"/>
    <n v="0"/>
    <s v="West"/>
    <x v="0"/>
    <x v="0"/>
    <x v="1"/>
    <x v="0"/>
    <x v="0"/>
    <x v="0"/>
    <m/>
    <x v="0"/>
    <s v="Y"/>
    <n v="7"/>
    <m/>
    <n v="-1"/>
    <n v="0"/>
    <n v="0"/>
    <n v="0"/>
    <n v="0"/>
    <n v="0"/>
    <n v="0"/>
    <n v="0"/>
    <n v="0"/>
    <n v="0"/>
    <n v="0"/>
    <n v="0"/>
    <n v="0"/>
    <n v="0"/>
    <n v="0"/>
    <n v="0"/>
    <n v="0"/>
    <n v="0"/>
    <n v="0"/>
    <n v="0"/>
    <n v="0"/>
    <n v="0"/>
    <n v="0"/>
  </r>
  <r>
    <n v="6228"/>
    <x v="0"/>
    <s v="2016/2558"/>
    <m/>
    <s v="12 Gilbey Road"/>
    <m/>
    <n v="527349"/>
    <n v="171441"/>
    <x v="4"/>
    <d v="2016-09-06T00:00:00"/>
    <d v="2017-07-13T00:00:00"/>
    <n v="1"/>
    <n v="3"/>
    <n v="2"/>
    <n v="3"/>
    <n v="2"/>
    <m/>
    <s v="Alterations including erection of single storey side/rear extension and insertion of windows on rear elevation at first and second floor level in connection with conversion of property into 1 x 3-bedroom and 2 x 1-bedroom flats."/>
    <s v="PF"/>
    <d v="2016-05-05T00:00:00"/>
    <d v="2016-06-30T00:00:00"/>
    <x v="0"/>
    <s v="Nil"/>
    <m/>
    <s v="BF"/>
    <x v="4"/>
    <x v="0"/>
    <x v="8"/>
    <n v="1.30000002682209E-2"/>
    <d v="2016-09-06T00:00:00"/>
    <x v="0"/>
    <d v="2017-07-13T00:00:00"/>
    <x v="0"/>
    <s v="P"/>
    <m/>
    <m/>
    <n v="0"/>
    <m/>
    <n v="0"/>
    <m/>
    <n v="1"/>
    <n v="1"/>
    <n v="0"/>
    <n v="1"/>
    <n v="0"/>
    <n v="-1"/>
    <n v="0"/>
    <n v="1"/>
    <n v="1"/>
    <n v="0"/>
    <n v="1"/>
    <n v="0"/>
    <n v="0"/>
    <n v="0"/>
    <n v="0"/>
    <n v="0"/>
    <n v="0"/>
    <n v="0"/>
    <n v="0"/>
    <n v="-1"/>
    <n v="0"/>
    <n v="0"/>
    <n v="0"/>
    <n v="0"/>
    <n v="0"/>
    <n v="0"/>
    <n v="0"/>
    <n v="0"/>
    <s v="East"/>
    <x v="0"/>
    <x v="0"/>
    <x v="1"/>
    <x v="0"/>
    <x v="0"/>
    <x v="0"/>
    <m/>
    <x v="0"/>
    <s v="Y"/>
    <n v="7"/>
    <m/>
    <n v="2"/>
    <n v="0"/>
    <n v="0"/>
    <n v="0"/>
    <n v="0"/>
    <n v="0"/>
    <n v="0"/>
    <n v="0"/>
    <n v="0"/>
    <n v="0"/>
    <n v="0"/>
    <n v="0"/>
    <n v="0"/>
    <n v="0"/>
    <n v="0"/>
    <n v="0"/>
    <n v="0"/>
    <n v="0"/>
    <n v="0"/>
    <n v="0"/>
    <n v="0"/>
    <n v="0"/>
    <n v="0"/>
  </r>
  <r>
    <n v="6235"/>
    <x v="0"/>
    <s v="2016/2601"/>
    <m/>
    <s v="396-398, 396 Garratt Lane"/>
    <m/>
    <n v="526082"/>
    <n v="172867"/>
    <x v="18"/>
    <d v="2017-01-23T00:00:00"/>
    <d v="2017-06-12T00:00:00"/>
    <n v="1"/>
    <n v="3"/>
    <n v="2"/>
    <n v="3"/>
    <n v="2"/>
    <m/>
    <s v="Alterations including change of use from restaurant (Class A3) at ground floor and ancillary accommodation at first and second floors above to part retail unit/office unit (Class A1 / A2) and part residential unit (Class C3) to the rear at ground floor level and seperate residential units above (forming 2 x 1 bedroom flats and 1 x 2 bedroom flat). Associated extensions including erection of rear roof extension to main rear roof (with French doors and safety railings); erection of single-storey rear/side extension and formation of roof terrace at rear first floor level. Installation of new shopfront."/>
    <s v="PF"/>
    <d v="2016-05-09T00:00:00"/>
    <d v="2016-09-27T00:00:00"/>
    <x v="0"/>
    <s v="Nil"/>
    <m/>
    <s v="BF"/>
    <x v="4"/>
    <x v="0"/>
    <x v="5"/>
    <n v="2.8999999165535001E-2"/>
    <d v="2017-01-23T00:00:00"/>
    <x v="0"/>
    <d v="2017-06-12T00:00:00"/>
    <x v="0"/>
    <s v="P"/>
    <m/>
    <m/>
    <n v="0"/>
    <m/>
    <n v="0"/>
    <m/>
    <n v="0"/>
    <n v="2"/>
    <n v="1"/>
    <n v="0"/>
    <n v="-1"/>
    <n v="0"/>
    <n v="0"/>
    <n v="0"/>
    <n v="2"/>
    <n v="1"/>
    <n v="0"/>
    <n v="-1"/>
    <n v="0"/>
    <n v="0"/>
    <n v="0"/>
    <n v="0"/>
    <n v="0"/>
    <n v="0"/>
    <n v="0"/>
    <n v="0"/>
    <n v="0"/>
    <n v="0"/>
    <n v="0"/>
    <n v="0"/>
    <n v="0"/>
    <n v="0"/>
    <n v="0"/>
    <n v="0"/>
    <s v="West"/>
    <x v="0"/>
    <x v="0"/>
    <x v="1"/>
    <x v="0"/>
    <x v="0"/>
    <x v="0"/>
    <m/>
    <x v="0"/>
    <s v="Y"/>
    <n v="7"/>
    <m/>
    <n v="2"/>
    <n v="0"/>
    <n v="0"/>
    <n v="0"/>
    <n v="0"/>
    <n v="0"/>
    <n v="0"/>
    <n v="0"/>
    <n v="0"/>
    <n v="0"/>
    <n v="0"/>
    <n v="0"/>
    <n v="0"/>
    <n v="0"/>
    <n v="0"/>
    <n v="0"/>
    <n v="0"/>
    <n v="0"/>
    <n v="0"/>
    <n v="0"/>
    <n v="0"/>
    <n v="0"/>
    <n v="0"/>
  </r>
  <r>
    <n v="6245"/>
    <x v="0"/>
    <s v="2016/1698"/>
    <m/>
    <s v="505-507, Garratt Lane"/>
    <m/>
    <n v="526018"/>
    <n v="173059"/>
    <x v="18"/>
    <d v="2016-08-03T00:00:00"/>
    <d v="2018-03-31T00:00:00"/>
    <n v="2"/>
    <n v="8"/>
    <n v="6"/>
    <n v="8"/>
    <n v="6"/>
    <m/>
    <s v="Alterations including the excavation to enlarge existing basement, removal of existing roof of no.505 and replacement with new roof at an increased height of 1m at its ridge and 0.3m at its eaves; raising the ridge of no.507 by 1m; erection of rear mansard roof extensions to main roofs, with three dormers; demolition of existing rear additions and erection of part single/ part 2/ part 3-storey rear extensions with first second and third floor roof terrace  and second floor balcony, (including associated safety balustrade/screening); alterations to the existing window openings, together with replacement windows to front elevation of no. 505;  installation of replacement shop frontages, with other alterations to the buildings; in connection with the conversion of the buildings to create 8 flats and the conversion/amalgamation of the existing ground floor commercial units to create one A1, A2 or A3 use class unit (net loss of 1 commercial unit)."/>
    <s v="PF"/>
    <d v="2016-04-20T00:00:00"/>
    <d v="2016-06-15T00:00:00"/>
    <x v="0"/>
    <s v="Nil"/>
    <m/>
    <s v="BF"/>
    <x v="4"/>
    <x v="0"/>
    <x v="4"/>
    <n v="2.0999999716877899E-2"/>
    <d v="2016-08-03T00:00:00"/>
    <x v="0"/>
    <d v="2018-03-31T00:00:00"/>
    <x v="0"/>
    <s v="P"/>
    <m/>
    <m/>
    <n v="0"/>
    <m/>
    <n v="0"/>
    <m/>
    <n v="0"/>
    <n v="5"/>
    <n v="3"/>
    <n v="0"/>
    <n v="-2"/>
    <n v="0"/>
    <n v="0"/>
    <n v="0"/>
    <n v="5"/>
    <n v="3"/>
    <n v="0"/>
    <n v="-2"/>
    <n v="0"/>
    <n v="0"/>
    <n v="0"/>
    <n v="0"/>
    <n v="0"/>
    <n v="0"/>
    <n v="0"/>
    <n v="0"/>
    <n v="0"/>
    <n v="0"/>
    <n v="0"/>
    <n v="0"/>
    <n v="0"/>
    <n v="0"/>
    <n v="0"/>
    <n v="0"/>
    <s v="West"/>
    <x v="0"/>
    <x v="0"/>
    <x v="1"/>
    <x v="0"/>
    <x v="0"/>
    <x v="0"/>
    <m/>
    <x v="0"/>
    <s v="Y"/>
    <n v="7"/>
    <m/>
    <n v="6"/>
    <n v="0"/>
    <n v="0"/>
    <n v="0"/>
    <n v="0"/>
    <n v="0"/>
    <n v="0"/>
    <n v="0"/>
    <n v="0"/>
    <n v="0"/>
    <n v="0"/>
    <n v="0"/>
    <n v="0"/>
    <n v="0"/>
    <n v="0"/>
    <n v="0"/>
    <n v="0"/>
    <n v="0"/>
    <n v="0"/>
    <n v="0"/>
    <n v="0"/>
    <n v="0"/>
    <n v="0"/>
  </r>
  <r>
    <n v="6245"/>
    <x v="0"/>
    <s v="2017/1824"/>
    <m/>
    <s v="505-507, Garratt Lane"/>
    <m/>
    <n v="526018"/>
    <n v="173059"/>
    <x v="18"/>
    <d v="2016-08-03T00:00:00"/>
    <d v="2018-03-31T00:00:00"/>
    <n v="2"/>
    <n v="2"/>
    <n v="0"/>
    <n v="2"/>
    <n v="0"/>
    <m/>
    <s v="Alterations including the excavation to enlarge existing basement, removal of existing roof of no.505 and replacement with new roof at an increased height of 1m at its ridge and 0.3m at its eaves; raising the ridge of no.507 by 1m; erection of rear mansard roof extensions to main roofs, with three dormers; demolition of existing rear additions and erection of part single/ part 2/ part 3-storey rear extensions with first second and third floor roof terrace and second floor balcony, (including associated safety balustrade/screening); alterations to the existing window openings, together with replacement windows to front elevation of no. 505; installation of replacement shop frontages, with other alterations to the buildings; in connection with the conversion of the buildings to create 8 flats and the conversion/amalgamation of the existing ground floor commercial units to create one A1, A2 or A3 use class unit (net loss of 1 commercial unit).  (Amendments to planning permission 15/06/2016 ref 2016/1698 to include new window openings to the flank wall of 507 at first and second floor level, insertion of rooflight in side mansard slope to flank of 507, to allow conversion of 2 x 1 bedroom units to 2 x2 bedroom units, reconfiguration and positioning of rear dormer windows and extract flue for ground floor commercial unit.)"/>
    <s v="PF"/>
    <d v="2017-04-12T00:00:00"/>
    <d v="2017-06-07T00:00:00"/>
    <x v="1"/>
    <s v="Nil"/>
    <m/>
    <s v="BF"/>
    <x v="2"/>
    <x v="0"/>
    <x v="3"/>
    <n v="1.2000000104308101E-2"/>
    <d v="2016-08-03T00:00:00"/>
    <x v="0"/>
    <d v="2018-03-31T00:00:00"/>
    <x v="0"/>
    <s v="P"/>
    <m/>
    <m/>
    <n v="0"/>
    <m/>
    <n v="0"/>
    <m/>
    <n v="0"/>
    <n v="-2"/>
    <n v="2"/>
    <n v="0"/>
    <n v="0"/>
    <n v="0"/>
    <n v="0"/>
    <n v="0"/>
    <n v="-2"/>
    <n v="2"/>
    <n v="0"/>
    <n v="0"/>
    <n v="0"/>
    <n v="0"/>
    <n v="0"/>
    <n v="0"/>
    <n v="0"/>
    <n v="0"/>
    <n v="0"/>
    <n v="0"/>
    <n v="0"/>
    <n v="0"/>
    <n v="0"/>
    <n v="0"/>
    <n v="0"/>
    <n v="0"/>
    <n v="0"/>
    <n v="0"/>
    <s v="West"/>
    <x v="0"/>
    <x v="0"/>
    <x v="1"/>
    <x v="0"/>
    <x v="0"/>
    <x v="0"/>
    <m/>
    <x v="0"/>
    <s v="Y"/>
    <n v="7"/>
    <m/>
    <n v="0"/>
    <n v="0"/>
    <n v="0"/>
    <n v="0"/>
    <n v="0"/>
    <n v="0"/>
    <n v="0"/>
    <n v="0"/>
    <n v="0"/>
    <n v="0"/>
    <n v="0"/>
    <n v="0"/>
    <n v="0"/>
    <n v="0"/>
    <n v="0"/>
    <n v="0"/>
    <n v="0"/>
    <n v="0"/>
    <n v="0"/>
    <n v="0"/>
    <n v="0"/>
    <n v="0"/>
    <n v="0"/>
  </r>
  <r>
    <n v="6246"/>
    <x v="0"/>
    <s v="2016/1705"/>
    <m/>
    <s v="187 Merton road"/>
    <m/>
    <n v="525229"/>
    <n v="173893"/>
    <x v="5"/>
    <d v="2016-11-01T00:00:00"/>
    <d v="2017-04-26T00:00:00"/>
    <n v="1"/>
    <n v="2"/>
    <n v="1"/>
    <n v="3"/>
    <n v="2"/>
    <m/>
    <s v="Alterations including erection of roof extension to main rear roof and above two-storey back addition; erection of first floor rear extension to main building; erection of part single, part two-storey rear/side extension to rear garage building connecting it to the main building; creation of first floor roof terrace enclosed by railings. Works in connection with proposed use of upper floors of main building as 2 flats ( 1x2 and 1x1 bedroom) accessed from Merton Road, and use of rear part as 1x1 bedroom maisonette accessed from Coliston Passage. Provision of associated cycle and refuse storage at front and rear."/>
    <s v="PF"/>
    <d v="2016-03-30T00:00:00"/>
    <d v="2016-06-20T00:00:00"/>
    <x v="0"/>
    <s v="Nil"/>
    <m/>
    <s v="BF"/>
    <x v="4"/>
    <x v="0"/>
    <x v="10"/>
    <n v="4.0000001899898104E-3"/>
    <d v="2016-11-01T00:00:00"/>
    <x v="0"/>
    <d v="2017-04-26T00:00:00"/>
    <x v="0"/>
    <s v="P"/>
    <m/>
    <m/>
    <n v="0"/>
    <m/>
    <n v="0"/>
    <m/>
    <n v="0"/>
    <n v="1"/>
    <n v="1"/>
    <n v="-1"/>
    <n v="0"/>
    <n v="0"/>
    <n v="0"/>
    <n v="0"/>
    <n v="1"/>
    <n v="1"/>
    <n v="-1"/>
    <n v="0"/>
    <n v="0"/>
    <n v="0"/>
    <n v="0"/>
    <n v="0"/>
    <n v="0"/>
    <n v="0"/>
    <n v="0"/>
    <n v="0"/>
    <n v="0"/>
    <n v="0"/>
    <n v="0"/>
    <n v="0"/>
    <n v="0"/>
    <n v="0"/>
    <n v="0"/>
    <n v="0"/>
    <s v="West"/>
    <x v="0"/>
    <x v="0"/>
    <x v="1"/>
    <x v="0"/>
    <x v="0"/>
    <x v="0"/>
    <m/>
    <x v="0"/>
    <s v="Y"/>
    <n v="7"/>
    <m/>
    <n v="1"/>
    <n v="0"/>
    <n v="0"/>
    <n v="0"/>
    <n v="0"/>
    <n v="0"/>
    <n v="0"/>
    <n v="0"/>
    <n v="0"/>
    <n v="0"/>
    <n v="0"/>
    <n v="0"/>
    <n v="0"/>
    <n v="0"/>
    <n v="0"/>
    <n v="0"/>
    <n v="0"/>
    <n v="0"/>
    <n v="0"/>
    <n v="0"/>
    <n v="0"/>
    <n v="0"/>
    <n v="0"/>
  </r>
  <r>
    <n v="6246"/>
    <x v="0"/>
    <s v="2016/1705"/>
    <m/>
    <s v="187 Merton road"/>
    <m/>
    <n v="525229"/>
    <n v="173893"/>
    <x v="5"/>
    <d v="2016-11-01T00:00:00"/>
    <d v="2017-04-26T00:00:00"/>
    <n v="0"/>
    <n v="1"/>
    <n v="1"/>
    <n v="3"/>
    <n v="2"/>
    <m/>
    <s v="Alterations including erection of roof extension to main rear roof and above two-storey back addition; erection of first floor rear extension to main building; erection of part single, part two-storey rear/side extension to rear garage building connecting it to the main building; creation of first floor roof terrace enclosed by railings. Works in connection with proposed use of upper floors of main building as 2 flats ( 1x2 and 1x1 bedroom) accessed from Merton Road, and use of rear part as 1x1 bedroom maisonette accessed from Coliston Passage. Provision of associated cycle and refuse storage at front and rear."/>
    <s v="PF"/>
    <d v="2016-03-30T00:00:00"/>
    <d v="2016-06-20T00:00:00"/>
    <x v="0"/>
    <s v="Nil"/>
    <m/>
    <s v="BF"/>
    <x v="4"/>
    <x v="0"/>
    <x v="5"/>
    <n v="2.0000000949949E-3"/>
    <d v="2016-11-01T00:00:00"/>
    <x v="0"/>
    <d v="2017-04-26T00:00:00"/>
    <x v="0"/>
    <s v="P"/>
    <m/>
    <m/>
    <n v="0"/>
    <m/>
    <n v="0"/>
    <m/>
    <n v="0"/>
    <n v="1"/>
    <n v="0"/>
    <n v="0"/>
    <n v="0"/>
    <n v="0"/>
    <n v="0"/>
    <n v="0"/>
    <n v="1"/>
    <n v="0"/>
    <n v="0"/>
    <n v="0"/>
    <n v="0"/>
    <n v="0"/>
    <n v="0"/>
    <n v="0"/>
    <n v="0"/>
    <n v="0"/>
    <n v="0"/>
    <n v="0"/>
    <n v="0"/>
    <n v="0"/>
    <n v="0"/>
    <n v="0"/>
    <n v="0"/>
    <n v="0"/>
    <n v="0"/>
    <n v="0"/>
    <s v="West"/>
    <x v="0"/>
    <x v="0"/>
    <x v="1"/>
    <x v="0"/>
    <x v="0"/>
    <x v="0"/>
    <m/>
    <x v="0"/>
    <s v="Y"/>
    <n v="7"/>
    <m/>
    <n v="1"/>
    <n v="0"/>
    <n v="0"/>
    <n v="0"/>
    <n v="0"/>
    <n v="0"/>
    <n v="0"/>
    <n v="0"/>
    <n v="0"/>
    <n v="0"/>
    <n v="0"/>
    <n v="0"/>
    <n v="0"/>
    <n v="0"/>
    <n v="0"/>
    <n v="0"/>
    <n v="0"/>
    <n v="0"/>
    <n v="0"/>
    <n v="0"/>
    <n v="0"/>
    <n v="0"/>
    <n v="0"/>
  </r>
  <r>
    <n v="6248"/>
    <x v="0"/>
    <s v="2016/1869"/>
    <m/>
    <s v="193B, 193 Latchmere Road"/>
    <m/>
    <n v="527778"/>
    <n v="175659"/>
    <x v="10"/>
    <d v="2016-11-02T00:00:00"/>
    <d v="2017-09-20T00:00:00"/>
    <n v="0"/>
    <n v="1"/>
    <n v="1"/>
    <n v="1"/>
    <n v="1"/>
    <m/>
    <s v="Erection of mansard roof extension to main rear roof (with french doors and safety balustrade) and above part of two-storey back addition including formation of roof terrace with 1.7m high safety balustrade surround to create 1 x 2-bedroom unit."/>
    <s v="PF"/>
    <d v="2016-04-15T00:00:00"/>
    <d v="2016-06-30T00:00:00"/>
    <x v="0"/>
    <s v="Nil"/>
    <m/>
    <s v="BF"/>
    <x v="2"/>
    <x v="0"/>
    <x v="3"/>
    <n v="4.9999998882412902E-3"/>
    <d v="2016-11-02T00:00:00"/>
    <x v="0"/>
    <d v="2017-09-20T00:00:00"/>
    <x v="0"/>
    <s v="P"/>
    <m/>
    <m/>
    <n v="0"/>
    <m/>
    <n v="0"/>
    <m/>
    <n v="0"/>
    <n v="0"/>
    <n v="1"/>
    <n v="0"/>
    <n v="0"/>
    <n v="0"/>
    <n v="0"/>
    <n v="0"/>
    <n v="0"/>
    <n v="1"/>
    <n v="0"/>
    <n v="0"/>
    <n v="0"/>
    <n v="0"/>
    <n v="0"/>
    <n v="0"/>
    <n v="0"/>
    <n v="0"/>
    <n v="0"/>
    <n v="0"/>
    <n v="0"/>
    <n v="0"/>
    <n v="0"/>
    <n v="0"/>
    <n v="0"/>
    <n v="0"/>
    <n v="0"/>
    <n v="0"/>
    <s v="East"/>
    <x v="0"/>
    <x v="0"/>
    <x v="1"/>
    <x v="0"/>
    <x v="0"/>
    <x v="0"/>
    <m/>
    <x v="0"/>
    <s v="Y"/>
    <n v="7"/>
    <m/>
    <n v="1"/>
    <n v="0"/>
    <n v="0"/>
    <n v="0"/>
    <n v="0"/>
    <n v="0"/>
    <n v="0"/>
    <n v="0"/>
    <n v="0"/>
    <n v="0"/>
    <n v="0"/>
    <n v="0"/>
    <n v="0"/>
    <n v="0"/>
    <n v="0"/>
    <n v="0"/>
    <n v="0"/>
    <n v="0"/>
    <n v="0"/>
    <n v="0"/>
    <n v="0"/>
    <n v="0"/>
    <n v="0"/>
  </r>
  <r>
    <n v="6252"/>
    <x v="0"/>
    <s v="2016/1863"/>
    <m/>
    <s v="Flat A, 182 Battersea Park road"/>
    <m/>
    <n v="527845"/>
    <n v="176573"/>
    <x v="2"/>
    <d v="2016-07-27T00:00:00"/>
    <d v="2017-04-03T00:00:00"/>
    <n v="1"/>
    <n v="2"/>
    <n v="1"/>
    <n v="2"/>
    <n v="1"/>
    <m/>
    <s v="Alterations including erection of mansard roof extension to main rear roof and conversion of the upper floor flat to 1 x 1-bedroom and 1 x 2-bedroom flat."/>
    <s v="PF"/>
    <d v="2016-05-16T00:00:00"/>
    <d v="2016-07-11T00:00:00"/>
    <x v="0"/>
    <s v="Nil"/>
    <m/>
    <s v="BF"/>
    <x v="4"/>
    <x v="0"/>
    <x v="10"/>
    <n v="7.0000002160668399E-3"/>
    <d v="2016-07-27T00:00:00"/>
    <x v="0"/>
    <d v="2017-04-03T00:00:00"/>
    <x v="0"/>
    <s v="P"/>
    <m/>
    <m/>
    <n v="0"/>
    <m/>
    <n v="0"/>
    <m/>
    <n v="0"/>
    <n v="1"/>
    <n v="1"/>
    <n v="-1"/>
    <n v="0"/>
    <n v="0"/>
    <n v="0"/>
    <n v="0"/>
    <n v="1"/>
    <n v="1"/>
    <n v="-1"/>
    <n v="0"/>
    <n v="0"/>
    <n v="0"/>
    <n v="0"/>
    <n v="0"/>
    <n v="0"/>
    <n v="0"/>
    <n v="0"/>
    <n v="0"/>
    <n v="0"/>
    <n v="0"/>
    <n v="0"/>
    <n v="0"/>
    <n v="0"/>
    <n v="0"/>
    <n v="0"/>
    <n v="0"/>
    <s v="East"/>
    <x v="0"/>
    <x v="0"/>
    <x v="1"/>
    <x v="0"/>
    <x v="0"/>
    <x v="0"/>
    <m/>
    <x v="0"/>
    <s v="Y"/>
    <n v="7"/>
    <m/>
    <n v="1"/>
    <n v="0"/>
    <n v="0"/>
    <n v="0"/>
    <n v="0"/>
    <n v="0"/>
    <n v="0"/>
    <n v="0"/>
    <n v="0"/>
    <n v="0"/>
    <n v="0"/>
    <n v="0"/>
    <n v="0"/>
    <n v="0"/>
    <n v="0"/>
    <n v="0"/>
    <n v="0"/>
    <n v="0"/>
    <n v="0"/>
    <n v="0"/>
    <n v="0"/>
    <n v="0"/>
    <n v="0"/>
  </r>
  <r>
    <n v="6253"/>
    <x v="0"/>
    <s v="2016/2718"/>
    <m/>
    <s v="14a and 14b, Chetwode Road"/>
    <m/>
    <n v="528027"/>
    <n v="172478"/>
    <x v="11"/>
    <d v="2017-03-31T00:00:00"/>
    <d v="2018-02-20T00:00:00"/>
    <n v="2"/>
    <n v="3"/>
    <n v="1"/>
    <n v="3"/>
    <n v="1"/>
    <m/>
    <s v="Alterations including erection of mansard roof extension to main rear roof and raise ridge of back addition by 0.5m in connection with converison of upper flat into 2 x 1-bedroom flats. Erection of single-storey rear/side extension in connection with the conversion of the ground floor flat into 1 x 3-bedroom flat and associated landscaping, and provision of 3 bin stores in front garden."/>
    <s v="PF"/>
    <d v="2016-05-12T00:00:00"/>
    <d v="2016-07-07T00:00:00"/>
    <x v="0"/>
    <s v="Nil"/>
    <m/>
    <s v="BF"/>
    <x v="4"/>
    <x v="0"/>
    <x v="10"/>
    <n v="1.4999999664723899E-2"/>
    <d v="2017-03-31T00:00:00"/>
    <x v="0"/>
    <d v="2018-02-20T00:00:00"/>
    <x v="0"/>
    <s v="P"/>
    <m/>
    <m/>
    <n v="0"/>
    <m/>
    <n v="0"/>
    <m/>
    <n v="0"/>
    <n v="1"/>
    <n v="-1"/>
    <n v="1"/>
    <n v="0"/>
    <n v="0"/>
    <n v="0"/>
    <n v="0"/>
    <n v="1"/>
    <n v="-1"/>
    <n v="1"/>
    <n v="0"/>
    <n v="0"/>
    <n v="0"/>
    <n v="0"/>
    <n v="0"/>
    <n v="0"/>
    <n v="0"/>
    <n v="0"/>
    <n v="0"/>
    <n v="0"/>
    <n v="0"/>
    <n v="0"/>
    <n v="0"/>
    <n v="0"/>
    <n v="0"/>
    <n v="0"/>
    <n v="0"/>
    <s v="East"/>
    <x v="0"/>
    <x v="0"/>
    <x v="1"/>
    <x v="0"/>
    <x v="0"/>
    <x v="0"/>
    <m/>
    <x v="0"/>
    <s v="Y"/>
    <n v="7"/>
    <m/>
    <n v="1"/>
    <n v="0"/>
    <n v="0"/>
    <n v="0"/>
    <n v="0"/>
    <n v="0"/>
    <n v="0"/>
    <n v="0"/>
    <n v="0"/>
    <n v="0"/>
    <n v="0"/>
    <n v="0"/>
    <n v="0"/>
    <n v="0"/>
    <n v="0"/>
    <n v="0"/>
    <n v="0"/>
    <n v="0"/>
    <n v="0"/>
    <n v="0"/>
    <n v="0"/>
    <n v="0"/>
    <n v="0"/>
  </r>
  <r>
    <n v="6271"/>
    <x v="0"/>
    <s v="2016/3344"/>
    <m/>
    <s v="Unit 10 Mandeville Court, 142 Battersea Park Road"/>
    <m/>
    <n v="528068"/>
    <n v="176644"/>
    <x v="6"/>
    <d v="2016-09-22T00:00:00"/>
    <d v="2017-09-15T00:00:00"/>
    <n v="0"/>
    <n v="1"/>
    <n v="1"/>
    <n v="1"/>
    <n v="1"/>
    <m/>
    <s v="Determination as to whether prior approval is required for change of use of office from (Class B1a) to residential (Class C3) to provide 1 x 2-bedroom flats."/>
    <s v="PAG"/>
    <d v="2016-06-07T00:00:00"/>
    <d v="2016-08-02T00:00:00"/>
    <x v="0"/>
    <s v="Nil"/>
    <m/>
    <s v="BF"/>
    <x v="3"/>
    <x v="0"/>
    <x v="9"/>
    <n v="2.70000007003546E-2"/>
    <d v="2016-09-22T00:00:00"/>
    <x v="0"/>
    <d v="2017-09-15T00:00:00"/>
    <x v="0"/>
    <s v="P"/>
    <m/>
    <m/>
    <n v="0"/>
    <m/>
    <n v="0"/>
    <m/>
    <n v="0"/>
    <n v="0"/>
    <n v="1"/>
    <n v="0"/>
    <n v="0"/>
    <n v="0"/>
    <n v="0"/>
    <n v="0"/>
    <n v="0"/>
    <n v="1"/>
    <n v="0"/>
    <n v="0"/>
    <n v="0"/>
    <n v="0"/>
    <n v="0"/>
    <n v="0"/>
    <n v="0"/>
    <n v="0"/>
    <n v="0"/>
    <n v="0"/>
    <n v="0"/>
    <n v="0"/>
    <n v="0"/>
    <n v="0"/>
    <n v="0"/>
    <n v="0"/>
    <n v="0"/>
    <n v="0"/>
    <s v="East"/>
    <x v="0"/>
    <x v="0"/>
    <x v="1"/>
    <x v="0"/>
    <x v="0"/>
    <x v="0"/>
    <m/>
    <x v="0"/>
    <s v="Y"/>
    <n v="7"/>
    <m/>
    <n v="1"/>
    <n v="0"/>
    <n v="0"/>
    <n v="0"/>
    <n v="0"/>
    <n v="0"/>
    <n v="0"/>
    <n v="0"/>
    <n v="0"/>
    <n v="0"/>
    <n v="0"/>
    <n v="0"/>
    <n v="0"/>
    <n v="0"/>
    <n v="0"/>
    <n v="0"/>
    <n v="0"/>
    <n v="0"/>
    <n v="0"/>
    <n v="0"/>
    <n v="0"/>
    <n v="0"/>
    <n v="0"/>
  </r>
  <r>
    <n v="6281"/>
    <x v="0"/>
    <s v="2017/0425"/>
    <m/>
    <s v="32 Malbrook Road"/>
    <m/>
    <n v="522932"/>
    <n v="175036"/>
    <x v="7"/>
    <m/>
    <d v="2018-03-31T00:00:00"/>
    <n v="0"/>
    <n v="1"/>
    <n v="1"/>
    <n v="1"/>
    <n v="1"/>
    <m/>
    <s v="Erection of a single-storey static caravan for use as a self-contained dwelling (Class C3) in rear garden for a temporary period of 24 months."/>
    <s v="PF"/>
    <d v="2017-02-02T00:00:00"/>
    <d v="2017-03-30T00:00:00"/>
    <x v="0"/>
    <s v="Nil"/>
    <m/>
    <s v="Gdn"/>
    <x v="0"/>
    <x v="0"/>
    <x v="0"/>
    <n v="4.9999998882412902E-3"/>
    <m/>
    <x v="0"/>
    <d v="2018-03-31T00:00:00"/>
    <x v="0"/>
    <s v="P"/>
    <m/>
    <m/>
    <n v="0"/>
    <m/>
    <n v="0"/>
    <m/>
    <n v="0"/>
    <n v="0"/>
    <n v="1"/>
    <n v="0"/>
    <n v="0"/>
    <n v="0"/>
    <n v="0"/>
    <n v="0"/>
    <n v="0"/>
    <n v="0"/>
    <n v="0"/>
    <n v="0"/>
    <n v="0"/>
    <n v="0"/>
    <n v="0"/>
    <n v="0"/>
    <n v="1"/>
    <n v="0"/>
    <n v="0"/>
    <n v="0"/>
    <n v="0"/>
    <n v="0"/>
    <n v="0"/>
    <n v="0"/>
    <n v="0"/>
    <n v="0"/>
    <n v="0"/>
    <n v="0"/>
    <s v="West"/>
    <x v="0"/>
    <x v="0"/>
    <x v="1"/>
    <x v="0"/>
    <x v="0"/>
    <x v="0"/>
    <m/>
    <x v="0"/>
    <s v="Y"/>
    <n v="1"/>
    <m/>
    <n v="1"/>
    <n v="0"/>
    <n v="0"/>
    <n v="0"/>
    <n v="0"/>
    <n v="0"/>
    <n v="0"/>
    <n v="0"/>
    <n v="0"/>
    <n v="0"/>
    <n v="0"/>
    <n v="0"/>
    <n v="0"/>
    <n v="0"/>
    <n v="0"/>
    <n v="0"/>
    <n v="0"/>
    <n v="0"/>
    <n v="0"/>
    <n v="0"/>
    <n v="0"/>
    <n v="0"/>
    <n v="0"/>
  </r>
  <r>
    <n v="6288"/>
    <x v="0"/>
    <s v="2016/4742"/>
    <m/>
    <s v="27 Southolm Street"/>
    <m/>
    <n v="528742"/>
    <n v="176723"/>
    <x v="6"/>
    <d v="2017-01-06T00:00:00"/>
    <d v="2017-07-28T00:00:00"/>
    <n v="1"/>
    <n v="0"/>
    <n v="-1"/>
    <n v="0"/>
    <n v="-1"/>
    <m/>
    <s v="Erection of three-storey rear extension and replacement sash windows in UPVC in connection with use of property as a House of Multiple Occupation - 7 rooms (Class Sui Generis)."/>
    <s v="PF"/>
    <d v="2016-08-09T00:00:00"/>
    <d v="2016-10-04T00:00:00"/>
    <x v="0"/>
    <s v="Nil"/>
    <m/>
    <s v="BF"/>
    <x v="4"/>
    <x v="0"/>
    <x v="8"/>
    <n v="8.0000003799796104E-3"/>
    <d v="2017-01-06T00:00:00"/>
    <x v="0"/>
    <d v="2017-07-28T00:00:00"/>
    <x v="0"/>
    <s v="P"/>
    <m/>
    <m/>
    <n v="0"/>
    <m/>
    <n v="0"/>
    <m/>
    <n v="0"/>
    <n v="0"/>
    <n v="0"/>
    <n v="0"/>
    <n v="0"/>
    <n v="-1"/>
    <n v="0"/>
    <n v="0"/>
    <n v="0"/>
    <n v="0"/>
    <n v="0"/>
    <n v="0"/>
    <n v="0"/>
    <n v="0"/>
    <n v="0"/>
    <n v="0"/>
    <n v="0"/>
    <n v="0"/>
    <n v="0"/>
    <n v="-1"/>
    <n v="0"/>
    <n v="0"/>
    <n v="0"/>
    <n v="0"/>
    <n v="0"/>
    <n v="0"/>
    <n v="0"/>
    <n v="0"/>
    <s v="East"/>
    <x v="0"/>
    <x v="0"/>
    <x v="1"/>
    <x v="0"/>
    <x v="0"/>
    <x v="0"/>
    <m/>
    <x v="0"/>
    <s v="Y"/>
    <n v="7"/>
    <m/>
    <n v="-1"/>
    <n v="0"/>
    <n v="0"/>
    <n v="0"/>
    <n v="0"/>
    <n v="0"/>
    <n v="0"/>
    <n v="0"/>
    <n v="0"/>
    <n v="0"/>
    <n v="0"/>
    <n v="0"/>
    <n v="0"/>
    <n v="0"/>
    <n v="0"/>
    <n v="0"/>
    <n v="0"/>
    <n v="0"/>
    <n v="0"/>
    <n v="0"/>
    <n v="0"/>
    <n v="0"/>
    <n v="0"/>
  </r>
  <r>
    <n v="6301"/>
    <x v="0"/>
    <s v="2016/3845"/>
    <m/>
    <s v="19-24 Elmfield Mansions, Elmfield Road"/>
    <m/>
    <n v="528407"/>
    <n v="172922"/>
    <x v="3"/>
    <d v="2017-01-19T00:00:00"/>
    <d v="2017-05-03T00:00:00"/>
    <n v="0"/>
    <n v="2"/>
    <n v="2"/>
    <n v="2"/>
    <n v="2"/>
    <m/>
    <s v="Erection of rear mansard roof extension to main rear roof and above part of rear addition to create a 2 x2-bedroom flats; formation of roof terrace above two-storey back addition with 1.7m high screen surround."/>
    <s v="PF"/>
    <d v="2016-06-30T00:00:00"/>
    <d v="2016-08-25T00:00:00"/>
    <x v="0"/>
    <s v="Nil"/>
    <m/>
    <s v="BF"/>
    <x v="2"/>
    <x v="0"/>
    <x v="3"/>
    <n v="1.2000000104308101E-2"/>
    <d v="2017-01-19T00:00:00"/>
    <x v="0"/>
    <d v="2017-05-03T00:00:00"/>
    <x v="0"/>
    <s v="P"/>
    <m/>
    <m/>
    <n v="0"/>
    <m/>
    <n v="0"/>
    <m/>
    <n v="0"/>
    <n v="0"/>
    <n v="2"/>
    <n v="0"/>
    <n v="0"/>
    <n v="0"/>
    <n v="0"/>
    <n v="0"/>
    <n v="0"/>
    <n v="2"/>
    <n v="0"/>
    <n v="0"/>
    <n v="0"/>
    <n v="0"/>
    <n v="0"/>
    <n v="0"/>
    <n v="0"/>
    <n v="0"/>
    <n v="0"/>
    <n v="0"/>
    <n v="0"/>
    <n v="0"/>
    <n v="0"/>
    <n v="0"/>
    <n v="0"/>
    <n v="0"/>
    <n v="0"/>
    <n v="0"/>
    <s v="East"/>
    <x v="0"/>
    <x v="0"/>
    <x v="1"/>
    <x v="0"/>
    <x v="0"/>
    <x v="0"/>
    <m/>
    <x v="0"/>
    <s v="Y"/>
    <n v="7"/>
    <m/>
    <n v="2"/>
    <n v="0"/>
    <n v="0"/>
    <n v="0"/>
    <n v="0"/>
    <n v="0"/>
    <n v="0"/>
    <n v="0"/>
    <n v="0"/>
    <n v="0"/>
    <n v="0"/>
    <n v="0"/>
    <n v="0"/>
    <n v="0"/>
    <n v="0"/>
    <n v="0"/>
    <n v="0"/>
    <n v="0"/>
    <n v="0"/>
    <n v="0"/>
    <n v="0"/>
    <n v="0"/>
    <n v="0"/>
  </r>
  <r>
    <n v="6309"/>
    <x v="0"/>
    <s v="2017/0883"/>
    <m/>
    <s v="164 East Hill"/>
    <m/>
    <n v="526019"/>
    <n v="174719"/>
    <x v="0"/>
    <d v="2017-03-31T00:00:00"/>
    <d v="2017-11-14T00:00:00"/>
    <n v="0"/>
    <n v="4"/>
    <n v="4"/>
    <n v="4"/>
    <n v="4"/>
    <m/>
    <s v="Alterations including the erection of two dormer roof extensions to main rear roof; part three, part four storey (including basement) rear/side extension including formation of rear roof terrace with 1.5m high surround at second floor level; provision of cycle and refuse storage in rear garden in connection with use as 3 x 2 and 1 x 3 bedroom flats."/>
    <s v="PF"/>
    <d v="2017-02-15T00:00:00"/>
    <d v="2017-05-17T00:00:00"/>
    <x v="1"/>
    <s v="Nil"/>
    <m/>
    <s v="BF"/>
    <x v="4"/>
    <x v="0"/>
    <x v="5"/>
    <n v="1.7999999225139601E-2"/>
    <d v="2017-03-31T00:00:00"/>
    <x v="0"/>
    <d v="2017-11-14T00:00:00"/>
    <x v="0"/>
    <s v="P"/>
    <m/>
    <m/>
    <n v="0"/>
    <m/>
    <n v="0"/>
    <m/>
    <n v="0"/>
    <n v="0"/>
    <n v="3"/>
    <n v="1"/>
    <n v="0"/>
    <n v="0"/>
    <n v="0"/>
    <n v="0"/>
    <n v="0"/>
    <n v="3"/>
    <n v="1"/>
    <n v="0"/>
    <n v="0"/>
    <n v="0"/>
    <n v="0"/>
    <n v="0"/>
    <n v="0"/>
    <n v="0"/>
    <n v="0"/>
    <n v="0"/>
    <n v="0"/>
    <n v="0"/>
    <n v="0"/>
    <n v="0"/>
    <n v="0"/>
    <n v="0"/>
    <n v="0"/>
    <n v="0"/>
    <s v="West"/>
    <x v="0"/>
    <x v="0"/>
    <x v="1"/>
    <x v="0"/>
    <x v="0"/>
    <x v="0"/>
    <m/>
    <x v="0"/>
    <s v="Y"/>
    <n v="7"/>
    <m/>
    <n v="4"/>
    <n v="0"/>
    <n v="0"/>
    <n v="0"/>
    <n v="0"/>
    <n v="0"/>
    <n v="0"/>
    <n v="0"/>
    <n v="0"/>
    <n v="0"/>
    <n v="0"/>
    <n v="0"/>
    <n v="0"/>
    <n v="0"/>
    <n v="0"/>
    <n v="0"/>
    <n v="0"/>
    <n v="0"/>
    <n v="0"/>
    <n v="0"/>
    <n v="0"/>
    <n v="0"/>
    <n v="0"/>
  </r>
  <r>
    <n v="6310"/>
    <x v="0"/>
    <s v="2016/4038"/>
    <m/>
    <s v="248 Mitcham Lane"/>
    <m/>
    <n v="528972"/>
    <n v="170658"/>
    <x v="12"/>
    <d v="2016-03-09T00:00:00"/>
    <d v="2017-07-03T00:00:00"/>
    <n v="1"/>
    <n v="3"/>
    <n v="2"/>
    <n v="3"/>
    <n v="2"/>
    <m/>
    <s v="Alterations and extensions in connection with the conversion of dwelling into 3 x flats (1 x 1-bedroom, 1 x 2-bedroom and 1 x 3-bedroom)."/>
    <s v="PF"/>
    <d v="2016-07-11T00:00:00"/>
    <d v="2016-09-05T00:00:00"/>
    <x v="0"/>
    <s v="Nil"/>
    <m/>
    <s v="BF"/>
    <x v="4"/>
    <x v="0"/>
    <x v="8"/>
    <n v="1.7000000923872001E-2"/>
    <d v="2016-03-09T00:00:00"/>
    <x v="0"/>
    <d v="2017-07-03T00:00:00"/>
    <x v="0"/>
    <s v="P"/>
    <m/>
    <m/>
    <n v="1"/>
    <m/>
    <n v="0"/>
    <m/>
    <n v="0"/>
    <n v="1"/>
    <n v="1"/>
    <n v="1"/>
    <n v="-1"/>
    <n v="0"/>
    <n v="0"/>
    <n v="0"/>
    <n v="1"/>
    <n v="1"/>
    <n v="1"/>
    <n v="0"/>
    <n v="0"/>
    <n v="0"/>
    <n v="0"/>
    <n v="0"/>
    <n v="0"/>
    <n v="0"/>
    <n v="-1"/>
    <n v="0"/>
    <n v="0"/>
    <n v="0"/>
    <n v="0"/>
    <n v="0"/>
    <n v="0"/>
    <n v="0"/>
    <n v="0"/>
    <n v="0"/>
    <s v="East"/>
    <x v="0"/>
    <x v="0"/>
    <x v="1"/>
    <x v="0"/>
    <x v="0"/>
    <x v="0"/>
    <m/>
    <x v="0"/>
    <s v="Y"/>
    <n v="7"/>
    <m/>
    <n v="2"/>
    <n v="0"/>
    <n v="0"/>
    <n v="0"/>
    <n v="0"/>
    <n v="0"/>
    <n v="0"/>
    <n v="0"/>
    <n v="0"/>
    <n v="0"/>
    <n v="0"/>
    <n v="0"/>
    <n v="0"/>
    <n v="0"/>
    <n v="0"/>
    <n v="0"/>
    <n v="0"/>
    <n v="0"/>
    <n v="0"/>
    <n v="0"/>
    <n v="0"/>
    <n v="0"/>
    <n v="0"/>
  </r>
  <r>
    <n v="6313"/>
    <x v="0"/>
    <s v="2016/4321"/>
    <m/>
    <s v="Unit 15 Mandeville Courtyard, 142 Battersea Park Road"/>
    <m/>
    <n v="528068"/>
    <n v="176657"/>
    <x v="6"/>
    <d v="2017-01-20T00:00:00"/>
    <d v="2017-10-09T00:00:00"/>
    <n v="0"/>
    <n v="2"/>
    <n v="2"/>
    <n v="2"/>
    <n v="2"/>
    <m/>
    <s v="Determination as to whether prior approval is required for change of use of office  from (Class B1a) to 2 x 1-bedroom residential units(Class C3)."/>
    <s v="PAG"/>
    <d v="2016-07-26T00:00:00"/>
    <d v="2016-09-20T00:00:00"/>
    <x v="0"/>
    <s v="Nil"/>
    <m/>
    <s v="BF"/>
    <x v="3"/>
    <x v="0"/>
    <x v="9"/>
    <n v="5.4000001400709201E-2"/>
    <d v="2017-01-20T00:00:00"/>
    <x v="0"/>
    <d v="2017-10-09T00:00:00"/>
    <x v="0"/>
    <s v="P"/>
    <m/>
    <m/>
    <n v="0"/>
    <m/>
    <n v="0"/>
    <m/>
    <n v="2"/>
    <n v="0"/>
    <n v="0"/>
    <n v="0"/>
    <n v="0"/>
    <n v="0"/>
    <n v="0"/>
    <n v="2"/>
    <n v="0"/>
    <n v="0"/>
    <n v="0"/>
    <n v="0"/>
    <n v="0"/>
    <n v="0"/>
    <n v="0"/>
    <n v="0"/>
    <n v="0"/>
    <n v="0"/>
    <n v="0"/>
    <n v="0"/>
    <n v="0"/>
    <n v="0"/>
    <n v="0"/>
    <n v="0"/>
    <n v="0"/>
    <n v="0"/>
    <n v="0"/>
    <n v="0"/>
    <s v="East"/>
    <x v="0"/>
    <x v="0"/>
    <x v="1"/>
    <x v="0"/>
    <x v="0"/>
    <x v="0"/>
    <m/>
    <x v="0"/>
    <s v="Y"/>
    <n v="7"/>
    <m/>
    <n v="2"/>
    <n v="0"/>
    <n v="0"/>
    <n v="0"/>
    <n v="0"/>
    <n v="0"/>
    <n v="0"/>
    <n v="0"/>
    <n v="0"/>
    <n v="0"/>
    <n v="0"/>
    <n v="0"/>
    <n v="0"/>
    <n v="0"/>
    <n v="0"/>
    <n v="0"/>
    <n v="0"/>
    <n v="0"/>
    <n v="0"/>
    <n v="0"/>
    <n v="0"/>
    <n v="0"/>
    <n v="0"/>
  </r>
  <r>
    <n v="6327"/>
    <x v="0"/>
    <s v="2016/4671"/>
    <m/>
    <s v="23 Balham High Road"/>
    <m/>
    <n v="528751"/>
    <n v="173670"/>
    <x v="9"/>
    <d v="2016-12-22T00:00:00"/>
    <d v="2017-11-13T00:00:00"/>
    <n v="0"/>
    <n v="1"/>
    <n v="1"/>
    <n v="1"/>
    <n v="1"/>
    <m/>
    <s v="Determination as to whether prior approval is required for change of use of rear of unit from financial and professional services (Class A2) to 1 x 1-bedroom flat (Class C3) and external alterations."/>
    <s v="PAG"/>
    <d v="2016-08-11T00:00:00"/>
    <d v="2016-10-06T00:00:00"/>
    <x v="0"/>
    <s v="Nil"/>
    <m/>
    <s v="BF"/>
    <x v="3"/>
    <x v="0"/>
    <x v="9"/>
    <n v="6.0000000521540598E-3"/>
    <d v="2016-12-22T00:00:00"/>
    <x v="0"/>
    <d v="2017-11-13T00:00:00"/>
    <x v="0"/>
    <s v="P"/>
    <m/>
    <m/>
    <n v="0"/>
    <m/>
    <n v="0"/>
    <m/>
    <n v="0"/>
    <n v="1"/>
    <n v="0"/>
    <n v="0"/>
    <n v="0"/>
    <n v="0"/>
    <n v="0"/>
    <n v="0"/>
    <n v="1"/>
    <n v="0"/>
    <n v="0"/>
    <n v="0"/>
    <n v="0"/>
    <n v="0"/>
    <n v="0"/>
    <n v="0"/>
    <n v="0"/>
    <n v="0"/>
    <n v="0"/>
    <n v="0"/>
    <n v="0"/>
    <n v="0"/>
    <n v="0"/>
    <n v="0"/>
    <n v="0"/>
    <n v="0"/>
    <n v="0"/>
    <n v="0"/>
    <s v="East"/>
    <x v="2"/>
    <x v="0"/>
    <x v="1"/>
    <x v="0"/>
    <x v="0"/>
    <x v="0"/>
    <m/>
    <x v="0"/>
    <s v="Y"/>
    <n v="7"/>
    <m/>
    <n v="1"/>
    <n v="0"/>
    <n v="0"/>
    <n v="0"/>
    <n v="0"/>
    <n v="0"/>
    <n v="0"/>
    <n v="0"/>
    <n v="0"/>
    <n v="0"/>
    <n v="0"/>
    <n v="0"/>
    <n v="0"/>
    <n v="0"/>
    <n v="0"/>
    <n v="0"/>
    <n v="0"/>
    <n v="0"/>
    <n v="0"/>
    <n v="0"/>
    <n v="0"/>
    <n v="0"/>
    <n v="0"/>
  </r>
  <r>
    <n v="6328"/>
    <x v="0"/>
    <s v="2016/4636"/>
    <m/>
    <s v="132a, 132 West Hill"/>
    <m/>
    <n v="524433"/>
    <n v="174351"/>
    <x v="16"/>
    <d v="2017-03-31T00:00:00"/>
    <d v="2018-03-31T00:00:00"/>
    <n v="1"/>
    <n v="7"/>
    <n v="6"/>
    <n v="7"/>
    <n v="6"/>
    <m/>
    <s v="Demolition of the existing dwelling and erection of three-storey (plus basement) building to provide 4 x 2-bedroom and 3 x 1-bedroom flats with associated landscaping, cycle storage and refuse storage."/>
    <s v="PF"/>
    <d v="2016-08-04T00:00:00"/>
    <d v="2016-11-17T00:00:00"/>
    <x v="0"/>
    <s v="Nil"/>
    <m/>
    <s v="BF"/>
    <x v="0"/>
    <x v="0"/>
    <x v="0"/>
    <n v="5.0000000745058101E-2"/>
    <d v="2017-03-31T00:00:00"/>
    <x v="0"/>
    <d v="2018-03-31T00:00:00"/>
    <x v="0"/>
    <s v="P"/>
    <m/>
    <m/>
    <n v="7"/>
    <m/>
    <n v="0"/>
    <m/>
    <n v="0"/>
    <n v="3"/>
    <n v="4"/>
    <n v="0"/>
    <n v="-1"/>
    <n v="0"/>
    <n v="0"/>
    <n v="0"/>
    <n v="3"/>
    <n v="4"/>
    <n v="0"/>
    <n v="0"/>
    <n v="0"/>
    <n v="0"/>
    <n v="0"/>
    <n v="0"/>
    <n v="0"/>
    <n v="0"/>
    <n v="-1"/>
    <n v="0"/>
    <n v="0"/>
    <n v="0"/>
    <n v="0"/>
    <n v="0"/>
    <n v="0"/>
    <n v="0"/>
    <n v="0"/>
    <n v="0"/>
    <s v="West"/>
    <x v="0"/>
    <x v="0"/>
    <x v="1"/>
    <x v="0"/>
    <x v="0"/>
    <x v="0"/>
    <m/>
    <x v="0"/>
    <s v="Y"/>
    <n v="1"/>
    <m/>
    <n v="6"/>
    <n v="0"/>
    <n v="0"/>
    <n v="0"/>
    <n v="0"/>
    <n v="0"/>
    <n v="0"/>
    <n v="0"/>
    <n v="0"/>
    <n v="0"/>
    <n v="0"/>
    <n v="0"/>
    <n v="0"/>
    <n v="0"/>
    <n v="0"/>
    <n v="0"/>
    <n v="0"/>
    <n v="0"/>
    <n v="0"/>
    <n v="0"/>
    <n v="0"/>
    <n v="0"/>
    <n v="0"/>
  </r>
  <r>
    <n v="6329"/>
    <x v="0"/>
    <s v="2016/4498"/>
    <m/>
    <s v="156 Church Lane"/>
    <m/>
    <n v="528483"/>
    <n v="171459"/>
    <x v="8"/>
    <d v="2017-03-31T00:00:00"/>
    <d v="2018-01-11T00:00:00"/>
    <n v="1"/>
    <n v="3"/>
    <n v="2"/>
    <n v="3"/>
    <n v="2"/>
    <m/>
    <s v="Conversion of single dwelling house into 3no self contained flats ( 1 x 3 bedroom, 1 x 2 bedroom and 1 x 1 bedroom)"/>
    <s v="PF"/>
    <d v="2016-08-01T00:00:00"/>
    <d v="2016-09-26T00:00:00"/>
    <x v="0"/>
    <s v="Nil"/>
    <m/>
    <s v="BF"/>
    <x v="1"/>
    <x v="0"/>
    <x v="8"/>
    <n v="1.4000000432133701E-2"/>
    <d v="2017-03-31T00:00:00"/>
    <x v="0"/>
    <d v="2018-01-11T00:00:00"/>
    <x v="0"/>
    <s v="P"/>
    <m/>
    <m/>
    <n v="0"/>
    <m/>
    <n v="0"/>
    <m/>
    <n v="0"/>
    <n v="1"/>
    <n v="1"/>
    <n v="1"/>
    <n v="0"/>
    <n v="-1"/>
    <n v="0"/>
    <n v="0"/>
    <n v="1"/>
    <n v="1"/>
    <n v="1"/>
    <n v="0"/>
    <n v="0"/>
    <n v="0"/>
    <n v="0"/>
    <n v="0"/>
    <n v="0"/>
    <n v="0"/>
    <n v="0"/>
    <n v="-1"/>
    <n v="0"/>
    <n v="0"/>
    <n v="0"/>
    <n v="0"/>
    <n v="0"/>
    <n v="0"/>
    <n v="0"/>
    <n v="0"/>
    <s v="East"/>
    <x v="0"/>
    <x v="0"/>
    <x v="1"/>
    <x v="0"/>
    <x v="0"/>
    <x v="0"/>
    <m/>
    <x v="0"/>
    <s v="Y"/>
    <n v="7"/>
    <m/>
    <n v="2"/>
    <n v="0"/>
    <n v="0"/>
    <n v="0"/>
    <n v="0"/>
    <n v="0"/>
    <n v="0"/>
    <n v="0"/>
    <n v="0"/>
    <n v="0"/>
    <n v="0"/>
    <n v="0"/>
    <n v="0"/>
    <n v="0"/>
    <n v="0"/>
    <n v="0"/>
    <n v="0"/>
    <n v="0"/>
    <n v="0"/>
    <n v="0"/>
    <n v="0"/>
    <n v="0"/>
    <n v="0"/>
  </r>
  <r>
    <n v="6361"/>
    <x v="0"/>
    <s v="2016/5070"/>
    <m/>
    <s v="7 Lavender Sweep"/>
    <m/>
    <n v="527581"/>
    <n v="175458"/>
    <x v="10"/>
    <d v="2017-03-31T00:00:00"/>
    <d v="2017-10-26T00:00:00"/>
    <n v="1"/>
    <n v="4"/>
    <n v="3"/>
    <n v="4"/>
    <n v="3"/>
    <m/>
    <s v="Alterations including erection of mansard roof extension to main rear roof (with French doors and safety railings) and above rear addition, erection of part single, part three-storey rear/side extension; excavation to enlarge basement including formation of an additional front lightwell. Conversion of property to 1 x 1 bedroom flat, 1 x 3-bedroom flat and 2 x 2-bedroom bedroom flats."/>
    <s v="PF"/>
    <d v="2016-08-24T00:00:00"/>
    <d v="2016-10-20T00:00:00"/>
    <x v="0"/>
    <s v="Nil"/>
    <m/>
    <s v="BF"/>
    <x v="4"/>
    <x v="0"/>
    <x v="8"/>
    <n v="1.4000000432133701E-2"/>
    <d v="2017-03-31T00:00:00"/>
    <x v="0"/>
    <d v="2017-10-26T00:00:00"/>
    <x v="0"/>
    <s v="P"/>
    <m/>
    <m/>
    <n v="0"/>
    <m/>
    <n v="0"/>
    <m/>
    <n v="0"/>
    <n v="1"/>
    <n v="2"/>
    <n v="1"/>
    <n v="-1"/>
    <n v="0"/>
    <n v="0"/>
    <n v="0"/>
    <n v="1"/>
    <n v="2"/>
    <n v="1"/>
    <n v="0"/>
    <n v="0"/>
    <n v="0"/>
    <n v="0"/>
    <n v="0"/>
    <n v="0"/>
    <n v="0"/>
    <n v="-1"/>
    <n v="0"/>
    <n v="0"/>
    <n v="0"/>
    <n v="0"/>
    <n v="0"/>
    <n v="0"/>
    <n v="0"/>
    <n v="0"/>
    <n v="0"/>
    <s v="East"/>
    <x v="0"/>
    <x v="0"/>
    <x v="1"/>
    <x v="0"/>
    <x v="0"/>
    <x v="0"/>
    <m/>
    <x v="0"/>
    <s v="Y"/>
    <n v="7"/>
    <m/>
    <n v="3"/>
    <n v="0"/>
    <n v="0"/>
    <n v="0"/>
    <n v="0"/>
    <n v="0"/>
    <n v="0"/>
    <n v="0"/>
    <n v="0"/>
    <n v="0"/>
    <n v="0"/>
    <n v="0"/>
    <n v="0"/>
    <n v="0"/>
    <n v="0"/>
    <n v="0"/>
    <n v="0"/>
    <n v="0"/>
    <n v="0"/>
    <n v="0"/>
    <n v="0"/>
    <n v="0"/>
    <n v="0"/>
  </r>
  <r>
    <n v="6368"/>
    <x v="0"/>
    <s v="2016/5362"/>
    <m/>
    <s v="96 Huron Road"/>
    <m/>
    <n v="528557"/>
    <n v="172354"/>
    <x v="3"/>
    <d v="2017-02-07T00:00:00"/>
    <d v="2018-03-31T00:00:00"/>
    <n v="3"/>
    <n v="4"/>
    <n v="1"/>
    <n v="4"/>
    <n v="1"/>
    <m/>
    <s v="Alterations in connection with conversion of property from 3 flats into 1 x 3-bedroom, 2 x 1-bedroom and 1 x 2-bedroom flats involving new front lightwell, roofligths, door and window openings."/>
    <s v="PF"/>
    <d v="2016-09-13T00:00:00"/>
    <d v="2016-11-08T00:00:00"/>
    <x v="0"/>
    <s v="Nil"/>
    <m/>
    <s v="BF"/>
    <x v="4"/>
    <x v="0"/>
    <x v="10"/>
    <n v="3.4000001847744002E-2"/>
    <d v="2017-02-07T00:00:00"/>
    <x v="0"/>
    <d v="2018-03-31T00:00:00"/>
    <x v="0"/>
    <s v="P"/>
    <m/>
    <m/>
    <n v="0"/>
    <m/>
    <n v="0"/>
    <m/>
    <n v="0"/>
    <n v="2"/>
    <n v="-2"/>
    <n v="1"/>
    <n v="0"/>
    <n v="0"/>
    <n v="0"/>
    <n v="0"/>
    <n v="2"/>
    <n v="-2"/>
    <n v="1"/>
    <n v="0"/>
    <n v="0"/>
    <n v="0"/>
    <n v="0"/>
    <n v="0"/>
    <n v="0"/>
    <n v="0"/>
    <n v="0"/>
    <n v="0"/>
    <n v="0"/>
    <n v="0"/>
    <n v="0"/>
    <n v="0"/>
    <n v="0"/>
    <n v="0"/>
    <n v="0"/>
    <n v="0"/>
    <s v="East"/>
    <x v="0"/>
    <x v="0"/>
    <x v="1"/>
    <x v="0"/>
    <x v="0"/>
    <x v="0"/>
    <m/>
    <x v="0"/>
    <s v="Y"/>
    <n v="7"/>
    <m/>
    <n v="1"/>
    <n v="0"/>
    <n v="0"/>
    <n v="0"/>
    <n v="0"/>
    <n v="0"/>
    <n v="0"/>
    <n v="0"/>
    <n v="0"/>
    <n v="0"/>
    <n v="0"/>
    <n v="0"/>
    <n v="0"/>
    <n v="0"/>
    <n v="0"/>
    <n v="0"/>
    <n v="0"/>
    <n v="0"/>
    <n v="0"/>
    <n v="0"/>
    <n v="0"/>
    <n v="0"/>
    <n v="0"/>
  </r>
  <r>
    <n v="6375"/>
    <x v="0"/>
    <s v="2016/6192"/>
    <m/>
    <s v="131 Lower Richmond Road"/>
    <m/>
    <n v="523565"/>
    <n v="175816"/>
    <x v="13"/>
    <d v="2017-09-05T00:00:00"/>
    <d v="2018-03-31T00:00:00"/>
    <n v="0"/>
    <n v="1"/>
    <n v="1"/>
    <n v="1"/>
    <n v="1"/>
    <m/>
    <s v="Determination as to whether prior approval is required for change of use of basement and part ground floor level from retail (Class A1) to 1 x 2-bedroom flat (Class C3)."/>
    <s v="PAG"/>
    <d v="2016-10-26T00:00:00"/>
    <d v="2016-12-21T00:00:00"/>
    <x v="0"/>
    <s v="Nil"/>
    <m/>
    <s v="BF"/>
    <x v="3"/>
    <x v="0"/>
    <x v="4"/>
    <n v="7.0000002160668399E-3"/>
    <d v="2017-09-05T00:00:00"/>
    <x v="1"/>
    <d v="2018-03-31T00:00:00"/>
    <x v="0"/>
    <s v="P"/>
    <m/>
    <m/>
    <n v="0"/>
    <m/>
    <n v="0"/>
    <m/>
    <n v="0"/>
    <n v="0"/>
    <n v="1"/>
    <n v="0"/>
    <n v="0"/>
    <n v="0"/>
    <n v="0"/>
    <n v="0"/>
    <n v="0"/>
    <n v="1"/>
    <n v="0"/>
    <n v="0"/>
    <n v="0"/>
    <n v="0"/>
    <n v="0"/>
    <n v="0"/>
    <n v="0"/>
    <n v="0"/>
    <n v="0"/>
    <n v="0"/>
    <n v="0"/>
    <n v="0"/>
    <n v="0"/>
    <n v="0"/>
    <n v="0"/>
    <n v="0"/>
    <n v="0"/>
    <n v="0"/>
    <s v="West"/>
    <x v="0"/>
    <x v="0"/>
    <x v="1"/>
    <x v="0"/>
    <x v="0"/>
    <x v="0"/>
    <m/>
    <x v="0"/>
    <s v="Y"/>
    <n v="7"/>
    <m/>
    <n v="1"/>
    <n v="0"/>
    <n v="0"/>
    <n v="0"/>
    <n v="0"/>
    <n v="0"/>
    <n v="0"/>
    <n v="0"/>
    <n v="0"/>
    <n v="0"/>
    <n v="0"/>
    <n v="0"/>
    <n v="0"/>
    <n v="0"/>
    <n v="0"/>
    <n v="0"/>
    <n v="0"/>
    <n v="0"/>
    <n v="0"/>
    <n v="0"/>
    <n v="0"/>
    <n v="0"/>
    <n v="0"/>
  </r>
  <r>
    <n v="6377"/>
    <x v="0"/>
    <s v="2016/1367"/>
    <m/>
    <s v="Clare House 20a, 20a Earlsfield Road"/>
    <m/>
    <n v="526516"/>
    <n v="174135"/>
    <x v="17"/>
    <d v="2017-02-07T00:00:00"/>
    <d v="2017-12-08T00:00:00"/>
    <n v="1"/>
    <n v="2"/>
    <n v="1"/>
    <n v="2"/>
    <n v="1"/>
    <m/>
    <s v="Conversion of property to 2 x 3 bedroom flats including erection of privacy fence in rear garden."/>
    <s v="PF"/>
    <d v="2016-03-29T00:00:00"/>
    <d v="2016-07-22T00:00:00"/>
    <x v="0"/>
    <s v="Nil"/>
    <m/>
    <s v="BF"/>
    <x v="1"/>
    <x v="0"/>
    <x v="8"/>
    <n v="4.1000001132488299E-2"/>
    <d v="2017-02-07T00:00:00"/>
    <x v="0"/>
    <d v="2017-12-08T00:00:00"/>
    <x v="0"/>
    <s v="P"/>
    <m/>
    <m/>
    <n v="0"/>
    <m/>
    <n v="0"/>
    <m/>
    <n v="0"/>
    <n v="0"/>
    <n v="0"/>
    <n v="2"/>
    <n v="0"/>
    <n v="-1"/>
    <n v="0"/>
    <n v="0"/>
    <n v="0"/>
    <n v="0"/>
    <n v="2"/>
    <n v="0"/>
    <n v="0"/>
    <n v="0"/>
    <n v="0"/>
    <n v="0"/>
    <n v="0"/>
    <n v="0"/>
    <n v="0"/>
    <n v="-1"/>
    <n v="0"/>
    <n v="0"/>
    <n v="0"/>
    <n v="0"/>
    <n v="0"/>
    <n v="0"/>
    <n v="0"/>
    <n v="0"/>
    <s v="West"/>
    <x v="0"/>
    <x v="0"/>
    <x v="1"/>
    <x v="0"/>
    <x v="0"/>
    <x v="0"/>
    <m/>
    <x v="0"/>
    <s v="Y"/>
    <n v="7"/>
    <m/>
    <n v="1"/>
    <n v="0"/>
    <n v="0"/>
    <n v="0"/>
    <n v="0"/>
    <n v="0"/>
    <n v="0"/>
    <n v="0"/>
    <n v="0"/>
    <n v="0"/>
    <n v="0"/>
    <n v="0"/>
    <n v="0"/>
    <n v="0"/>
    <n v="0"/>
    <n v="0"/>
    <n v="0"/>
    <n v="0"/>
    <n v="0"/>
    <n v="0"/>
    <n v="0"/>
    <n v="0"/>
    <n v="0"/>
  </r>
  <r>
    <n v="6378"/>
    <x v="0"/>
    <s v="2016/4580"/>
    <m/>
    <s v="12 Terrapin Road"/>
    <m/>
    <n v="528832"/>
    <n v="172503"/>
    <x v="3"/>
    <d v="2017-03-31T00:00:00"/>
    <d v="2018-03-31T00:00:00"/>
    <n v="2"/>
    <n v="1"/>
    <n v="-1"/>
    <n v="1"/>
    <n v="-1"/>
    <m/>
    <s v="Alterations including erection of a single-storey rear extension; the replacement of existing windows to the front and rear elevation, installation of rooflights and the conversion of the two flats back into a single family dwelling house."/>
    <s v="PF"/>
    <d v="2016-09-15T00:00:00"/>
    <d v="2016-11-10T00:00:00"/>
    <x v="0"/>
    <s v="Nil"/>
    <m/>
    <s v="BF"/>
    <x v="4"/>
    <x v="0"/>
    <x v="7"/>
    <n v="3.70000004768372E-2"/>
    <d v="2017-03-31T00:00:00"/>
    <x v="0"/>
    <d v="2018-03-31T00:00:00"/>
    <x v="0"/>
    <s v="P"/>
    <m/>
    <m/>
    <n v="0"/>
    <m/>
    <n v="0"/>
    <m/>
    <n v="0"/>
    <n v="0"/>
    <n v="-1"/>
    <n v="0"/>
    <n v="-1"/>
    <n v="1"/>
    <n v="0"/>
    <n v="0"/>
    <n v="0"/>
    <n v="-1"/>
    <n v="0"/>
    <n v="-1"/>
    <n v="0"/>
    <n v="0"/>
    <n v="0"/>
    <n v="0"/>
    <n v="0"/>
    <n v="0"/>
    <n v="0"/>
    <n v="1"/>
    <n v="0"/>
    <n v="0"/>
    <n v="0"/>
    <n v="0"/>
    <n v="0"/>
    <n v="0"/>
    <n v="0"/>
    <n v="0"/>
    <s v="East"/>
    <x v="0"/>
    <x v="0"/>
    <x v="1"/>
    <x v="0"/>
    <x v="0"/>
    <x v="0"/>
    <m/>
    <x v="0"/>
    <s v="Y"/>
    <n v="7"/>
    <m/>
    <n v="-1"/>
    <n v="0"/>
    <n v="0"/>
    <n v="0"/>
    <n v="0"/>
    <n v="0"/>
    <n v="0"/>
    <n v="0"/>
    <n v="0"/>
    <n v="0"/>
    <n v="0"/>
    <n v="0"/>
    <n v="0"/>
    <n v="0"/>
    <n v="0"/>
    <n v="0"/>
    <n v="0"/>
    <n v="0"/>
    <n v="0"/>
    <n v="0"/>
    <n v="0"/>
    <n v="0"/>
    <n v="0"/>
  </r>
  <r>
    <n v="6380"/>
    <x v="0"/>
    <s v="2017/0779"/>
    <m/>
    <s v="39 Garfield Road"/>
    <m/>
    <n v="528507"/>
    <n v="175700"/>
    <x v="10"/>
    <d v="2017-05-11T00:00:00"/>
    <d v="2018-02-02T00:00:00"/>
    <n v="1"/>
    <n v="2"/>
    <n v="1"/>
    <n v="2"/>
    <n v="1"/>
    <m/>
    <s v="Alterations including erection of mansard roof extension to main rear roof (with French doors, roof terrace and 1.7m high glass balustrade). Erection of single-storey rear/side extension (with first floor roof terrace and balustrade above) in connection with conversion of propoerty into 1 x 3 and 1 x 2 bedroom flats; provision of refuse and cycle storage."/>
    <s v="PF"/>
    <d v="2017-02-10T00:00:00"/>
    <d v="2017-04-07T00:00:00"/>
    <x v="1"/>
    <s v="Nil"/>
    <m/>
    <s v="BF"/>
    <x v="4"/>
    <x v="0"/>
    <x v="8"/>
    <n v="1.09999999403954E-2"/>
    <d v="2017-05-11T00:00:00"/>
    <x v="1"/>
    <d v="2018-02-02T00:00:00"/>
    <x v="0"/>
    <s v="P"/>
    <m/>
    <m/>
    <n v="0"/>
    <m/>
    <n v="0"/>
    <m/>
    <n v="0"/>
    <n v="0"/>
    <n v="1"/>
    <n v="1"/>
    <n v="-1"/>
    <n v="0"/>
    <n v="0"/>
    <n v="0"/>
    <n v="0"/>
    <n v="1"/>
    <n v="1"/>
    <n v="0"/>
    <n v="0"/>
    <n v="0"/>
    <n v="0"/>
    <n v="0"/>
    <n v="0"/>
    <n v="0"/>
    <n v="-1"/>
    <n v="0"/>
    <n v="0"/>
    <n v="0"/>
    <n v="0"/>
    <n v="0"/>
    <n v="0"/>
    <n v="0"/>
    <n v="0"/>
    <n v="0"/>
    <s v="East"/>
    <x v="0"/>
    <x v="0"/>
    <x v="1"/>
    <x v="0"/>
    <x v="0"/>
    <x v="0"/>
    <m/>
    <x v="0"/>
    <s v="Y"/>
    <n v="7"/>
    <m/>
    <n v="1"/>
    <n v="0"/>
    <n v="0"/>
    <n v="0"/>
    <n v="0"/>
    <n v="0"/>
    <n v="0"/>
    <n v="0"/>
    <n v="0"/>
    <n v="0"/>
    <n v="0"/>
    <n v="0"/>
    <n v="0"/>
    <n v="0"/>
    <n v="0"/>
    <n v="0"/>
    <n v="0"/>
    <n v="0"/>
    <n v="0"/>
    <n v="0"/>
    <n v="0"/>
    <n v="0"/>
    <n v="0"/>
  </r>
  <r>
    <n v="6382"/>
    <x v="0"/>
    <s v="2016/5952"/>
    <m/>
    <s v="Flat A, 533 Battersea Park Road"/>
    <m/>
    <n v="527407"/>
    <n v="176330"/>
    <x v="2"/>
    <d v="2017-03-31T00:00:00"/>
    <d v="2017-11-29T00:00:00"/>
    <n v="1"/>
    <n v="2"/>
    <n v="1"/>
    <n v="3"/>
    <n v="2"/>
    <m/>
    <s v="Alterations including erection of roof extension to create additional floor of accommodation (1x1 bedroom flat) including formation of roof terrace with 1.7m high safety surround above three-storey back addition; internal alterations to first and second floors including formation of roof terrace with 1.7m high safety surround at first floor level in connection with conversion of first and second floors into 2x1 bedroom flats."/>
    <s v="PF"/>
    <d v="2016-10-11T00:00:00"/>
    <d v="2016-12-06T00:00:00"/>
    <x v="0"/>
    <s v="Nil"/>
    <m/>
    <s v="BF"/>
    <x v="4"/>
    <x v="0"/>
    <x v="10"/>
    <n v="4.0000001899898104E-3"/>
    <d v="2017-03-31T00:00:00"/>
    <x v="0"/>
    <d v="2017-11-29T00:00:00"/>
    <x v="0"/>
    <s v="P"/>
    <m/>
    <m/>
    <n v="0"/>
    <m/>
    <n v="0"/>
    <m/>
    <n v="0"/>
    <n v="2"/>
    <n v="0"/>
    <n v="-1"/>
    <n v="0"/>
    <n v="0"/>
    <n v="0"/>
    <n v="0"/>
    <n v="2"/>
    <n v="0"/>
    <n v="-1"/>
    <n v="0"/>
    <n v="0"/>
    <n v="0"/>
    <n v="0"/>
    <n v="0"/>
    <n v="0"/>
    <n v="0"/>
    <n v="0"/>
    <n v="0"/>
    <n v="0"/>
    <n v="0"/>
    <n v="0"/>
    <n v="0"/>
    <n v="0"/>
    <n v="0"/>
    <n v="0"/>
    <n v="0"/>
    <s v="East"/>
    <x v="0"/>
    <x v="0"/>
    <x v="1"/>
    <x v="0"/>
    <x v="0"/>
    <x v="0"/>
    <m/>
    <x v="0"/>
    <s v="Y"/>
    <n v="7"/>
    <m/>
    <n v="1"/>
    <n v="0"/>
    <n v="0"/>
    <n v="0"/>
    <n v="0"/>
    <n v="0"/>
    <n v="0"/>
    <n v="0"/>
    <n v="0"/>
    <n v="0"/>
    <n v="0"/>
    <n v="0"/>
    <n v="0"/>
    <n v="0"/>
    <n v="0"/>
    <n v="0"/>
    <n v="0"/>
    <n v="0"/>
    <n v="0"/>
    <n v="0"/>
    <n v="0"/>
    <n v="0"/>
    <n v="0"/>
  </r>
  <r>
    <n v="6383"/>
    <x v="0"/>
    <s v="2016/5822"/>
    <m/>
    <s v="7 Meteor Street"/>
    <m/>
    <n v="528332"/>
    <n v="175360"/>
    <x v="10"/>
    <d v="2017-03-31T00:00:00"/>
    <d v="2018-03-31T00:00:00"/>
    <n v="2"/>
    <n v="1"/>
    <n v="-1"/>
    <n v="1"/>
    <n v="-1"/>
    <m/>
    <s v="Use of the property as a single dwelling.(Class C3)."/>
    <s v="PF"/>
    <d v="2016-10-12T00:00:00"/>
    <d v="2016-12-07T00:00:00"/>
    <x v="0"/>
    <s v="Nil"/>
    <m/>
    <s v="BF"/>
    <x v="1"/>
    <x v="0"/>
    <x v="7"/>
    <n v="1.09999999403954E-2"/>
    <d v="2017-03-31T00:00:00"/>
    <x v="0"/>
    <d v="2018-03-31T00:00:00"/>
    <x v="0"/>
    <s v="P"/>
    <m/>
    <m/>
    <n v="0"/>
    <m/>
    <n v="0"/>
    <m/>
    <n v="0"/>
    <n v="-1"/>
    <n v="-1"/>
    <n v="1"/>
    <n v="0"/>
    <n v="0"/>
    <n v="0"/>
    <n v="0"/>
    <n v="-1"/>
    <n v="-1"/>
    <n v="0"/>
    <n v="0"/>
    <n v="0"/>
    <n v="0"/>
    <n v="0"/>
    <n v="0"/>
    <n v="0"/>
    <n v="1"/>
    <n v="0"/>
    <n v="0"/>
    <n v="0"/>
    <n v="0"/>
    <n v="0"/>
    <n v="0"/>
    <n v="0"/>
    <n v="0"/>
    <n v="0"/>
    <n v="0"/>
    <s v="East"/>
    <x v="0"/>
    <x v="0"/>
    <x v="1"/>
    <x v="0"/>
    <x v="0"/>
    <x v="0"/>
    <m/>
    <x v="0"/>
    <s v="Y"/>
    <n v="7"/>
    <m/>
    <n v="-1"/>
    <n v="0"/>
    <n v="0"/>
    <n v="0"/>
    <n v="0"/>
    <n v="0"/>
    <n v="0"/>
    <n v="0"/>
    <n v="0"/>
    <n v="0"/>
    <n v="0"/>
    <n v="0"/>
    <n v="0"/>
    <n v="0"/>
    <n v="0"/>
    <n v="0"/>
    <n v="0"/>
    <n v="0"/>
    <n v="0"/>
    <n v="0"/>
    <n v="0"/>
    <n v="0"/>
    <n v="0"/>
  </r>
  <r>
    <n v="6385"/>
    <x v="0"/>
    <s v="2016/5835"/>
    <m/>
    <s v="28 Ravenstone Street"/>
    <m/>
    <n v="528563"/>
    <n v="173040"/>
    <x v="11"/>
    <d v="2017-03-31T00:00:00"/>
    <d v="2018-03-14T00:00:00"/>
    <n v="0"/>
    <n v="1"/>
    <n v="1"/>
    <n v="2"/>
    <n v="1"/>
    <m/>
    <s v="Alterations including erection of mansard roof extension to main rear roof (with French door and safety railings) and extension above part of the two-storey back addition, and formation of roof terrace above two-storey back addition with 1.8m high screen surround in connection with creation of 1x1-bedroom flat."/>
    <s v="PF"/>
    <d v="2016-10-10T00:00:00"/>
    <d v="2016-12-15T00:00:00"/>
    <x v="0"/>
    <s v="Nil"/>
    <m/>
    <s v="BF"/>
    <x v="4"/>
    <x v="0"/>
    <x v="0"/>
    <n v="4.9999998882412902E-3"/>
    <d v="2017-03-31T00:00:00"/>
    <x v="0"/>
    <d v="2018-03-14T00:00:00"/>
    <x v="0"/>
    <s v="P"/>
    <m/>
    <m/>
    <n v="0"/>
    <m/>
    <n v="0"/>
    <m/>
    <n v="0"/>
    <n v="1"/>
    <n v="0"/>
    <n v="0"/>
    <n v="0"/>
    <n v="0"/>
    <n v="0"/>
    <n v="0"/>
    <n v="1"/>
    <n v="0"/>
    <n v="0"/>
    <n v="0"/>
    <n v="0"/>
    <n v="0"/>
    <n v="0"/>
    <n v="0"/>
    <n v="0"/>
    <n v="0"/>
    <n v="0"/>
    <n v="0"/>
    <n v="0"/>
    <n v="0"/>
    <n v="0"/>
    <n v="0"/>
    <n v="0"/>
    <n v="0"/>
    <n v="0"/>
    <n v="0"/>
    <s v="East"/>
    <x v="0"/>
    <x v="0"/>
    <x v="1"/>
    <x v="0"/>
    <x v="0"/>
    <x v="0"/>
    <m/>
    <x v="0"/>
    <s v="Y"/>
    <n v="7"/>
    <m/>
    <n v="1"/>
    <n v="0"/>
    <n v="0"/>
    <n v="0"/>
    <n v="0"/>
    <n v="0"/>
    <n v="0"/>
    <n v="0"/>
    <n v="0"/>
    <n v="0"/>
    <n v="0"/>
    <n v="0"/>
    <n v="0"/>
    <n v="0"/>
    <n v="0"/>
    <n v="0"/>
    <n v="0"/>
    <n v="0"/>
    <n v="0"/>
    <n v="0"/>
    <n v="0"/>
    <n v="0"/>
    <n v="0"/>
  </r>
  <r>
    <n v="6385"/>
    <x v="0"/>
    <s v="2016/5835"/>
    <m/>
    <s v="28 Ravenstone Street"/>
    <m/>
    <n v="528563"/>
    <n v="173040"/>
    <x v="11"/>
    <d v="2017-03-31T00:00:00"/>
    <d v="2018-03-14T00:00:00"/>
    <n v="1"/>
    <n v="1"/>
    <n v="0"/>
    <n v="2"/>
    <n v="1"/>
    <m/>
    <s v="Alterations including erection of mansard roof extension to main rear roof (with French door and safety railings) and extension above part of the two-storey back addition, and formation of roof terrace above two-storey back addition with 1.8m high screen surround in connection with creation of 1x1-bedroom flat."/>
    <s v="PF"/>
    <d v="2016-10-10T00:00:00"/>
    <d v="2016-12-15T00:00:00"/>
    <x v="0"/>
    <s v="Nil"/>
    <m/>
    <s v="BF"/>
    <x v="4"/>
    <x v="0"/>
    <x v="10"/>
    <n v="6.0000000521540598E-3"/>
    <d v="2017-03-31T00:00:00"/>
    <x v="0"/>
    <d v="2018-03-14T00:00:00"/>
    <x v="0"/>
    <s v="P"/>
    <m/>
    <m/>
    <n v="0"/>
    <m/>
    <n v="0"/>
    <m/>
    <n v="0"/>
    <n v="0"/>
    <n v="1"/>
    <n v="-1"/>
    <n v="0"/>
    <n v="0"/>
    <n v="0"/>
    <n v="0"/>
    <n v="0"/>
    <n v="1"/>
    <n v="-1"/>
    <n v="0"/>
    <n v="0"/>
    <n v="0"/>
    <n v="0"/>
    <n v="0"/>
    <n v="0"/>
    <n v="0"/>
    <n v="0"/>
    <n v="0"/>
    <n v="0"/>
    <n v="0"/>
    <n v="0"/>
    <n v="0"/>
    <n v="0"/>
    <n v="0"/>
    <n v="0"/>
    <n v="0"/>
    <s v="East"/>
    <x v="0"/>
    <x v="0"/>
    <x v="1"/>
    <x v="0"/>
    <x v="0"/>
    <x v="0"/>
    <m/>
    <x v="0"/>
    <s v="Y"/>
    <n v="7"/>
    <m/>
    <n v="0"/>
    <n v="0"/>
    <n v="0"/>
    <n v="0"/>
    <n v="0"/>
    <n v="0"/>
    <n v="0"/>
    <n v="0"/>
    <n v="0"/>
    <n v="0"/>
    <n v="0"/>
    <n v="0"/>
    <n v="0"/>
    <n v="0"/>
    <n v="0"/>
    <n v="0"/>
    <n v="0"/>
    <n v="0"/>
    <n v="0"/>
    <n v="0"/>
    <n v="0"/>
    <n v="0"/>
    <n v="0"/>
  </r>
  <r>
    <n v="6389"/>
    <x v="0"/>
    <s v="2016/6177"/>
    <m/>
    <s v="29 Standen Road"/>
    <m/>
    <n v="525164"/>
    <n v="173531"/>
    <x v="5"/>
    <d v="2017-04-01T00:00:00"/>
    <d v="2018-03-31T00:00:00"/>
    <n v="2"/>
    <n v="1"/>
    <n v="-1"/>
    <n v="1"/>
    <n v="-1"/>
    <m/>
    <s v="Erection of single-storey rear/side extension in connection with use of property as a single dwellinghouse."/>
    <s v="PF"/>
    <d v="2016-10-26T00:00:00"/>
    <d v="2016-12-21T00:00:00"/>
    <x v="0"/>
    <s v="Nil"/>
    <m/>
    <s v="BF"/>
    <x v="4"/>
    <x v="0"/>
    <x v="7"/>
    <n v="1.4000000432133701E-2"/>
    <d v="2017-04-01T00:00:00"/>
    <x v="1"/>
    <d v="2018-03-31T00:00:00"/>
    <x v="0"/>
    <s v="P"/>
    <m/>
    <m/>
    <n v="0"/>
    <m/>
    <n v="0"/>
    <m/>
    <n v="0"/>
    <n v="-1"/>
    <n v="-1"/>
    <n v="1"/>
    <n v="0"/>
    <n v="0"/>
    <n v="0"/>
    <n v="0"/>
    <n v="-1"/>
    <n v="-1"/>
    <n v="0"/>
    <n v="0"/>
    <n v="0"/>
    <n v="0"/>
    <n v="0"/>
    <n v="0"/>
    <n v="0"/>
    <n v="1"/>
    <n v="0"/>
    <n v="0"/>
    <n v="0"/>
    <n v="0"/>
    <n v="0"/>
    <n v="0"/>
    <n v="0"/>
    <n v="0"/>
    <n v="0"/>
    <n v="0"/>
    <s v="West"/>
    <x v="0"/>
    <x v="0"/>
    <x v="1"/>
    <x v="0"/>
    <x v="0"/>
    <x v="0"/>
    <m/>
    <x v="0"/>
    <s v="Y"/>
    <n v="7"/>
    <m/>
    <n v="-1"/>
    <n v="0"/>
    <n v="0"/>
    <n v="0"/>
    <n v="0"/>
    <n v="0"/>
    <n v="0"/>
    <n v="0"/>
    <n v="0"/>
    <n v="0"/>
    <n v="0"/>
    <n v="0"/>
    <n v="0"/>
    <n v="0"/>
    <n v="0"/>
    <n v="0"/>
    <n v="0"/>
    <n v="0"/>
    <n v="0"/>
    <n v="0"/>
    <n v="0"/>
    <n v="0"/>
    <n v="0"/>
  </r>
  <r>
    <n v="6421"/>
    <x v="0"/>
    <s v="2016/7084"/>
    <m/>
    <s v="33 Garratt Terrace"/>
    <m/>
    <n v="527311"/>
    <n v="171493"/>
    <x v="4"/>
    <d v="2016-03-21T00:00:00"/>
    <d v="2018-01-16T00:00:00"/>
    <n v="1"/>
    <n v="1"/>
    <n v="0"/>
    <n v="4"/>
    <n v="3"/>
    <m/>
    <s v="Conversion of property to 2 x 1-bedroom, 1 x 2-bedroom, 1 x 3-bedroom flats. Provision of refuse storage in front garden."/>
    <s v="RP"/>
    <d v="2016-12-14T00:00:00"/>
    <d v="2017-02-24T00:00:00"/>
    <x v="1"/>
    <s v="APG"/>
    <d v="2017-11-28T00:00:00"/>
    <s v="BF"/>
    <x v="1"/>
    <x v="0"/>
    <x v="8"/>
    <n v="3.0000000260770299E-3"/>
    <d v="2016-03-21T00:00:00"/>
    <x v="0"/>
    <d v="2018-01-16T00:00:00"/>
    <x v="0"/>
    <s v="P"/>
    <m/>
    <m/>
    <n v="0"/>
    <m/>
    <n v="0"/>
    <m/>
    <n v="0"/>
    <n v="1"/>
    <n v="0"/>
    <n v="0"/>
    <n v="0"/>
    <n v="-1"/>
    <n v="0"/>
    <n v="0"/>
    <n v="1"/>
    <n v="0"/>
    <n v="0"/>
    <n v="0"/>
    <n v="0"/>
    <n v="0"/>
    <n v="0"/>
    <n v="0"/>
    <n v="0"/>
    <n v="0"/>
    <n v="0"/>
    <n v="-1"/>
    <n v="0"/>
    <n v="0"/>
    <n v="0"/>
    <n v="0"/>
    <n v="0"/>
    <n v="0"/>
    <n v="0"/>
    <n v="0"/>
    <s v="East"/>
    <x v="0"/>
    <x v="0"/>
    <x v="1"/>
    <x v="0"/>
    <x v="0"/>
    <x v="0"/>
    <m/>
    <x v="0"/>
    <s v="Y"/>
    <n v="7"/>
    <m/>
    <n v="0"/>
    <n v="0"/>
    <n v="0"/>
    <n v="0"/>
    <n v="0"/>
    <n v="0"/>
    <n v="0"/>
    <n v="0"/>
    <n v="0"/>
    <n v="0"/>
    <n v="0"/>
    <n v="0"/>
    <n v="0"/>
    <n v="0"/>
    <n v="0"/>
    <n v="0"/>
    <n v="0"/>
    <n v="0"/>
    <n v="0"/>
    <n v="0"/>
    <n v="0"/>
    <n v="0"/>
    <n v="0"/>
  </r>
  <r>
    <n v="6423"/>
    <x v="0"/>
    <s v="2017/0296"/>
    <m/>
    <s v="140 Earlsfield Road"/>
    <m/>
    <n v="526304"/>
    <n v="173701"/>
    <x v="17"/>
    <d v="2017-03-31T00:00:00"/>
    <d v="2017-11-13T00:00:00"/>
    <n v="1"/>
    <n v="3"/>
    <n v="2"/>
    <n v="3"/>
    <n v="2"/>
    <m/>
    <s v="Alterations in connection with conversion of property into 1 x 3-bedroom, 1 x 2 bedroom and 1 x 1-bedroom flats."/>
    <s v="PF"/>
    <d v="2017-01-18T00:00:00"/>
    <d v="2017-02-23T00:00:00"/>
    <x v="0"/>
    <s v="Nil"/>
    <m/>
    <s v="BF"/>
    <x v="1"/>
    <x v="0"/>
    <x v="8"/>
    <n v="1.60000007599592E-2"/>
    <d v="2017-03-31T00:00:00"/>
    <x v="0"/>
    <d v="2017-11-13T00:00:00"/>
    <x v="0"/>
    <s v="P"/>
    <m/>
    <m/>
    <n v="0"/>
    <m/>
    <n v="0"/>
    <m/>
    <n v="0"/>
    <n v="1"/>
    <n v="1"/>
    <n v="1"/>
    <n v="0"/>
    <n v="-1"/>
    <n v="0"/>
    <n v="0"/>
    <n v="1"/>
    <n v="1"/>
    <n v="1"/>
    <n v="0"/>
    <n v="0"/>
    <n v="0"/>
    <n v="0"/>
    <n v="0"/>
    <n v="0"/>
    <n v="0"/>
    <n v="0"/>
    <n v="-1"/>
    <n v="0"/>
    <n v="0"/>
    <n v="0"/>
    <n v="0"/>
    <n v="0"/>
    <n v="0"/>
    <n v="0"/>
    <n v="0"/>
    <s v="West"/>
    <x v="0"/>
    <x v="0"/>
    <x v="1"/>
    <x v="0"/>
    <x v="0"/>
    <x v="0"/>
    <m/>
    <x v="0"/>
    <s v="Y"/>
    <n v="7"/>
    <m/>
    <n v="2"/>
    <n v="0"/>
    <n v="0"/>
    <n v="0"/>
    <n v="0"/>
    <n v="0"/>
    <n v="0"/>
    <n v="0"/>
    <n v="0"/>
    <n v="0"/>
    <n v="0"/>
    <n v="0"/>
    <n v="0"/>
    <n v="0"/>
    <n v="0"/>
    <n v="0"/>
    <n v="0"/>
    <n v="0"/>
    <n v="0"/>
    <n v="0"/>
    <n v="0"/>
    <n v="0"/>
    <n v="0"/>
  </r>
  <r>
    <n v="6427"/>
    <x v="0"/>
    <s v="2016/7290"/>
    <m/>
    <s v="16-18, 16-18 Byrne Road"/>
    <m/>
    <n v="528925"/>
    <n v="172969"/>
    <x v="3"/>
    <d v="2017-03-31T00:00:00"/>
    <d v="2017-09-08T00:00:00"/>
    <n v="0"/>
    <n v="6"/>
    <n v="6"/>
    <n v="6"/>
    <n v="6"/>
    <m/>
    <s v="Change of use to form six self-contained flats (2 x 1-bedroom, 2 x 2-bedroom and 2 x 3-bedroom).  Erection of a single-storey rear extensions to both properties. Erection of a hip to gable side roof extension and rear roof mansard extension and above part of rear addition to 16 Byrne Road.  Provision of waste storage and cycle storage."/>
    <s v="PF"/>
    <d v="2016-12-19T00:00:00"/>
    <d v="2017-03-31T00:00:00"/>
    <x v="0"/>
    <s v="Nil"/>
    <m/>
    <s v="BF"/>
    <x v="4"/>
    <x v="0"/>
    <x v="5"/>
    <n v="3.9000000804662698E-2"/>
    <d v="2017-03-31T00:00:00"/>
    <x v="0"/>
    <d v="2017-09-08T00:00:00"/>
    <x v="0"/>
    <s v="P"/>
    <m/>
    <m/>
    <n v="0"/>
    <m/>
    <n v="0"/>
    <m/>
    <n v="0"/>
    <n v="2"/>
    <n v="2"/>
    <n v="2"/>
    <n v="0"/>
    <n v="0"/>
    <n v="0"/>
    <n v="0"/>
    <n v="2"/>
    <n v="2"/>
    <n v="2"/>
    <n v="0"/>
    <n v="0"/>
    <n v="0"/>
    <n v="0"/>
    <n v="0"/>
    <n v="0"/>
    <n v="0"/>
    <n v="0"/>
    <n v="0"/>
    <n v="0"/>
    <n v="0"/>
    <n v="0"/>
    <n v="0"/>
    <n v="0"/>
    <n v="0"/>
    <n v="0"/>
    <n v="0"/>
    <s v="East"/>
    <x v="0"/>
    <x v="0"/>
    <x v="1"/>
    <x v="0"/>
    <x v="0"/>
    <x v="0"/>
    <m/>
    <x v="0"/>
    <s v="Y"/>
    <n v="7"/>
    <m/>
    <n v="6"/>
    <n v="0"/>
    <n v="0"/>
    <n v="0"/>
    <n v="0"/>
    <n v="0"/>
    <n v="0"/>
    <n v="0"/>
    <n v="0"/>
    <n v="0"/>
    <n v="0"/>
    <n v="0"/>
    <n v="0"/>
    <n v="0"/>
    <n v="0"/>
    <n v="0"/>
    <n v="0"/>
    <n v="0"/>
    <n v="0"/>
    <n v="0"/>
    <n v="0"/>
    <n v="0"/>
    <n v="0"/>
  </r>
  <r>
    <n v="6428"/>
    <x v="0"/>
    <s v="2017/0418"/>
    <m/>
    <s v="58 Oakhill Road"/>
    <m/>
    <n v="524963"/>
    <n v="174923"/>
    <x v="0"/>
    <d v="2017-03-31T00:00:00"/>
    <d v="2017-12-14T00:00:00"/>
    <n v="1"/>
    <n v="2"/>
    <n v="1"/>
    <n v="2"/>
    <n v="1"/>
    <m/>
    <s v="Alterations including erection of rear mansard roof extension to main rear roof, single-storey rear/side extension in connection with conversion of property into 1 x 2-bedroom and 1 x 3-bedroom flats."/>
    <s v="PF"/>
    <d v="2017-01-27T00:00:00"/>
    <d v="2017-03-30T00:00:00"/>
    <x v="0"/>
    <s v="Nil"/>
    <m/>
    <s v="BF"/>
    <x v="4"/>
    <x v="0"/>
    <x v="8"/>
    <n v="1.30000002682209E-2"/>
    <d v="2017-03-31T00:00:00"/>
    <x v="0"/>
    <d v="2017-12-14T00:00:00"/>
    <x v="0"/>
    <s v="P"/>
    <m/>
    <m/>
    <n v="0"/>
    <m/>
    <n v="0"/>
    <m/>
    <n v="0"/>
    <n v="0"/>
    <n v="1"/>
    <n v="1"/>
    <n v="0"/>
    <n v="-1"/>
    <n v="0"/>
    <n v="0"/>
    <n v="0"/>
    <n v="1"/>
    <n v="1"/>
    <n v="0"/>
    <n v="-1"/>
    <n v="0"/>
    <n v="0"/>
    <n v="0"/>
    <n v="0"/>
    <n v="0"/>
    <n v="0"/>
    <n v="0"/>
    <n v="0"/>
    <n v="0"/>
    <n v="0"/>
    <n v="0"/>
    <n v="0"/>
    <n v="0"/>
    <n v="0"/>
    <n v="0"/>
    <s v="West"/>
    <x v="0"/>
    <x v="0"/>
    <x v="1"/>
    <x v="0"/>
    <x v="0"/>
    <x v="0"/>
    <m/>
    <x v="0"/>
    <s v="Y"/>
    <n v="7"/>
    <m/>
    <n v="1"/>
    <n v="0"/>
    <n v="0"/>
    <n v="0"/>
    <n v="0"/>
    <n v="0"/>
    <n v="0"/>
    <n v="0"/>
    <n v="0"/>
    <n v="0"/>
    <n v="0"/>
    <n v="0"/>
    <n v="0"/>
    <n v="0"/>
    <n v="0"/>
    <n v="0"/>
    <n v="0"/>
    <n v="0"/>
    <n v="0"/>
    <n v="0"/>
    <n v="0"/>
    <n v="0"/>
    <n v="0"/>
  </r>
  <r>
    <n v="6429"/>
    <x v="0"/>
    <s v="2017/0267"/>
    <m/>
    <s v="12 Bridge Lane"/>
    <m/>
    <n v="527414"/>
    <n v="176601"/>
    <x v="1"/>
    <d v="2017-09-12T00:00:00"/>
    <d v="2018-03-31T00:00:00"/>
    <n v="2"/>
    <n v="1"/>
    <n v="-1"/>
    <n v="1"/>
    <n v="-1"/>
    <m/>
    <s v="Alterations in connection with conversion from two self-contained flats to a single dwelling including excavation works to create cellar/basement, erection of part single, part two-storey rear extension, formation of roof terraces at first and second floor levels at the rear with railings, and bin store to front garden."/>
    <s v="PF"/>
    <d v="2017-01-20T00:00:00"/>
    <d v="2017-03-17T00:00:00"/>
    <x v="0"/>
    <s v="Nil"/>
    <m/>
    <s v="BF"/>
    <x v="4"/>
    <x v="0"/>
    <x v="7"/>
    <n v="8.9999996125698107E-3"/>
    <d v="2017-09-12T00:00:00"/>
    <x v="1"/>
    <d v="2018-03-31T00:00:00"/>
    <x v="0"/>
    <s v="P"/>
    <m/>
    <m/>
    <n v="0"/>
    <m/>
    <n v="0"/>
    <m/>
    <n v="0"/>
    <n v="-1"/>
    <n v="-1"/>
    <n v="0"/>
    <n v="1"/>
    <n v="0"/>
    <n v="0"/>
    <n v="0"/>
    <n v="-1"/>
    <n v="-1"/>
    <n v="0"/>
    <n v="0"/>
    <n v="0"/>
    <n v="0"/>
    <n v="0"/>
    <n v="0"/>
    <n v="0"/>
    <n v="0"/>
    <n v="1"/>
    <n v="0"/>
    <n v="0"/>
    <n v="0"/>
    <n v="0"/>
    <n v="0"/>
    <n v="0"/>
    <n v="0"/>
    <n v="0"/>
    <n v="0"/>
    <s v="East"/>
    <x v="0"/>
    <x v="0"/>
    <x v="1"/>
    <x v="0"/>
    <x v="0"/>
    <x v="0"/>
    <m/>
    <x v="0"/>
    <s v="Y"/>
    <n v="7"/>
    <m/>
    <n v="-1"/>
    <n v="0"/>
    <n v="0"/>
    <n v="0"/>
    <n v="0"/>
    <n v="0"/>
    <n v="0"/>
    <n v="0"/>
    <n v="0"/>
    <n v="0"/>
    <n v="0"/>
    <n v="0"/>
    <n v="0"/>
    <n v="0"/>
    <n v="0"/>
    <n v="0"/>
    <n v="0"/>
    <n v="0"/>
    <n v="0"/>
    <n v="0"/>
    <n v="0"/>
    <n v="0"/>
    <n v="0"/>
  </r>
  <r>
    <n v="6484"/>
    <x v="0"/>
    <s v="2017/1490"/>
    <m/>
    <s v="29 Selkirk Road"/>
    <m/>
    <n v="527426"/>
    <n v="171659"/>
    <x v="4"/>
    <d v="2017-05-08T00:00:00"/>
    <d v="2018-03-31T00:00:00"/>
    <n v="2"/>
    <n v="1"/>
    <n v="-1"/>
    <n v="1"/>
    <n v="-1"/>
    <m/>
    <s v="Conversion of property from 2 x self-contained flats to a single dwellinghouse with installation of window to replace an entrance door."/>
    <s v="PF"/>
    <d v="2017-03-13T00:00:00"/>
    <d v="2017-05-08T00:00:00"/>
    <x v="1"/>
    <s v="Nil"/>
    <m/>
    <s v="BF"/>
    <x v="1"/>
    <x v="0"/>
    <x v="7"/>
    <n v="1.7999999225139601E-2"/>
    <d v="2017-05-08T00:00:00"/>
    <x v="1"/>
    <d v="2018-03-31T00:00:00"/>
    <x v="0"/>
    <s v="P"/>
    <m/>
    <m/>
    <n v="0"/>
    <m/>
    <n v="0"/>
    <m/>
    <n v="0"/>
    <n v="-1"/>
    <n v="-1"/>
    <n v="1"/>
    <n v="0"/>
    <n v="0"/>
    <n v="0"/>
    <n v="0"/>
    <n v="-1"/>
    <n v="-1"/>
    <n v="0"/>
    <n v="0"/>
    <n v="0"/>
    <n v="0"/>
    <n v="0"/>
    <n v="0"/>
    <n v="0"/>
    <n v="1"/>
    <n v="0"/>
    <n v="0"/>
    <n v="0"/>
    <n v="0"/>
    <n v="0"/>
    <n v="0"/>
    <n v="0"/>
    <n v="0"/>
    <n v="0"/>
    <n v="0"/>
    <s v="East"/>
    <x v="0"/>
    <x v="0"/>
    <x v="1"/>
    <x v="0"/>
    <x v="0"/>
    <x v="0"/>
    <m/>
    <x v="0"/>
    <s v="Y"/>
    <n v="7"/>
    <m/>
    <n v="-1"/>
    <n v="0"/>
    <n v="0"/>
    <n v="0"/>
    <n v="0"/>
    <n v="0"/>
    <n v="0"/>
    <n v="0"/>
    <n v="0"/>
    <n v="0"/>
    <n v="0"/>
    <n v="0"/>
    <n v="0"/>
    <n v="0"/>
    <n v="0"/>
    <n v="0"/>
    <n v="0"/>
    <n v="0"/>
    <n v="0"/>
    <n v="0"/>
    <n v="0"/>
    <n v="0"/>
    <n v="0"/>
  </r>
  <r>
    <n v="6488"/>
    <x v="0"/>
    <s v="2017/3621"/>
    <m/>
    <s v="193 Garratt Lane"/>
    <m/>
    <n v="525892"/>
    <n v="173930"/>
    <x v="18"/>
    <m/>
    <d v="2018-03-31T00:00:00"/>
    <n v="1"/>
    <n v="2"/>
    <n v="1"/>
    <n v="3"/>
    <n v="2"/>
    <m/>
    <s v="Erection of rear roof extension to main roof and above two-storey back addition; erection of a single-storey rear extension in connection with conversion of property to 2 x 2-bedroom and 1 x 1-bedroom flats with associated cycle and refuse storage. Alterations to ground floor including change of use of rear from restaurant (Class A3) to residential (Class C3)."/>
    <s v="PF"/>
    <d v="2017-06-27T00:00:00"/>
    <d v="2017-08-24T00:00:00"/>
    <x v="1"/>
    <s v="Nil"/>
    <m/>
    <s v="BF"/>
    <x v="4"/>
    <x v="0"/>
    <x v="10"/>
    <n v="4.9999998882412902E-3"/>
    <m/>
    <x v="0"/>
    <d v="2018-03-31T00:00:00"/>
    <x v="0"/>
    <s v="P"/>
    <m/>
    <m/>
    <n v="0"/>
    <m/>
    <n v="0"/>
    <m/>
    <n v="0"/>
    <n v="1"/>
    <n v="1"/>
    <n v="-1"/>
    <n v="0"/>
    <n v="0"/>
    <n v="0"/>
    <n v="0"/>
    <n v="1"/>
    <n v="1"/>
    <n v="-1"/>
    <n v="0"/>
    <n v="0"/>
    <n v="0"/>
    <n v="0"/>
    <n v="0"/>
    <n v="0"/>
    <n v="0"/>
    <n v="0"/>
    <n v="0"/>
    <n v="0"/>
    <n v="0"/>
    <n v="0"/>
    <n v="0"/>
    <n v="0"/>
    <n v="0"/>
    <n v="0"/>
    <n v="0"/>
    <s v="West"/>
    <x v="0"/>
    <x v="0"/>
    <x v="1"/>
    <x v="0"/>
    <x v="0"/>
    <x v="0"/>
    <m/>
    <x v="0"/>
    <s v="Y"/>
    <n v="7"/>
    <m/>
    <n v="1"/>
    <n v="0"/>
    <n v="0"/>
    <n v="0"/>
    <n v="0"/>
    <n v="0"/>
    <n v="0"/>
    <n v="0"/>
    <n v="0"/>
    <n v="0"/>
    <n v="0"/>
    <n v="0"/>
    <n v="0"/>
    <n v="0"/>
    <n v="0"/>
    <n v="0"/>
    <n v="0"/>
    <n v="0"/>
    <n v="0"/>
    <n v="0"/>
    <n v="0"/>
    <n v="0"/>
    <n v="0"/>
  </r>
  <r>
    <n v="6488"/>
    <x v="0"/>
    <s v="2017/3621"/>
    <m/>
    <s v="193 Garratt Lane"/>
    <m/>
    <n v="525892"/>
    <n v="173930"/>
    <x v="18"/>
    <m/>
    <d v="2018-03-31T00:00:00"/>
    <n v="0"/>
    <n v="1"/>
    <n v="1"/>
    <n v="3"/>
    <n v="2"/>
    <m/>
    <s v="Erection of rear roof extension to main roof and above two-storey back addition; erection of a single-storey rear extension in connection with conversion of property to 2 x 2-bedroom and 1 x 1-bedroom flats with associated cycle and refuse storage. Alterations to ground floor including change of use of rear from restaurant (Class A3) to residential (Class C3)."/>
    <s v="PF"/>
    <d v="2017-06-27T00:00:00"/>
    <d v="2017-08-24T00:00:00"/>
    <x v="1"/>
    <s v="Nil"/>
    <m/>
    <s v="BF"/>
    <x v="4"/>
    <x v="0"/>
    <x v="5"/>
    <n v="2.0000000949949E-3"/>
    <m/>
    <x v="0"/>
    <d v="2018-03-31T00:00:00"/>
    <x v="0"/>
    <s v="P"/>
    <m/>
    <m/>
    <n v="0"/>
    <m/>
    <n v="0"/>
    <m/>
    <n v="0"/>
    <n v="0"/>
    <n v="1"/>
    <n v="0"/>
    <n v="0"/>
    <n v="0"/>
    <n v="0"/>
    <n v="0"/>
    <n v="0"/>
    <n v="1"/>
    <n v="0"/>
    <n v="0"/>
    <n v="0"/>
    <n v="0"/>
    <n v="0"/>
    <n v="0"/>
    <n v="0"/>
    <n v="0"/>
    <n v="0"/>
    <n v="0"/>
    <n v="0"/>
    <n v="0"/>
    <n v="0"/>
    <n v="0"/>
    <n v="0"/>
    <n v="0"/>
    <n v="0"/>
    <n v="0"/>
    <s v="West"/>
    <x v="0"/>
    <x v="0"/>
    <x v="1"/>
    <x v="0"/>
    <x v="0"/>
    <x v="0"/>
    <m/>
    <x v="0"/>
    <s v="Y"/>
    <n v="7"/>
    <m/>
    <n v="1"/>
    <n v="0"/>
    <n v="0"/>
    <n v="0"/>
    <n v="0"/>
    <n v="0"/>
    <n v="0"/>
    <n v="0"/>
    <n v="0"/>
    <n v="0"/>
    <n v="0"/>
    <n v="0"/>
    <n v="0"/>
    <n v="0"/>
    <n v="0"/>
    <n v="0"/>
    <n v="0"/>
    <n v="0"/>
    <n v="0"/>
    <n v="0"/>
    <n v="0"/>
    <n v="0"/>
    <n v="0"/>
  </r>
  <r>
    <n v="6506"/>
    <x v="0"/>
    <s v="2016/3365"/>
    <s v="Plantation Wharf"/>
    <s v="Ivory House, Clove Hitch Quay"/>
    <m/>
    <n v="526382"/>
    <n v="175731"/>
    <x v="1"/>
    <d v="2017-04-01T00:00:00"/>
    <d v="2018-03-31T00:00:00"/>
    <n v="0"/>
    <n v="3"/>
    <n v="3"/>
    <n v="3"/>
    <n v="3"/>
    <m/>
    <s v="Determination as to whether prior approval is required for change of use from office (Class B1a) to 1 x 2-bedroom and 2 x 1-bedroom flats (Class C3) on ground floor level."/>
    <s v="PAG"/>
    <d v="2016-06-15T00:00:00"/>
    <d v="2016-08-10T00:00:00"/>
    <x v="0"/>
    <s v="Nil"/>
    <m/>
    <s v="BF"/>
    <x v="3"/>
    <x v="0"/>
    <x v="9"/>
    <n v="1.7000000923872001E-2"/>
    <d v="2017-04-01T00:00:00"/>
    <x v="1"/>
    <d v="2018-03-31T00:00:00"/>
    <x v="0"/>
    <s v="P"/>
    <m/>
    <m/>
    <n v="0"/>
    <m/>
    <n v="0"/>
    <m/>
    <n v="0"/>
    <n v="2"/>
    <n v="1"/>
    <n v="0"/>
    <n v="0"/>
    <n v="0"/>
    <n v="0"/>
    <n v="0"/>
    <n v="2"/>
    <n v="1"/>
    <n v="0"/>
    <n v="0"/>
    <n v="0"/>
    <n v="0"/>
    <n v="0"/>
    <n v="0"/>
    <n v="0"/>
    <n v="0"/>
    <n v="0"/>
    <n v="0"/>
    <n v="0"/>
    <n v="0"/>
    <n v="0"/>
    <n v="0"/>
    <n v="0"/>
    <n v="0"/>
    <n v="0"/>
    <n v="0"/>
    <s v="East"/>
    <x v="0"/>
    <x v="0"/>
    <x v="1"/>
    <x v="0"/>
    <x v="0"/>
    <x v="0"/>
    <s v="Y"/>
    <x v="0"/>
    <s v="Y"/>
    <n v="7"/>
    <m/>
    <n v="3"/>
    <n v="0"/>
    <n v="0"/>
    <n v="0"/>
    <n v="0"/>
    <n v="0"/>
    <n v="0"/>
    <n v="0"/>
    <n v="0"/>
    <n v="0"/>
    <n v="0"/>
    <n v="0"/>
    <n v="0"/>
    <n v="0"/>
    <n v="0"/>
    <n v="0"/>
    <n v="0"/>
    <n v="0"/>
    <n v="0"/>
    <n v="0"/>
    <n v="0"/>
    <n v="0"/>
    <n v="0"/>
  </r>
  <r>
    <n v="6512"/>
    <x v="0"/>
    <s v="2017/1828"/>
    <m/>
    <s v="1-4 Mayford Close"/>
    <m/>
    <n v="527748"/>
    <n v="173556"/>
    <x v="11"/>
    <d v="2017-10-27T00:00:00"/>
    <d v="2017-11-21T00:00:00"/>
    <n v="2"/>
    <n v="2"/>
    <n v="0"/>
    <n v="4"/>
    <n v="2"/>
    <m/>
    <s v="Erection of an additional storey with habitable roofspace to create three-storey building to provide 2 x 3-bedroom flats and change the 2 first floor 2-bedroom flats to 1-bedroom flats and external cladding. Associated landscaping and bin and bike storage."/>
    <s v="PF"/>
    <d v="2017-04-12T00:00:00"/>
    <d v="2017-09-25T00:00:00"/>
    <x v="1"/>
    <s v="Nil"/>
    <m/>
    <s v="BF"/>
    <x v="4"/>
    <x v="0"/>
    <x v="2"/>
    <n v="2.19999998807907E-2"/>
    <d v="2017-10-27T00:00:00"/>
    <x v="1"/>
    <d v="2017-11-21T00:00:00"/>
    <x v="0"/>
    <s v="P"/>
    <m/>
    <m/>
    <n v="0"/>
    <m/>
    <n v="0"/>
    <m/>
    <n v="0"/>
    <n v="2"/>
    <n v="-2"/>
    <n v="0"/>
    <n v="0"/>
    <n v="0"/>
    <n v="0"/>
    <n v="0"/>
    <n v="2"/>
    <n v="-2"/>
    <n v="0"/>
    <n v="0"/>
    <n v="0"/>
    <n v="0"/>
    <n v="0"/>
    <n v="0"/>
    <n v="0"/>
    <n v="0"/>
    <n v="0"/>
    <n v="0"/>
    <n v="0"/>
    <n v="0"/>
    <n v="0"/>
    <n v="0"/>
    <n v="0"/>
    <n v="0"/>
    <n v="0"/>
    <n v="0"/>
    <s v="East"/>
    <x v="0"/>
    <x v="0"/>
    <x v="1"/>
    <x v="0"/>
    <x v="0"/>
    <x v="0"/>
    <m/>
    <x v="0"/>
    <s v="Y"/>
    <n v="7"/>
    <m/>
    <n v="0"/>
    <n v="0"/>
    <n v="0"/>
    <n v="0"/>
    <n v="0"/>
    <n v="0"/>
    <n v="0"/>
    <n v="0"/>
    <n v="0"/>
    <n v="0"/>
    <n v="0"/>
    <n v="0"/>
    <n v="0"/>
    <n v="0"/>
    <n v="0"/>
    <n v="0"/>
    <n v="0"/>
    <n v="0"/>
    <n v="0"/>
    <n v="0"/>
    <n v="0"/>
    <n v="0"/>
    <n v="0"/>
  </r>
  <r>
    <n v="6512"/>
    <x v="0"/>
    <s v="2017/1828"/>
    <m/>
    <s v="1-4 Mayford Close"/>
    <m/>
    <n v="527748"/>
    <n v="173556"/>
    <x v="11"/>
    <d v="2017-10-27T00:00:00"/>
    <d v="2017-11-21T00:00:00"/>
    <n v="0"/>
    <n v="2"/>
    <n v="2"/>
    <n v="4"/>
    <n v="2"/>
    <m/>
    <s v="Erection of an additional storey with habitable roofspace to create three-storey building to provide 2 x 3-bedroom flats and change the 2 first floor 2-bedroom flats to 1-bedroom flats and external cladding. Associated landscaping and bin and bike storage."/>
    <s v="PF"/>
    <d v="2017-04-12T00:00:00"/>
    <d v="2017-09-25T00:00:00"/>
    <x v="1"/>
    <s v="Nil"/>
    <m/>
    <s v="BF"/>
    <x v="4"/>
    <x v="0"/>
    <x v="0"/>
    <n v="2.19999998807907E-2"/>
    <d v="2017-10-27T00:00:00"/>
    <x v="1"/>
    <d v="2017-11-21T00:00:00"/>
    <x v="0"/>
    <s v="P"/>
    <m/>
    <m/>
    <n v="0"/>
    <m/>
    <n v="0"/>
    <m/>
    <n v="0"/>
    <n v="0"/>
    <n v="0"/>
    <n v="2"/>
    <n v="0"/>
    <n v="0"/>
    <n v="0"/>
    <n v="0"/>
    <n v="0"/>
    <n v="0"/>
    <n v="2"/>
    <n v="0"/>
    <n v="0"/>
    <n v="0"/>
    <n v="0"/>
    <n v="0"/>
    <n v="0"/>
    <n v="0"/>
    <n v="0"/>
    <n v="0"/>
    <n v="0"/>
    <n v="0"/>
    <n v="0"/>
    <n v="0"/>
    <n v="0"/>
    <n v="0"/>
    <n v="0"/>
    <n v="0"/>
    <s v="East"/>
    <x v="0"/>
    <x v="0"/>
    <x v="1"/>
    <x v="0"/>
    <x v="0"/>
    <x v="0"/>
    <m/>
    <x v="0"/>
    <s v="Y"/>
    <n v="7"/>
    <m/>
    <n v="2"/>
    <n v="0"/>
    <n v="0"/>
    <n v="0"/>
    <n v="0"/>
    <n v="0"/>
    <n v="0"/>
    <n v="0"/>
    <n v="0"/>
    <n v="0"/>
    <n v="0"/>
    <n v="0"/>
    <n v="0"/>
    <n v="0"/>
    <n v="0"/>
    <n v="0"/>
    <n v="0"/>
    <n v="0"/>
    <n v="0"/>
    <n v="0"/>
    <n v="0"/>
    <n v="0"/>
    <n v="0"/>
  </r>
  <r>
    <n v="6533"/>
    <x v="0"/>
    <s v="2017/1160"/>
    <m/>
    <s v="114 Disraeli Road"/>
    <m/>
    <n v="524407"/>
    <n v="175018"/>
    <x v="13"/>
    <d v="2017-05-18T00:00:00"/>
    <d v="2017-11-08T00:00:00"/>
    <n v="1"/>
    <n v="2"/>
    <n v="1"/>
    <n v="2"/>
    <n v="1"/>
    <m/>
    <s v="Alterations including  erection of mansard roof extension to main rear roof (with french doors and safety railings) and erection of roof extension over part of two storey back addition; erection of single storey rear/side extension including terrace at first floor level and stair access to garden in connection with conversion into 1 x 2-bedroom and 1 x 3-bedroom flats."/>
    <s v="PF"/>
    <d v="2017-03-20T00:00:00"/>
    <d v="2017-05-15T00:00:00"/>
    <x v="1"/>
    <s v="Nil"/>
    <m/>
    <s v="BF"/>
    <x v="2"/>
    <x v="0"/>
    <x v="8"/>
    <n v="1.60000007599592E-2"/>
    <d v="2017-05-18T00:00:00"/>
    <x v="1"/>
    <d v="2017-11-08T00:00:00"/>
    <x v="0"/>
    <s v="P"/>
    <m/>
    <m/>
    <n v="0"/>
    <m/>
    <n v="0"/>
    <m/>
    <n v="0"/>
    <n v="0"/>
    <n v="1"/>
    <n v="0"/>
    <n v="0"/>
    <n v="0"/>
    <n v="0"/>
    <n v="0"/>
    <n v="0"/>
    <n v="1"/>
    <n v="1"/>
    <n v="0"/>
    <n v="0"/>
    <n v="0"/>
    <n v="0"/>
    <n v="0"/>
    <n v="0"/>
    <n v="-1"/>
    <n v="0"/>
    <n v="0"/>
    <n v="0"/>
    <n v="0"/>
    <n v="0"/>
    <n v="0"/>
    <n v="0"/>
    <n v="0"/>
    <n v="0"/>
    <n v="0"/>
    <s v="West"/>
    <x v="0"/>
    <x v="0"/>
    <x v="1"/>
    <x v="0"/>
    <x v="0"/>
    <x v="0"/>
    <m/>
    <x v="0"/>
    <s v="Y"/>
    <n v="7"/>
    <m/>
    <n v="1"/>
    <n v="0"/>
    <n v="0"/>
    <n v="0"/>
    <n v="0"/>
    <n v="0"/>
    <n v="0"/>
    <n v="0"/>
    <n v="0"/>
    <n v="0"/>
    <n v="0"/>
    <n v="0"/>
    <n v="0"/>
    <n v="0"/>
    <n v="0"/>
    <n v="0"/>
    <n v="0"/>
    <n v="0"/>
    <n v="0"/>
    <n v="0"/>
    <n v="0"/>
    <n v="0"/>
    <n v="0"/>
  </r>
  <r>
    <n v="6540"/>
    <x v="0"/>
    <s v="2017/4241"/>
    <m/>
    <s v="286 Battersea Park Road"/>
    <m/>
    <n v="527359"/>
    <n v="176346"/>
    <x v="1"/>
    <d v="2015-01-20T00:00:00"/>
    <d v="2018-03-31T00:00:00"/>
    <n v="1"/>
    <n v="3"/>
    <n v="2"/>
    <n v="3"/>
    <n v="2"/>
    <m/>
    <s v="Conversion of upper floor flat into 3 x studio flats including alterations to fenestration (retrospective)."/>
    <s v="PF"/>
    <d v="2017-08-15T00:00:00"/>
    <d v="2017-10-10T00:00:00"/>
    <x v="1"/>
    <s v="Nil"/>
    <m/>
    <s v="BF"/>
    <x v="1"/>
    <x v="0"/>
    <x v="10"/>
    <n v="9.9999997764825804E-3"/>
    <d v="2015-01-20T00:00:00"/>
    <x v="0"/>
    <d v="2018-03-31T00:00:00"/>
    <x v="0"/>
    <s v="P"/>
    <m/>
    <m/>
    <n v="0"/>
    <m/>
    <n v="0"/>
    <m/>
    <n v="3"/>
    <n v="0"/>
    <n v="0"/>
    <n v="0"/>
    <n v="-1"/>
    <n v="0"/>
    <n v="0"/>
    <n v="3"/>
    <n v="0"/>
    <n v="0"/>
    <n v="0"/>
    <n v="-1"/>
    <n v="0"/>
    <n v="0"/>
    <n v="0"/>
    <n v="0"/>
    <n v="0"/>
    <n v="0"/>
    <n v="0"/>
    <n v="0"/>
    <n v="0"/>
    <n v="0"/>
    <n v="0"/>
    <n v="0"/>
    <n v="0"/>
    <n v="0"/>
    <n v="0"/>
    <n v="0"/>
    <s v="East"/>
    <x v="0"/>
    <x v="0"/>
    <x v="1"/>
    <x v="0"/>
    <x v="0"/>
    <x v="0"/>
    <m/>
    <x v="0"/>
    <s v="Y"/>
    <n v="7"/>
    <m/>
    <n v="2"/>
    <n v="0"/>
    <n v="0"/>
    <n v="0"/>
    <n v="0"/>
    <n v="0"/>
    <n v="0"/>
    <n v="0"/>
    <n v="0"/>
    <n v="0"/>
    <n v="0"/>
    <n v="0"/>
    <n v="0"/>
    <n v="0"/>
    <n v="0"/>
    <n v="0"/>
    <n v="0"/>
    <n v="0"/>
    <n v="0"/>
    <n v="0"/>
    <n v="0"/>
    <n v="0"/>
    <n v="0"/>
  </r>
  <r>
    <n v="6547"/>
    <x v="0"/>
    <s v="2017/0627"/>
    <m/>
    <s v="Flat B, 18 Revelstoke Road"/>
    <m/>
    <n v="525331"/>
    <n v="172796"/>
    <x v="5"/>
    <d v="2017-04-06T00:00:00"/>
    <d v="2017-04-06T00:00:00"/>
    <n v="0"/>
    <n v="1"/>
    <n v="1"/>
    <n v="1"/>
    <n v="1"/>
    <m/>
    <s v="Continue use as a 1 bedroom flat."/>
    <s v="LDC Prop"/>
    <d v="2017-02-09T00:00:00"/>
    <d v="2017-04-06T00:00:00"/>
    <x v="1"/>
    <s v="Nil"/>
    <m/>
    <s v="BF"/>
    <x v="3"/>
    <x v="0"/>
    <x v="4"/>
    <n v="4.0000001899898104E-3"/>
    <d v="2017-04-06T00:00:00"/>
    <x v="1"/>
    <d v="2017-04-06T00:00:00"/>
    <x v="0"/>
    <s v="P"/>
    <m/>
    <m/>
    <n v="0"/>
    <m/>
    <n v="0"/>
    <m/>
    <n v="0"/>
    <n v="1"/>
    <n v="0"/>
    <n v="0"/>
    <n v="0"/>
    <n v="0"/>
    <n v="0"/>
    <n v="0"/>
    <n v="1"/>
    <n v="0"/>
    <n v="0"/>
    <n v="0"/>
    <n v="0"/>
    <n v="0"/>
    <n v="0"/>
    <n v="0"/>
    <n v="0"/>
    <n v="0"/>
    <n v="0"/>
    <n v="0"/>
    <n v="0"/>
    <n v="0"/>
    <n v="0"/>
    <n v="0"/>
    <n v="0"/>
    <n v="0"/>
    <n v="0"/>
    <n v="0"/>
    <s v="West"/>
    <x v="0"/>
    <x v="0"/>
    <x v="1"/>
    <x v="0"/>
    <x v="0"/>
    <x v="0"/>
    <m/>
    <x v="0"/>
    <s v="Y"/>
    <n v="7"/>
    <m/>
    <n v="1"/>
    <n v="0"/>
    <n v="0"/>
    <n v="0"/>
    <n v="0"/>
    <n v="0"/>
    <n v="0"/>
    <n v="0"/>
    <n v="0"/>
    <n v="0"/>
    <n v="0"/>
    <n v="0"/>
    <n v="0"/>
    <n v="0"/>
    <n v="0"/>
    <n v="0"/>
    <n v="0"/>
    <n v="0"/>
    <n v="0"/>
    <n v="0"/>
    <n v="0"/>
    <n v="0"/>
    <n v="0"/>
  </r>
  <r>
    <n v="6557"/>
    <x v="0"/>
    <s v="2017/2441"/>
    <m/>
    <s v="104 Selkirk Road"/>
    <m/>
    <n v="527222"/>
    <n v="171777"/>
    <x v="4"/>
    <d v="2013-07-10T00:00:00"/>
    <d v="2017-07-10T00:00:00"/>
    <n v="1"/>
    <n v="2"/>
    <n v="1"/>
    <n v="2"/>
    <n v="1"/>
    <m/>
    <s v="Use of the property as two flats."/>
    <s v="LDC Exist"/>
    <d v="2017-05-15T00:00:00"/>
    <d v="2017-07-10T00:00:00"/>
    <x v="1"/>
    <s v="Nil"/>
    <m/>
    <s v="BF"/>
    <x v="1"/>
    <x v="0"/>
    <x v="8"/>
    <n v="1.60000007599592E-2"/>
    <d v="2013-07-10T00:00:00"/>
    <x v="0"/>
    <d v="2017-07-10T00:00:00"/>
    <x v="0"/>
    <s v="P"/>
    <m/>
    <m/>
    <n v="0"/>
    <m/>
    <n v="0"/>
    <m/>
    <n v="0"/>
    <n v="1"/>
    <n v="1"/>
    <n v="-1"/>
    <n v="0"/>
    <n v="0"/>
    <n v="0"/>
    <n v="0"/>
    <n v="1"/>
    <n v="1"/>
    <n v="0"/>
    <n v="0"/>
    <n v="0"/>
    <n v="0"/>
    <n v="0"/>
    <n v="0"/>
    <n v="0"/>
    <n v="-1"/>
    <n v="0"/>
    <n v="0"/>
    <n v="0"/>
    <n v="0"/>
    <n v="0"/>
    <n v="0"/>
    <n v="0"/>
    <n v="0"/>
    <n v="0"/>
    <n v="0"/>
    <s v="East"/>
    <x v="0"/>
    <x v="0"/>
    <x v="1"/>
    <x v="0"/>
    <x v="0"/>
    <x v="0"/>
    <m/>
    <x v="0"/>
    <s v="Y"/>
    <n v="7"/>
    <m/>
    <n v="1"/>
    <n v="0"/>
    <n v="0"/>
    <n v="0"/>
    <n v="0"/>
    <n v="0"/>
    <n v="0"/>
    <n v="0"/>
    <n v="0"/>
    <n v="0"/>
    <n v="0"/>
    <n v="0"/>
    <n v="0"/>
    <n v="0"/>
    <n v="0"/>
    <n v="0"/>
    <n v="0"/>
    <n v="0"/>
    <n v="0"/>
    <n v="0"/>
    <n v="0"/>
    <n v="0"/>
    <n v="0"/>
  </r>
  <r>
    <n v="6569"/>
    <x v="0"/>
    <s v="2017/3282"/>
    <m/>
    <s v="547 Battersea Park Road"/>
    <m/>
    <n v="527371"/>
    <n v="176315"/>
    <x v="2"/>
    <d v="2017-10-31T00:00:00"/>
    <d v="2018-03-31T00:00:00"/>
    <n v="0"/>
    <n v="3"/>
    <n v="3"/>
    <n v="3"/>
    <n v="3"/>
    <m/>
    <s v="Erection of a mansard extension to main roof to form an additional floor of accommodation in connection with the change of use of the upper floors to create 3 x 1-bedroom self contained flats. Alterations to ground floor shop including alterations to shopfront and creation of ancillary office and courtyard area to rear."/>
    <s v="PF"/>
    <d v="2017-06-23T00:00:00"/>
    <d v="2017-10-31T00:00:00"/>
    <x v="1"/>
    <s v="Nil"/>
    <m/>
    <s v="BF"/>
    <x v="4"/>
    <x v="0"/>
    <x v="9"/>
    <n v="7.0000002160668399E-3"/>
    <d v="2017-10-31T00:00:00"/>
    <x v="1"/>
    <d v="2018-03-31T00:00:00"/>
    <x v="0"/>
    <s v="P"/>
    <m/>
    <m/>
    <n v="0"/>
    <m/>
    <n v="0"/>
    <m/>
    <n v="0"/>
    <n v="3"/>
    <n v="0"/>
    <n v="0"/>
    <n v="0"/>
    <n v="0"/>
    <n v="0"/>
    <n v="0"/>
    <n v="3"/>
    <n v="0"/>
    <n v="0"/>
    <n v="0"/>
    <n v="0"/>
    <n v="0"/>
    <n v="0"/>
    <n v="0"/>
    <n v="0"/>
    <n v="0"/>
    <n v="0"/>
    <n v="0"/>
    <n v="0"/>
    <n v="0"/>
    <n v="0"/>
    <n v="0"/>
    <n v="0"/>
    <n v="0"/>
    <n v="0"/>
    <n v="0"/>
    <s v="East"/>
    <x v="0"/>
    <x v="0"/>
    <x v="1"/>
    <x v="0"/>
    <x v="0"/>
    <x v="0"/>
    <m/>
    <x v="0"/>
    <s v="Y"/>
    <n v="7"/>
    <m/>
    <n v="3"/>
    <n v="0"/>
    <n v="0"/>
    <n v="0"/>
    <n v="0"/>
    <n v="0"/>
    <n v="0"/>
    <n v="0"/>
    <n v="0"/>
    <n v="0"/>
    <n v="0"/>
    <n v="0"/>
    <n v="0"/>
    <n v="0"/>
    <n v="0"/>
    <n v="0"/>
    <n v="0"/>
    <n v="0"/>
    <n v="0"/>
    <n v="0"/>
    <n v="0"/>
    <n v="0"/>
    <n v="0"/>
  </r>
  <r>
    <n v="6580"/>
    <x v="0"/>
    <s v="2017/1762"/>
    <m/>
    <s v="105 Crowborough Road"/>
    <m/>
    <n v="528305"/>
    <n v="171156"/>
    <x v="12"/>
    <d v="2017-06-05T00:00:00"/>
    <d v="2017-06-05T00:00:00"/>
    <n v="1"/>
    <n v="2"/>
    <n v="1"/>
    <n v="2"/>
    <n v="1"/>
    <m/>
    <s v="Use as 1 x 1-bedroom and 1 x 2-bedroom flats."/>
    <s v="LDC Exist"/>
    <d v="2017-04-10T00:00:00"/>
    <d v="2017-06-05T00:00:00"/>
    <x v="1"/>
    <s v="Nil"/>
    <m/>
    <s v="BF"/>
    <x v="1"/>
    <x v="0"/>
    <x v="8"/>
    <n v="9.9999997764825804E-3"/>
    <d v="2017-06-05T00:00:00"/>
    <x v="1"/>
    <d v="2017-06-05T00:00:00"/>
    <x v="0"/>
    <s v="P"/>
    <m/>
    <m/>
    <n v="0"/>
    <m/>
    <n v="0"/>
    <m/>
    <n v="0"/>
    <n v="1"/>
    <n v="1"/>
    <n v="-1"/>
    <n v="0"/>
    <n v="0"/>
    <n v="0"/>
    <n v="0"/>
    <n v="1"/>
    <n v="1"/>
    <n v="0"/>
    <n v="0"/>
    <n v="0"/>
    <n v="0"/>
    <n v="0"/>
    <n v="0"/>
    <n v="0"/>
    <n v="-1"/>
    <n v="0"/>
    <n v="0"/>
    <n v="0"/>
    <n v="0"/>
    <n v="0"/>
    <n v="0"/>
    <n v="0"/>
    <n v="0"/>
    <n v="0"/>
    <n v="0"/>
    <s v="East"/>
    <x v="0"/>
    <x v="0"/>
    <x v="1"/>
    <x v="0"/>
    <x v="0"/>
    <x v="0"/>
    <m/>
    <x v="0"/>
    <s v="Y"/>
    <n v="7"/>
    <m/>
    <n v="1"/>
    <n v="0"/>
    <n v="0"/>
    <n v="0"/>
    <n v="0"/>
    <n v="0"/>
    <n v="0"/>
    <n v="0"/>
    <n v="0"/>
    <n v="0"/>
    <n v="0"/>
    <n v="0"/>
    <n v="0"/>
    <n v="0"/>
    <n v="0"/>
    <n v="0"/>
    <n v="0"/>
    <n v="0"/>
    <n v="0"/>
    <n v="0"/>
    <n v="0"/>
    <n v="0"/>
    <n v="0"/>
  </r>
  <r>
    <n v="6585"/>
    <x v="0"/>
    <s v="2017/5182"/>
    <m/>
    <s v="10 Sisters Avenue"/>
    <m/>
    <n v="527915"/>
    <n v="175487"/>
    <x v="10"/>
    <d v="2013-11-13T00:00:00"/>
    <d v="2017-11-13T00:00:00"/>
    <n v="1"/>
    <n v="3"/>
    <n v="2"/>
    <n v="3"/>
    <n v="2"/>
    <m/>
    <s v="Continued use as 2 x 1-bedroom and 1 x 4-bedroom flats."/>
    <s v="LDC Exist"/>
    <d v="2017-09-20T00:00:00"/>
    <d v="2017-11-13T00:00:00"/>
    <x v="1"/>
    <s v="Nil"/>
    <m/>
    <s v="BF"/>
    <x v="1"/>
    <x v="0"/>
    <x v="8"/>
    <n v="2.0999999716877899E-2"/>
    <d v="2013-11-13T00:00:00"/>
    <x v="0"/>
    <d v="2017-11-13T00:00:00"/>
    <x v="0"/>
    <s v="P"/>
    <m/>
    <m/>
    <n v="0"/>
    <m/>
    <n v="0"/>
    <m/>
    <n v="0"/>
    <n v="2"/>
    <n v="0"/>
    <n v="0"/>
    <n v="0"/>
    <n v="0"/>
    <n v="0"/>
    <n v="0"/>
    <n v="2"/>
    <n v="0"/>
    <n v="0"/>
    <n v="1"/>
    <n v="0"/>
    <n v="0"/>
    <n v="0"/>
    <n v="0"/>
    <n v="0"/>
    <n v="0"/>
    <n v="-1"/>
    <n v="0"/>
    <n v="0"/>
    <n v="0"/>
    <n v="0"/>
    <n v="0"/>
    <n v="0"/>
    <n v="0"/>
    <n v="0"/>
    <n v="0"/>
    <s v="East"/>
    <x v="0"/>
    <x v="0"/>
    <x v="1"/>
    <x v="0"/>
    <x v="0"/>
    <x v="0"/>
    <m/>
    <x v="0"/>
    <s v="Y"/>
    <n v="7"/>
    <m/>
    <n v="2"/>
    <n v="0"/>
    <n v="0"/>
    <n v="0"/>
    <n v="0"/>
    <n v="0"/>
    <n v="0"/>
    <n v="0"/>
    <n v="0"/>
    <n v="0"/>
    <n v="0"/>
    <n v="0"/>
    <n v="0"/>
    <n v="0"/>
    <n v="0"/>
    <n v="0"/>
    <n v="0"/>
    <n v="0"/>
    <n v="0"/>
    <n v="0"/>
    <n v="0"/>
    <n v="0"/>
    <n v="0"/>
  </r>
  <r>
    <n v="6599"/>
    <x v="0"/>
    <s v="2017/2929"/>
    <m/>
    <s v="64 Coverton Road"/>
    <m/>
    <n v="527197"/>
    <n v="171468"/>
    <x v="4"/>
    <d v="2017-08-11T00:00:00"/>
    <d v="2018-03-31T00:00:00"/>
    <n v="2"/>
    <n v="3"/>
    <n v="1"/>
    <n v="3"/>
    <n v="1"/>
    <m/>
    <s v="Alterations including erection of ground floor side/rear extension, first floor rear extension; creation of roof terraces at first and second floor with glazed balustrades and associated internal alterations to convert the property into 1 x 3-bedroom and 1 x 1-bedroom and 1 x studio self contained residential units."/>
    <s v="PF"/>
    <d v="2017-06-20T00:00:00"/>
    <d v="2017-07-31T00:00:00"/>
    <x v="1"/>
    <s v="Nil"/>
    <m/>
    <s v="BF"/>
    <x v="4"/>
    <x v="0"/>
    <x v="10"/>
    <n v="1.4000000432133701E-2"/>
    <d v="2017-08-11T00:00:00"/>
    <x v="1"/>
    <d v="2018-03-31T00:00:00"/>
    <x v="0"/>
    <s v="P"/>
    <m/>
    <m/>
    <n v="0"/>
    <m/>
    <n v="0"/>
    <m/>
    <n v="1"/>
    <n v="1"/>
    <n v="-2"/>
    <n v="1"/>
    <n v="0"/>
    <n v="0"/>
    <n v="0"/>
    <n v="1"/>
    <n v="1"/>
    <n v="-2"/>
    <n v="1"/>
    <n v="0"/>
    <n v="0"/>
    <n v="0"/>
    <n v="0"/>
    <n v="0"/>
    <n v="0"/>
    <n v="0"/>
    <n v="0"/>
    <n v="0"/>
    <n v="0"/>
    <n v="0"/>
    <n v="0"/>
    <n v="0"/>
    <n v="0"/>
    <n v="0"/>
    <n v="0"/>
    <n v="0"/>
    <s v="East"/>
    <x v="0"/>
    <x v="0"/>
    <x v="1"/>
    <x v="0"/>
    <x v="0"/>
    <x v="0"/>
    <m/>
    <x v="0"/>
    <s v="Y"/>
    <n v="7"/>
    <m/>
    <n v="1"/>
    <n v="0"/>
    <n v="0"/>
    <n v="0"/>
    <n v="0"/>
    <n v="0"/>
    <n v="0"/>
    <n v="0"/>
    <n v="0"/>
    <n v="0"/>
    <n v="0"/>
    <n v="0"/>
    <n v="0"/>
    <n v="0"/>
    <n v="0"/>
    <n v="0"/>
    <n v="0"/>
    <n v="0"/>
    <n v="0"/>
    <n v="0"/>
    <n v="0"/>
    <n v="0"/>
    <n v="0"/>
  </r>
  <r>
    <n v="6602"/>
    <x v="0"/>
    <s v="2017/2152"/>
    <m/>
    <s v="458 Garratt Lane"/>
    <m/>
    <n v="526100"/>
    <n v="172658"/>
    <x v="18"/>
    <d v="2017-07-06T00:00:00"/>
    <d v="2017-07-06T00:00:00"/>
    <n v="1"/>
    <n v="2"/>
    <n v="1"/>
    <n v="2"/>
    <n v="1"/>
    <m/>
    <s v="Use of the property as 2 x 2 bed flats."/>
    <s v="LDC Exist"/>
    <d v="2017-05-12T00:00:00"/>
    <d v="2017-07-06T00:00:00"/>
    <x v="1"/>
    <s v="Nil"/>
    <m/>
    <s v="BF"/>
    <x v="1"/>
    <x v="0"/>
    <x v="8"/>
    <n v="1.2000000104308101E-2"/>
    <d v="2017-07-06T00:00:00"/>
    <x v="1"/>
    <d v="2017-07-06T00:00:00"/>
    <x v="0"/>
    <s v="P"/>
    <m/>
    <m/>
    <n v="0"/>
    <m/>
    <n v="0"/>
    <m/>
    <n v="0"/>
    <n v="0"/>
    <n v="2"/>
    <n v="-1"/>
    <n v="0"/>
    <n v="0"/>
    <n v="0"/>
    <n v="0"/>
    <n v="0"/>
    <n v="2"/>
    <n v="0"/>
    <n v="0"/>
    <n v="0"/>
    <n v="0"/>
    <n v="0"/>
    <n v="0"/>
    <n v="0"/>
    <n v="-1"/>
    <n v="0"/>
    <n v="0"/>
    <n v="0"/>
    <n v="0"/>
    <n v="0"/>
    <n v="0"/>
    <n v="0"/>
    <n v="0"/>
    <n v="0"/>
    <n v="0"/>
    <s v="West"/>
    <x v="0"/>
    <x v="0"/>
    <x v="1"/>
    <x v="0"/>
    <x v="0"/>
    <x v="0"/>
    <m/>
    <x v="0"/>
    <s v="Y"/>
    <n v="7"/>
    <m/>
    <n v="1"/>
    <n v="0"/>
    <n v="0"/>
    <n v="0"/>
    <n v="0"/>
    <n v="0"/>
    <n v="0"/>
    <n v="0"/>
    <n v="0"/>
    <n v="0"/>
    <n v="0"/>
    <n v="0"/>
    <n v="0"/>
    <n v="0"/>
    <n v="0"/>
    <n v="0"/>
    <n v="0"/>
    <n v="0"/>
    <n v="0"/>
    <n v="0"/>
    <n v="0"/>
    <n v="0"/>
    <n v="0"/>
  </r>
  <r>
    <n v="6614"/>
    <x v="0"/>
    <s v="2017/2755"/>
    <m/>
    <s v="5 Brudenell Road"/>
    <m/>
    <n v="527880"/>
    <n v="172154"/>
    <x v="4"/>
    <d v="2017-07-06T00:00:00"/>
    <d v="2017-07-06T00:00:00"/>
    <n v="1"/>
    <n v="2"/>
    <n v="1"/>
    <n v="2"/>
    <n v="1"/>
    <m/>
    <s v="Retention of the property being used as two flats."/>
    <s v="LDC Exist"/>
    <d v="2017-05-11T00:00:00"/>
    <d v="2017-07-06T00:00:00"/>
    <x v="1"/>
    <s v="Nil"/>
    <m/>
    <s v="BF"/>
    <x v="1"/>
    <x v="0"/>
    <x v="8"/>
    <n v="8.9999996125698107E-3"/>
    <d v="2017-07-06T00:00:00"/>
    <x v="1"/>
    <d v="2017-07-06T00:00:00"/>
    <x v="0"/>
    <s v="P"/>
    <m/>
    <m/>
    <n v="0"/>
    <m/>
    <n v="0"/>
    <m/>
    <n v="0"/>
    <n v="1"/>
    <n v="1"/>
    <n v="-1"/>
    <n v="0"/>
    <n v="0"/>
    <n v="0"/>
    <n v="0"/>
    <n v="1"/>
    <n v="1"/>
    <n v="0"/>
    <n v="0"/>
    <n v="0"/>
    <n v="0"/>
    <n v="0"/>
    <n v="0"/>
    <n v="0"/>
    <n v="-1"/>
    <n v="0"/>
    <n v="0"/>
    <n v="0"/>
    <n v="0"/>
    <n v="0"/>
    <n v="0"/>
    <n v="0"/>
    <n v="0"/>
    <n v="0"/>
    <n v="0"/>
    <s v="East"/>
    <x v="0"/>
    <x v="0"/>
    <x v="1"/>
    <x v="0"/>
    <x v="0"/>
    <x v="0"/>
    <m/>
    <x v="0"/>
    <s v="Y"/>
    <n v="7"/>
    <m/>
    <n v="1"/>
    <n v="0"/>
    <n v="0"/>
    <n v="0"/>
    <n v="0"/>
    <n v="0"/>
    <n v="0"/>
    <n v="0"/>
    <n v="0"/>
    <n v="0"/>
    <n v="0"/>
    <n v="0"/>
    <n v="0"/>
    <n v="0"/>
    <n v="0"/>
    <n v="0"/>
    <n v="0"/>
    <n v="0"/>
    <n v="0"/>
    <n v="0"/>
    <n v="0"/>
    <n v="0"/>
    <n v="0"/>
  </r>
  <r>
    <n v="6648"/>
    <x v="0"/>
    <s v="2017/3184"/>
    <m/>
    <s v="63 a &amp; b, 63 Swinburne Road"/>
    <m/>
    <n v="522445"/>
    <n v="174942"/>
    <x v="7"/>
    <d v="2017-09-12T00:00:00"/>
    <d v="2017-09-12T00:00:00"/>
    <n v="1"/>
    <n v="2"/>
    <n v="1"/>
    <n v="2"/>
    <n v="1"/>
    <m/>
    <s v="Use of property as two self-contained flats."/>
    <s v="LDC Exist"/>
    <d v="2017-07-20T00:00:00"/>
    <d v="2017-09-12T00:00:00"/>
    <x v="1"/>
    <s v="Nil"/>
    <m/>
    <s v="BF"/>
    <x v="1"/>
    <x v="0"/>
    <x v="8"/>
    <n v="1.7999999225139601E-2"/>
    <d v="2017-09-12T00:00:00"/>
    <x v="1"/>
    <d v="2017-09-12T00:00:00"/>
    <x v="0"/>
    <s v="P"/>
    <m/>
    <m/>
    <n v="0"/>
    <m/>
    <n v="0"/>
    <m/>
    <n v="0"/>
    <n v="0"/>
    <n v="0"/>
    <n v="0"/>
    <n v="1"/>
    <n v="0"/>
    <n v="0"/>
    <n v="0"/>
    <n v="0"/>
    <n v="0"/>
    <n v="1"/>
    <n v="1"/>
    <n v="0"/>
    <n v="0"/>
    <n v="0"/>
    <n v="0"/>
    <n v="0"/>
    <n v="-1"/>
    <n v="0"/>
    <n v="0"/>
    <n v="0"/>
    <n v="0"/>
    <n v="0"/>
    <n v="0"/>
    <n v="0"/>
    <n v="0"/>
    <n v="0"/>
    <n v="0"/>
    <s v="West"/>
    <x v="0"/>
    <x v="0"/>
    <x v="1"/>
    <x v="0"/>
    <x v="0"/>
    <x v="0"/>
    <m/>
    <x v="0"/>
    <s v="Y"/>
    <n v="7"/>
    <m/>
    <n v="1"/>
    <n v="0"/>
    <n v="0"/>
    <n v="0"/>
    <n v="0"/>
    <n v="0"/>
    <n v="0"/>
    <n v="0"/>
    <n v="0"/>
    <n v="0"/>
    <n v="0"/>
    <n v="0"/>
    <n v="0"/>
    <n v="0"/>
    <n v="0"/>
    <n v="0"/>
    <n v="0"/>
    <n v="0"/>
    <n v="0"/>
    <n v="0"/>
    <n v="0"/>
    <n v="0"/>
    <n v="0"/>
  </r>
  <r>
    <n v="6651"/>
    <x v="0"/>
    <s v="2017/3973"/>
    <m/>
    <s v="Flat 1, 89 Taybridge Road"/>
    <m/>
    <n v="528478"/>
    <n v="175464"/>
    <x v="10"/>
    <d v="2017-09-07T00:00:00"/>
    <d v="2017-09-07T00:00:00"/>
    <n v="0"/>
    <n v="1"/>
    <n v="1"/>
    <n v="1"/>
    <n v="1"/>
    <m/>
    <s v="Continued use of ground floor as 1 x 1-bedroom flat."/>
    <s v="LDC Exist"/>
    <d v="2017-07-13T00:00:00"/>
    <d v="2017-09-07T00:00:00"/>
    <x v="1"/>
    <s v="Nil"/>
    <m/>
    <s v="BF"/>
    <x v="1"/>
    <x v="0"/>
    <x v="8"/>
    <n v="6.0000000521540598E-3"/>
    <d v="2017-09-07T00:00:00"/>
    <x v="1"/>
    <d v="2017-09-07T00:00:00"/>
    <x v="0"/>
    <s v="P"/>
    <m/>
    <m/>
    <n v="0"/>
    <m/>
    <n v="0"/>
    <m/>
    <n v="0"/>
    <n v="1"/>
    <n v="0"/>
    <n v="0"/>
    <n v="0"/>
    <n v="0"/>
    <n v="0"/>
    <n v="0"/>
    <n v="1"/>
    <n v="0"/>
    <n v="0"/>
    <n v="0"/>
    <n v="0"/>
    <n v="0"/>
    <n v="0"/>
    <n v="0"/>
    <n v="0"/>
    <n v="0"/>
    <n v="0"/>
    <n v="0"/>
    <n v="0"/>
    <n v="0"/>
    <n v="0"/>
    <n v="0"/>
    <n v="0"/>
    <n v="0"/>
    <n v="0"/>
    <n v="0"/>
    <s v="East"/>
    <x v="0"/>
    <x v="0"/>
    <x v="1"/>
    <x v="0"/>
    <x v="0"/>
    <x v="0"/>
    <m/>
    <x v="0"/>
    <s v="Y"/>
    <n v="7"/>
    <m/>
    <n v="1"/>
    <n v="0"/>
    <n v="0"/>
    <n v="0"/>
    <n v="0"/>
    <n v="0"/>
    <n v="0"/>
    <n v="0"/>
    <n v="0"/>
    <n v="0"/>
    <n v="0"/>
    <n v="0"/>
    <n v="0"/>
    <n v="0"/>
    <n v="0"/>
    <n v="0"/>
    <n v="0"/>
    <n v="0"/>
    <n v="0"/>
    <n v="0"/>
    <n v="0"/>
    <n v="0"/>
    <n v="0"/>
  </r>
  <r>
    <n v="6653"/>
    <x v="0"/>
    <s v="2017/5060"/>
    <m/>
    <s v="83 Garratt Terrace"/>
    <m/>
    <n v="527197"/>
    <n v="171575"/>
    <x v="4"/>
    <d v="2017-05-31T00:00:00"/>
    <d v="2018-03-31T00:00:00"/>
    <n v="1"/>
    <n v="3"/>
    <n v="2"/>
    <n v="3"/>
    <n v="2"/>
    <m/>
    <s v="Alterations including erection of mansard roof extensions to main rear roof including raising the ridge by 200mm, extension over three-storey back addition, installation of 8no. rooflights to the front roofslope, extension to first floor back addition to create flat roof, installation of french doors and safety railings at first, second and third floor to rear elevation in connection with conversion to 2 x 3-bedroom and 1 x 2-bedroom flats with associated refuse and cycle storage."/>
    <s v="PF"/>
    <d v="2017-11-13T00:00:00"/>
    <d v="2018-01-08T00:00:00"/>
    <x v="1"/>
    <s v="Nil"/>
    <m/>
    <s v="BF"/>
    <x v="4"/>
    <x v="0"/>
    <x v="8"/>
    <n v="2.0999999716877899E-2"/>
    <d v="2017-05-31T00:00:00"/>
    <x v="1"/>
    <d v="2018-03-31T00:00:00"/>
    <x v="0"/>
    <s v="P"/>
    <m/>
    <m/>
    <n v="0"/>
    <m/>
    <n v="0"/>
    <m/>
    <n v="0"/>
    <n v="0"/>
    <n v="1"/>
    <n v="2"/>
    <n v="0"/>
    <n v="-1"/>
    <n v="0"/>
    <n v="0"/>
    <n v="0"/>
    <n v="1"/>
    <n v="2"/>
    <n v="0"/>
    <n v="0"/>
    <n v="0"/>
    <n v="0"/>
    <n v="0"/>
    <n v="0"/>
    <n v="0"/>
    <n v="0"/>
    <n v="-1"/>
    <n v="0"/>
    <n v="0"/>
    <n v="0"/>
    <n v="0"/>
    <n v="0"/>
    <n v="0"/>
    <n v="0"/>
    <n v="0"/>
    <s v="East"/>
    <x v="0"/>
    <x v="0"/>
    <x v="1"/>
    <x v="0"/>
    <x v="0"/>
    <x v="0"/>
    <m/>
    <x v="0"/>
    <s v="Y"/>
    <n v="7"/>
    <m/>
    <n v="2"/>
    <n v="0"/>
    <n v="0"/>
    <n v="0"/>
    <n v="0"/>
    <n v="0"/>
    <n v="0"/>
    <n v="0"/>
    <n v="0"/>
    <n v="0"/>
    <n v="0"/>
    <n v="0"/>
    <n v="0"/>
    <n v="0"/>
    <n v="0"/>
    <n v="0"/>
    <n v="0"/>
    <n v="0"/>
    <n v="0"/>
    <n v="0"/>
    <n v="0"/>
    <n v="0"/>
    <n v="0"/>
  </r>
  <r>
    <n v="6678"/>
    <x v="0"/>
    <s v="2017/4305"/>
    <m/>
    <s v="125 Lavender Hill"/>
    <m/>
    <n v="528146"/>
    <n v="175643"/>
    <x v="10"/>
    <d v="2017-09-25T00:00:00"/>
    <d v="2018-03-31T00:00:00"/>
    <n v="0"/>
    <n v="1"/>
    <n v="1"/>
    <n v="1"/>
    <n v="1"/>
    <m/>
    <s v="Change of use of the rear part of the ground floor unit from a window showroom and office (Class A1) to residential (class C3) and alterations including erection of single-storey rear and side extensions to create 1 x 2 bedroom unit. Relocation of entrance of existing first floor flat from Lavender Hill to Stormont Road. Alterations to fenestration."/>
    <s v="PF"/>
    <d v="2017-08-01T00:00:00"/>
    <d v="2017-09-25T00:00:00"/>
    <x v="1"/>
    <s v="Nil"/>
    <m/>
    <s v="BF"/>
    <x v="4"/>
    <x v="0"/>
    <x v="4"/>
    <n v="6.0000000521540598E-3"/>
    <d v="2017-09-25T00:00:00"/>
    <x v="1"/>
    <d v="2018-03-31T00:00:00"/>
    <x v="0"/>
    <s v="P"/>
    <m/>
    <m/>
    <n v="0"/>
    <m/>
    <n v="0"/>
    <m/>
    <n v="0"/>
    <n v="0"/>
    <n v="1"/>
    <n v="0"/>
    <n v="0"/>
    <n v="0"/>
    <n v="0"/>
    <n v="0"/>
    <n v="0"/>
    <n v="1"/>
    <n v="0"/>
    <n v="0"/>
    <n v="0"/>
    <n v="0"/>
    <n v="0"/>
    <n v="0"/>
    <n v="0"/>
    <n v="0"/>
    <n v="0"/>
    <n v="0"/>
    <n v="0"/>
    <n v="0"/>
    <n v="0"/>
    <n v="0"/>
    <n v="0"/>
    <n v="0"/>
    <n v="0"/>
    <n v="0"/>
    <s v="East"/>
    <x v="0"/>
    <x v="0"/>
    <x v="1"/>
    <x v="0"/>
    <x v="0"/>
    <x v="0"/>
    <m/>
    <x v="0"/>
    <s v="Y"/>
    <n v="7"/>
    <m/>
    <n v="1"/>
    <n v="0"/>
    <n v="0"/>
    <n v="0"/>
    <n v="0"/>
    <n v="0"/>
    <n v="0"/>
    <n v="0"/>
    <n v="0"/>
    <n v="0"/>
    <n v="0"/>
    <n v="0"/>
    <n v="0"/>
    <n v="0"/>
    <n v="0"/>
    <n v="0"/>
    <n v="0"/>
    <n v="0"/>
    <n v="0"/>
    <n v="0"/>
    <n v="0"/>
    <n v="0"/>
    <n v="0"/>
  </r>
  <r>
    <n v="6683"/>
    <x v="0"/>
    <s v="2017/3454"/>
    <m/>
    <s v="The Cotswold, Upper Tooting Park"/>
    <m/>
    <n v="527997"/>
    <n v="172711"/>
    <x v="11"/>
    <d v="2017-08-14T00:00:00"/>
    <d v="2017-08-14T00:00:00"/>
    <n v="1"/>
    <n v="1"/>
    <n v="0"/>
    <n v="1"/>
    <n v="0"/>
    <m/>
    <s v="Demolition of semi-detached bungalow and rebuild. Alterations including erection of two storey bay window to front to replace porch and box dormer windows to rear roof. Erection of single-storey side extension and rear extension."/>
    <s v="PF"/>
    <d v="2017-06-19T00:00:00"/>
    <d v="2017-08-14T00:00:00"/>
    <x v="1"/>
    <s v="Nil"/>
    <m/>
    <s v="BF"/>
    <x v="0"/>
    <x v="0"/>
    <x v="0"/>
    <n v="5.4000001400709201E-2"/>
    <d v="2017-08-14T00:00:00"/>
    <x v="1"/>
    <d v="2017-08-14T00:00:00"/>
    <x v="0"/>
    <s v="P"/>
    <m/>
    <m/>
    <n v="0"/>
    <m/>
    <n v="0"/>
    <m/>
    <n v="0"/>
    <n v="0"/>
    <n v="0"/>
    <n v="0"/>
    <n v="-1"/>
    <n v="1"/>
    <n v="0"/>
    <n v="0"/>
    <n v="0"/>
    <n v="0"/>
    <n v="0"/>
    <n v="0"/>
    <n v="0"/>
    <n v="0"/>
    <n v="0"/>
    <n v="0"/>
    <n v="0"/>
    <n v="0"/>
    <n v="-1"/>
    <n v="1"/>
    <n v="0"/>
    <n v="0"/>
    <n v="0"/>
    <n v="0"/>
    <n v="0"/>
    <n v="0"/>
    <n v="0"/>
    <n v="0"/>
    <s v="East"/>
    <x v="0"/>
    <x v="0"/>
    <x v="1"/>
    <x v="0"/>
    <x v="0"/>
    <x v="0"/>
    <m/>
    <x v="0"/>
    <s v="Y"/>
    <n v="1"/>
    <m/>
    <n v="0"/>
    <n v="0"/>
    <n v="0"/>
    <n v="0"/>
    <n v="0"/>
    <n v="0"/>
    <n v="0"/>
    <n v="0"/>
    <n v="0"/>
    <n v="0"/>
    <n v="0"/>
    <n v="0"/>
    <n v="0"/>
    <n v="0"/>
    <n v="0"/>
    <n v="0"/>
    <n v="0"/>
    <n v="0"/>
    <n v="0"/>
    <n v="0"/>
    <n v="0"/>
    <n v="0"/>
    <n v="0"/>
  </r>
  <r>
    <n v="6686"/>
    <x v="0"/>
    <s v="2017/2251"/>
    <m/>
    <s v="8 Rowena Cescent"/>
    <m/>
    <n v="527285"/>
    <n v="176212"/>
    <x v="2"/>
    <d v="2017-11-14T00:00:00"/>
    <d v="2018-03-31T00:00:00"/>
    <n v="2"/>
    <n v="1"/>
    <n v="-1"/>
    <n v="1"/>
    <n v="-1"/>
    <m/>
    <s v="Erection of roof extension to main rear roof (including an increase in ridge height by 0.2m) and extension above part of two-storey back addition. Erection of single-storey side/rear extension. Conversion of property from 2 x self-contained flats to a single dwellinghouse."/>
    <s v="PF"/>
    <d v="2017-09-19T00:00:00"/>
    <d v="2017-11-14T00:00:00"/>
    <x v="1"/>
    <s v="Nil"/>
    <m/>
    <s v="BF"/>
    <x v="4"/>
    <x v="0"/>
    <x v="7"/>
    <n v="1.09999999403954E-2"/>
    <d v="2017-11-14T00:00:00"/>
    <x v="1"/>
    <d v="2018-03-31T00:00:00"/>
    <x v="0"/>
    <s v="P"/>
    <m/>
    <m/>
    <n v="0"/>
    <m/>
    <n v="0"/>
    <m/>
    <n v="0"/>
    <n v="-2"/>
    <n v="0"/>
    <n v="0"/>
    <n v="1"/>
    <n v="0"/>
    <n v="0"/>
    <n v="0"/>
    <n v="-2"/>
    <n v="0"/>
    <n v="0"/>
    <n v="0"/>
    <n v="0"/>
    <n v="0"/>
    <n v="0"/>
    <n v="0"/>
    <n v="0"/>
    <n v="0"/>
    <n v="1"/>
    <n v="0"/>
    <n v="0"/>
    <n v="0"/>
    <n v="0"/>
    <n v="0"/>
    <n v="0"/>
    <n v="0"/>
    <n v="0"/>
    <n v="0"/>
    <s v="East"/>
    <x v="0"/>
    <x v="0"/>
    <x v="1"/>
    <x v="0"/>
    <x v="0"/>
    <x v="0"/>
    <m/>
    <x v="0"/>
    <s v="Y"/>
    <n v="7"/>
    <m/>
    <n v="-1"/>
    <n v="0"/>
    <n v="0"/>
    <n v="0"/>
    <n v="0"/>
    <n v="0"/>
    <n v="0"/>
    <n v="0"/>
    <n v="0"/>
    <n v="0"/>
    <n v="0"/>
    <n v="0"/>
    <n v="0"/>
    <n v="0"/>
    <n v="0"/>
    <n v="0"/>
    <n v="0"/>
    <n v="0"/>
    <n v="0"/>
    <n v="0"/>
    <n v="0"/>
    <n v="0"/>
    <n v="0"/>
  </r>
  <r>
    <n v="6721"/>
    <x v="0"/>
    <s v="2017/5323"/>
    <m/>
    <s v="Flat upper floor, 545 Battersea Park Road"/>
    <m/>
    <n v="527376"/>
    <n v="176317"/>
    <x v="2"/>
    <d v="2017-11-21T00:00:00"/>
    <d v="2018-03-31T00:00:00"/>
    <n v="1"/>
    <n v="3"/>
    <n v="2"/>
    <n v="3"/>
    <n v="2"/>
    <m/>
    <s v="Alterations including erection of mansard roof extension and formation of roof terraces with 1.7m high safety surround at first floor level in connection with conversion of upper floors to create 3x1-bedroom flats."/>
    <s v="PF"/>
    <d v="2017-09-26T00:00:00"/>
    <d v="2017-11-21T00:00:00"/>
    <x v="1"/>
    <s v="Nil"/>
    <m/>
    <s v="BF"/>
    <x v="4"/>
    <x v="0"/>
    <x v="10"/>
    <n v="6.0000000521540598E-3"/>
    <d v="2017-11-21T00:00:00"/>
    <x v="1"/>
    <d v="2018-03-31T00:00:00"/>
    <x v="0"/>
    <s v="P"/>
    <m/>
    <m/>
    <n v="0"/>
    <m/>
    <n v="0"/>
    <m/>
    <n v="0"/>
    <n v="3"/>
    <n v="0"/>
    <n v="-1"/>
    <n v="0"/>
    <n v="0"/>
    <n v="0"/>
    <n v="0"/>
    <n v="3"/>
    <n v="0"/>
    <n v="-1"/>
    <n v="0"/>
    <n v="0"/>
    <n v="0"/>
    <n v="0"/>
    <n v="0"/>
    <n v="0"/>
    <n v="0"/>
    <n v="0"/>
    <n v="0"/>
    <n v="0"/>
    <n v="0"/>
    <n v="0"/>
    <n v="0"/>
    <n v="0"/>
    <n v="0"/>
    <n v="0"/>
    <n v="0"/>
    <s v="East"/>
    <x v="0"/>
    <x v="0"/>
    <x v="1"/>
    <x v="0"/>
    <x v="0"/>
    <x v="0"/>
    <m/>
    <x v="0"/>
    <s v="Y"/>
    <n v="7"/>
    <m/>
    <n v="2"/>
    <n v="0"/>
    <n v="0"/>
    <n v="0"/>
    <n v="0"/>
    <n v="0"/>
    <n v="0"/>
    <n v="0"/>
    <n v="0"/>
    <n v="0"/>
    <n v="0"/>
    <n v="0"/>
    <n v="0"/>
    <n v="0"/>
    <n v="0"/>
    <n v="0"/>
    <n v="0"/>
    <n v="0"/>
    <n v="0"/>
    <n v="0"/>
    <n v="0"/>
    <n v="0"/>
    <n v="0"/>
  </r>
  <r>
    <n v="6725"/>
    <x v="0"/>
    <s v="2017/5825"/>
    <m/>
    <s v="175 Upper Tooting Road"/>
    <m/>
    <n v="527717"/>
    <n v="171873"/>
    <x v="4"/>
    <d v="2004-10-01T00:00:00"/>
    <d v="2017-12-19T00:00:00"/>
    <n v="0"/>
    <n v="4"/>
    <n v="4"/>
    <n v="4"/>
    <n v="4"/>
    <m/>
    <s v="Use of the property as four self-contained flats (flats A B C D) with separate entrance (for more than 4 years)."/>
    <s v="LDC Exist"/>
    <d v="2017-10-27T00:00:00"/>
    <d v="2017-12-19T00:00:00"/>
    <x v="1"/>
    <s v="Nil"/>
    <m/>
    <s v="BF"/>
    <x v="3"/>
    <x v="0"/>
    <x v="4"/>
    <n v="1.2000000104308101E-2"/>
    <d v="2004-10-01T00:00:00"/>
    <x v="0"/>
    <d v="2017-12-19T00:00:00"/>
    <x v="0"/>
    <s v="P"/>
    <m/>
    <m/>
    <n v="0"/>
    <m/>
    <n v="0"/>
    <m/>
    <n v="0"/>
    <n v="3"/>
    <n v="1"/>
    <n v="0"/>
    <n v="0"/>
    <n v="0"/>
    <n v="0"/>
    <n v="0"/>
    <n v="3"/>
    <n v="1"/>
    <n v="0"/>
    <n v="0"/>
    <n v="0"/>
    <n v="0"/>
    <n v="0"/>
    <n v="0"/>
    <n v="0"/>
    <n v="0"/>
    <n v="0"/>
    <n v="0"/>
    <n v="0"/>
    <n v="0"/>
    <n v="0"/>
    <n v="0"/>
    <n v="0"/>
    <n v="0"/>
    <n v="0"/>
    <n v="0"/>
    <s v="East"/>
    <x v="1"/>
    <x v="0"/>
    <x v="1"/>
    <x v="0"/>
    <x v="0"/>
    <x v="0"/>
    <m/>
    <x v="0"/>
    <s v="Y"/>
    <n v="7"/>
    <m/>
    <n v="4"/>
    <n v="0"/>
    <n v="0"/>
    <n v="0"/>
    <n v="0"/>
    <n v="0"/>
    <n v="0"/>
    <n v="0"/>
    <n v="0"/>
    <n v="0"/>
    <n v="0"/>
    <n v="0"/>
    <n v="0"/>
    <n v="0"/>
    <n v="0"/>
    <n v="0"/>
    <n v="0"/>
    <n v="0"/>
    <n v="0"/>
    <n v="0"/>
    <n v="0"/>
    <n v="0"/>
    <n v="0"/>
  </r>
  <r>
    <n v="6752"/>
    <x v="0"/>
    <s v="2017/6493"/>
    <m/>
    <s v="20 Manville Road"/>
    <m/>
    <n v="528477"/>
    <n v="172519"/>
    <x v="3"/>
    <d v="2018-01-25T00:00:00"/>
    <d v="2018-01-25T00:00:00"/>
    <n v="1"/>
    <n v="0"/>
    <n v="-1"/>
    <n v="0"/>
    <n v="-1"/>
    <m/>
    <s v="Use of the property as a 6-bedroom HMO (Use Class C4)"/>
    <s v="LDC Exist"/>
    <d v="2017-11-30T00:00:00"/>
    <d v="2018-01-25T00:00:00"/>
    <x v="1"/>
    <s v="Nil"/>
    <m/>
    <s v="BF"/>
    <x v="3"/>
    <x v="0"/>
    <x v="6"/>
    <n v="2.3000000044703501E-2"/>
    <d v="2018-01-25T00:00:00"/>
    <x v="1"/>
    <d v="2018-01-25T00:00:00"/>
    <x v="0"/>
    <s v="P"/>
    <m/>
    <m/>
    <n v="0"/>
    <m/>
    <n v="0"/>
    <m/>
    <n v="0"/>
    <n v="0"/>
    <n v="0"/>
    <n v="0"/>
    <n v="0"/>
    <n v="-1"/>
    <n v="0"/>
    <n v="0"/>
    <n v="0"/>
    <n v="0"/>
    <n v="0"/>
    <n v="0"/>
    <n v="0"/>
    <n v="0"/>
    <n v="0"/>
    <n v="0"/>
    <n v="0"/>
    <n v="0"/>
    <n v="0"/>
    <n v="-1"/>
    <n v="0"/>
    <n v="0"/>
    <n v="0"/>
    <n v="0"/>
    <n v="0"/>
    <n v="0"/>
    <n v="0"/>
    <n v="0"/>
    <s v="East"/>
    <x v="0"/>
    <x v="0"/>
    <x v="1"/>
    <x v="0"/>
    <x v="0"/>
    <x v="0"/>
    <m/>
    <x v="0"/>
    <s v="Y"/>
    <n v="7"/>
    <m/>
    <n v="-1"/>
    <n v="0"/>
    <n v="0"/>
    <n v="0"/>
    <n v="0"/>
    <n v="0"/>
    <n v="0"/>
    <n v="0"/>
    <n v="0"/>
    <n v="0"/>
    <n v="0"/>
    <n v="0"/>
    <n v="0"/>
    <n v="0"/>
    <n v="0"/>
    <n v="0"/>
    <n v="0"/>
    <n v="0"/>
    <n v="0"/>
    <n v="0"/>
    <n v="0"/>
    <n v="0"/>
    <n v="0"/>
  </r>
  <r>
    <n v="6778"/>
    <x v="0"/>
    <s v="2017/7050"/>
    <m/>
    <s v="155 Upper Tooting Road"/>
    <m/>
    <n v="527742"/>
    <n v="171915"/>
    <x v="4"/>
    <d v="2018-02-22T00:00:00"/>
    <d v="2018-03-31T00:00:00"/>
    <n v="1"/>
    <n v="3"/>
    <n v="2"/>
    <n v="3"/>
    <n v="2"/>
    <m/>
    <s v="Alterations including erection of rear extension at second floor level in connection with conversion of existing dwelling into 1x1 bedroom, 1 x 2 bedroom and 1 x studio flats."/>
    <s v="PF"/>
    <d v="2017-12-27T00:00:00"/>
    <d v="2018-02-21T00:00:00"/>
    <x v="1"/>
    <s v="Nil"/>
    <m/>
    <s v="BF"/>
    <x v="1"/>
    <x v="0"/>
    <x v="10"/>
    <n v="1.2000000104308101E-2"/>
    <d v="2018-02-22T00:00:00"/>
    <x v="1"/>
    <d v="2018-03-31T00:00:00"/>
    <x v="0"/>
    <s v="P"/>
    <m/>
    <m/>
    <n v="0"/>
    <m/>
    <n v="0"/>
    <m/>
    <n v="1"/>
    <n v="1"/>
    <n v="1"/>
    <n v="0"/>
    <n v="0"/>
    <n v="-1"/>
    <n v="0"/>
    <n v="1"/>
    <n v="1"/>
    <n v="1"/>
    <n v="0"/>
    <n v="0"/>
    <n v="-1"/>
    <n v="0"/>
    <n v="0"/>
    <n v="0"/>
    <n v="0"/>
    <n v="0"/>
    <n v="0"/>
    <n v="0"/>
    <n v="0"/>
    <n v="0"/>
    <n v="0"/>
    <n v="0"/>
    <n v="0"/>
    <n v="0"/>
    <n v="0"/>
    <n v="0"/>
    <s v="East"/>
    <x v="1"/>
    <x v="0"/>
    <x v="1"/>
    <x v="0"/>
    <x v="0"/>
    <x v="0"/>
    <m/>
    <x v="0"/>
    <s v="Y"/>
    <n v="7"/>
    <m/>
    <n v="2"/>
    <n v="0"/>
    <n v="0"/>
    <n v="0"/>
    <n v="0"/>
    <n v="0"/>
    <n v="0"/>
    <n v="0"/>
    <n v="0"/>
    <n v="0"/>
    <n v="0"/>
    <n v="0"/>
    <n v="0"/>
    <n v="0"/>
    <n v="0"/>
    <n v="0"/>
    <n v="0"/>
    <n v="0"/>
    <n v="0"/>
    <n v="0"/>
    <n v="0"/>
    <n v="0"/>
    <n v="0"/>
  </r>
  <r>
    <n v="6787"/>
    <x v="0"/>
    <s v="2018/0061"/>
    <m/>
    <s v="Rear Ground floor Flat, 102 Eardley Road"/>
    <m/>
    <n v="529457"/>
    <n v="170756"/>
    <x v="12"/>
    <m/>
    <d v="2018-03-12T00:00:00"/>
    <n v="0"/>
    <n v="1"/>
    <n v="1"/>
    <n v="1"/>
    <n v="1"/>
    <m/>
    <s v="Use as residential (Class C3) for more than 4 years."/>
    <s v="LDC Exist"/>
    <d v="2018-01-16T00:00:00"/>
    <d v="2018-03-12T00:00:00"/>
    <x v="1"/>
    <s v="Nil"/>
    <m/>
    <s v="BF"/>
    <x v="3"/>
    <x v="0"/>
    <x v="4"/>
    <n v="2.0000000949949E-3"/>
    <m/>
    <x v="0"/>
    <d v="2018-03-12T00:00:00"/>
    <x v="0"/>
    <s v="P"/>
    <m/>
    <m/>
    <n v="0"/>
    <m/>
    <n v="0"/>
    <m/>
    <n v="0"/>
    <n v="1"/>
    <n v="0"/>
    <n v="0"/>
    <n v="0"/>
    <n v="0"/>
    <n v="0"/>
    <n v="0"/>
    <n v="1"/>
    <n v="0"/>
    <n v="0"/>
    <n v="0"/>
    <n v="0"/>
    <n v="0"/>
    <n v="0"/>
    <n v="0"/>
    <n v="0"/>
    <n v="0"/>
    <n v="0"/>
    <n v="0"/>
    <n v="0"/>
    <n v="0"/>
    <n v="0"/>
    <n v="0"/>
    <n v="0"/>
    <n v="0"/>
    <n v="0"/>
    <n v="0"/>
    <s v="East"/>
    <x v="0"/>
    <x v="0"/>
    <x v="1"/>
    <x v="0"/>
    <x v="0"/>
    <x v="0"/>
    <m/>
    <x v="0"/>
    <s v="Y"/>
    <n v="7"/>
    <m/>
    <n v="1"/>
    <n v="0"/>
    <n v="0"/>
    <n v="0"/>
    <n v="0"/>
    <n v="0"/>
    <n v="0"/>
    <n v="0"/>
    <n v="0"/>
    <n v="0"/>
    <n v="0"/>
    <n v="0"/>
    <n v="0"/>
    <n v="0"/>
    <n v="0"/>
    <n v="0"/>
    <n v="0"/>
    <n v="0"/>
    <n v="0"/>
    <n v="0"/>
    <n v="0"/>
    <n v="0"/>
    <n v="0"/>
  </r>
  <r>
    <n v="68"/>
    <x v="2"/>
    <s v="2013/5712"/>
    <s v="Public open space east of 76"/>
    <s v="70-74 St Johns Hill"/>
    <m/>
    <n v="526960"/>
    <n v="175223"/>
    <x v="0"/>
    <d v="2017-03-31T00:00:00"/>
    <m/>
    <n v="0"/>
    <n v="8"/>
    <n v="8"/>
    <n v="8"/>
    <n v="8"/>
    <m/>
    <s v="Erection of four-storey plus basement building to provide Class A1 shops at ground floor with 8 flats above including a first floor roof garden."/>
    <s v="PF"/>
    <d v="2014-03-04T00:00:00"/>
    <d v="2015-04-22T00:00:00"/>
    <x v="0"/>
    <s v="Nil"/>
    <m/>
    <s v="BF"/>
    <x v="0"/>
    <x v="0"/>
    <x v="0"/>
    <n v="2.8999999165535001E-2"/>
    <d v="2017-03-31T00:00:00"/>
    <x v="0"/>
    <m/>
    <x v="0"/>
    <s v="P"/>
    <m/>
    <m/>
    <n v="8"/>
    <m/>
    <n v="0"/>
    <m/>
    <n v="0"/>
    <n v="0"/>
    <n v="8"/>
    <n v="0"/>
    <n v="0"/>
    <n v="0"/>
    <n v="0"/>
    <n v="0"/>
    <n v="0"/>
    <n v="8"/>
    <n v="0"/>
    <n v="0"/>
    <n v="0"/>
    <n v="0"/>
    <n v="0"/>
    <n v="0"/>
    <n v="0"/>
    <n v="0"/>
    <n v="0"/>
    <n v="0"/>
    <n v="0"/>
    <n v="0"/>
    <n v="0"/>
    <n v="0"/>
    <n v="0"/>
    <n v="0"/>
    <n v="0"/>
    <n v="0"/>
    <s v="West"/>
    <x v="0"/>
    <x v="0"/>
    <x v="1"/>
    <x v="0"/>
    <x v="0"/>
    <x v="0"/>
    <m/>
    <x v="0"/>
    <s v="Y"/>
    <s v="2A"/>
    <m/>
    <n v="0"/>
    <n v="8"/>
    <n v="0"/>
    <n v="0"/>
    <n v="0"/>
    <n v="0"/>
    <n v="0"/>
    <n v="0"/>
    <n v="0"/>
    <n v="0"/>
    <n v="0"/>
    <n v="0"/>
    <n v="0"/>
    <n v="0"/>
    <n v="0"/>
    <n v="0"/>
    <n v="0"/>
    <n v="0"/>
    <n v="0"/>
    <n v="0"/>
    <n v="0"/>
    <n v="8"/>
    <n v="8"/>
  </r>
  <r>
    <n v="87"/>
    <x v="2"/>
    <s v="2010/4417"/>
    <s v="Battersea Reach, (former Guinness Site)"/>
    <s v="Gargoyle Wharf, York Road/Bridgend Road"/>
    <s v="Block L"/>
    <n v="526241"/>
    <n v="175489"/>
    <x v="1"/>
    <d v="2012-03-31T00:00:00"/>
    <m/>
    <n v="0"/>
    <n v="10"/>
    <n v="10"/>
    <n v="64"/>
    <n v="64"/>
    <s v="Y"/>
    <s v="Details of design and external appearance for Blocks H &amp; L (condition 2) together with areas not covered by buildings (cond.4), refuse (cond. 6), public entrances (cond. 9), decontamination methods (cond. 10), boundary treatment (cond. 11), lighting (cond. 12), public routes (cond. 15), acoustic survey (cond. 19), landscaping (cond. 2 &amp; 22) and energy strategy (cond. 23) pursuant to outline planning permission dated 02.01.08 (2006/4533) for the erection of seventeen buildings (including those already built) comprising 1,084 residential dwellings, 36,367 sq.m. of commercial floor space, together with associated car parking and landscaping."/>
    <s v="PF"/>
    <d v="2010-11-12T00:00:00"/>
    <d v="2011-02-14T00:00:00"/>
    <x v="0"/>
    <s v="Nil"/>
    <m/>
    <s v="BF"/>
    <x v="0"/>
    <x v="1"/>
    <x v="1"/>
    <n v="0.122000001370907"/>
    <d v="2017-03-31T00:00:00"/>
    <x v="0"/>
    <m/>
    <x v="1"/>
    <s v="HASO"/>
    <m/>
    <m/>
    <m/>
    <m/>
    <m/>
    <m/>
    <n v="0"/>
    <n v="10"/>
    <n v="0"/>
    <n v="0"/>
    <n v="0"/>
    <n v="0"/>
    <n v="0"/>
    <n v="0"/>
    <n v="10"/>
    <n v="0"/>
    <n v="0"/>
    <n v="0"/>
    <n v="0"/>
    <n v="0"/>
    <n v="0"/>
    <n v="0"/>
    <n v="0"/>
    <n v="0"/>
    <n v="0"/>
    <n v="0"/>
    <n v="0"/>
    <n v="0"/>
    <n v="0"/>
    <n v="0"/>
    <n v="0"/>
    <n v="0"/>
    <n v="0"/>
    <n v="0"/>
    <s v="East"/>
    <x v="0"/>
    <x v="0"/>
    <x v="1"/>
    <x v="0"/>
    <x v="0"/>
    <x v="0"/>
    <s v="Y"/>
    <x v="0"/>
    <s v="Y"/>
    <s v="3A"/>
    <m/>
    <n v="0"/>
    <n v="10"/>
    <n v="0"/>
    <n v="0"/>
    <n v="0"/>
    <n v="0"/>
    <n v="0"/>
    <n v="0"/>
    <n v="0"/>
    <n v="0"/>
    <n v="0"/>
    <n v="0"/>
    <n v="0"/>
    <n v="0"/>
    <n v="0"/>
    <n v="0"/>
    <n v="0"/>
    <n v="0"/>
    <n v="0"/>
    <n v="0"/>
    <n v="0"/>
    <n v="10"/>
    <n v="10"/>
  </r>
  <r>
    <n v="87"/>
    <x v="2"/>
    <s v="2014/6478"/>
    <s v="Battersea Reach, (former Guinness Site)"/>
    <s v="Gargoyle Wharf, York Road/Bridgend Road"/>
    <s v="BLOCK L - PRIVATE"/>
    <n v="526241"/>
    <n v="175489"/>
    <x v="1"/>
    <d v="2016-03-31T00:00:00"/>
    <m/>
    <n v="0"/>
    <n v="14"/>
    <n v="14"/>
    <n v="14"/>
    <n v="14"/>
    <s v="Y"/>
    <s v="Non-material amendment to planning permission ref 2010/4417 dated 14/02/2011 [Details including design and external appearance for Blocks H &amp; L (condition 2) pursuant to outline planning permission dated 02.01.08 (2006/4533) for the erection of seventeen buildings (including those already built) comprising 1,084 residential dwellings, 36,367 sq.m. of commercial floor space, together with associated car parking and landscaping] in order to amend design, external appearance  and reduce number of private flats from 22 to 14."/>
    <s v="S96A"/>
    <d v="2014-11-26T00:00:00"/>
    <d v="2014-11-28T00:00:00"/>
    <x v="0"/>
    <s v="Nil"/>
    <m/>
    <s v="BF"/>
    <x v="0"/>
    <x v="1"/>
    <x v="1"/>
    <n v="1.2000000104308101E-2"/>
    <d v="2016-03-31T00:00:00"/>
    <x v="0"/>
    <m/>
    <x v="0"/>
    <s v="P"/>
    <m/>
    <m/>
    <n v="0"/>
    <m/>
    <n v="0"/>
    <m/>
    <n v="0"/>
    <n v="4"/>
    <n v="10"/>
    <n v="0"/>
    <n v="0"/>
    <n v="0"/>
    <n v="0"/>
    <n v="0"/>
    <n v="4"/>
    <n v="10"/>
    <n v="0"/>
    <n v="0"/>
    <n v="0"/>
    <n v="0"/>
    <n v="0"/>
    <n v="0"/>
    <n v="0"/>
    <n v="0"/>
    <n v="0"/>
    <n v="0"/>
    <n v="0"/>
    <n v="0"/>
    <n v="0"/>
    <n v="0"/>
    <n v="0"/>
    <n v="0"/>
    <n v="0"/>
    <n v="0"/>
    <s v="East"/>
    <x v="0"/>
    <x v="0"/>
    <x v="1"/>
    <x v="0"/>
    <x v="0"/>
    <x v="0"/>
    <s v="Y"/>
    <x v="0"/>
    <s v="Y"/>
    <s v="3A"/>
    <m/>
    <n v="0"/>
    <n v="14"/>
    <n v="0"/>
    <n v="0"/>
    <n v="0"/>
    <n v="0"/>
    <n v="0"/>
    <n v="0"/>
    <n v="0"/>
    <n v="0"/>
    <n v="0"/>
    <n v="0"/>
    <n v="0"/>
    <n v="0"/>
    <n v="0"/>
    <n v="0"/>
    <n v="0"/>
    <n v="0"/>
    <n v="0"/>
    <n v="0"/>
    <n v="0"/>
    <n v="14"/>
    <n v="14"/>
  </r>
  <r>
    <n v="87"/>
    <x v="2"/>
    <s v="2016/6301"/>
    <s v="Battersea Reach, (former Guinness Site)"/>
    <s v="Gargoyle Wharf, York Road/Bridgend Road"/>
    <s v="BLOCK K - PRIVATE"/>
    <n v="526241"/>
    <n v="175489"/>
    <x v="1"/>
    <d v="2017-03-31T00:00:00"/>
    <m/>
    <n v="0"/>
    <n v="74"/>
    <n v="74"/>
    <n v="114"/>
    <n v="114"/>
    <s v="Y"/>
    <s v="Non-material amendment to planning permission dated 02/01/2008 ref 2006/4533 (Erection of seventeen buildings (including those already built) comprising 1,084 residential dwellings (class C3), of which 264 will be affordable units, 36,367 sq.m. of commercial floor space, retail/restaurants/cafes/bars (Class A1-A4), offices (Class B1), hotel (Class C1) and leisure &amp; community uses, (Class D1 &amp; D2) together with associated car parking and landscaping) (as amended by ref. 2014/6729 &amp; 2014/6478) to allow reintroduction of 9 flats within Block K, alter the mix of flats within Block K and changes to fenestration."/>
    <s v="S96A"/>
    <d v="2016-10-27T00:00:00"/>
    <d v="2016-12-19T00:00:00"/>
    <x v="0"/>
    <s v="Nil"/>
    <m/>
    <s v="BF"/>
    <x v="0"/>
    <x v="1"/>
    <x v="1"/>
    <n v="0.42199999094009399"/>
    <d v="2017-03-31T00:00:00"/>
    <x v="0"/>
    <m/>
    <x v="0"/>
    <s v="P"/>
    <m/>
    <m/>
    <n v="0"/>
    <m/>
    <n v="0"/>
    <m/>
    <n v="0"/>
    <n v="35"/>
    <n v="35"/>
    <n v="4"/>
    <n v="0"/>
    <n v="0"/>
    <n v="0"/>
    <n v="0"/>
    <n v="35"/>
    <n v="35"/>
    <n v="4"/>
    <n v="0"/>
    <n v="0"/>
    <n v="0"/>
    <n v="0"/>
    <n v="0"/>
    <n v="0"/>
    <n v="0"/>
    <n v="0"/>
    <n v="0"/>
    <n v="0"/>
    <n v="0"/>
    <n v="0"/>
    <n v="0"/>
    <n v="0"/>
    <n v="0"/>
    <n v="0"/>
    <n v="0"/>
    <s v="East"/>
    <x v="0"/>
    <x v="0"/>
    <x v="1"/>
    <x v="0"/>
    <x v="0"/>
    <x v="0"/>
    <s v="Y"/>
    <x v="0"/>
    <s v="Y"/>
    <s v="3A"/>
    <m/>
    <n v="0"/>
    <n v="74"/>
    <n v="0"/>
    <n v="0"/>
    <n v="0"/>
    <n v="0"/>
    <n v="0"/>
    <n v="0"/>
    <n v="0"/>
    <n v="0"/>
    <n v="0"/>
    <n v="0"/>
    <n v="0"/>
    <n v="0"/>
    <n v="0"/>
    <n v="0"/>
    <n v="0"/>
    <n v="0"/>
    <n v="0"/>
    <n v="0"/>
    <n v="0"/>
    <n v="74"/>
    <n v="74"/>
  </r>
  <r>
    <n v="87"/>
    <x v="2"/>
    <s v="2016/6301"/>
    <s v="Battersea Reach, (former Guinness Site)"/>
    <s v="Gargoyle Wharf, York Road/Bridgend Road"/>
    <s v="BLOCK K - SHARED OWNERSHIP"/>
    <n v="526241"/>
    <n v="175489"/>
    <x v="1"/>
    <d v="2017-03-31T00:00:00"/>
    <m/>
    <n v="0"/>
    <n v="40"/>
    <n v="40"/>
    <n v="114"/>
    <n v="114"/>
    <s v="Y"/>
    <s v="Non-material amendment to planning permission dated 02/01/2008 ref 2006/4533 (Erection of seventeen buildings (including those already built) comprising 1,084 residential dwellings (class C3), of which 264 will be affordable units, 36,367 sq.m. of commercial floor space, retail/restaurants/cafes/bars (Class A1-A4), offices (Class B1), hotel (Class C1) and leisure &amp; community uses, (Class D1 &amp; D2) together with associated car parking and landscaping) (as amended by ref. 2014/6729 &amp; 2014/6478) to allow reintroduction of 9 flats within Block K, alter the mix of flats within Block K and changes to fenestration."/>
    <s v="S96A"/>
    <d v="2016-10-27T00:00:00"/>
    <d v="2016-12-19T00:00:00"/>
    <x v="0"/>
    <s v="Nil"/>
    <m/>
    <s v="BF"/>
    <x v="0"/>
    <x v="1"/>
    <x v="1"/>
    <n v="0.270000010728836"/>
    <d v="2017-03-31T00:00:00"/>
    <x v="0"/>
    <m/>
    <x v="2"/>
    <s v="HASR"/>
    <m/>
    <m/>
    <n v="0"/>
    <m/>
    <n v="0"/>
    <m/>
    <n v="0"/>
    <n v="24"/>
    <n v="16"/>
    <n v="0"/>
    <n v="0"/>
    <n v="0"/>
    <n v="0"/>
    <n v="0"/>
    <n v="24"/>
    <n v="16"/>
    <n v="0"/>
    <n v="0"/>
    <n v="0"/>
    <n v="0"/>
    <n v="0"/>
    <n v="0"/>
    <n v="0"/>
    <n v="0"/>
    <n v="0"/>
    <n v="0"/>
    <n v="0"/>
    <n v="0"/>
    <n v="0"/>
    <n v="0"/>
    <n v="0"/>
    <n v="0"/>
    <n v="0"/>
    <n v="0"/>
    <s v="East"/>
    <x v="0"/>
    <x v="0"/>
    <x v="1"/>
    <x v="0"/>
    <x v="0"/>
    <x v="0"/>
    <s v="Y"/>
    <x v="0"/>
    <s v="Y"/>
    <s v="3A"/>
    <m/>
    <n v="0"/>
    <n v="40"/>
    <n v="0"/>
    <n v="0"/>
    <n v="0"/>
    <n v="0"/>
    <n v="0"/>
    <n v="0"/>
    <n v="0"/>
    <n v="0"/>
    <n v="0"/>
    <n v="0"/>
    <n v="0"/>
    <n v="0"/>
    <n v="0"/>
    <n v="0"/>
    <n v="0"/>
    <n v="0"/>
    <n v="0"/>
    <n v="0"/>
    <n v="0"/>
    <n v="40"/>
    <n v="40"/>
  </r>
  <r>
    <n v="90"/>
    <x v="2"/>
    <s v="2015/3877"/>
    <m/>
    <s v="Craven Court, 1 Taybridge Road"/>
    <m/>
    <n v="528415"/>
    <n v="175709"/>
    <x v="10"/>
    <d v="2016-03-31T00:00:00"/>
    <m/>
    <n v="0"/>
    <n v="1"/>
    <n v="1"/>
    <n v="1"/>
    <n v="1"/>
    <m/>
    <s v="Determination as to whether prior approval is required for the change of use of ground floor from office (Class B1a) to residential (Class C3) to provide a two-bedroom flat."/>
    <s v="PANR"/>
    <d v="2015-07-15T00:00:00"/>
    <d v="2015-09-09T00:00:00"/>
    <x v="0"/>
    <s v="Nil"/>
    <m/>
    <s v="BF"/>
    <x v="3"/>
    <x v="0"/>
    <x v="9"/>
    <n v="6.0000000521540598E-3"/>
    <d v="2016-03-31T00:00:00"/>
    <x v="0"/>
    <m/>
    <x v="0"/>
    <s v="P"/>
    <m/>
    <m/>
    <n v="0"/>
    <m/>
    <n v="0"/>
    <m/>
    <n v="0"/>
    <n v="0"/>
    <n v="1"/>
    <n v="0"/>
    <n v="0"/>
    <n v="0"/>
    <n v="0"/>
    <n v="0"/>
    <n v="0"/>
    <n v="1"/>
    <n v="0"/>
    <n v="0"/>
    <n v="0"/>
    <n v="0"/>
    <n v="0"/>
    <n v="0"/>
    <n v="0"/>
    <n v="0"/>
    <n v="0"/>
    <n v="0"/>
    <n v="0"/>
    <n v="0"/>
    <n v="0"/>
    <n v="0"/>
    <n v="0"/>
    <n v="0"/>
    <n v="0"/>
    <n v="0"/>
    <s v="East"/>
    <x v="0"/>
    <x v="0"/>
    <x v="1"/>
    <x v="0"/>
    <x v="0"/>
    <x v="0"/>
    <m/>
    <x v="0"/>
    <s v="Y"/>
    <s v="8A"/>
    <m/>
    <n v="0"/>
    <n v="1"/>
    <n v="0"/>
    <n v="0"/>
    <n v="0"/>
    <n v="0"/>
    <n v="0"/>
    <n v="0"/>
    <n v="0"/>
    <n v="0"/>
    <n v="0"/>
    <n v="0"/>
    <n v="0"/>
    <n v="0"/>
    <n v="0"/>
    <n v="0"/>
    <n v="0"/>
    <n v="0"/>
    <n v="0"/>
    <n v="0"/>
    <n v="0"/>
    <n v="1"/>
    <n v="1"/>
  </r>
  <r>
    <n v="116"/>
    <x v="2"/>
    <s v="2017/3227"/>
    <m/>
    <s v="257 Putney Bridge Road"/>
    <m/>
    <n v="524382"/>
    <n v="175284"/>
    <x v="13"/>
    <d v="2018-03-31T00:00:00"/>
    <m/>
    <n v="0"/>
    <n v="3"/>
    <n v="3"/>
    <n v="6"/>
    <n v="4"/>
    <m/>
    <s v="Demolition of rear outbuildings and rear part of frontage building;  erection of three-storey building at the rear to provide 3 x 2-bedroom flats; alterations to frontage building including the change of use of the ground floor from A3 to C3, including a part single, part three-storey rear/side extension and rear roof extension to provide 2 x 1-bedroom and 1 x 2-bedroom flat and 1 x 3-bedroom flat with roof-terraces at rear of first and second floors and associated refuse and cycle storage **Application description annd application form revised**."/>
    <s v="PF"/>
    <d v="2017-09-05T00:00:00"/>
    <d v="2017-10-05T00:00:00"/>
    <x v="1"/>
    <s v="Nil"/>
    <m/>
    <s v="BF"/>
    <x v="4"/>
    <x v="0"/>
    <x v="0"/>
    <n v="2.5000000372528999E-2"/>
    <d v="2018-03-31T00:00:00"/>
    <x v="1"/>
    <m/>
    <x v="0"/>
    <s v="P"/>
    <m/>
    <m/>
    <n v="0"/>
    <m/>
    <n v="0"/>
    <m/>
    <n v="0"/>
    <n v="0"/>
    <n v="3"/>
    <n v="0"/>
    <n v="0"/>
    <n v="0"/>
    <n v="0"/>
    <n v="0"/>
    <n v="0"/>
    <n v="3"/>
    <n v="0"/>
    <n v="0"/>
    <n v="0"/>
    <n v="0"/>
    <n v="0"/>
    <n v="0"/>
    <n v="0"/>
    <n v="0"/>
    <n v="0"/>
    <n v="0"/>
    <n v="0"/>
    <n v="0"/>
    <n v="0"/>
    <n v="0"/>
    <n v="0"/>
    <n v="0"/>
    <n v="0"/>
    <n v="0"/>
    <s v="West"/>
    <x v="0"/>
    <x v="0"/>
    <x v="1"/>
    <x v="0"/>
    <x v="0"/>
    <x v="0"/>
    <m/>
    <x v="0"/>
    <s v="Y"/>
    <s v="8B"/>
    <m/>
    <n v="0"/>
    <n v="1.5"/>
    <n v="1.5"/>
    <n v="0"/>
    <n v="0"/>
    <n v="0"/>
    <n v="0"/>
    <n v="0"/>
    <n v="0"/>
    <n v="0"/>
    <n v="0"/>
    <n v="0"/>
    <n v="0"/>
    <n v="0"/>
    <n v="0"/>
    <n v="0"/>
    <n v="0"/>
    <n v="0"/>
    <n v="0"/>
    <n v="0"/>
    <n v="0"/>
    <n v="3"/>
    <n v="3"/>
  </r>
  <r>
    <n v="116"/>
    <x v="2"/>
    <s v="2017/3227"/>
    <m/>
    <s v="257 Putney Bridge Road"/>
    <m/>
    <n v="524382"/>
    <n v="175284"/>
    <x v="13"/>
    <d v="2018-03-31T00:00:00"/>
    <m/>
    <n v="2"/>
    <n v="2"/>
    <n v="0"/>
    <n v="6"/>
    <n v="4"/>
    <m/>
    <s v="Demolition of rear outbuildings and rear part of frontage building;  erection of three-storey building at the rear to provide 3 x 2-bedroom flats; alterations to frontage building including the change of use of the ground floor from A3 to C3, including a part single, part three-storey rear/side extension and rear roof extension to provide 2 x 1-bedroom and 1 x 2-bedroom flat and 1 x 3-bedroom flat with roof-terraces at rear of first and second floors and associated refuse and cycle storage **Application description annd application form revised**."/>
    <s v="PF"/>
    <d v="2017-09-05T00:00:00"/>
    <d v="2017-10-05T00:00:00"/>
    <x v="1"/>
    <s v="Nil"/>
    <m/>
    <s v="BF"/>
    <x v="4"/>
    <x v="0"/>
    <x v="10"/>
    <n v="7.0000002160668399E-3"/>
    <d v="2018-03-31T00:00:00"/>
    <x v="1"/>
    <m/>
    <x v="0"/>
    <s v="P"/>
    <m/>
    <m/>
    <n v="0"/>
    <m/>
    <n v="0"/>
    <m/>
    <n v="0"/>
    <n v="1"/>
    <n v="-1"/>
    <n v="0"/>
    <n v="0"/>
    <n v="0"/>
    <n v="0"/>
    <n v="0"/>
    <n v="1"/>
    <n v="-1"/>
    <n v="0"/>
    <n v="0"/>
    <n v="0"/>
    <n v="0"/>
    <n v="0"/>
    <n v="0"/>
    <n v="0"/>
    <n v="0"/>
    <n v="0"/>
    <n v="0"/>
    <n v="0"/>
    <n v="0"/>
    <n v="0"/>
    <n v="0"/>
    <n v="0"/>
    <n v="0"/>
    <n v="0"/>
    <n v="0"/>
    <s v="West"/>
    <x v="0"/>
    <x v="0"/>
    <x v="1"/>
    <x v="0"/>
    <x v="0"/>
    <x v="0"/>
    <m/>
    <x v="0"/>
    <s v="Y"/>
    <s v="8B"/>
    <m/>
    <n v="0"/>
    <n v="0"/>
    <n v="0"/>
    <n v="0"/>
    <n v="0"/>
    <n v="0"/>
    <n v="0"/>
    <n v="0"/>
    <n v="0"/>
    <n v="0"/>
    <n v="0"/>
    <n v="0"/>
    <n v="0"/>
    <n v="0"/>
    <n v="0"/>
    <n v="0"/>
    <n v="0"/>
    <n v="0"/>
    <n v="0"/>
    <n v="0"/>
    <n v="0"/>
    <n v="0"/>
    <n v="0"/>
  </r>
  <r>
    <n v="116"/>
    <x v="2"/>
    <s v="2017/3227"/>
    <m/>
    <s v="257 Putney Bridge Road"/>
    <m/>
    <n v="524382"/>
    <n v="175284"/>
    <x v="13"/>
    <d v="2018-03-31T00:00:00"/>
    <m/>
    <n v="0"/>
    <n v="1"/>
    <n v="1"/>
    <n v="6"/>
    <n v="4"/>
    <m/>
    <s v="Demolition of rear outbuildings and rear part of frontage building;  erection of three-storey building at the rear to provide 3 x 2-bedroom flats; alterations to frontage building including the change of use of the ground floor from A3 to C3, including a part single, part three-storey rear/side extension and rear roof extension to provide 2 x 1-bedroom and 1 x 2-bedroom flat and 1 x 3-bedroom flat with roof-terraces at rear of first and second floors and associated refuse and cycle storage **Application description annd application form revised**."/>
    <s v="PF"/>
    <d v="2017-09-05T00:00:00"/>
    <d v="2017-10-05T00:00:00"/>
    <x v="1"/>
    <s v="Nil"/>
    <m/>
    <s v="BF"/>
    <x v="4"/>
    <x v="0"/>
    <x v="5"/>
    <n v="7.0000002160668399E-3"/>
    <d v="2018-03-31T00:00:00"/>
    <x v="1"/>
    <m/>
    <x v="0"/>
    <s v="P"/>
    <m/>
    <m/>
    <n v="0"/>
    <m/>
    <n v="0"/>
    <m/>
    <n v="0"/>
    <n v="1"/>
    <n v="0"/>
    <n v="0"/>
    <n v="0"/>
    <n v="0"/>
    <n v="0"/>
    <n v="0"/>
    <n v="1"/>
    <n v="0"/>
    <n v="0"/>
    <n v="0"/>
    <n v="0"/>
    <n v="0"/>
    <n v="0"/>
    <n v="0"/>
    <n v="0"/>
    <n v="0"/>
    <n v="0"/>
    <n v="0"/>
    <n v="0"/>
    <n v="0"/>
    <n v="0"/>
    <n v="0"/>
    <n v="0"/>
    <n v="0"/>
    <n v="0"/>
    <n v="0"/>
    <s v="West"/>
    <x v="0"/>
    <x v="0"/>
    <x v="1"/>
    <x v="0"/>
    <x v="0"/>
    <x v="0"/>
    <m/>
    <x v="0"/>
    <s v="Y"/>
    <s v="8B"/>
    <m/>
    <n v="0"/>
    <n v="0.5"/>
    <n v="0.5"/>
    <n v="0"/>
    <n v="0"/>
    <n v="0"/>
    <n v="0"/>
    <n v="0"/>
    <n v="0"/>
    <n v="0"/>
    <n v="0"/>
    <n v="0"/>
    <n v="0"/>
    <n v="0"/>
    <n v="0"/>
    <n v="0"/>
    <n v="0"/>
    <n v="0"/>
    <n v="0"/>
    <n v="0"/>
    <n v="0"/>
    <n v="1"/>
    <n v="1"/>
  </r>
  <r>
    <n v="215"/>
    <x v="2"/>
    <s v="2017/4808"/>
    <m/>
    <s v="Section House, 3-5 Nightingale Lane"/>
    <m/>
    <n v="528736"/>
    <n v="174223"/>
    <x v="9"/>
    <d v="2016-03-31T00:00:00"/>
    <m/>
    <n v="0"/>
    <n v="94"/>
    <n v="94"/>
    <n v="94"/>
    <n v="94"/>
    <s v="Y"/>
    <s v="Non-material amendment to planning permission dated 04/01/2016 ref 2015/2469 [Demolition of the existing building (Class B1 Use) and redevelopment of the site to provide a 4 -7 storey care facility (Class C2 Use) comprising 102 units, together with ancillary retail, cafe, day centre and accessible swimming pool; access, parking and associated landscaping.] to allow the reduction iof residential units from 102 to 94; Alterations to the size and layout of residential units from 25 x 1 bed, 63 x 2 bed &amp; 14 x 3 bed to 28 x 1 bed, 49 x 2 bed and 17 x 2+/3 bed units; Change 6 duplex residential units at fifth and sixth floor to 6 units at fifth floor and 2 larger units at sixth floor [This removes the need to introduce individual lifts within the duplexes and the internal staircases can be omitted and the intermediate floor level has been lowered.]; installing an additional core  staircase and lift up to the sixth floor; introduction of a continuous corridor at most floor levels to allow access to both_x000d__x000a_staircases and to reduce the number of lifts required; reduction in size of the basement floor area;  introduction of a solid timber panel within the fenestration at every level to the north elevation; changes to the ground floor communal areas to include two new guest suites with the introduction of fenestration within the vehicular arch; relocation of the car park at basement level to the rear of the building; changes to the size and location of plant area at basement level; formation of new entrance doors to bar/bistro; increase in depth of 1st floor balconies on front elevation to same depth as upper floor balconies and external staircase from basement to ground level emerging at the kink in the southern boundary of site."/>
    <s v="S96A"/>
    <d v="2017-08-29T00:00:00"/>
    <d v="2017-09-26T00:00:00"/>
    <x v="1"/>
    <s v="Nil"/>
    <m/>
    <s v="BF"/>
    <x v="0"/>
    <x v="1"/>
    <x v="1"/>
    <n v="0.10000000149011599"/>
    <d v="2016-03-31T00:00:00"/>
    <x v="0"/>
    <m/>
    <x v="0"/>
    <s v="P"/>
    <m/>
    <m/>
    <n v="0"/>
    <m/>
    <n v="0"/>
    <m/>
    <n v="0"/>
    <n v="28"/>
    <n v="49"/>
    <n v="17"/>
    <n v="0"/>
    <n v="0"/>
    <n v="0"/>
    <n v="0"/>
    <n v="28"/>
    <n v="49"/>
    <n v="17"/>
    <n v="0"/>
    <n v="0"/>
    <n v="0"/>
    <n v="0"/>
    <n v="0"/>
    <n v="0"/>
    <n v="0"/>
    <n v="0"/>
    <n v="0"/>
    <n v="0"/>
    <n v="0"/>
    <n v="0"/>
    <n v="0"/>
    <n v="0"/>
    <n v="0"/>
    <n v="0"/>
    <n v="0"/>
    <s v="East"/>
    <x v="0"/>
    <x v="0"/>
    <x v="1"/>
    <x v="0"/>
    <x v="0"/>
    <x v="0"/>
    <m/>
    <x v="0"/>
    <s v="Y"/>
    <s v="3A"/>
    <m/>
    <n v="0"/>
    <n v="0"/>
    <n v="94"/>
    <n v="0"/>
    <n v="0"/>
    <n v="0"/>
    <n v="0"/>
    <n v="0"/>
    <n v="0"/>
    <n v="0"/>
    <n v="0"/>
    <n v="0"/>
    <n v="0"/>
    <n v="0"/>
    <n v="0"/>
    <n v="0"/>
    <n v="0"/>
    <n v="0"/>
    <n v="0"/>
    <n v="0"/>
    <n v="0"/>
    <n v="94"/>
    <n v="94"/>
  </r>
  <r>
    <n v="244"/>
    <x v="2"/>
    <s v="2012/5470"/>
    <s v="Plantation Wharf"/>
    <s v="Trade Tower, Plantation Wharf, Coral Row"/>
    <m/>
    <n v="526455"/>
    <n v="175748"/>
    <x v="1"/>
    <d v="2016-04-27T00:00:00"/>
    <m/>
    <n v="2"/>
    <n v="18"/>
    <n v="16"/>
    <n v="18"/>
    <n v="16"/>
    <s v="Y"/>
    <s v="Erection of part five, part six additional floors to Trade Tower following removal of existing 12th and 13th floors. Alterations to entrance fronting Gartons Way including installation of structural framework to ground and first floors. Alterations and extensions in connection with the formation of 18 flats (net increase of 18 flats). (Renewal of planning permission 2009/3853 dated 19.07.2010)"/>
    <s v="PFLA"/>
    <d v="2012-12-10T00:00:00"/>
    <d v="2013-04-30T00:00:00"/>
    <x v="0"/>
    <s v="Nil"/>
    <m/>
    <s v="BF"/>
    <x v="2"/>
    <x v="2"/>
    <x v="1"/>
    <n v="1.4999999664723899E-2"/>
    <d v="2016-04-27T00:00:00"/>
    <x v="0"/>
    <m/>
    <x v="0"/>
    <s v="P"/>
    <s v="10.15"/>
    <m/>
    <n v="0"/>
    <m/>
    <n v="0"/>
    <m/>
    <n v="0"/>
    <n v="0"/>
    <n v="14"/>
    <n v="2"/>
    <n v="0"/>
    <n v="0"/>
    <n v="0"/>
    <n v="0"/>
    <n v="0"/>
    <n v="14"/>
    <n v="2"/>
    <n v="0"/>
    <n v="0"/>
    <n v="0"/>
    <n v="0"/>
    <n v="0"/>
    <n v="0"/>
    <n v="0"/>
    <n v="0"/>
    <n v="0"/>
    <n v="0"/>
    <n v="0"/>
    <n v="0"/>
    <n v="0"/>
    <n v="0"/>
    <n v="0"/>
    <n v="0"/>
    <n v="0"/>
    <s v="East"/>
    <x v="0"/>
    <x v="0"/>
    <x v="1"/>
    <x v="0"/>
    <x v="0"/>
    <x v="0"/>
    <s v="Y"/>
    <x v="0"/>
    <s v="Y"/>
    <s v="5B"/>
    <m/>
    <n v="0"/>
    <n v="0"/>
    <n v="0"/>
    <n v="0"/>
    <n v="5.333333333333333"/>
    <n v="5.333333333333333"/>
    <n v="5.333333333333333"/>
    <n v="0"/>
    <n v="0"/>
    <n v="0"/>
    <n v="0"/>
    <n v="0"/>
    <n v="0"/>
    <n v="0"/>
    <n v="0"/>
    <n v="0"/>
    <n v="0"/>
    <n v="0"/>
    <n v="0"/>
    <n v="0"/>
    <n v="0"/>
    <n v="10.666666666666666"/>
    <n v="16"/>
  </r>
  <r>
    <n v="322"/>
    <x v="2"/>
    <s v="2017/0764"/>
    <s v="131 Battersea High Street"/>
    <s v="Battersea Park Studios, 2 Shuttleworth Road"/>
    <m/>
    <n v="527020"/>
    <n v="176330"/>
    <x v="1"/>
    <d v="2018-03-31T00:00:00"/>
    <m/>
    <n v="0"/>
    <n v="71"/>
    <n v="71"/>
    <n v="71"/>
    <n v="71"/>
    <s v="Y"/>
    <s v="Minor Material Amendment (Section 73) and Variation of conditions 2, 12, 18,21, 22, 34, 35 and 36 pursuant to planning permission dated 13/01/2017 ref 2015/2963 (Demolition of existing recording studio and lock-up garages and erection of a three- to seven-storey building with basement to provide 77 residential units (C3 use class) (19 x1 bedroom, 50 x 2 bedroom, 8 x 3 bedroom) and 624 sqm of recording studio floorspace (sui-generis use class); associated car parking, landscaping and public realm improvements) so as to allow (i) change to description of development (ii) update to list of plans (iii) details of noise insulation (iv) update to elevation drawings (v) reduction in number of cycle storage spaces (vi) changes in wheelchair adaptable units (vii) amend requirement for waste and recycling strategy as basement recording studio is no longer proposed (viii) deletion of condition relating to restriction of the use of the basement (xvi) update of landscaping plans."/>
    <s v="S73"/>
    <d v="2017-02-13T00:00:00"/>
    <d v="2017-11-06T00:00:00"/>
    <x v="1"/>
    <s v="Nil"/>
    <m/>
    <s v="BF"/>
    <x v="0"/>
    <x v="1"/>
    <x v="1"/>
    <n v="0.23700000345706901"/>
    <d v="2018-03-31T00:00:00"/>
    <x v="1"/>
    <m/>
    <x v="2"/>
    <s v="HASR"/>
    <m/>
    <m/>
    <n v="71"/>
    <m/>
    <n v="8"/>
    <n v="8"/>
    <n v="0"/>
    <n v="15"/>
    <n v="39"/>
    <n v="9"/>
    <n v="8"/>
    <n v="0"/>
    <n v="0"/>
    <n v="0"/>
    <n v="15"/>
    <n v="39"/>
    <n v="9"/>
    <n v="8"/>
    <n v="0"/>
    <n v="0"/>
    <n v="0"/>
    <n v="0"/>
    <n v="0"/>
    <n v="0"/>
    <n v="0"/>
    <n v="0"/>
    <n v="0"/>
    <n v="0"/>
    <n v="0"/>
    <n v="0"/>
    <n v="0"/>
    <n v="0"/>
    <n v="0"/>
    <n v="0"/>
    <s v="East"/>
    <x v="0"/>
    <x v="0"/>
    <x v="1"/>
    <x v="0"/>
    <x v="0"/>
    <x v="0"/>
    <m/>
    <x v="0"/>
    <s v="Y"/>
    <s v="8B"/>
    <m/>
    <n v="0"/>
    <n v="35.5"/>
    <n v="35.5"/>
    <n v="0"/>
    <n v="0"/>
    <n v="0"/>
    <n v="0"/>
    <n v="0"/>
    <n v="0"/>
    <n v="0"/>
    <n v="0"/>
    <n v="0"/>
    <n v="0"/>
    <n v="0"/>
    <n v="0"/>
    <n v="0"/>
    <n v="0"/>
    <n v="0"/>
    <n v="0"/>
    <n v="0"/>
    <n v="0"/>
    <n v="71"/>
    <n v="71"/>
  </r>
  <r>
    <n v="364"/>
    <x v="2"/>
    <s v="2012/3143"/>
    <m/>
    <s v="265 Putney Bridge Road"/>
    <m/>
    <n v="524358"/>
    <n v="175314"/>
    <x v="13"/>
    <d v="2014-05-06T00:00:00"/>
    <m/>
    <n v="0"/>
    <n v="1"/>
    <n v="1"/>
    <n v="1"/>
    <n v="1"/>
    <m/>
    <s v="Demolition of existing rear addition. Excavation of basement and erection of ground floor rear extension in connection with the use of the rear of the property as a three-bedroom dwelling."/>
    <s v="PF"/>
    <d v="2012-07-03T00:00:00"/>
    <d v="2012-10-19T00:00:00"/>
    <x v="0"/>
    <s v="Nil"/>
    <m/>
    <s v="BF"/>
    <x v="0"/>
    <x v="0"/>
    <x v="0"/>
    <n v="1.30000002682209E-2"/>
    <d v="2014-05-06T00:00:00"/>
    <x v="0"/>
    <m/>
    <x v="0"/>
    <s v="P"/>
    <m/>
    <m/>
    <n v="0"/>
    <m/>
    <n v="0"/>
    <m/>
    <n v="0"/>
    <n v="0"/>
    <n v="0"/>
    <n v="1"/>
    <n v="0"/>
    <n v="0"/>
    <n v="0"/>
    <n v="0"/>
    <n v="0"/>
    <n v="0"/>
    <n v="0"/>
    <n v="0"/>
    <n v="0"/>
    <n v="0"/>
    <n v="0"/>
    <n v="0"/>
    <n v="0"/>
    <n v="1"/>
    <n v="0"/>
    <n v="0"/>
    <n v="0"/>
    <n v="0"/>
    <n v="0"/>
    <n v="0"/>
    <n v="0"/>
    <n v="0"/>
    <n v="0"/>
    <n v="0"/>
    <s v="West"/>
    <x v="0"/>
    <x v="0"/>
    <x v="1"/>
    <x v="0"/>
    <x v="0"/>
    <x v="0"/>
    <m/>
    <x v="0"/>
    <s v="Y"/>
    <s v="2A"/>
    <m/>
    <n v="0"/>
    <n v="1"/>
    <n v="0"/>
    <n v="0"/>
    <n v="0"/>
    <n v="0"/>
    <n v="0"/>
    <n v="0"/>
    <n v="0"/>
    <n v="0"/>
    <n v="0"/>
    <n v="0"/>
    <n v="0"/>
    <n v="0"/>
    <n v="0"/>
    <n v="0"/>
    <n v="0"/>
    <n v="0"/>
    <n v="0"/>
    <n v="0"/>
    <n v="0"/>
    <n v="1"/>
    <n v="1"/>
  </r>
  <r>
    <n v="365"/>
    <x v="2"/>
    <s v="2014/0871"/>
    <s v="One Nine Elms"/>
    <s v="Market Towers, 1 Nine Elms Lane"/>
    <s v="CITY TOWER - PRIVATE"/>
    <n v="530104"/>
    <n v="177808"/>
    <x v="6"/>
    <d v="2015-08-12T00:00:00"/>
    <m/>
    <n v="0"/>
    <n v="439"/>
    <n v="439"/>
    <n v="491"/>
    <n v="491"/>
    <s v="Y"/>
    <s v="Minor-material amendments, under Section 73 of the Town and Country Planning Act, to pp 2012/0380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Minor amendments include: i. removal of office floorspace and enlargement of the hotel; ii. redistribution of residential and hotel uses.; iii. reduction in the height of  podium building.; iv. removal of the high level 'Skybridge' and reprovision of leisure facilities in podium building_x000d__x000a_v. re-articulation of the top of the towers and amendments to external facade.  _x000d__x000a_vi. redistribution of residential amenity areas vii. increase in size of basement level 2 from 11,331 sqm to 12,627 sqm. viii amendments to site access, servicing and drop-off arrangements. ix. changes to the landscaping strategy.x increase in car parking spaces from 109 to 124. An Environmental Statement has been submitted with the planning application under the Town and Country Planning (Environmental Impact Assessment) (England and Wales) Regulations 2011."/>
    <s v="S73"/>
    <d v="2014-02-21T00:00:00"/>
    <d v="2014-08-26T00:00:00"/>
    <x v="0"/>
    <s v="Nil"/>
    <m/>
    <s v="BF"/>
    <x v="0"/>
    <x v="1"/>
    <x v="1"/>
    <n v="0.26300001144409202"/>
    <d v="2015-08-12T00:00:00"/>
    <x v="0"/>
    <m/>
    <x v="0"/>
    <s v="P"/>
    <s v="2.1.12"/>
    <m/>
    <n v="0"/>
    <n v="44"/>
    <n v="0"/>
    <n v="395"/>
    <n v="0"/>
    <n v="119"/>
    <n v="181"/>
    <n v="129"/>
    <n v="10"/>
    <n v="0"/>
    <n v="0"/>
    <n v="0"/>
    <n v="119"/>
    <n v="181"/>
    <n v="129"/>
    <n v="10"/>
    <n v="0"/>
    <n v="0"/>
    <n v="0"/>
    <n v="0"/>
    <n v="0"/>
    <n v="0"/>
    <n v="0"/>
    <n v="0"/>
    <n v="0"/>
    <n v="0"/>
    <n v="0"/>
    <n v="0"/>
    <n v="0"/>
    <n v="0"/>
    <n v="0"/>
    <n v="0"/>
    <s v="Strategic Planning/Nine Elms"/>
    <x v="0"/>
    <x v="1"/>
    <x v="1"/>
    <x v="0"/>
    <x v="0"/>
    <x v="0"/>
    <m/>
    <x v="0"/>
    <s v="Y"/>
    <n v="12"/>
    <m/>
    <n v="0"/>
    <n v="0"/>
    <n v="0"/>
    <n v="0"/>
    <n v="439"/>
    <n v="0"/>
    <n v="0"/>
    <n v="0"/>
    <n v="0"/>
    <n v="0"/>
    <n v="0"/>
    <n v="0"/>
    <n v="0"/>
    <n v="0"/>
    <n v="0"/>
    <n v="0"/>
    <n v="0"/>
    <n v="0"/>
    <n v="0"/>
    <n v="0"/>
    <n v="0"/>
    <n v="439"/>
    <n v="439"/>
  </r>
  <r>
    <n v="365"/>
    <x v="2"/>
    <s v="2014/5786"/>
    <s v="One Nine Elms"/>
    <s v="Market Towers, 1 Nine Elms Lane"/>
    <m/>
    <n v="530104"/>
    <n v="177808"/>
    <x v="6"/>
    <d v="2015-08-12T00:00:00"/>
    <m/>
    <n v="0"/>
    <n v="57"/>
    <n v="57"/>
    <n v="57"/>
    <n v="57"/>
    <s v="Y"/>
    <s v="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
    <s v="S96A"/>
    <d v="2014-10-08T00:00:00"/>
    <d v="2015-01-12T00:00:00"/>
    <x v="0"/>
    <s v="Nil"/>
    <m/>
    <s v="BF"/>
    <x v="0"/>
    <x v="1"/>
    <x v="1"/>
    <n v="1.4000000432133701E-2"/>
    <d v="2015-08-12T00:00:00"/>
    <x v="0"/>
    <m/>
    <x v="1"/>
    <s v="HASO"/>
    <s v="2.1.12"/>
    <m/>
    <n v="57"/>
    <n v="6"/>
    <n v="6"/>
    <n v="51"/>
    <n v="0"/>
    <n v="35"/>
    <n v="22"/>
    <n v="0"/>
    <n v="0"/>
    <n v="0"/>
    <n v="0"/>
    <n v="0"/>
    <n v="35"/>
    <n v="22"/>
    <n v="0"/>
    <n v="0"/>
    <n v="0"/>
    <n v="0"/>
    <n v="0"/>
    <n v="0"/>
    <n v="0"/>
    <n v="0"/>
    <n v="0"/>
    <n v="0"/>
    <n v="0"/>
    <n v="0"/>
    <n v="0"/>
    <n v="0"/>
    <n v="0"/>
    <n v="0"/>
    <n v="0"/>
    <n v="0"/>
    <s v="Strategic Planning/Nine Elms"/>
    <x v="0"/>
    <x v="1"/>
    <x v="1"/>
    <x v="0"/>
    <x v="0"/>
    <x v="0"/>
    <m/>
    <x v="0"/>
    <s v="Y"/>
    <n v="12"/>
    <m/>
    <n v="0"/>
    <n v="0"/>
    <n v="0"/>
    <n v="0"/>
    <n v="57"/>
    <n v="0"/>
    <n v="0"/>
    <n v="0"/>
    <n v="0"/>
    <n v="0"/>
    <n v="0"/>
    <n v="0"/>
    <n v="0"/>
    <n v="0"/>
    <n v="0"/>
    <n v="0"/>
    <n v="0"/>
    <n v="0"/>
    <n v="0"/>
    <n v="0"/>
    <n v="0"/>
    <n v="57"/>
    <n v="57"/>
  </r>
  <r>
    <n v="365"/>
    <x v="2"/>
    <s v="2015/5942"/>
    <s v="One Nine Elms"/>
    <s v="Market Towers, 1 Nine Elms Lane"/>
    <m/>
    <n v="530104"/>
    <n v="177808"/>
    <x v="6"/>
    <d v="2015-08-12T00:00:00"/>
    <m/>
    <n v="2"/>
    <n v="0"/>
    <n v="-2"/>
    <n v="0"/>
    <n v="-2"/>
    <s v="Y"/>
    <s v="Non Material Amendment to planning application 2014/0871 dated 26 August 2014 &quot;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quot;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
    <s v="S96A"/>
    <d v="2016-06-15T00:00:00"/>
    <d v="2016-06-21T00:00:00"/>
    <x v="0"/>
    <s v="Nil"/>
    <m/>
    <s v="BF"/>
    <x v="0"/>
    <x v="1"/>
    <x v="1"/>
    <n v="1.00000004749745E-3"/>
    <d v="2015-08-12T00:00:00"/>
    <x v="0"/>
    <m/>
    <x v="0"/>
    <s v="P"/>
    <s v="2.1.12"/>
    <m/>
    <n v="0"/>
    <m/>
    <n v="0"/>
    <m/>
    <n v="0"/>
    <n v="-2"/>
    <n v="0"/>
    <n v="0"/>
    <n v="0"/>
    <n v="0"/>
    <n v="0"/>
    <n v="0"/>
    <n v="-2"/>
    <n v="0"/>
    <n v="0"/>
    <n v="0"/>
    <n v="0"/>
    <n v="0"/>
    <n v="0"/>
    <n v="0"/>
    <n v="0"/>
    <n v="0"/>
    <n v="0"/>
    <n v="0"/>
    <n v="0"/>
    <n v="0"/>
    <n v="0"/>
    <n v="0"/>
    <n v="0"/>
    <n v="0"/>
    <n v="0"/>
    <n v="0"/>
    <s v="Strategic Planning/Nine Elms"/>
    <x v="0"/>
    <x v="1"/>
    <x v="1"/>
    <x v="0"/>
    <x v="0"/>
    <x v="0"/>
    <m/>
    <x v="0"/>
    <s v="Y"/>
    <n v="12"/>
    <m/>
    <n v="0"/>
    <n v="0"/>
    <n v="0"/>
    <n v="0"/>
    <n v="-2"/>
    <n v="0"/>
    <n v="0"/>
    <n v="0"/>
    <n v="0"/>
    <n v="0"/>
    <n v="0"/>
    <n v="0"/>
    <n v="0"/>
    <n v="0"/>
    <n v="0"/>
    <n v="0"/>
    <n v="0"/>
    <n v="0"/>
    <n v="0"/>
    <n v="0"/>
    <n v="0"/>
    <n v="-2"/>
    <n v="-2"/>
  </r>
  <r>
    <n v="494"/>
    <x v="2"/>
    <s v="2014/4498"/>
    <m/>
    <s v="and 5 Upper Richmond Road, 72 West Hill"/>
    <m/>
    <n v="524885"/>
    <n v="174590"/>
    <x v="16"/>
    <d v="2017-04-05T00:00:00"/>
    <m/>
    <n v="0"/>
    <n v="8"/>
    <n v="8"/>
    <n v="8"/>
    <n v="8"/>
    <m/>
    <s v="Demolition of existing buildings. Erection of part two/ part three-storey building with accommodation in roof level, to provide 8 residential units together with cycle storage, roof terraces/balconies, communal gardens and landscaping."/>
    <s v="PF"/>
    <d v="2014-08-13T00:00:00"/>
    <d v="2015-06-26T00:00:00"/>
    <x v="0"/>
    <s v="Nil"/>
    <m/>
    <s v="BF"/>
    <x v="4"/>
    <x v="0"/>
    <x v="5"/>
    <n v="3.9999999105930301E-2"/>
    <d v="2017-04-05T00:00:00"/>
    <x v="1"/>
    <m/>
    <x v="0"/>
    <s v="P"/>
    <m/>
    <m/>
    <n v="0"/>
    <m/>
    <n v="0"/>
    <m/>
    <n v="0"/>
    <n v="2"/>
    <n v="4"/>
    <n v="2"/>
    <n v="0"/>
    <n v="0"/>
    <n v="0"/>
    <n v="0"/>
    <n v="2"/>
    <n v="4"/>
    <n v="2"/>
    <n v="0"/>
    <n v="0"/>
    <n v="0"/>
    <n v="0"/>
    <n v="0"/>
    <n v="0"/>
    <n v="0"/>
    <n v="0"/>
    <n v="0"/>
    <n v="0"/>
    <n v="0"/>
    <n v="0"/>
    <n v="0"/>
    <n v="0"/>
    <n v="0"/>
    <n v="0"/>
    <n v="0"/>
    <s v="West"/>
    <x v="0"/>
    <x v="0"/>
    <x v="1"/>
    <x v="0"/>
    <x v="0"/>
    <x v="0"/>
    <m/>
    <x v="0"/>
    <s v="Y"/>
    <s v="8A"/>
    <m/>
    <n v="0"/>
    <n v="8"/>
    <n v="0"/>
    <n v="0"/>
    <n v="0"/>
    <n v="0"/>
    <n v="0"/>
    <n v="0"/>
    <n v="0"/>
    <n v="0"/>
    <n v="0"/>
    <n v="0"/>
    <n v="0"/>
    <n v="0"/>
    <n v="0"/>
    <n v="0"/>
    <n v="0"/>
    <n v="0"/>
    <n v="0"/>
    <n v="0"/>
    <n v="0"/>
    <n v="8"/>
    <n v="8"/>
  </r>
  <r>
    <n v="548"/>
    <x v="2"/>
    <s v="2017/5673"/>
    <m/>
    <s v="36 Hoyle Road"/>
    <m/>
    <n v="527240"/>
    <n v="171371"/>
    <x v="4"/>
    <d v="2018-03-14T00:00:00"/>
    <m/>
    <n v="1"/>
    <n v="3"/>
    <n v="2"/>
    <n v="3"/>
    <n v="2"/>
    <m/>
    <s v="Alterations including erection of two-storey side and single-storey rear extension and conversion of property to 1 x 3-bedroom, 1 x 2-bedroom and 1 x 1-bedroom flats with associated cycle and refuse storage."/>
    <s v="PF"/>
    <d v="2017-10-13T00:00:00"/>
    <d v="2017-12-08T00:00:00"/>
    <x v="1"/>
    <s v="Nil"/>
    <m/>
    <s v="BF"/>
    <x v="4"/>
    <x v="0"/>
    <x v="8"/>
    <n v="1.9999999552965199E-2"/>
    <d v="2018-03-14T00:00:00"/>
    <x v="1"/>
    <m/>
    <x v="0"/>
    <s v="P"/>
    <m/>
    <m/>
    <n v="0"/>
    <m/>
    <n v="0"/>
    <m/>
    <n v="0"/>
    <n v="1"/>
    <n v="1"/>
    <n v="1"/>
    <n v="-1"/>
    <n v="0"/>
    <n v="0"/>
    <n v="0"/>
    <n v="1"/>
    <n v="1"/>
    <n v="1"/>
    <n v="0"/>
    <n v="0"/>
    <n v="0"/>
    <n v="0"/>
    <n v="0"/>
    <n v="0"/>
    <n v="0"/>
    <n v="-1"/>
    <n v="0"/>
    <n v="0"/>
    <n v="0"/>
    <n v="0"/>
    <n v="0"/>
    <n v="0"/>
    <n v="0"/>
    <n v="0"/>
    <n v="0"/>
    <s v="East"/>
    <x v="0"/>
    <x v="0"/>
    <x v="1"/>
    <x v="0"/>
    <x v="0"/>
    <x v="0"/>
    <m/>
    <x v="0"/>
    <s v="Y"/>
    <s v="8B"/>
    <m/>
    <n v="0"/>
    <n v="1"/>
    <n v="1"/>
    <n v="0"/>
    <n v="0"/>
    <n v="0"/>
    <n v="0"/>
    <n v="0"/>
    <n v="0"/>
    <n v="0"/>
    <n v="0"/>
    <n v="0"/>
    <n v="0"/>
    <n v="0"/>
    <n v="0"/>
    <n v="0"/>
    <n v="0"/>
    <n v="0"/>
    <n v="0"/>
    <n v="0"/>
    <n v="0"/>
    <n v="2"/>
    <n v="2"/>
  </r>
  <r>
    <n v="578"/>
    <x v="2"/>
    <s v="2016/3909"/>
    <m/>
    <s v="253 Lavender Hill"/>
    <m/>
    <n v="527681"/>
    <n v="175497"/>
    <x v="10"/>
    <d v="2016-10-12T00:00:00"/>
    <m/>
    <n v="0"/>
    <n v="3"/>
    <n v="3"/>
    <n v="3"/>
    <n v="3"/>
    <m/>
    <s v="Determination as to whether prior approval is required for change of use of office at first floor (front), second and third floor levels from (Class B1a) to residential (Class C3) to provide 3 x 2-bedroom flats"/>
    <s v="PAG"/>
    <d v="2016-06-29T00:00:00"/>
    <d v="2016-08-24T00:00:00"/>
    <x v="0"/>
    <s v="Nil"/>
    <m/>
    <s v="BF"/>
    <x v="3"/>
    <x v="0"/>
    <x v="9"/>
    <n v="1.30000002682209E-2"/>
    <d v="2016-10-12T00:00:00"/>
    <x v="0"/>
    <m/>
    <x v="0"/>
    <s v="P"/>
    <m/>
    <m/>
    <n v="0"/>
    <m/>
    <n v="0"/>
    <m/>
    <n v="0"/>
    <n v="0"/>
    <n v="3"/>
    <n v="0"/>
    <n v="0"/>
    <n v="0"/>
    <n v="0"/>
    <n v="0"/>
    <n v="0"/>
    <n v="3"/>
    <n v="0"/>
    <n v="0"/>
    <n v="0"/>
    <n v="0"/>
    <n v="0"/>
    <n v="0"/>
    <n v="0"/>
    <n v="0"/>
    <n v="0"/>
    <n v="0"/>
    <n v="0"/>
    <n v="0"/>
    <n v="0"/>
    <n v="0"/>
    <n v="0"/>
    <n v="0"/>
    <n v="0"/>
    <n v="0"/>
    <s v="East"/>
    <x v="5"/>
    <x v="0"/>
    <x v="1"/>
    <x v="0"/>
    <x v="0"/>
    <x v="0"/>
    <m/>
    <x v="0"/>
    <s v="Y"/>
    <s v="8A"/>
    <m/>
    <n v="0"/>
    <n v="3"/>
    <n v="0"/>
    <n v="0"/>
    <n v="0"/>
    <n v="0"/>
    <n v="0"/>
    <n v="0"/>
    <n v="0"/>
    <n v="0"/>
    <n v="0"/>
    <n v="0"/>
    <n v="0"/>
    <n v="0"/>
    <n v="0"/>
    <n v="0"/>
    <n v="0"/>
    <n v="0"/>
    <n v="0"/>
    <n v="0"/>
    <n v="0"/>
    <n v="3"/>
    <n v="3"/>
  </r>
  <r>
    <n v="687"/>
    <x v="2"/>
    <s v="2017/5907"/>
    <m/>
    <s v="Upper floors, 362 Old York Road"/>
    <m/>
    <n v="525881"/>
    <n v="174991"/>
    <x v="0"/>
    <d v="2018-02-05T00:00:00"/>
    <m/>
    <n v="1"/>
    <n v="2"/>
    <n v="1"/>
    <n v="2"/>
    <n v="1"/>
    <m/>
    <s v="Alterations including erection of first floor rear extension with roof terrace above in connection with conversion of upper flat into two studio flats."/>
    <s v="PF"/>
    <d v="2017-10-27T00:00:00"/>
    <d v="2017-12-20T00:00:00"/>
    <x v="1"/>
    <s v="Nil"/>
    <m/>
    <s v="BF"/>
    <x v="4"/>
    <x v="0"/>
    <x v="10"/>
    <n v="4.0000001899898104E-3"/>
    <d v="2018-02-05T00:00:00"/>
    <x v="1"/>
    <m/>
    <x v="0"/>
    <s v="P"/>
    <m/>
    <m/>
    <n v="0"/>
    <m/>
    <n v="0"/>
    <m/>
    <n v="2"/>
    <n v="0"/>
    <n v="0"/>
    <n v="-1"/>
    <n v="0"/>
    <n v="0"/>
    <n v="0"/>
    <n v="2"/>
    <n v="0"/>
    <n v="0"/>
    <n v="-1"/>
    <n v="0"/>
    <n v="0"/>
    <n v="0"/>
    <n v="0"/>
    <n v="0"/>
    <n v="0"/>
    <n v="0"/>
    <n v="0"/>
    <n v="0"/>
    <n v="0"/>
    <n v="0"/>
    <n v="0"/>
    <n v="0"/>
    <n v="0"/>
    <n v="0"/>
    <n v="0"/>
    <n v="0"/>
    <s v="West"/>
    <x v="0"/>
    <x v="0"/>
    <x v="0"/>
    <x v="0"/>
    <x v="0"/>
    <x v="0"/>
    <m/>
    <x v="0"/>
    <s v="Y"/>
    <s v="8B"/>
    <m/>
    <n v="0"/>
    <n v="0.5"/>
    <n v="0.5"/>
    <n v="0"/>
    <n v="0"/>
    <n v="0"/>
    <n v="0"/>
    <n v="0"/>
    <n v="0"/>
    <n v="0"/>
    <n v="0"/>
    <n v="0"/>
    <n v="0"/>
    <n v="0"/>
    <n v="0"/>
    <n v="0"/>
    <n v="0"/>
    <n v="0"/>
    <n v="0"/>
    <n v="0"/>
    <n v="0"/>
    <n v="1"/>
    <n v="1"/>
  </r>
  <r>
    <n v="786"/>
    <x v="2"/>
    <s v="2017/3296"/>
    <m/>
    <s v="Laglin Lodge, 7 Eardley Road"/>
    <m/>
    <n v="529441"/>
    <n v="171210"/>
    <x v="12"/>
    <d v="2017-09-01T00:00:00"/>
    <m/>
    <n v="0"/>
    <n v="4"/>
    <n v="4"/>
    <n v="4"/>
    <n v="4"/>
    <m/>
    <s v="Alterations including erection of dormer roof extension to main rear roof, installation of a basement, erection of part single, part three-storey rear extension with balcony at first floor and cycle storage to front in connection with change of use of property from residential care home (Class C2) to 3 x 2-bedroom and 1 x 3-bedroom flats (Class C3)"/>
    <s v="PF"/>
    <d v="2017-06-12T00:00:00"/>
    <d v="2017-08-14T00:00:00"/>
    <x v="1"/>
    <s v="Nil"/>
    <m/>
    <s v="BF"/>
    <x v="4"/>
    <x v="0"/>
    <x v="5"/>
    <n v="4.1999999433755902E-2"/>
    <d v="2017-09-01T00:00:00"/>
    <x v="1"/>
    <m/>
    <x v="0"/>
    <s v="P"/>
    <m/>
    <m/>
    <n v="0"/>
    <m/>
    <n v="0"/>
    <m/>
    <n v="0"/>
    <n v="0"/>
    <n v="3"/>
    <n v="1"/>
    <n v="0"/>
    <n v="0"/>
    <n v="0"/>
    <n v="0"/>
    <n v="0"/>
    <n v="3"/>
    <n v="1"/>
    <n v="0"/>
    <n v="0"/>
    <n v="0"/>
    <n v="0"/>
    <n v="0"/>
    <n v="0"/>
    <n v="0"/>
    <n v="0"/>
    <n v="0"/>
    <n v="0"/>
    <n v="0"/>
    <n v="0"/>
    <n v="0"/>
    <n v="0"/>
    <n v="0"/>
    <n v="0"/>
    <n v="0"/>
    <s v="East"/>
    <x v="0"/>
    <x v="0"/>
    <x v="1"/>
    <x v="0"/>
    <x v="0"/>
    <x v="0"/>
    <m/>
    <x v="0"/>
    <s v="Y"/>
    <s v="8A"/>
    <m/>
    <n v="0"/>
    <n v="4"/>
    <n v="0"/>
    <n v="0"/>
    <n v="0"/>
    <n v="0"/>
    <n v="0"/>
    <n v="0"/>
    <n v="0"/>
    <n v="0"/>
    <n v="0"/>
    <n v="0"/>
    <n v="0"/>
    <n v="0"/>
    <n v="0"/>
    <n v="0"/>
    <n v="0"/>
    <n v="0"/>
    <n v="0"/>
    <n v="0"/>
    <n v="0"/>
    <n v="4"/>
    <n v="4"/>
  </r>
  <r>
    <n v="976"/>
    <x v="2"/>
    <s v="2017/5175"/>
    <m/>
    <s v="1a Bennerley Road"/>
    <m/>
    <n v="527276"/>
    <n v="174754"/>
    <x v="14"/>
    <d v="2017-10-23T00:00:00"/>
    <m/>
    <n v="0"/>
    <n v="3"/>
    <n v="3"/>
    <n v="3"/>
    <n v="3"/>
    <m/>
    <s v="Demolition of existing garage and erection of a new four-storey building plus basement and rear amenity areas to create 1 x 3-bedroom  and 2 x 1-bedrom flats."/>
    <s v="PF"/>
    <d v="2017-09-13T00:00:00"/>
    <d v="2018-03-27T00:00:00"/>
    <x v="1"/>
    <s v="Nil"/>
    <m/>
    <s v="BF"/>
    <x v="0"/>
    <x v="0"/>
    <x v="0"/>
    <n v="1.2000000104308101E-2"/>
    <d v="2017-10-23T00:00:00"/>
    <x v="1"/>
    <m/>
    <x v="0"/>
    <s v="P"/>
    <m/>
    <m/>
    <n v="0"/>
    <m/>
    <n v="0"/>
    <m/>
    <n v="0"/>
    <n v="2"/>
    <n v="1"/>
    <n v="0"/>
    <n v="0"/>
    <n v="0"/>
    <n v="0"/>
    <n v="0"/>
    <n v="2"/>
    <n v="1"/>
    <n v="0"/>
    <n v="0"/>
    <n v="0"/>
    <n v="0"/>
    <n v="0"/>
    <n v="0"/>
    <n v="0"/>
    <n v="0"/>
    <n v="0"/>
    <n v="0"/>
    <n v="0"/>
    <n v="0"/>
    <n v="0"/>
    <n v="0"/>
    <n v="0"/>
    <n v="0"/>
    <n v="0"/>
    <n v="0"/>
    <s v="East"/>
    <x v="0"/>
    <x v="0"/>
    <x v="1"/>
    <x v="0"/>
    <x v="0"/>
    <x v="0"/>
    <m/>
    <x v="0"/>
    <s v="Y"/>
    <s v="2B"/>
    <m/>
    <n v="0"/>
    <n v="1.5"/>
    <n v="1.5"/>
    <n v="0"/>
    <n v="0"/>
    <n v="0"/>
    <n v="0"/>
    <n v="0"/>
    <n v="0"/>
    <n v="0"/>
    <n v="0"/>
    <n v="0"/>
    <n v="0"/>
    <n v="0"/>
    <n v="0"/>
    <n v="0"/>
    <n v="0"/>
    <n v="0"/>
    <n v="0"/>
    <n v="0"/>
    <n v="0"/>
    <n v="3"/>
    <n v="3"/>
  </r>
  <r>
    <n v="1244"/>
    <x v="2"/>
    <s v="2017/1940"/>
    <m/>
    <s v="27-29 Edna Street"/>
    <m/>
    <n v="527204"/>
    <n v="176540"/>
    <x v="1"/>
    <d v="2018-01-10T00:00:00"/>
    <m/>
    <n v="1"/>
    <n v="2"/>
    <n v="1"/>
    <n v="2"/>
    <n v="1"/>
    <m/>
    <s v="Alterations including erection of roof extensions above two storey back additions of both No. 27 &amp; 29 and the erection of a single storey rear/side extension to No. 29 in connection with the conversion to two single dwelling houses."/>
    <s v="PF"/>
    <d v="2017-04-19T00:00:00"/>
    <d v="2017-06-14T00:00:00"/>
    <x v="1"/>
    <s v="Nil"/>
    <m/>
    <s v="BF"/>
    <x v="4"/>
    <x v="0"/>
    <x v="10"/>
    <n v="2.9999999329447701E-2"/>
    <d v="2018-01-10T00:00:00"/>
    <x v="1"/>
    <m/>
    <x v="0"/>
    <s v="P"/>
    <m/>
    <m/>
    <n v="0"/>
    <m/>
    <n v="0"/>
    <m/>
    <n v="0"/>
    <n v="0"/>
    <n v="0"/>
    <n v="2"/>
    <n v="0"/>
    <n v="-1"/>
    <n v="0"/>
    <n v="0"/>
    <n v="0"/>
    <n v="0"/>
    <n v="0"/>
    <n v="0"/>
    <n v="0"/>
    <n v="0"/>
    <n v="0"/>
    <n v="0"/>
    <n v="0"/>
    <n v="2"/>
    <n v="0"/>
    <n v="-1"/>
    <n v="0"/>
    <n v="0"/>
    <n v="0"/>
    <n v="0"/>
    <n v="0"/>
    <n v="0"/>
    <n v="0"/>
    <n v="0"/>
    <s v="East"/>
    <x v="0"/>
    <x v="0"/>
    <x v="1"/>
    <x v="0"/>
    <x v="0"/>
    <x v="0"/>
    <m/>
    <x v="0"/>
    <s v="Y"/>
    <s v="8B"/>
    <m/>
    <n v="0"/>
    <n v="0.5"/>
    <n v="0.5"/>
    <n v="0"/>
    <n v="0"/>
    <n v="0"/>
    <n v="0"/>
    <n v="0"/>
    <n v="0"/>
    <n v="0"/>
    <n v="0"/>
    <n v="0"/>
    <n v="0"/>
    <n v="0"/>
    <n v="0"/>
    <n v="0"/>
    <n v="0"/>
    <n v="0"/>
    <n v="0"/>
    <n v="0"/>
    <n v="0"/>
    <n v="1"/>
    <n v="1"/>
  </r>
  <r>
    <n v="1515"/>
    <x v="2"/>
    <s v="2016/2772"/>
    <m/>
    <s v="25 Sudbrooke Road"/>
    <m/>
    <n v="527960"/>
    <n v="174047"/>
    <x v="9"/>
    <d v="2017-01-20T00:00:00"/>
    <m/>
    <n v="1"/>
    <n v="1"/>
    <n v="0"/>
    <n v="1"/>
    <n v="0"/>
    <m/>
    <s v="Demolition of existing building and erection of a two-storey dwelling house (with accommodation at basement level with front and rear lightwells, and at roof level with side and rear dormers). Alterations to front boundary wall including piers and sliding gate for front parking area."/>
    <s v="PF"/>
    <d v="2016-05-16T00:00:00"/>
    <d v="2016-07-11T00:00:00"/>
    <x v="0"/>
    <s v="Nil"/>
    <m/>
    <s v="BF"/>
    <x v="0"/>
    <x v="0"/>
    <x v="0"/>
    <n v="5.6000001728534698E-2"/>
    <d v="2017-01-20T00:00:00"/>
    <x v="0"/>
    <m/>
    <x v="0"/>
    <s v="P"/>
    <m/>
    <m/>
    <n v="1"/>
    <m/>
    <n v="0"/>
    <m/>
    <n v="0"/>
    <n v="0"/>
    <n v="0"/>
    <n v="0"/>
    <n v="-1"/>
    <n v="1"/>
    <n v="0"/>
    <n v="0"/>
    <n v="0"/>
    <n v="0"/>
    <n v="0"/>
    <n v="0"/>
    <n v="0"/>
    <n v="0"/>
    <n v="0"/>
    <n v="0"/>
    <n v="0"/>
    <n v="0"/>
    <n v="-1"/>
    <n v="1"/>
    <n v="0"/>
    <n v="0"/>
    <n v="0"/>
    <n v="0"/>
    <n v="0"/>
    <n v="0"/>
    <n v="0"/>
    <n v="0"/>
    <s v="East"/>
    <x v="0"/>
    <x v="0"/>
    <x v="1"/>
    <x v="0"/>
    <x v="0"/>
    <x v="0"/>
    <m/>
    <x v="0"/>
    <s v="Y"/>
    <s v="2A"/>
    <m/>
    <n v="0"/>
    <n v="0"/>
    <n v="0"/>
    <n v="0"/>
    <n v="0"/>
    <n v="0"/>
    <n v="0"/>
    <n v="0"/>
    <n v="0"/>
    <n v="0"/>
    <n v="0"/>
    <n v="0"/>
    <n v="0"/>
    <n v="0"/>
    <n v="0"/>
    <n v="0"/>
    <n v="0"/>
    <n v="0"/>
    <n v="0"/>
    <n v="0"/>
    <n v="0"/>
    <n v="0"/>
    <n v="0"/>
  </r>
  <r>
    <n v="1576"/>
    <x v="2"/>
    <s v="2015/0164"/>
    <m/>
    <s v="3 Alderbrook Road"/>
    <m/>
    <n v="528559"/>
    <n v="174195"/>
    <x v="9"/>
    <d v="2017-03-31T00:00:00"/>
    <m/>
    <n v="1"/>
    <n v="2"/>
    <n v="1"/>
    <n v="3"/>
    <n v="2"/>
    <m/>
    <s v="Conversion of ground floor level into 1 x one-bedroom and 1 x two-bedroom flat and extension to basement level including formation of front lightwells with grille over to create a 1 x three-bedroom flat."/>
    <s v="PF"/>
    <d v="2015-01-16T00:00:00"/>
    <d v="2015-04-21T00:00:00"/>
    <x v="0"/>
    <s v="Nil"/>
    <m/>
    <s v="BF"/>
    <x v="4"/>
    <x v="0"/>
    <x v="10"/>
    <n v="8.0000003799796104E-3"/>
    <d v="2017-03-31T00:00:00"/>
    <x v="0"/>
    <m/>
    <x v="0"/>
    <s v="P"/>
    <m/>
    <m/>
    <n v="0"/>
    <m/>
    <n v="0"/>
    <m/>
    <n v="0"/>
    <n v="1"/>
    <n v="1"/>
    <n v="0"/>
    <n v="-1"/>
    <n v="0"/>
    <n v="0"/>
    <n v="0"/>
    <n v="1"/>
    <n v="1"/>
    <n v="0"/>
    <n v="-1"/>
    <n v="0"/>
    <n v="0"/>
    <n v="0"/>
    <n v="0"/>
    <n v="0"/>
    <n v="0"/>
    <n v="0"/>
    <n v="0"/>
    <n v="0"/>
    <n v="0"/>
    <n v="0"/>
    <n v="0"/>
    <n v="0"/>
    <n v="0"/>
    <n v="0"/>
    <n v="0"/>
    <s v="East"/>
    <x v="0"/>
    <x v="0"/>
    <x v="1"/>
    <x v="0"/>
    <x v="0"/>
    <x v="0"/>
    <m/>
    <x v="0"/>
    <s v="Y"/>
    <s v="8A"/>
    <m/>
    <n v="0"/>
    <n v="1"/>
    <n v="0"/>
    <n v="0"/>
    <n v="0"/>
    <n v="0"/>
    <n v="0"/>
    <n v="0"/>
    <n v="0"/>
    <n v="0"/>
    <n v="0"/>
    <n v="0"/>
    <n v="0"/>
    <n v="0"/>
    <n v="0"/>
    <n v="0"/>
    <n v="0"/>
    <n v="0"/>
    <n v="0"/>
    <n v="0"/>
    <n v="0"/>
    <n v="1"/>
    <n v="1"/>
  </r>
  <r>
    <n v="1576"/>
    <x v="2"/>
    <s v="2015/0164"/>
    <m/>
    <s v="3 Alderbrook Road"/>
    <m/>
    <n v="528559"/>
    <n v="174195"/>
    <x v="9"/>
    <d v="2017-03-31T00:00:00"/>
    <m/>
    <n v="0"/>
    <n v="1"/>
    <n v="1"/>
    <n v="3"/>
    <n v="2"/>
    <m/>
    <s v="Conversion of ground floor level into 1 x one-bedroom and 1 x two-bedroom flat and extension to basement level including formation of front lightwells with grille over to create a 1 x three-bedroom flat."/>
    <s v="PF"/>
    <d v="2015-01-16T00:00:00"/>
    <d v="2015-04-21T00:00:00"/>
    <x v="0"/>
    <s v="Nil"/>
    <m/>
    <s v="BF"/>
    <x v="4"/>
    <x v="0"/>
    <x v="0"/>
    <n v="8.0000003799796104E-3"/>
    <d v="2017-03-31T00:00:00"/>
    <x v="0"/>
    <m/>
    <x v="0"/>
    <s v="P"/>
    <m/>
    <m/>
    <n v="0"/>
    <m/>
    <n v="0"/>
    <m/>
    <n v="0"/>
    <n v="0"/>
    <n v="0"/>
    <n v="1"/>
    <n v="0"/>
    <n v="0"/>
    <n v="0"/>
    <n v="0"/>
    <n v="0"/>
    <n v="0"/>
    <n v="1"/>
    <n v="0"/>
    <n v="0"/>
    <n v="0"/>
    <n v="0"/>
    <n v="0"/>
    <n v="0"/>
    <n v="0"/>
    <n v="0"/>
    <n v="0"/>
    <n v="0"/>
    <n v="0"/>
    <n v="0"/>
    <n v="0"/>
    <n v="0"/>
    <n v="0"/>
    <n v="0"/>
    <n v="0"/>
    <s v="East"/>
    <x v="0"/>
    <x v="0"/>
    <x v="1"/>
    <x v="0"/>
    <x v="0"/>
    <x v="0"/>
    <m/>
    <x v="0"/>
    <s v="Y"/>
    <s v="8A"/>
    <m/>
    <n v="0"/>
    <n v="1"/>
    <n v="0"/>
    <n v="0"/>
    <n v="0"/>
    <n v="0"/>
    <n v="0"/>
    <n v="0"/>
    <n v="0"/>
    <n v="0"/>
    <n v="0"/>
    <n v="0"/>
    <n v="0"/>
    <n v="0"/>
    <n v="0"/>
    <n v="0"/>
    <n v="0"/>
    <n v="0"/>
    <n v="0"/>
    <n v="0"/>
    <n v="0"/>
    <n v="1"/>
    <n v="1"/>
  </r>
  <r>
    <n v="1642"/>
    <x v="2"/>
    <s v="2012/5699"/>
    <m/>
    <s v="5 North Drive"/>
    <m/>
    <n v="529269"/>
    <n v="171759"/>
    <x v="12"/>
    <d v="2016-02-11T00:00:00"/>
    <m/>
    <n v="0"/>
    <n v="2"/>
    <n v="2"/>
    <n v="2"/>
    <n v="2"/>
    <m/>
    <s v="Removal of existing external fire escape and erection of two-storey side extension and part single, part two-storey rear extension, including formation of first floor rear roof terrace. Proposed extensions and associated alterations in connection with proposed conversion of annexe into two flats (1 x 3-bedroom and 1 x 2-bedroom)."/>
    <s v="PF"/>
    <d v="2012-12-07T00:00:00"/>
    <d v="2013-03-20T00:00:00"/>
    <x v="0"/>
    <s v="Nil"/>
    <m/>
    <s v="BF"/>
    <x v="4"/>
    <x v="0"/>
    <x v="0"/>
    <n v="7.8000001609325395E-2"/>
    <d v="2016-02-11T00:00:00"/>
    <x v="0"/>
    <m/>
    <x v="0"/>
    <s v="P"/>
    <m/>
    <m/>
    <n v="0"/>
    <m/>
    <n v="0"/>
    <m/>
    <n v="0"/>
    <n v="0"/>
    <n v="1"/>
    <n v="1"/>
    <n v="0"/>
    <n v="0"/>
    <n v="0"/>
    <n v="0"/>
    <n v="0"/>
    <n v="1"/>
    <n v="0"/>
    <n v="0"/>
    <n v="0"/>
    <n v="0"/>
    <n v="0"/>
    <n v="0"/>
    <n v="0"/>
    <n v="0"/>
    <n v="0"/>
    <n v="0"/>
    <n v="0"/>
    <n v="0"/>
    <n v="0"/>
    <n v="0"/>
    <n v="1"/>
    <n v="0"/>
    <n v="0"/>
    <n v="0"/>
    <s v="East"/>
    <x v="0"/>
    <x v="0"/>
    <x v="1"/>
    <x v="0"/>
    <x v="0"/>
    <x v="0"/>
    <m/>
    <x v="0"/>
    <s v="Y"/>
    <s v="8A"/>
    <m/>
    <n v="0"/>
    <n v="2"/>
    <n v="0"/>
    <n v="0"/>
    <n v="0"/>
    <n v="0"/>
    <n v="0"/>
    <n v="0"/>
    <n v="0"/>
    <n v="0"/>
    <n v="0"/>
    <n v="0"/>
    <n v="0"/>
    <n v="0"/>
    <n v="0"/>
    <n v="0"/>
    <n v="0"/>
    <n v="0"/>
    <n v="0"/>
    <n v="0"/>
    <n v="0"/>
    <n v="2"/>
    <n v="2"/>
  </r>
  <r>
    <n v="1882"/>
    <x v="2"/>
    <s v="2015/1696"/>
    <m/>
    <s v="175 Wandsworth High Street"/>
    <m/>
    <n v="525371"/>
    <n v="174659"/>
    <x v="5"/>
    <d v="2017-03-31T00:00:00"/>
    <m/>
    <n v="0"/>
    <n v="1"/>
    <n v="1"/>
    <n v="1"/>
    <n v="1"/>
    <m/>
    <s v="Alterations including the erection of additional storey (5th floor level) with front and rear roof terraces; front extensions at 3rd and 4th floor level; rear extension at 4th floor level; and new balconies at the rear, with modified roof terraces at 3rd and 4th floor level; to provide 1 additional residential unit."/>
    <s v="PF"/>
    <d v="2015-05-06T00:00:00"/>
    <d v="2015-11-11T00:00:00"/>
    <x v="0"/>
    <s v="Nil"/>
    <m/>
    <s v="BF"/>
    <x v="0"/>
    <x v="0"/>
    <x v="0"/>
    <n v="4.0000001899898104E-3"/>
    <d v="2017-03-31T00:00:00"/>
    <x v="0"/>
    <m/>
    <x v="0"/>
    <s v="P"/>
    <m/>
    <m/>
    <n v="0"/>
    <m/>
    <n v="0"/>
    <m/>
    <n v="0"/>
    <n v="0"/>
    <n v="0"/>
    <n v="1"/>
    <n v="0"/>
    <n v="0"/>
    <n v="0"/>
    <n v="0"/>
    <n v="0"/>
    <n v="0"/>
    <n v="1"/>
    <n v="0"/>
    <n v="0"/>
    <n v="0"/>
    <n v="0"/>
    <n v="0"/>
    <n v="0"/>
    <n v="0"/>
    <n v="0"/>
    <n v="0"/>
    <n v="0"/>
    <n v="0"/>
    <n v="0"/>
    <n v="0"/>
    <n v="0"/>
    <n v="0"/>
    <n v="0"/>
    <n v="0"/>
    <s v="West"/>
    <x v="4"/>
    <x v="0"/>
    <x v="0"/>
    <x v="0"/>
    <x v="0"/>
    <x v="0"/>
    <m/>
    <x v="0"/>
    <s v="Y"/>
    <s v="2A"/>
    <m/>
    <n v="0"/>
    <n v="1"/>
    <n v="0"/>
    <n v="0"/>
    <n v="0"/>
    <n v="0"/>
    <n v="0"/>
    <n v="0"/>
    <n v="0"/>
    <n v="0"/>
    <n v="0"/>
    <n v="0"/>
    <n v="0"/>
    <n v="0"/>
    <n v="0"/>
    <n v="0"/>
    <n v="0"/>
    <n v="0"/>
    <n v="0"/>
    <n v="0"/>
    <n v="0"/>
    <n v="1"/>
    <n v="1"/>
  </r>
  <r>
    <n v="1924"/>
    <x v="2"/>
    <s v="2016/3919"/>
    <m/>
    <s v="42 Roehampton Gate"/>
    <m/>
    <n v="521176"/>
    <n v="174253"/>
    <x v="15"/>
    <d v="2017-03-31T00:00:00"/>
    <m/>
    <n v="1"/>
    <n v="1"/>
    <n v="0"/>
    <n v="1"/>
    <n v="0"/>
    <m/>
    <s v="Demolition of existing house and outbuidlings. Erection of a detached three-storey house (with top floor within roofspace) with additional floorspace at basement level, with roof terraces at first and second floor rear. (NB:This is an alternative proposal to that being considered under application ref. 2016/1472, with the main differences being to elevational treatment and materials; alterations to layout including reduced floor area and general removal of split levels between storeys, and provision of a double garage)."/>
    <s v="PF"/>
    <d v="2016-07-06T00:00:00"/>
    <d v="2016-08-31T00:00:00"/>
    <x v="0"/>
    <s v="Nil"/>
    <m/>
    <s v="BF"/>
    <x v="0"/>
    <x v="0"/>
    <x v="0"/>
    <n v="0.123000003397465"/>
    <d v="2017-03-31T00:00:00"/>
    <x v="0"/>
    <m/>
    <x v="0"/>
    <s v="P"/>
    <m/>
    <m/>
    <n v="0"/>
    <m/>
    <n v="0"/>
    <m/>
    <n v="0"/>
    <n v="0"/>
    <n v="0"/>
    <n v="0"/>
    <n v="-1"/>
    <n v="1"/>
    <n v="0"/>
    <n v="0"/>
    <n v="0"/>
    <n v="0"/>
    <n v="0"/>
    <n v="0"/>
    <n v="0"/>
    <n v="0"/>
    <n v="0"/>
    <n v="0"/>
    <n v="0"/>
    <n v="0"/>
    <n v="-1"/>
    <n v="1"/>
    <n v="0"/>
    <n v="0"/>
    <n v="0"/>
    <n v="0"/>
    <n v="0"/>
    <n v="0"/>
    <n v="0"/>
    <n v="0"/>
    <s v="West"/>
    <x v="0"/>
    <x v="0"/>
    <x v="1"/>
    <x v="0"/>
    <x v="0"/>
    <x v="0"/>
    <m/>
    <x v="0"/>
    <s v="Y"/>
    <s v="2A"/>
    <m/>
    <n v="0"/>
    <n v="0"/>
    <n v="0"/>
    <n v="0"/>
    <n v="0"/>
    <n v="0"/>
    <n v="0"/>
    <n v="0"/>
    <n v="0"/>
    <n v="0"/>
    <n v="0"/>
    <n v="0"/>
    <n v="0"/>
    <n v="0"/>
    <n v="0"/>
    <n v="0"/>
    <n v="0"/>
    <n v="0"/>
    <n v="0"/>
    <n v="0"/>
    <n v="0"/>
    <n v="0"/>
    <n v="0"/>
  </r>
  <r>
    <n v="1952"/>
    <x v="2"/>
    <s v="2014/1471"/>
    <m/>
    <s v="Our Lady of Mount Carmel &amp; St Joseph, 8 Battersea Park Road"/>
    <m/>
    <n v="528781"/>
    <n v="177000"/>
    <x v="6"/>
    <d v="2017-06-21T00:00:00"/>
    <m/>
    <n v="0"/>
    <n v="20"/>
    <n v="20"/>
    <n v="20"/>
    <n v="20"/>
    <s v="Y"/>
    <s v="Demolition of existing vacant single-storey parish and ancillary buildings and construction of a replacement part five and part six storey residential building to the west of the existing church building comprising 20 residential units (C3), retail use (A1/A3) and ancillary church accommodation (D1) at ground floor level; extension and associated alterations to the southern elevation of the church to provide ancillary church accommodation in the form of a new parish hall (D1); and works to hard and soft landscaping and alterations to front boundary treatment."/>
    <s v="PFLA"/>
    <d v="2014-03-03T00:00:00"/>
    <d v="2014-10-28T00:00:00"/>
    <x v="0"/>
    <s v="Nil"/>
    <m/>
    <s v="BF"/>
    <x v="0"/>
    <x v="1"/>
    <x v="1"/>
    <n v="0.17100000381469699"/>
    <d v="2017-06-21T00:00:00"/>
    <x v="1"/>
    <m/>
    <x v="0"/>
    <s v="P"/>
    <m/>
    <m/>
    <n v="20"/>
    <m/>
    <n v="2"/>
    <m/>
    <n v="0"/>
    <n v="4"/>
    <n v="16"/>
    <n v="0"/>
    <n v="0"/>
    <n v="0"/>
    <n v="0"/>
    <n v="0"/>
    <n v="4"/>
    <n v="16"/>
    <n v="0"/>
    <n v="0"/>
    <n v="0"/>
    <n v="0"/>
    <n v="0"/>
    <n v="0"/>
    <n v="0"/>
    <n v="0"/>
    <n v="0"/>
    <n v="0"/>
    <n v="0"/>
    <n v="0"/>
    <n v="0"/>
    <n v="0"/>
    <n v="0"/>
    <n v="0"/>
    <n v="0"/>
    <n v="0"/>
    <s v="Strategic Planning/Nine Elms"/>
    <x v="0"/>
    <x v="1"/>
    <x v="1"/>
    <x v="0"/>
    <x v="0"/>
    <x v="0"/>
    <m/>
    <x v="0"/>
    <s v="Y"/>
    <s v="3B"/>
    <m/>
    <n v="0"/>
    <n v="0"/>
    <n v="5"/>
    <n v="5"/>
    <n v="5"/>
    <n v="5"/>
    <n v="0"/>
    <n v="0"/>
    <n v="0"/>
    <n v="0"/>
    <n v="0"/>
    <n v="0"/>
    <n v="0"/>
    <n v="0"/>
    <n v="0"/>
    <n v="0"/>
    <n v="0"/>
    <n v="0"/>
    <n v="0"/>
    <n v="0"/>
    <n v="0"/>
    <n v="20"/>
    <n v="20"/>
  </r>
  <r>
    <n v="1973"/>
    <x v="2"/>
    <s v="2016/3095"/>
    <m/>
    <s v="Rear of 54, Cheriton Square"/>
    <m/>
    <n v="528573"/>
    <n v="172812"/>
    <x v="3"/>
    <d v="2017-03-20T00:00:00"/>
    <m/>
    <n v="0"/>
    <n v="1"/>
    <n v="1"/>
    <n v="1"/>
    <n v="1"/>
    <m/>
    <s v="Erection of three-storey (plus basement with front and rear lightwells) 3-bedroom house in rear garden of 54 Cheriton Road (to adjoin 10 Cloudesdale Road) with associated  landscaping, front boundary wall and railings on Cloudesdale Road frontage, cycle and refuse storage."/>
    <s v="PF"/>
    <d v="2016-05-27T00:00:00"/>
    <d v="2016-07-22T00:00:00"/>
    <x v="0"/>
    <s v="Nil"/>
    <m/>
    <s v="Gdn"/>
    <x v="0"/>
    <x v="0"/>
    <x v="0"/>
    <n v="1.7000000923872001E-2"/>
    <d v="2017-03-20T00:00:00"/>
    <x v="0"/>
    <m/>
    <x v="0"/>
    <s v="P"/>
    <m/>
    <m/>
    <n v="1"/>
    <m/>
    <n v="0"/>
    <m/>
    <n v="0"/>
    <n v="0"/>
    <n v="0"/>
    <n v="1"/>
    <n v="0"/>
    <n v="0"/>
    <n v="0"/>
    <n v="0"/>
    <n v="0"/>
    <n v="0"/>
    <n v="0"/>
    <n v="0"/>
    <n v="0"/>
    <n v="0"/>
    <n v="0"/>
    <n v="0"/>
    <n v="0"/>
    <n v="1"/>
    <n v="0"/>
    <n v="0"/>
    <n v="0"/>
    <n v="0"/>
    <n v="0"/>
    <n v="0"/>
    <n v="0"/>
    <n v="0"/>
    <n v="0"/>
    <n v="0"/>
    <s v="East"/>
    <x v="0"/>
    <x v="0"/>
    <x v="1"/>
    <x v="0"/>
    <x v="0"/>
    <x v="0"/>
    <m/>
    <x v="0"/>
    <s v="Y"/>
    <s v="2A"/>
    <m/>
    <n v="0"/>
    <n v="1"/>
    <n v="0"/>
    <n v="0"/>
    <n v="0"/>
    <n v="0"/>
    <n v="0"/>
    <n v="0"/>
    <n v="0"/>
    <n v="0"/>
    <n v="0"/>
    <n v="0"/>
    <n v="0"/>
    <n v="0"/>
    <n v="0"/>
    <n v="0"/>
    <n v="0"/>
    <n v="0"/>
    <n v="0"/>
    <n v="0"/>
    <n v="0"/>
    <n v="1"/>
    <n v="1"/>
  </r>
  <r>
    <n v="2144"/>
    <x v="2"/>
    <s v="2017/0534"/>
    <m/>
    <s v="20a Trinity Road"/>
    <m/>
    <n v="527982"/>
    <n v="172413"/>
    <x v="11"/>
    <d v="2018-03-31T00:00:00"/>
    <m/>
    <n v="0"/>
    <n v="1"/>
    <n v="1"/>
    <n v="1"/>
    <n v="1"/>
    <m/>
    <s v="Demolition of existing backland structure and erection of a two-storey (1 x 2-bedroom) house."/>
    <s v="PF"/>
    <d v="2017-04-04T00:00:00"/>
    <d v="2017-08-31T00:00:00"/>
    <x v="1"/>
    <s v="Nil"/>
    <m/>
    <s v="BF"/>
    <x v="0"/>
    <x v="0"/>
    <x v="0"/>
    <n v="1.7000000923872001E-2"/>
    <d v="2018-03-31T00:00:00"/>
    <x v="1"/>
    <m/>
    <x v="0"/>
    <s v="P"/>
    <m/>
    <m/>
    <n v="0"/>
    <m/>
    <n v="0"/>
    <m/>
    <n v="0"/>
    <n v="0"/>
    <n v="1"/>
    <n v="0"/>
    <n v="0"/>
    <n v="0"/>
    <n v="0"/>
    <n v="0"/>
    <n v="0"/>
    <n v="0"/>
    <n v="0"/>
    <n v="0"/>
    <n v="0"/>
    <n v="0"/>
    <n v="0"/>
    <n v="0"/>
    <n v="1"/>
    <n v="0"/>
    <n v="0"/>
    <n v="0"/>
    <n v="0"/>
    <n v="0"/>
    <n v="0"/>
    <n v="0"/>
    <n v="0"/>
    <n v="0"/>
    <n v="0"/>
    <n v="0"/>
    <s v="East"/>
    <x v="0"/>
    <x v="0"/>
    <x v="1"/>
    <x v="0"/>
    <x v="0"/>
    <x v="0"/>
    <m/>
    <x v="0"/>
    <s v="Y"/>
    <s v="2B"/>
    <m/>
    <n v="0"/>
    <n v="0.5"/>
    <n v="0.5"/>
    <n v="0"/>
    <n v="0"/>
    <n v="0"/>
    <n v="0"/>
    <n v="0"/>
    <n v="0"/>
    <n v="0"/>
    <n v="0"/>
    <n v="0"/>
    <n v="0"/>
    <n v="0"/>
    <n v="0"/>
    <n v="0"/>
    <n v="0"/>
    <n v="0"/>
    <n v="0"/>
    <n v="0"/>
    <n v="0"/>
    <n v="1"/>
    <n v="1"/>
  </r>
  <r>
    <n v="2154"/>
    <x v="2"/>
    <s v="2014/1622"/>
    <s v="Tooting Boys' Club"/>
    <s v="Mission Church development site, 22-24 Kellino Street"/>
    <m/>
    <n v="527691"/>
    <n v="171695"/>
    <x v="4"/>
    <d v="2017-09-11T00:00:00"/>
    <m/>
    <n v="0"/>
    <n v="4"/>
    <n v="4"/>
    <n v="4"/>
    <n v="4"/>
    <m/>
    <s v="Change of use of the existing building from former community building (Class D1) to create four self-contained residential units comprising internal and external alterations (including terraces) and extensions."/>
    <s v="PF"/>
    <d v="2014-05-06T00:00:00"/>
    <d v="2014-07-18T00:00:00"/>
    <x v="0"/>
    <s v="Nil"/>
    <m/>
    <s v="BF"/>
    <x v="4"/>
    <x v="0"/>
    <x v="0"/>
    <n v="1.8999999389052401E-2"/>
    <d v="2017-09-11T00:00:00"/>
    <x v="1"/>
    <m/>
    <x v="0"/>
    <s v="P"/>
    <m/>
    <m/>
    <n v="0"/>
    <m/>
    <n v="0"/>
    <m/>
    <n v="0"/>
    <n v="0"/>
    <n v="2"/>
    <n v="2"/>
    <n v="0"/>
    <n v="0"/>
    <n v="0"/>
    <n v="0"/>
    <n v="0"/>
    <n v="2"/>
    <n v="2"/>
    <n v="0"/>
    <n v="0"/>
    <n v="0"/>
    <n v="0"/>
    <n v="0"/>
    <n v="0"/>
    <n v="0"/>
    <n v="0"/>
    <n v="0"/>
    <n v="0"/>
    <n v="0"/>
    <n v="0"/>
    <n v="0"/>
    <n v="0"/>
    <n v="0"/>
    <n v="0"/>
    <n v="0"/>
    <s v="East"/>
    <x v="0"/>
    <x v="0"/>
    <x v="1"/>
    <x v="0"/>
    <x v="0"/>
    <x v="0"/>
    <m/>
    <x v="0"/>
    <s v="Y"/>
    <s v="8A"/>
    <m/>
    <n v="0"/>
    <n v="4"/>
    <n v="0"/>
    <n v="0"/>
    <n v="0"/>
    <n v="0"/>
    <n v="0"/>
    <n v="0"/>
    <n v="0"/>
    <n v="0"/>
    <n v="0"/>
    <n v="0"/>
    <n v="0"/>
    <n v="0"/>
    <n v="0"/>
    <n v="0"/>
    <n v="0"/>
    <n v="0"/>
    <n v="0"/>
    <n v="0"/>
    <n v="0"/>
    <n v="4"/>
    <n v="4"/>
  </r>
  <r>
    <n v="2157"/>
    <x v="2"/>
    <s v="2014/4588"/>
    <m/>
    <s v="Land adj. and rear of 58, Topsham Road"/>
    <m/>
    <n v="528141"/>
    <n v="172013"/>
    <x v="3"/>
    <d v="2017-12-18T00:00:00"/>
    <m/>
    <n v="0"/>
    <n v="3"/>
    <n v="3"/>
    <n v="3"/>
    <n v="3"/>
    <m/>
    <s v="Demolition of existing garages and construction of 3 houses (one detached house to front of the site and two semi-detached houses to rear) and two car parking spaces."/>
    <s v="PF"/>
    <d v="2014-08-19T00:00:00"/>
    <d v="2014-12-19T00:00:00"/>
    <x v="0"/>
    <s v="Nil"/>
    <m/>
    <s v="BF"/>
    <x v="0"/>
    <x v="0"/>
    <x v="0"/>
    <n v="6.1999998986720997E-2"/>
    <d v="2017-12-18T00:00:00"/>
    <x v="1"/>
    <m/>
    <x v="0"/>
    <s v="P"/>
    <m/>
    <m/>
    <n v="0"/>
    <m/>
    <n v="0"/>
    <m/>
    <n v="0"/>
    <n v="0"/>
    <n v="0"/>
    <n v="2"/>
    <n v="1"/>
    <n v="0"/>
    <n v="0"/>
    <n v="0"/>
    <n v="0"/>
    <n v="0"/>
    <n v="0"/>
    <n v="0"/>
    <n v="0"/>
    <n v="0"/>
    <n v="0"/>
    <n v="0"/>
    <n v="0"/>
    <n v="2"/>
    <n v="1"/>
    <n v="0"/>
    <n v="0"/>
    <n v="0"/>
    <n v="0"/>
    <n v="0"/>
    <n v="0"/>
    <n v="0"/>
    <n v="0"/>
    <n v="0"/>
    <s v="East"/>
    <x v="0"/>
    <x v="0"/>
    <x v="1"/>
    <x v="0"/>
    <x v="0"/>
    <x v="0"/>
    <m/>
    <x v="0"/>
    <s v="Y"/>
    <s v="2B"/>
    <m/>
    <n v="0"/>
    <n v="1.5"/>
    <n v="1.5"/>
    <n v="0"/>
    <n v="0"/>
    <n v="0"/>
    <n v="0"/>
    <n v="0"/>
    <n v="0"/>
    <n v="0"/>
    <n v="0"/>
    <n v="0"/>
    <n v="0"/>
    <n v="0"/>
    <n v="0"/>
    <n v="0"/>
    <n v="0"/>
    <n v="0"/>
    <n v="0"/>
    <n v="0"/>
    <n v="0"/>
    <n v="3"/>
    <n v="3"/>
  </r>
  <r>
    <n v="2237"/>
    <x v="2"/>
    <s v="2015/6304"/>
    <m/>
    <s v="191-195 Balham High Road"/>
    <s v="CoU from SG (Nightclub)"/>
    <n v="528388"/>
    <n v="173003"/>
    <x v="3"/>
    <d v="2017-07-11T00:00:00"/>
    <m/>
    <n v="0"/>
    <n v="6"/>
    <n v="6"/>
    <n v="9"/>
    <n v="9"/>
    <m/>
    <s v="Amalgamation of existing ground floor units to create flexible space for retail (Use Class A1)/restaurant &amp; cafe (Use Class A3)/gym (Use Class D2) uses; erection of single-storey rear extension; erection of roof extension and conversion of first floor from nightclub (Use Class Sui Generis) to residential (Use Class C3) to create 9 No. residential units, with associated roof terraces and cycle and refuse storage; alterations and enhancements to front and rear facades."/>
    <s v="PF"/>
    <d v="2015-11-12T00:00:00"/>
    <d v="2016-03-04T00:00:00"/>
    <x v="0"/>
    <s v="Nil"/>
    <m/>
    <s v="BF"/>
    <x v="4"/>
    <x v="0"/>
    <x v="5"/>
    <n v="3.29999998211861E-2"/>
    <d v="2017-07-11T00:00:00"/>
    <x v="1"/>
    <m/>
    <x v="0"/>
    <s v="P"/>
    <m/>
    <m/>
    <n v="0"/>
    <m/>
    <n v="0"/>
    <m/>
    <n v="0"/>
    <n v="4"/>
    <n v="2"/>
    <n v="0"/>
    <n v="0"/>
    <n v="0"/>
    <n v="0"/>
    <n v="0"/>
    <n v="4"/>
    <n v="2"/>
    <n v="0"/>
    <n v="0"/>
    <n v="0"/>
    <n v="0"/>
    <n v="0"/>
    <n v="0"/>
    <n v="0"/>
    <n v="0"/>
    <n v="0"/>
    <n v="0"/>
    <n v="0"/>
    <n v="0"/>
    <n v="0"/>
    <n v="0"/>
    <n v="0"/>
    <n v="0"/>
    <n v="0"/>
    <n v="0"/>
    <s v="East"/>
    <x v="0"/>
    <x v="0"/>
    <x v="1"/>
    <x v="0"/>
    <x v="0"/>
    <x v="0"/>
    <m/>
    <x v="0"/>
    <s v="Y"/>
    <s v="8A"/>
    <m/>
    <n v="0"/>
    <n v="6"/>
    <n v="0"/>
    <n v="0"/>
    <n v="0"/>
    <n v="0"/>
    <n v="0"/>
    <n v="0"/>
    <n v="0"/>
    <n v="0"/>
    <n v="0"/>
    <n v="0"/>
    <n v="0"/>
    <n v="0"/>
    <n v="0"/>
    <n v="0"/>
    <n v="0"/>
    <n v="0"/>
    <n v="0"/>
    <n v="0"/>
    <n v="0"/>
    <n v="6"/>
    <n v="6"/>
  </r>
  <r>
    <n v="2237"/>
    <x v="2"/>
    <s v="2015/6304"/>
    <m/>
    <s v="191-195 Balham High Road"/>
    <s v="New build - roof extn"/>
    <n v="528388"/>
    <n v="173003"/>
    <x v="3"/>
    <d v="2017-07-11T00:00:00"/>
    <m/>
    <n v="0"/>
    <n v="3"/>
    <n v="3"/>
    <n v="9"/>
    <n v="9"/>
    <m/>
    <s v="Amalgamation of existing ground floor units to create flexible space for retail (Use Class A1)/restaurant &amp; cafe (Use Class A3)/gym (Use Class D2) uses; erection of single-storey rear extension; erection of roof extension and conversion of first floor from nightclub (Use Class Sui Generis) to residential (Use Class C3) to create 9 No. residential units, with associated roof terraces and cycle and refuse storage; alterations and enhancements to front and rear facades."/>
    <s v="PF"/>
    <d v="2015-11-12T00:00:00"/>
    <d v="2016-03-04T00:00:00"/>
    <x v="0"/>
    <s v="Nil"/>
    <m/>
    <s v="BF"/>
    <x v="4"/>
    <x v="0"/>
    <x v="0"/>
    <n v="1.60000007599592E-2"/>
    <d v="2017-07-11T00:00:00"/>
    <x v="1"/>
    <m/>
    <x v="0"/>
    <s v="P"/>
    <m/>
    <m/>
    <n v="0"/>
    <m/>
    <n v="0"/>
    <m/>
    <n v="0"/>
    <n v="1"/>
    <n v="2"/>
    <n v="0"/>
    <n v="0"/>
    <n v="0"/>
    <n v="0"/>
    <n v="0"/>
    <n v="1"/>
    <n v="2"/>
    <n v="0"/>
    <n v="0"/>
    <n v="0"/>
    <n v="0"/>
    <n v="0"/>
    <n v="0"/>
    <n v="0"/>
    <n v="0"/>
    <n v="0"/>
    <n v="0"/>
    <n v="0"/>
    <n v="0"/>
    <n v="0"/>
    <n v="0"/>
    <n v="0"/>
    <n v="0"/>
    <n v="0"/>
    <n v="0"/>
    <s v="East"/>
    <x v="0"/>
    <x v="0"/>
    <x v="1"/>
    <x v="0"/>
    <x v="0"/>
    <x v="0"/>
    <m/>
    <x v="0"/>
    <s v="Y"/>
    <s v="8A"/>
    <m/>
    <n v="0"/>
    <n v="3"/>
    <n v="0"/>
    <n v="0"/>
    <n v="0"/>
    <n v="0"/>
    <n v="0"/>
    <n v="0"/>
    <n v="0"/>
    <n v="0"/>
    <n v="0"/>
    <n v="0"/>
    <n v="0"/>
    <n v="0"/>
    <n v="0"/>
    <n v="0"/>
    <n v="0"/>
    <n v="0"/>
    <n v="0"/>
    <n v="0"/>
    <n v="0"/>
    <n v="3"/>
    <n v="3"/>
  </r>
  <r>
    <n v="2266"/>
    <x v="2"/>
    <s v="2015/2601"/>
    <m/>
    <s v="89-93 Putney High Street"/>
    <m/>
    <n v="524066"/>
    <n v="175324"/>
    <x v="13"/>
    <d v="2017-03-31T00:00:00"/>
    <m/>
    <n v="0"/>
    <n v="15"/>
    <n v="15"/>
    <n v="15"/>
    <n v="15"/>
    <s v="Y"/>
    <s v="Demolition of the existing building and the erection of a new two to five-storey building with basement, comprising 913.6sqm of retail space (Class A1) at basement and ground floor, and 15 flats (1 x 3-bedroom and 14 x 2-bedroom), with balconies and a roof terrace above."/>
    <s v="PFLA"/>
    <d v="2015-05-18T00:00:00"/>
    <d v="2016-05-04T00:00:00"/>
    <x v="0"/>
    <s v="Nil"/>
    <m/>
    <s v="BF"/>
    <x v="0"/>
    <x v="1"/>
    <x v="0"/>
    <n v="5.2999999374151202E-2"/>
    <d v="2017-03-31T00:00:00"/>
    <x v="0"/>
    <m/>
    <x v="0"/>
    <s v="P"/>
    <m/>
    <m/>
    <n v="15"/>
    <m/>
    <n v="15"/>
    <m/>
    <n v="0"/>
    <n v="0"/>
    <n v="14"/>
    <n v="1"/>
    <n v="0"/>
    <n v="0"/>
    <n v="0"/>
    <n v="0"/>
    <n v="0"/>
    <n v="14"/>
    <n v="1"/>
    <n v="0"/>
    <n v="0"/>
    <n v="0"/>
    <n v="0"/>
    <n v="0"/>
    <n v="0"/>
    <n v="0"/>
    <n v="0"/>
    <n v="0"/>
    <n v="0"/>
    <n v="0"/>
    <n v="0"/>
    <n v="0"/>
    <n v="0"/>
    <n v="0"/>
    <n v="0"/>
    <n v="0"/>
    <s v="West"/>
    <x v="3"/>
    <x v="0"/>
    <x v="1"/>
    <x v="0"/>
    <x v="0"/>
    <x v="0"/>
    <m/>
    <x v="0"/>
    <s v="Y"/>
    <s v="2A"/>
    <m/>
    <n v="0"/>
    <n v="15"/>
    <n v="0"/>
    <n v="0"/>
    <n v="0"/>
    <n v="0"/>
    <n v="0"/>
    <n v="0"/>
    <n v="0"/>
    <n v="0"/>
    <n v="0"/>
    <n v="0"/>
    <n v="0"/>
    <n v="0"/>
    <n v="0"/>
    <n v="0"/>
    <n v="0"/>
    <n v="0"/>
    <n v="0"/>
    <n v="0"/>
    <n v="0"/>
    <n v="15"/>
    <n v="15"/>
  </r>
  <r>
    <n v="2266"/>
    <x v="2"/>
    <s v="2017/0560"/>
    <m/>
    <s v="89-93 Putney High Street"/>
    <m/>
    <n v="524066"/>
    <n v="175324"/>
    <x v="13"/>
    <d v="2017-09-07T00:00:00"/>
    <m/>
    <n v="1"/>
    <n v="1"/>
    <n v="0"/>
    <n v="1"/>
    <n v="0"/>
    <s v="Y"/>
    <s v="Variation of condition 6 (in accordance with approved drawings) of planning permission dated 21/01/2017, ref 2016/4977 [for variation of condition 9 of planning permission dated 04/05/2016, ref 2015/2601 (Demolition of the existing building and the erection of a new two to five-storey building with basement, comprising 913.6sqm of basement and ground floor with use(s) as specified in the approved conditions and approved plans, and 15 flats (1 x 3-bedroom and 14 x 2-bedroom), with balconies and a roof terrace above); to add Use Class A2 at basement and ground floor levels]. Condition 6 is sought to be varied to allow some changes to elevations along the Putney High Street and Montserrat frontages; alterations to window arrangement on Montserrat Road frontage, and at third floor level rear elevation; alterations to position of the plant on the roof; re-positioning of lift shaft;  addition of an extra flue on roof, and some changes to layout, including relocation of internal plant to basement; relocation of cycle store and bin store; reduction of lift/stair core; amendment to commercial area layout; increase in size of flat 13 to a 3-bedroom flat, with minor amendments to some other flat layouts."/>
    <s v="S73"/>
    <d v="2017-02-24T00:00:00"/>
    <d v="2017-09-06T00:00:00"/>
    <x v="1"/>
    <s v="Nil"/>
    <m/>
    <s v="BF"/>
    <x v="1"/>
    <x v="0"/>
    <x v="10"/>
    <n v="4.0000001899898104E-3"/>
    <d v="2017-09-07T00:00:00"/>
    <x v="1"/>
    <m/>
    <x v="0"/>
    <s v="P"/>
    <m/>
    <m/>
    <n v="0"/>
    <m/>
    <n v="0"/>
    <m/>
    <n v="0"/>
    <n v="0"/>
    <n v="-1"/>
    <n v="1"/>
    <n v="0"/>
    <n v="0"/>
    <n v="0"/>
    <n v="0"/>
    <n v="0"/>
    <n v="-1"/>
    <n v="1"/>
    <n v="0"/>
    <n v="0"/>
    <n v="0"/>
    <n v="0"/>
    <n v="0"/>
    <n v="0"/>
    <n v="0"/>
    <n v="0"/>
    <n v="0"/>
    <n v="0"/>
    <n v="0"/>
    <n v="0"/>
    <n v="0"/>
    <n v="0"/>
    <n v="0"/>
    <n v="0"/>
    <n v="0"/>
    <s v="West"/>
    <x v="3"/>
    <x v="0"/>
    <x v="1"/>
    <x v="0"/>
    <x v="0"/>
    <x v="0"/>
    <m/>
    <x v="0"/>
    <s v="Y"/>
    <s v="8A"/>
    <m/>
    <n v="0"/>
    <n v="0"/>
    <n v="0"/>
    <n v="0"/>
    <n v="0"/>
    <n v="0"/>
    <n v="0"/>
    <n v="0"/>
    <n v="0"/>
    <n v="0"/>
    <n v="0"/>
    <n v="0"/>
    <n v="0"/>
    <n v="0"/>
    <n v="0"/>
    <n v="0"/>
    <n v="0"/>
    <n v="0"/>
    <n v="0"/>
    <n v="0"/>
    <n v="0"/>
    <n v="0"/>
    <n v="0"/>
  </r>
  <r>
    <n v="2273"/>
    <x v="2"/>
    <s v="2016/7392"/>
    <m/>
    <s v="Mauritius Building 200, 198-202 Garratt Lane"/>
    <m/>
    <n v="525902"/>
    <n v="173607"/>
    <x v="18"/>
    <d v="2018-03-31T00:00:00"/>
    <m/>
    <n v="12"/>
    <n v="10"/>
    <n v="-2"/>
    <n v="10"/>
    <n v="-2"/>
    <s v="Y"/>
    <s v="Retention of four-storey building (plus basement) to provide 12 flats including excavation to create basement and formation of front and rear lightwells; _x000d__x000a_(Amendments to refusal of permision dated 26/10/2016  ref. 2016/3265 to include removal of two basement flats, installation of ramp to main entrance, re-positioning of entrance door, alterations to front elevations, installation of balconies, provision of rooftop garden and revised internal layout)"/>
    <s v="PF"/>
    <d v="2017-01-12T00:00:00"/>
    <d v="2017-03-24T00:00:00"/>
    <x v="0"/>
    <s v="Nil"/>
    <m/>
    <s v="BF"/>
    <x v="1"/>
    <x v="0"/>
    <x v="2"/>
    <n v="2.70000007003546E-2"/>
    <d v="2018-03-31T00:00:00"/>
    <x v="1"/>
    <m/>
    <x v="0"/>
    <s v="P"/>
    <m/>
    <m/>
    <n v="0"/>
    <m/>
    <n v="0"/>
    <m/>
    <n v="0"/>
    <n v="-1"/>
    <n v="-1"/>
    <n v="0"/>
    <n v="0"/>
    <n v="0"/>
    <n v="0"/>
    <n v="0"/>
    <n v="-1"/>
    <n v="-1"/>
    <n v="0"/>
    <n v="0"/>
    <n v="0"/>
    <n v="0"/>
    <n v="0"/>
    <n v="0"/>
    <n v="0"/>
    <n v="0"/>
    <n v="0"/>
    <n v="0"/>
    <n v="0"/>
    <n v="0"/>
    <n v="0"/>
    <n v="0"/>
    <n v="0"/>
    <n v="0"/>
    <n v="0"/>
    <n v="0"/>
    <s v="West"/>
    <x v="0"/>
    <x v="0"/>
    <x v="1"/>
    <x v="0"/>
    <x v="0"/>
    <x v="0"/>
    <m/>
    <x v="1"/>
    <s v="Y"/>
    <s v="8B"/>
    <m/>
    <n v="0"/>
    <n v="-1"/>
    <n v="-1"/>
    <n v="0"/>
    <n v="0"/>
    <n v="0"/>
    <n v="0"/>
    <n v="0"/>
    <n v="0"/>
    <n v="0"/>
    <n v="0"/>
    <n v="0"/>
    <n v="0"/>
    <n v="0"/>
    <n v="0"/>
    <n v="0"/>
    <n v="0"/>
    <n v="0"/>
    <n v="0"/>
    <n v="0"/>
    <n v="0"/>
    <n v="-2"/>
    <n v="-2"/>
  </r>
  <r>
    <n v="2320"/>
    <x v="2"/>
    <s v="2014/3837"/>
    <s v="27-33 Parkgate Road &amp; 2-42 Elcho Street"/>
    <s v="Former Domus Tiles site, 31-33 Parkgate Road/Elcho Street"/>
    <m/>
    <n v="527260"/>
    <n v="177215"/>
    <x v="1"/>
    <d v="2018-03-31T00:00:00"/>
    <m/>
    <n v="0"/>
    <n v="94"/>
    <n v="94"/>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0"/>
    <s v="Nil"/>
    <m/>
    <s v="BF"/>
    <x v="0"/>
    <x v="1"/>
    <x v="1"/>
    <n v="0.24699999392032601"/>
    <d v="2018-03-31T00:00:00"/>
    <x v="1"/>
    <m/>
    <x v="0"/>
    <s v="P"/>
    <s v="10.1.1"/>
    <m/>
    <n v="94"/>
    <m/>
    <n v="94"/>
    <m/>
    <n v="0"/>
    <n v="21"/>
    <n v="47"/>
    <n v="23"/>
    <n v="3"/>
    <n v="0"/>
    <n v="0"/>
    <n v="0"/>
    <n v="21"/>
    <n v="47"/>
    <n v="23"/>
    <n v="3"/>
    <n v="0"/>
    <n v="0"/>
    <n v="0"/>
    <n v="0"/>
    <n v="0"/>
    <n v="0"/>
    <n v="0"/>
    <n v="0"/>
    <n v="0"/>
    <n v="0"/>
    <n v="0"/>
    <n v="0"/>
    <n v="0"/>
    <n v="0"/>
    <n v="0"/>
    <n v="0"/>
    <s v="East"/>
    <x v="0"/>
    <x v="0"/>
    <x v="1"/>
    <x v="0"/>
    <x v="0"/>
    <x v="0"/>
    <s v="Y"/>
    <x v="0"/>
    <s v="Y"/>
    <s v="3A"/>
    <m/>
    <n v="0"/>
    <n v="0"/>
    <n v="0"/>
    <n v="0"/>
    <n v="94"/>
    <n v="0"/>
    <n v="0"/>
    <n v="0"/>
    <n v="0"/>
    <n v="0"/>
    <n v="0"/>
    <n v="0"/>
    <n v="0"/>
    <n v="0"/>
    <n v="0"/>
    <n v="0"/>
    <n v="0"/>
    <n v="0"/>
    <n v="0"/>
    <n v="0"/>
    <n v="0"/>
    <n v="94"/>
    <n v="94"/>
  </r>
  <r>
    <n v="2320"/>
    <x v="2"/>
    <s v="2014/3837"/>
    <s v="27-33 Parkgate Road &amp; 2-42 Elcho Street"/>
    <s v="Former Domus Tiles site, 31-33 Parkgate Road/Elcho Street"/>
    <m/>
    <n v="527260"/>
    <n v="177215"/>
    <x v="1"/>
    <d v="2018-03-31T00:00:00"/>
    <m/>
    <n v="0"/>
    <n v="14"/>
    <n v="14"/>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0"/>
    <s v="Nil"/>
    <m/>
    <s v="BF"/>
    <x v="0"/>
    <x v="1"/>
    <x v="1"/>
    <n v="3.70000004768372E-2"/>
    <d v="2018-03-31T00:00:00"/>
    <x v="1"/>
    <m/>
    <x v="2"/>
    <s v="HASR"/>
    <s v="10.1.1"/>
    <m/>
    <n v="14"/>
    <m/>
    <n v="14"/>
    <m/>
    <n v="0"/>
    <n v="1"/>
    <n v="0"/>
    <n v="13"/>
    <n v="0"/>
    <n v="0"/>
    <n v="0"/>
    <n v="0"/>
    <n v="1"/>
    <n v="0"/>
    <n v="13"/>
    <n v="0"/>
    <n v="0"/>
    <n v="0"/>
    <n v="0"/>
    <n v="0"/>
    <n v="0"/>
    <n v="0"/>
    <n v="0"/>
    <n v="0"/>
    <n v="0"/>
    <n v="0"/>
    <n v="0"/>
    <n v="0"/>
    <n v="0"/>
    <n v="0"/>
    <n v="0"/>
    <n v="0"/>
    <s v="East"/>
    <x v="0"/>
    <x v="0"/>
    <x v="1"/>
    <x v="0"/>
    <x v="0"/>
    <x v="0"/>
    <s v="Y"/>
    <x v="0"/>
    <s v="Y"/>
    <s v="3A"/>
    <m/>
    <n v="0"/>
    <n v="0"/>
    <n v="0"/>
    <n v="0"/>
    <n v="14"/>
    <n v="0"/>
    <n v="0"/>
    <n v="0"/>
    <n v="0"/>
    <n v="0"/>
    <n v="0"/>
    <n v="0"/>
    <n v="0"/>
    <n v="0"/>
    <n v="0"/>
    <n v="0"/>
    <n v="0"/>
    <n v="0"/>
    <n v="0"/>
    <n v="0"/>
    <n v="0"/>
    <n v="14"/>
    <n v="14"/>
  </r>
  <r>
    <n v="2320"/>
    <x v="2"/>
    <s v="2014/3837"/>
    <s v="27-33 Parkgate Road &amp; 2-42 Elcho Street"/>
    <s v="Former Domus Tiles site, 31-33 Parkgate Road/Elcho Street"/>
    <m/>
    <n v="527260"/>
    <n v="177215"/>
    <x v="1"/>
    <d v="2018-03-31T00:00:00"/>
    <m/>
    <n v="0"/>
    <n v="10"/>
    <n v="10"/>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0"/>
    <s v="Nil"/>
    <m/>
    <s v="BF"/>
    <x v="0"/>
    <x v="0"/>
    <x v="0"/>
    <n v="2.60000005364418E-2"/>
    <d v="2018-03-31T00:00:00"/>
    <x v="1"/>
    <m/>
    <x v="1"/>
    <s v="HASO"/>
    <s v="10.1.1"/>
    <m/>
    <n v="10"/>
    <m/>
    <n v="10"/>
    <m/>
    <n v="0"/>
    <n v="6"/>
    <n v="2"/>
    <n v="2"/>
    <n v="0"/>
    <n v="0"/>
    <n v="0"/>
    <n v="0"/>
    <n v="6"/>
    <n v="2"/>
    <n v="2"/>
    <n v="0"/>
    <n v="0"/>
    <n v="0"/>
    <n v="0"/>
    <n v="0"/>
    <n v="0"/>
    <n v="0"/>
    <n v="0"/>
    <n v="0"/>
    <n v="0"/>
    <n v="0"/>
    <n v="0"/>
    <n v="0"/>
    <n v="0"/>
    <n v="0"/>
    <n v="0"/>
    <n v="0"/>
    <s v="East"/>
    <x v="0"/>
    <x v="0"/>
    <x v="1"/>
    <x v="0"/>
    <x v="0"/>
    <x v="0"/>
    <s v="Y"/>
    <x v="0"/>
    <s v="Y"/>
    <s v="3A"/>
    <m/>
    <n v="0"/>
    <n v="0"/>
    <n v="0"/>
    <n v="0"/>
    <n v="10"/>
    <n v="0"/>
    <n v="0"/>
    <n v="0"/>
    <n v="0"/>
    <n v="0"/>
    <n v="0"/>
    <n v="0"/>
    <n v="0"/>
    <n v="0"/>
    <n v="0"/>
    <n v="0"/>
    <n v="0"/>
    <n v="0"/>
    <n v="0"/>
    <n v="0"/>
    <n v="0"/>
    <n v="10"/>
    <n v="10"/>
  </r>
  <r>
    <n v="2338"/>
    <x v="2"/>
    <s v="2014/4360"/>
    <m/>
    <s v="56-64 Latchmere Road"/>
    <m/>
    <n v="527689"/>
    <n v="175864"/>
    <x v="10"/>
    <d v="2018-02-23T00:00:00"/>
    <m/>
    <n v="0"/>
    <n v="1"/>
    <n v="1"/>
    <n v="1"/>
    <n v="1"/>
    <m/>
    <s v="Erection of roof extension (changing from pitched roof to flat roof) to create an additional storey of accommodation to provide a two bedroom apartment with associated front and rear roof terraces; additional rooflights; 6x projecting solar panels; and balustrade around the existing fourth floor flat roofed wing."/>
    <s v="PF"/>
    <d v="2014-10-13T00:00:00"/>
    <d v="2015-02-27T00:00:00"/>
    <x v="0"/>
    <s v="Nil"/>
    <m/>
    <s v="BF"/>
    <x v="0"/>
    <x v="0"/>
    <x v="0"/>
    <n v="8.0000003799796104E-3"/>
    <d v="2018-02-23T00:00:00"/>
    <x v="1"/>
    <m/>
    <x v="0"/>
    <s v="P"/>
    <m/>
    <m/>
    <n v="0"/>
    <m/>
    <n v="0"/>
    <m/>
    <n v="0"/>
    <n v="0"/>
    <n v="1"/>
    <n v="0"/>
    <n v="0"/>
    <n v="0"/>
    <n v="0"/>
    <n v="0"/>
    <n v="0"/>
    <n v="1"/>
    <n v="0"/>
    <n v="0"/>
    <n v="0"/>
    <n v="0"/>
    <n v="0"/>
    <n v="0"/>
    <n v="0"/>
    <n v="0"/>
    <n v="0"/>
    <n v="0"/>
    <n v="0"/>
    <n v="0"/>
    <n v="0"/>
    <n v="0"/>
    <n v="0"/>
    <n v="0"/>
    <n v="0"/>
    <n v="0"/>
    <s v="East"/>
    <x v="0"/>
    <x v="0"/>
    <x v="1"/>
    <x v="0"/>
    <x v="0"/>
    <x v="0"/>
    <m/>
    <x v="0"/>
    <s v="Y"/>
    <s v="2B"/>
    <m/>
    <n v="0"/>
    <n v="0.5"/>
    <n v="0.5"/>
    <n v="0"/>
    <n v="0"/>
    <n v="0"/>
    <n v="0"/>
    <n v="0"/>
    <n v="0"/>
    <n v="0"/>
    <n v="0"/>
    <n v="0"/>
    <n v="0"/>
    <n v="0"/>
    <n v="0"/>
    <n v="0"/>
    <n v="0"/>
    <n v="0"/>
    <n v="0"/>
    <n v="0"/>
    <n v="0"/>
    <n v="1"/>
    <n v="1"/>
  </r>
  <r>
    <n v="2411"/>
    <x v="2"/>
    <s v="2017/1247"/>
    <s v="Battersea Power Station"/>
    <s v="South Lambeth Goods Depot, Cringle St./Battersea Park Rd., Kirtling Street"/>
    <s v="Phase 2 (Power Station)"/>
    <n v="528934"/>
    <n v="177496"/>
    <x v="6"/>
    <d v="2014-02-28T00:00:00"/>
    <m/>
    <n v="0"/>
    <n v="253"/>
    <n v="253"/>
    <n v="253"/>
    <n v="253"/>
    <s v="Y"/>
    <s v="Application under Section 96a of the Town and Country Planning Act for non-material amendments to planning permission 2013/6639 approved 29/04/2014 for the restoration, extension, alterations and conversion of the Battersea Power Station and redevelopment of the surrounding land (the amendments relate to confirmation of additional demolition and repair works, reconfiguration of retail layouts, the change of use of the hotel to an office/members club, the creation of a publically accessible south terrace, the removal of the body of water between the Halo Road and the Power Station and replacement 'Circle Garden' and creation of three retail pods within the 'Circle Garden')."/>
    <s v="S96A"/>
    <d v="2017-03-23T00:00:00"/>
    <d v="2017-05-18T00:00:00"/>
    <x v="1"/>
    <s v="Nil"/>
    <m/>
    <s v="BF"/>
    <x v="4"/>
    <x v="3"/>
    <x v="1"/>
    <n v="0.31900000000000001"/>
    <d v="2014-02-28T00:00:00"/>
    <x v="0"/>
    <m/>
    <x v="0"/>
    <s v="P"/>
    <s v="2.1.1"/>
    <m/>
    <n v="253"/>
    <m/>
    <n v="25"/>
    <m/>
    <n v="73"/>
    <n v="48"/>
    <n v="79"/>
    <n v="41"/>
    <n v="9"/>
    <n v="3"/>
    <n v="0"/>
    <n v="73"/>
    <n v="48"/>
    <n v="79"/>
    <n v="41"/>
    <n v="9"/>
    <n v="3"/>
    <n v="0"/>
    <n v="0"/>
    <n v="0"/>
    <n v="0"/>
    <n v="0"/>
    <n v="0"/>
    <n v="0"/>
    <n v="0"/>
    <n v="0"/>
    <n v="0"/>
    <n v="0"/>
    <n v="0"/>
    <n v="0"/>
    <n v="0"/>
    <n v="0"/>
    <s v="Strategic Planning/Nine Elms"/>
    <x v="0"/>
    <x v="1"/>
    <x v="1"/>
    <x v="0"/>
    <x v="0"/>
    <x v="0"/>
    <m/>
    <x v="0"/>
    <s v="Y"/>
    <n v="12"/>
    <m/>
    <n v="0"/>
    <n v="0"/>
    <n v="0"/>
    <n v="253"/>
    <n v="0"/>
    <n v="0"/>
    <n v="0"/>
    <n v="0"/>
    <n v="0"/>
    <n v="0"/>
    <n v="0"/>
    <n v="0"/>
    <n v="0"/>
    <n v="0"/>
    <n v="0"/>
    <n v="0"/>
    <n v="0"/>
    <n v="0"/>
    <n v="0"/>
    <n v="0"/>
    <n v="0"/>
    <n v="253"/>
    <n v="253"/>
  </r>
  <r>
    <n v="2411"/>
    <x v="2"/>
    <s v="2017/5353"/>
    <s v="Battersea Power Station"/>
    <s v="South Lambeth Goods Depot, Cringle St./Battersea Park Rd., Kirtling Street"/>
    <s v="Phase 3A"/>
    <n v="528934"/>
    <n v="177496"/>
    <x v="6"/>
    <d v="2016-05-16T00:00:00"/>
    <m/>
    <n v="0"/>
    <n v="536"/>
    <n v="536"/>
    <n v="1363"/>
    <n v="1363"/>
    <s v="Y"/>
    <s v="Approval of details pursuant to Condition 18 (Phasing Plan to deliver Phase 3 in two separate parts) of planning permission 2014/2837, dated 05/12/2014 (for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 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 (application for outline planning permission with detailed elements provided in relation to the Power Station itself, and the jetty and river structures))."/>
    <s v="DT"/>
    <d v="2017-10-02T00:00:00"/>
    <d v="2017-11-27T00:00:00"/>
    <x v="1"/>
    <s v="Nil"/>
    <m/>
    <s v="BF"/>
    <x v="0"/>
    <x v="1"/>
    <x v="1"/>
    <n v="0.67700000000000005"/>
    <d v="2016-05-16T00:00:00"/>
    <x v="0"/>
    <m/>
    <x v="0"/>
    <s v="P"/>
    <s v="2.1.1"/>
    <m/>
    <n v="536"/>
    <m/>
    <n v="54"/>
    <m/>
    <n v="57"/>
    <n v="65"/>
    <n v="234"/>
    <n v="131"/>
    <n v="16"/>
    <n v="33"/>
    <n v="0"/>
    <n v="57"/>
    <n v="65"/>
    <n v="234"/>
    <n v="131"/>
    <n v="16"/>
    <n v="33"/>
    <n v="0"/>
    <n v="0"/>
    <n v="0"/>
    <n v="0"/>
    <n v="0"/>
    <n v="0"/>
    <n v="0"/>
    <n v="0"/>
    <n v="0"/>
    <n v="0"/>
    <n v="0"/>
    <n v="0"/>
    <n v="0"/>
    <n v="0"/>
    <n v="0"/>
    <s v="Strategic Planning/Nine Elms"/>
    <x v="0"/>
    <x v="1"/>
    <x v="1"/>
    <x v="0"/>
    <x v="0"/>
    <x v="0"/>
    <m/>
    <x v="0"/>
    <s v="Y"/>
    <n v="12"/>
    <m/>
    <n v="0"/>
    <n v="0"/>
    <n v="536"/>
    <n v="0"/>
    <n v="0"/>
    <n v="0"/>
    <n v="0"/>
    <n v="0"/>
    <n v="0"/>
    <n v="0"/>
    <n v="0"/>
    <n v="0"/>
    <n v="0"/>
    <n v="0"/>
    <n v="0"/>
    <n v="0"/>
    <n v="0"/>
    <n v="0"/>
    <n v="0"/>
    <n v="0"/>
    <n v="0"/>
    <n v="536"/>
    <n v="536"/>
  </r>
  <r>
    <n v="2411"/>
    <x v="1"/>
    <s v="2017/5353"/>
    <s v="Battersea Power Station"/>
    <s v="South Lambeth Goods Depot, Cringle St./Battersea Park Rd., Kirtling Street"/>
    <s v="Phase 3B"/>
    <n v="528934"/>
    <n v="177496"/>
    <x v="6"/>
    <d v="2016-05-16T00:00:00"/>
    <m/>
    <n v="0"/>
    <n v="827"/>
    <n v="827"/>
    <n v="1363"/>
    <n v="1363"/>
    <s v="Y"/>
    <s v="Approval of details pursuant to Condition 18 (Phasing Plan to deliver Phase 3 in two separate parts) of planning permission 2014/2837, dated 05/12/2014 (for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 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 (application for outline planning permission with detailed elements provided in relation to the Power Station itself, and the jetty and river structures))."/>
    <s v="DT"/>
    <d v="2017-10-02T00:00:00"/>
    <d v="2017-11-27T00:00:00"/>
    <x v="1"/>
    <s v="Nil"/>
    <m/>
    <s v="BF"/>
    <x v="0"/>
    <x v="1"/>
    <x v="1"/>
    <n v="1.044"/>
    <m/>
    <x v="0"/>
    <m/>
    <x v="0"/>
    <s v="P"/>
    <s v="2.1.1"/>
    <m/>
    <n v="827"/>
    <m/>
    <n v="83"/>
    <m/>
    <n v="126"/>
    <n v="241"/>
    <n v="362"/>
    <n v="68"/>
    <n v="11"/>
    <n v="19"/>
    <n v="0"/>
    <n v="126"/>
    <n v="241"/>
    <n v="362"/>
    <n v="68"/>
    <n v="11"/>
    <n v="19"/>
    <n v="0"/>
    <n v="0"/>
    <n v="0"/>
    <n v="0"/>
    <n v="0"/>
    <n v="0"/>
    <n v="0"/>
    <n v="0"/>
    <n v="0"/>
    <n v="0"/>
    <n v="0"/>
    <n v="0"/>
    <n v="0"/>
    <n v="0"/>
    <n v="0"/>
    <s v="Strategic Planning/Nine Elms"/>
    <x v="0"/>
    <x v="1"/>
    <x v="1"/>
    <x v="0"/>
    <x v="0"/>
    <x v="0"/>
    <m/>
    <x v="0"/>
    <s v="Y"/>
    <n v="12"/>
    <m/>
    <n v="0"/>
    <n v="0"/>
    <n v="0"/>
    <n v="0"/>
    <n v="827"/>
    <n v="0"/>
    <n v="0"/>
    <n v="0"/>
    <n v="0"/>
    <n v="0"/>
    <n v="0"/>
    <n v="0"/>
    <n v="0"/>
    <n v="0"/>
    <n v="0"/>
    <n v="0"/>
    <n v="0"/>
    <n v="0"/>
    <n v="0"/>
    <n v="0"/>
    <n v="0"/>
    <n v="827"/>
    <n v="827"/>
  </r>
  <r>
    <n v="2411"/>
    <x v="1"/>
    <s v="2017/1680"/>
    <s v="Battersea Power Station"/>
    <s v="South Lambeth Goods Depot, Cringle St./Battersea Park Rd., Kirtling Street"/>
    <s v="Phase 5 (RS-6)"/>
    <n v="528934"/>
    <n v="177496"/>
    <x v="6"/>
    <d v="2016-05-16T00:00:00"/>
    <m/>
    <n v="0"/>
    <n v="147"/>
    <n v="147"/>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1"/>
    <s v="Nil"/>
    <m/>
    <s v="BF"/>
    <x v="0"/>
    <x v="1"/>
    <x v="1"/>
    <n v="0.186"/>
    <m/>
    <x v="0"/>
    <m/>
    <x v="1"/>
    <s v="HAIU"/>
    <s v="2.1.1"/>
    <m/>
    <n v="147"/>
    <m/>
    <n v="15"/>
    <m/>
    <n v="0"/>
    <n v="21"/>
    <n v="71"/>
    <n v="47"/>
    <n v="8"/>
    <n v="0"/>
    <n v="0"/>
    <n v="0"/>
    <n v="21"/>
    <n v="71"/>
    <n v="47"/>
    <n v="8"/>
    <n v="0"/>
    <n v="0"/>
    <n v="0"/>
    <n v="0"/>
    <n v="0"/>
    <n v="0"/>
    <n v="0"/>
    <n v="0"/>
    <n v="0"/>
    <n v="0"/>
    <n v="0"/>
    <n v="0"/>
    <n v="0"/>
    <n v="0"/>
    <n v="0"/>
    <n v="0"/>
    <s v="Strategic Planning/Nine Elms"/>
    <x v="0"/>
    <x v="1"/>
    <x v="1"/>
    <x v="0"/>
    <x v="0"/>
    <x v="0"/>
    <m/>
    <x v="0"/>
    <s v="Y"/>
    <n v="12"/>
    <m/>
    <n v="0"/>
    <n v="0"/>
    <n v="0"/>
    <n v="0"/>
    <n v="0"/>
    <n v="0"/>
    <n v="0"/>
    <n v="0"/>
    <n v="0"/>
    <n v="147"/>
    <n v="0"/>
    <n v="0"/>
    <n v="0"/>
    <n v="0"/>
    <n v="0"/>
    <n v="0"/>
    <n v="0"/>
    <n v="0"/>
    <n v="0"/>
    <n v="0"/>
    <n v="0"/>
    <n v="0"/>
    <n v="147"/>
  </r>
  <r>
    <n v="2411"/>
    <x v="1"/>
    <s v="2017/1680"/>
    <s v="Battersea Power Station"/>
    <s v="South Lambeth Goods Depot, Cringle St./Battersea Park Rd., Kirtling Street"/>
    <s v="Phase 5 (RS-6)"/>
    <n v="528934"/>
    <n v="177496"/>
    <x v="6"/>
    <d v="2016-05-16T00:00:00"/>
    <m/>
    <n v="0"/>
    <n v="11"/>
    <n v="11"/>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1"/>
    <s v="Nil"/>
    <m/>
    <s v="BF"/>
    <x v="0"/>
    <x v="1"/>
    <x v="1"/>
    <n v="1.4E-2"/>
    <m/>
    <x v="0"/>
    <m/>
    <x v="1"/>
    <s v="HAIR"/>
    <s v="2.1.1"/>
    <m/>
    <n v="11"/>
    <m/>
    <n v="1"/>
    <m/>
    <n v="0"/>
    <n v="11"/>
    <n v="0"/>
    <n v="0"/>
    <n v="0"/>
    <n v="0"/>
    <n v="0"/>
    <n v="0"/>
    <n v="11"/>
    <n v="0"/>
    <n v="0"/>
    <n v="0"/>
    <n v="0"/>
    <n v="0"/>
    <n v="0"/>
    <n v="0"/>
    <n v="0"/>
    <n v="0"/>
    <n v="0"/>
    <n v="0"/>
    <n v="0"/>
    <n v="0"/>
    <n v="0"/>
    <n v="0"/>
    <n v="0"/>
    <n v="0"/>
    <n v="0"/>
    <n v="0"/>
    <s v="Strategic Planning/Nine Elms"/>
    <x v="0"/>
    <x v="1"/>
    <x v="1"/>
    <x v="0"/>
    <x v="0"/>
    <x v="0"/>
    <m/>
    <x v="0"/>
    <s v="Y"/>
    <n v="12"/>
    <m/>
    <n v="0"/>
    <n v="0"/>
    <n v="0"/>
    <n v="0"/>
    <n v="0"/>
    <n v="0"/>
    <n v="0"/>
    <n v="0"/>
    <n v="0"/>
    <n v="11"/>
    <n v="0"/>
    <n v="0"/>
    <n v="0"/>
    <n v="0"/>
    <n v="0"/>
    <n v="0"/>
    <n v="0"/>
    <n v="0"/>
    <n v="0"/>
    <n v="0"/>
    <n v="0"/>
    <n v="0"/>
    <n v="11"/>
  </r>
  <r>
    <n v="2411"/>
    <x v="1"/>
    <s v="2017/1680"/>
    <s v="Battersea Power Station"/>
    <s v="South Lambeth Goods Depot, Cringle St./Battersea Park Rd., Kirtling Street"/>
    <s v="Phase 6 (RS-2)"/>
    <n v="528934"/>
    <n v="177496"/>
    <x v="6"/>
    <d v="2016-05-16T00:00:00"/>
    <m/>
    <n v="0"/>
    <n v="306"/>
    <n v="306"/>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1"/>
    <s v="Nil"/>
    <m/>
    <s v="BF"/>
    <x v="0"/>
    <x v="1"/>
    <x v="1"/>
    <n v="0.38600000000000001"/>
    <m/>
    <x v="0"/>
    <m/>
    <x v="0"/>
    <s v="P"/>
    <s v="2.1.1"/>
    <m/>
    <n v="306"/>
    <m/>
    <n v="31"/>
    <m/>
    <n v="29"/>
    <n v="0"/>
    <n v="36"/>
    <n v="140"/>
    <n v="35"/>
    <n v="66"/>
    <n v="0"/>
    <n v="29"/>
    <n v="0"/>
    <n v="36"/>
    <n v="140"/>
    <n v="35"/>
    <n v="66"/>
    <n v="0"/>
    <n v="0"/>
    <n v="0"/>
    <n v="0"/>
    <n v="0"/>
    <n v="0"/>
    <n v="0"/>
    <n v="0"/>
    <n v="0"/>
    <n v="0"/>
    <n v="0"/>
    <n v="0"/>
    <n v="0"/>
    <n v="0"/>
    <n v="0"/>
    <s v="Strategic Planning/Nine Elms"/>
    <x v="0"/>
    <x v="1"/>
    <x v="1"/>
    <x v="0"/>
    <x v="0"/>
    <x v="0"/>
    <m/>
    <x v="0"/>
    <s v="Y"/>
    <n v="12"/>
    <m/>
    <n v="0"/>
    <n v="0"/>
    <n v="0"/>
    <n v="0"/>
    <n v="0"/>
    <n v="0"/>
    <n v="0"/>
    <n v="306"/>
    <n v="0"/>
    <n v="0"/>
    <n v="0"/>
    <n v="0"/>
    <n v="0"/>
    <n v="0"/>
    <n v="0"/>
    <n v="0"/>
    <n v="0"/>
    <n v="0"/>
    <n v="0"/>
    <n v="0"/>
    <n v="0"/>
    <n v="0"/>
    <n v="306"/>
  </r>
  <r>
    <n v="2411"/>
    <x v="1"/>
    <s v="2017/1680"/>
    <s v="Battersea Power Station"/>
    <s v="South Lambeth Goods Depot, Cringle St./Battersea Park Rd., Kirtling Street"/>
    <s v="Phase 6 (RS-2)"/>
    <n v="528934"/>
    <n v="177496"/>
    <x v="6"/>
    <d v="2016-05-16T00:00:00"/>
    <m/>
    <n v="0"/>
    <n v="92"/>
    <n v="92"/>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1"/>
    <s v="Nil"/>
    <m/>
    <s v="BF"/>
    <x v="0"/>
    <x v="1"/>
    <x v="1"/>
    <n v="0.11600000000000001"/>
    <m/>
    <x v="0"/>
    <m/>
    <x v="1"/>
    <s v="HAIR"/>
    <s v="2.1.1"/>
    <m/>
    <n v="92"/>
    <m/>
    <n v="9"/>
    <m/>
    <n v="0"/>
    <n v="41"/>
    <n v="48"/>
    <n v="3"/>
    <n v="0"/>
    <n v="0"/>
    <n v="0"/>
    <n v="0"/>
    <n v="41"/>
    <n v="48"/>
    <n v="3"/>
    <n v="0"/>
    <n v="0"/>
    <n v="0"/>
    <n v="0"/>
    <n v="0"/>
    <n v="0"/>
    <n v="0"/>
    <n v="0"/>
    <n v="0"/>
    <n v="0"/>
    <n v="0"/>
    <n v="0"/>
    <n v="0"/>
    <n v="0"/>
    <n v="0"/>
    <n v="0"/>
    <n v="0"/>
    <s v="Strategic Planning/Nine Elms"/>
    <x v="0"/>
    <x v="1"/>
    <x v="1"/>
    <x v="0"/>
    <x v="0"/>
    <x v="0"/>
    <m/>
    <x v="0"/>
    <s v="Y"/>
    <n v="12"/>
    <m/>
    <n v="0"/>
    <n v="0"/>
    <n v="0"/>
    <n v="0"/>
    <n v="0"/>
    <n v="0"/>
    <n v="0"/>
    <n v="92"/>
    <n v="0"/>
    <n v="0"/>
    <n v="0"/>
    <n v="0"/>
    <n v="0"/>
    <n v="0"/>
    <n v="0"/>
    <n v="0"/>
    <n v="0"/>
    <n v="0"/>
    <n v="0"/>
    <n v="0"/>
    <n v="0"/>
    <n v="0"/>
    <n v="92"/>
  </r>
  <r>
    <n v="2502"/>
    <x v="2"/>
    <s v="2010/3703"/>
    <m/>
    <s v="Springfield Hospital site, 61 Glenburnie Road"/>
    <s v="Affordable Rent"/>
    <n v="527221"/>
    <n v="172443"/>
    <x v="17"/>
    <d v="2015-08-28T00:00:00"/>
    <m/>
    <n v="0"/>
    <n v="69"/>
    <n v="69"/>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x v="4"/>
    <x v="1"/>
    <x v="1"/>
    <n v="0.96600002050399802"/>
    <m/>
    <x v="0"/>
    <m/>
    <x v="2"/>
    <s v="HAAR"/>
    <s v="9.1"/>
    <m/>
    <n v="69"/>
    <m/>
    <n v="6"/>
    <m/>
    <n v="0"/>
    <n v="0"/>
    <n v="10"/>
    <n v="52"/>
    <n v="7"/>
    <n v="0"/>
    <n v="0"/>
    <n v="0"/>
    <n v="0"/>
    <n v="0"/>
    <n v="0"/>
    <n v="0"/>
    <n v="0"/>
    <n v="0"/>
    <n v="0"/>
    <n v="0"/>
    <n v="10"/>
    <n v="52"/>
    <n v="7"/>
    <n v="0"/>
    <n v="0"/>
    <n v="0"/>
    <n v="0"/>
    <n v="0"/>
    <n v="0"/>
    <n v="0"/>
    <n v="0"/>
    <n v="0"/>
    <s v="West"/>
    <x v="0"/>
    <x v="0"/>
    <x v="1"/>
    <x v="0"/>
    <x v="0"/>
    <x v="0"/>
    <m/>
    <x v="0"/>
    <s v="Y"/>
    <s v="3A"/>
    <m/>
    <n v="0"/>
    <n v="0"/>
    <n v="0"/>
    <n v="0"/>
    <n v="69"/>
    <n v="0"/>
    <n v="0"/>
    <n v="0"/>
    <n v="0"/>
    <n v="0"/>
    <n v="0"/>
    <n v="0"/>
    <n v="0"/>
    <n v="0"/>
    <n v="0"/>
    <n v="0"/>
    <n v="0"/>
    <n v="0"/>
    <n v="0"/>
    <n v="0"/>
    <n v="0"/>
    <n v="69"/>
    <n v="69"/>
  </r>
  <r>
    <n v="2502"/>
    <x v="2"/>
    <s v="2010/3703"/>
    <m/>
    <s v="Springfield Hospital site, 61 Glenburnie Road"/>
    <s v="Extra Care"/>
    <n v="527221"/>
    <n v="172443"/>
    <x v="17"/>
    <d v="2015-08-28T00:00:00"/>
    <m/>
    <n v="0"/>
    <n v="46"/>
    <n v="46"/>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x v="4"/>
    <x v="1"/>
    <x v="1"/>
    <n v="0.64399999380111705"/>
    <m/>
    <x v="0"/>
    <m/>
    <x v="2"/>
    <s v="HASR"/>
    <s v="9.1"/>
    <m/>
    <n v="46"/>
    <m/>
    <n v="4"/>
    <m/>
    <n v="0"/>
    <n v="40"/>
    <n v="6"/>
    <n v="0"/>
    <n v="0"/>
    <n v="0"/>
    <n v="0"/>
    <n v="0"/>
    <n v="40"/>
    <n v="6"/>
    <n v="0"/>
    <n v="0"/>
    <n v="0"/>
    <n v="0"/>
    <n v="0"/>
    <n v="0"/>
    <n v="0"/>
    <n v="0"/>
    <n v="0"/>
    <n v="0"/>
    <n v="0"/>
    <n v="0"/>
    <n v="0"/>
    <n v="0"/>
    <n v="0"/>
    <n v="0"/>
    <n v="0"/>
    <n v="0"/>
    <s v="West"/>
    <x v="0"/>
    <x v="0"/>
    <x v="1"/>
    <x v="0"/>
    <x v="0"/>
    <x v="0"/>
    <m/>
    <x v="0"/>
    <s v="Y"/>
    <s v="3A"/>
    <m/>
    <n v="0"/>
    <n v="0"/>
    <n v="0"/>
    <n v="0"/>
    <n v="0"/>
    <n v="46"/>
    <n v="0"/>
    <n v="0"/>
    <n v="0"/>
    <n v="0"/>
    <n v="0"/>
    <n v="0"/>
    <n v="0"/>
    <n v="0"/>
    <n v="0"/>
    <n v="0"/>
    <n v="0"/>
    <n v="0"/>
    <n v="0"/>
    <n v="0"/>
    <n v="0"/>
    <n v="46"/>
    <n v="46"/>
  </r>
  <r>
    <n v="2502"/>
    <x v="2"/>
    <s v="2010/3703"/>
    <m/>
    <s v="Springfield Hospital site, 61 Glenburnie Road"/>
    <s v="Open Market Conversion"/>
    <n v="527221"/>
    <n v="172443"/>
    <x v="17"/>
    <d v="2015-08-28T00:00:00"/>
    <m/>
    <n v="0"/>
    <n v="262"/>
    <n v="262"/>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x v="4"/>
    <x v="4"/>
    <x v="1"/>
    <n v="3.6659998893737802"/>
    <m/>
    <x v="0"/>
    <m/>
    <x v="0"/>
    <s v="P"/>
    <s v="9.1"/>
    <m/>
    <n v="262"/>
    <m/>
    <n v="26"/>
    <m/>
    <n v="0"/>
    <n v="41"/>
    <n v="150"/>
    <n v="71"/>
    <n v="0"/>
    <n v="0"/>
    <n v="0"/>
    <n v="0"/>
    <n v="41"/>
    <n v="150"/>
    <n v="70"/>
    <n v="0"/>
    <n v="0"/>
    <n v="0"/>
    <n v="0"/>
    <n v="0"/>
    <n v="0"/>
    <n v="1"/>
    <n v="0"/>
    <n v="0"/>
    <n v="0"/>
    <n v="0"/>
    <n v="0"/>
    <n v="0"/>
    <n v="0"/>
    <n v="0"/>
    <n v="0"/>
    <n v="0"/>
    <s v="West"/>
    <x v="0"/>
    <x v="0"/>
    <x v="1"/>
    <x v="0"/>
    <x v="0"/>
    <x v="0"/>
    <m/>
    <x v="0"/>
    <s v="Y"/>
    <s v="3A"/>
    <m/>
    <n v="0"/>
    <n v="0"/>
    <n v="0"/>
    <n v="0"/>
    <n v="0"/>
    <n v="0"/>
    <n v="262"/>
    <n v="0"/>
    <n v="0"/>
    <n v="0"/>
    <n v="0"/>
    <n v="0"/>
    <n v="0"/>
    <n v="0"/>
    <n v="0"/>
    <n v="0"/>
    <n v="0"/>
    <n v="0"/>
    <n v="0"/>
    <n v="0"/>
    <n v="0"/>
    <n v="0"/>
    <n v="262"/>
  </r>
  <r>
    <n v="2502"/>
    <x v="2"/>
    <s v="2010/3703"/>
    <m/>
    <s v="Springfield Hospital site, 61 Glenburnie Road"/>
    <s v="Open Market New Build"/>
    <n v="527221"/>
    <n v="172443"/>
    <x v="17"/>
    <d v="2015-08-28T00:00:00"/>
    <m/>
    <n v="0"/>
    <n v="383"/>
    <n v="383"/>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x v="4"/>
    <x v="1"/>
    <x v="1"/>
    <n v="5.72300004959106"/>
    <m/>
    <x v="0"/>
    <m/>
    <x v="0"/>
    <s v="P"/>
    <s v="9.1"/>
    <m/>
    <n v="409"/>
    <m/>
    <n v="40"/>
    <m/>
    <n v="0"/>
    <n v="87"/>
    <n v="105"/>
    <n v="107"/>
    <n v="24"/>
    <n v="60"/>
    <n v="0"/>
    <n v="0"/>
    <n v="87"/>
    <n v="67"/>
    <n v="36"/>
    <n v="0"/>
    <n v="0"/>
    <n v="0"/>
    <n v="0"/>
    <n v="0"/>
    <n v="38"/>
    <n v="71"/>
    <n v="24"/>
    <n v="60"/>
    <n v="0"/>
    <n v="0"/>
    <n v="0"/>
    <n v="0"/>
    <n v="0"/>
    <n v="0"/>
    <n v="0"/>
    <n v="0"/>
    <s v="West"/>
    <x v="0"/>
    <x v="0"/>
    <x v="1"/>
    <x v="0"/>
    <x v="0"/>
    <x v="0"/>
    <m/>
    <x v="0"/>
    <s v="Y"/>
    <s v="3A"/>
    <m/>
    <n v="0"/>
    <n v="0"/>
    <n v="0"/>
    <n v="0"/>
    <n v="137"/>
    <n v="49"/>
    <n v="31"/>
    <n v="58"/>
    <n v="108"/>
    <n v="0"/>
    <n v="0"/>
    <n v="0"/>
    <n v="0"/>
    <n v="0"/>
    <n v="0"/>
    <n v="0"/>
    <n v="0"/>
    <n v="0"/>
    <n v="0"/>
    <n v="0"/>
    <n v="0"/>
    <n v="186"/>
    <n v="383"/>
  </r>
  <r>
    <n v="2502"/>
    <x v="2"/>
    <s v="2010/3703"/>
    <m/>
    <s v="Springfield Hospital site, 61 Glenburnie Road"/>
    <s v="PLD Aff Rent"/>
    <n v="527221"/>
    <n v="172443"/>
    <x v="17"/>
    <d v="2015-08-28T00:00:00"/>
    <m/>
    <n v="0"/>
    <n v="10"/>
    <n v="10"/>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x v="4"/>
    <x v="1"/>
    <x v="1"/>
    <n v="1.4000000432133701E-2"/>
    <m/>
    <x v="0"/>
    <m/>
    <x v="2"/>
    <s v="HAAR"/>
    <s v="9.1"/>
    <m/>
    <n v="10"/>
    <m/>
    <n v="1"/>
    <m/>
    <n v="0"/>
    <n v="10"/>
    <n v="0"/>
    <n v="0"/>
    <n v="0"/>
    <n v="0"/>
    <n v="0"/>
    <n v="0"/>
    <n v="10"/>
    <n v="0"/>
    <n v="0"/>
    <n v="0"/>
    <n v="0"/>
    <n v="0"/>
    <n v="0"/>
    <n v="0"/>
    <n v="0"/>
    <n v="0"/>
    <n v="0"/>
    <n v="0"/>
    <n v="0"/>
    <n v="0"/>
    <n v="0"/>
    <n v="0"/>
    <n v="0"/>
    <n v="0"/>
    <n v="0"/>
    <n v="0"/>
    <s v="West"/>
    <x v="0"/>
    <x v="0"/>
    <x v="1"/>
    <x v="0"/>
    <x v="0"/>
    <x v="0"/>
    <m/>
    <x v="0"/>
    <s v="Y"/>
    <s v="3A"/>
    <m/>
    <n v="0"/>
    <n v="0"/>
    <n v="0"/>
    <n v="0"/>
    <n v="10"/>
    <n v="0"/>
    <n v="0"/>
    <n v="0"/>
    <n v="0"/>
    <n v="0"/>
    <n v="0"/>
    <n v="0"/>
    <n v="0"/>
    <n v="0"/>
    <n v="0"/>
    <n v="0"/>
    <n v="0"/>
    <n v="0"/>
    <n v="0"/>
    <n v="0"/>
    <n v="0"/>
    <n v="10"/>
    <n v="10"/>
  </r>
  <r>
    <n v="2502"/>
    <x v="2"/>
    <s v="2010/3703"/>
    <m/>
    <s v="Springfield Hospital site, 61 Glenburnie Road"/>
    <s v="Shared Ownership"/>
    <n v="527221"/>
    <n v="172443"/>
    <x v="17"/>
    <d v="2015-08-28T00:00:00"/>
    <m/>
    <n v="0"/>
    <n v="43"/>
    <n v="43"/>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x v="4"/>
    <x v="1"/>
    <x v="1"/>
    <n v="0.60199999809265103"/>
    <m/>
    <x v="0"/>
    <m/>
    <x v="1"/>
    <s v="HASO"/>
    <s v="9.1"/>
    <m/>
    <n v="43"/>
    <m/>
    <n v="4"/>
    <m/>
    <n v="0"/>
    <n v="15"/>
    <n v="18"/>
    <n v="10"/>
    <n v="0"/>
    <n v="0"/>
    <n v="0"/>
    <n v="0"/>
    <n v="15"/>
    <n v="11"/>
    <n v="10"/>
    <n v="0"/>
    <n v="0"/>
    <n v="0"/>
    <n v="0"/>
    <n v="0"/>
    <n v="7"/>
    <n v="0"/>
    <n v="0"/>
    <n v="0"/>
    <n v="0"/>
    <n v="0"/>
    <n v="0"/>
    <n v="0"/>
    <n v="0"/>
    <n v="0"/>
    <n v="0"/>
    <n v="0"/>
    <s v="West"/>
    <x v="0"/>
    <x v="0"/>
    <x v="1"/>
    <x v="0"/>
    <x v="0"/>
    <x v="0"/>
    <m/>
    <x v="0"/>
    <s v="Y"/>
    <s v="3A"/>
    <m/>
    <n v="0"/>
    <n v="0"/>
    <n v="0"/>
    <n v="0"/>
    <n v="0"/>
    <n v="0"/>
    <n v="0"/>
    <n v="0"/>
    <n v="43"/>
    <n v="0"/>
    <n v="0"/>
    <n v="0"/>
    <n v="0"/>
    <n v="0"/>
    <n v="0"/>
    <n v="0"/>
    <n v="0"/>
    <n v="0"/>
    <n v="0"/>
    <n v="0"/>
    <n v="0"/>
    <n v="0"/>
    <n v="43"/>
  </r>
  <r>
    <n v="2641"/>
    <x v="2"/>
    <s v="2012/3960"/>
    <m/>
    <s v="Garages between 77 &amp; 85, Ravenslea Road"/>
    <m/>
    <n v="527902"/>
    <n v="173411"/>
    <x v="11"/>
    <d v="2015-11-24T00:00:00"/>
    <m/>
    <n v="0"/>
    <n v="5"/>
    <n v="5"/>
    <n v="5"/>
    <n v="5"/>
    <m/>
    <s v="Demolition of existing single-storey garages and erection of a three-storey building to provide 5 flats, with associated amenity space including balconies and roof terraces, with cycle store to rear and relocation of entrance to existing allotments at rear."/>
    <s v="PF"/>
    <d v="2012-09-14T00:00:00"/>
    <d v="2012-12-19T00:00:00"/>
    <x v="0"/>
    <s v="Nil"/>
    <m/>
    <s v="BF"/>
    <x v="0"/>
    <x v="0"/>
    <x v="0"/>
    <n v="4.1999999433755902E-2"/>
    <d v="2015-11-24T00:00:00"/>
    <x v="0"/>
    <m/>
    <x v="0"/>
    <s v="P"/>
    <m/>
    <m/>
    <n v="5"/>
    <m/>
    <n v="0"/>
    <m/>
    <n v="0"/>
    <n v="0"/>
    <n v="4"/>
    <n v="1"/>
    <n v="0"/>
    <n v="0"/>
    <n v="0"/>
    <n v="0"/>
    <n v="0"/>
    <n v="4"/>
    <n v="1"/>
    <n v="0"/>
    <n v="0"/>
    <n v="0"/>
    <n v="0"/>
    <n v="0"/>
    <n v="0"/>
    <n v="0"/>
    <n v="0"/>
    <n v="0"/>
    <n v="0"/>
    <n v="0"/>
    <n v="0"/>
    <n v="0"/>
    <n v="0"/>
    <n v="0"/>
    <n v="0"/>
    <n v="0"/>
    <s v="East"/>
    <x v="0"/>
    <x v="0"/>
    <x v="1"/>
    <x v="0"/>
    <x v="0"/>
    <x v="0"/>
    <m/>
    <x v="0"/>
    <s v="Y"/>
    <s v="2A"/>
    <m/>
    <n v="0"/>
    <n v="5"/>
    <n v="0"/>
    <n v="0"/>
    <n v="0"/>
    <n v="0"/>
    <n v="0"/>
    <n v="0"/>
    <n v="0"/>
    <n v="0"/>
    <n v="0"/>
    <n v="0"/>
    <n v="0"/>
    <n v="0"/>
    <n v="0"/>
    <n v="0"/>
    <n v="0"/>
    <n v="0"/>
    <n v="0"/>
    <n v="0"/>
    <n v="0"/>
    <n v="5"/>
    <n v="5"/>
  </r>
  <r>
    <n v="2643"/>
    <x v="2"/>
    <s v="2017/6418"/>
    <s v="Flats 1-9"/>
    <s v="29 Trinity Crescent"/>
    <m/>
    <n v="528058"/>
    <n v="172638"/>
    <x v="11"/>
    <d v="2018-03-31T00:00:00"/>
    <m/>
    <n v="0"/>
    <n v="1"/>
    <n v="1"/>
    <n v="1"/>
    <n v="1"/>
    <m/>
    <s v="Erection of roof extension in connection with creation of two bedroom flat and formation of roof terraces with glazed screen surround."/>
    <s v="PF"/>
    <d v="2017-11-28T00:00:00"/>
    <d v="2018-02-23T00:00:00"/>
    <x v="1"/>
    <s v="Nil"/>
    <m/>
    <s v="BF"/>
    <x v="2"/>
    <x v="0"/>
    <x v="3"/>
    <n v="8.0000003799796104E-3"/>
    <d v="2018-03-31T00:00:00"/>
    <x v="1"/>
    <m/>
    <x v="0"/>
    <s v="P"/>
    <m/>
    <m/>
    <n v="0"/>
    <n v="1"/>
    <n v="0"/>
    <m/>
    <n v="0"/>
    <n v="0"/>
    <n v="1"/>
    <n v="0"/>
    <n v="0"/>
    <n v="0"/>
    <n v="0"/>
    <n v="0"/>
    <n v="0"/>
    <n v="1"/>
    <n v="0"/>
    <n v="0"/>
    <n v="0"/>
    <n v="0"/>
    <n v="0"/>
    <n v="0"/>
    <n v="0"/>
    <n v="0"/>
    <n v="0"/>
    <n v="0"/>
    <n v="0"/>
    <n v="0"/>
    <n v="0"/>
    <n v="0"/>
    <n v="0"/>
    <n v="0"/>
    <n v="0"/>
    <n v="0"/>
    <s v="East"/>
    <x v="0"/>
    <x v="0"/>
    <x v="1"/>
    <x v="0"/>
    <x v="0"/>
    <x v="0"/>
    <m/>
    <x v="0"/>
    <s v="Y"/>
    <s v="8B"/>
    <m/>
    <n v="0"/>
    <n v="0.5"/>
    <n v="0.5"/>
    <n v="0"/>
    <n v="0"/>
    <n v="0"/>
    <n v="0"/>
    <n v="0"/>
    <n v="0"/>
    <n v="0"/>
    <n v="0"/>
    <n v="0"/>
    <n v="0"/>
    <n v="0"/>
    <n v="0"/>
    <n v="0"/>
    <n v="0"/>
    <n v="0"/>
    <n v="0"/>
    <n v="0"/>
    <n v="0"/>
    <n v="1"/>
    <n v="1"/>
  </r>
  <r>
    <n v="2759"/>
    <x v="2"/>
    <s v="2016/3541"/>
    <m/>
    <s v="26 Tooting High Street"/>
    <m/>
    <n v="527493"/>
    <n v="171577"/>
    <x v="4"/>
    <d v="2016-04-27T00:00:00"/>
    <m/>
    <n v="0"/>
    <n v="1"/>
    <n v="1"/>
    <n v="1"/>
    <n v="1"/>
    <m/>
    <s v="Alterations including erection of a two-storey rear extension at lower and upper ground floor levels with roof terrace and 1.7m high obscured glazing, formation of rear lower ground floor level courtyard in conjunction with conversion of the rear lower and upper ground floor levels to 1 x 1-bedroom residential unit."/>
    <s v="PF"/>
    <d v="2016-06-17T00:00:00"/>
    <d v="2016-11-07T00:00:00"/>
    <x v="0"/>
    <s v="Nil"/>
    <m/>
    <s v="BF"/>
    <x v="4"/>
    <x v="0"/>
    <x v="4"/>
    <n v="3.0000000260770299E-3"/>
    <d v="2016-04-27T00:00:00"/>
    <x v="0"/>
    <m/>
    <x v="0"/>
    <s v="P"/>
    <m/>
    <m/>
    <n v="1"/>
    <m/>
    <n v="0"/>
    <m/>
    <n v="0"/>
    <n v="1"/>
    <n v="0"/>
    <n v="0"/>
    <n v="0"/>
    <n v="0"/>
    <n v="0"/>
    <n v="0"/>
    <n v="1"/>
    <n v="0"/>
    <n v="0"/>
    <n v="0"/>
    <n v="0"/>
    <n v="0"/>
    <n v="0"/>
    <n v="0"/>
    <n v="0"/>
    <n v="0"/>
    <n v="0"/>
    <n v="0"/>
    <n v="0"/>
    <n v="0"/>
    <n v="0"/>
    <n v="0"/>
    <n v="0"/>
    <n v="0"/>
    <n v="0"/>
    <n v="0"/>
    <s v="East"/>
    <x v="1"/>
    <x v="0"/>
    <x v="1"/>
    <x v="0"/>
    <x v="0"/>
    <x v="0"/>
    <m/>
    <x v="0"/>
    <s v="Y"/>
    <s v="8A"/>
    <m/>
    <n v="0"/>
    <n v="1"/>
    <n v="0"/>
    <n v="0"/>
    <n v="0"/>
    <n v="0"/>
    <n v="0"/>
    <n v="0"/>
    <n v="0"/>
    <n v="0"/>
    <n v="0"/>
    <n v="0"/>
    <n v="0"/>
    <n v="0"/>
    <n v="0"/>
    <n v="0"/>
    <n v="0"/>
    <n v="0"/>
    <n v="0"/>
    <n v="0"/>
    <n v="0"/>
    <n v="1"/>
    <n v="1"/>
  </r>
  <r>
    <n v="2786"/>
    <x v="2"/>
    <s v="2016/5085"/>
    <m/>
    <s v="163-165 Tooting High Street"/>
    <m/>
    <n v="527308"/>
    <n v="171157"/>
    <x v="8"/>
    <d v="2018-03-31T00:00:00"/>
    <m/>
    <n v="0"/>
    <n v="2"/>
    <n v="2"/>
    <n v="2"/>
    <n v="2"/>
    <m/>
    <s v="Alterations including part demolition of ground floor rear and erection of extensions to first floor in connection with conversion of rear of property into 2 x two-bedroom dwellings, accessed from rear. Alterations to ground floor shop."/>
    <s v="PF"/>
    <d v="2016-08-26T00:00:00"/>
    <d v="2016-10-21T00:00:00"/>
    <x v="0"/>
    <s v="Nil"/>
    <m/>
    <s v="BF"/>
    <x v="2"/>
    <x v="0"/>
    <x v="4"/>
    <n v="1.4000000432133701E-2"/>
    <d v="2018-03-31T00:00:00"/>
    <x v="1"/>
    <m/>
    <x v="0"/>
    <s v="P"/>
    <m/>
    <m/>
    <n v="2"/>
    <m/>
    <n v="0"/>
    <m/>
    <n v="0"/>
    <n v="0"/>
    <n v="2"/>
    <n v="0"/>
    <n v="0"/>
    <n v="0"/>
    <n v="0"/>
    <n v="0"/>
    <n v="0"/>
    <n v="2"/>
    <n v="0"/>
    <n v="0"/>
    <n v="0"/>
    <n v="0"/>
    <n v="0"/>
    <n v="0"/>
    <n v="0"/>
    <n v="0"/>
    <n v="0"/>
    <n v="0"/>
    <n v="0"/>
    <n v="0"/>
    <n v="0"/>
    <n v="0"/>
    <n v="0"/>
    <n v="0"/>
    <n v="0"/>
    <n v="0"/>
    <s v="East"/>
    <x v="0"/>
    <x v="0"/>
    <x v="1"/>
    <x v="0"/>
    <x v="0"/>
    <x v="0"/>
    <m/>
    <x v="0"/>
    <s v="Y"/>
    <s v="8B"/>
    <m/>
    <n v="0"/>
    <n v="1"/>
    <n v="1"/>
    <n v="0"/>
    <n v="0"/>
    <n v="0"/>
    <n v="0"/>
    <n v="0"/>
    <n v="0"/>
    <n v="0"/>
    <n v="0"/>
    <n v="0"/>
    <n v="0"/>
    <n v="0"/>
    <n v="0"/>
    <n v="0"/>
    <n v="0"/>
    <n v="0"/>
    <n v="0"/>
    <n v="0"/>
    <n v="0"/>
    <n v="2"/>
    <n v="2"/>
  </r>
  <r>
    <n v="2796"/>
    <x v="2"/>
    <s v="2015/5308"/>
    <s v="Lookers Volkswagen"/>
    <s v="Dovercourt, 98 York Road"/>
    <s v="BLOCK A - PRIVATE LEVEL 10"/>
    <n v="526651"/>
    <n v="175984"/>
    <x v="1"/>
    <d v="2016-07-01T00:00:00"/>
    <m/>
    <n v="0"/>
    <n v="4"/>
    <n v="4"/>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1.2000000104308101E-2"/>
    <d v="2016-07-01T00:00:00"/>
    <x v="0"/>
    <m/>
    <x v="0"/>
    <s v="P"/>
    <s v="10.3"/>
    <m/>
    <n v="4"/>
    <m/>
    <n v="0"/>
    <m/>
    <n v="0"/>
    <n v="0"/>
    <n v="1"/>
    <n v="3"/>
    <n v="0"/>
    <n v="0"/>
    <n v="0"/>
    <n v="0"/>
    <n v="0"/>
    <n v="1"/>
    <n v="3"/>
    <n v="0"/>
    <n v="0"/>
    <n v="0"/>
    <n v="0"/>
    <n v="0"/>
    <n v="0"/>
    <n v="0"/>
    <n v="0"/>
    <n v="0"/>
    <n v="0"/>
    <n v="0"/>
    <n v="0"/>
    <n v="0"/>
    <n v="0"/>
    <n v="0"/>
    <n v="0"/>
    <n v="0"/>
    <s v="East"/>
    <x v="0"/>
    <x v="0"/>
    <x v="1"/>
    <x v="0"/>
    <x v="0"/>
    <x v="0"/>
    <s v="Y"/>
    <x v="0"/>
    <s v="Y"/>
    <s v="3A"/>
    <m/>
    <n v="0"/>
    <n v="0"/>
    <n v="4"/>
    <n v="0"/>
    <n v="0"/>
    <n v="0"/>
    <n v="0"/>
    <n v="0"/>
    <n v="0"/>
    <n v="0"/>
    <n v="0"/>
    <n v="0"/>
    <n v="0"/>
    <n v="0"/>
    <n v="0"/>
    <n v="0"/>
    <n v="0"/>
    <n v="0"/>
    <n v="0"/>
    <n v="0"/>
    <n v="0"/>
    <n v="4"/>
    <n v="4"/>
  </r>
  <r>
    <n v="2796"/>
    <x v="2"/>
    <s v="2015/5308"/>
    <s v="Lookers Volkswagen"/>
    <s v="Dovercourt, 98 York Road"/>
    <s v="BLOCK A - PRIVATE LEVEL 11"/>
    <n v="526651"/>
    <n v="175984"/>
    <x v="1"/>
    <d v="2016-07-01T00:00:00"/>
    <m/>
    <n v="0"/>
    <n v="4"/>
    <n v="4"/>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1.2000000104308101E-2"/>
    <d v="2016-07-01T00:00:00"/>
    <x v="0"/>
    <m/>
    <x v="0"/>
    <s v="P"/>
    <s v="10.3"/>
    <m/>
    <n v="4"/>
    <m/>
    <n v="0"/>
    <m/>
    <n v="0"/>
    <n v="0"/>
    <n v="1"/>
    <n v="3"/>
    <n v="0"/>
    <n v="0"/>
    <n v="0"/>
    <n v="0"/>
    <n v="0"/>
    <n v="1"/>
    <n v="3"/>
    <n v="0"/>
    <n v="0"/>
    <n v="0"/>
    <n v="0"/>
    <n v="0"/>
    <n v="0"/>
    <n v="0"/>
    <n v="0"/>
    <n v="0"/>
    <n v="0"/>
    <n v="0"/>
    <n v="0"/>
    <n v="0"/>
    <n v="0"/>
    <n v="0"/>
    <n v="0"/>
    <n v="0"/>
    <s v="East"/>
    <x v="0"/>
    <x v="0"/>
    <x v="1"/>
    <x v="0"/>
    <x v="0"/>
    <x v="0"/>
    <s v="Y"/>
    <x v="0"/>
    <s v="Y"/>
    <s v="3A"/>
    <m/>
    <n v="0"/>
    <n v="0"/>
    <n v="4"/>
    <n v="0"/>
    <n v="0"/>
    <n v="0"/>
    <n v="0"/>
    <n v="0"/>
    <n v="0"/>
    <n v="0"/>
    <n v="0"/>
    <n v="0"/>
    <n v="0"/>
    <n v="0"/>
    <n v="0"/>
    <n v="0"/>
    <n v="0"/>
    <n v="0"/>
    <n v="0"/>
    <n v="0"/>
    <n v="0"/>
    <n v="4"/>
    <n v="4"/>
  </r>
  <r>
    <n v="2796"/>
    <x v="2"/>
    <s v="2015/5308"/>
    <s v="Lookers Volkswagen"/>
    <s v="Dovercourt, 98 York Road"/>
    <s v="BLOCK A - PRIVATE LEVEL 12"/>
    <n v="526651"/>
    <n v="175984"/>
    <x v="1"/>
    <d v="2016-07-01T00:00:00"/>
    <m/>
    <n v="0"/>
    <n v="4"/>
    <n v="4"/>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1.2000000104308101E-2"/>
    <d v="2016-07-01T00:00:00"/>
    <x v="0"/>
    <m/>
    <x v="0"/>
    <s v="P"/>
    <s v="10.3"/>
    <m/>
    <n v="4"/>
    <m/>
    <n v="0"/>
    <m/>
    <n v="0"/>
    <n v="0"/>
    <n v="1"/>
    <n v="3"/>
    <n v="0"/>
    <n v="0"/>
    <n v="0"/>
    <n v="0"/>
    <n v="0"/>
    <n v="1"/>
    <n v="3"/>
    <n v="0"/>
    <n v="0"/>
    <n v="0"/>
    <n v="0"/>
    <n v="0"/>
    <n v="0"/>
    <n v="0"/>
    <n v="0"/>
    <n v="0"/>
    <n v="0"/>
    <n v="0"/>
    <n v="0"/>
    <n v="0"/>
    <n v="0"/>
    <n v="0"/>
    <n v="0"/>
    <n v="0"/>
    <s v="East"/>
    <x v="0"/>
    <x v="0"/>
    <x v="1"/>
    <x v="0"/>
    <x v="0"/>
    <x v="0"/>
    <s v="Y"/>
    <x v="0"/>
    <s v="Y"/>
    <s v="3A"/>
    <m/>
    <n v="0"/>
    <n v="0"/>
    <n v="4"/>
    <n v="0"/>
    <n v="0"/>
    <n v="0"/>
    <n v="0"/>
    <n v="0"/>
    <n v="0"/>
    <n v="0"/>
    <n v="0"/>
    <n v="0"/>
    <n v="0"/>
    <n v="0"/>
    <n v="0"/>
    <n v="0"/>
    <n v="0"/>
    <n v="0"/>
    <n v="0"/>
    <n v="0"/>
    <n v="0"/>
    <n v="4"/>
    <n v="4"/>
  </r>
  <r>
    <n v="2796"/>
    <x v="2"/>
    <s v="2015/5308"/>
    <s v="Lookers Volkswagen"/>
    <s v="Dovercourt, 98 York Road"/>
    <s v="BLOCK A - PRIVATE LEVEL 3"/>
    <n v="526651"/>
    <n v="175984"/>
    <x v="1"/>
    <d v="2016-07-01T00:00:00"/>
    <m/>
    <n v="0"/>
    <n v="6"/>
    <n v="6"/>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1.30000002682209E-2"/>
    <d v="2016-07-01T00:00:00"/>
    <x v="0"/>
    <m/>
    <x v="0"/>
    <s v="P"/>
    <s v="10.3"/>
    <m/>
    <n v="6"/>
    <m/>
    <n v="1"/>
    <m/>
    <n v="0"/>
    <n v="4"/>
    <n v="2"/>
    <n v="0"/>
    <n v="0"/>
    <n v="0"/>
    <n v="0"/>
    <n v="0"/>
    <n v="4"/>
    <n v="2"/>
    <n v="0"/>
    <n v="0"/>
    <n v="0"/>
    <n v="0"/>
    <n v="0"/>
    <n v="0"/>
    <n v="0"/>
    <n v="0"/>
    <n v="0"/>
    <n v="0"/>
    <n v="0"/>
    <n v="0"/>
    <n v="0"/>
    <n v="0"/>
    <n v="0"/>
    <n v="0"/>
    <n v="0"/>
    <n v="0"/>
    <s v="East"/>
    <x v="0"/>
    <x v="0"/>
    <x v="1"/>
    <x v="0"/>
    <x v="0"/>
    <x v="0"/>
    <s v="Y"/>
    <x v="0"/>
    <s v="Y"/>
    <s v="3A"/>
    <m/>
    <n v="0"/>
    <n v="0"/>
    <n v="6"/>
    <n v="0"/>
    <n v="0"/>
    <n v="0"/>
    <n v="0"/>
    <n v="0"/>
    <n v="0"/>
    <n v="0"/>
    <n v="0"/>
    <n v="0"/>
    <n v="0"/>
    <n v="0"/>
    <n v="0"/>
    <n v="0"/>
    <n v="0"/>
    <n v="0"/>
    <n v="0"/>
    <n v="0"/>
    <n v="0"/>
    <n v="6"/>
    <n v="6"/>
  </r>
  <r>
    <n v="2796"/>
    <x v="2"/>
    <s v="2015/5308"/>
    <s v="Lookers Volkswagen"/>
    <s v="Dovercourt, 98 York Road"/>
    <s v="BLOCK A - PRIVATE LEVEL 4"/>
    <n v="526651"/>
    <n v="175984"/>
    <x v="1"/>
    <d v="2016-07-01T00:00:00"/>
    <m/>
    <n v="0"/>
    <n v="6"/>
    <n v="6"/>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1.4999999664723899E-2"/>
    <d v="2016-07-01T00:00:00"/>
    <x v="0"/>
    <m/>
    <x v="0"/>
    <s v="P"/>
    <s v="10.3"/>
    <m/>
    <n v="6"/>
    <m/>
    <n v="1"/>
    <m/>
    <n v="0"/>
    <n v="3"/>
    <n v="3"/>
    <n v="0"/>
    <n v="0"/>
    <n v="0"/>
    <n v="0"/>
    <n v="0"/>
    <n v="3"/>
    <n v="3"/>
    <n v="0"/>
    <n v="0"/>
    <n v="0"/>
    <n v="0"/>
    <n v="0"/>
    <n v="0"/>
    <n v="0"/>
    <n v="0"/>
    <n v="0"/>
    <n v="0"/>
    <n v="0"/>
    <n v="0"/>
    <n v="0"/>
    <n v="0"/>
    <n v="0"/>
    <n v="0"/>
    <n v="0"/>
    <n v="0"/>
    <s v="East"/>
    <x v="0"/>
    <x v="0"/>
    <x v="1"/>
    <x v="0"/>
    <x v="0"/>
    <x v="0"/>
    <s v="Y"/>
    <x v="0"/>
    <s v="Y"/>
    <s v="3A"/>
    <m/>
    <n v="0"/>
    <n v="0"/>
    <n v="6"/>
    <n v="0"/>
    <n v="0"/>
    <n v="0"/>
    <n v="0"/>
    <n v="0"/>
    <n v="0"/>
    <n v="0"/>
    <n v="0"/>
    <n v="0"/>
    <n v="0"/>
    <n v="0"/>
    <n v="0"/>
    <n v="0"/>
    <n v="0"/>
    <n v="0"/>
    <n v="0"/>
    <n v="0"/>
    <n v="0"/>
    <n v="6"/>
    <n v="6"/>
  </r>
  <r>
    <n v="2796"/>
    <x v="2"/>
    <s v="2015/5308"/>
    <s v="Lookers Volkswagen"/>
    <s v="Dovercourt, 98 York Road"/>
    <s v="BLOCK A - PRIVATE LEVEL 5"/>
    <n v="526651"/>
    <n v="175984"/>
    <x v="1"/>
    <d v="2016-07-01T00:00:00"/>
    <m/>
    <n v="0"/>
    <n v="6"/>
    <n v="6"/>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1.4999999664723899E-2"/>
    <d v="2016-07-01T00:00:00"/>
    <x v="0"/>
    <m/>
    <x v="0"/>
    <s v="P"/>
    <s v="10.3"/>
    <m/>
    <n v="6"/>
    <m/>
    <n v="1"/>
    <m/>
    <n v="0"/>
    <n v="3"/>
    <n v="3"/>
    <n v="0"/>
    <n v="0"/>
    <n v="0"/>
    <n v="0"/>
    <n v="0"/>
    <n v="3"/>
    <n v="3"/>
    <n v="0"/>
    <n v="0"/>
    <n v="0"/>
    <n v="0"/>
    <n v="0"/>
    <n v="0"/>
    <n v="0"/>
    <n v="0"/>
    <n v="0"/>
    <n v="0"/>
    <n v="0"/>
    <n v="0"/>
    <n v="0"/>
    <n v="0"/>
    <n v="0"/>
    <n v="0"/>
    <n v="0"/>
    <n v="0"/>
    <s v="East"/>
    <x v="0"/>
    <x v="0"/>
    <x v="1"/>
    <x v="0"/>
    <x v="0"/>
    <x v="0"/>
    <s v="Y"/>
    <x v="0"/>
    <s v="Y"/>
    <s v="3A"/>
    <m/>
    <n v="0"/>
    <n v="0"/>
    <n v="6"/>
    <n v="0"/>
    <n v="0"/>
    <n v="0"/>
    <n v="0"/>
    <n v="0"/>
    <n v="0"/>
    <n v="0"/>
    <n v="0"/>
    <n v="0"/>
    <n v="0"/>
    <n v="0"/>
    <n v="0"/>
    <n v="0"/>
    <n v="0"/>
    <n v="0"/>
    <n v="0"/>
    <n v="0"/>
    <n v="0"/>
    <n v="6"/>
    <n v="6"/>
  </r>
  <r>
    <n v="2796"/>
    <x v="2"/>
    <s v="2015/5308"/>
    <s v="Lookers Volkswagen"/>
    <s v="Dovercourt, 98 York Road"/>
    <s v="BLOCK A - PRIVATE LEVEL 6"/>
    <n v="526651"/>
    <n v="175984"/>
    <x v="1"/>
    <d v="2016-07-01T00:00:00"/>
    <m/>
    <n v="0"/>
    <n v="6"/>
    <n v="6"/>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1.4999999664723899E-2"/>
    <d v="2016-07-01T00:00:00"/>
    <x v="0"/>
    <m/>
    <x v="0"/>
    <s v="P"/>
    <s v="10.3"/>
    <m/>
    <n v="6"/>
    <m/>
    <n v="1"/>
    <m/>
    <n v="0"/>
    <n v="3"/>
    <n v="3"/>
    <n v="0"/>
    <n v="0"/>
    <n v="0"/>
    <n v="0"/>
    <n v="0"/>
    <n v="3"/>
    <n v="3"/>
    <n v="0"/>
    <n v="0"/>
    <n v="0"/>
    <n v="0"/>
    <n v="0"/>
    <n v="0"/>
    <n v="0"/>
    <n v="0"/>
    <n v="0"/>
    <n v="0"/>
    <n v="0"/>
    <n v="0"/>
    <n v="0"/>
    <n v="0"/>
    <n v="0"/>
    <n v="0"/>
    <n v="0"/>
    <n v="0"/>
    <s v="East"/>
    <x v="0"/>
    <x v="0"/>
    <x v="1"/>
    <x v="0"/>
    <x v="0"/>
    <x v="0"/>
    <s v="Y"/>
    <x v="0"/>
    <s v="Y"/>
    <s v="3A"/>
    <m/>
    <n v="0"/>
    <n v="0"/>
    <n v="6"/>
    <n v="0"/>
    <n v="0"/>
    <n v="0"/>
    <n v="0"/>
    <n v="0"/>
    <n v="0"/>
    <n v="0"/>
    <n v="0"/>
    <n v="0"/>
    <n v="0"/>
    <n v="0"/>
    <n v="0"/>
    <n v="0"/>
    <n v="0"/>
    <n v="0"/>
    <n v="0"/>
    <n v="0"/>
    <n v="0"/>
    <n v="6"/>
    <n v="6"/>
  </r>
  <r>
    <n v="2796"/>
    <x v="2"/>
    <s v="2015/5308"/>
    <s v="Lookers Volkswagen"/>
    <s v="Dovercourt, 98 York Road"/>
    <s v="BLOCK A - PRIVATE LEVEL 7"/>
    <n v="526651"/>
    <n v="175984"/>
    <x v="1"/>
    <d v="2016-07-01T00:00:00"/>
    <m/>
    <n v="0"/>
    <n v="6"/>
    <n v="6"/>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1.4999999664723899E-2"/>
    <d v="2016-07-01T00:00:00"/>
    <x v="0"/>
    <m/>
    <x v="0"/>
    <s v="P"/>
    <s v="10.3"/>
    <m/>
    <n v="6"/>
    <m/>
    <n v="1"/>
    <m/>
    <n v="0"/>
    <n v="3"/>
    <n v="3"/>
    <n v="0"/>
    <n v="0"/>
    <n v="0"/>
    <n v="0"/>
    <n v="0"/>
    <n v="3"/>
    <n v="3"/>
    <n v="0"/>
    <n v="0"/>
    <n v="0"/>
    <n v="0"/>
    <n v="0"/>
    <n v="0"/>
    <n v="0"/>
    <n v="0"/>
    <n v="0"/>
    <n v="0"/>
    <n v="0"/>
    <n v="0"/>
    <n v="0"/>
    <n v="0"/>
    <n v="0"/>
    <n v="0"/>
    <n v="0"/>
    <n v="0"/>
    <s v="East"/>
    <x v="0"/>
    <x v="0"/>
    <x v="1"/>
    <x v="0"/>
    <x v="0"/>
    <x v="0"/>
    <s v="Y"/>
    <x v="0"/>
    <s v="Y"/>
    <s v="3A"/>
    <m/>
    <n v="0"/>
    <n v="0"/>
    <n v="6"/>
    <n v="0"/>
    <n v="0"/>
    <n v="0"/>
    <n v="0"/>
    <n v="0"/>
    <n v="0"/>
    <n v="0"/>
    <n v="0"/>
    <n v="0"/>
    <n v="0"/>
    <n v="0"/>
    <n v="0"/>
    <n v="0"/>
    <n v="0"/>
    <n v="0"/>
    <n v="0"/>
    <n v="0"/>
    <n v="0"/>
    <n v="6"/>
    <n v="6"/>
  </r>
  <r>
    <n v="2796"/>
    <x v="2"/>
    <s v="2015/5308"/>
    <s v="Lookers Volkswagen"/>
    <s v="Dovercourt, 98 York Road"/>
    <s v="BLOCK A - PRIVATE LEVEL 8"/>
    <n v="526651"/>
    <n v="175984"/>
    <x v="1"/>
    <d v="2016-07-01T00:00:00"/>
    <m/>
    <n v="0"/>
    <n v="6"/>
    <n v="6"/>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1.30000002682209E-2"/>
    <d v="2016-07-01T00:00:00"/>
    <x v="0"/>
    <m/>
    <x v="0"/>
    <s v="P"/>
    <s v="10.3"/>
    <m/>
    <n v="6"/>
    <m/>
    <n v="1"/>
    <m/>
    <n v="0"/>
    <n v="3"/>
    <n v="3"/>
    <n v="0"/>
    <n v="0"/>
    <n v="0"/>
    <n v="0"/>
    <n v="0"/>
    <n v="3"/>
    <n v="3"/>
    <n v="0"/>
    <n v="0"/>
    <n v="0"/>
    <n v="0"/>
    <n v="0"/>
    <n v="0"/>
    <n v="0"/>
    <n v="0"/>
    <n v="0"/>
    <n v="0"/>
    <n v="0"/>
    <n v="0"/>
    <n v="0"/>
    <n v="0"/>
    <n v="0"/>
    <n v="0"/>
    <n v="0"/>
    <n v="0"/>
    <s v="East"/>
    <x v="0"/>
    <x v="0"/>
    <x v="1"/>
    <x v="0"/>
    <x v="0"/>
    <x v="0"/>
    <s v="Y"/>
    <x v="0"/>
    <s v="Y"/>
    <s v="3A"/>
    <m/>
    <n v="0"/>
    <n v="0"/>
    <n v="6"/>
    <n v="0"/>
    <n v="0"/>
    <n v="0"/>
    <n v="0"/>
    <n v="0"/>
    <n v="0"/>
    <n v="0"/>
    <n v="0"/>
    <n v="0"/>
    <n v="0"/>
    <n v="0"/>
    <n v="0"/>
    <n v="0"/>
    <n v="0"/>
    <n v="0"/>
    <n v="0"/>
    <n v="0"/>
    <n v="0"/>
    <n v="6"/>
    <n v="6"/>
  </r>
  <r>
    <n v="2796"/>
    <x v="2"/>
    <s v="2015/5308"/>
    <s v="Lookers Volkswagen"/>
    <s v="Dovercourt, 98 York Road"/>
    <s v="BLOCK A - PRIVATE LEVEL 9"/>
    <n v="526651"/>
    <n v="175984"/>
    <x v="1"/>
    <d v="2016-07-01T00:00:00"/>
    <m/>
    <n v="0"/>
    <n v="6"/>
    <n v="6"/>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1.30000002682209E-2"/>
    <d v="2016-07-01T00:00:00"/>
    <x v="0"/>
    <m/>
    <x v="0"/>
    <s v="P"/>
    <s v="10.3"/>
    <m/>
    <n v="6"/>
    <m/>
    <n v="1"/>
    <m/>
    <n v="0"/>
    <n v="3"/>
    <n v="3"/>
    <n v="0"/>
    <n v="0"/>
    <n v="0"/>
    <n v="0"/>
    <n v="0"/>
    <n v="3"/>
    <n v="3"/>
    <n v="0"/>
    <n v="0"/>
    <n v="0"/>
    <n v="0"/>
    <n v="0"/>
    <n v="0"/>
    <n v="0"/>
    <n v="0"/>
    <n v="0"/>
    <n v="0"/>
    <n v="0"/>
    <n v="0"/>
    <n v="0"/>
    <n v="0"/>
    <n v="0"/>
    <n v="0"/>
    <n v="0"/>
    <n v="0"/>
    <s v="East"/>
    <x v="0"/>
    <x v="0"/>
    <x v="1"/>
    <x v="0"/>
    <x v="0"/>
    <x v="0"/>
    <s v="Y"/>
    <x v="0"/>
    <s v="Y"/>
    <s v="3A"/>
    <m/>
    <n v="0"/>
    <n v="0"/>
    <n v="6"/>
    <n v="0"/>
    <n v="0"/>
    <n v="0"/>
    <n v="0"/>
    <n v="0"/>
    <n v="0"/>
    <n v="0"/>
    <n v="0"/>
    <n v="0"/>
    <n v="0"/>
    <n v="0"/>
    <n v="0"/>
    <n v="0"/>
    <n v="0"/>
    <n v="0"/>
    <n v="0"/>
    <n v="0"/>
    <n v="0"/>
    <n v="6"/>
    <n v="6"/>
  </r>
  <r>
    <n v="2796"/>
    <x v="2"/>
    <s v="2015/5308"/>
    <s v="Lookers Volkswagen"/>
    <s v="Dovercourt, 98 York Road"/>
    <s v="BLOCK B -  LEVEL 3 (INTERMEDIATE)"/>
    <n v="526651"/>
    <n v="175984"/>
    <x v="1"/>
    <d v="2016-07-01T00:00:00"/>
    <m/>
    <n v="0"/>
    <n v="5"/>
    <n v="5"/>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1.7999999225139601E-2"/>
    <d v="2016-07-01T00:00:00"/>
    <x v="0"/>
    <m/>
    <x v="1"/>
    <s v="HASO"/>
    <s v="10.3"/>
    <m/>
    <n v="5"/>
    <m/>
    <n v="2"/>
    <m/>
    <n v="0"/>
    <n v="1"/>
    <n v="4"/>
    <n v="0"/>
    <n v="0"/>
    <n v="0"/>
    <n v="0"/>
    <n v="0"/>
    <n v="1"/>
    <n v="4"/>
    <n v="0"/>
    <n v="0"/>
    <n v="0"/>
    <n v="0"/>
    <n v="0"/>
    <n v="0"/>
    <n v="0"/>
    <n v="0"/>
    <n v="0"/>
    <n v="0"/>
    <n v="0"/>
    <n v="0"/>
    <n v="0"/>
    <n v="0"/>
    <n v="0"/>
    <n v="0"/>
    <n v="0"/>
    <n v="0"/>
    <s v="East"/>
    <x v="0"/>
    <x v="0"/>
    <x v="1"/>
    <x v="0"/>
    <x v="0"/>
    <x v="0"/>
    <s v="Y"/>
    <x v="0"/>
    <s v="Y"/>
    <s v="3A"/>
    <m/>
    <n v="0"/>
    <n v="0"/>
    <n v="5"/>
    <n v="0"/>
    <n v="0"/>
    <n v="0"/>
    <n v="0"/>
    <n v="0"/>
    <n v="0"/>
    <n v="0"/>
    <n v="0"/>
    <n v="0"/>
    <n v="0"/>
    <n v="0"/>
    <n v="0"/>
    <n v="0"/>
    <n v="0"/>
    <n v="0"/>
    <n v="0"/>
    <n v="0"/>
    <n v="0"/>
    <n v="5"/>
    <n v="5"/>
  </r>
  <r>
    <n v="2796"/>
    <x v="2"/>
    <s v="2015/5308"/>
    <s v="Lookers Volkswagen"/>
    <s v="Dovercourt, 98 York Road"/>
    <s v="BLOCK B -  LEVEL 4 (INTERMEDIATE)"/>
    <n v="526651"/>
    <n v="175984"/>
    <x v="1"/>
    <d v="2016-07-01T00:00:00"/>
    <m/>
    <n v="0"/>
    <n v="4"/>
    <n v="4"/>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1.4000000432133701E-2"/>
    <d v="2016-07-01T00:00:00"/>
    <x v="0"/>
    <m/>
    <x v="1"/>
    <s v="HASO"/>
    <s v="10.3"/>
    <m/>
    <n v="4"/>
    <m/>
    <n v="1"/>
    <m/>
    <n v="0"/>
    <n v="0"/>
    <n v="4"/>
    <n v="0"/>
    <n v="0"/>
    <n v="0"/>
    <n v="0"/>
    <n v="0"/>
    <n v="0"/>
    <n v="4"/>
    <n v="0"/>
    <n v="0"/>
    <n v="0"/>
    <n v="0"/>
    <n v="0"/>
    <n v="0"/>
    <n v="0"/>
    <n v="0"/>
    <n v="0"/>
    <n v="0"/>
    <n v="0"/>
    <n v="0"/>
    <n v="0"/>
    <n v="0"/>
    <n v="0"/>
    <n v="0"/>
    <n v="0"/>
    <n v="0"/>
    <s v="East"/>
    <x v="0"/>
    <x v="0"/>
    <x v="1"/>
    <x v="0"/>
    <x v="0"/>
    <x v="0"/>
    <s v="Y"/>
    <x v="0"/>
    <s v="Y"/>
    <s v="3A"/>
    <m/>
    <n v="0"/>
    <n v="0"/>
    <n v="4"/>
    <n v="0"/>
    <n v="0"/>
    <n v="0"/>
    <n v="0"/>
    <n v="0"/>
    <n v="0"/>
    <n v="0"/>
    <n v="0"/>
    <n v="0"/>
    <n v="0"/>
    <n v="0"/>
    <n v="0"/>
    <n v="0"/>
    <n v="0"/>
    <n v="0"/>
    <n v="0"/>
    <n v="0"/>
    <n v="0"/>
    <n v="4"/>
    <n v="4"/>
  </r>
  <r>
    <n v="2796"/>
    <x v="2"/>
    <s v="2015/5308"/>
    <s v="Lookers Volkswagen"/>
    <s v="Dovercourt, 98 York Road"/>
    <s v="BLOCK B -  LEVEL 5 (INTERMEDIATE)"/>
    <n v="526651"/>
    <n v="175984"/>
    <x v="1"/>
    <d v="2016-07-01T00:00:00"/>
    <m/>
    <n v="0"/>
    <n v="4"/>
    <n v="4"/>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1.4000000432133701E-2"/>
    <d v="2016-07-01T00:00:00"/>
    <x v="0"/>
    <m/>
    <x v="1"/>
    <s v="HASO"/>
    <s v="10.3"/>
    <m/>
    <n v="4"/>
    <m/>
    <n v="1"/>
    <m/>
    <n v="0"/>
    <n v="0"/>
    <n v="4"/>
    <n v="0"/>
    <n v="0"/>
    <n v="0"/>
    <n v="0"/>
    <n v="0"/>
    <n v="0"/>
    <n v="4"/>
    <n v="0"/>
    <n v="0"/>
    <n v="0"/>
    <n v="0"/>
    <n v="0"/>
    <n v="0"/>
    <n v="0"/>
    <n v="0"/>
    <n v="0"/>
    <n v="0"/>
    <n v="0"/>
    <n v="0"/>
    <n v="0"/>
    <n v="0"/>
    <n v="0"/>
    <n v="0"/>
    <n v="0"/>
    <n v="0"/>
    <s v="East"/>
    <x v="0"/>
    <x v="0"/>
    <x v="1"/>
    <x v="0"/>
    <x v="0"/>
    <x v="0"/>
    <s v="Y"/>
    <x v="0"/>
    <s v="Y"/>
    <s v="3A"/>
    <m/>
    <n v="0"/>
    <n v="0"/>
    <n v="4"/>
    <n v="0"/>
    <n v="0"/>
    <n v="0"/>
    <n v="0"/>
    <n v="0"/>
    <n v="0"/>
    <n v="0"/>
    <n v="0"/>
    <n v="0"/>
    <n v="0"/>
    <n v="0"/>
    <n v="0"/>
    <n v="0"/>
    <n v="0"/>
    <n v="0"/>
    <n v="0"/>
    <n v="0"/>
    <n v="0"/>
    <n v="4"/>
    <n v="4"/>
  </r>
  <r>
    <n v="2796"/>
    <x v="2"/>
    <s v="2015/5308"/>
    <s v="Lookers Volkswagen"/>
    <s v="Dovercourt, 98 York Road"/>
    <s v="BLOCK B -  LEVEL 6 (PRIVATE)"/>
    <n v="526651"/>
    <n v="175984"/>
    <x v="1"/>
    <d v="2016-07-01T00:00:00"/>
    <m/>
    <n v="0"/>
    <n v="4"/>
    <n v="4"/>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1.4000000432133701E-2"/>
    <d v="2016-07-01T00:00:00"/>
    <x v="0"/>
    <m/>
    <x v="0"/>
    <s v="P"/>
    <s v="10.3"/>
    <m/>
    <n v="4"/>
    <m/>
    <n v="0"/>
    <m/>
    <n v="0"/>
    <n v="0"/>
    <n v="4"/>
    <n v="0"/>
    <n v="0"/>
    <n v="0"/>
    <n v="0"/>
    <n v="0"/>
    <n v="0"/>
    <n v="4"/>
    <n v="0"/>
    <n v="0"/>
    <n v="0"/>
    <n v="0"/>
    <n v="0"/>
    <n v="0"/>
    <n v="0"/>
    <n v="0"/>
    <n v="0"/>
    <n v="0"/>
    <n v="0"/>
    <n v="0"/>
    <n v="0"/>
    <n v="0"/>
    <n v="0"/>
    <n v="0"/>
    <n v="0"/>
    <n v="0"/>
    <s v="East"/>
    <x v="0"/>
    <x v="0"/>
    <x v="1"/>
    <x v="0"/>
    <x v="0"/>
    <x v="0"/>
    <s v="Y"/>
    <x v="0"/>
    <s v="Y"/>
    <s v="3A"/>
    <m/>
    <n v="0"/>
    <n v="0"/>
    <n v="4"/>
    <n v="0"/>
    <n v="0"/>
    <n v="0"/>
    <n v="0"/>
    <n v="0"/>
    <n v="0"/>
    <n v="0"/>
    <n v="0"/>
    <n v="0"/>
    <n v="0"/>
    <n v="0"/>
    <n v="0"/>
    <n v="0"/>
    <n v="0"/>
    <n v="0"/>
    <n v="0"/>
    <n v="0"/>
    <n v="0"/>
    <n v="4"/>
    <n v="4"/>
  </r>
  <r>
    <n v="2796"/>
    <x v="2"/>
    <s v="2015/5308"/>
    <s v="Lookers Volkswagen"/>
    <s v="Dovercourt, 98 York Road"/>
    <s v="BLOCK B -  LEVEL 7 (PRIVATE)"/>
    <n v="526651"/>
    <n v="175984"/>
    <x v="1"/>
    <d v="2016-07-01T00:00:00"/>
    <m/>
    <n v="0"/>
    <n v="3"/>
    <n v="3"/>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1.09999999403954E-2"/>
    <d v="2016-07-01T00:00:00"/>
    <x v="0"/>
    <m/>
    <x v="0"/>
    <s v="P"/>
    <s v="10.3"/>
    <m/>
    <n v="3"/>
    <m/>
    <n v="0"/>
    <m/>
    <n v="0"/>
    <n v="0"/>
    <n v="3"/>
    <n v="0"/>
    <n v="0"/>
    <n v="0"/>
    <n v="0"/>
    <n v="0"/>
    <n v="0"/>
    <n v="3"/>
    <n v="0"/>
    <n v="0"/>
    <n v="0"/>
    <n v="0"/>
    <n v="0"/>
    <n v="0"/>
    <n v="0"/>
    <n v="0"/>
    <n v="0"/>
    <n v="0"/>
    <n v="0"/>
    <n v="0"/>
    <n v="0"/>
    <n v="0"/>
    <n v="0"/>
    <n v="0"/>
    <n v="0"/>
    <n v="0"/>
    <s v="East"/>
    <x v="0"/>
    <x v="0"/>
    <x v="1"/>
    <x v="0"/>
    <x v="0"/>
    <x v="0"/>
    <s v="Y"/>
    <x v="0"/>
    <s v="Y"/>
    <s v="3A"/>
    <m/>
    <n v="0"/>
    <n v="0"/>
    <n v="3"/>
    <n v="0"/>
    <n v="0"/>
    <n v="0"/>
    <n v="0"/>
    <n v="0"/>
    <n v="0"/>
    <n v="0"/>
    <n v="0"/>
    <n v="0"/>
    <n v="0"/>
    <n v="0"/>
    <n v="0"/>
    <n v="0"/>
    <n v="0"/>
    <n v="0"/>
    <n v="0"/>
    <n v="0"/>
    <n v="0"/>
    <n v="3"/>
    <n v="3"/>
  </r>
  <r>
    <n v="2796"/>
    <x v="2"/>
    <s v="2015/5308"/>
    <s v="Lookers Volkswagen"/>
    <s v="Dovercourt, 98 York Road"/>
    <s v="BLOCK C -  LEVEL 10  (PRIVATE)"/>
    <n v="526651"/>
    <n v="175984"/>
    <x v="1"/>
    <d v="2016-07-01T00:00:00"/>
    <m/>
    <n v="0"/>
    <n v="5"/>
    <n v="5"/>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8.0000003799796104E-3"/>
    <d v="2016-07-01T00:00:00"/>
    <x v="0"/>
    <m/>
    <x v="0"/>
    <s v="P"/>
    <s v="10.3"/>
    <m/>
    <n v="5"/>
    <m/>
    <n v="0"/>
    <m/>
    <n v="0"/>
    <n v="0"/>
    <n v="5"/>
    <n v="0"/>
    <n v="0"/>
    <n v="0"/>
    <n v="0"/>
    <n v="0"/>
    <n v="0"/>
    <n v="5"/>
    <n v="0"/>
    <n v="0"/>
    <n v="0"/>
    <n v="0"/>
    <n v="0"/>
    <n v="0"/>
    <n v="0"/>
    <n v="0"/>
    <n v="0"/>
    <n v="0"/>
    <n v="0"/>
    <n v="0"/>
    <n v="0"/>
    <n v="0"/>
    <n v="0"/>
    <n v="0"/>
    <n v="0"/>
    <n v="0"/>
    <s v="East"/>
    <x v="0"/>
    <x v="0"/>
    <x v="1"/>
    <x v="0"/>
    <x v="0"/>
    <x v="0"/>
    <s v="Y"/>
    <x v="0"/>
    <s v="Y"/>
    <s v="3A"/>
    <m/>
    <n v="0"/>
    <n v="0"/>
    <n v="5"/>
    <n v="0"/>
    <n v="0"/>
    <n v="0"/>
    <n v="0"/>
    <n v="0"/>
    <n v="0"/>
    <n v="0"/>
    <n v="0"/>
    <n v="0"/>
    <n v="0"/>
    <n v="0"/>
    <n v="0"/>
    <n v="0"/>
    <n v="0"/>
    <n v="0"/>
    <n v="0"/>
    <n v="0"/>
    <n v="0"/>
    <n v="5"/>
    <n v="5"/>
  </r>
  <r>
    <n v="2796"/>
    <x v="2"/>
    <s v="2015/5308"/>
    <s v="Lookers Volkswagen"/>
    <s v="Dovercourt, 98 York Road"/>
    <s v="BLOCK C -  LEVEL 11 (PRIVATE)"/>
    <n v="526651"/>
    <n v="175984"/>
    <x v="1"/>
    <d v="2016-07-01T00:00:00"/>
    <m/>
    <n v="0"/>
    <n v="5"/>
    <n v="5"/>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8.0000003799796104E-3"/>
    <d v="2016-07-01T00:00:00"/>
    <x v="0"/>
    <m/>
    <x v="0"/>
    <s v="P"/>
    <s v="10.3"/>
    <m/>
    <n v="5"/>
    <m/>
    <n v="0"/>
    <m/>
    <n v="0"/>
    <n v="0"/>
    <n v="5"/>
    <n v="0"/>
    <n v="0"/>
    <n v="0"/>
    <n v="0"/>
    <n v="0"/>
    <n v="0"/>
    <n v="5"/>
    <n v="0"/>
    <n v="0"/>
    <n v="0"/>
    <n v="0"/>
    <n v="0"/>
    <n v="0"/>
    <n v="0"/>
    <n v="0"/>
    <n v="0"/>
    <n v="0"/>
    <n v="0"/>
    <n v="0"/>
    <n v="0"/>
    <n v="0"/>
    <n v="0"/>
    <n v="0"/>
    <n v="0"/>
    <n v="0"/>
    <s v="East"/>
    <x v="0"/>
    <x v="0"/>
    <x v="1"/>
    <x v="0"/>
    <x v="0"/>
    <x v="0"/>
    <s v="Y"/>
    <x v="0"/>
    <s v="Y"/>
    <s v="3A"/>
    <m/>
    <n v="0"/>
    <n v="0"/>
    <n v="5"/>
    <n v="0"/>
    <n v="0"/>
    <n v="0"/>
    <n v="0"/>
    <n v="0"/>
    <n v="0"/>
    <n v="0"/>
    <n v="0"/>
    <n v="0"/>
    <n v="0"/>
    <n v="0"/>
    <n v="0"/>
    <n v="0"/>
    <n v="0"/>
    <n v="0"/>
    <n v="0"/>
    <n v="0"/>
    <n v="0"/>
    <n v="5"/>
    <n v="5"/>
  </r>
  <r>
    <n v="2796"/>
    <x v="2"/>
    <s v="2015/5308"/>
    <s v="Lookers Volkswagen"/>
    <s v="Dovercourt, 98 York Road"/>
    <s v="BLOCK C -  LEVEL 12 (PRIVATE)"/>
    <n v="526651"/>
    <n v="175984"/>
    <x v="1"/>
    <d v="2016-07-01T00:00:00"/>
    <m/>
    <n v="0"/>
    <n v="5"/>
    <n v="5"/>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8.0000003799796104E-3"/>
    <d v="2016-07-01T00:00:00"/>
    <x v="0"/>
    <m/>
    <x v="0"/>
    <s v="P"/>
    <s v="10.3"/>
    <m/>
    <n v="5"/>
    <m/>
    <n v="0"/>
    <m/>
    <n v="0"/>
    <n v="0"/>
    <n v="5"/>
    <n v="0"/>
    <n v="0"/>
    <n v="0"/>
    <n v="0"/>
    <n v="0"/>
    <n v="0"/>
    <n v="5"/>
    <n v="0"/>
    <n v="0"/>
    <n v="0"/>
    <n v="0"/>
    <n v="0"/>
    <n v="0"/>
    <n v="0"/>
    <n v="0"/>
    <n v="0"/>
    <n v="0"/>
    <n v="0"/>
    <n v="0"/>
    <n v="0"/>
    <n v="0"/>
    <n v="0"/>
    <n v="0"/>
    <n v="0"/>
    <n v="0"/>
    <s v="East"/>
    <x v="0"/>
    <x v="0"/>
    <x v="1"/>
    <x v="0"/>
    <x v="0"/>
    <x v="0"/>
    <s v="Y"/>
    <x v="0"/>
    <s v="Y"/>
    <s v="3A"/>
    <m/>
    <n v="0"/>
    <n v="0"/>
    <n v="5"/>
    <n v="0"/>
    <n v="0"/>
    <n v="0"/>
    <n v="0"/>
    <n v="0"/>
    <n v="0"/>
    <n v="0"/>
    <n v="0"/>
    <n v="0"/>
    <n v="0"/>
    <n v="0"/>
    <n v="0"/>
    <n v="0"/>
    <n v="0"/>
    <n v="0"/>
    <n v="0"/>
    <n v="0"/>
    <n v="0"/>
    <n v="5"/>
    <n v="5"/>
  </r>
  <r>
    <n v="2796"/>
    <x v="2"/>
    <s v="2015/5308"/>
    <s v="Lookers Volkswagen"/>
    <s v="Dovercourt, 98 York Road"/>
    <s v="BLOCK C -  LEVEL 13 (PRIVATE)"/>
    <n v="526651"/>
    <n v="175984"/>
    <x v="1"/>
    <d v="2016-07-01T00:00:00"/>
    <m/>
    <n v="0"/>
    <n v="5"/>
    <n v="5"/>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8.0000003799796104E-3"/>
    <d v="2016-07-01T00:00:00"/>
    <x v="0"/>
    <m/>
    <x v="0"/>
    <s v="P"/>
    <s v="10.3"/>
    <m/>
    <n v="5"/>
    <m/>
    <n v="0"/>
    <m/>
    <n v="0"/>
    <n v="0"/>
    <n v="5"/>
    <n v="0"/>
    <n v="0"/>
    <n v="0"/>
    <n v="0"/>
    <n v="0"/>
    <n v="0"/>
    <n v="5"/>
    <n v="0"/>
    <n v="0"/>
    <n v="0"/>
    <n v="0"/>
    <n v="0"/>
    <n v="0"/>
    <n v="0"/>
    <n v="0"/>
    <n v="0"/>
    <n v="0"/>
    <n v="0"/>
    <n v="0"/>
    <n v="0"/>
    <n v="0"/>
    <n v="0"/>
    <n v="0"/>
    <n v="0"/>
    <n v="0"/>
    <s v="East"/>
    <x v="0"/>
    <x v="0"/>
    <x v="1"/>
    <x v="0"/>
    <x v="0"/>
    <x v="0"/>
    <s v="Y"/>
    <x v="0"/>
    <s v="Y"/>
    <s v="3A"/>
    <m/>
    <n v="0"/>
    <n v="0"/>
    <n v="5"/>
    <n v="0"/>
    <n v="0"/>
    <n v="0"/>
    <n v="0"/>
    <n v="0"/>
    <n v="0"/>
    <n v="0"/>
    <n v="0"/>
    <n v="0"/>
    <n v="0"/>
    <n v="0"/>
    <n v="0"/>
    <n v="0"/>
    <n v="0"/>
    <n v="0"/>
    <n v="0"/>
    <n v="0"/>
    <n v="0"/>
    <n v="5"/>
    <n v="5"/>
  </r>
  <r>
    <n v="2796"/>
    <x v="2"/>
    <s v="2015/5308"/>
    <s v="Lookers Volkswagen"/>
    <s v="Dovercourt, 98 York Road"/>
    <s v="BLOCK C -  LEVEL 14 (PRIVATE)"/>
    <n v="526651"/>
    <n v="175984"/>
    <x v="1"/>
    <d v="2016-07-01T00:00:00"/>
    <m/>
    <n v="0"/>
    <n v="5"/>
    <n v="5"/>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8.0000003799796104E-3"/>
    <d v="2016-07-01T00:00:00"/>
    <x v="0"/>
    <m/>
    <x v="0"/>
    <s v="P"/>
    <s v="10.3"/>
    <m/>
    <n v="5"/>
    <m/>
    <n v="0"/>
    <m/>
    <n v="0"/>
    <n v="0"/>
    <n v="5"/>
    <n v="0"/>
    <n v="0"/>
    <n v="0"/>
    <n v="0"/>
    <n v="0"/>
    <n v="0"/>
    <n v="5"/>
    <n v="0"/>
    <n v="0"/>
    <n v="0"/>
    <n v="0"/>
    <n v="0"/>
    <n v="0"/>
    <n v="0"/>
    <n v="0"/>
    <n v="0"/>
    <n v="0"/>
    <n v="0"/>
    <n v="0"/>
    <n v="0"/>
    <n v="0"/>
    <n v="0"/>
    <n v="0"/>
    <n v="0"/>
    <n v="0"/>
    <s v="East"/>
    <x v="0"/>
    <x v="0"/>
    <x v="1"/>
    <x v="0"/>
    <x v="0"/>
    <x v="0"/>
    <s v="Y"/>
    <x v="0"/>
    <s v="Y"/>
    <s v="3A"/>
    <m/>
    <n v="0"/>
    <n v="0"/>
    <n v="5"/>
    <n v="0"/>
    <n v="0"/>
    <n v="0"/>
    <n v="0"/>
    <n v="0"/>
    <n v="0"/>
    <n v="0"/>
    <n v="0"/>
    <n v="0"/>
    <n v="0"/>
    <n v="0"/>
    <n v="0"/>
    <n v="0"/>
    <n v="0"/>
    <n v="0"/>
    <n v="0"/>
    <n v="0"/>
    <n v="0"/>
    <n v="5"/>
    <n v="5"/>
  </r>
  <r>
    <n v="2796"/>
    <x v="2"/>
    <s v="2015/5308"/>
    <s v="Lookers Volkswagen"/>
    <s v="Dovercourt, 98 York Road"/>
    <s v="BLOCK C -  LEVEL 15 (PRIVATE)"/>
    <n v="526651"/>
    <n v="175984"/>
    <x v="1"/>
    <d v="2016-07-01T00:00:00"/>
    <m/>
    <n v="0"/>
    <n v="5"/>
    <n v="5"/>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8.0000003799796104E-3"/>
    <d v="2016-07-01T00:00:00"/>
    <x v="0"/>
    <m/>
    <x v="0"/>
    <s v="P"/>
    <s v="10.3"/>
    <m/>
    <n v="5"/>
    <m/>
    <n v="0"/>
    <m/>
    <n v="0"/>
    <n v="0"/>
    <n v="5"/>
    <n v="0"/>
    <n v="0"/>
    <n v="0"/>
    <n v="0"/>
    <n v="0"/>
    <n v="0"/>
    <n v="5"/>
    <n v="0"/>
    <n v="0"/>
    <n v="0"/>
    <n v="0"/>
    <n v="0"/>
    <n v="0"/>
    <n v="0"/>
    <n v="0"/>
    <n v="0"/>
    <n v="0"/>
    <n v="0"/>
    <n v="0"/>
    <n v="0"/>
    <n v="0"/>
    <n v="0"/>
    <n v="0"/>
    <n v="0"/>
    <n v="0"/>
    <s v="East"/>
    <x v="0"/>
    <x v="0"/>
    <x v="1"/>
    <x v="0"/>
    <x v="0"/>
    <x v="0"/>
    <s v="Y"/>
    <x v="0"/>
    <s v="Y"/>
    <s v="3A"/>
    <m/>
    <n v="0"/>
    <n v="0"/>
    <n v="5"/>
    <n v="0"/>
    <n v="0"/>
    <n v="0"/>
    <n v="0"/>
    <n v="0"/>
    <n v="0"/>
    <n v="0"/>
    <n v="0"/>
    <n v="0"/>
    <n v="0"/>
    <n v="0"/>
    <n v="0"/>
    <n v="0"/>
    <n v="0"/>
    <n v="0"/>
    <n v="0"/>
    <n v="0"/>
    <n v="0"/>
    <n v="5"/>
    <n v="5"/>
  </r>
  <r>
    <n v="2796"/>
    <x v="2"/>
    <s v="2015/5308"/>
    <s v="Lookers Volkswagen"/>
    <s v="Dovercourt, 98 York Road"/>
    <s v="BLOCK C -  LEVEL 16 (PRIVATE)"/>
    <n v="526651"/>
    <n v="175984"/>
    <x v="1"/>
    <d v="2016-07-01T00:00:00"/>
    <m/>
    <n v="0"/>
    <n v="4"/>
    <n v="4"/>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6.0000000521540598E-3"/>
    <d v="2016-07-01T00:00:00"/>
    <x v="0"/>
    <m/>
    <x v="0"/>
    <s v="P"/>
    <s v="10.3"/>
    <m/>
    <n v="4"/>
    <m/>
    <n v="0"/>
    <m/>
    <n v="0"/>
    <n v="0"/>
    <n v="4"/>
    <n v="0"/>
    <n v="0"/>
    <n v="0"/>
    <n v="0"/>
    <n v="0"/>
    <n v="0"/>
    <n v="4"/>
    <n v="0"/>
    <n v="0"/>
    <n v="0"/>
    <n v="0"/>
    <n v="0"/>
    <n v="0"/>
    <n v="0"/>
    <n v="0"/>
    <n v="0"/>
    <n v="0"/>
    <n v="0"/>
    <n v="0"/>
    <n v="0"/>
    <n v="0"/>
    <n v="0"/>
    <n v="0"/>
    <n v="0"/>
    <n v="0"/>
    <s v="East"/>
    <x v="0"/>
    <x v="0"/>
    <x v="1"/>
    <x v="0"/>
    <x v="0"/>
    <x v="0"/>
    <s v="Y"/>
    <x v="0"/>
    <s v="Y"/>
    <s v="3A"/>
    <m/>
    <n v="0"/>
    <n v="0"/>
    <n v="4"/>
    <n v="0"/>
    <n v="0"/>
    <n v="0"/>
    <n v="0"/>
    <n v="0"/>
    <n v="0"/>
    <n v="0"/>
    <n v="0"/>
    <n v="0"/>
    <n v="0"/>
    <n v="0"/>
    <n v="0"/>
    <n v="0"/>
    <n v="0"/>
    <n v="0"/>
    <n v="0"/>
    <n v="0"/>
    <n v="0"/>
    <n v="4"/>
    <n v="4"/>
  </r>
  <r>
    <n v="2796"/>
    <x v="2"/>
    <s v="2015/5308"/>
    <s v="Lookers Volkswagen"/>
    <s v="Dovercourt, 98 York Road"/>
    <s v="BLOCK C -  LEVEL 3 (PRIVATE)"/>
    <n v="526651"/>
    <n v="175984"/>
    <x v="1"/>
    <d v="2016-07-01T00:00:00"/>
    <m/>
    <n v="0"/>
    <n v="5"/>
    <n v="5"/>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8.9999996125698107E-3"/>
    <d v="2016-07-01T00:00:00"/>
    <x v="0"/>
    <m/>
    <x v="0"/>
    <s v="P"/>
    <s v="10.3"/>
    <m/>
    <n v="5"/>
    <m/>
    <n v="1"/>
    <m/>
    <n v="0"/>
    <n v="1"/>
    <n v="4"/>
    <n v="0"/>
    <n v="0"/>
    <n v="0"/>
    <n v="0"/>
    <n v="0"/>
    <n v="1"/>
    <n v="4"/>
    <n v="0"/>
    <n v="0"/>
    <n v="0"/>
    <n v="0"/>
    <n v="0"/>
    <n v="0"/>
    <n v="0"/>
    <n v="0"/>
    <n v="0"/>
    <n v="0"/>
    <n v="0"/>
    <n v="0"/>
    <n v="0"/>
    <n v="0"/>
    <n v="0"/>
    <n v="0"/>
    <n v="0"/>
    <n v="0"/>
    <s v="East"/>
    <x v="0"/>
    <x v="0"/>
    <x v="1"/>
    <x v="0"/>
    <x v="0"/>
    <x v="0"/>
    <s v="Y"/>
    <x v="0"/>
    <s v="Y"/>
    <s v="3A"/>
    <m/>
    <n v="0"/>
    <n v="0"/>
    <n v="5"/>
    <n v="0"/>
    <n v="0"/>
    <n v="0"/>
    <n v="0"/>
    <n v="0"/>
    <n v="0"/>
    <n v="0"/>
    <n v="0"/>
    <n v="0"/>
    <n v="0"/>
    <n v="0"/>
    <n v="0"/>
    <n v="0"/>
    <n v="0"/>
    <n v="0"/>
    <n v="0"/>
    <n v="0"/>
    <n v="0"/>
    <n v="5"/>
    <n v="5"/>
  </r>
  <r>
    <n v="2796"/>
    <x v="2"/>
    <s v="2015/5308"/>
    <s v="Lookers Volkswagen"/>
    <s v="Dovercourt, 98 York Road"/>
    <s v="BLOCK C -  LEVEL 4 (PRIVATE)"/>
    <n v="526651"/>
    <n v="175984"/>
    <x v="1"/>
    <d v="2016-07-01T00:00:00"/>
    <m/>
    <n v="0"/>
    <n v="5"/>
    <n v="5"/>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8.9999996125698107E-3"/>
    <d v="2016-07-01T00:00:00"/>
    <x v="0"/>
    <m/>
    <x v="0"/>
    <s v="P"/>
    <s v="10.3"/>
    <m/>
    <n v="5"/>
    <m/>
    <n v="1"/>
    <m/>
    <n v="0"/>
    <n v="0"/>
    <n v="5"/>
    <n v="0"/>
    <n v="0"/>
    <n v="0"/>
    <n v="0"/>
    <n v="0"/>
    <n v="0"/>
    <n v="5"/>
    <n v="0"/>
    <n v="0"/>
    <n v="0"/>
    <n v="0"/>
    <n v="0"/>
    <n v="0"/>
    <n v="0"/>
    <n v="0"/>
    <n v="0"/>
    <n v="0"/>
    <n v="0"/>
    <n v="0"/>
    <n v="0"/>
    <n v="0"/>
    <n v="0"/>
    <n v="0"/>
    <n v="0"/>
    <n v="0"/>
    <s v="East"/>
    <x v="0"/>
    <x v="0"/>
    <x v="1"/>
    <x v="0"/>
    <x v="0"/>
    <x v="0"/>
    <s v="Y"/>
    <x v="0"/>
    <s v="Y"/>
    <s v="3A"/>
    <m/>
    <n v="0"/>
    <n v="0"/>
    <n v="5"/>
    <n v="0"/>
    <n v="0"/>
    <n v="0"/>
    <n v="0"/>
    <n v="0"/>
    <n v="0"/>
    <n v="0"/>
    <n v="0"/>
    <n v="0"/>
    <n v="0"/>
    <n v="0"/>
    <n v="0"/>
    <n v="0"/>
    <n v="0"/>
    <n v="0"/>
    <n v="0"/>
    <n v="0"/>
    <n v="0"/>
    <n v="5"/>
    <n v="5"/>
  </r>
  <r>
    <n v="2796"/>
    <x v="2"/>
    <s v="2015/5308"/>
    <s v="Lookers Volkswagen"/>
    <s v="Dovercourt, 98 York Road"/>
    <s v="BLOCK C -  LEVEL 5 (PRIVATE)"/>
    <n v="526651"/>
    <n v="175984"/>
    <x v="1"/>
    <d v="2016-07-01T00:00:00"/>
    <m/>
    <n v="0"/>
    <n v="5"/>
    <n v="5"/>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8.9999996125698107E-3"/>
    <d v="2016-07-01T00:00:00"/>
    <x v="0"/>
    <m/>
    <x v="0"/>
    <s v="P"/>
    <s v="10.3"/>
    <m/>
    <n v="5"/>
    <m/>
    <n v="1"/>
    <m/>
    <n v="0"/>
    <n v="0"/>
    <n v="5"/>
    <n v="0"/>
    <n v="0"/>
    <n v="0"/>
    <n v="0"/>
    <n v="0"/>
    <n v="0"/>
    <n v="5"/>
    <n v="0"/>
    <n v="0"/>
    <n v="0"/>
    <n v="0"/>
    <n v="0"/>
    <n v="0"/>
    <n v="0"/>
    <n v="0"/>
    <n v="0"/>
    <n v="0"/>
    <n v="0"/>
    <n v="0"/>
    <n v="0"/>
    <n v="0"/>
    <n v="0"/>
    <n v="0"/>
    <n v="0"/>
    <n v="0"/>
    <s v="East"/>
    <x v="0"/>
    <x v="0"/>
    <x v="1"/>
    <x v="0"/>
    <x v="0"/>
    <x v="0"/>
    <s v="Y"/>
    <x v="0"/>
    <s v="Y"/>
    <s v="3A"/>
    <m/>
    <n v="0"/>
    <n v="0"/>
    <n v="5"/>
    <n v="0"/>
    <n v="0"/>
    <n v="0"/>
    <n v="0"/>
    <n v="0"/>
    <n v="0"/>
    <n v="0"/>
    <n v="0"/>
    <n v="0"/>
    <n v="0"/>
    <n v="0"/>
    <n v="0"/>
    <n v="0"/>
    <n v="0"/>
    <n v="0"/>
    <n v="0"/>
    <n v="0"/>
    <n v="0"/>
    <n v="5"/>
    <n v="5"/>
  </r>
  <r>
    <n v="2796"/>
    <x v="2"/>
    <s v="2015/5308"/>
    <s v="Lookers Volkswagen"/>
    <s v="Dovercourt, 98 York Road"/>
    <s v="BLOCK C -  LEVEL 6 (PRIVATE)"/>
    <n v="526651"/>
    <n v="175984"/>
    <x v="1"/>
    <d v="2016-07-01T00:00:00"/>
    <m/>
    <n v="0"/>
    <n v="5"/>
    <n v="5"/>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8.9999996125698107E-3"/>
    <d v="2016-07-01T00:00:00"/>
    <x v="0"/>
    <m/>
    <x v="0"/>
    <s v="P"/>
    <s v="10.3"/>
    <m/>
    <n v="5"/>
    <m/>
    <n v="1"/>
    <m/>
    <n v="0"/>
    <n v="0"/>
    <n v="5"/>
    <n v="0"/>
    <n v="0"/>
    <n v="0"/>
    <n v="0"/>
    <n v="0"/>
    <n v="0"/>
    <n v="5"/>
    <n v="0"/>
    <n v="0"/>
    <n v="0"/>
    <n v="0"/>
    <n v="0"/>
    <n v="0"/>
    <n v="0"/>
    <n v="0"/>
    <n v="0"/>
    <n v="0"/>
    <n v="0"/>
    <n v="0"/>
    <n v="0"/>
    <n v="0"/>
    <n v="0"/>
    <n v="0"/>
    <n v="0"/>
    <n v="0"/>
    <s v="East"/>
    <x v="0"/>
    <x v="0"/>
    <x v="1"/>
    <x v="0"/>
    <x v="0"/>
    <x v="0"/>
    <s v="Y"/>
    <x v="0"/>
    <s v="Y"/>
    <s v="3A"/>
    <m/>
    <n v="0"/>
    <n v="0"/>
    <n v="5"/>
    <n v="0"/>
    <n v="0"/>
    <n v="0"/>
    <n v="0"/>
    <n v="0"/>
    <n v="0"/>
    <n v="0"/>
    <n v="0"/>
    <n v="0"/>
    <n v="0"/>
    <n v="0"/>
    <n v="0"/>
    <n v="0"/>
    <n v="0"/>
    <n v="0"/>
    <n v="0"/>
    <n v="0"/>
    <n v="0"/>
    <n v="5"/>
    <n v="5"/>
  </r>
  <r>
    <n v="2796"/>
    <x v="2"/>
    <s v="2015/5308"/>
    <s v="Lookers Volkswagen"/>
    <s v="Dovercourt, 98 York Road"/>
    <s v="BLOCK C -  LEVEL 7 (PRIVATE)"/>
    <n v="526651"/>
    <n v="175984"/>
    <x v="1"/>
    <d v="2016-07-01T00:00:00"/>
    <m/>
    <n v="0"/>
    <n v="5"/>
    <n v="5"/>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8.9999996125698107E-3"/>
    <d v="2016-07-01T00:00:00"/>
    <x v="0"/>
    <m/>
    <x v="0"/>
    <s v="P"/>
    <s v="10.3"/>
    <m/>
    <n v="5"/>
    <m/>
    <n v="1"/>
    <m/>
    <n v="0"/>
    <n v="0"/>
    <n v="5"/>
    <n v="0"/>
    <n v="0"/>
    <n v="0"/>
    <n v="0"/>
    <n v="0"/>
    <n v="0"/>
    <n v="5"/>
    <n v="0"/>
    <n v="0"/>
    <n v="0"/>
    <n v="0"/>
    <n v="0"/>
    <n v="0"/>
    <n v="0"/>
    <n v="0"/>
    <n v="0"/>
    <n v="0"/>
    <n v="0"/>
    <n v="0"/>
    <n v="0"/>
    <n v="0"/>
    <n v="0"/>
    <n v="0"/>
    <n v="0"/>
    <n v="0"/>
    <s v="East"/>
    <x v="0"/>
    <x v="0"/>
    <x v="1"/>
    <x v="0"/>
    <x v="0"/>
    <x v="0"/>
    <s v="Y"/>
    <x v="0"/>
    <s v="Y"/>
    <s v="3A"/>
    <m/>
    <n v="0"/>
    <n v="0"/>
    <n v="5"/>
    <n v="0"/>
    <n v="0"/>
    <n v="0"/>
    <n v="0"/>
    <n v="0"/>
    <n v="0"/>
    <n v="0"/>
    <n v="0"/>
    <n v="0"/>
    <n v="0"/>
    <n v="0"/>
    <n v="0"/>
    <n v="0"/>
    <n v="0"/>
    <n v="0"/>
    <n v="0"/>
    <n v="0"/>
    <n v="0"/>
    <n v="5"/>
    <n v="5"/>
  </r>
  <r>
    <n v="2796"/>
    <x v="2"/>
    <s v="2015/5308"/>
    <s v="Lookers Volkswagen"/>
    <s v="Dovercourt, 98 York Road"/>
    <s v="BLOCK C -  LEVEL 8 (PRIVATE)"/>
    <n v="526651"/>
    <n v="175984"/>
    <x v="1"/>
    <d v="2016-07-01T00:00:00"/>
    <m/>
    <n v="0"/>
    <n v="5"/>
    <n v="5"/>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8.0000003799796104E-3"/>
    <d v="2016-07-01T00:00:00"/>
    <x v="0"/>
    <m/>
    <x v="0"/>
    <s v="P"/>
    <s v="10.3"/>
    <m/>
    <n v="5"/>
    <m/>
    <n v="1"/>
    <m/>
    <n v="0"/>
    <n v="0"/>
    <n v="5"/>
    <n v="0"/>
    <n v="0"/>
    <n v="0"/>
    <n v="0"/>
    <n v="0"/>
    <n v="0"/>
    <n v="5"/>
    <n v="0"/>
    <n v="0"/>
    <n v="0"/>
    <n v="0"/>
    <n v="0"/>
    <n v="0"/>
    <n v="0"/>
    <n v="0"/>
    <n v="0"/>
    <n v="0"/>
    <n v="0"/>
    <n v="0"/>
    <n v="0"/>
    <n v="0"/>
    <n v="0"/>
    <n v="0"/>
    <n v="0"/>
    <n v="0"/>
    <s v="East"/>
    <x v="0"/>
    <x v="0"/>
    <x v="1"/>
    <x v="0"/>
    <x v="0"/>
    <x v="0"/>
    <s v="Y"/>
    <x v="0"/>
    <s v="Y"/>
    <s v="3A"/>
    <m/>
    <n v="0"/>
    <n v="0"/>
    <n v="5"/>
    <n v="0"/>
    <n v="0"/>
    <n v="0"/>
    <n v="0"/>
    <n v="0"/>
    <n v="0"/>
    <n v="0"/>
    <n v="0"/>
    <n v="0"/>
    <n v="0"/>
    <n v="0"/>
    <n v="0"/>
    <n v="0"/>
    <n v="0"/>
    <n v="0"/>
    <n v="0"/>
    <n v="0"/>
    <n v="0"/>
    <n v="5"/>
    <n v="5"/>
  </r>
  <r>
    <n v="2796"/>
    <x v="2"/>
    <s v="2015/5308"/>
    <s v="Lookers Volkswagen"/>
    <s v="Dovercourt, 98 York Road"/>
    <s v="BLOCK C -  LEVEL 9 (PRIVATE)"/>
    <n v="526651"/>
    <n v="175984"/>
    <x v="1"/>
    <d v="2016-07-01T00:00:00"/>
    <m/>
    <n v="0"/>
    <n v="5"/>
    <n v="5"/>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8.0000003799796104E-3"/>
    <d v="2016-07-01T00:00:00"/>
    <x v="0"/>
    <m/>
    <x v="0"/>
    <s v="P"/>
    <s v="10.3"/>
    <m/>
    <n v="5"/>
    <m/>
    <n v="0"/>
    <m/>
    <n v="0"/>
    <n v="0"/>
    <n v="5"/>
    <n v="0"/>
    <n v="0"/>
    <n v="0"/>
    <n v="0"/>
    <n v="0"/>
    <n v="0"/>
    <n v="5"/>
    <n v="0"/>
    <n v="0"/>
    <n v="0"/>
    <n v="0"/>
    <n v="0"/>
    <n v="0"/>
    <n v="0"/>
    <n v="0"/>
    <n v="0"/>
    <n v="0"/>
    <n v="0"/>
    <n v="0"/>
    <n v="0"/>
    <n v="0"/>
    <n v="0"/>
    <n v="0"/>
    <n v="0"/>
    <n v="0"/>
    <s v="East"/>
    <x v="0"/>
    <x v="0"/>
    <x v="1"/>
    <x v="0"/>
    <x v="0"/>
    <x v="0"/>
    <s v="Y"/>
    <x v="0"/>
    <s v="Y"/>
    <s v="3A"/>
    <m/>
    <n v="0"/>
    <n v="0"/>
    <n v="5"/>
    <n v="0"/>
    <n v="0"/>
    <n v="0"/>
    <n v="0"/>
    <n v="0"/>
    <n v="0"/>
    <n v="0"/>
    <n v="0"/>
    <n v="0"/>
    <n v="0"/>
    <n v="0"/>
    <n v="0"/>
    <n v="0"/>
    <n v="0"/>
    <n v="0"/>
    <n v="0"/>
    <n v="0"/>
    <n v="0"/>
    <n v="5"/>
    <n v="5"/>
  </r>
  <r>
    <n v="2796"/>
    <x v="2"/>
    <s v="2015/5308"/>
    <s v="Lookers Volkswagen"/>
    <s v="Dovercourt, 98 York Road"/>
    <s v="BLOCK D -  LEVEL 3 (INTERMEDIATE)"/>
    <n v="526651"/>
    <n v="175984"/>
    <x v="1"/>
    <d v="2016-07-01T00:00:00"/>
    <m/>
    <n v="0"/>
    <n v="5"/>
    <n v="5"/>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1.60000007599592E-2"/>
    <d v="2016-07-01T00:00:00"/>
    <x v="0"/>
    <m/>
    <x v="1"/>
    <s v="HASO"/>
    <s v="10.3"/>
    <m/>
    <n v="5"/>
    <m/>
    <n v="0"/>
    <m/>
    <n v="0"/>
    <n v="4"/>
    <n v="1"/>
    <n v="0"/>
    <n v="0"/>
    <n v="0"/>
    <n v="0"/>
    <n v="0"/>
    <n v="4"/>
    <n v="1"/>
    <n v="0"/>
    <n v="0"/>
    <n v="0"/>
    <n v="0"/>
    <n v="0"/>
    <n v="0"/>
    <n v="0"/>
    <n v="0"/>
    <n v="0"/>
    <n v="0"/>
    <n v="0"/>
    <n v="0"/>
    <n v="0"/>
    <n v="0"/>
    <n v="0"/>
    <n v="0"/>
    <n v="0"/>
    <n v="0"/>
    <s v="East"/>
    <x v="0"/>
    <x v="0"/>
    <x v="1"/>
    <x v="0"/>
    <x v="0"/>
    <x v="0"/>
    <s v="Y"/>
    <x v="0"/>
    <s v="Y"/>
    <s v="3A"/>
    <m/>
    <n v="0"/>
    <n v="0"/>
    <n v="5"/>
    <n v="0"/>
    <n v="0"/>
    <n v="0"/>
    <n v="0"/>
    <n v="0"/>
    <n v="0"/>
    <n v="0"/>
    <n v="0"/>
    <n v="0"/>
    <n v="0"/>
    <n v="0"/>
    <n v="0"/>
    <n v="0"/>
    <n v="0"/>
    <n v="0"/>
    <n v="0"/>
    <n v="0"/>
    <n v="0"/>
    <n v="5"/>
    <n v="5"/>
  </r>
  <r>
    <n v="2796"/>
    <x v="2"/>
    <s v="2015/5308"/>
    <s v="Lookers Volkswagen"/>
    <s v="Dovercourt, 98 York Road"/>
    <s v="BLOCK D -  LEVEL 4 (INTERMEDIATE)"/>
    <n v="526651"/>
    <n v="175984"/>
    <x v="1"/>
    <d v="2016-07-01T00:00:00"/>
    <m/>
    <n v="0"/>
    <n v="5"/>
    <n v="5"/>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1.60000007599592E-2"/>
    <d v="2016-07-01T00:00:00"/>
    <x v="0"/>
    <m/>
    <x v="1"/>
    <s v="HASO"/>
    <s v="10.3"/>
    <m/>
    <n v="5"/>
    <m/>
    <n v="0"/>
    <m/>
    <n v="0"/>
    <n v="3"/>
    <n v="2"/>
    <n v="0"/>
    <n v="0"/>
    <n v="0"/>
    <n v="0"/>
    <n v="0"/>
    <n v="3"/>
    <n v="2"/>
    <n v="0"/>
    <n v="0"/>
    <n v="0"/>
    <n v="0"/>
    <n v="0"/>
    <n v="0"/>
    <n v="0"/>
    <n v="0"/>
    <n v="0"/>
    <n v="0"/>
    <n v="0"/>
    <n v="0"/>
    <n v="0"/>
    <n v="0"/>
    <n v="0"/>
    <n v="0"/>
    <n v="0"/>
    <n v="0"/>
    <s v="East"/>
    <x v="0"/>
    <x v="0"/>
    <x v="1"/>
    <x v="0"/>
    <x v="0"/>
    <x v="0"/>
    <s v="Y"/>
    <x v="0"/>
    <s v="Y"/>
    <s v="3A"/>
    <m/>
    <n v="0"/>
    <n v="0"/>
    <n v="5"/>
    <n v="0"/>
    <n v="0"/>
    <n v="0"/>
    <n v="0"/>
    <n v="0"/>
    <n v="0"/>
    <n v="0"/>
    <n v="0"/>
    <n v="0"/>
    <n v="0"/>
    <n v="0"/>
    <n v="0"/>
    <n v="0"/>
    <n v="0"/>
    <n v="0"/>
    <n v="0"/>
    <n v="0"/>
    <n v="0"/>
    <n v="5"/>
    <n v="5"/>
  </r>
  <r>
    <n v="2796"/>
    <x v="2"/>
    <s v="2015/5308"/>
    <s v="Lookers Volkswagen"/>
    <s v="Dovercourt, 98 York Road"/>
    <s v="BLOCK D -  LEVEL 5 (INTERMEDIATE)"/>
    <n v="526651"/>
    <n v="175984"/>
    <x v="1"/>
    <d v="2016-07-01T00:00:00"/>
    <m/>
    <n v="0"/>
    <n v="5"/>
    <n v="5"/>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1.60000007599592E-2"/>
    <d v="2016-07-01T00:00:00"/>
    <x v="0"/>
    <m/>
    <x v="1"/>
    <s v="HASO"/>
    <s v="10.3"/>
    <m/>
    <n v="5"/>
    <m/>
    <n v="0"/>
    <m/>
    <n v="0"/>
    <n v="3"/>
    <n v="2"/>
    <n v="0"/>
    <n v="0"/>
    <n v="0"/>
    <n v="0"/>
    <n v="0"/>
    <n v="3"/>
    <n v="2"/>
    <n v="0"/>
    <n v="0"/>
    <n v="0"/>
    <n v="0"/>
    <n v="0"/>
    <n v="0"/>
    <n v="0"/>
    <n v="0"/>
    <n v="0"/>
    <n v="0"/>
    <n v="0"/>
    <n v="0"/>
    <n v="0"/>
    <n v="0"/>
    <n v="0"/>
    <n v="0"/>
    <n v="0"/>
    <n v="0"/>
    <s v="East"/>
    <x v="0"/>
    <x v="0"/>
    <x v="1"/>
    <x v="0"/>
    <x v="0"/>
    <x v="0"/>
    <s v="Y"/>
    <x v="0"/>
    <s v="Y"/>
    <s v="3A"/>
    <m/>
    <n v="0"/>
    <n v="0"/>
    <n v="5"/>
    <n v="0"/>
    <n v="0"/>
    <n v="0"/>
    <n v="0"/>
    <n v="0"/>
    <n v="0"/>
    <n v="0"/>
    <n v="0"/>
    <n v="0"/>
    <n v="0"/>
    <n v="0"/>
    <n v="0"/>
    <n v="0"/>
    <n v="0"/>
    <n v="0"/>
    <n v="0"/>
    <n v="0"/>
    <n v="0"/>
    <n v="5"/>
    <n v="5"/>
  </r>
  <r>
    <n v="2796"/>
    <x v="2"/>
    <s v="2015/5308"/>
    <s v="Lookers Volkswagen"/>
    <s v="Dovercourt, 98 York Road"/>
    <s v="BLOCK D -  LEVEL 6 (INTERMEDIATE)"/>
    <n v="526651"/>
    <n v="175984"/>
    <x v="1"/>
    <d v="2016-07-01T00:00:00"/>
    <m/>
    <n v="0"/>
    <n v="5"/>
    <n v="5"/>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1.60000007599592E-2"/>
    <d v="2016-07-01T00:00:00"/>
    <x v="0"/>
    <m/>
    <x v="1"/>
    <s v="HASO"/>
    <s v="10.3"/>
    <m/>
    <n v="5"/>
    <m/>
    <n v="0"/>
    <m/>
    <n v="0"/>
    <n v="3"/>
    <n v="2"/>
    <n v="0"/>
    <n v="0"/>
    <n v="0"/>
    <n v="0"/>
    <n v="0"/>
    <n v="3"/>
    <n v="2"/>
    <n v="0"/>
    <n v="0"/>
    <n v="0"/>
    <n v="0"/>
    <n v="0"/>
    <n v="0"/>
    <n v="0"/>
    <n v="0"/>
    <n v="0"/>
    <n v="0"/>
    <n v="0"/>
    <n v="0"/>
    <n v="0"/>
    <n v="0"/>
    <n v="0"/>
    <n v="0"/>
    <n v="0"/>
    <n v="0"/>
    <s v="East"/>
    <x v="0"/>
    <x v="0"/>
    <x v="1"/>
    <x v="0"/>
    <x v="0"/>
    <x v="0"/>
    <s v="Y"/>
    <x v="0"/>
    <s v="Y"/>
    <s v="3A"/>
    <m/>
    <n v="0"/>
    <n v="0"/>
    <n v="5"/>
    <n v="0"/>
    <n v="0"/>
    <n v="0"/>
    <n v="0"/>
    <n v="0"/>
    <n v="0"/>
    <n v="0"/>
    <n v="0"/>
    <n v="0"/>
    <n v="0"/>
    <n v="0"/>
    <n v="0"/>
    <n v="0"/>
    <n v="0"/>
    <n v="0"/>
    <n v="0"/>
    <n v="0"/>
    <n v="0"/>
    <n v="5"/>
    <n v="5"/>
  </r>
  <r>
    <n v="2796"/>
    <x v="2"/>
    <s v="2015/5308"/>
    <s v="Lookers Volkswagen"/>
    <s v="Dovercourt, 98 York Road"/>
    <s v="BLOCK D -  LEVEL 7 (INTERMEDIATE)"/>
    <n v="526651"/>
    <n v="175984"/>
    <x v="1"/>
    <d v="2016-07-01T00:00:00"/>
    <m/>
    <n v="0"/>
    <n v="5"/>
    <n v="5"/>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1.60000007599592E-2"/>
    <d v="2016-07-01T00:00:00"/>
    <x v="0"/>
    <m/>
    <x v="1"/>
    <s v="HASO"/>
    <s v="10.3"/>
    <m/>
    <n v="5"/>
    <m/>
    <n v="0"/>
    <m/>
    <n v="0"/>
    <n v="3"/>
    <n v="2"/>
    <n v="0"/>
    <n v="0"/>
    <n v="0"/>
    <n v="0"/>
    <n v="0"/>
    <n v="3"/>
    <n v="2"/>
    <n v="0"/>
    <n v="0"/>
    <n v="0"/>
    <n v="0"/>
    <n v="0"/>
    <n v="0"/>
    <n v="0"/>
    <n v="0"/>
    <n v="0"/>
    <n v="0"/>
    <n v="0"/>
    <n v="0"/>
    <n v="0"/>
    <n v="0"/>
    <n v="0"/>
    <n v="0"/>
    <n v="0"/>
    <n v="0"/>
    <s v="East"/>
    <x v="0"/>
    <x v="0"/>
    <x v="1"/>
    <x v="0"/>
    <x v="0"/>
    <x v="0"/>
    <s v="Y"/>
    <x v="0"/>
    <s v="Y"/>
    <s v="3A"/>
    <m/>
    <n v="0"/>
    <n v="0"/>
    <n v="5"/>
    <n v="0"/>
    <n v="0"/>
    <n v="0"/>
    <n v="0"/>
    <n v="0"/>
    <n v="0"/>
    <n v="0"/>
    <n v="0"/>
    <n v="0"/>
    <n v="0"/>
    <n v="0"/>
    <n v="0"/>
    <n v="0"/>
    <n v="0"/>
    <n v="0"/>
    <n v="0"/>
    <n v="0"/>
    <n v="0"/>
    <n v="5"/>
    <n v="5"/>
  </r>
  <r>
    <n v="2796"/>
    <x v="2"/>
    <s v="2015/5308"/>
    <s v="Lookers Volkswagen"/>
    <s v="Dovercourt, 98 York Road"/>
    <s v="BLOCK D -  LEVEL 8 (INTERMEDIATE)"/>
    <n v="526651"/>
    <n v="175984"/>
    <x v="1"/>
    <d v="2016-07-01T00:00:00"/>
    <m/>
    <n v="0"/>
    <n v="5"/>
    <n v="5"/>
    <n v="173"/>
    <n v="173"/>
    <s v="Y"/>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x v="0"/>
    <x v="1"/>
    <x v="1"/>
    <n v="1.4000000432133701E-2"/>
    <d v="2016-07-01T00:00:00"/>
    <x v="0"/>
    <m/>
    <x v="1"/>
    <s v="HASO"/>
    <s v="10.3"/>
    <m/>
    <n v="5"/>
    <m/>
    <n v="0"/>
    <m/>
    <n v="0"/>
    <n v="3"/>
    <n v="2"/>
    <n v="0"/>
    <n v="0"/>
    <n v="0"/>
    <n v="0"/>
    <n v="0"/>
    <n v="3"/>
    <n v="2"/>
    <n v="0"/>
    <n v="0"/>
    <n v="0"/>
    <n v="0"/>
    <n v="0"/>
    <n v="0"/>
    <n v="0"/>
    <n v="0"/>
    <n v="0"/>
    <n v="0"/>
    <n v="0"/>
    <n v="0"/>
    <n v="0"/>
    <n v="0"/>
    <n v="0"/>
    <n v="0"/>
    <n v="0"/>
    <n v="0"/>
    <s v="East"/>
    <x v="0"/>
    <x v="0"/>
    <x v="1"/>
    <x v="0"/>
    <x v="0"/>
    <x v="0"/>
    <s v="Y"/>
    <x v="0"/>
    <s v="Y"/>
    <s v="3A"/>
    <m/>
    <n v="0"/>
    <n v="0"/>
    <n v="5"/>
    <n v="0"/>
    <n v="0"/>
    <n v="0"/>
    <n v="0"/>
    <n v="0"/>
    <n v="0"/>
    <n v="0"/>
    <n v="0"/>
    <n v="0"/>
    <n v="0"/>
    <n v="0"/>
    <n v="0"/>
    <n v="0"/>
    <n v="0"/>
    <n v="0"/>
    <n v="0"/>
    <n v="0"/>
    <n v="0"/>
    <n v="5"/>
    <n v="5"/>
  </r>
  <r>
    <n v="2820"/>
    <x v="2"/>
    <s v="2016/6170"/>
    <m/>
    <s v="336 Garratt Lane"/>
    <m/>
    <n v="525961"/>
    <n v="173072"/>
    <x v="18"/>
    <d v="2018-03-31T00:00:00"/>
    <m/>
    <n v="0"/>
    <n v="2"/>
    <n v="2"/>
    <n v="2"/>
    <n v="2"/>
    <m/>
    <s v="Alterations including erection of single to three-storey rear extension with front and rear mansard to create additional floor of accommodation; formation of rear roof terraces at first and second floor levels, in connection with provision of additional commercial floorspace on the ground floor and 2 x 1-bedroom flats on upper floors. Installation of new shopfront."/>
    <s v="PF"/>
    <d v="2016-11-16T00:00:00"/>
    <d v="2017-06-08T00:00:00"/>
    <x v="1"/>
    <s v="Nil"/>
    <m/>
    <s v="BF"/>
    <x v="2"/>
    <x v="0"/>
    <x v="3"/>
    <n v="7.0000002160668399E-3"/>
    <d v="2018-03-31T00:00:00"/>
    <x v="1"/>
    <m/>
    <x v="0"/>
    <s v="P"/>
    <m/>
    <m/>
    <n v="0"/>
    <m/>
    <n v="0"/>
    <m/>
    <n v="0"/>
    <n v="2"/>
    <n v="0"/>
    <n v="0"/>
    <n v="0"/>
    <n v="0"/>
    <n v="0"/>
    <n v="0"/>
    <n v="2"/>
    <n v="0"/>
    <n v="0"/>
    <n v="0"/>
    <n v="0"/>
    <n v="0"/>
    <n v="0"/>
    <n v="0"/>
    <n v="0"/>
    <n v="0"/>
    <n v="0"/>
    <n v="0"/>
    <n v="0"/>
    <n v="0"/>
    <n v="0"/>
    <n v="0"/>
    <n v="0"/>
    <n v="0"/>
    <n v="0"/>
    <n v="0"/>
    <s v="West"/>
    <x v="0"/>
    <x v="0"/>
    <x v="1"/>
    <x v="0"/>
    <x v="0"/>
    <x v="0"/>
    <m/>
    <x v="1"/>
    <s v="Y"/>
    <s v="8B"/>
    <m/>
    <n v="0"/>
    <n v="1"/>
    <n v="1"/>
    <n v="0"/>
    <n v="0"/>
    <n v="0"/>
    <n v="0"/>
    <n v="0"/>
    <n v="0"/>
    <n v="0"/>
    <n v="0"/>
    <n v="0"/>
    <n v="0"/>
    <n v="0"/>
    <n v="0"/>
    <n v="0"/>
    <n v="0"/>
    <n v="0"/>
    <n v="0"/>
    <n v="0"/>
    <n v="0"/>
    <n v="2"/>
    <n v="2"/>
  </r>
  <r>
    <n v="2825"/>
    <x v="2"/>
    <s v="2016/6740"/>
    <m/>
    <s v="64 Lyford Road"/>
    <m/>
    <n v="527106"/>
    <n v="173327"/>
    <x v="17"/>
    <d v="2017-03-31T00:00:00"/>
    <m/>
    <n v="1"/>
    <n v="1"/>
    <n v="0"/>
    <n v="1"/>
    <n v="0"/>
    <m/>
    <s v="Demolition of existing building and erection of a two-storey (with accommodation at basement and roof levels) detached house including side lightwells and rear first floor level terrace; replacement boundary treatment."/>
    <s v="PF"/>
    <d v="2016-11-18T00:00:00"/>
    <d v="2017-03-30T00:00:00"/>
    <x v="0"/>
    <s v="Nil"/>
    <m/>
    <s v="BF"/>
    <x v="0"/>
    <x v="0"/>
    <x v="0"/>
    <n v="9.3000002205371898E-2"/>
    <d v="2017-03-31T00:00:00"/>
    <x v="0"/>
    <m/>
    <x v="0"/>
    <s v="P"/>
    <m/>
    <m/>
    <n v="0"/>
    <m/>
    <n v="0"/>
    <m/>
    <n v="0"/>
    <n v="0"/>
    <n v="0"/>
    <n v="0"/>
    <n v="0"/>
    <n v="0"/>
    <n v="0"/>
    <n v="0"/>
    <n v="0"/>
    <n v="0"/>
    <n v="0"/>
    <n v="0"/>
    <n v="0"/>
    <n v="0"/>
    <n v="0"/>
    <n v="0"/>
    <n v="0"/>
    <n v="0"/>
    <n v="0"/>
    <n v="0"/>
    <n v="0"/>
    <n v="0"/>
    <n v="0"/>
    <n v="0"/>
    <n v="0"/>
    <n v="0"/>
    <n v="0"/>
    <n v="0"/>
    <s v="West"/>
    <x v="0"/>
    <x v="0"/>
    <x v="1"/>
    <x v="0"/>
    <x v="0"/>
    <x v="0"/>
    <m/>
    <x v="0"/>
    <s v="Y"/>
    <s v="2A"/>
    <m/>
    <n v="0"/>
    <n v="0"/>
    <n v="0"/>
    <n v="0"/>
    <n v="0"/>
    <n v="0"/>
    <n v="0"/>
    <n v="0"/>
    <n v="0"/>
    <n v="0"/>
    <n v="0"/>
    <n v="0"/>
    <n v="0"/>
    <n v="0"/>
    <n v="0"/>
    <n v="0"/>
    <n v="0"/>
    <n v="0"/>
    <n v="0"/>
    <n v="0"/>
    <n v="0"/>
    <n v="0"/>
    <n v="0"/>
  </r>
  <r>
    <n v="3035"/>
    <x v="2"/>
    <s v="2013/1068"/>
    <m/>
    <s v="79-85 Putney High Street"/>
    <m/>
    <n v="524067"/>
    <n v="175351"/>
    <x v="13"/>
    <d v="2015-09-23T00:00:00"/>
    <m/>
    <n v="7"/>
    <n v="12"/>
    <n v="5"/>
    <n v="12"/>
    <n v="5"/>
    <s v="Y"/>
    <s v="Erection of rear extension at first, second and third floor levels together with alterations including formation of new roofs, first floor acoustic enclosure at rear, roof terraces and formation of refuse store at rear in connection with conversion of upper floors into 12 flats. (renewal of planning permission dated 23.07.2010 ref. 2010/2523)"/>
    <s v="PF"/>
    <d v="2013-03-14T00:00:00"/>
    <d v="2013-05-10T00:00:00"/>
    <x v="0"/>
    <s v="Nil"/>
    <m/>
    <s v="BF"/>
    <x v="4"/>
    <x v="1"/>
    <x v="1"/>
    <n v="1.09999999403954E-2"/>
    <d v="2015-09-23T00:00:00"/>
    <x v="0"/>
    <m/>
    <x v="0"/>
    <s v="P"/>
    <m/>
    <m/>
    <n v="0"/>
    <m/>
    <n v="0"/>
    <m/>
    <n v="0"/>
    <n v="5"/>
    <n v="2"/>
    <n v="-1"/>
    <n v="-1"/>
    <n v="0"/>
    <n v="0"/>
    <n v="0"/>
    <n v="5"/>
    <n v="2"/>
    <n v="-1"/>
    <n v="-1"/>
    <n v="0"/>
    <n v="0"/>
    <n v="0"/>
    <n v="0"/>
    <n v="0"/>
    <n v="0"/>
    <n v="0"/>
    <n v="0"/>
    <n v="0"/>
    <n v="0"/>
    <n v="0"/>
    <n v="0"/>
    <n v="0"/>
    <n v="0"/>
    <n v="0"/>
    <n v="0"/>
    <s v="West"/>
    <x v="3"/>
    <x v="0"/>
    <x v="1"/>
    <x v="0"/>
    <x v="0"/>
    <x v="0"/>
    <m/>
    <x v="0"/>
    <s v="Y"/>
    <s v="2A"/>
    <m/>
    <n v="0"/>
    <n v="5"/>
    <n v="0"/>
    <n v="0"/>
    <n v="0"/>
    <n v="0"/>
    <n v="0"/>
    <n v="0"/>
    <n v="0"/>
    <n v="0"/>
    <n v="0"/>
    <n v="0"/>
    <n v="0"/>
    <n v="0"/>
    <n v="0"/>
    <n v="0"/>
    <n v="0"/>
    <n v="0"/>
    <n v="0"/>
    <n v="0"/>
    <n v="0"/>
    <n v="5"/>
    <n v="5"/>
  </r>
  <r>
    <n v="3265"/>
    <x v="2"/>
    <s v="2017/4458"/>
    <m/>
    <s v="26 Wadham Road"/>
    <m/>
    <n v="524466"/>
    <n v="175195"/>
    <x v="13"/>
    <d v="2018-03-31T00:00:00"/>
    <m/>
    <n v="0"/>
    <n v="1"/>
    <n v="1"/>
    <n v="1"/>
    <n v="1"/>
    <m/>
    <s v="Alterations including the erection of front and rear dormer roof extension to provide an additional floor of accommodation; partial demolition of a ground floor extension; in connection with the conversion of the existing office space (Class B1a) into a 4-bedroom single family dwelling."/>
    <s v="PF"/>
    <d v="2017-08-31T00:00:00"/>
    <d v="2017-10-26T00:00:00"/>
    <x v="1"/>
    <s v="Nil"/>
    <m/>
    <s v="BF"/>
    <x v="4"/>
    <x v="0"/>
    <x v="9"/>
    <n v="1.9999999552965199E-2"/>
    <d v="2018-03-31T00:00:00"/>
    <x v="1"/>
    <m/>
    <x v="0"/>
    <s v="P"/>
    <m/>
    <m/>
    <n v="0"/>
    <m/>
    <n v="0"/>
    <m/>
    <n v="0"/>
    <n v="0"/>
    <n v="0"/>
    <n v="0"/>
    <n v="1"/>
    <n v="0"/>
    <n v="0"/>
    <n v="0"/>
    <n v="0"/>
    <n v="0"/>
    <n v="0"/>
    <n v="0"/>
    <n v="0"/>
    <n v="0"/>
    <n v="0"/>
    <n v="0"/>
    <n v="0"/>
    <n v="0"/>
    <n v="1"/>
    <n v="0"/>
    <n v="0"/>
    <n v="0"/>
    <n v="0"/>
    <n v="0"/>
    <n v="0"/>
    <n v="0"/>
    <n v="0"/>
    <n v="0"/>
    <s v="West"/>
    <x v="0"/>
    <x v="0"/>
    <x v="1"/>
    <x v="0"/>
    <x v="0"/>
    <x v="0"/>
    <m/>
    <x v="0"/>
    <s v="Y"/>
    <s v="8B"/>
    <m/>
    <n v="0"/>
    <n v="0.5"/>
    <n v="0.5"/>
    <n v="0"/>
    <n v="0"/>
    <n v="0"/>
    <n v="0"/>
    <n v="0"/>
    <n v="0"/>
    <n v="0"/>
    <n v="0"/>
    <n v="0"/>
    <n v="0"/>
    <n v="0"/>
    <n v="0"/>
    <n v="0"/>
    <n v="0"/>
    <n v="0"/>
    <n v="0"/>
    <n v="0"/>
    <n v="0"/>
    <n v="1"/>
    <n v="1"/>
  </r>
  <r>
    <n v="3266"/>
    <x v="2"/>
    <s v="2015/3161"/>
    <m/>
    <s v="526 Garratt Lane"/>
    <m/>
    <n v="526086"/>
    <n v="172456"/>
    <x v="18"/>
    <d v="2018-03-31T00:00:00"/>
    <m/>
    <n v="0"/>
    <n v="8"/>
    <n v="8"/>
    <n v="8"/>
    <n v="8"/>
    <m/>
    <s v="Demolition of existing buildings and erection of three-storey building to provide 8 flats, with first and second level terraces and communal garden."/>
    <s v="PF"/>
    <d v="2015-06-15T00:00:00"/>
    <d v="2015-09-17T00:00:00"/>
    <x v="0"/>
    <s v="Nil"/>
    <m/>
    <s v="BF"/>
    <x v="0"/>
    <x v="0"/>
    <x v="0"/>
    <n v="2.8000000864267301E-2"/>
    <d v="2018-03-31T00:00:00"/>
    <x v="1"/>
    <m/>
    <x v="0"/>
    <s v="P"/>
    <m/>
    <m/>
    <n v="8"/>
    <m/>
    <n v="0"/>
    <m/>
    <n v="0"/>
    <n v="4"/>
    <n v="3"/>
    <n v="1"/>
    <n v="0"/>
    <n v="0"/>
    <n v="0"/>
    <n v="0"/>
    <n v="4"/>
    <n v="3"/>
    <n v="1"/>
    <n v="0"/>
    <n v="0"/>
    <n v="0"/>
    <n v="0"/>
    <n v="0"/>
    <n v="0"/>
    <n v="0"/>
    <n v="0"/>
    <n v="0"/>
    <n v="0"/>
    <n v="0"/>
    <n v="0"/>
    <n v="0"/>
    <n v="0"/>
    <n v="0"/>
    <n v="0"/>
    <n v="0"/>
    <s v="West"/>
    <x v="0"/>
    <x v="0"/>
    <x v="1"/>
    <x v="0"/>
    <x v="0"/>
    <x v="0"/>
    <m/>
    <x v="1"/>
    <s v="Y"/>
    <s v="2B"/>
    <m/>
    <n v="0"/>
    <n v="4"/>
    <n v="4"/>
    <n v="0"/>
    <n v="0"/>
    <n v="0"/>
    <n v="0"/>
    <n v="0"/>
    <n v="0"/>
    <n v="0"/>
    <n v="0"/>
    <n v="0"/>
    <n v="0"/>
    <n v="0"/>
    <n v="0"/>
    <n v="0"/>
    <n v="0"/>
    <n v="0"/>
    <n v="0"/>
    <n v="0"/>
    <n v="0"/>
    <n v="8"/>
    <n v="8"/>
  </r>
  <r>
    <n v="3415"/>
    <x v="2"/>
    <s v="2016/2903"/>
    <m/>
    <s v="1 Station Parade, Balham High Road"/>
    <m/>
    <n v="528454"/>
    <n v="173134"/>
    <x v="11"/>
    <d v="2017-05-24T00:00:00"/>
    <m/>
    <n v="3"/>
    <n v="4"/>
    <n v="1"/>
    <n v="4"/>
    <n v="1"/>
    <m/>
    <s v="Alterations in connection with change of use of basement and ground floor from a retail (Class A1) to flexible use retail (Class A1), financial and professional services (Class A2)  or restaurant and cafe (Class A3). Erection of rear extensions at first, second and third floor level with roof terraces (with screening) at second and third floor level and erection of rear/side dormer extension to main roof to create 1 x 1-bedroom and 3 x 2-bedroom residential units to upper floors. Cycle and bin stores to rear."/>
    <s v="PF"/>
    <d v="2016-06-08T00:00:00"/>
    <d v="2016-08-03T00:00:00"/>
    <x v="0"/>
    <s v="Nil"/>
    <m/>
    <s v="BF"/>
    <x v="4"/>
    <x v="0"/>
    <x v="10"/>
    <n v="9.9999997764825804E-3"/>
    <d v="2017-05-24T00:00:00"/>
    <x v="1"/>
    <m/>
    <x v="0"/>
    <s v="P"/>
    <m/>
    <m/>
    <n v="0"/>
    <m/>
    <n v="0"/>
    <m/>
    <n v="0"/>
    <n v="-1"/>
    <n v="2"/>
    <n v="0"/>
    <n v="0"/>
    <n v="0"/>
    <n v="0"/>
    <n v="0"/>
    <n v="-1"/>
    <n v="2"/>
    <n v="0"/>
    <n v="0"/>
    <n v="0"/>
    <n v="0"/>
    <n v="0"/>
    <n v="0"/>
    <n v="0"/>
    <n v="0"/>
    <n v="0"/>
    <n v="0"/>
    <n v="0"/>
    <n v="0"/>
    <n v="0"/>
    <n v="0"/>
    <n v="0"/>
    <n v="0"/>
    <n v="0"/>
    <n v="0"/>
    <s v="East"/>
    <x v="0"/>
    <x v="0"/>
    <x v="1"/>
    <x v="0"/>
    <x v="0"/>
    <x v="0"/>
    <m/>
    <x v="0"/>
    <s v="Y"/>
    <s v="8A"/>
    <m/>
    <n v="0"/>
    <n v="1"/>
    <n v="0"/>
    <n v="0"/>
    <n v="0"/>
    <n v="0"/>
    <n v="0"/>
    <n v="0"/>
    <n v="0"/>
    <n v="0"/>
    <n v="0"/>
    <n v="0"/>
    <n v="0"/>
    <n v="0"/>
    <n v="0"/>
    <n v="0"/>
    <n v="0"/>
    <n v="0"/>
    <n v="0"/>
    <n v="0"/>
    <n v="0"/>
    <n v="1"/>
    <n v="1"/>
  </r>
  <r>
    <n v="3501"/>
    <x v="2"/>
    <s v="2014/4626"/>
    <m/>
    <s v="208-214 York Road and, 4 Chatfield Road"/>
    <s v="Block B - Constance Court"/>
    <n v="526469"/>
    <n v="175635"/>
    <x v="1"/>
    <d v="2015-09-28T00:00:00"/>
    <m/>
    <n v="0"/>
    <n v="29"/>
    <n v="29"/>
    <n v="51"/>
    <n v="51"/>
    <s v="Y"/>
    <s v="Redevelopment of the site incorporating the erection of a part 4/ part 5 storey building fronting York Road, and a 3-5 storey building partially fronting Chatfield Road and extending to part 5/ part 6 storey building to the rear to provide a total of 51 residential units (including balconies and terraces), 362 sqm of retail space (use class A1), 155 sqm of office space (use class B1a); excavation of basement to provide a car park (accessed off Chatfield Road), ancillary works and landscaping."/>
    <s v="PFLA"/>
    <d v="2014-08-11T00:00:00"/>
    <d v="2015-06-24T00:00:00"/>
    <x v="0"/>
    <s v="Nil"/>
    <m/>
    <s v="BF"/>
    <x v="0"/>
    <x v="1"/>
    <x v="1"/>
    <n v="7.0000000298023196E-2"/>
    <d v="2015-09-28T00:00:00"/>
    <x v="0"/>
    <m/>
    <x v="0"/>
    <s v="P"/>
    <s v="10.10"/>
    <m/>
    <n v="29"/>
    <m/>
    <n v="0"/>
    <m/>
    <n v="0"/>
    <n v="9"/>
    <n v="18"/>
    <n v="2"/>
    <n v="0"/>
    <n v="0"/>
    <n v="0"/>
    <n v="0"/>
    <n v="9"/>
    <n v="18"/>
    <n v="2"/>
    <n v="0"/>
    <n v="0"/>
    <n v="0"/>
    <n v="0"/>
    <n v="0"/>
    <n v="0"/>
    <n v="0"/>
    <n v="0"/>
    <n v="0"/>
    <n v="0"/>
    <n v="0"/>
    <n v="0"/>
    <n v="0"/>
    <n v="0"/>
    <n v="0"/>
    <n v="0"/>
    <n v="0"/>
    <s v="East"/>
    <x v="0"/>
    <x v="0"/>
    <x v="1"/>
    <x v="0"/>
    <x v="0"/>
    <x v="0"/>
    <s v="Y"/>
    <x v="0"/>
    <s v="Y"/>
    <s v="3A"/>
    <m/>
    <n v="0"/>
    <n v="29"/>
    <n v="0"/>
    <n v="0"/>
    <n v="0"/>
    <n v="0"/>
    <n v="0"/>
    <n v="0"/>
    <n v="0"/>
    <n v="0"/>
    <n v="0"/>
    <n v="0"/>
    <n v="0"/>
    <n v="0"/>
    <n v="0"/>
    <n v="0"/>
    <n v="0"/>
    <n v="0"/>
    <n v="0"/>
    <n v="0"/>
    <n v="0"/>
    <n v="29"/>
    <n v="29"/>
  </r>
  <r>
    <n v="3501"/>
    <x v="2"/>
    <s v="2014/4626"/>
    <m/>
    <s v="208-214 York Road and, 4 Chatfield Road"/>
    <s v="Block C - Constance Court"/>
    <n v="526469"/>
    <n v="175635"/>
    <x v="1"/>
    <d v="2015-09-28T00:00:00"/>
    <m/>
    <n v="0"/>
    <n v="5"/>
    <n v="5"/>
    <n v="51"/>
    <n v="51"/>
    <s v="Y"/>
    <s v="Redevelopment of the site incorporating the erection of a part 4/ part 5 storey building fronting York Road, and a 3-5 storey building partially fronting Chatfield Road and extending to part 5/ part 6 storey building to the rear to provide a total of 51 residential units (including balconies and terraces), 362 sqm of retail space (use class A1), 155 sqm of office space (use class B1a); excavation of basement to provide a car park (accessed off Chatfield Road), ancillary works and landscaping."/>
    <s v="PFLA"/>
    <d v="2014-08-11T00:00:00"/>
    <d v="2015-06-24T00:00:00"/>
    <x v="0"/>
    <s v="Nil"/>
    <m/>
    <s v="BF"/>
    <x v="0"/>
    <x v="1"/>
    <x v="1"/>
    <n v="5.9999998658895499E-2"/>
    <d v="2015-09-28T00:00:00"/>
    <x v="0"/>
    <m/>
    <x v="0"/>
    <s v="P"/>
    <s v="10.10"/>
    <m/>
    <n v="10"/>
    <m/>
    <n v="0"/>
    <m/>
    <n v="0"/>
    <n v="0"/>
    <n v="5"/>
    <n v="0"/>
    <n v="0"/>
    <n v="0"/>
    <n v="0"/>
    <n v="0"/>
    <n v="0"/>
    <n v="5"/>
    <n v="0"/>
    <n v="0"/>
    <n v="0"/>
    <n v="0"/>
    <n v="0"/>
    <n v="0"/>
    <n v="0"/>
    <n v="0"/>
    <n v="0"/>
    <n v="0"/>
    <n v="0"/>
    <n v="0"/>
    <n v="0"/>
    <n v="0"/>
    <n v="0"/>
    <n v="0"/>
    <n v="0"/>
    <n v="0"/>
    <s v="East"/>
    <x v="0"/>
    <x v="0"/>
    <x v="1"/>
    <x v="0"/>
    <x v="0"/>
    <x v="0"/>
    <s v="Y"/>
    <x v="0"/>
    <s v="Y"/>
    <s v="3A"/>
    <m/>
    <n v="0"/>
    <n v="5"/>
    <n v="0"/>
    <n v="0"/>
    <n v="0"/>
    <n v="0"/>
    <n v="0"/>
    <n v="0"/>
    <n v="0"/>
    <n v="0"/>
    <n v="0"/>
    <n v="0"/>
    <n v="0"/>
    <n v="0"/>
    <n v="0"/>
    <n v="0"/>
    <n v="0"/>
    <n v="0"/>
    <n v="0"/>
    <n v="0"/>
    <n v="0"/>
    <n v="5"/>
    <n v="5"/>
  </r>
  <r>
    <n v="3511"/>
    <x v="2"/>
    <s v="2014/2810"/>
    <s v="Combined Main Market, Entrance site and Thessaly College site"/>
    <s v="New Covent Garden Market, Nine Elms Lane"/>
    <s v="APEX SITE - A1"/>
    <n v="529369"/>
    <n v="177317"/>
    <x v="6"/>
    <d v="2017-03-31T00:00:00"/>
    <m/>
    <n v="0"/>
    <n v="207"/>
    <n v="207"/>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m/>
    <x v="0"/>
    <m/>
    <x v="0"/>
    <s v="P"/>
    <s v="2.1.29"/>
    <m/>
    <n v="0"/>
    <m/>
    <n v="0"/>
    <m/>
    <n v="26"/>
    <n v="41"/>
    <n v="124"/>
    <n v="16"/>
    <n v="0"/>
    <n v="0"/>
    <n v="0"/>
    <n v="26"/>
    <n v="41"/>
    <n v="124"/>
    <n v="16"/>
    <n v="0"/>
    <n v="0"/>
    <n v="0"/>
    <n v="0"/>
    <n v="0"/>
    <n v="0"/>
    <n v="0"/>
    <n v="0"/>
    <n v="0"/>
    <n v="0"/>
    <n v="0"/>
    <n v="0"/>
    <n v="0"/>
    <n v="0"/>
    <n v="0"/>
    <n v="0"/>
    <n v="0"/>
    <s v="Strategic Planning/Nine Elms"/>
    <x v="0"/>
    <x v="1"/>
    <x v="1"/>
    <x v="0"/>
    <x v="0"/>
    <x v="0"/>
    <m/>
    <x v="0"/>
    <s v="Y"/>
    <n v="12"/>
    <m/>
    <n v="0"/>
    <n v="0"/>
    <n v="0"/>
    <n v="0"/>
    <n v="0"/>
    <n v="0"/>
    <n v="0"/>
    <n v="0"/>
    <n v="0"/>
    <n v="0"/>
    <n v="207"/>
    <n v="0"/>
    <n v="0"/>
    <n v="0"/>
    <n v="0"/>
    <n v="0"/>
    <n v="0"/>
    <n v="0"/>
    <n v="0"/>
    <n v="0"/>
    <n v="0"/>
    <n v="0"/>
    <n v="207"/>
  </r>
  <r>
    <n v="3511"/>
    <x v="2"/>
    <s v="2014/2810"/>
    <s v="Combined Main Market, Entrance site and Thessaly College site"/>
    <s v="New Covent Garden Market, Nine Elms Lane"/>
    <s v="APEX SITE - A2"/>
    <n v="529369"/>
    <n v="177317"/>
    <x v="6"/>
    <d v="2017-03-31T00:00:00"/>
    <m/>
    <n v="0"/>
    <n v="136"/>
    <n v="136"/>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m/>
    <x v="0"/>
    <m/>
    <x v="0"/>
    <s v="P"/>
    <s v="2.1.29"/>
    <m/>
    <n v="0"/>
    <m/>
    <n v="0"/>
    <m/>
    <n v="17"/>
    <n v="27"/>
    <n v="82"/>
    <n v="10"/>
    <n v="0"/>
    <n v="0"/>
    <n v="0"/>
    <n v="17"/>
    <n v="27"/>
    <n v="82"/>
    <n v="10"/>
    <n v="0"/>
    <n v="0"/>
    <n v="0"/>
    <n v="0"/>
    <n v="0"/>
    <n v="0"/>
    <n v="0"/>
    <n v="0"/>
    <n v="0"/>
    <n v="0"/>
    <n v="0"/>
    <n v="0"/>
    <n v="0"/>
    <n v="0"/>
    <n v="0"/>
    <n v="0"/>
    <n v="0"/>
    <s v="Strategic Planning/Nine Elms"/>
    <x v="0"/>
    <x v="1"/>
    <x v="1"/>
    <x v="0"/>
    <x v="0"/>
    <x v="0"/>
    <m/>
    <x v="0"/>
    <s v="Y"/>
    <n v="12"/>
    <m/>
    <n v="0"/>
    <n v="0"/>
    <n v="0"/>
    <n v="0"/>
    <n v="0"/>
    <n v="0"/>
    <n v="0"/>
    <n v="0"/>
    <n v="0"/>
    <n v="0"/>
    <n v="0"/>
    <n v="136"/>
    <n v="0"/>
    <n v="0"/>
    <n v="0"/>
    <n v="0"/>
    <n v="0"/>
    <n v="0"/>
    <n v="0"/>
    <n v="0"/>
    <n v="0"/>
    <n v="0"/>
    <n v="0"/>
  </r>
  <r>
    <n v="3511"/>
    <x v="2"/>
    <s v="2014/2810"/>
    <s v="Combined Main Market, Entrance site and Thessaly College site"/>
    <s v="New Covent Garden Market, Nine Elms Lane"/>
    <s v="APEX SITE - A3"/>
    <n v="529369"/>
    <n v="177317"/>
    <x v="6"/>
    <d v="2017-03-31T00:00:00"/>
    <m/>
    <n v="0"/>
    <n v="101"/>
    <n v="101"/>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1.79999995231628"/>
    <m/>
    <x v="0"/>
    <m/>
    <x v="1"/>
    <s v="HASO"/>
    <s v="2.1.29"/>
    <m/>
    <n v="0"/>
    <m/>
    <n v="0"/>
    <m/>
    <n v="0"/>
    <n v="45"/>
    <n v="46"/>
    <n v="10"/>
    <n v="0"/>
    <n v="0"/>
    <n v="0"/>
    <n v="0"/>
    <n v="45"/>
    <n v="46"/>
    <n v="10"/>
    <n v="0"/>
    <n v="0"/>
    <n v="0"/>
    <n v="0"/>
    <n v="0"/>
    <n v="0"/>
    <n v="0"/>
    <n v="0"/>
    <n v="0"/>
    <n v="0"/>
    <n v="0"/>
    <n v="0"/>
    <n v="0"/>
    <n v="0"/>
    <n v="0"/>
    <n v="0"/>
    <n v="0"/>
    <s v="Strategic Planning/Nine Elms"/>
    <x v="0"/>
    <x v="1"/>
    <x v="1"/>
    <x v="0"/>
    <x v="0"/>
    <x v="0"/>
    <m/>
    <x v="0"/>
    <s v="Y"/>
    <n v="12"/>
    <m/>
    <n v="0"/>
    <n v="0"/>
    <n v="0"/>
    <n v="0"/>
    <n v="0"/>
    <n v="0"/>
    <n v="0"/>
    <n v="0"/>
    <n v="0"/>
    <n v="0"/>
    <n v="101"/>
    <n v="0"/>
    <n v="0"/>
    <n v="0"/>
    <n v="0"/>
    <n v="0"/>
    <n v="0"/>
    <n v="0"/>
    <n v="0"/>
    <n v="0"/>
    <n v="0"/>
    <n v="0"/>
    <n v="101"/>
  </r>
  <r>
    <n v="3511"/>
    <x v="2"/>
    <s v="2014/2810"/>
    <s v="Combined Main Market, Entrance site and Thessaly College site"/>
    <s v="New Covent Garden Market, Nine Elms Lane"/>
    <s v="APEX SITE - A4"/>
    <n v="529369"/>
    <n v="177317"/>
    <x v="6"/>
    <d v="2017-03-31T00:00:00"/>
    <m/>
    <n v="0"/>
    <n v="151"/>
    <n v="151"/>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m/>
    <x v="0"/>
    <m/>
    <x v="0"/>
    <s v="P"/>
    <s v="2.1.29"/>
    <m/>
    <n v="0"/>
    <m/>
    <n v="0"/>
    <m/>
    <n v="19"/>
    <n v="30"/>
    <n v="91"/>
    <n v="11"/>
    <n v="0"/>
    <n v="0"/>
    <n v="0"/>
    <n v="19"/>
    <n v="30"/>
    <n v="91"/>
    <n v="11"/>
    <n v="0"/>
    <n v="0"/>
    <n v="0"/>
    <n v="0"/>
    <n v="0"/>
    <n v="0"/>
    <n v="0"/>
    <n v="0"/>
    <n v="0"/>
    <n v="0"/>
    <n v="0"/>
    <n v="0"/>
    <n v="0"/>
    <n v="0"/>
    <n v="0"/>
    <n v="0"/>
    <n v="0"/>
    <s v="Strategic Planning/Nine Elms"/>
    <x v="0"/>
    <x v="1"/>
    <x v="1"/>
    <x v="0"/>
    <x v="0"/>
    <x v="0"/>
    <m/>
    <x v="0"/>
    <s v="Y"/>
    <n v="12"/>
    <m/>
    <n v="0"/>
    <n v="0"/>
    <n v="0"/>
    <n v="0"/>
    <n v="0"/>
    <n v="0"/>
    <n v="0"/>
    <n v="0"/>
    <n v="0"/>
    <n v="0"/>
    <n v="0"/>
    <n v="0"/>
    <n v="151"/>
    <n v="0"/>
    <n v="0"/>
    <n v="0"/>
    <n v="0"/>
    <n v="0"/>
    <n v="0"/>
    <n v="0"/>
    <n v="0"/>
    <n v="0"/>
    <n v="0"/>
  </r>
  <r>
    <n v="3511"/>
    <x v="2"/>
    <s v="2014/2810"/>
    <s v="Combined Main Market, Entrance site and Thessaly College site"/>
    <s v="New Covent Garden Market, Nine Elms Lane"/>
    <s v="APEX SITE - A6"/>
    <n v="529369"/>
    <n v="177317"/>
    <x v="6"/>
    <d v="2017-03-31T00:00:00"/>
    <m/>
    <n v="0"/>
    <n v="17"/>
    <n v="17"/>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m/>
    <x v="0"/>
    <m/>
    <x v="0"/>
    <s v="P"/>
    <s v="2.1.29"/>
    <m/>
    <n v="0"/>
    <m/>
    <n v="0"/>
    <m/>
    <n v="2"/>
    <n v="3"/>
    <n v="10"/>
    <n v="2"/>
    <n v="0"/>
    <n v="0"/>
    <n v="0"/>
    <n v="2"/>
    <n v="3"/>
    <n v="10"/>
    <n v="2"/>
    <n v="0"/>
    <n v="0"/>
    <n v="0"/>
    <n v="0"/>
    <n v="0"/>
    <n v="0"/>
    <n v="0"/>
    <n v="0"/>
    <n v="0"/>
    <n v="0"/>
    <n v="0"/>
    <n v="0"/>
    <n v="0"/>
    <n v="0"/>
    <n v="0"/>
    <n v="0"/>
    <n v="0"/>
    <s v="Strategic Planning/Nine Elms"/>
    <x v="0"/>
    <x v="1"/>
    <x v="1"/>
    <x v="0"/>
    <x v="0"/>
    <x v="0"/>
    <m/>
    <x v="0"/>
    <s v="Y"/>
    <n v="12"/>
    <m/>
    <n v="0"/>
    <n v="0"/>
    <n v="0"/>
    <n v="0"/>
    <n v="0"/>
    <n v="0"/>
    <n v="0"/>
    <n v="0"/>
    <n v="0"/>
    <n v="0"/>
    <n v="0"/>
    <n v="0"/>
    <n v="17"/>
    <n v="0"/>
    <n v="0"/>
    <n v="0"/>
    <n v="0"/>
    <n v="0"/>
    <n v="0"/>
    <n v="0"/>
    <n v="0"/>
    <n v="0"/>
    <n v="0"/>
  </r>
  <r>
    <n v="3511"/>
    <x v="2"/>
    <s v="2014/2810"/>
    <s v="Combined Main Market, Entrance site and Thessaly College site"/>
    <s v="New Covent Garden Market, Nine Elms Lane"/>
    <s v="APEX SITE - A7"/>
    <n v="529369"/>
    <n v="177317"/>
    <x v="6"/>
    <d v="2017-03-31T00:00:00"/>
    <m/>
    <n v="0"/>
    <n v="11"/>
    <n v="11"/>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m/>
    <x v="0"/>
    <m/>
    <x v="2"/>
    <s v="HASR"/>
    <s v="2.1.29"/>
    <m/>
    <n v="0"/>
    <m/>
    <n v="0"/>
    <m/>
    <n v="0"/>
    <n v="2"/>
    <n v="5"/>
    <n v="3"/>
    <n v="1"/>
    <n v="0"/>
    <n v="0"/>
    <n v="0"/>
    <n v="2"/>
    <n v="5"/>
    <n v="3"/>
    <n v="0"/>
    <n v="0"/>
    <n v="0"/>
    <n v="0"/>
    <n v="0"/>
    <n v="0"/>
    <n v="0"/>
    <n v="1"/>
    <n v="0"/>
    <n v="0"/>
    <n v="0"/>
    <n v="0"/>
    <n v="0"/>
    <n v="0"/>
    <n v="0"/>
    <n v="0"/>
    <n v="0"/>
    <s v="Strategic Planning/Nine Elms"/>
    <x v="0"/>
    <x v="1"/>
    <x v="1"/>
    <x v="0"/>
    <x v="0"/>
    <x v="0"/>
    <m/>
    <x v="0"/>
    <s v="Y"/>
    <n v="12"/>
    <m/>
    <n v="0"/>
    <n v="0"/>
    <n v="0"/>
    <n v="0"/>
    <n v="0"/>
    <n v="0"/>
    <n v="0"/>
    <n v="0"/>
    <n v="0"/>
    <n v="0"/>
    <n v="0"/>
    <n v="11"/>
    <n v="0"/>
    <n v="0"/>
    <n v="0"/>
    <n v="0"/>
    <n v="0"/>
    <n v="0"/>
    <n v="0"/>
    <n v="0"/>
    <n v="0"/>
    <n v="0"/>
    <n v="0"/>
  </r>
  <r>
    <n v="3511"/>
    <x v="2"/>
    <s v="2014/2810"/>
    <s v="Combined Main Market, Entrance site and Thessaly College site"/>
    <s v="New Covent Garden Market, Nine Elms Lane"/>
    <s v="ENTRANCE SITE - E1"/>
    <n v="529369"/>
    <n v="177317"/>
    <x v="6"/>
    <d v="2017-03-31T00:00:00"/>
    <m/>
    <n v="0"/>
    <n v="72"/>
    <n v="72"/>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1.3999999761581401"/>
    <m/>
    <x v="0"/>
    <m/>
    <x v="2"/>
    <s v="HASR"/>
    <s v="2.1.29"/>
    <m/>
    <n v="0"/>
    <m/>
    <n v="0"/>
    <m/>
    <n v="0"/>
    <n v="11"/>
    <n v="32"/>
    <n v="22"/>
    <n v="7"/>
    <n v="0"/>
    <n v="0"/>
    <n v="0"/>
    <n v="11"/>
    <n v="32"/>
    <n v="22"/>
    <n v="7"/>
    <n v="0"/>
    <n v="0"/>
    <n v="0"/>
    <n v="0"/>
    <n v="0"/>
    <n v="0"/>
    <n v="0"/>
    <n v="0"/>
    <n v="0"/>
    <n v="0"/>
    <n v="0"/>
    <n v="0"/>
    <n v="0"/>
    <n v="0"/>
    <n v="0"/>
    <n v="0"/>
    <s v="Strategic Planning/Nine Elms"/>
    <x v="0"/>
    <x v="1"/>
    <x v="1"/>
    <x v="0"/>
    <x v="0"/>
    <x v="0"/>
    <m/>
    <x v="0"/>
    <s v="Y"/>
    <n v="12"/>
    <m/>
    <n v="0"/>
    <n v="0"/>
    <n v="0"/>
    <n v="0"/>
    <n v="0"/>
    <n v="0"/>
    <n v="0"/>
    <n v="0"/>
    <n v="0"/>
    <n v="0"/>
    <n v="72"/>
    <n v="0"/>
    <n v="0"/>
    <n v="0"/>
    <n v="0"/>
    <n v="0"/>
    <n v="0"/>
    <n v="0"/>
    <n v="0"/>
    <n v="0"/>
    <n v="0"/>
    <n v="0"/>
    <n v="72"/>
  </r>
  <r>
    <n v="3511"/>
    <x v="2"/>
    <s v="2014/2810"/>
    <s v="Combined Main Market, Entrance site and Thessaly College site"/>
    <s v="New Covent Garden Market, Nine Elms Lane"/>
    <s v="ENTRANCE SITE - E1"/>
    <n v="529369"/>
    <n v="177317"/>
    <x v="6"/>
    <d v="2017-03-31T00:00:00"/>
    <m/>
    <n v="0"/>
    <n v="27"/>
    <n v="27"/>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1.3999999761581401"/>
    <m/>
    <x v="0"/>
    <m/>
    <x v="2"/>
    <s v="HASR"/>
    <s v="2.1.29"/>
    <m/>
    <n v="0"/>
    <m/>
    <n v="0"/>
    <m/>
    <n v="0"/>
    <n v="4"/>
    <n v="12"/>
    <n v="8"/>
    <n v="3"/>
    <n v="0"/>
    <n v="0"/>
    <n v="0"/>
    <n v="4"/>
    <n v="12"/>
    <n v="8"/>
    <n v="3"/>
    <n v="0"/>
    <n v="0"/>
    <n v="0"/>
    <n v="0"/>
    <n v="0"/>
    <n v="0"/>
    <n v="0"/>
    <n v="0"/>
    <n v="0"/>
    <n v="0"/>
    <n v="0"/>
    <n v="0"/>
    <n v="0"/>
    <n v="0"/>
    <n v="0"/>
    <n v="0"/>
    <s v="Strategic Planning/Nine Elms"/>
    <x v="0"/>
    <x v="1"/>
    <x v="1"/>
    <x v="0"/>
    <x v="0"/>
    <x v="0"/>
    <m/>
    <x v="0"/>
    <s v="Y"/>
    <n v="12"/>
    <m/>
    <n v="0"/>
    <n v="0"/>
    <n v="0"/>
    <n v="0"/>
    <n v="0"/>
    <n v="0"/>
    <n v="0"/>
    <n v="0"/>
    <n v="0"/>
    <n v="0"/>
    <n v="27"/>
    <n v="0"/>
    <n v="0"/>
    <n v="0"/>
    <n v="0"/>
    <n v="0"/>
    <n v="0"/>
    <n v="0"/>
    <n v="0"/>
    <n v="0"/>
    <n v="0"/>
    <n v="0"/>
    <n v="27"/>
  </r>
  <r>
    <n v="3511"/>
    <x v="2"/>
    <s v="2014/2810"/>
    <s v="Combined Main Market, Entrance site and Thessaly College site"/>
    <s v="New Covent Garden Market, Nine Elms Lane"/>
    <s v="ENTRANCE SITE - E2"/>
    <n v="529369"/>
    <n v="177317"/>
    <x v="6"/>
    <d v="2017-03-31T00:00:00"/>
    <m/>
    <n v="0"/>
    <n v="36"/>
    <n v="36"/>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m/>
    <x v="0"/>
    <m/>
    <x v="2"/>
    <s v="HASR"/>
    <s v="2.1.29"/>
    <m/>
    <n v="0"/>
    <m/>
    <n v="0"/>
    <m/>
    <n v="0"/>
    <n v="5"/>
    <n v="16"/>
    <n v="11"/>
    <n v="4"/>
    <n v="0"/>
    <n v="0"/>
    <n v="0"/>
    <n v="5"/>
    <n v="16"/>
    <n v="11"/>
    <n v="4"/>
    <n v="0"/>
    <n v="0"/>
    <n v="0"/>
    <n v="0"/>
    <n v="0"/>
    <n v="0"/>
    <n v="0"/>
    <n v="0"/>
    <n v="0"/>
    <n v="0"/>
    <n v="0"/>
    <n v="0"/>
    <n v="0"/>
    <n v="0"/>
    <n v="0"/>
    <n v="0"/>
    <s v="Strategic Planning/Nine Elms"/>
    <x v="0"/>
    <x v="1"/>
    <x v="1"/>
    <x v="0"/>
    <x v="0"/>
    <x v="0"/>
    <m/>
    <x v="0"/>
    <s v="Y"/>
    <n v="12"/>
    <m/>
    <n v="0"/>
    <n v="0"/>
    <n v="0"/>
    <n v="0"/>
    <n v="0"/>
    <n v="0"/>
    <n v="0"/>
    <n v="0"/>
    <n v="0"/>
    <n v="0"/>
    <n v="36"/>
    <n v="0"/>
    <n v="0"/>
    <n v="0"/>
    <n v="0"/>
    <n v="0"/>
    <n v="0"/>
    <n v="0"/>
    <n v="0"/>
    <n v="0"/>
    <n v="0"/>
    <n v="0"/>
    <n v="36"/>
  </r>
  <r>
    <n v="3511"/>
    <x v="2"/>
    <s v="2014/2810"/>
    <s v="Combined Main Market, Entrance site and Thessaly College site"/>
    <s v="New Covent Garden Market, Nine Elms Lane"/>
    <s v="ENTRANCE SITE - E3"/>
    <n v="529369"/>
    <n v="177317"/>
    <x v="6"/>
    <d v="2017-03-31T00:00:00"/>
    <m/>
    <n v="0"/>
    <n v="54"/>
    <n v="54"/>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m/>
    <x v="0"/>
    <m/>
    <x v="2"/>
    <s v="HASR"/>
    <s v="2.1.29"/>
    <m/>
    <n v="0"/>
    <m/>
    <n v="0"/>
    <m/>
    <n v="0"/>
    <n v="8"/>
    <n v="25"/>
    <n v="16"/>
    <n v="5"/>
    <n v="0"/>
    <n v="0"/>
    <n v="0"/>
    <n v="8"/>
    <n v="25"/>
    <n v="16"/>
    <n v="5"/>
    <n v="0"/>
    <n v="0"/>
    <n v="0"/>
    <n v="0"/>
    <n v="0"/>
    <n v="0"/>
    <n v="0"/>
    <n v="0"/>
    <n v="0"/>
    <n v="0"/>
    <n v="0"/>
    <n v="0"/>
    <n v="0"/>
    <n v="0"/>
    <n v="0"/>
    <n v="0"/>
    <s v="Strategic Planning/Nine Elms"/>
    <x v="0"/>
    <x v="1"/>
    <x v="1"/>
    <x v="0"/>
    <x v="0"/>
    <x v="0"/>
    <m/>
    <x v="0"/>
    <s v="Y"/>
    <n v="12"/>
    <m/>
    <n v="0"/>
    <n v="0"/>
    <n v="0"/>
    <n v="0"/>
    <n v="0"/>
    <n v="0"/>
    <n v="0"/>
    <n v="0"/>
    <n v="0"/>
    <n v="0"/>
    <n v="54"/>
    <n v="0"/>
    <n v="0"/>
    <n v="0"/>
    <n v="0"/>
    <n v="0"/>
    <n v="0"/>
    <n v="0"/>
    <n v="0"/>
    <n v="0"/>
    <n v="0"/>
    <n v="0"/>
    <n v="54"/>
  </r>
  <r>
    <n v="3511"/>
    <x v="2"/>
    <s v="2014/2810"/>
    <s v="Combined Main Market, Entrance site and Thessaly College site"/>
    <s v="New Covent Garden Market, Nine Elms Lane"/>
    <s v="ENTRANCE SITE - E4"/>
    <n v="529369"/>
    <n v="177317"/>
    <x v="6"/>
    <d v="2017-03-31T00:00:00"/>
    <m/>
    <n v="0"/>
    <n v="59"/>
    <n v="59"/>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m/>
    <x v="0"/>
    <m/>
    <x v="0"/>
    <s v="P"/>
    <s v="2.1.29"/>
    <m/>
    <n v="0"/>
    <m/>
    <n v="0"/>
    <m/>
    <n v="7"/>
    <n v="12"/>
    <n v="36"/>
    <n v="4"/>
    <n v="0"/>
    <n v="0"/>
    <n v="0"/>
    <n v="7"/>
    <n v="12"/>
    <n v="36"/>
    <n v="4"/>
    <n v="0"/>
    <n v="0"/>
    <n v="0"/>
    <n v="0"/>
    <n v="0"/>
    <n v="0"/>
    <n v="0"/>
    <n v="0"/>
    <n v="0"/>
    <n v="0"/>
    <n v="0"/>
    <n v="0"/>
    <n v="0"/>
    <n v="0"/>
    <n v="0"/>
    <n v="0"/>
    <n v="0"/>
    <s v="Strategic Planning/Nine Elms"/>
    <x v="0"/>
    <x v="1"/>
    <x v="1"/>
    <x v="0"/>
    <x v="0"/>
    <x v="0"/>
    <m/>
    <x v="0"/>
    <s v="Y"/>
    <n v="12"/>
    <m/>
    <n v="0"/>
    <n v="0"/>
    <n v="0"/>
    <n v="0"/>
    <n v="0"/>
    <n v="0"/>
    <n v="0"/>
    <n v="0"/>
    <n v="0"/>
    <n v="0"/>
    <n v="59"/>
    <n v="0"/>
    <n v="0"/>
    <n v="0"/>
    <n v="0"/>
    <n v="0"/>
    <n v="0"/>
    <n v="0"/>
    <n v="0"/>
    <n v="0"/>
    <n v="0"/>
    <n v="0"/>
    <n v="59"/>
  </r>
  <r>
    <n v="3511"/>
    <x v="2"/>
    <s v="2014/2810"/>
    <s v="Combined Main Market, Entrance site and Thessaly College site"/>
    <s v="New Covent Garden Market, Nine Elms Lane"/>
    <s v="ENTRANCE SITE - E6"/>
    <n v="529369"/>
    <n v="177317"/>
    <x v="6"/>
    <d v="2017-03-31T00:00:00"/>
    <m/>
    <n v="0"/>
    <n v="95"/>
    <n v="95"/>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1.3999999761581401"/>
    <m/>
    <x v="0"/>
    <m/>
    <x v="0"/>
    <s v="P"/>
    <s v="2.1.29"/>
    <m/>
    <n v="0"/>
    <m/>
    <n v="0"/>
    <m/>
    <n v="12"/>
    <n v="19"/>
    <n v="57"/>
    <n v="7"/>
    <n v="0"/>
    <n v="0"/>
    <n v="0"/>
    <n v="12"/>
    <n v="19"/>
    <n v="57"/>
    <n v="7"/>
    <n v="0"/>
    <n v="0"/>
    <n v="0"/>
    <n v="0"/>
    <n v="0"/>
    <n v="0"/>
    <n v="0"/>
    <n v="0"/>
    <n v="0"/>
    <n v="0"/>
    <n v="0"/>
    <n v="0"/>
    <n v="0"/>
    <n v="0"/>
    <n v="0"/>
    <n v="0"/>
    <n v="0"/>
    <s v="Strategic Planning/Nine Elms"/>
    <x v="0"/>
    <x v="1"/>
    <x v="1"/>
    <x v="0"/>
    <x v="0"/>
    <x v="0"/>
    <m/>
    <x v="0"/>
    <s v="Y"/>
    <n v="12"/>
    <m/>
    <n v="0"/>
    <n v="0"/>
    <n v="0"/>
    <n v="0"/>
    <n v="0"/>
    <n v="0"/>
    <n v="0"/>
    <n v="0"/>
    <n v="0"/>
    <n v="0"/>
    <n v="95"/>
    <n v="0"/>
    <n v="0"/>
    <n v="0"/>
    <n v="0"/>
    <n v="0"/>
    <n v="0"/>
    <n v="0"/>
    <n v="0"/>
    <n v="0"/>
    <n v="0"/>
    <n v="0"/>
    <n v="95"/>
  </r>
  <r>
    <n v="3511"/>
    <x v="2"/>
    <s v="2014/2810"/>
    <s v="Combined Main Market, Entrance site and Thessaly College site"/>
    <s v="New Covent Garden Market, Nine Elms Lane"/>
    <s v="ENTRANCE SITE - E8"/>
    <n v="529369"/>
    <n v="177317"/>
    <x v="6"/>
    <d v="2017-03-31T00:00:00"/>
    <m/>
    <n v="0"/>
    <n v="87"/>
    <n v="87"/>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m/>
    <x v="0"/>
    <m/>
    <x v="0"/>
    <s v="P"/>
    <s v="2.1.29"/>
    <m/>
    <n v="0"/>
    <m/>
    <n v="0"/>
    <m/>
    <n v="0"/>
    <n v="17"/>
    <n v="30"/>
    <n v="40"/>
    <n v="0"/>
    <n v="0"/>
    <n v="0"/>
    <n v="0"/>
    <n v="17"/>
    <n v="30"/>
    <n v="40"/>
    <n v="0"/>
    <n v="0"/>
    <n v="0"/>
    <n v="0"/>
    <n v="0"/>
    <n v="0"/>
    <n v="0"/>
    <n v="0"/>
    <n v="0"/>
    <n v="0"/>
    <n v="0"/>
    <n v="0"/>
    <n v="0"/>
    <n v="0"/>
    <n v="0"/>
    <n v="0"/>
    <n v="0"/>
    <s v="Strategic Planning/Nine Elms"/>
    <x v="0"/>
    <x v="1"/>
    <x v="1"/>
    <x v="0"/>
    <x v="0"/>
    <x v="0"/>
    <m/>
    <x v="0"/>
    <s v="Y"/>
    <n v="12"/>
    <m/>
    <n v="0"/>
    <n v="0"/>
    <n v="0"/>
    <n v="0"/>
    <n v="0"/>
    <n v="0"/>
    <n v="0"/>
    <n v="0"/>
    <n v="0"/>
    <n v="0"/>
    <n v="0"/>
    <n v="87"/>
    <n v="0"/>
    <n v="0"/>
    <n v="0"/>
    <n v="0"/>
    <n v="0"/>
    <n v="0"/>
    <n v="0"/>
    <n v="0"/>
    <n v="0"/>
    <n v="0"/>
    <n v="0"/>
  </r>
  <r>
    <n v="3511"/>
    <x v="2"/>
    <s v="2014/2810"/>
    <s v="Combined Main Market, Entrance site and Thessaly College site"/>
    <s v="New Covent Garden Market, Nine Elms Lane"/>
    <s v="NORTHERN SITE - N1"/>
    <n v="529369"/>
    <n v="177317"/>
    <x v="6"/>
    <d v="2017-03-31T00:00:00"/>
    <m/>
    <n v="0"/>
    <n v="198"/>
    <n v="198"/>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m/>
    <x v="0"/>
    <m/>
    <x v="0"/>
    <s v="P"/>
    <s v="2.1.29"/>
    <m/>
    <n v="0"/>
    <m/>
    <n v="0"/>
    <m/>
    <n v="23"/>
    <n v="40"/>
    <n v="120"/>
    <n v="15"/>
    <n v="0"/>
    <n v="0"/>
    <n v="0"/>
    <n v="23"/>
    <n v="40"/>
    <n v="120"/>
    <n v="15"/>
    <n v="0"/>
    <n v="0"/>
    <n v="0"/>
    <n v="0"/>
    <n v="0"/>
    <n v="0"/>
    <n v="0"/>
    <n v="0"/>
    <n v="0"/>
    <n v="0"/>
    <n v="0"/>
    <n v="0"/>
    <n v="0"/>
    <n v="0"/>
    <n v="0"/>
    <n v="0"/>
    <n v="0"/>
    <s v="Strategic Planning/Nine Elms"/>
    <x v="0"/>
    <x v="1"/>
    <x v="1"/>
    <x v="0"/>
    <x v="0"/>
    <x v="0"/>
    <m/>
    <x v="0"/>
    <s v="Y"/>
    <n v="12"/>
    <m/>
    <n v="0"/>
    <n v="0"/>
    <n v="0"/>
    <n v="198"/>
    <n v="0"/>
    <n v="0"/>
    <n v="0"/>
    <n v="0"/>
    <n v="0"/>
    <n v="0"/>
    <n v="0"/>
    <n v="0"/>
    <n v="0"/>
    <n v="0"/>
    <n v="0"/>
    <n v="0"/>
    <n v="0"/>
    <n v="0"/>
    <n v="0"/>
    <n v="0"/>
    <n v="0"/>
    <n v="198"/>
    <n v="198"/>
  </r>
  <r>
    <n v="3511"/>
    <x v="2"/>
    <s v="2014/2810"/>
    <s v="Combined Main Market, Entrance site and Thessaly College site"/>
    <s v="New Covent Garden Market, Nine Elms Lane"/>
    <s v="NORTHERN SITE - N10"/>
    <n v="529369"/>
    <n v="177317"/>
    <x v="6"/>
    <d v="2017-03-31T00:00:00"/>
    <m/>
    <n v="0"/>
    <n v="338"/>
    <n v="338"/>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m/>
    <x v="0"/>
    <m/>
    <x v="0"/>
    <s v="P"/>
    <s v="2.1.29"/>
    <m/>
    <n v="0"/>
    <m/>
    <n v="0"/>
    <m/>
    <n v="0"/>
    <n v="67"/>
    <n v="119"/>
    <n v="152"/>
    <n v="0"/>
    <n v="0"/>
    <n v="0"/>
    <n v="0"/>
    <n v="67"/>
    <n v="119"/>
    <n v="152"/>
    <n v="0"/>
    <n v="0"/>
    <n v="0"/>
    <n v="0"/>
    <n v="0"/>
    <n v="0"/>
    <n v="0"/>
    <n v="0"/>
    <n v="0"/>
    <n v="0"/>
    <n v="0"/>
    <n v="0"/>
    <n v="0"/>
    <n v="0"/>
    <n v="0"/>
    <n v="0"/>
    <n v="0"/>
    <s v="Strategic Planning/Nine Elms"/>
    <x v="0"/>
    <x v="1"/>
    <x v="1"/>
    <x v="0"/>
    <x v="0"/>
    <x v="0"/>
    <m/>
    <x v="0"/>
    <s v="Y"/>
    <n v="12"/>
    <m/>
    <n v="0"/>
    <n v="0"/>
    <n v="0"/>
    <n v="0"/>
    <n v="338"/>
    <n v="0"/>
    <n v="0"/>
    <n v="0"/>
    <n v="0"/>
    <n v="0"/>
    <n v="0"/>
    <n v="0"/>
    <n v="0"/>
    <n v="0"/>
    <n v="0"/>
    <n v="0"/>
    <n v="0"/>
    <n v="0"/>
    <n v="0"/>
    <n v="0"/>
    <n v="0"/>
    <n v="338"/>
    <n v="338"/>
  </r>
  <r>
    <n v="3511"/>
    <x v="2"/>
    <s v="2014/2810"/>
    <s v="Combined Main Market, Entrance site and Thessaly College site"/>
    <s v="New Covent Garden Market, Nine Elms Lane"/>
    <s v="NORTHERN SITE - N12"/>
    <n v="529369"/>
    <n v="177317"/>
    <x v="6"/>
    <d v="2017-03-31T00:00:00"/>
    <m/>
    <n v="0"/>
    <n v="13"/>
    <n v="13"/>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m/>
    <x v="0"/>
    <m/>
    <x v="1"/>
    <s v="HASO"/>
    <s v="2.1.29"/>
    <m/>
    <n v="0"/>
    <m/>
    <n v="0"/>
    <m/>
    <n v="0"/>
    <n v="6"/>
    <n v="6"/>
    <n v="1"/>
    <n v="0"/>
    <n v="0"/>
    <n v="0"/>
    <n v="0"/>
    <n v="6"/>
    <n v="6"/>
    <n v="1"/>
    <n v="0"/>
    <n v="0"/>
    <n v="0"/>
    <n v="0"/>
    <n v="0"/>
    <n v="0"/>
    <n v="0"/>
    <n v="0"/>
    <n v="0"/>
    <n v="0"/>
    <n v="0"/>
    <n v="0"/>
    <n v="0"/>
    <n v="0"/>
    <n v="0"/>
    <n v="0"/>
    <n v="0"/>
    <s v="Strategic Planning/Nine Elms"/>
    <x v="0"/>
    <x v="1"/>
    <x v="1"/>
    <x v="0"/>
    <x v="0"/>
    <x v="0"/>
    <m/>
    <x v="0"/>
    <s v="Y"/>
    <n v="12"/>
    <m/>
    <n v="0"/>
    <n v="0"/>
    <n v="13"/>
    <n v="0"/>
    <n v="0"/>
    <n v="0"/>
    <n v="0"/>
    <n v="0"/>
    <n v="0"/>
    <n v="0"/>
    <n v="0"/>
    <n v="0"/>
    <n v="0"/>
    <n v="0"/>
    <n v="0"/>
    <n v="0"/>
    <n v="0"/>
    <n v="0"/>
    <n v="0"/>
    <n v="0"/>
    <n v="0"/>
    <n v="13"/>
    <n v="13"/>
  </r>
  <r>
    <n v="3511"/>
    <x v="2"/>
    <s v="2014/2810"/>
    <s v="Combined Main Market, Entrance site and Thessaly College site"/>
    <s v="New Covent Garden Market, Nine Elms Lane"/>
    <s v="NORTHERN SITE - N2A"/>
    <n v="529369"/>
    <n v="177317"/>
    <x v="6"/>
    <d v="2017-03-31T00:00:00"/>
    <m/>
    <n v="0"/>
    <n v="81"/>
    <n v="81"/>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m/>
    <x v="0"/>
    <m/>
    <x v="1"/>
    <s v="HASO"/>
    <s v="2.1.29"/>
    <m/>
    <n v="0"/>
    <m/>
    <n v="0"/>
    <m/>
    <n v="0"/>
    <n v="37"/>
    <n v="36"/>
    <n v="8"/>
    <n v="0"/>
    <n v="0"/>
    <n v="0"/>
    <n v="0"/>
    <n v="37"/>
    <n v="36"/>
    <n v="8"/>
    <n v="0"/>
    <n v="0"/>
    <n v="0"/>
    <n v="0"/>
    <n v="0"/>
    <n v="0"/>
    <n v="0"/>
    <n v="0"/>
    <n v="0"/>
    <n v="0"/>
    <n v="0"/>
    <n v="0"/>
    <n v="0"/>
    <n v="0"/>
    <n v="0"/>
    <n v="0"/>
    <n v="0"/>
    <s v="Strategic Planning/Nine Elms"/>
    <x v="0"/>
    <x v="1"/>
    <x v="1"/>
    <x v="0"/>
    <x v="0"/>
    <x v="0"/>
    <m/>
    <x v="0"/>
    <s v="Y"/>
    <n v="12"/>
    <m/>
    <n v="0"/>
    <n v="0"/>
    <n v="0"/>
    <n v="81"/>
    <n v="0"/>
    <n v="0"/>
    <n v="0"/>
    <n v="0"/>
    <n v="0"/>
    <n v="0"/>
    <n v="0"/>
    <n v="0"/>
    <n v="0"/>
    <n v="0"/>
    <n v="0"/>
    <n v="0"/>
    <n v="0"/>
    <n v="0"/>
    <n v="0"/>
    <n v="0"/>
    <n v="0"/>
    <n v="81"/>
    <n v="81"/>
  </r>
  <r>
    <n v="3511"/>
    <x v="2"/>
    <s v="2014/2810"/>
    <s v="Combined Main Market, Entrance site and Thessaly College site"/>
    <s v="New Covent Garden Market, Nine Elms Lane"/>
    <s v="NORTHERN SITE - N2B"/>
    <n v="529369"/>
    <n v="177317"/>
    <x v="6"/>
    <d v="2017-03-31T00:00:00"/>
    <m/>
    <n v="0"/>
    <n v="73"/>
    <n v="73"/>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m/>
    <x v="0"/>
    <m/>
    <x v="0"/>
    <s v="P"/>
    <s v="2.1.29"/>
    <m/>
    <n v="0"/>
    <m/>
    <n v="0"/>
    <m/>
    <n v="9"/>
    <n v="15"/>
    <n v="43"/>
    <n v="6"/>
    <n v="0"/>
    <n v="0"/>
    <n v="0"/>
    <n v="9"/>
    <n v="15"/>
    <n v="43"/>
    <n v="6"/>
    <n v="0"/>
    <n v="0"/>
    <n v="0"/>
    <n v="0"/>
    <n v="0"/>
    <n v="0"/>
    <n v="0"/>
    <n v="0"/>
    <n v="0"/>
    <n v="0"/>
    <n v="0"/>
    <n v="0"/>
    <n v="0"/>
    <n v="0"/>
    <n v="0"/>
    <n v="0"/>
    <n v="0"/>
    <s v="Strategic Planning/Nine Elms"/>
    <x v="0"/>
    <x v="1"/>
    <x v="1"/>
    <x v="0"/>
    <x v="0"/>
    <x v="0"/>
    <m/>
    <x v="0"/>
    <s v="Y"/>
    <n v="12"/>
    <m/>
    <n v="0"/>
    <n v="0"/>
    <n v="0"/>
    <n v="73"/>
    <n v="0"/>
    <n v="0"/>
    <n v="0"/>
    <n v="0"/>
    <n v="0"/>
    <n v="0"/>
    <n v="0"/>
    <n v="0"/>
    <n v="0"/>
    <n v="0"/>
    <n v="0"/>
    <n v="0"/>
    <n v="0"/>
    <n v="0"/>
    <n v="0"/>
    <n v="0"/>
    <n v="0"/>
    <n v="73"/>
    <n v="73"/>
  </r>
  <r>
    <n v="3511"/>
    <x v="2"/>
    <s v="2014/2810"/>
    <s v="Combined Main Market, Entrance site and Thessaly College site"/>
    <s v="New Covent Garden Market, Nine Elms Lane"/>
    <s v="NORTHERN SITE - N3"/>
    <n v="529369"/>
    <n v="177317"/>
    <x v="6"/>
    <d v="2017-03-31T00:00:00"/>
    <m/>
    <n v="0"/>
    <n v="84"/>
    <n v="84"/>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m/>
    <x v="0"/>
    <m/>
    <x v="0"/>
    <s v="P"/>
    <s v="2.1.29"/>
    <m/>
    <n v="0"/>
    <m/>
    <n v="0"/>
    <m/>
    <n v="11"/>
    <n v="17"/>
    <n v="50"/>
    <n v="6"/>
    <n v="0"/>
    <n v="0"/>
    <n v="0"/>
    <n v="11"/>
    <n v="17"/>
    <n v="50"/>
    <n v="6"/>
    <n v="0"/>
    <n v="0"/>
    <n v="0"/>
    <n v="0"/>
    <n v="0"/>
    <n v="0"/>
    <n v="0"/>
    <n v="0"/>
    <n v="0"/>
    <n v="0"/>
    <n v="0"/>
    <n v="0"/>
    <n v="0"/>
    <n v="0"/>
    <n v="0"/>
    <n v="0"/>
    <n v="0"/>
    <s v="Strategic Planning/Nine Elms"/>
    <x v="0"/>
    <x v="1"/>
    <x v="1"/>
    <x v="0"/>
    <x v="0"/>
    <x v="0"/>
    <m/>
    <x v="0"/>
    <s v="Y"/>
    <n v="12"/>
    <m/>
    <n v="0"/>
    <n v="0"/>
    <n v="0"/>
    <n v="84"/>
    <n v="0"/>
    <n v="0"/>
    <n v="0"/>
    <n v="0"/>
    <n v="0"/>
    <n v="0"/>
    <n v="0"/>
    <n v="0"/>
    <n v="0"/>
    <n v="0"/>
    <n v="0"/>
    <n v="0"/>
    <n v="0"/>
    <n v="0"/>
    <n v="0"/>
    <n v="0"/>
    <n v="0"/>
    <n v="84"/>
    <n v="84"/>
  </r>
  <r>
    <n v="3511"/>
    <x v="2"/>
    <s v="2014/2810"/>
    <s v="Combined Main Market, Entrance site and Thessaly College site"/>
    <s v="New Covent Garden Market, Nine Elms Lane"/>
    <s v="NORTHERN SITE - N4"/>
    <n v="529369"/>
    <n v="177317"/>
    <x v="6"/>
    <d v="2017-03-31T00:00:00"/>
    <m/>
    <n v="0"/>
    <n v="81"/>
    <n v="81"/>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m/>
    <x v="0"/>
    <m/>
    <x v="0"/>
    <s v="P"/>
    <s v="2.1.29"/>
    <m/>
    <n v="0"/>
    <m/>
    <n v="0"/>
    <m/>
    <n v="10"/>
    <n v="16"/>
    <n v="49"/>
    <n v="6"/>
    <n v="0"/>
    <n v="0"/>
    <n v="0"/>
    <n v="10"/>
    <n v="16"/>
    <n v="49"/>
    <n v="6"/>
    <n v="0"/>
    <n v="0"/>
    <n v="0"/>
    <n v="0"/>
    <n v="0"/>
    <n v="0"/>
    <n v="0"/>
    <n v="0"/>
    <n v="0"/>
    <n v="0"/>
    <n v="0"/>
    <n v="0"/>
    <n v="0"/>
    <n v="0"/>
    <n v="0"/>
    <n v="0"/>
    <n v="0"/>
    <s v="Strategic Planning/Nine Elms"/>
    <x v="0"/>
    <x v="1"/>
    <x v="1"/>
    <x v="0"/>
    <x v="0"/>
    <x v="0"/>
    <m/>
    <x v="0"/>
    <s v="Y"/>
    <n v="12"/>
    <m/>
    <n v="0"/>
    <n v="0"/>
    <n v="0"/>
    <n v="81"/>
    <n v="0"/>
    <n v="0"/>
    <n v="0"/>
    <n v="0"/>
    <n v="0"/>
    <n v="0"/>
    <n v="0"/>
    <n v="0"/>
    <n v="0"/>
    <n v="0"/>
    <n v="0"/>
    <n v="0"/>
    <n v="0"/>
    <n v="0"/>
    <n v="0"/>
    <n v="0"/>
    <n v="0"/>
    <n v="81"/>
    <n v="81"/>
  </r>
  <r>
    <n v="3511"/>
    <x v="2"/>
    <s v="2014/2810"/>
    <s v="Combined Main Market, Entrance site and Thessaly College site"/>
    <s v="New Covent Garden Market, Nine Elms Lane"/>
    <s v="NORTHERN SITE - N5"/>
    <n v="529369"/>
    <n v="177317"/>
    <x v="6"/>
    <d v="2017-03-31T00:00:00"/>
    <m/>
    <n v="0"/>
    <n v="116"/>
    <n v="116"/>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m/>
    <x v="0"/>
    <m/>
    <x v="0"/>
    <s v="P"/>
    <s v="2.1.29"/>
    <m/>
    <n v="0"/>
    <m/>
    <n v="0"/>
    <m/>
    <n v="12"/>
    <n v="24"/>
    <n v="71"/>
    <n v="9"/>
    <n v="0"/>
    <n v="0"/>
    <n v="0"/>
    <n v="12"/>
    <n v="24"/>
    <n v="71"/>
    <n v="9"/>
    <n v="0"/>
    <n v="0"/>
    <n v="0"/>
    <n v="0"/>
    <n v="0"/>
    <n v="0"/>
    <n v="0"/>
    <n v="0"/>
    <n v="0"/>
    <n v="0"/>
    <n v="0"/>
    <n v="0"/>
    <n v="0"/>
    <n v="0"/>
    <n v="0"/>
    <n v="0"/>
    <n v="0"/>
    <s v="Strategic Planning/Nine Elms"/>
    <x v="0"/>
    <x v="1"/>
    <x v="1"/>
    <x v="0"/>
    <x v="0"/>
    <x v="0"/>
    <m/>
    <x v="0"/>
    <s v="Y"/>
    <n v="12"/>
    <m/>
    <n v="0"/>
    <n v="0"/>
    <n v="0"/>
    <n v="116"/>
    <n v="0"/>
    <n v="0"/>
    <n v="0"/>
    <n v="0"/>
    <n v="0"/>
    <n v="0"/>
    <n v="0"/>
    <n v="0"/>
    <n v="0"/>
    <n v="0"/>
    <n v="0"/>
    <n v="0"/>
    <n v="0"/>
    <n v="0"/>
    <n v="0"/>
    <n v="0"/>
    <n v="0"/>
    <n v="116"/>
    <n v="116"/>
  </r>
  <r>
    <n v="3511"/>
    <x v="2"/>
    <s v="2014/2810"/>
    <s v="Combined Main Market, Entrance site and Thessaly College site"/>
    <s v="New Covent Garden Market, Nine Elms Lane"/>
    <s v="NORTHERN SITE - N6"/>
    <n v="529369"/>
    <n v="177317"/>
    <x v="6"/>
    <d v="2017-03-31T00:00:00"/>
    <m/>
    <n v="0"/>
    <n v="120"/>
    <n v="120"/>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m/>
    <x v="0"/>
    <m/>
    <x v="0"/>
    <s v="P"/>
    <s v="2.1.29"/>
    <m/>
    <n v="0"/>
    <m/>
    <n v="0"/>
    <m/>
    <n v="0"/>
    <n v="24"/>
    <n v="42"/>
    <n v="54"/>
    <n v="0"/>
    <n v="0"/>
    <n v="0"/>
    <n v="0"/>
    <n v="24"/>
    <n v="42"/>
    <n v="54"/>
    <n v="0"/>
    <n v="0"/>
    <n v="0"/>
    <n v="0"/>
    <n v="0"/>
    <n v="0"/>
    <n v="0"/>
    <n v="0"/>
    <n v="0"/>
    <n v="0"/>
    <n v="0"/>
    <n v="0"/>
    <n v="0"/>
    <n v="0"/>
    <n v="0"/>
    <n v="0"/>
    <n v="0"/>
    <s v="Strategic Planning/Nine Elms"/>
    <x v="0"/>
    <x v="1"/>
    <x v="1"/>
    <x v="0"/>
    <x v="0"/>
    <x v="0"/>
    <m/>
    <x v="0"/>
    <s v="Y"/>
    <n v="12"/>
    <m/>
    <n v="0"/>
    <n v="0"/>
    <n v="0"/>
    <n v="120"/>
    <n v="0"/>
    <n v="0"/>
    <n v="0"/>
    <n v="0"/>
    <n v="0"/>
    <n v="0"/>
    <n v="0"/>
    <n v="0"/>
    <n v="0"/>
    <n v="0"/>
    <n v="0"/>
    <n v="0"/>
    <n v="0"/>
    <n v="0"/>
    <n v="0"/>
    <n v="0"/>
    <n v="0"/>
    <n v="120"/>
    <n v="120"/>
  </r>
  <r>
    <n v="3511"/>
    <x v="2"/>
    <s v="2014/2810"/>
    <s v="Combined Main Market, Entrance site and Thessaly College site"/>
    <s v="New Covent Garden Market, Nine Elms Lane"/>
    <s v="NORTHERN SITE - N7"/>
    <n v="529369"/>
    <n v="177317"/>
    <x v="6"/>
    <d v="2017-03-31T00:00:00"/>
    <m/>
    <n v="0"/>
    <n v="166"/>
    <n v="166"/>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m/>
    <x v="0"/>
    <m/>
    <x v="0"/>
    <s v="P"/>
    <s v="2.1.29"/>
    <m/>
    <n v="0"/>
    <m/>
    <n v="0"/>
    <m/>
    <n v="0"/>
    <n v="33"/>
    <n v="58"/>
    <n v="75"/>
    <n v="0"/>
    <n v="0"/>
    <n v="0"/>
    <n v="0"/>
    <n v="33"/>
    <n v="58"/>
    <n v="75"/>
    <n v="0"/>
    <n v="0"/>
    <n v="0"/>
    <n v="0"/>
    <n v="0"/>
    <n v="0"/>
    <n v="0"/>
    <n v="0"/>
    <n v="0"/>
    <n v="0"/>
    <n v="0"/>
    <n v="0"/>
    <n v="0"/>
    <n v="0"/>
    <n v="0"/>
    <n v="0"/>
    <n v="0"/>
    <s v="Strategic Planning/Nine Elms"/>
    <x v="0"/>
    <x v="1"/>
    <x v="1"/>
    <x v="0"/>
    <x v="0"/>
    <x v="0"/>
    <m/>
    <x v="0"/>
    <s v="Y"/>
    <n v="12"/>
    <m/>
    <n v="0"/>
    <n v="0"/>
    <n v="0"/>
    <n v="166"/>
    <n v="0"/>
    <n v="0"/>
    <n v="0"/>
    <n v="0"/>
    <n v="0"/>
    <n v="0"/>
    <n v="0"/>
    <n v="0"/>
    <n v="0"/>
    <n v="0"/>
    <n v="0"/>
    <n v="0"/>
    <n v="0"/>
    <n v="0"/>
    <n v="0"/>
    <n v="0"/>
    <n v="0"/>
    <n v="166"/>
    <n v="166"/>
  </r>
  <r>
    <n v="3511"/>
    <x v="2"/>
    <s v="2014/2810"/>
    <s v="Combined Main Market, Entrance site and Thessaly College site"/>
    <s v="New Covent Garden Market, Nine Elms Lane"/>
    <s v="NORTHERN SITE - N8"/>
    <n v="529369"/>
    <n v="177317"/>
    <x v="6"/>
    <d v="2017-03-31T00:00:00"/>
    <m/>
    <n v="0"/>
    <n v="346"/>
    <n v="346"/>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d v="2018-03-31T00:00:00"/>
    <x v="1"/>
    <m/>
    <x v="0"/>
    <s v="P"/>
    <s v="2.1.29"/>
    <m/>
    <n v="0"/>
    <m/>
    <n v="0"/>
    <m/>
    <n v="0"/>
    <n v="86"/>
    <n v="123"/>
    <n v="137"/>
    <n v="0"/>
    <n v="0"/>
    <n v="0"/>
    <n v="0"/>
    <n v="86"/>
    <n v="123"/>
    <n v="137"/>
    <n v="0"/>
    <n v="0"/>
    <n v="0"/>
    <n v="0"/>
    <n v="0"/>
    <n v="0"/>
    <n v="0"/>
    <n v="0"/>
    <n v="0"/>
    <n v="0"/>
    <n v="0"/>
    <n v="0"/>
    <n v="0"/>
    <n v="0"/>
    <n v="0"/>
    <n v="0"/>
    <n v="0"/>
    <s v="Strategic Planning/Nine Elms"/>
    <x v="0"/>
    <x v="1"/>
    <x v="1"/>
    <x v="0"/>
    <x v="0"/>
    <x v="0"/>
    <m/>
    <x v="0"/>
    <s v="Y"/>
    <n v="12"/>
    <m/>
    <n v="0"/>
    <n v="0"/>
    <n v="0"/>
    <n v="0"/>
    <n v="346"/>
    <n v="0"/>
    <n v="0"/>
    <n v="0"/>
    <n v="0"/>
    <n v="0"/>
    <n v="0"/>
    <n v="0"/>
    <n v="0"/>
    <n v="0"/>
    <n v="0"/>
    <n v="0"/>
    <n v="0"/>
    <n v="0"/>
    <n v="0"/>
    <n v="0"/>
    <n v="0"/>
    <n v="346"/>
    <n v="346"/>
  </r>
  <r>
    <n v="3511"/>
    <x v="2"/>
    <s v="2014/2810"/>
    <s v="Combined Main Market, Entrance site and Thessaly College site"/>
    <s v="New Covent Garden Market, Nine Elms Lane"/>
    <s v="NORTHERN SITE - N9"/>
    <n v="529369"/>
    <n v="177317"/>
    <x v="6"/>
    <d v="2017-03-31T00:00:00"/>
    <m/>
    <n v="0"/>
    <n v="251"/>
    <n v="251"/>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m/>
    <x v="0"/>
    <m/>
    <x v="0"/>
    <s v="P"/>
    <s v="2.1.29"/>
    <m/>
    <n v="0"/>
    <m/>
    <n v="0"/>
    <m/>
    <n v="0"/>
    <n v="50"/>
    <n v="88"/>
    <n v="113"/>
    <n v="0"/>
    <n v="0"/>
    <n v="0"/>
    <n v="0"/>
    <n v="50"/>
    <n v="88"/>
    <n v="113"/>
    <n v="0"/>
    <n v="0"/>
    <n v="0"/>
    <n v="0"/>
    <n v="0"/>
    <n v="0"/>
    <n v="0"/>
    <n v="0"/>
    <n v="0"/>
    <n v="0"/>
    <n v="0"/>
    <n v="0"/>
    <n v="0"/>
    <n v="0"/>
    <n v="0"/>
    <n v="0"/>
    <n v="0"/>
    <s v="Strategic Planning/Nine Elms"/>
    <x v="0"/>
    <x v="1"/>
    <x v="1"/>
    <x v="0"/>
    <x v="0"/>
    <x v="0"/>
    <m/>
    <x v="0"/>
    <s v="Y"/>
    <n v="12"/>
    <m/>
    <n v="0"/>
    <n v="0"/>
    <n v="0"/>
    <n v="251"/>
    <n v="0"/>
    <n v="0"/>
    <n v="0"/>
    <n v="0"/>
    <n v="0"/>
    <n v="0"/>
    <n v="0"/>
    <n v="0"/>
    <n v="0"/>
    <n v="0"/>
    <n v="0"/>
    <n v="0"/>
    <n v="0"/>
    <n v="0"/>
    <n v="0"/>
    <n v="0"/>
    <n v="0"/>
    <n v="251"/>
    <n v="251"/>
  </r>
  <r>
    <n v="3511"/>
    <x v="2"/>
    <s v="2014/2810"/>
    <s v="Combined Main Market, Entrance site and Thessaly College site"/>
    <s v="New Covent Garden Market, Nine Elms Lane"/>
    <s v="THESSALY ROAD SITE - T2"/>
    <n v="529369"/>
    <n v="177317"/>
    <x v="6"/>
    <d v="2017-03-31T00:00:00"/>
    <m/>
    <n v="0"/>
    <n v="17"/>
    <n v="17"/>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m/>
    <x v="0"/>
    <m/>
    <x v="2"/>
    <s v="HASR"/>
    <s v="2.1.29"/>
    <m/>
    <n v="0"/>
    <m/>
    <n v="0"/>
    <m/>
    <n v="0"/>
    <n v="2"/>
    <n v="7"/>
    <n v="8"/>
    <n v="0"/>
    <n v="0"/>
    <n v="0"/>
    <n v="0"/>
    <n v="2"/>
    <n v="7"/>
    <n v="8"/>
    <n v="0"/>
    <n v="0"/>
    <n v="0"/>
    <n v="0"/>
    <n v="0"/>
    <n v="0"/>
    <n v="0"/>
    <n v="0"/>
    <n v="0"/>
    <n v="0"/>
    <n v="0"/>
    <n v="0"/>
    <n v="0"/>
    <n v="0"/>
    <n v="0"/>
    <n v="0"/>
    <n v="0"/>
    <s v="Strategic Planning/Nine Elms"/>
    <x v="0"/>
    <x v="1"/>
    <x v="1"/>
    <x v="0"/>
    <x v="0"/>
    <x v="0"/>
    <m/>
    <x v="0"/>
    <s v="Y"/>
    <n v="12"/>
    <m/>
    <n v="0"/>
    <n v="0"/>
    <n v="0"/>
    <n v="0"/>
    <n v="0"/>
    <n v="0"/>
    <n v="0"/>
    <n v="0"/>
    <n v="0"/>
    <n v="17"/>
    <n v="0"/>
    <n v="0"/>
    <n v="0"/>
    <n v="0"/>
    <n v="0"/>
    <n v="0"/>
    <n v="0"/>
    <n v="0"/>
    <n v="0"/>
    <n v="0"/>
    <n v="0"/>
    <n v="0"/>
    <n v="17"/>
  </r>
  <r>
    <n v="3511"/>
    <x v="2"/>
    <s v="2014/2810"/>
    <s v="Combined Main Market, Entrance site and Thessaly College site"/>
    <s v="New Covent Garden Market, Nine Elms Lane"/>
    <s v="THESSALY ROAD SITE - T3A"/>
    <n v="529369"/>
    <n v="177317"/>
    <x v="6"/>
    <d v="2017-03-31T00:00:00"/>
    <m/>
    <n v="0"/>
    <n v="11"/>
    <n v="11"/>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m/>
    <x v="0"/>
    <m/>
    <x v="1"/>
    <s v="HASO"/>
    <s v="2.1.29"/>
    <m/>
    <n v="0"/>
    <m/>
    <n v="0"/>
    <m/>
    <n v="0"/>
    <n v="2"/>
    <n v="5"/>
    <n v="4"/>
    <n v="0"/>
    <n v="0"/>
    <n v="0"/>
    <n v="0"/>
    <n v="2"/>
    <n v="5"/>
    <n v="4"/>
    <n v="0"/>
    <n v="0"/>
    <n v="0"/>
    <n v="0"/>
    <n v="0"/>
    <n v="0"/>
    <n v="0"/>
    <n v="0"/>
    <n v="0"/>
    <n v="0"/>
    <n v="0"/>
    <n v="0"/>
    <n v="0"/>
    <n v="0"/>
    <n v="0"/>
    <n v="0"/>
    <n v="0"/>
    <s v="Strategic Planning/Nine Elms"/>
    <x v="0"/>
    <x v="1"/>
    <x v="1"/>
    <x v="0"/>
    <x v="0"/>
    <x v="0"/>
    <m/>
    <x v="0"/>
    <s v="Y"/>
    <n v="12"/>
    <m/>
    <n v="0"/>
    <n v="0"/>
    <n v="0"/>
    <n v="0"/>
    <n v="0"/>
    <n v="0"/>
    <n v="0"/>
    <n v="0"/>
    <n v="0"/>
    <n v="11"/>
    <n v="0"/>
    <n v="0"/>
    <n v="0"/>
    <n v="0"/>
    <n v="0"/>
    <n v="0"/>
    <n v="0"/>
    <n v="0"/>
    <n v="0"/>
    <n v="0"/>
    <n v="0"/>
    <n v="0"/>
    <n v="11"/>
  </r>
  <r>
    <n v="3511"/>
    <x v="2"/>
    <s v="2014/2810"/>
    <s v="Combined Main Market, Entrance site and Thessaly College site"/>
    <s v="New Covent Garden Market, Nine Elms Lane"/>
    <s v="THESSALY ROAD SITE - T3B"/>
    <n v="529369"/>
    <n v="177317"/>
    <x v="6"/>
    <d v="2017-03-31T00:00:00"/>
    <m/>
    <n v="0"/>
    <n v="6"/>
    <n v="6"/>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
    <m/>
    <x v="0"/>
    <m/>
    <x v="2"/>
    <s v="HASR"/>
    <s v="2.1.29"/>
    <m/>
    <n v="0"/>
    <m/>
    <n v="0"/>
    <m/>
    <n v="0"/>
    <n v="0"/>
    <n v="2"/>
    <n v="4"/>
    <n v="0"/>
    <n v="0"/>
    <n v="0"/>
    <n v="0"/>
    <n v="0"/>
    <n v="2"/>
    <n v="4"/>
    <n v="0"/>
    <n v="0"/>
    <n v="0"/>
    <n v="0"/>
    <n v="0"/>
    <n v="0"/>
    <n v="0"/>
    <n v="0"/>
    <n v="0"/>
    <n v="0"/>
    <n v="0"/>
    <n v="0"/>
    <n v="0"/>
    <n v="0"/>
    <n v="0"/>
    <n v="0"/>
    <n v="0"/>
    <s v="Strategic Planning/Nine Elms"/>
    <x v="0"/>
    <x v="1"/>
    <x v="1"/>
    <x v="0"/>
    <x v="0"/>
    <x v="0"/>
    <m/>
    <x v="0"/>
    <s v="Y"/>
    <n v="12"/>
    <m/>
    <n v="0"/>
    <n v="0"/>
    <n v="0"/>
    <n v="0"/>
    <n v="0"/>
    <n v="0"/>
    <n v="0"/>
    <n v="0"/>
    <n v="0"/>
    <n v="6"/>
    <n v="0"/>
    <n v="0"/>
    <n v="0"/>
    <n v="0"/>
    <n v="0"/>
    <n v="0"/>
    <n v="0"/>
    <n v="0"/>
    <n v="0"/>
    <n v="0"/>
    <n v="0"/>
    <n v="0"/>
    <n v="6"/>
  </r>
  <r>
    <n v="3511"/>
    <x v="2"/>
    <s v="2014/2810"/>
    <s v="Combined Main Market, Entrance site and Thessaly College site"/>
    <s v="New Covent Garden Market, Nine Elms Lane"/>
    <s v="THESSALY ROAD SITE - T4"/>
    <n v="529369"/>
    <n v="177317"/>
    <x v="6"/>
    <d v="2017-03-31T00:00:00"/>
    <m/>
    <n v="0"/>
    <n v="17"/>
    <n v="17"/>
    <n v="2971"/>
    <n v="2971"/>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x v="0"/>
    <x v="1"/>
    <x v="1"/>
    <n v="0.30000001192092901"/>
    <m/>
    <x v="0"/>
    <m/>
    <x v="1"/>
    <s v="HASO"/>
    <s v="2.1.29"/>
    <m/>
    <n v="0"/>
    <m/>
    <n v="0"/>
    <m/>
    <n v="0"/>
    <n v="2"/>
    <n v="7"/>
    <n v="8"/>
    <n v="0"/>
    <n v="0"/>
    <n v="0"/>
    <n v="0"/>
    <n v="2"/>
    <n v="7"/>
    <n v="8"/>
    <n v="0"/>
    <n v="0"/>
    <n v="0"/>
    <n v="0"/>
    <n v="0"/>
    <n v="0"/>
    <n v="0"/>
    <n v="0"/>
    <n v="0"/>
    <n v="0"/>
    <n v="0"/>
    <n v="0"/>
    <n v="0"/>
    <n v="0"/>
    <n v="0"/>
    <n v="0"/>
    <n v="0"/>
    <s v="Strategic Planning/Nine Elms"/>
    <x v="0"/>
    <x v="1"/>
    <x v="1"/>
    <x v="0"/>
    <x v="0"/>
    <x v="0"/>
    <m/>
    <x v="0"/>
    <s v="Y"/>
    <n v="12"/>
    <m/>
    <n v="0"/>
    <n v="0"/>
    <n v="0"/>
    <n v="0"/>
    <n v="0"/>
    <n v="0"/>
    <n v="0"/>
    <n v="0"/>
    <n v="0"/>
    <n v="17"/>
    <n v="0"/>
    <n v="0"/>
    <n v="0"/>
    <n v="0"/>
    <n v="0"/>
    <n v="0"/>
    <n v="0"/>
    <n v="0"/>
    <n v="0"/>
    <n v="0"/>
    <n v="0"/>
    <n v="0"/>
    <n v="17"/>
  </r>
  <r>
    <n v="3514"/>
    <x v="2"/>
    <s v="2015/0591"/>
    <m/>
    <s v="Battersea Gasholder, 101 Prince of Wales Drive"/>
    <s v="BLOCK E - PRIVATE"/>
    <n v="528809"/>
    <n v="177181"/>
    <x v="6"/>
    <d v="2016-10-19T00:00:00"/>
    <m/>
    <n v="0"/>
    <n v="62"/>
    <n v="62"/>
    <n v="839"/>
    <n v="839"/>
    <s v="Y"/>
    <s v="Redevelopment of the site to provide a mixed-use development comprising 839 residential units, including affordable housing; approximately 5,700sqm of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_x000d__x000a_An Environmental Statement has been submitted with the application under The Town and Country Planning (Environmental Impact Assessment) Regulations 2011."/>
    <s v="PFLA"/>
    <d v="2015-02-04T00:00:00"/>
    <d v="2015-09-18T00:00:00"/>
    <x v="0"/>
    <s v="Nil"/>
    <m/>
    <s v="BF"/>
    <x v="0"/>
    <x v="1"/>
    <x v="1"/>
    <n v="0.15600000321865101"/>
    <d v="2016-10-19T00:00:00"/>
    <x v="0"/>
    <m/>
    <x v="0"/>
    <s v="P"/>
    <s v="2.1.4"/>
    <m/>
    <n v="62"/>
    <m/>
    <n v="6"/>
    <m/>
    <n v="0"/>
    <n v="14"/>
    <n v="42"/>
    <n v="6"/>
    <n v="0"/>
    <n v="0"/>
    <n v="0"/>
    <n v="0"/>
    <n v="14"/>
    <n v="42"/>
    <n v="6"/>
    <n v="0"/>
    <n v="0"/>
    <n v="0"/>
    <n v="0"/>
    <n v="0"/>
    <n v="0"/>
    <n v="0"/>
    <n v="0"/>
    <n v="0"/>
    <n v="0"/>
    <n v="0"/>
    <n v="0"/>
    <n v="0"/>
    <n v="0"/>
    <n v="0"/>
    <n v="0"/>
    <n v="0"/>
    <s v="Strategic Planning/Nine Elms"/>
    <x v="0"/>
    <x v="1"/>
    <x v="1"/>
    <x v="0"/>
    <x v="0"/>
    <x v="0"/>
    <m/>
    <x v="0"/>
    <s v="Y"/>
    <n v="12"/>
    <m/>
    <n v="0"/>
    <n v="0"/>
    <n v="62"/>
    <n v="0"/>
    <n v="0"/>
    <n v="0"/>
    <n v="0"/>
    <n v="0"/>
    <n v="0"/>
    <n v="0"/>
    <n v="0"/>
    <n v="0"/>
    <n v="0"/>
    <n v="0"/>
    <n v="0"/>
    <n v="0"/>
    <n v="0"/>
    <n v="0"/>
    <n v="0"/>
    <n v="0"/>
    <n v="0"/>
    <n v="62"/>
    <n v="62"/>
  </r>
  <r>
    <n v="3514"/>
    <x v="2"/>
    <s v="2015/0591"/>
    <m/>
    <s v="Battersea Gasholder, 101 Prince of Wales Drive"/>
    <s v="BLOCK J - LEVEL 1 INTERMEDIATE(SO)"/>
    <n v="528809"/>
    <n v="177181"/>
    <x v="6"/>
    <d v="2016-10-19T00:00:00"/>
    <m/>
    <n v="0"/>
    <n v="5"/>
    <n v="5"/>
    <n v="839"/>
    <n v="839"/>
    <s v="Y"/>
    <s v="Redevelopment of the site to provide a mixed-use development comprising 839 residential units, including affordable housing; approximately 5,700sqm of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_x000d__x000a_An Environmental Statement has been submitted with the application under The Town and Country Planning (Environmental Impact Assessment) Regulations 2011."/>
    <s v="PFLA"/>
    <d v="2015-02-04T00:00:00"/>
    <d v="2015-09-18T00:00:00"/>
    <x v="0"/>
    <s v="Nil"/>
    <m/>
    <s v="BF"/>
    <x v="0"/>
    <x v="1"/>
    <x v="1"/>
    <n v="1.7000000923872001E-2"/>
    <d v="2016-10-19T00:00:00"/>
    <x v="0"/>
    <m/>
    <x v="1"/>
    <s v="HASO"/>
    <s v="2.1.4"/>
    <m/>
    <n v="5"/>
    <m/>
    <n v="1"/>
    <m/>
    <n v="0"/>
    <n v="2"/>
    <n v="3"/>
    <n v="0"/>
    <n v="0"/>
    <n v="0"/>
    <n v="0"/>
    <n v="0"/>
    <n v="2"/>
    <n v="3"/>
    <n v="0"/>
    <n v="0"/>
    <n v="0"/>
    <n v="0"/>
    <n v="0"/>
    <n v="0"/>
    <n v="0"/>
    <n v="0"/>
    <n v="0"/>
    <n v="0"/>
    <n v="0"/>
    <n v="0"/>
    <n v="0"/>
    <n v="0"/>
    <n v="0"/>
    <n v="0"/>
    <n v="0"/>
    <n v="0"/>
    <s v="Strategic Planning/Nine Elms"/>
    <x v="0"/>
    <x v="1"/>
    <x v="1"/>
    <x v="0"/>
    <x v="0"/>
    <x v="0"/>
    <m/>
    <x v="0"/>
    <s v="Y"/>
    <n v="12"/>
    <m/>
    <n v="0"/>
    <n v="0"/>
    <n v="5"/>
    <n v="0"/>
    <n v="0"/>
    <n v="0"/>
    <n v="0"/>
    <n v="0"/>
    <n v="0"/>
    <n v="0"/>
    <n v="0"/>
    <n v="0"/>
    <n v="0"/>
    <n v="0"/>
    <n v="0"/>
    <n v="0"/>
    <n v="0"/>
    <n v="0"/>
    <n v="0"/>
    <n v="0"/>
    <n v="0"/>
    <n v="5"/>
    <n v="5"/>
  </r>
  <r>
    <n v="3514"/>
    <x v="2"/>
    <s v="2015/0591"/>
    <m/>
    <s v="Battersea Gasholder, 101 Prince of Wales Drive"/>
    <s v="BLOCK J - LEVEL 2 INTERMEDIATE(SO)"/>
    <n v="528809"/>
    <n v="177181"/>
    <x v="6"/>
    <d v="2016-10-19T00:00:00"/>
    <m/>
    <n v="0"/>
    <n v="5"/>
    <n v="5"/>
    <n v="839"/>
    <n v="839"/>
    <s v="Y"/>
    <s v="Redevelopment of the site to provide a mixed-use development comprising 839 residential units, including affordable housing; approximately 5,700sqm of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_x000d__x000a_An Environmental Statement has been submitted with the application under The Town and Country Planning (Environmental Impact Assessment) Regulations 2011."/>
    <s v="PFLA"/>
    <d v="2015-02-04T00:00:00"/>
    <d v="2015-09-18T00:00:00"/>
    <x v="0"/>
    <s v="Nil"/>
    <m/>
    <s v="BF"/>
    <x v="0"/>
    <x v="1"/>
    <x v="1"/>
    <n v="1.7000000923872001E-2"/>
    <d v="2016-10-19T00:00:00"/>
    <x v="0"/>
    <m/>
    <x v="1"/>
    <s v="HASO"/>
    <s v="2.1.4"/>
    <m/>
    <n v="5"/>
    <m/>
    <n v="1"/>
    <m/>
    <n v="0"/>
    <n v="2"/>
    <n v="3"/>
    <n v="0"/>
    <n v="0"/>
    <n v="0"/>
    <n v="0"/>
    <n v="0"/>
    <n v="2"/>
    <n v="3"/>
    <n v="0"/>
    <n v="0"/>
    <n v="0"/>
    <n v="0"/>
    <n v="0"/>
    <n v="0"/>
    <n v="0"/>
    <n v="0"/>
    <n v="0"/>
    <n v="0"/>
    <n v="0"/>
    <n v="0"/>
    <n v="0"/>
    <n v="0"/>
    <n v="0"/>
    <n v="0"/>
    <n v="0"/>
    <n v="0"/>
    <s v="Strategic Planning/Nine Elms"/>
    <x v="0"/>
    <x v="1"/>
    <x v="1"/>
    <x v="0"/>
    <x v="0"/>
    <x v="0"/>
    <m/>
    <x v="0"/>
    <s v="Y"/>
    <n v="12"/>
    <m/>
    <n v="0"/>
    <n v="0"/>
    <n v="5"/>
    <n v="0"/>
    <n v="0"/>
    <n v="0"/>
    <n v="0"/>
    <n v="0"/>
    <n v="0"/>
    <n v="0"/>
    <n v="0"/>
    <n v="0"/>
    <n v="0"/>
    <n v="0"/>
    <n v="0"/>
    <n v="0"/>
    <n v="0"/>
    <n v="0"/>
    <n v="0"/>
    <n v="0"/>
    <n v="0"/>
    <n v="5"/>
    <n v="5"/>
  </r>
  <r>
    <n v="3514"/>
    <x v="2"/>
    <s v="2015/0591"/>
    <m/>
    <s v="Battersea Gasholder, 101 Prince of Wales Drive"/>
    <s v="BLOCK J - LEVEL 3 INTERMEDIATE(SO)"/>
    <n v="528809"/>
    <n v="177181"/>
    <x v="6"/>
    <d v="2016-10-19T00:00:00"/>
    <m/>
    <n v="0"/>
    <n v="5"/>
    <n v="5"/>
    <n v="839"/>
    <n v="839"/>
    <s v="Y"/>
    <s v="Redevelopment of the site to provide a mixed-use development comprising 839 residential units, including affordable housing; approximately 5,700sqm of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_x000d__x000a_An Environmental Statement has been submitted with the application under The Town and Country Planning (Environmental Impact Assessment) Regulations 2011."/>
    <s v="PFLA"/>
    <d v="2015-02-04T00:00:00"/>
    <d v="2015-09-18T00:00:00"/>
    <x v="0"/>
    <s v="Nil"/>
    <m/>
    <s v="BF"/>
    <x v="0"/>
    <x v="1"/>
    <x v="1"/>
    <n v="1.7000000923872001E-2"/>
    <d v="2016-10-19T00:00:00"/>
    <x v="0"/>
    <m/>
    <x v="1"/>
    <s v="HASO"/>
    <s v="2.1.4"/>
    <m/>
    <n v="5"/>
    <m/>
    <n v="1"/>
    <m/>
    <n v="0"/>
    <n v="2"/>
    <n v="3"/>
    <n v="0"/>
    <n v="0"/>
    <n v="0"/>
    <n v="0"/>
    <n v="0"/>
    <n v="2"/>
    <n v="3"/>
    <n v="0"/>
    <n v="0"/>
    <n v="0"/>
    <n v="0"/>
    <n v="0"/>
    <n v="0"/>
    <n v="0"/>
    <n v="0"/>
    <n v="0"/>
    <n v="0"/>
    <n v="0"/>
    <n v="0"/>
    <n v="0"/>
    <n v="0"/>
    <n v="0"/>
    <n v="0"/>
    <n v="0"/>
    <n v="0"/>
    <s v="Strategic Planning/Nine Elms"/>
    <x v="0"/>
    <x v="1"/>
    <x v="1"/>
    <x v="0"/>
    <x v="0"/>
    <x v="0"/>
    <m/>
    <x v="0"/>
    <s v="Y"/>
    <n v="12"/>
    <m/>
    <n v="0"/>
    <n v="0"/>
    <n v="5"/>
    <n v="0"/>
    <n v="0"/>
    <n v="0"/>
    <n v="0"/>
    <n v="0"/>
    <n v="0"/>
    <n v="0"/>
    <n v="0"/>
    <n v="0"/>
    <n v="0"/>
    <n v="0"/>
    <n v="0"/>
    <n v="0"/>
    <n v="0"/>
    <n v="0"/>
    <n v="0"/>
    <n v="0"/>
    <n v="0"/>
    <n v="5"/>
    <n v="5"/>
  </r>
  <r>
    <n v="3514"/>
    <x v="2"/>
    <s v="2015/0591"/>
    <m/>
    <s v="Battersea Gasholder, 101 Prince of Wales Drive"/>
    <s v="BLOCK J - PRIVATE"/>
    <n v="528809"/>
    <n v="177181"/>
    <x v="6"/>
    <d v="2016-10-19T00:00:00"/>
    <m/>
    <n v="0"/>
    <n v="43"/>
    <n v="43"/>
    <n v="839"/>
    <n v="839"/>
    <s v="Y"/>
    <s v="Redevelopment of the site to provide a mixed-use development comprising 839 residential units, including affordable housing; approximately 5,700sqm of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_x000d__x000a_An Environmental Statement has been submitted with the application under The Town and Country Planning (Environmental Impact Assessment) Regulations 2011."/>
    <s v="PFLA"/>
    <d v="2015-02-04T00:00:00"/>
    <d v="2015-09-18T00:00:00"/>
    <x v="0"/>
    <s v="Nil"/>
    <m/>
    <s v="BF"/>
    <x v="0"/>
    <x v="1"/>
    <x v="1"/>
    <n v="8.9000001549720806E-2"/>
    <d v="2016-10-19T00:00:00"/>
    <x v="0"/>
    <m/>
    <x v="0"/>
    <s v="P"/>
    <s v="2.1.4"/>
    <m/>
    <n v="43"/>
    <m/>
    <n v="4"/>
    <m/>
    <n v="0"/>
    <n v="10"/>
    <n v="25"/>
    <n v="8"/>
    <n v="0"/>
    <n v="0"/>
    <n v="0"/>
    <n v="0"/>
    <n v="10"/>
    <n v="25"/>
    <n v="8"/>
    <n v="0"/>
    <n v="0"/>
    <n v="0"/>
    <n v="0"/>
    <n v="0"/>
    <n v="0"/>
    <n v="0"/>
    <n v="0"/>
    <n v="0"/>
    <n v="0"/>
    <n v="0"/>
    <n v="0"/>
    <n v="0"/>
    <n v="0"/>
    <n v="0"/>
    <n v="0"/>
    <n v="0"/>
    <s v="Strategic Planning/Nine Elms"/>
    <x v="0"/>
    <x v="1"/>
    <x v="1"/>
    <x v="0"/>
    <x v="0"/>
    <x v="0"/>
    <m/>
    <x v="0"/>
    <s v="Y"/>
    <n v="12"/>
    <m/>
    <n v="0"/>
    <n v="0"/>
    <n v="43"/>
    <n v="0"/>
    <n v="0"/>
    <n v="0"/>
    <n v="0"/>
    <n v="0"/>
    <n v="0"/>
    <n v="0"/>
    <n v="0"/>
    <n v="0"/>
    <n v="0"/>
    <n v="0"/>
    <n v="0"/>
    <n v="0"/>
    <n v="0"/>
    <n v="0"/>
    <n v="0"/>
    <n v="0"/>
    <n v="0"/>
    <n v="43"/>
    <n v="43"/>
  </r>
  <r>
    <n v="3514"/>
    <x v="2"/>
    <s v="2016/6417"/>
    <m/>
    <s v="Battersea Gasholder, 101 Prince of Wales Drive"/>
    <s v="Block A"/>
    <n v="528809"/>
    <n v="177181"/>
    <x v="6"/>
    <d v="2016-10-19T00:00:00"/>
    <m/>
    <n v="0"/>
    <n v="46"/>
    <n v="46"/>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_x000a__x000d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x v="0"/>
    <x v="1"/>
    <x v="1"/>
    <n v="0.202000007033348"/>
    <m/>
    <x v="0"/>
    <m/>
    <x v="0"/>
    <s v="P"/>
    <s v="2.1.4"/>
    <m/>
    <n v="46"/>
    <m/>
    <n v="5"/>
    <m/>
    <n v="0"/>
    <n v="0"/>
    <n v="40"/>
    <n v="6"/>
    <n v="0"/>
    <n v="0"/>
    <n v="0"/>
    <n v="0"/>
    <n v="0"/>
    <n v="40"/>
    <n v="6"/>
    <n v="0"/>
    <n v="0"/>
    <n v="0"/>
    <n v="0"/>
    <n v="0"/>
    <n v="0"/>
    <n v="0"/>
    <n v="0"/>
    <n v="0"/>
    <n v="0"/>
    <n v="0"/>
    <n v="0"/>
    <n v="0"/>
    <n v="0"/>
    <n v="0"/>
    <n v="0"/>
    <n v="0"/>
    <s v="Strategic Planning/Nine Elms"/>
    <x v="0"/>
    <x v="1"/>
    <x v="1"/>
    <x v="0"/>
    <x v="0"/>
    <x v="0"/>
    <m/>
    <x v="0"/>
    <s v="Y"/>
    <n v="12"/>
    <m/>
    <n v="0"/>
    <n v="0"/>
    <n v="0"/>
    <n v="0"/>
    <n v="0"/>
    <n v="0"/>
    <n v="0"/>
    <n v="46"/>
    <n v="0"/>
    <n v="0"/>
    <n v="0"/>
    <n v="0"/>
    <n v="0"/>
    <n v="0"/>
    <n v="0"/>
    <n v="0"/>
    <n v="0"/>
    <n v="0"/>
    <n v="0"/>
    <n v="0"/>
    <n v="0"/>
    <n v="0"/>
    <n v="46"/>
  </r>
  <r>
    <n v="3514"/>
    <x v="2"/>
    <s v="2016/6417"/>
    <m/>
    <s v="Battersea Gasholder, 101 Prince of Wales Drive"/>
    <s v="Block B"/>
    <n v="528809"/>
    <n v="177181"/>
    <x v="6"/>
    <d v="2016-10-19T00:00:00"/>
    <m/>
    <n v="0"/>
    <n v="118"/>
    <n v="118"/>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_x000a__x000d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x v="0"/>
    <x v="1"/>
    <x v="1"/>
    <n v="0.29199999570846602"/>
    <m/>
    <x v="0"/>
    <m/>
    <x v="0"/>
    <s v="P"/>
    <s v="2.1.4"/>
    <m/>
    <n v="118"/>
    <m/>
    <n v="12"/>
    <m/>
    <n v="0"/>
    <n v="34"/>
    <n v="82"/>
    <n v="2"/>
    <n v="0"/>
    <n v="0"/>
    <n v="0"/>
    <n v="0"/>
    <n v="34"/>
    <n v="82"/>
    <n v="2"/>
    <n v="0"/>
    <n v="0"/>
    <n v="0"/>
    <n v="0"/>
    <n v="0"/>
    <n v="0"/>
    <n v="0"/>
    <n v="0"/>
    <n v="0"/>
    <n v="0"/>
    <n v="0"/>
    <n v="0"/>
    <n v="0"/>
    <n v="0"/>
    <n v="0"/>
    <n v="0"/>
    <n v="0"/>
    <s v="Strategic Planning/Nine Elms"/>
    <x v="0"/>
    <x v="1"/>
    <x v="1"/>
    <x v="0"/>
    <x v="0"/>
    <x v="0"/>
    <m/>
    <x v="0"/>
    <s v="Y"/>
    <n v="12"/>
    <m/>
    <n v="0"/>
    <n v="0"/>
    <n v="0"/>
    <n v="0"/>
    <n v="0"/>
    <n v="0"/>
    <n v="118"/>
    <n v="0"/>
    <n v="0"/>
    <n v="0"/>
    <n v="0"/>
    <n v="0"/>
    <n v="0"/>
    <n v="0"/>
    <n v="0"/>
    <n v="0"/>
    <n v="0"/>
    <n v="0"/>
    <n v="0"/>
    <n v="0"/>
    <n v="0"/>
    <n v="0"/>
    <n v="118"/>
  </r>
  <r>
    <n v="3514"/>
    <x v="2"/>
    <s v="2016/6417"/>
    <m/>
    <s v="Battersea Gasholder, 101 Prince of Wales Drive"/>
    <s v="Block C"/>
    <n v="528809"/>
    <n v="177181"/>
    <x v="6"/>
    <d v="2016-10-19T00:00:00"/>
    <m/>
    <n v="0"/>
    <n v="112"/>
    <n v="112"/>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_x000a__x000d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x v="0"/>
    <x v="1"/>
    <x v="1"/>
    <n v="0.28700000047683699"/>
    <d v="2016-10-19T00:00:00"/>
    <x v="0"/>
    <m/>
    <x v="0"/>
    <s v="P"/>
    <s v="2.1.4"/>
    <m/>
    <n v="112"/>
    <m/>
    <n v="11"/>
    <m/>
    <n v="0"/>
    <n v="36"/>
    <n v="66"/>
    <n v="10"/>
    <n v="0"/>
    <n v="0"/>
    <n v="0"/>
    <n v="0"/>
    <n v="36"/>
    <n v="66"/>
    <n v="10"/>
    <n v="0"/>
    <n v="0"/>
    <n v="0"/>
    <n v="0"/>
    <n v="0"/>
    <n v="0"/>
    <n v="0"/>
    <n v="0"/>
    <n v="0"/>
    <n v="0"/>
    <n v="0"/>
    <n v="0"/>
    <n v="0"/>
    <n v="0"/>
    <n v="0"/>
    <n v="0"/>
    <n v="0"/>
    <s v="Strategic Planning/Nine Elms"/>
    <x v="0"/>
    <x v="1"/>
    <x v="1"/>
    <x v="0"/>
    <x v="0"/>
    <x v="0"/>
    <m/>
    <x v="0"/>
    <s v="Y"/>
    <n v="12"/>
    <m/>
    <n v="0"/>
    <n v="0"/>
    <n v="0"/>
    <n v="0"/>
    <n v="0"/>
    <n v="112"/>
    <n v="0"/>
    <n v="0"/>
    <n v="0"/>
    <n v="0"/>
    <n v="0"/>
    <n v="0"/>
    <n v="0"/>
    <n v="0"/>
    <n v="0"/>
    <n v="0"/>
    <n v="0"/>
    <n v="0"/>
    <n v="0"/>
    <n v="0"/>
    <n v="0"/>
    <n v="112"/>
    <n v="112"/>
  </r>
  <r>
    <n v="3514"/>
    <x v="2"/>
    <s v="2016/6417"/>
    <m/>
    <s v="Battersea Gasholder, 101 Prince of Wales Drive"/>
    <s v="Block D"/>
    <n v="528809"/>
    <n v="177181"/>
    <x v="6"/>
    <d v="2016-10-19T00:00:00"/>
    <m/>
    <n v="0"/>
    <n v="85"/>
    <n v="85"/>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_x000a__x000d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x v="0"/>
    <x v="1"/>
    <x v="1"/>
    <n v="0.225999996066093"/>
    <d v="2016-10-19T00:00:00"/>
    <x v="0"/>
    <m/>
    <x v="0"/>
    <s v="P"/>
    <s v="2.1.4"/>
    <m/>
    <n v="85"/>
    <m/>
    <n v="9"/>
    <m/>
    <n v="0"/>
    <n v="27"/>
    <n v="49"/>
    <n v="9"/>
    <n v="0"/>
    <n v="0"/>
    <n v="0"/>
    <n v="0"/>
    <n v="27"/>
    <n v="49"/>
    <n v="9"/>
    <n v="0"/>
    <n v="0"/>
    <n v="0"/>
    <n v="0"/>
    <n v="0"/>
    <n v="0"/>
    <n v="0"/>
    <n v="0"/>
    <n v="0"/>
    <n v="0"/>
    <n v="0"/>
    <n v="0"/>
    <n v="0"/>
    <n v="0"/>
    <n v="0"/>
    <n v="0"/>
    <n v="0"/>
    <s v="Strategic Planning/Nine Elms"/>
    <x v="0"/>
    <x v="1"/>
    <x v="1"/>
    <x v="0"/>
    <x v="0"/>
    <x v="0"/>
    <m/>
    <x v="0"/>
    <s v="Y"/>
    <n v="12"/>
    <m/>
    <n v="0"/>
    <n v="0"/>
    <n v="0"/>
    <n v="85"/>
    <n v="0"/>
    <n v="0"/>
    <n v="0"/>
    <n v="0"/>
    <n v="0"/>
    <n v="0"/>
    <n v="0"/>
    <n v="0"/>
    <n v="0"/>
    <n v="0"/>
    <n v="0"/>
    <n v="0"/>
    <n v="0"/>
    <n v="0"/>
    <n v="0"/>
    <n v="0"/>
    <n v="0"/>
    <n v="85"/>
    <n v="85"/>
  </r>
  <r>
    <n v="3514"/>
    <x v="2"/>
    <s v="2016/6417"/>
    <m/>
    <s v="Battersea Gasholder, 101 Prince of Wales Drive"/>
    <s v="Block F"/>
    <n v="528809"/>
    <n v="177181"/>
    <x v="6"/>
    <d v="2016-10-19T00:00:00"/>
    <m/>
    <n v="0"/>
    <n v="98"/>
    <n v="98"/>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_x000a__x000d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x v="0"/>
    <x v="1"/>
    <x v="1"/>
    <n v="0.24400000274181399"/>
    <m/>
    <x v="0"/>
    <m/>
    <x v="0"/>
    <s v="P"/>
    <s v="2.1.4"/>
    <m/>
    <n v="98"/>
    <m/>
    <n v="10"/>
    <m/>
    <n v="0"/>
    <n v="28"/>
    <n v="68"/>
    <n v="2"/>
    <n v="0"/>
    <n v="0"/>
    <n v="0"/>
    <n v="0"/>
    <n v="28"/>
    <n v="68"/>
    <n v="2"/>
    <n v="0"/>
    <n v="0"/>
    <n v="0"/>
    <n v="0"/>
    <n v="0"/>
    <n v="0"/>
    <n v="0"/>
    <n v="0"/>
    <n v="0"/>
    <n v="0"/>
    <n v="0"/>
    <n v="0"/>
    <n v="0"/>
    <n v="0"/>
    <n v="0"/>
    <n v="0"/>
    <n v="0"/>
    <s v="Strategic Planning/Nine Elms"/>
    <x v="0"/>
    <x v="1"/>
    <x v="1"/>
    <x v="0"/>
    <x v="0"/>
    <x v="0"/>
    <m/>
    <x v="0"/>
    <s v="Y"/>
    <n v="12"/>
    <m/>
    <n v="0"/>
    <n v="0"/>
    <n v="0"/>
    <n v="0"/>
    <n v="0"/>
    <n v="0"/>
    <n v="0"/>
    <n v="98"/>
    <n v="0"/>
    <n v="0"/>
    <n v="0"/>
    <n v="0"/>
    <n v="0"/>
    <n v="0"/>
    <n v="0"/>
    <n v="0"/>
    <n v="0"/>
    <n v="0"/>
    <n v="0"/>
    <n v="0"/>
    <n v="0"/>
    <n v="0"/>
    <n v="98"/>
  </r>
  <r>
    <n v="3514"/>
    <x v="2"/>
    <s v="2016/6417"/>
    <m/>
    <s v="Battersea Gasholder, 101 Prince of Wales Drive"/>
    <s v="Block G"/>
    <n v="528809"/>
    <n v="177181"/>
    <x v="6"/>
    <d v="2016-10-19T00:00:00"/>
    <m/>
    <n v="0"/>
    <n v="90"/>
    <n v="90"/>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_x000a__x000d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x v="0"/>
    <x v="1"/>
    <x v="1"/>
    <n v="0.23800000548362699"/>
    <d v="2016-10-19T00:00:00"/>
    <x v="0"/>
    <m/>
    <x v="0"/>
    <s v="P"/>
    <s v="2.1.4"/>
    <m/>
    <n v="90"/>
    <m/>
    <n v="9"/>
    <m/>
    <n v="0"/>
    <n v="32"/>
    <n v="32"/>
    <n v="26"/>
    <n v="0"/>
    <n v="0"/>
    <n v="0"/>
    <n v="0"/>
    <n v="32"/>
    <n v="32"/>
    <n v="26"/>
    <n v="0"/>
    <n v="0"/>
    <n v="0"/>
    <n v="0"/>
    <n v="0"/>
    <n v="0"/>
    <n v="0"/>
    <n v="0"/>
    <n v="0"/>
    <n v="0"/>
    <n v="0"/>
    <n v="0"/>
    <n v="0"/>
    <n v="0"/>
    <n v="0"/>
    <n v="0"/>
    <n v="0"/>
    <s v="Strategic Planning/Nine Elms"/>
    <x v="0"/>
    <x v="1"/>
    <x v="1"/>
    <x v="0"/>
    <x v="0"/>
    <x v="0"/>
    <m/>
    <x v="0"/>
    <s v="Y"/>
    <n v="12"/>
    <m/>
    <n v="0"/>
    <n v="0"/>
    <n v="0"/>
    <n v="0"/>
    <n v="90"/>
    <n v="0"/>
    <n v="0"/>
    <n v="0"/>
    <n v="0"/>
    <n v="0"/>
    <n v="0"/>
    <n v="0"/>
    <n v="0"/>
    <n v="0"/>
    <n v="0"/>
    <n v="0"/>
    <n v="0"/>
    <n v="0"/>
    <n v="0"/>
    <n v="0"/>
    <n v="0"/>
    <n v="90"/>
    <n v="90"/>
  </r>
  <r>
    <n v="3514"/>
    <x v="2"/>
    <s v="2016/6417"/>
    <m/>
    <s v="Battersea Gasholder, 101 Prince of Wales Drive"/>
    <s v="Block G"/>
    <n v="528809"/>
    <n v="177181"/>
    <x v="6"/>
    <d v="2016-10-19T00:00:00"/>
    <m/>
    <n v="0"/>
    <n v="16"/>
    <n v="16"/>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_x000a__x000d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x v="0"/>
    <x v="1"/>
    <x v="1"/>
    <n v="4.1999999433755902E-2"/>
    <d v="2016-10-19T00:00:00"/>
    <x v="0"/>
    <m/>
    <x v="1"/>
    <s v="HAIS"/>
    <s v="2.1.4"/>
    <m/>
    <n v="16"/>
    <m/>
    <n v="2"/>
    <m/>
    <n v="0"/>
    <n v="8"/>
    <n v="8"/>
    <n v="0"/>
    <n v="0"/>
    <n v="0"/>
    <n v="0"/>
    <n v="0"/>
    <n v="8"/>
    <n v="8"/>
    <n v="0"/>
    <n v="0"/>
    <n v="0"/>
    <n v="0"/>
    <n v="0"/>
    <n v="0"/>
    <n v="0"/>
    <n v="0"/>
    <n v="0"/>
    <n v="0"/>
    <n v="0"/>
    <n v="0"/>
    <n v="0"/>
    <n v="0"/>
    <n v="0"/>
    <n v="0"/>
    <n v="0"/>
    <n v="0"/>
    <s v="Strategic Planning/Nine Elms"/>
    <x v="0"/>
    <x v="1"/>
    <x v="1"/>
    <x v="0"/>
    <x v="0"/>
    <x v="0"/>
    <m/>
    <x v="0"/>
    <s v="Y"/>
    <n v="12"/>
    <m/>
    <n v="0"/>
    <n v="0"/>
    <n v="0"/>
    <n v="0"/>
    <n v="16"/>
    <n v="0"/>
    <n v="0"/>
    <n v="0"/>
    <n v="0"/>
    <n v="0"/>
    <n v="0"/>
    <n v="0"/>
    <n v="0"/>
    <n v="0"/>
    <n v="0"/>
    <n v="0"/>
    <n v="0"/>
    <n v="0"/>
    <n v="0"/>
    <n v="0"/>
    <n v="0"/>
    <n v="16"/>
    <n v="16"/>
  </r>
  <r>
    <n v="3514"/>
    <x v="2"/>
    <s v="2016/6417"/>
    <m/>
    <s v="Battersea Gasholder, 101 Prince of Wales Drive"/>
    <s v="Block H"/>
    <n v="528809"/>
    <n v="177181"/>
    <x v="6"/>
    <d v="2016-10-19T00:00:00"/>
    <m/>
    <n v="0"/>
    <n v="72"/>
    <n v="72"/>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_x000a__x000d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x v="0"/>
    <x v="1"/>
    <x v="1"/>
    <n v="0.17700000107288399"/>
    <d v="2016-10-19T00:00:00"/>
    <x v="0"/>
    <m/>
    <x v="0"/>
    <s v="P"/>
    <s v="2.1.4"/>
    <m/>
    <n v="72"/>
    <m/>
    <n v="7"/>
    <m/>
    <n v="0"/>
    <n v="32"/>
    <n v="34"/>
    <n v="6"/>
    <n v="0"/>
    <n v="0"/>
    <n v="0"/>
    <n v="0"/>
    <n v="32"/>
    <n v="34"/>
    <n v="6"/>
    <n v="0"/>
    <n v="0"/>
    <n v="0"/>
    <n v="0"/>
    <n v="0"/>
    <n v="0"/>
    <n v="0"/>
    <n v="0"/>
    <n v="0"/>
    <n v="0"/>
    <n v="0"/>
    <n v="0"/>
    <n v="0"/>
    <n v="0"/>
    <n v="0"/>
    <n v="0"/>
    <n v="0"/>
    <s v="Strategic Planning/Nine Elms"/>
    <x v="0"/>
    <x v="1"/>
    <x v="1"/>
    <x v="0"/>
    <x v="0"/>
    <x v="0"/>
    <m/>
    <x v="0"/>
    <s v="Y"/>
    <n v="12"/>
    <m/>
    <n v="0"/>
    <n v="0"/>
    <n v="72"/>
    <n v="0"/>
    <n v="0"/>
    <n v="0"/>
    <n v="0"/>
    <n v="0"/>
    <n v="0"/>
    <n v="0"/>
    <n v="0"/>
    <n v="0"/>
    <n v="0"/>
    <n v="0"/>
    <n v="0"/>
    <n v="0"/>
    <n v="0"/>
    <n v="0"/>
    <n v="0"/>
    <n v="0"/>
    <n v="0"/>
    <n v="72"/>
    <n v="72"/>
  </r>
  <r>
    <n v="3514"/>
    <x v="2"/>
    <s v="2016/6417"/>
    <m/>
    <s v="Battersea Gasholder, 101 Prince of Wales Drive"/>
    <s v="Block H"/>
    <n v="528809"/>
    <n v="177181"/>
    <x v="6"/>
    <d v="2016-10-19T00:00:00"/>
    <m/>
    <n v="0"/>
    <n v="22"/>
    <n v="22"/>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_x000a__x000d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x v="0"/>
    <x v="1"/>
    <x v="1"/>
    <n v="5.4000001400709201E-2"/>
    <d v="2016-10-19T00:00:00"/>
    <x v="0"/>
    <m/>
    <x v="1"/>
    <s v="HAIS"/>
    <s v="2.1.4"/>
    <m/>
    <n v="22"/>
    <m/>
    <n v="2"/>
    <m/>
    <n v="0"/>
    <n v="16"/>
    <n v="6"/>
    <n v="0"/>
    <n v="0"/>
    <n v="0"/>
    <n v="0"/>
    <n v="0"/>
    <n v="16"/>
    <n v="6"/>
    <n v="0"/>
    <n v="0"/>
    <n v="0"/>
    <n v="0"/>
    <n v="0"/>
    <n v="0"/>
    <n v="0"/>
    <n v="0"/>
    <n v="0"/>
    <n v="0"/>
    <n v="0"/>
    <n v="0"/>
    <n v="0"/>
    <n v="0"/>
    <n v="0"/>
    <n v="0"/>
    <n v="0"/>
    <n v="0"/>
    <s v="Strategic Planning/Nine Elms"/>
    <x v="0"/>
    <x v="1"/>
    <x v="1"/>
    <x v="0"/>
    <x v="0"/>
    <x v="0"/>
    <m/>
    <x v="0"/>
    <s v="Y"/>
    <n v="12"/>
    <m/>
    <n v="0"/>
    <n v="0"/>
    <n v="22"/>
    <n v="0"/>
    <n v="0"/>
    <n v="0"/>
    <n v="0"/>
    <n v="0"/>
    <n v="0"/>
    <n v="0"/>
    <n v="0"/>
    <n v="0"/>
    <n v="0"/>
    <n v="0"/>
    <n v="0"/>
    <n v="0"/>
    <n v="0"/>
    <n v="0"/>
    <n v="0"/>
    <n v="0"/>
    <n v="0"/>
    <n v="22"/>
    <n v="22"/>
  </r>
  <r>
    <n v="3514"/>
    <x v="2"/>
    <s v="2016/6417"/>
    <m/>
    <s v="Battersea Gasholder, 101 Prince of Wales Drive"/>
    <s v="Block K"/>
    <n v="528809"/>
    <n v="177181"/>
    <x v="6"/>
    <d v="2016-10-19T00:00:00"/>
    <m/>
    <n v="0"/>
    <n v="77"/>
    <n v="77"/>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_x000a__x000d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x v="0"/>
    <x v="1"/>
    <x v="1"/>
    <n v="0.18299999833107"/>
    <d v="2016-10-19T00:00:00"/>
    <x v="0"/>
    <m/>
    <x v="2"/>
    <s v="HAAR"/>
    <s v="2.1.4"/>
    <m/>
    <n v="77"/>
    <m/>
    <n v="8"/>
    <m/>
    <n v="0"/>
    <n v="33"/>
    <n v="33"/>
    <n v="11"/>
    <n v="0"/>
    <n v="0"/>
    <n v="0"/>
    <n v="0"/>
    <n v="33"/>
    <n v="33"/>
    <n v="11"/>
    <n v="0"/>
    <n v="0"/>
    <n v="0"/>
    <n v="0"/>
    <n v="0"/>
    <n v="0"/>
    <n v="0"/>
    <n v="0"/>
    <n v="0"/>
    <n v="0"/>
    <n v="0"/>
    <n v="0"/>
    <n v="0"/>
    <n v="0"/>
    <n v="0"/>
    <n v="0"/>
    <n v="0"/>
    <s v="Strategic Planning/Nine Elms"/>
    <x v="0"/>
    <x v="1"/>
    <x v="1"/>
    <x v="0"/>
    <x v="0"/>
    <x v="0"/>
    <m/>
    <x v="0"/>
    <s v="Y"/>
    <n v="12"/>
    <m/>
    <n v="0"/>
    <n v="0"/>
    <n v="0"/>
    <n v="77"/>
    <n v="0"/>
    <n v="0"/>
    <n v="0"/>
    <n v="0"/>
    <n v="0"/>
    <n v="0"/>
    <n v="0"/>
    <n v="0"/>
    <n v="0"/>
    <n v="0"/>
    <n v="0"/>
    <n v="0"/>
    <n v="0"/>
    <n v="0"/>
    <n v="0"/>
    <n v="0"/>
    <n v="0"/>
    <n v="77"/>
    <n v="77"/>
  </r>
  <r>
    <n v="3514"/>
    <x v="2"/>
    <s v="2016/6417"/>
    <m/>
    <s v="Battersea Gasholder, 101 Prince of Wales Drive"/>
    <s v="Block L"/>
    <n v="528809"/>
    <n v="177181"/>
    <x v="6"/>
    <d v="2016-10-19T00:00:00"/>
    <m/>
    <n v="0"/>
    <n v="99"/>
    <n v="99"/>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_x000a__x000d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x v="0"/>
    <x v="1"/>
    <x v="1"/>
    <n v="0.20399999618530301"/>
    <d v="2016-10-19T00:00:00"/>
    <x v="0"/>
    <m/>
    <x v="2"/>
    <s v="HAAR"/>
    <s v="2.1.4"/>
    <m/>
    <n v="99"/>
    <m/>
    <n v="10"/>
    <m/>
    <n v="0"/>
    <n v="66"/>
    <n v="33"/>
    <n v="0"/>
    <n v="0"/>
    <n v="0"/>
    <n v="0"/>
    <n v="0"/>
    <n v="66"/>
    <n v="33"/>
    <n v="0"/>
    <n v="0"/>
    <n v="0"/>
    <n v="0"/>
    <n v="0"/>
    <n v="0"/>
    <n v="0"/>
    <n v="0"/>
    <n v="0"/>
    <n v="0"/>
    <n v="0"/>
    <n v="0"/>
    <n v="0"/>
    <n v="0"/>
    <n v="0"/>
    <n v="0"/>
    <n v="0"/>
    <n v="0"/>
    <s v="Strategic Planning/Nine Elms"/>
    <x v="0"/>
    <x v="1"/>
    <x v="1"/>
    <x v="0"/>
    <x v="0"/>
    <x v="0"/>
    <m/>
    <x v="0"/>
    <s v="Y"/>
    <n v="12"/>
    <m/>
    <n v="0"/>
    <n v="0"/>
    <n v="0"/>
    <n v="99"/>
    <n v="0"/>
    <n v="0"/>
    <n v="0"/>
    <n v="0"/>
    <n v="0"/>
    <n v="0"/>
    <n v="0"/>
    <n v="0"/>
    <n v="0"/>
    <n v="0"/>
    <n v="0"/>
    <n v="0"/>
    <n v="0"/>
    <n v="0"/>
    <n v="0"/>
    <n v="0"/>
    <n v="0"/>
    <n v="99"/>
    <n v="99"/>
  </r>
  <r>
    <n v="3514"/>
    <x v="2"/>
    <s v="2017/5595"/>
    <m/>
    <s v="Battersea Gasholder, 101 Prince of Wales Drive"/>
    <m/>
    <n v="528809"/>
    <n v="177181"/>
    <x v="6"/>
    <d v="2016-10-19T00:00:00"/>
    <m/>
    <n v="1"/>
    <n v="1"/>
    <n v="0"/>
    <n v="1"/>
    <n v="0"/>
    <s v="Y"/>
    <s v="Alterations to internal layout of one 2-bedroom maisonette on the ground and first floor of Block D to create one 3-bedroom maisonette."/>
    <s v="S73"/>
    <d v="2017-10-09T00:00:00"/>
    <d v="2017-10-31T00:00:00"/>
    <x v="1"/>
    <s v="Nil"/>
    <m/>
    <s v="BF"/>
    <x v="0"/>
    <x v="1"/>
    <x v="1"/>
    <n v="7.1000002324581105E-2"/>
    <d v="2016-10-19T00:00:00"/>
    <x v="0"/>
    <m/>
    <x v="0"/>
    <s v="P"/>
    <s v="2.1.4"/>
    <m/>
    <n v="0"/>
    <m/>
    <n v="0"/>
    <m/>
    <n v="0"/>
    <n v="0"/>
    <n v="-1"/>
    <n v="1"/>
    <n v="0"/>
    <n v="0"/>
    <n v="0"/>
    <n v="0"/>
    <n v="0"/>
    <n v="-1"/>
    <n v="1"/>
    <n v="0"/>
    <n v="0"/>
    <n v="0"/>
    <n v="0"/>
    <n v="0"/>
    <n v="0"/>
    <n v="0"/>
    <n v="0"/>
    <n v="0"/>
    <n v="0"/>
    <n v="0"/>
    <n v="0"/>
    <n v="0"/>
    <n v="0"/>
    <n v="0"/>
    <n v="0"/>
    <n v="0"/>
    <s v="Strategic Planning/Nine Elms"/>
    <x v="0"/>
    <x v="1"/>
    <x v="1"/>
    <x v="0"/>
    <x v="0"/>
    <x v="0"/>
    <m/>
    <x v="0"/>
    <s v="Y"/>
    <n v="12"/>
    <m/>
    <n v="0"/>
    <n v="0"/>
    <n v="0"/>
    <n v="0"/>
    <n v="0"/>
    <n v="0"/>
    <n v="0"/>
    <n v="0"/>
    <n v="0"/>
    <n v="0"/>
    <n v="0"/>
    <n v="0"/>
    <n v="0"/>
    <n v="0"/>
    <n v="0"/>
    <n v="0"/>
    <n v="0"/>
    <n v="0"/>
    <n v="0"/>
    <n v="0"/>
    <n v="0"/>
    <n v="0"/>
    <n v="0"/>
  </r>
  <r>
    <n v="3518"/>
    <x v="2"/>
    <s v="2012/5286"/>
    <s v="The Ram Quarter"/>
    <s v="Ram Brewery, Capital Studios &amp; Duvall Works, Ram Street/Armoury Way/Wandsworth High Street"/>
    <s v="Building 01"/>
    <n v="525666"/>
    <n v="174804"/>
    <x v="0"/>
    <d v="2015-04-01T00:00:00"/>
    <m/>
    <n v="1"/>
    <n v="9"/>
    <n v="8"/>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x v="0"/>
    <x v="1"/>
    <x v="1"/>
    <n v="0"/>
    <d v="2015-04-01T00:00:00"/>
    <x v="0"/>
    <m/>
    <x v="0"/>
    <s v="P"/>
    <s v="3.1.2"/>
    <m/>
    <n v="0"/>
    <m/>
    <n v="0"/>
    <m/>
    <n v="0"/>
    <n v="6"/>
    <n v="3"/>
    <n v="0"/>
    <n v="0"/>
    <n v="0"/>
    <n v="-1"/>
    <n v="0"/>
    <n v="6"/>
    <n v="3"/>
    <n v="0"/>
    <n v="0"/>
    <n v="0"/>
    <n v="0"/>
    <n v="0"/>
    <n v="0"/>
    <n v="0"/>
    <n v="0"/>
    <n v="0"/>
    <n v="0"/>
    <n v="-1"/>
    <n v="0"/>
    <n v="0"/>
    <n v="0"/>
    <n v="0"/>
    <n v="0"/>
    <n v="0"/>
    <n v="0"/>
    <s v="West"/>
    <x v="4"/>
    <x v="0"/>
    <x v="0"/>
    <x v="0"/>
    <x v="0"/>
    <x v="0"/>
    <m/>
    <x v="0"/>
    <s v="Y"/>
    <s v="3A"/>
    <m/>
    <n v="0"/>
    <n v="8"/>
    <n v="0"/>
    <n v="0"/>
    <n v="0"/>
    <n v="0"/>
    <n v="0"/>
    <n v="0"/>
    <n v="0"/>
    <n v="0"/>
    <n v="0"/>
    <n v="0"/>
    <n v="0"/>
    <n v="0"/>
    <n v="0"/>
    <n v="0"/>
    <n v="0"/>
    <n v="0"/>
    <n v="0"/>
    <n v="0"/>
    <n v="0"/>
    <n v="8"/>
    <n v="8"/>
  </r>
  <r>
    <n v="3518"/>
    <x v="2"/>
    <s v="2012/5286"/>
    <s v="The Ram Quarter"/>
    <s v="Ram Brewery, Capital Studios &amp; Duvall Works, Ram Street/Armoury Way/Wandsworth High Street"/>
    <s v="Building 02"/>
    <n v="525666"/>
    <n v="174804"/>
    <x v="0"/>
    <d v="2015-04-01T00:00:00"/>
    <m/>
    <n v="0"/>
    <n v="30"/>
    <n v="30"/>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x v="0"/>
    <x v="1"/>
    <x v="1"/>
    <n v="0"/>
    <d v="2015-04-01T00:00:00"/>
    <x v="0"/>
    <m/>
    <x v="0"/>
    <s v="P"/>
    <s v="3.1.2"/>
    <m/>
    <n v="0"/>
    <m/>
    <n v="4"/>
    <m/>
    <n v="0"/>
    <n v="16"/>
    <n v="14"/>
    <n v="0"/>
    <n v="0"/>
    <n v="0"/>
    <n v="0"/>
    <n v="0"/>
    <n v="16"/>
    <n v="14"/>
    <n v="0"/>
    <n v="0"/>
    <n v="0"/>
    <n v="0"/>
    <n v="0"/>
    <n v="0"/>
    <n v="0"/>
    <n v="0"/>
    <n v="0"/>
    <n v="0"/>
    <n v="0"/>
    <n v="0"/>
    <n v="0"/>
    <n v="0"/>
    <n v="0"/>
    <n v="0"/>
    <n v="0"/>
    <n v="0"/>
    <s v="West"/>
    <x v="4"/>
    <x v="0"/>
    <x v="0"/>
    <x v="0"/>
    <x v="0"/>
    <x v="0"/>
    <m/>
    <x v="0"/>
    <s v="Y"/>
    <s v="3A"/>
    <m/>
    <n v="0"/>
    <n v="30"/>
    <n v="0"/>
    <n v="0"/>
    <n v="0"/>
    <n v="0"/>
    <n v="0"/>
    <n v="0"/>
    <n v="0"/>
    <n v="0"/>
    <n v="0"/>
    <n v="0"/>
    <n v="0"/>
    <n v="0"/>
    <n v="0"/>
    <n v="0"/>
    <n v="0"/>
    <n v="0"/>
    <n v="0"/>
    <n v="0"/>
    <n v="0"/>
    <n v="30"/>
    <n v="30"/>
  </r>
  <r>
    <n v="3518"/>
    <x v="2"/>
    <s v="2012/5286"/>
    <s v="The Ram Quarter"/>
    <s v="Ram Brewery, Capital Studios &amp; Duvall Works, Ram Street/Armoury Way/Wandsworth High Street"/>
    <s v="Building 03A"/>
    <n v="525666"/>
    <n v="174804"/>
    <x v="0"/>
    <d v="2015-04-01T00:00:00"/>
    <m/>
    <n v="0"/>
    <n v="12"/>
    <n v="12"/>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x v="0"/>
    <x v="1"/>
    <x v="1"/>
    <n v="0"/>
    <d v="2015-04-01T00:00:00"/>
    <x v="0"/>
    <m/>
    <x v="0"/>
    <s v="P"/>
    <s v="3.1.2"/>
    <m/>
    <n v="0"/>
    <m/>
    <n v="0"/>
    <m/>
    <n v="0"/>
    <n v="4"/>
    <n v="4"/>
    <n v="4"/>
    <n v="0"/>
    <n v="0"/>
    <n v="0"/>
    <n v="0"/>
    <n v="4"/>
    <n v="4"/>
    <n v="4"/>
    <n v="0"/>
    <n v="0"/>
    <n v="0"/>
    <n v="0"/>
    <n v="0"/>
    <n v="0"/>
    <n v="0"/>
    <n v="0"/>
    <n v="0"/>
    <n v="0"/>
    <n v="0"/>
    <n v="0"/>
    <n v="0"/>
    <n v="0"/>
    <n v="0"/>
    <n v="0"/>
    <n v="0"/>
    <s v="West"/>
    <x v="4"/>
    <x v="0"/>
    <x v="0"/>
    <x v="0"/>
    <x v="0"/>
    <x v="0"/>
    <m/>
    <x v="0"/>
    <s v="Y"/>
    <s v="3A"/>
    <m/>
    <n v="0"/>
    <n v="12"/>
    <n v="0"/>
    <n v="0"/>
    <n v="0"/>
    <n v="0"/>
    <n v="0"/>
    <n v="0"/>
    <n v="0"/>
    <n v="0"/>
    <n v="0"/>
    <n v="0"/>
    <n v="0"/>
    <n v="0"/>
    <n v="0"/>
    <n v="0"/>
    <n v="0"/>
    <n v="0"/>
    <n v="0"/>
    <n v="0"/>
    <n v="0"/>
    <n v="12"/>
    <n v="12"/>
  </r>
  <r>
    <n v="3518"/>
    <x v="2"/>
    <s v="2012/5286"/>
    <s v="The Ram Quarter"/>
    <s v="Ram Brewery, Capital Studios &amp; Duvall Works, Ram Street/Armoury Way/Wandsworth High Street"/>
    <s v="Building 04D"/>
    <n v="525666"/>
    <n v="174804"/>
    <x v="0"/>
    <d v="2015-04-01T00:00:00"/>
    <m/>
    <n v="0"/>
    <n v="16"/>
    <n v="16"/>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x v="0"/>
    <x v="1"/>
    <x v="1"/>
    <n v="0"/>
    <m/>
    <x v="0"/>
    <m/>
    <x v="0"/>
    <s v="P"/>
    <s v="3.1.2"/>
    <m/>
    <n v="0"/>
    <m/>
    <n v="0"/>
    <m/>
    <n v="0"/>
    <n v="10"/>
    <n v="6"/>
    <n v="0"/>
    <n v="0"/>
    <n v="0"/>
    <n v="0"/>
    <n v="0"/>
    <n v="10"/>
    <n v="6"/>
    <n v="0"/>
    <n v="0"/>
    <n v="0"/>
    <n v="0"/>
    <n v="0"/>
    <n v="0"/>
    <n v="0"/>
    <n v="0"/>
    <n v="0"/>
    <n v="0"/>
    <n v="0"/>
    <n v="0"/>
    <n v="0"/>
    <n v="0"/>
    <n v="0"/>
    <n v="0"/>
    <n v="0"/>
    <n v="0"/>
    <s v="West"/>
    <x v="4"/>
    <x v="0"/>
    <x v="0"/>
    <x v="0"/>
    <x v="0"/>
    <x v="0"/>
    <m/>
    <x v="0"/>
    <s v="Y"/>
    <s v="3A"/>
    <m/>
    <n v="0"/>
    <n v="1.6"/>
    <n v="1.6"/>
    <n v="1.6"/>
    <n v="1.6"/>
    <n v="1.6"/>
    <n v="1.6"/>
    <n v="1.6"/>
    <n v="1.6"/>
    <n v="1.6"/>
    <n v="1.6"/>
    <n v="0"/>
    <n v="0"/>
    <n v="0"/>
    <n v="0"/>
    <n v="0"/>
    <n v="0"/>
    <n v="0"/>
    <n v="0"/>
    <n v="0"/>
    <n v="0"/>
    <n v="8"/>
    <n v="15.999999999999998"/>
  </r>
  <r>
    <n v="3518"/>
    <x v="2"/>
    <s v="2012/5286"/>
    <s v="The Ram Quarter"/>
    <s v="Ram Brewery, Capital Studios &amp; Duvall Works, Ram Street/Armoury Way/Wandsworth High Street"/>
    <s v="Building 04E"/>
    <n v="525666"/>
    <n v="174804"/>
    <x v="0"/>
    <d v="2015-04-01T00:00:00"/>
    <m/>
    <n v="0"/>
    <n v="23"/>
    <n v="23"/>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x v="0"/>
    <x v="1"/>
    <x v="1"/>
    <n v="0"/>
    <m/>
    <x v="0"/>
    <m/>
    <x v="0"/>
    <s v="P"/>
    <s v="3.1.2"/>
    <m/>
    <n v="0"/>
    <m/>
    <n v="1"/>
    <m/>
    <n v="0"/>
    <n v="10"/>
    <n v="7"/>
    <n v="4"/>
    <n v="2"/>
    <n v="0"/>
    <n v="0"/>
    <n v="0"/>
    <n v="10"/>
    <n v="7"/>
    <n v="4"/>
    <n v="2"/>
    <n v="0"/>
    <n v="0"/>
    <n v="0"/>
    <n v="0"/>
    <n v="0"/>
    <n v="0"/>
    <n v="0"/>
    <n v="0"/>
    <n v="0"/>
    <n v="0"/>
    <n v="0"/>
    <n v="0"/>
    <n v="0"/>
    <n v="0"/>
    <n v="0"/>
    <n v="0"/>
    <s v="West"/>
    <x v="4"/>
    <x v="0"/>
    <x v="0"/>
    <x v="0"/>
    <x v="0"/>
    <x v="0"/>
    <m/>
    <x v="0"/>
    <s v="Y"/>
    <s v="3A"/>
    <m/>
    <n v="0"/>
    <n v="2.2999999999999998"/>
    <n v="2.2999999999999998"/>
    <n v="2.2999999999999998"/>
    <n v="2.2999999999999998"/>
    <n v="2.2999999999999998"/>
    <n v="2.2999999999999998"/>
    <n v="2.2999999999999998"/>
    <n v="2.2999999999999998"/>
    <n v="2.2999999999999998"/>
    <n v="2.2999999999999998"/>
    <n v="0"/>
    <n v="0"/>
    <n v="0"/>
    <n v="0"/>
    <n v="0"/>
    <n v="0"/>
    <n v="0"/>
    <n v="0"/>
    <n v="0"/>
    <n v="0"/>
    <n v="11.5"/>
    <n v="23.000000000000004"/>
  </r>
  <r>
    <n v="3518"/>
    <x v="2"/>
    <s v="2012/5286"/>
    <s v="The Ram Quarter"/>
    <s v="Ram Brewery, Capital Studios &amp; Duvall Works, Ram Street/Armoury Way/Wandsworth High Street"/>
    <s v="Building 04F"/>
    <n v="525666"/>
    <n v="174804"/>
    <x v="0"/>
    <d v="2015-04-01T00:00:00"/>
    <m/>
    <n v="0"/>
    <n v="24"/>
    <n v="24"/>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x v="0"/>
    <x v="1"/>
    <x v="1"/>
    <n v="0"/>
    <m/>
    <x v="0"/>
    <m/>
    <x v="0"/>
    <s v="P"/>
    <s v="3.1.2"/>
    <m/>
    <n v="0"/>
    <m/>
    <n v="5"/>
    <m/>
    <n v="0"/>
    <n v="1"/>
    <n v="19"/>
    <n v="4"/>
    <n v="0"/>
    <n v="0"/>
    <n v="0"/>
    <n v="0"/>
    <n v="1"/>
    <n v="19"/>
    <n v="4"/>
    <n v="0"/>
    <n v="0"/>
    <n v="0"/>
    <n v="0"/>
    <n v="0"/>
    <n v="0"/>
    <n v="0"/>
    <n v="0"/>
    <n v="0"/>
    <n v="0"/>
    <n v="0"/>
    <n v="0"/>
    <n v="0"/>
    <n v="0"/>
    <n v="0"/>
    <n v="0"/>
    <n v="0"/>
    <s v="West"/>
    <x v="4"/>
    <x v="0"/>
    <x v="0"/>
    <x v="0"/>
    <x v="0"/>
    <x v="0"/>
    <m/>
    <x v="0"/>
    <s v="Y"/>
    <s v="3A"/>
    <m/>
    <n v="0"/>
    <n v="2.4"/>
    <n v="2.4"/>
    <n v="2.4"/>
    <n v="2.4"/>
    <n v="2.4"/>
    <n v="2.4"/>
    <n v="2.4"/>
    <n v="2.4"/>
    <n v="2.4"/>
    <n v="2.4"/>
    <n v="0"/>
    <n v="0"/>
    <n v="0"/>
    <n v="0"/>
    <n v="0"/>
    <n v="0"/>
    <n v="0"/>
    <n v="0"/>
    <n v="0"/>
    <n v="0"/>
    <n v="12"/>
    <n v="23.999999999999996"/>
  </r>
  <r>
    <n v="3518"/>
    <x v="2"/>
    <s v="2012/5286"/>
    <s v="The Ram Quarter"/>
    <s v="Ram Brewery, Capital Studios &amp; Duvall Works, Ram Street/Armoury Way/Wandsworth High Street"/>
    <s v="Building 05"/>
    <n v="525666"/>
    <n v="174804"/>
    <x v="0"/>
    <d v="2015-04-01T00:00:00"/>
    <m/>
    <n v="0"/>
    <n v="166"/>
    <n v="166"/>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x v="0"/>
    <x v="1"/>
    <x v="1"/>
    <n v="0"/>
    <m/>
    <x v="0"/>
    <m/>
    <x v="0"/>
    <s v="P"/>
    <s v="3.1.2"/>
    <m/>
    <n v="0"/>
    <m/>
    <n v="10"/>
    <m/>
    <n v="23"/>
    <n v="23"/>
    <n v="70"/>
    <n v="44"/>
    <n v="6"/>
    <n v="0"/>
    <n v="0"/>
    <n v="23"/>
    <n v="23"/>
    <n v="70"/>
    <n v="44"/>
    <n v="6"/>
    <n v="0"/>
    <n v="0"/>
    <n v="0"/>
    <n v="0"/>
    <n v="0"/>
    <n v="0"/>
    <n v="0"/>
    <n v="0"/>
    <n v="0"/>
    <n v="0"/>
    <n v="0"/>
    <n v="0"/>
    <n v="0"/>
    <n v="0"/>
    <n v="0"/>
    <n v="0"/>
    <s v="West"/>
    <x v="4"/>
    <x v="0"/>
    <x v="0"/>
    <x v="0"/>
    <x v="0"/>
    <x v="0"/>
    <m/>
    <x v="0"/>
    <s v="Y"/>
    <s v="3A"/>
    <m/>
    <n v="0"/>
    <n v="16.600000000000001"/>
    <n v="16.600000000000001"/>
    <n v="16.600000000000001"/>
    <n v="16.600000000000001"/>
    <n v="16.600000000000001"/>
    <n v="16.600000000000001"/>
    <n v="16.600000000000001"/>
    <n v="16.600000000000001"/>
    <n v="16.600000000000001"/>
    <n v="16.600000000000001"/>
    <n v="0"/>
    <n v="0"/>
    <n v="0"/>
    <n v="0"/>
    <n v="0"/>
    <n v="0"/>
    <n v="0"/>
    <n v="0"/>
    <n v="0"/>
    <n v="0"/>
    <n v="83"/>
    <n v="165.99999999999997"/>
  </r>
  <r>
    <n v="3518"/>
    <x v="2"/>
    <s v="2012/5286"/>
    <s v="The Ram Quarter"/>
    <s v="Ram Brewery, Capital Studios &amp; Duvall Works, Ram Street/Armoury Way/Wandsworth High Street"/>
    <s v="Building 06"/>
    <n v="525666"/>
    <n v="174804"/>
    <x v="0"/>
    <d v="2015-04-01T00:00:00"/>
    <m/>
    <n v="0"/>
    <n v="30"/>
    <n v="30"/>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x v="0"/>
    <x v="1"/>
    <x v="1"/>
    <n v="0"/>
    <m/>
    <x v="0"/>
    <m/>
    <x v="0"/>
    <s v="P"/>
    <s v="3.1.2"/>
    <m/>
    <n v="0"/>
    <m/>
    <n v="5"/>
    <m/>
    <n v="0"/>
    <n v="15"/>
    <n v="5"/>
    <n v="10"/>
    <n v="0"/>
    <n v="0"/>
    <n v="0"/>
    <n v="0"/>
    <n v="15"/>
    <n v="5"/>
    <n v="10"/>
    <n v="0"/>
    <n v="0"/>
    <n v="0"/>
    <n v="0"/>
    <n v="0"/>
    <n v="0"/>
    <n v="0"/>
    <n v="0"/>
    <n v="0"/>
    <n v="0"/>
    <n v="0"/>
    <n v="0"/>
    <n v="0"/>
    <n v="0"/>
    <n v="0"/>
    <n v="0"/>
    <n v="0"/>
    <s v="West"/>
    <x v="4"/>
    <x v="0"/>
    <x v="0"/>
    <x v="0"/>
    <x v="0"/>
    <x v="0"/>
    <m/>
    <x v="0"/>
    <s v="Y"/>
    <s v="3A"/>
    <m/>
    <n v="0"/>
    <n v="3"/>
    <n v="3"/>
    <n v="3"/>
    <n v="3"/>
    <n v="3"/>
    <n v="3"/>
    <n v="3"/>
    <n v="3"/>
    <n v="3"/>
    <n v="3"/>
    <n v="0"/>
    <n v="0"/>
    <n v="0"/>
    <n v="0"/>
    <n v="0"/>
    <n v="0"/>
    <n v="0"/>
    <n v="0"/>
    <n v="0"/>
    <n v="0"/>
    <n v="15"/>
    <n v="30"/>
  </r>
  <r>
    <n v="3518"/>
    <x v="2"/>
    <s v="2012/5286"/>
    <s v="The Ram Quarter"/>
    <s v="Ram Brewery, Capital Studios &amp; Duvall Works, Ram Street/Armoury Way/Wandsworth High Street"/>
    <s v="Building 10H"/>
    <n v="525666"/>
    <n v="174804"/>
    <x v="0"/>
    <d v="2015-04-01T00:00:00"/>
    <m/>
    <n v="0"/>
    <n v="26"/>
    <n v="26"/>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x v="0"/>
    <x v="1"/>
    <x v="1"/>
    <n v="0"/>
    <d v="2015-04-01T00:00:00"/>
    <x v="0"/>
    <m/>
    <x v="0"/>
    <s v="P"/>
    <s v="3.1.2"/>
    <m/>
    <n v="0"/>
    <m/>
    <n v="5"/>
    <m/>
    <n v="0"/>
    <n v="10"/>
    <n v="10"/>
    <n v="2"/>
    <n v="4"/>
    <n v="0"/>
    <n v="0"/>
    <n v="0"/>
    <n v="10"/>
    <n v="10"/>
    <n v="2"/>
    <n v="4"/>
    <n v="0"/>
    <n v="0"/>
    <n v="0"/>
    <n v="0"/>
    <n v="0"/>
    <n v="0"/>
    <n v="0"/>
    <n v="0"/>
    <n v="0"/>
    <n v="0"/>
    <n v="0"/>
    <n v="0"/>
    <n v="0"/>
    <n v="0"/>
    <n v="0"/>
    <n v="0"/>
    <s v="West"/>
    <x v="4"/>
    <x v="0"/>
    <x v="0"/>
    <x v="0"/>
    <x v="0"/>
    <x v="0"/>
    <m/>
    <x v="0"/>
    <s v="Y"/>
    <s v="3A"/>
    <m/>
    <n v="0"/>
    <n v="26"/>
    <n v="0"/>
    <n v="0"/>
    <n v="0"/>
    <n v="0"/>
    <n v="0"/>
    <n v="0"/>
    <n v="0"/>
    <n v="0"/>
    <n v="0"/>
    <n v="0"/>
    <n v="0"/>
    <n v="0"/>
    <n v="0"/>
    <n v="0"/>
    <n v="0"/>
    <n v="0"/>
    <n v="0"/>
    <n v="0"/>
    <n v="0"/>
    <n v="26"/>
    <n v="26"/>
  </r>
  <r>
    <n v="3518"/>
    <x v="2"/>
    <s v="2012/5286"/>
    <s v="The Ram Quarter"/>
    <s v="Ram Brewery, Capital Studios &amp; Duvall Works, Ram Street/Armoury Way/Wandsworth High Street"/>
    <s v="Building 10K"/>
    <n v="525666"/>
    <n v="174804"/>
    <x v="0"/>
    <d v="2015-04-01T00:00:00"/>
    <m/>
    <n v="0"/>
    <n v="30"/>
    <n v="30"/>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x v="0"/>
    <x v="1"/>
    <x v="1"/>
    <n v="0"/>
    <d v="2015-04-01T00:00:00"/>
    <x v="0"/>
    <m/>
    <x v="0"/>
    <s v="P"/>
    <s v="3.1.2"/>
    <m/>
    <n v="0"/>
    <m/>
    <n v="0"/>
    <m/>
    <n v="0"/>
    <n v="14"/>
    <n v="0"/>
    <n v="15"/>
    <n v="1"/>
    <n v="0"/>
    <n v="0"/>
    <n v="0"/>
    <n v="14"/>
    <n v="0"/>
    <n v="15"/>
    <n v="1"/>
    <n v="0"/>
    <n v="0"/>
    <n v="0"/>
    <n v="0"/>
    <n v="0"/>
    <n v="0"/>
    <n v="0"/>
    <n v="0"/>
    <n v="0"/>
    <n v="0"/>
    <n v="0"/>
    <n v="0"/>
    <n v="0"/>
    <n v="0"/>
    <n v="0"/>
    <n v="0"/>
    <s v="West"/>
    <x v="4"/>
    <x v="0"/>
    <x v="0"/>
    <x v="0"/>
    <x v="0"/>
    <x v="0"/>
    <m/>
    <x v="0"/>
    <s v="Y"/>
    <s v="3A"/>
    <m/>
    <n v="0"/>
    <n v="30"/>
    <n v="0"/>
    <n v="0"/>
    <n v="0"/>
    <n v="0"/>
    <n v="0"/>
    <n v="0"/>
    <n v="0"/>
    <n v="0"/>
    <n v="0"/>
    <n v="0"/>
    <n v="0"/>
    <n v="0"/>
    <n v="0"/>
    <n v="0"/>
    <n v="0"/>
    <n v="0"/>
    <n v="0"/>
    <n v="0"/>
    <n v="0"/>
    <n v="30"/>
    <n v="30"/>
  </r>
  <r>
    <n v="3518"/>
    <x v="2"/>
    <s v="2012/5286"/>
    <s v="The Ram Quarter"/>
    <s v="Ram Brewery, Capital Studios &amp; Duvall Works, Ram Street/Armoury Way/Wandsworth High Street"/>
    <s v="Building 11"/>
    <n v="525666"/>
    <n v="174804"/>
    <x v="0"/>
    <d v="2015-04-01T00:00:00"/>
    <m/>
    <n v="0"/>
    <n v="14"/>
    <n v="14"/>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x v="0"/>
    <x v="1"/>
    <x v="1"/>
    <n v="0"/>
    <d v="2015-04-01T00:00:00"/>
    <x v="0"/>
    <m/>
    <x v="0"/>
    <s v="P"/>
    <s v="3.1.2"/>
    <m/>
    <n v="0"/>
    <m/>
    <n v="0"/>
    <m/>
    <n v="0"/>
    <n v="3"/>
    <n v="10"/>
    <n v="0"/>
    <n v="1"/>
    <n v="0"/>
    <n v="0"/>
    <n v="0"/>
    <n v="3"/>
    <n v="10"/>
    <n v="0"/>
    <n v="1"/>
    <n v="0"/>
    <n v="0"/>
    <n v="0"/>
    <n v="0"/>
    <n v="0"/>
    <n v="0"/>
    <n v="0"/>
    <n v="0"/>
    <n v="0"/>
    <n v="0"/>
    <n v="0"/>
    <n v="0"/>
    <n v="0"/>
    <n v="0"/>
    <n v="0"/>
    <n v="0"/>
    <s v="West"/>
    <x v="4"/>
    <x v="0"/>
    <x v="0"/>
    <x v="0"/>
    <x v="0"/>
    <x v="0"/>
    <m/>
    <x v="0"/>
    <s v="Y"/>
    <s v="3A"/>
    <m/>
    <n v="0"/>
    <n v="14"/>
    <n v="0"/>
    <n v="0"/>
    <n v="0"/>
    <n v="0"/>
    <n v="0"/>
    <n v="0"/>
    <n v="0"/>
    <n v="0"/>
    <n v="0"/>
    <n v="0"/>
    <n v="0"/>
    <n v="0"/>
    <n v="0"/>
    <n v="0"/>
    <n v="0"/>
    <n v="0"/>
    <n v="0"/>
    <n v="0"/>
    <n v="0"/>
    <n v="14"/>
    <n v="14"/>
  </r>
  <r>
    <n v="3518"/>
    <x v="2"/>
    <s v="2016/6029"/>
    <s v="The Ram Quarter"/>
    <s v="Ram Brewery, Capital Studios &amp; Duvall Works, Ram Street/Armoury Way/Wandsworth High Street"/>
    <s v="BUILDING 9 (Phase 2)"/>
    <n v="525666"/>
    <n v="174804"/>
    <x v="0"/>
    <d v="2015-04-01T00:00:00"/>
    <m/>
    <n v="0"/>
    <n v="66"/>
    <n v="66"/>
    <n v="66"/>
    <n v="66"/>
    <s v="Y"/>
    <s v="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_x000d__x000a_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
    <s v="S96A"/>
    <d v="2016-10-28T00:00:00"/>
    <d v="2016-12-02T00:00:00"/>
    <x v="0"/>
    <s v="Nil"/>
    <m/>
    <s v="BF"/>
    <x v="0"/>
    <x v="1"/>
    <x v="1"/>
    <n v="0"/>
    <m/>
    <x v="0"/>
    <m/>
    <x v="1"/>
    <s v="HASO"/>
    <s v="3.1.2"/>
    <m/>
    <n v="10"/>
    <m/>
    <n v="10"/>
    <m/>
    <n v="0"/>
    <n v="36"/>
    <n v="24"/>
    <n v="6"/>
    <n v="0"/>
    <n v="0"/>
    <n v="0"/>
    <n v="0"/>
    <n v="36"/>
    <n v="24"/>
    <n v="6"/>
    <n v="0"/>
    <n v="0"/>
    <n v="0"/>
    <n v="0"/>
    <n v="0"/>
    <n v="0"/>
    <n v="0"/>
    <n v="0"/>
    <n v="0"/>
    <n v="0"/>
    <n v="0"/>
    <n v="0"/>
    <n v="0"/>
    <n v="0"/>
    <n v="0"/>
    <n v="0"/>
    <n v="0"/>
    <s v="West"/>
    <x v="4"/>
    <x v="0"/>
    <x v="0"/>
    <x v="0"/>
    <x v="0"/>
    <x v="0"/>
    <m/>
    <x v="0"/>
    <s v="Y"/>
    <s v="3A"/>
    <m/>
    <n v="0"/>
    <n v="6.6"/>
    <n v="6.6"/>
    <n v="6.6"/>
    <n v="6.6"/>
    <n v="6.6"/>
    <n v="6.6"/>
    <n v="6.6"/>
    <n v="6.6"/>
    <n v="6.6"/>
    <n v="6.6"/>
    <n v="0"/>
    <n v="0"/>
    <n v="0"/>
    <n v="0"/>
    <n v="0"/>
    <n v="0"/>
    <n v="0"/>
    <n v="0"/>
    <n v="0"/>
    <n v="0"/>
    <n v="33"/>
    <n v="66"/>
  </r>
  <r>
    <n v="3521"/>
    <x v="2"/>
    <s v="2012/1258"/>
    <m/>
    <s v="Peabody Estate, St Johns Hill"/>
    <s v="Phase 2 Demolition (Private)"/>
    <n v="527156"/>
    <n v="175243"/>
    <x v="14"/>
    <d v="2013-01-30T00:00:00"/>
    <m/>
    <n v="61"/>
    <n v="0"/>
    <n v="-61"/>
    <n v="528"/>
    <n v="175"/>
    <s v="Y"/>
    <s v="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s v="PFLA"/>
    <d v="2012-04-18T00:00:00"/>
    <d v="2012-10-18T00:00:00"/>
    <x v="0"/>
    <s v="Nil"/>
    <m/>
    <s v="BF"/>
    <x v="0"/>
    <x v="1"/>
    <x v="1"/>
    <n v="0"/>
    <m/>
    <x v="0"/>
    <m/>
    <x v="0"/>
    <s v="P"/>
    <s v="4.1.5"/>
    <m/>
    <n v="0"/>
    <m/>
    <n v="0"/>
    <m/>
    <n v="-1"/>
    <n v="-26"/>
    <n v="-26"/>
    <n v="-7"/>
    <n v="-1"/>
    <n v="0"/>
    <n v="0"/>
    <n v="-1"/>
    <n v="-26"/>
    <n v="-26"/>
    <n v="-7"/>
    <n v="-1"/>
    <n v="0"/>
    <n v="0"/>
    <n v="0"/>
    <n v="0"/>
    <n v="0"/>
    <n v="0"/>
    <n v="0"/>
    <n v="0"/>
    <n v="0"/>
    <n v="0"/>
    <n v="0"/>
    <n v="0"/>
    <n v="0"/>
    <n v="0"/>
    <n v="0"/>
    <n v="0"/>
    <s v="East"/>
    <x v="0"/>
    <x v="0"/>
    <x v="1"/>
    <x v="1"/>
    <x v="0"/>
    <x v="0"/>
    <m/>
    <x v="0"/>
    <s v="Y"/>
    <s v="3A"/>
    <m/>
    <n v="0"/>
    <n v="0"/>
    <n v="-20.333333333333332"/>
    <n v="-20.333333333333332"/>
    <n v="-20.333333333333332"/>
    <n v="0"/>
    <n v="0"/>
    <n v="0"/>
    <n v="0"/>
    <n v="0"/>
    <n v="0"/>
    <n v="0"/>
    <n v="0"/>
    <n v="0"/>
    <n v="0"/>
    <n v="0"/>
    <n v="0"/>
    <n v="0"/>
    <n v="0"/>
    <n v="0"/>
    <n v="0"/>
    <n v="-61"/>
    <n v="-61"/>
  </r>
  <r>
    <n v="3521"/>
    <x v="2"/>
    <s v="2012/1258"/>
    <m/>
    <s v="Peabody Estate, St Johns Hill"/>
    <s v="Phase 2 Demolition (Social Rented)"/>
    <n v="527156"/>
    <n v="175243"/>
    <x v="14"/>
    <d v="2013-01-30T00:00:00"/>
    <m/>
    <n v="97"/>
    <n v="0"/>
    <n v="-97"/>
    <n v="528"/>
    <n v="175"/>
    <s v="Y"/>
    <s v="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s v="PFLA"/>
    <d v="2012-04-18T00:00:00"/>
    <d v="2012-10-18T00:00:00"/>
    <x v="0"/>
    <s v="Nil"/>
    <m/>
    <s v="BF"/>
    <x v="0"/>
    <x v="1"/>
    <x v="1"/>
    <n v="0"/>
    <m/>
    <x v="0"/>
    <m/>
    <x v="2"/>
    <s v="HASR"/>
    <s v="4.1.5"/>
    <m/>
    <n v="0"/>
    <m/>
    <n v="0"/>
    <m/>
    <n v="-2"/>
    <n v="-31"/>
    <n v="-39"/>
    <n v="-25"/>
    <n v="0"/>
    <n v="0"/>
    <n v="0"/>
    <n v="-2"/>
    <n v="-31"/>
    <n v="-39"/>
    <n v="-25"/>
    <n v="0"/>
    <n v="0"/>
    <n v="0"/>
    <n v="0"/>
    <n v="0"/>
    <n v="0"/>
    <n v="0"/>
    <n v="0"/>
    <n v="0"/>
    <n v="0"/>
    <n v="0"/>
    <n v="0"/>
    <n v="0"/>
    <n v="0"/>
    <n v="0"/>
    <n v="0"/>
    <n v="0"/>
    <s v="East"/>
    <x v="0"/>
    <x v="0"/>
    <x v="1"/>
    <x v="1"/>
    <x v="0"/>
    <x v="0"/>
    <m/>
    <x v="0"/>
    <s v="Y"/>
    <s v="3A"/>
    <m/>
    <n v="0"/>
    <n v="0"/>
    <n v="-32.333333333333336"/>
    <n v="-32.333333333333336"/>
    <n v="-32.333333333333336"/>
    <n v="0"/>
    <n v="0"/>
    <n v="0"/>
    <n v="0"/>
    <n v="0"/>
    <n v="0"/>
    <n v="0"/>
    <n v="0"/>
    <n v="0"/>
    <n v="0"/>
    <n v="0"/>
    <n v="0"/>
    <n v="0"/>
    <n v="0"/>
    <n v="0"/>
    <n v="0"/>
    <n v="-97"/>
    <n v="-97"/>
  </r>
  <r>
    <n v="3521"/>
    <x v="2"/>
    <s v="2012/1258"/>
    <m/>
    <s v="Peabody Estate, St Johns Hill"/>
    <s v="Phase 3 (Open Market)"/>
    <n v="527156"/>
    <n v="175243"/>
    <x v="14"/>
    <d v="2013-01-30T00:00:00"/>
    <m/>
    <n v="0"/>
    <n v="135"/>
    <n v="135"/>
    <n v="528"/>
    <n v="175"/>
    <s v="Y"/>
    <s v="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s v="PFLA"/>
    <d v="2012-04-18T00:00:00"/>
    <d v="2012-10-18T00:00:00"/>
    <x v="0"/>
    <s v="Nil"/>
    <m/>
    <s v="BF"/>
    <x v="0"/>
    <x v="1"/>
    <x v="1"/>
    <n v="0.48500001430511502"/>
    <m/>
    <x v="0"/>
    <m/>
    <x v="0"/>
    <s v="P"/>
    <s v="4.1.5"/>
    <m/>
    <n v="135"/>
    <m/>
    <n v="0"/>
    <m/>
    <n v="0"/>
    <n v="43"/>
    <n v="77"/>
    <n v="15"/>
    <n v="0"/>
    <n v="0"/>
    <n v="0"/>
    <n v="0"/>
    <n v="43"/>
    <n v="77"/>
    <n v="15"/>
    <n v="0"/>
    <n v="0"/>
    <n v="0"/>
    <n v="0"/>
    <n v="0"/>
    <n v="0"/>
    <n v="0"/>
    <n v="0"/>
    <n v="0"/>
    <n v="0"/>
    <n v="0"/>
    <n v="0"/>
    <n v="0"/>
    <n v="0"/>
    <n v="0"/>
    <n v="0"/>
    <n v="0"/>
    <s v="East"/>
    <x v="0"/>
    <x v="0"/>
    <x v="1"/>
    <x v="1"/>
    <x v="0"/>
    <x v="0"/>
    <m/>
    <x v="0"/>
    <s v="Y"/>
    <s v="3A"/>
    <m/>
    <n v="0"/>
    <n v="0"/>
    <n v="45"/>
    <n v="45"/>
    <n v="45"/>
    <n v="0"/>
    <n v="0"/>
    <n v="0"/>
    <n v="0"/>
    <n v="0"/>
    <n v="0"/>
    <n v="0"/>
    <n v="0"/>
    <n v="0"/>
    <n v="0"/>
    <n v="0"/>
    <n v="0"/>
    <n v="0"/>
    <n v="0"/>
    <n v="0"/>
    <n v="0"/>
    <n v="135"/>
    <n v="135"/>
  </r>
  <r>
    <n v="3521"/>
    <x v="2"/>
    <s v="2012/1258"/>
    <m/>
    <s v="Peabody Estate, St Johns Hill"/>
    <s v="Phase 3 (Social Rented)"/>
    <n v="527156"/>
    <n v="175243"/>
    <x v="14"/>
    <d v="2013-01-30T00:00:00"/>
    <m/>
    <n v="0"/>
    <n v="47"/>
    <n v="47"/>
    <n v="528"/>
    <n v="175"/>
    <s v="Y"/>
    <s v="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s v="PFLA"/>
    <d v="2012-04-18T00:00:00"/>
    <d v="2012-10-18T00:00:00"/>
    <x v="0"/>
    <s v="Nil"/>
    <m/>
    <s v="BF"/>
    <x v="0"/>
    <x v="1"/>
    <x v="1"/>
    <n v="0.15099999308586101"/>
    <m/>
    <x v="0"/>
    <m/>
    <x v="2"/>
    <s v="HASR"/>
    <s v="4.1.5"/>
    <m/>
    <n v="42"/>
    <m/>
    <n v="0"/>
    <m/>
    <n v="0"/>
    <n v="9"/>
    <n v="38"/>
    <n v="0"/>
    <n v="0"/>
    <n v="0"/>
    <n v="0"/>
    <n v="0"/>
    <n v="9"/>
    <n v="38"/>
    <n v="0"/>
    <n v="0"/>
    <n v="0"/>
    <n v="0"/>
    <n v="0"/>
    <n v="0"/>
    <n v="0"/>
    <n v="0"/>
    <n v="0"/>
    <n v="0"/>
    <n v="0"/>
    <n v="0"/>
    <n v="0"/>
    <n v="0"/>
    <n v="0"/>
    <n v="0"/>
    <n v="0"/>
    <n v="0"/>
    <s v="East"/>
    <x v="0"/>
    <x v="0"/>
    <x v="1"/>
    <x v="1"/>
    <x v="0"/>
    <x v="0"/>
    <m/>
    <x v="0"/>
    <s v="Y"/>
    <s v="3A"/>
    <m/>
    <n v="0"/>
    <n v="0"/>
    <n v="15.666666666666666"/>
    <n v="15.666666666666666"/>
    <n v="15.666666666666666"/>
    <n v="0"/>
    <n v="0"/>
    <n v="0"/>
    <n v="0"/>
    <n v="0"/>
    <n v="0"/>
    <n v="0"/>
    <n v="0"/>
    <n v="0"/>
    <n v="0"/>
    <n v="0"/>
    <n v="0"/>
    <n v="0"/>
    <n v="0"/>
    <n v="0"/>
    <n v="0"/>
    <n v="47"/>
    <n v="47"/>
  </r>
  <r>
    <n v="3521"/>
    <x v="2"/>
    <s v="2012/1258"/>
    <m/>
    <s v="Peabody Estate, St Johns Hill"/>
    <s v="Phase 3 Demolition (Open Market)"/>
    <n v="527156"/>
    <n v="175243"/>
    <x v="14"/>
    <d v="2013-01-30T00:00:00"/>
    <m/>
    <n v="28"/>
    <n v="0"/>
    <n v="-28"/>
    <n v="528"/>
    <n v="175"/>
    <s v="Y"/>
    <s v="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s v="PFLA"/>
    <d v="2012-04-18T00:00:00"/>
    <d v="2012-10-18T00:00:00"/>
    <x v="0"/>
    <s v="Nil"/>
    <m/>
    <s v="BF"/>
    <x v="0"/>
    <x v="1"/>
    <x v="1"/>
    <n v="0"/>
    <m/>
    <x v="0"/>
    <m/>
    <x v="0"/>
    <s v="P"/>
    <s v="4.1.5"/>
    <m/>
    <n v="0"/>
    <m/>
    <n v="0"/>
    <m/>
    <n v="-1"/>
    <n v="-12"/>
    <n v="-12"/>
    <n v="-3"/>
    <n v="0"/>
    <n v="0"/>
    <n v="0"/>
    <n v="-1"/>
    <n v="-12"/>
    <n v="-12"/>
    <n v="-3"/>
    <n v="0"/>
    <n v="0"/>
    <n v="0"/>
    <n v="0"/>
    <n v="0"/>
    <n v="0"/>
    <n v="0"/>
    <n v="0"/>
    <n v="0"/>
    <n v="0"/>
    <n v="0"/>
    <n v="0"/>
    <n v="0"/>
    <n v="0"/>
    <n v="0"/>
    <n v="0"/>
    <n v="0"/>
    <s v="East"/>
    <x v="0"/>
    <x v="0"/>
    <x v="1"/>
    <x v="1"/>
    <x v="0"/>
    <x v="0"/>
    <m/>
    <x v="0"/>
    <s v="Y"/>
    <s v="3A"/>
    <m/>
    <n v="0"/>
    <n v="0"/>
    <n v="-9.3333333333333339"/>
    <n v="-9.3333333333333339"/>
    <n v="-9.3333333333333339"/>
    <n v="0"/>
    <n v="0"/>
    <n v="0"/>
    <n v="0"/>
    <n v="0"/>
    <n v="0"/>
    <n v="0"/>
    <n v="0"/>
    <n v="0"/>
    <n v="0"/>
    <n v="0"/>
    <n v="0"/>
    <n v="0"/>
    <n v="0"/>
    <n v="0"/>
    <n v="0"/>
    <n v="-28"/>
    <n v="-28"/>
  </r>
  <r>
    <n v="3521"/>
    <x v="2"/>
    <s v="2012/1258"/>
    <m/>
    <s v="Peabody Estate, St Johns Hill"/>
    <s v="Phase 3 Demolition (Social Rented)"/>
    <n v="527156"/>
    <n v="175243"/>
    <x v="14"/>
    <d v="2013-01-30T00:00:00"/>
    <m/>
    <n v="56"/>
    <n v="0"/>
    <n v="-56"/>
    <n v="528"/>
    <n v="175"/>
    <s v="Y"/>
    <s v="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s v="PFLA"/>
    <d v="2012-04-18T00:00:00"/>
    <d v="2012-10-18T00:00:00"/>
    <x v="0"/>
    <s v="Nil"/>
    <m/>
    <s v="BF"/>
    <x v="0"/>
    <x v="1"/>
    <x v="1"/>
    <n v="0"/>
    <m/>
    <x v="0"/>
    <m/>
    <x v="2"/>
    <s v="HASR"/>
    <s v="4.1.5"/>
    <m/>
    <n v="0"/>
    <m/>
    <n v="0"/>
    <m/>
    <n v="-1"/>
    <n v="-18"/>
    <n v="-22"/>
    <n v="-15"/>
    <n v="0"/>
    <n v="0"/>
    <n v="0"/>
    <n v="-1"/>
    <n v="-18"/>
    <n v="-22"/>
    <n v="-15"/>
    <n v="0"/>
    <n v="0"/>
    <n v="0"/>
    <n v="0"/>
    <n v="0"/>
    <n v="0"/>
    <n v="0"/>
    <n v="0"/>
    <n v="0"/>
    <n v="0"/>
    <n v="0"/>
    <n v="0"/>
    <n v="0"/>
    <n v="0"/>
    <n v="0"/>
    <n v="0"/>
    <n v="0"/>
    <s v="East"/>
    <x v="0"/>
    <x v="0"/>
    <x v="1"/>
    <x v="1"/>
    <x v="0"/>
    <x v="0"/>
    <m/>
    <x v="0"/>
    <s v="Y"/>
    <s v="3A"/>
    <m/>
    <n v="0"/>
    <n v="0"/>
    <n v="-18.666666666666668"/>
    <n v="-18.666666666666668"/>
    <n v="-18.666666666666668"/>
    <n v="0"/>
    <n v="0"/>
    <n v="0"/>
    <n v="0"/>
    <n v="0"/>
    <n v="0"/>
    <n v="0"/>
    <n v="0"/>
    <n v="0"/>
    <n v="0"/>
    <n v="0"/>
    <n v="0"/>
    <n v="0"/>
    <n v="0"/>
    <n v="0"/>
    <n v="0"/>
    <n v="-56"/>
    <n v="-56"/>
  </r>
  <r>
    <n v="3521"/>
    <x v="2"/>
    <s v="2012/1258"/>
    <m/>
    <s v="Peabody Estate, St Johns Hill"/>
    <s v="Phase 3 Intermediate"/>
    <n v="527156"/>
    <n v="175243"/>
    <x v="14"/>
    <d v="2013-01-30T00:00:00"/>
    <m/>
    <n v="0"/>
    <n v="52"/>
    <n v="52"/>
    <n v="528"/>
    <n v="175"/>
    <s v="Y"/>
    <s v="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s v="PFLA"/>
    <d v="2012-04-18T00:00:00"/>
    <d v="2012-10-18T00:00:00"/>
    <x v="0"/>
    <s v="Nil"/>
    <m/>
    <s v="BF"/>
    <x v="0"/>
    <x v="1"/>
    <x v="1"/>
    <n v="0.18299999833107"/>
    <m/>
    <x v="0"/>
    <m/>
    <x v="1"/>
    <s v="HASO"/>
    <s v="4.1.5"/>
    <m/>
    <n v="51"/>
    <m/>
    <n v="0"/>
    <m/>
    <n v="0"/>
    <n v="18"/>
    <n v="21"/>
    <n v="13"/>
    <n v="0"/>
    <n v="0"/>
    <n v="0"/>
    <n v="0"/>
    <n v="18"/>
    <n v="21"/>
    <n v="13"/>
    <n v="0"/>
    <n v="0"/>
    <n v="0"/>
    <n v="0"/>
    <n v="0"/>
    <n v="0"/>
    <n v="0"/>
    <n v="0"/>
    <n v="0"/>
    <n v="0"/>
    <n v="0"/>
    <n v="0"/>
    <n v="0"/>
    <n v="0"/>
    <n v="0"/>
    <n v="0"/>
    <n v="0"/>
    <s v="East"/>
    <x v="0"/>
    <x v="0"/>
    <x v="1"/>
    <x v="1"/>
    <x v="0"/>
    <x v="0"/>
    <m/>
    <x v="0"/>
    <s v="Y"/>
    <s v="3A"/>
    <m/>
    <n v="0"/>
    <n v="0"/>
    <n v="17.333333333333332"/>
    <n v="17.333333333333332"/>
    <n v="17.333333333333332"/>
    <n v="0"/>
    <n v="0"/>
    <n v="0"/>
    <n v="0"/>
    <n v="0"/>
    <n v="0"/>
    <n v="0"/>
    <n v="0"/>
    <n v="0"/>
    <n v="0"/>
    <n v="0"/>
    <n v="0"/>
    <n v="0"/>
    <n v="0"/>
    <n v="0"/>
    <n v="0"/>
    <n v="52"/>
    <n v="52"/>
  </r>
  <r>
    <n v="3526"/>
    <x v="2"/>
    <s v="2017/3886"/>
    <m/>
    <s v="Homebase, 198 York Road"/>
    <s v="Block A"/>
    <n v="526547"/>
    <n v="175744"/>
    <x v="1"/>
    <d v="2017-07-21T00:00:00"/>
    <m/>
    <n v="0"/>
    <n v="57"/>
    <n v="57"/>
    <n v="275"/>
    <n v="275"/>
    <s v="Y"/>
    <s v="Variation of condition 2 (in accordance with approved drawings) pursuant to planning permission dated 11/04/2017 ref 2016/5747 to allow the reduction in size of Blocks A and B; Relocation of stair and lift cores in Blocks A and B; Internal reconfiguration of plant and storage at basement level; Changes to the ground and first floor podium façade; Internal reconfiguration to the RAD ground floor, including additional studio space, relocation of studios, the shop and reception; Internal layout changes to Block C;  Changes to the façade on Block C; A drop-off zone along York Place and ground and first floor landscaping amendments."/>
    <s v="S73"/>
    <d v="2017-07-12T00:00:00"/>
    <d v="2018-03-01T00:00:00"/>
    <x v="1"/>
    <s v="Nil"/>
    <m/>
    <s v="BF"/>
    <x v="0"/>
    <x v="1"/>
    <x v="1"/>
    <n v="9.7999997437000302E-2"/>
    <d v="2017-07-21T00:00:00"/>
    <x v="1"/>
    <m/>
    <x v="0"/>
    <s v="P"/>
    <s v="10.4"/>
    <m/>
    <n v="0"/>
    <m/>
    <n v="0"/>
    <m/>
    <n v="0"/>
    <n v="7"/>
    <n v="45"/>
    <n v="5"/>
    <n v="0"/>
    <n v="0"/>
    <n v="0"/>
    <n v="0"/>
    <n v="7"/>
    <n v="45"/>
    <n v="5"/>
    <n v="0"/>
    <n v="0"/>
    <n v="0"/>
    <n v="0"/>
    <n v="0"/>
    <n v="0"/>
    <n v="0"/>
    <n v="0"/>
    <n v="0"/>
    <n v="0"/>
    <n v="0"/>
    <n v="0"/>
    <n v="0"/>
    <n v="0"/>
    <n v="0"/>
    <n v="0"/>
    <n v="0"/>
    <s v="East"/>
    <x v="0"/>
    <x v="0"/>
    <x v="1"/>
    <x v="0"/>
    <x v="0"/>
    <x v="0"/>
    <s v="Y"/>
    <x v="0"/>
    <s v="Y"/>
    <s v="3A"/>
    <m/>
    <n v="0"/>
    <n v="0"/>
    <n v="0"/>
    <n v="57"/>
    <n v="0"/>
    <n v="0"/>
    <n v="0"/>
    <n v="0"/>
    <n v="0"/>
    <n v="0"/>
    <n v="0"/>
    <n v="0"/>
    <n v="0"/>
    <n v="0"/>
    <n v="0"/>
    <n v="0"/>
    <n v="0"/>
    <n v="0"/>
    <n v="0"/>
    <n v="0"/>
    <n v="0"/>
    <n v="57"/>
    <n v="57"/>
  </r>
  <r>
    <n v="3526"/>
    <x v="2"/>
    <s v="2017/3886"/>
    <m/>
    <s v="Homebase, 198 York Road"/>
    <s v="Block A"/>
    <n v="526547"/>
    <n v="175744"/>
    <x v="1"/>
    <d v="2017-07-21T00:00:00"/>
    <m/>
    <n v="0"/>
    <n v="16"/>
    <n v="16"/>
    <n v="275"/>
    <n v="275"/>
    <s v="Y"/>
    <s v="Variation of condition 2 (in accordance with approved drawings) pursuant to planning permission dated 11/04/2017 ref 2016/5747 to allow the reduction in size of Blocks A and B; Relocation of stair and lift cores in Blocks A and B; Internal reconfiguration of plant and storage at basement level; Changes to the ground and first floor podium façade; Internal reconfiguration to the RAD ground floor, including additional studio space, relocation of studios, the shop and reception; Internal layout changes to Block C;  Changes to the façade on Block C; A drop-off zone along York Place and ground and first floor landscaping amendments."/>
    <s v="S73"/>
    <d v="2017-07-12T00:00:00"/>
    <d v="2018-03-01T00:00:00"/>
    <x v="1"/>
    <s v="Nil"/>
    <m/>
    <s v="BF"/>
    <x v="0"/>
    <x v="1"/>
    <x v="1"/>
    <n v="2.70000007003546E-2"/>
    <d v="2017-07-21T00:00:00"/>
    <x v="1"/>
    <m/>
    <x v="1"/>
    <s v="HAIR"/>
    <s v="10.4"/>
    <m/>
    <n v="0"/>
    <m/>
    <n v="0"/>
    <m/>
    <n v="0"/>
    <n v="12"/>
    <n v="4"/>
    <n v="0"/>
    <n v="0"/>
    <n v="0"/>
    <n v="0"/>
    <n v="0"/>
    <n v="12"/>
    <n v="4"/>
    <n v="0"/>
    <n v="0"/>
    <n v="0"/>
    <n v="0"/>
    <n v="0"/>
    <n v="0"/>
    <n v="0"/>
    <n v="0"/>
    <n v="0"/>
    <n v="0"/>
    <n v="0"/>
    <n v="0"/>
    <n v="0"/>
    <n v="0"/>
    <n v="0"/>
    <n v="0"/>
    <n v="0"/>
    <n v="0"/>
    <s v="East"/>
    <x v="0"/>
    <x v="0"/>
    <x v="1"/>
    <x v="0"/>
    <x v="0"/>
    <x v="0"/>
    <s v="Y"/>
    <x v="0"/>
    <s v="Y"/>
    <s v="3A"/>
    <m/>
    <n v="0"/>
    <n v="0"/>
    <n v="0"/>
    <n v="16"/>
    <n v="0"/>
    <n v="0"/>
    <n v="0"/>
    <n v="0"/>
    <n v="0"/>
    <n v="0"/>
    <n v="0"/>
    <n v="0"/>
    <n v="0"/>
    <n v="0"/>
    <n v="0"/>
    <n v="0"/>
    <n v="0"/>
    <n v="0"/>
    <n v="0"/>
    <n v="0"/>
    <n v="0"/>
    <n v="16"/>
    <n v="16"/>
  </r>
  <r>
    <n v="3526"/>
    <x v="2"/>
    <s v="2017/3886"/>
    <m/>
    <s v="Homebase, 198 York Road"/>
    <s v="Block B"/>
    <n v="526547"/>
    <n v="175744"/>
    <x v="1"/>
    <d v="2017-07-21T00:00:00"/>
    <m/>
    <n v="0"/>
    <n v="71"/>
    <n v="71"/>
    <n v="275"/>
    <n v="275"/>
    <s v="Y"/>
    <s v="Variation of condition 2 (in accordance with approved drawings) pursuant to planning permission dated 11/04/2017 ref 2016/5747 to allow the reduction in size of Blocks A and B; Relocation of stair and lift cores in Blocks A and B; Internal reconfiguration of plant and storage at basement level; Changes to the ground and first floor podium façade; Internal reconfiguration to the RAD ground floor, including additional studio space, relocation of studios, the shop and reception; Internal layout changes to Block C;  Changes to the façade on Block C; A drop-off zone along York Place and ground and first floor landscaping amendments."/>
    <s v="S73"/>
    <d v="2017-07-12T00:00:00"/>
    <d v="2018-03-01T00:00:00"/>
    <x v="1"/>
    <s v="Nil"/>
    <m/>
    <s v="BF"/>
    <x v="0"/>
    <x v="1"/>
    <x v="1"/>
    <n v="0.122000001370907"/>
    <d v="2017-07-21T00:00:00"/>
    <x v="1"/>
    <m/>
    <x v="0"/>
    <s v="P"/>
    <s v="10.4"/>
    <m/>
    <n v="0"/>
    <m/>
    <n v="0"/>
    <m/>
    <n v="0"/>
    <n v="8"/>
    <n v="55"/>
    <n v="8"/>
    <n v="0"/>
    <n v="0"/>
    <n v="0"/>
    <n v="0"/>
    <n v="8"/>
    <n v="55"/>
    <n v="8"/>
    <n v="0"/>
    <n v="0"/>
    <n v="0"/>
    <n v="0"/>
    <n v="0"/>
    <n v="0"/>
    <n v="0"/>
    <n v="0"/>
    <n v="0"/>
    <n v="0"/>
    <n v="0"/>
    <n v="0"/>
    <n v="0"/>
    <n v="0"/>
    <n v="0"/>
    <n v="0"/>
    <n v="0"/>
    <s v="East"/>
    <x v="0"/>
    <x v="0"/>
    <x v="1"/>
    <x v="0"/>
    <x v="0"/>
    <x v="0"/>
    <s v="Y"/>
    <x v="0"/>
    <s v="Y"/>
    <s v="3A"/>
    <m/>
    <n v="0"/>
    <n v="0"/>
    <n v="0"/>
    <n v="71"/>
    <n v="0"/>
    <n v="0"/>
    <n v="0"/>
    <n v="0"/>
    <n v="0"/>
    <n v="0"/>
    <n v="0"/>
    <n v="0"/>
    <n v="0"/>
    <n v="0"/>
    <n v="0"/>
    <n v="0"/>
    <n v="0"/>
    <n v="0"/>
    <n v="0"/>
    <n v="0"/>
    <n v="0"/>
    <n v="71"/>
    <n v="71"/>
  </r>
  <r>
    <n v="3526"/>
    <x v="2"/>
    <s v="2017/3886"/>
    <m/>
    <s v="Homebase, 198 York Road"/>
    <s v="Block B"/>
    <n v="526547"/>
    <n v="175744"/>
    <x v="1"/>
    <d v="2017-07-21T00:00:00"/>
    <m/>
    <n v="0"/>
    <n v="25"/>
    <n v="25"/>
    <n v="275"/>
    <n v="275"/>
    <s v="Y"/>
    <s v="Variation of condition 2 (in accordance with approved drawings) pursuant to planning permission dated 11/04/2017 ref 2016/5747 to allow the reduction in size of Blocks A and B; Relocation of stair and lift cores in Blocks A and B; Internal reconfiguration of plant and storage at basement level; Changes to the ground and first floor podium façade; Internal reconfiguration to the RAD ground floor, including additional studio space, relocation of studios, the shop and reception; Internal layout changes to Block C;  Changes to the façade on Block C; A drop-off zone along York Place and ground and first floor landscaping amendments."/>
    <s v="S73"/>
    <d v="2017-07-12T00:00:00"/>
    <d v="2018-03-01T00:00:00"/>
    <x v="1"/>
    <s v="Nil"/>
    <m/>
    <s v="BF"/>
    <x v="0"/>
    <x v="1"/>
    <x v="1"/>
    <n v="4.3000001460313797E-2"/>
    <d v="2017-07-21T00:00:00"/>
    <x v="1"/>
    <m/>
    <x v="1"/>
    <s v="HAIR"/>
    <s v="10.4"/>
    <m/>
    <n v="0"/>
    <m/>
    <n v="0"/>
    <m/>
    <n v="0"/>
    <n v="16"/>
    <n v="9"/>
    <n v="0"/>
    <n v="0"/>
    <n v="0"/>
    <n v="0"/>
    <n v="0"/>
    <n v="16"/>
    <n v="9"/>
    <n v="0"/>
    <n v="0"/>
    <n v="0"/>
    <n v="0"/>
    <n v="0"/>
    <n v="0"/>
    <n v="0"/>
    <n v="0"/>
    <n v="0"/>
    <n v="0"/>
    <n v="0"/>
    <n v="0"/>
    <n v="0"/>
    <n v="0"/>
    <n v="0"/>
    <n v="0"/>
    <n v="0"/>
    <n v="0"/>
    <s v="East"/>
    <x v="0"/>
    <x v="0"/>
    <x v="1"/>
    <x v="0"/>
    <x v="0"/>
    <x v="0"/>
    <s v="Y"/>
    <x v="0"/>
    <s v="Y"/>
    <s v="3A"/>
    <m/>
    <n v="0"/>
    <n v="0"/>
    <n v="0"/>
    <n v="25"/>
    <n v="0"/>
    <n v="0"/>
    <n v="0"/>
    <n v="0"/>
    <n v="0"/>
    <n v="0"/>
    <n v="0"/>
    <n v="0"/>
    <n v="0"/>
    <n v="0"/>
    <n v="0"/>
    <n v="0"/>
    <n v="0"/>
    <n v="0"/>
    <n v="0"/>
    <n v="0"/>
    <n v="0"/>
    <n v="25"/>
    <n v="25"/>
  </r>
  <r>
    <n v="3526"/>
    <x v="2"/>
    <s v="2017/3886"/>
    <m/>
    <s v="Homebase, 198 York Road"/>
    <s v="Block C"/>
    <n v="526547"/>
    <n v="175744"/>
    <x v="1"/>
    <d v="2017-07-21T00:00:00"/>
    <m/>
    <n v="0"/>
    <n v="106"/>
    <n v="106"/>
    <n v="275"/>
    <n v="275"/>
    <s v="Y"/>
    <s v="Variation of condition 2 (in accordance with approved drawings) pursuant to planning permission dated 11/04/2017 ref 2016/5747 to allow the reduction in size of Blocks A and B; Relocation of stair and lift cores in Blocks A and B; Internal reconfiguration of plant and storage at basement level; Changes to the ground and first floor podium façade; Internal reconfiguration to the RAD ground floor, including additional studio space, relocation of studios, the shop and reception; Internal layout changes to Block C;  Changes to the façade on Block C; A drop-off zone along York Place and ground and first floor landscaping amendments."/>
    <s v="S73"/>
    <d v="2017-07-12T00:00:00"/>
    <d v="2018-03-01T00:00:00"/>
    <x v="1"/>
    <s v="Nil"/>
    <m/>
    <s v="BF"/>
    <x v="0"/>
    <x v="1"/>
    <x v="1"/>
    <n v="0.18099999427795399"/>
    <d v="2017-07-21T00:00:00"/>
    <x v="1"/>
    <m/>
    <x v="0"/>
    <s v="P"/>
    <s v="10.4"/>
    <m/>
    <n v="0"/>
    <m/>
    <n v="0"/>
    <m/>
    <n v="2"/>
    <n v="32"/>
    <n v="61"/>
    <n v="11"/>
    <n v="0"/>
    <n v="0"/>
    <n v="0"/>
    <n v="2"/>
    <n v="32"/>
    <n v="61"/>
    <n v="11"/>
    <n v="0"/>
    <n v="0"/>
    <n v="0"/>
    <n v="0"/>
    <n v="0"/>
    <n v="0"/>
    <n v="0"/>
    <n v="0"/>
    <n v="0"/>
    <n v="0"/>
    <n v="0"/>
    <n v="0"/>
    <n v="0"/>
    <n v="0"/>
    <n v="0"/>
    <n v="0"/>
    <n v="0"/>
    <s v="East"/>
    <x v="0"/>
    <x v="0"/>
    <x v="1"/>
    <x v="0"/>
    <x v="0"/>
    <x v="0"/>
    <s v="Y"/>
    <x v="0"/>
    <s v="Y"/>
    <s v="3A"/>
    <m/>
    <n v="0"/>
    <n v="0"/>
    <n v="0"/>
    <n v="106"/>
    <n v="0"/>
    <n v="0"/>
    <n v="0"/>
    <n v="0"/>
    <n v="0"/>
    <n v="0"/>
    <n v="0"/>
    <n v="0"/>
    <n v="0"/>
    <n v="0"/>
    <n v="0"/>
    <n v="0"/>
    <n v="0"/>
    <n v="0"/>
    <n v="0"/>
    <n v="0"/>
    <n v="0"/>
    <n v="106"/>
    <n v="106"/>
  </r>
  <r>
    <n v="3568"/>
    <x v="2"/>
    <s v="2017/3099"/>
    <m/>
    <s v="33 Roedean Crescent"/>
    <m/>
    <n v="521152"/>
    <n v="174359"/>
    <x v="15"/>
    <d v="2018-03-31T00:00:00"/>
    <m/>
    <n v="0"/>
    <n v="2"/>
    <n v="2"/>
    <n v="2"/>
    <n v="2"/>
    <m/>
    <s v="Demolition of existing building and erection of 2 x 5-bedroom three storey houses (top floor in roof); associated garages, landscaping and parking and alterations to front boundary; (Amended scheme to that granted planning permission dated 28/06/16 ref. 2016/1017 [Demolition of existing house and erection of 2 x three-storey houses plus basement houses with external light-wells and associated landscaping and car parking. Alterations to front boundary) to omit basements and lightwells and amend site layout."/>
    <s v="PF"/>
    <d v="2017-06-19T00:00:00"/>
    <d v="2017-10-19T00:00:00"/>
    <x v="1"/>
    <s v="Nil"/>
    <m/>
    <s v="BF"/>
    <x v="0"/>
    <x v="0"/>
    <x v="0"/>
    <n v="0.13799999654293099"/>
    <d v="2018-03-31T00:00:00"/>
    <x v="1"/>
    <m/>
    <x v="0"/>
    <s v="P"/>
    <m/>
    <m/>
    <n v="0"/>
    <n v="2"/>
    <n v="0"/>
    <m/>
    <n v="0"/>
    <n v="0"/>
    <n v="0"/>
    <n v="0"/>
    <n v="0"/>
    <n v="2"/>
    <n v="0"/>
    <n v="0"/>
    <n v="0"/>
    <n v="0"/>
    <n v="0"/>
    <n v="0"/>
    <n v="0"/>
    <n v="0"/>
    <n v="0"/>
    <n v="0"/>
    <n v="0"/>
    <n v="0"/>
    <n v="0"/>
    <n v="2"/>
    <n v="0"/>
    <n v="0"/>
    <n v="0"/>
    <n v="0"/>
    <n v="0"/>
    <n v="0"/>
    <n v="0"/>
    <n v="0"/>
    <s v="West"/>
    <x v="0"/>
    <x v="0"/>
    <x v="1"/>
    <x v="0"/>
    <x v="0"/>
    <x v="0"/>
    <m/>
    <x v="0"/>
    <s v="Y"/>
    <s v="2B"/>
    <m/>
    <n v="0"/>
    <n v="1"/>
    <n v="1"/>
    <n v="0"/>
    <n v="0"/>
    <n v="0"/>
    <n v="0"/>
    <n v="0"/>
    <n v="0"/>
    <n v="0"/>
    <n v="0"/>
    <n v="0"/>
    <n v="0"/>
    <n v="0"/>
    <n v="0"/>
    <n v="0"/>
    <n v="0"/>
    <n v="0"/>
    <n v="0"/>
    <n v="0"/>
    <n v="0"/>
    <n v="2"/>
    <n v="2"/>
  </r>
  <r>
    <n v="3603"/>
    <x v="2"/>
    <s v="2017/2604"/>
    <m/>
    <s v="3-4 Chivalry Road"/>
    <m/>
    <n v="527109"/>
    <n v="174953"/>
    <x v="14"/>
    <d v="2017-07-20T00:00:00"/>
    <m/>
    <n v="0"/>
    <n v="9"/>
    <n v="9"/>
    <n v="9"/>
    <n v="9"/>
    <m/>
    <s v="Determination as to whether prior notification is required for change of use from offices (Class B1a) to 9 x studio flats (Class C3)"/>
    <s v="PANR"/>
    <d v="2017-05-08T00:00:00"/>
    <d v="2017-07-03T00:00:00"/>
    <x v="1"/>
    <s v="Nil"/>
    <m/>
    <s v="BF"/>
    <x v="3"/>
    <x v="0"/>
    <x v="9"/>
    <n v="1.4000000432133701E-2"/>
    <d v="2017-07-20T00:00:00"/>
    <x v="1"/>
    <m/>
    <x v="0"/>
    <s v="P"/>
    <m/>
    <m/>
    <n v="0"/>
    <m/>
    <n v="0"/>
    <m/>
    <n v="9"/>
    <n v="0"/>
    <n v="0"/>
    <n v="0"/>
    <n v="0"/>
    <n v="0"/>
    <n v="0"/>
    <n v="9"/>
    <n v="0"/>
    <n v="0"/>
    <n v="0"/>
    <n v="0"/>
    <n v="0"/>
    <n v="0"/>
    <n v="0"/>
    <n v="0"/>
    <n v="0"/>
    <n v="0"/>
    <n v="0"/>
    <n v="0"/>
    <n v="0"/>
    <n v="0"/>
    <n v="0"/>
    <n v="0"/>
    <n v="0"/>
    <n v="0"/>
    <n v="0"/>
    <n v="0"/>
    <s v="East"/>
    <x v="0"/>
    <x v="0"/>
    <x v="1"/>
    <x v="0"/>
    <x v="0"/>
    <x v="0"/>
    <m/>
    <x v="0"/>
    <s v="Y"/>
    <s v="8A"/>
    <m/>
    <n v="0"/>
    <n v="9"/>
    <n v="0"/>
    <n v="0"/>
    <n v="0"/>
    <n v="0"/>
    <n v="0"/>
    <n v="0"/>
    <n v="0"/>
    <n v="0"/>
    <n v="0"/>
    <n v="0"/>
    <n v="0"/>
    <n v="0"/>
    <n v="0"/>
    <n v="0"/>
    <n v="0"/>
    <n v="0"/>
    <n v="0"/>
    <n v="0"/>
    <n v="0"/>
    <n v="9"/>
    <n v="9"/>
  </r>
  <r>
    <n v="3603"/>
    <x v="2"/>
    <s v="2017/4121"/>
    <m/>
    <s v="3-4 Chivalry Road"/>
    <m/>
    <n v="527109"/>
    <n v="174953"/>
    <x v="14"/>
    <d v="2017-08-01T00:00:00"/>
    <m/>
    <n v="0"/>
    <n v="1"/>
    <n v="1"/>
    <n v="1"/>
    <n v="1"/>
    <m/>
    <s v="Erection of mansard roof extension to main rear roof to form a 1-bedroom flat."/>
    <s v="PF"/>
    <d v="2017-07-21T00:00:00"/>
    <d v="2017-09-15T00:00:00"/>
    <x v="1"/>
    <s v="Nil"/>
    <m/>
    <s v="BF"/>
    <x v="2"/>
    <x v="0"/>
    <x v="3"/>
    <n v="4.0000001899898104E-3"/>
    <d v="2017-08-01T00:00:00"/>
    <x v="1"/>
    <m/>
    <x v="0"/>
    <s v="P"/>
    <m/>
    <m/>
    <n v="0"/>
    <m/>
    <n v="0"/>
    <m/>
    <n v="0"/>
    <n v="1"/>
    <n v="0"/>
    <n v="0"/>
    <n v="0"/>
    <n v="0"/>
    <n v="0"/>
    <n v="0"/>
    <n v="1"/>
    <n v="0"/>
    <n v="0"/>
    <n v="0"/>
    <n v="0"/>
    <n v="0"/>
    <n v="0"/>
    <n v="0"/>
    <n v="0"/>
    <n v="0"/>
    <n v="0"/>
    <n v="0"/>
    <n v="0"/>
    <n v="0"/>
    <n v="0"/>
    <n v="0"/>
    <n v="0"/>
    <n v="0"/>
    <n v="0"/>
    <n v="0"/>
    <s v="East"/>
    <x v="0"/>
    <x v="0"/>
    <x v="1"/>
    <x v="0"/>
    <x v="0"/>
    <x v="0"/>
    <m/>
    <x v="0"/>
    <s v="Y"/>
    <s v="8A"/>
    <m/>
    <n v="0"/>
    <n v="1"/>
    <n v="0"/>
    <n v="0"/>
    <n v="0"/>
    <n v="0"/>
    <n v="0"/>
    <n v="0"/>
    <n v="0"/>
    <n v="0"/>
    <n v="0"/>
    <n v="0"/>
    <n v="0"/>
    <n v="0"/>
    <n v="0"/>
    <n v="0"/>
    <n v="0"/>
    <n v="0"/>
    <n v="0"/>
    <n v="0"/>
    <n v="0"/>
    <n v="1"/>
    <n v="1"/>
  </r>
  <r>
    <n v="3745"/>
    <x v="2"/>
    <s v="2015/7118"/>
    <s v="Land rear of Mitcham Lane"/>
    <s v="Land rear of 4-24, Thrale Road"/>
    <m/>
    <n v="529291"/>
    <n v="171210"/>
    <x v="12"/>
    <d v="2017-04-01T00:00:00"/>
    <m/>
    <n v="0"/>
    <n v="6"/>
    <n v="6"/>
    <n v="6"/>
    <n v="6"/>
    <m/>
    <s v="Erection of 6 x 3-bedroom two-storey dwellings with associated access from Thrale Road, parking spaces, amenity and landscaping."/>
    <s v="PF"/>
    <d v="2015-12-23T00:00:00"/>
    <d v="2016-05-27T00:00:00"/>
    <x v="0"/>
    <s v="Nil"/>
    <m/>
    <s v="BF"/>
    <x v="0"/>
    <x v="0"/>
    <x v="0"/>
    <n v="0.19799999892711601"/>
    <d v="2017-04-01T00:00:00"/>
    <x v="1"/>
    <m/>
    <x v="0"/>
    <s v="P"/>
    <m/>
    <m/>
    <n v="6"/>
    <m/>
    <n v="0"/>
    <m/>
    <n v="0"/>
    <n v="0"/>
    <n v="0"/>
    <n v="6"/>
    <n v="0"/>
    <n v="0"/>
    <n v="0"/>
    <n v="0"/>
    <n v="0"/>
    <n v="0"/>
    <n v="0"/>
    <n v="0"/>
    <n v="0"/>
    <n v="0"/>
    <n v="0"/>
    <n v="0"/>
    <n v="0"/>
    <n v="6"/>
    <n v="0"/>
    <n v="0"/>
    <n v="0"/>
    <n v="0"/>
    <n v="0"/>
    <n v="0"/>
    <n v="0"/>
    <n v="0"/>
    <n v="0"/>
    <n v="0"/>
    <s v="East"/>
    <x v="0"/>
    <x v="0"/>
    <x v="1"/>
    <x v="0"/>
    <x v="0"/>
    <x v="0"/>
    <m/>
    <x v="0"/>
    <s v="Y"/>
    <s v="2A"/>
    <m/>
    <n v="0"/>
    <n v="6"/>
    <n v="0"/>
    <n v="0"/>
    <n v="0"/>
    <n v="0"/>
    <n v="0"/>
    <n v="0"/>
    <n v="0"/>
    <n v="0"/>
    <n v="0"/>
    <n v="0"/>
    <n v="0"/>
    <n v="0"/>
    <n v="0"/>
    <n v="0"/>
    <n v="0"/>
    <n v="0"/>
    <n v="0"/>
    <n v="0"/>
    <n v="0"/>
    <n v="6"/>
    <n v="6"/>
  </r>
  <r>
    <n v="3805"/>
    <x v="2"/>
    <s v="2011/3253"/>
    <m/>
    <s v="27 &amp; 28 Dighton Road"/>
    <m/>
    <n v="526104"/>
    <n v="174968"/>
    <x v="0"/>
    <d v="2011-12-31T00:00:00"/>
    <m/>
    <n v="2"/>
    <n v="4"/>
    <n v="2"/>
    <n v="4"/>
    <n v="2"/>
    <m/>
    <s v="Demolition of 2 semi-detached houses. Erection of 4 x three-storey (top floor in roof) terraced houses. (Renewal of planning permission dated 13.10.2008 ref. 2008/3474)."/>
    <s v="PF"/>
    <d v="2011-08-31T00:00:00"/>
    <d v="2011-11-18T00:00:00"/>
    <x v="0"/>
    <s v="Nil"/>
    <m/>
    <s v="BF"/>
    <x v="0"/>
    <x v="0"/>
    <x v="0"/>
    <n v="5.4999999701976797E-2"/>
    <d v="2011-12-31T00:00:00"/>
    <x v="0"/>
    <m/>
    <x v="0"/>
    <s v="P"/>
    <m/>
    <m/>
    <n v="4"/>
    <m/>
    <n v="4"/>
    <m/>
    <n v="0"/>
    <n v="0"/>
    <n v="0"/>
    <n v="2"/>
    <n v="0"/>
    <n v="0"/>
    <n v="0"/>
    <n v="0"/>
    <n v="0"/>
    <n v="0"/>
    <n v="0"/>
    <n v="0"/>
    <n v="0"/>
    <n v="0"/>
    <n v="0"/>
    <n v="0"/>
    <n v="0"/>
    <n v="2"/>
    <n v="0"/>
    <n v="0"/>
    <n v="0"/>
    <n v="0"/>
    <n v="0"/>
    <n v="0"/>
    <n v="0"/>
    <n v="0"/>
    <n v="0"/>
    <n v="0"/>
    <s v="West"/>
    <x v="0"/>
    <x v="0"/>
    <x v="1"/>
    <x v="0"/>
    <x v="0"/>
    <x v="0"/>
    <m/>
    <x v="0"/>
    <s v="Y"/>
    <s v="2A"/>
    <m/>
    <n v="0"/>
    <n v="2"/>
    <n v="0"/>
    <n v="0"/>
    <n v="0"/>
    <n v="0"/>
    <n v="0"/>
    <n v="0"/>
    <n v="0"/>
    <n v="0"/>
    <n v="0"/>
    <n v="0"/>
    <n v="0"/>
    <n v="0"/>
    <n v="0"/>
    <n v="0"/>
    <n v="0"/>
    <n v="0"/>
    <n v="0"/>
    <n v="0"/>
    <n v="0"/>
    <n v="2"/>
    <n v="2"/>
  </r>
  <r>
    <n v="3943"/>
    <x v="2"/>
    <s v="2016/2424"/>
    <s v="Nine Elms Parkside"/>
    <s v="Royal Mail Group Site, Ponton Road"/>
    <s v="Plot A"/>
    <n v="529575"/>
    <n v="177401"/>
    <x v="6"/>
    <d v="2013-07-01T00:00:00"/>
    <m/>
    <n v="0"/>
    <n v="101"/>
    <n v="101"/>
    <n v="1950"/>
    <n v="1950"/>
    <s v="Y"/>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s v="S73"/>
    <d v="2016-04-21T00:00:00"/>
    <d v="2017-01-23T00:00:00"/>
    <x v="0"/>
    <s v="Nil"/>
    <m/>
    <s v="BF"/>
    <x v="0"/>
    <x v="1"/>
    <x v="1"/>
    <n v="1.7000000923872001E-2"/>
    <m/>
    <x v="0"/>
    <m/>
    <x v="0"/>
    <s v="P"/>
    <s v="2.1.18"/>
    <m/>
    <n v="13"/>
    <n v="91"/>
    <n v="1"/>
    <n v="10"/>
    <n v="6"/>
    <n v="28"/>
    <n v="44"/>
    <n v="19"/>
    <n v="4"/>
    <n v="0"/>
    <n v="0"/>
    <n v="6"/>
    <n v="28"/>
    <n v="44"/>
    <n v="19"/>
    <n v="4"/>
    <n v="0"/>
    <n v="0"/>
    <n v="0"/>
    <n v="0"/>
    <n v="0"/>
    <n v="0"/>
    <n v="0"/>
    <n v="0"/>
    <n v="0"/>
    <n v="0"/>
    <n v="0"/>
    <n v="0"/>
    <n v="0"/>
    <n v="0"/>
    <n v="0"/>
    <n v="0"/>
    <s v="Strategic Planning/Nine Elms"/>
    <x v="0"/>
    <x v="1"/>
    <x v="1"/>
    <x v="0"/>
    <x v="0"/>
    <x v="0"/>
    <m/>
    <x v="0"/>
    <s v="Y"/>
    <n v="12"/>
    <m/>
    <n v="0"/>
    <n v="0"/>
    <n v="0"/>
    <n v="0"/>
    <n v="0"/>
    <n v="0"/>
    <n v="0"/>
    <n v="0"/>
    <n v="0"/>
    <n v="0"/>
    <n v="0"/>
    <n v="101"/>
    <n v="0"/>
    <n v="0"/>
    <n v="0"/>
    <n v="0"/>
    <n v="0"/>
    <n v="0"/>
    <n v="0"/>
    <n v="0"/>
    <n v="0"/>
    <n v="0"/>
    <n v="0"/>
  </r>
  <r>
    <n v="3943"/>
    <x v="2"/>
    <s v="2016/2424"/>
    <s v="Nine Elms Parkside"/>
    <s v="Royal Mail Group Site, Ponton Road"/>
    <s v="Plot A"/>
    <n v="529575"/>
    <n v="177401"/>
    <x v="6"/>
    <d v="2013-07-01T00:00:00"/>
    <m/>
    <n v="0"/>
    <n v="10"/>
    <n v="10"/>
    <n v="1950"/>
    <n v="1950"/>
    <s v="Y"/>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s v="S73"/>
    <d v="2016-04-21T00:00:00"/>
    <d v="2017-01-23T00:00:00"/>
    <x v="0"/>
    <s v="Nil"/>
    <m/>
    <s v="BF"/>
    <x v="0"/>
    <x v="1"/>
    <x v="1"/>
    <n v="5.6000001728534698E-2"/>
    <m/>
    <x v="0"/>
    <m/>
    <x v="2"/>
    <s v="HAAR"/>
    <s v="2.1.18"/>
    <m/>
    <n v="41"/>
    <n v="9"/>
    <n v="5"/>
    <n v="1"/>
    <n v="0"/>
    <n v="3"/>
    <n v="4"/>
    <n v="2"/>
    <n v="1"/>
    <n v="0"/>
    <n v="0"/>
    <n v="0"/>
    <n v="3"/>
    <n v="4"/>
    <n v="2"/>
    <n v="1"/>
    <n v="0"/>
    <n v="0"/>
    <n v="0"/>
    <n v="0"/>
    <n v="0"/>
    <n v="0"/>
    <n v="0"/>
    <n v="0"/>
    <n v="0"/>
    <n v="0"/>
    <n v="0"/>
    <n v="0"/>
    <n v="0"/>
    <n v="0"/>
    <n v="0"/>
    <n v="0"/>
    <s v="Strategic Planning/Nine Elms"/>
    <x v="0"/>
    <x v="1"/>
    <x v="1"/>
    <x v="0"/>
    <x v="0"/>
    <x v="0"/>
    <m/>
    <x v="0"/>
    <s v="Y"/>
    <n v="12"/>
    <m/>
    <n v="0"/>
    <n v="0"/>
    <n v="0"/>
    <n v="0"/>
    <n v="0"/>
    <n v="0"/>
    <n v="0"/>
    <n v="0"/>
    <n v="0"/>
    <n v="0"/>
    <n v="0"/>
    <n v="10"/>
    <n v="0"/>
    <n v="0"/>
    <n v="0"/>
    <n v="0"/>
    <n v="0"/>
    <n v="0"/>
    <n v="0"/>
    <n v="0"/>
    <n v="0"/>
    <n v="0"/>
    <n v="0"/>
  </r>
  <r>
    <n v="3943"/>
    <x v="2"/>
    <s v="2016/2424"/>
    <s v="Nine Elms Parkside"/>
    <s v="Royal Mail Group Site, Ponton Road"/>
    <s v="Plot A"/>
    <n v="529575"/>
    <n v="177401"/>
    <x v="6"/>
    <d v="2013-07-01T00:00:00"/>
    <m/>
    <n v="0"/>
    <n v="8"/>
    <n v="8"/>
    <n v="1950"/>
    <n v="1950"/>
    <s v="Y"/>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s v="S73"/>
    <d v="2016-04-21T00:00:00"/>
    <d v="2017-01-23T00:00:00"/>
    <x v="0"/>
    <s v="Nil"/>
    <m/>
    <s v="BF"/>
    <x v="0"/>
    <x v="1"/>
    <x v="1"/>
    <n v="2.60000005364418E-2"/>
    <m/>
    <x v="0"/>
    <m/>
    <x v="1"/>
    <s v="HAIU"/>
    <s v="2.1.18"/>
    <m/>
    <n v="19"/>
    <n v="7"/>
    <n v="2"/>
    <n v="1"/>
    <n v="0"/>
    <n v="3"/>
    <n v="3"/>
    <n v="1"/>
    <n v="1"/>
    <n v="0"/>
    <n v="0"/>
    <n v="0"/>
    <n v="3"/>
    <n v="3"/>
    <n v="1"/>
    <n v="1"/>
    <n v="0"/>
    <n v="0"/>
    <n v="0"/>
    <n v="0"/>
    <n v="0"/>
    <n v="0"/>
    <n v="0"/>
    <n v="0"/>
    <n v="0"/>
    <n v="0"/>
    <n v="0"/>
    <n v="0"/>
    <n v="0"/>
    <n v="0"/>
    <n v="0"/>
    <n v="0"/>
    <s v="Strategic Planning/Nine Elms"/>
    <x v="0"/>
    <x v="1"/>
    <x v="1"/>
    <x v="0"/>
    <x v="0"/>
    <x v="0"/>
    <m/>
    <x v="0"/>
    <s v="Y"/>
    <n v="12"/>
    <m/>
    <n v="0"/>
    <n v="0"/>
    <n v="0"/>
    <n v="0"/>
    <n v="0"/>
    <n v="0"/>
    <n v="0"/>
    <n v="0"/>
    <n v="0"/>
    <n v="0"/>
    <n v="0"/>
    <n v="8"/>
    <n v="0"/>
    <n v="0"/>
    <n v="0"/>
    <n v="0"/>
    <n v="0"/>
    <n v="0"/>
    <n v="0"/>
    <n v="0"/>
    <n v="0"/>
    <n v="0"/>
    <n v="0"/>
  </r>
  <r>
    <n v="3943"/>
    <x v="2"/>
    <s v="2016/2424"/>
    <s v="Nine Elms Parkside"/>
    <s v="Royal Mail Group Site, Ponton Road"/>
    <s v="Plot B"/>
    <n v="529575"/>
    <n v="177401"/>
    <x v="6"/>
    <d v="2013-07-01T00:00:00"/>
    <m/>
    <n v="0"/>
    <n v="330"/>
    <n v="330"/>
    <n v="1950"/>
    <n v="1950"/>
    <s v="Y"/>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s v="S73"/>
    <d v="2016-04-21T00:00:00"/>
    <d v="2017-01-23T00:00:00"/>
    <x v="0"/>
    <s v="Nil"/>
    <m/>
    <s v="BF"/>
    <x v="0"/>
    <x v="1"/>
    <x v="1"/>
    <n v="0"/>
    <m/>
    <x v="0"/>
    <m/>
    <x v="0"/>
    <s v="P"/>
    <s v="2.1.18"/>
    <m/>
    <n v="0"/>
    <n v="297"/>
    <n v="0"/>
    <n v="33"/>
    <n v="19"/>
    <n v="89"/>
    <n v="149"/>
    <n v="61"/>
    <n v="12"/>
    <n v="0"/>
    <n v="0"/>
    <n v="19"/>
    <n v="89"/>
    <n v="149"/>
    <n v="61"/>
    <n v="12"/>
    <n v="0"/>
    <n v="0"/>
    <n v="0"/>
    <n v="0"/>
    <n v="0"/>
    <n v="0"/>
    <n v="0"/>
    <n v="0"/>
    <n v="0"/>
    <n v="0"/>
    <n v="0"/>
    <n v="0"/>
    <n v="0"/>
    <n v="0"/>
    <n v="0"/>
    <n v="0"/>
    <s v="Strategic Planning/Nine Elms"/>
    <x v="0"/>
    <x v="1"/>
    <x v="1"/>
    <x v="0"/>
    <x v="0"/>
    <x v="0"/>
    <m/>
    <x v="0"/>
    <s v="Y"/>
    <n v="12"/>
    <m/>
    <n v="0"/>
    <n v="0"/>
    <n v="0"/>
    <n v="0"/>
    <n v="0"/>
    <n v="0"/>
    <n v="330"/>
    <n v="0"/>
    <n v="0"/>
    <n v="0"/>
    <n v="0"/>
    <n v="0"/>
    <n v="0"/>
    <n v="0"/>
    <n v="0"/>
    <n v="0"/>
    <n v="0"/>
    <n v="0"/>
    <n v="0"/>
    <n v="0"/>
    <n v="0"/>
    <n v="0"/>
    <n v="330"/>
  </r>
  <r>
    <n v="3943"/>
    <x v="2"/>
    <s v="2016/2424"/>
    <s v="Nine Elms Parkside"/>
    <s v="Royal Mail Group Site, Ponton Road"/>
    <s v="Plot B"/>
    <n v="529575"/>
    <n v="177401"/>
    <x v="6"/>
    <d v="2013-07-01T00:00:00"/>
    <m/>
    <n v="0"/>
    <n v="35"/>
    <n v="35"/>
    <n v="1950"/>
    <n v="1950"/>
    <s v="Y"/>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s v="S73"/>
    <d v="2016-04-21T00:00:00"/>
    <d v="2017-01-23T00:00:00"/>
    <x v="0"/>
    <s v="Nil"/>
    <m/>
    <s v="BF"/>
    <x v="0"/>
    <x v="1"/>
    <x v="1"/>
    <n v="0"/>
    <m/>
    <x v="0"/>
    <m/>
    <x v="2"/>
    <s v="HAAR"/>
    <s v="2.1.18"/>
    <m/>
    <n v="0"/>
    <n v="31"/>
    <n v="0"/>
    <n v="4"/>
    <n v="0"/>
    <n v="13"/>
    <n v="12"/>
    <n v="7"/>
    <n v="3"/>
    <n v="0"/>
    <n v="0"/>
    <n v="0"/>
    <n v="13"/>
    <n v="12"/>
    <n v="7"/>
    <n v="3"/>
    <n v="0"/>
    <n v="0"/>
    <n v="0"/>
    <n v="0"/>
    <n v="0"/>
    <n v="0"/>
    <n v="0"/>
    <n v="0"/>
    <n v="0"/>
    <n v="0"/>
    <n v="0"/>
    <n v="0"/>
    <n v="0"/>
    <n v="0"/>
    <n v="0"/>
    <n v="0"/>
    <s v="Strategic Planning/Nine Elms"/>
    <x v="0"/>
    <x v="1"/>
    <x v="1"/>
    <x v="0"/>
    <x v="0"/>
    <x v="0"/>
    <m/>
    <x v="0"/>
    <s v="Y"/>
    <n v="12"/>
    <m/>
    <n v="0"/>
    <n v="0"/>
    <n v="0"/>
    <n v="0"/>
    <n v="0"/>
    <n v="0"/>
    <n v="35"/>
    <n v="0"/>
    <n v="0"/>
    <n v="0"/>
    <n v="0"/>
    <n v="0"/>
    <n v="0"/>
    <n v="0"/>
    <n v="0"/>
    <n v="0"/>
    <n v="0"/>
    <n v="0"/>
    <n v="0"/>
    <n v="0"/>
    <n v="0"/>
    <n v="0"/>
    <n v="35"/>
  </r>
  <r>
    <n v="3943"/>
    <x v="2"/>
    <s v="2016/2424"/>
    <s v="Nine Elms Parkside"/>
    <s v="Royal Mail Group Site, Ponton Road"/>
    <s v="Plot B"/>
    <n v="529575"/>
    <n v="177401"/>
    <x v="6"/>
    <d v="2013-07-01T00:00:00"/>
    <m/>
    <n v="0"/>
    <n v="23"/>
    <n v="23"/>
    <n v="1950"/>
    <n v="1950"/>
    <s v="Y"/>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s v="S73"/>
    <d v="2016-04-21T00:00:00"/>
    <d v="2017-01-23T00:00:00"/>
    <x v="0"/>
    <s v="Nil"/>
    <m/>
    <s v="BF"/>
    <x v="0"/>
    <x v="1"/>
    <x v="1"/>
    <n v="0"/>
    <m/>
    <x v="0"/>
    <m/>
    <x v="1"/>
    <s v="HAIU"/>
    <s v="2.1.18"/>
    <m/>
    <n v="0"/>
    <n v="21"/>
    <n v="0"/>
    <n v="2"/>
    <n v="0"/>
    <n v="9"/>
    <n v="7"/>
    <n v="5"/>
    <n v="2"/>
    <n v="0"/>
    <n v="0"/>
    <n v="0"/>
    <n v="9"/>
    <n v="7"/>
    <n v="5"/>
    <n v="2"/>
    <n v="0"/>
    <n v="0"/>
    <n v="0"/>
    <n v="0"/>
    <n v="0"/>
    <n v="0"/>
    <n v="0"/>
    <n v="0"/>
    <n v="0"/>
    <n v="0"/>
    <n v="0"/>
    <n v="0"/>
    <n v="0"/>
    <n v="0"/>
    <n v="0"/>
    <n v="0"/>
    <s v="Strategic Planning/Nine Elms"/>
    <x v="0"/>
    <x v="1"/>
    <x v="1"/>
    <x v="0"/>
    <x v="0"/>
    <x v="0"/>
    <m/>
    <x v="0"/>
    <s v="Y"/>
    <n v="12"/>
    <m/>
    <n v="0"/>
    <n v="0"/>
    <n v="0"/>
    <n v="0"/>
    <n v="0"/>
    <n v="0"/>
    <n v="23"/>
    <n v="0"/>
    <n v="0"/>
    <n v="0"/>
    <n v="0"/>
    <n v="0"/>
    <n v="0"/>
    <n v="0"/>
    <n v="0"/>
    <n v="0"/>
    <n v="0"/>
    <n v="0"/>
    <n v="0"/>
    <n v="0"/>
    <n v="0"/>
    <n v="0"/>
    <n v="23"/>
  </r>
  <r>
    <n v="3943"/>
    <x v="2"/>
    <s v="2016/2424"/>
    <s v="Nine Elms Parkside"/>
    <s v="Royal Mail Group Site, Ponton Road"/>
    <s v="Plot C"/>
    <n v="529575"/>
    <n v="177401"/>
    <x v="6"/>
    <d v="2013-07-01T00:00:00"/>
    <m/>
    <n v="0"/>
    <n v="197"/>
    <n v="197"/>
    <n v="1950"/>
    <n v="1950"/>
    <s v="Y"/>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s v="S73"/>
    <d v="2016-04-21T00:00:00"/>
    <d v="2017-01-23T00:00:00"/>
    <x v="0"/>
    <s v="Nil"/>
    <m/>
    <s v="BF"/>
    <x v="0"/>
    <x v="1"/>
    <x v="1"/>
    <n v="0"/>
    <m/>
    <x v="0"/>
    <m/>
    <x v="0"/>
    <s v="P"/>
    <s v="2.1.18"/>
    <m/>
    <n v="0"/>
    <n v="177"/>
    <n v="0"/>
    <n v="20"/>
    <n v="11"/>
    <n v="54"/>
    <n v="89"/>
    <n v="36"/>
    <n v="7"/>
    <n v="0"/>
    <n v="0"/>
    <n v="11"/>
    <n v="54"/>
    <n v="89"/>
    <n v="36"/>
    <n v="7"/>
    <n v="0"/>
    <n v="0"/>
    <n v="0"/>
    <n v="0"/>
    <n v="0"/>
    <n v="0"/>
    <n v="0"/>
    <n v="0"/>
    <n v="0"/>
    <n v="0"/>
    <n v="0"/>
    <n v="0"/>
    <n v="0"/>
    <n v="0"/>
    <n v="0"/>
    <n v="0"/>
    <s v="Strategic Planning/Nine Elms"/>
    <x v="0"/>
    <x v="1"/>
    <x v="1"/>
    <x v="0"/>
    <x v="0"/>
    <x v="0"/>
    <m/>
    <x v="0"/>
    <s v="Y"/>
    <n v="12"/>
    <m/>
    <n v="0"/>
    <n v="0"/>
    <n v="0"/>
    <n v="0"/>
    <n v="0"/>
    <n v="0"/>
    <n v="197"/>
    <n v="0"/>
    <n v="0"/>
    <n v="0"/>
    <n v="0"/>
    <n v="0"/>
    <n v="0"/>
    <n v="0"/>
    <n v="0"/>
    <n v="0"/>
    <n v="0"/>
    <n v="0"/>
    <n v="0"/>
    <n v="0"/>
    <n v="0"/>
    <n v="0"/>
    <n v="197"/>
  </r>
  <r>
    <n v="3943"/>
    <x v="2"/>
    <s v="2016/2424"/>
    <s v="Nine Elms Parkside"/>
    <s v="Royal Mail Group Site, Ponton Road"/>
    <s v="Plot C"/>
    <n v="529575"/>
    <n v="177401"/>
    <x v="6"/>
    <d v="2013-07-01T00:00:00"/>
    <m/>
    <n v="0"/>
    <n v="39"/>
    <n v="39"/>
    <n v="1950"/>
    <n v="1950"/>
    <s v="Y"/>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s v="S73"/>
    <d v="2016-04-21T00:00:00"/>
    <d v="2017-01-23T00:00:00"/>
    <x v="0"/>
    <s v="Nil"/>
    <m/>
    <s v="BF"/>
    <x v="0"/>
    <x v="1"/>
    <x v="1"/>
    <n v="0"/>
    <m/>
    <x v="0"/>
    <m/>
    <x v="2"/>
    <s v="HAAR"/>
    <s v="2.1.18"/>
    <m/>
    <n v="0"/>
    <n v="35"/>
    <n v="0"/>
    <n v="4"/>
    <n v="0"/>
    <n v="14"/>
    <n v="14"/>
    <n v="9"/>
    <n v="2"/>
    <n v="0"/>
    <n v="0"/>
    <n v="0"/>
    <n v="14"/>
    <n v="14"/>
    <n v="9"/>
    <n v="2"/>
    <n v="0"/>
    <n v="0"/>
    <n v="0"/>
    <n v="0"/>
    <n v="0"/>
    <n v="0"/>
    <n v="0"/>
    <n v="0"/>
    <n v="0"/>
    <n v="0"/>
    <n v="0"/>
    <n v="0"/>
    <n v="0"/>
    <n v="0"/>
    <n v="0"/>
    <n v="0"/>
    <s v="Strategic Planning/Nine Elms"/>
    <x v="0"/>
    <x v="1"/>
    <x v="1"/>
    <x v="0"/>
    <x v="0"/>
    <x v="0"/>
    <m/>
    <x v="0"/>
    <s v="Y"/>
    <n v="12"/>
    <m/>
    <n v="0"/>
    <n v="0"/>
    <n v="0"/>
    <n v="0"/>
    <n v="0"/>
    <n v="0"/>
    <n v="39"/>
    <n v="0"/>
    <n v="0"/>
    <n v="0"/>
    <n v="0"/>
    <n v="0"/>
    <n v="0"/>
    <n v="0"/>
    <n v="0"/>
    <n v="0"/>
    <n v="0"/>
    <n v="0"/>
    <n v="0"/>
    <n v="0"/>
    <n v="0"/>
    <n v="0"/>
    <n v="39"/>
  </r>
  <r>
    <n v="3943"/>
    <x v="2"/>
    <s v="2016/2424"/>
    <s v="Nine Elms Parkside"/>
    <s v="Royal Mail Group Site, Ponton Road"/>
    <s v="Plot C"/>
    <n v="529575"/>
    <n v="177401"/>
    <x v="6"/>
    <d v="2013-07-01T00:00:00"/>
    <m/>
    <n v="0"/>
    <n v="26"/>
    <n v="26"/>
    <n v="1950"/>
    <n v="1950"/>
    <s v="Y"/>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s v="S73"/>
    <d v="2016-04-21T00:00:00"/>
    <d v="2017-01-23T00:00:00"/>
    <x v="0"/>
    <s v="Nil"/>
    <m/>
    <s v="BF"/>
    <x v="0"/>
    <x v="1"/>
    <x v="1"/>
    <n v="0"/>
    <m/>
    <x v="0"/>
    <m/>
    <x v="1"/>
    <s v="HAIU"/>
    <s v="2.1.18"/>
    <m/>
    <n v="0"/>
    <n v="23"/>
    <n v="0"/>
    <n v="3"/>
    <n v="0"/>
    <n v="10"/>
    <n v="9"/>
    <n v="5"/>
    <n v="2"/>
    <n v="0"/>
    <n v="0"/>
    <n v="0"/>
    <n v="10"/>
    <n v="9"/>
    <n v="5"/>
    <n v="2"/>
    <n v="0"/>
    <n v="0"/>
    <n v="0"/>
    <n v="0"/>
    <n v="0"/>
    <n v="0"/>
    <n v="0"/>
    <n v="0"/>
    <n v="0"/>
    <n v="0"/>
    <n v="0"/>
    <n v="0"/>
    <n v="0"/>
    <n v="0"/>
    <n v="0"/>
    <n v="0"/>
    <s v="Strategic Planning/Nine Elms"/>
    <x v="0"/>
    <x v="1"/>
    <x v="1"/>
    <x v="0"/>
    <x v="0"/>
    <x v="0"/>
    <m/>
    <x v="0"/>
    <s v="Y"/>
    <n v="12"/>
    <m/>
    <n v="0"/>
    <n v="0"/>
    <n v="0"/>
    <n v="0"/>
    <n v="0"/>
    <n v="0"/>
    <n v="26"/>
    <n v="0"/>
    <n v="0"/>
    <n v="0"/>
    <n v="0"/>
    <n v="0"/>
    <n v="0"/>
    <n v="0"/>
    <n v="0"/>
    <n v="0"/>
    <n v="0"/>
    <n v="0"/>
    <n v="0"/>
    <n v="0"/>
    <n v="0"/>
    <n v="0"/>
    <n v="26"/>
  </r>
  <r>
    <n v="3943"/>
    <x v="2"/>
    <s v="2016/2424"/>
    <s v="Nine Elms Parkside"/>
    <s v="Royal Mail Group Site, Ponton Road"/>
    <s v="Plot D"/>
    <n v="529575"/>
    <n v="177401"/>
    <x v="6"/>
    <d v="2013-07-01T00:00:00"/>
    <m/>
    <n v="0"/>
    <n v="326"/>
    <n v="326"/>
    <n v="1950"/>
    <n v="1950"/>
    <s v="Y"/>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s v="S73"/>
    <d v="2016-04-21T00:00:00"/>
    <d v="2017-01-23T00:00:00"/>
    <x v="0"/>
    <s v="Nil"/>
    <m/>
    <s v="BF"/>
    <x v="0"/>
    <x v="1"/>
    <x v="1"/>
    <n v="0"/>
    <m/>
    <x v="0"/>
    <m/>
    <x v="0"/>
    <s v="P"/>
    <s v="2.1.18"/>
    <m/>
    <n v="0"/>
    <n v="293"/>
    <n v="0"/>
    <n v="33"/>
    <n v="20"/>
    <n v="89"/>
    <n v="147"/>
    <n v="59"/>
    <n v="11"/>
    <n v="0"/>
    <n v="0"/>
    <n v="20"/>
    <n v="89"/>
    <n v="147"/>
    <n v="59"/>
    <n v="11"/>
    <n v="0"/>
    <n v="0"/>
    <n v="0"/>
    <n v="0"/>
    <n v="0"/>
    <n v="0"/>
    <n v="0"/>
    <n v="0"/>
    <n v="0"/>
    <n v="0"/>
    <n v="0"/>
    <n v="0"/>
    <n v="0"/>
    <n v="0"/>
    <n v="0"/>
    <n v="0"/>
    <s v="Strategic Planning/Nine Elms"/>
    <x v="0"/>
    <x v="1"/>
    <x v="1"/>
    <x v="0"/>
    <x v="0"/>
    <x v="0"/>
    <m/>
    <x v="0"/>
    <s v="Y"/>
    <n v="12"/>
    <m/>
    <n v="0"/>
    <n v="0"/>
    <n v="0"/>
    <n v="0"/>
    <n v="0"/>
    <n v="326"/>
    <n v="0"/>
    <n v="0"/>
    <n v="0"/>
    <n v="0"/>
    <n v="0"/>
    <n v="0"/>
    <n v="0"/>
    <n v="0"/>
    <n v="0"/>
    <n v="0"/>
    <n v="0"/>
    <n v="0"/>
    <n v="0"/>
    <n v="0"/>
    <n v="0"/>
    <n v="326"/>
    <n v="326"/>
  </r>
  <r>
    <n v="3943"/>
    <x v="2"/>
    <s v="2016/2424"/>
    <s v="Nine Elms Parkside"/>
    <s v="Royal Mail Group Site, Ponton Road"/>
    <s v="Plot D"/>
    <n v="529575"/>
    <n v="177401"/>
    <x v="6"/>
    <d v="2013-07-01T00:00:00"/>
    <m/>
    <n v="0"/>
    <n v="34"/>
    <n v="34"/>
    <n v="1950"/>
    <n v="1950"/>
    <s v="Y"/>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s v="S73"/>
    <d v="2016-04-21T00:00:00"/>
    <d v="2017-01-23T00:00:00"/>
    <x v="0"/>
    <s v="Nil"/>
    <m/>
    <s v="BF"/>
    <x v="0"/>
    <x v="1"/>
    <x v="1"/>
    <n v="0"/>
    <m/>
    <x v="0"/>
    <m/>
    <x v="2"/>
    <s v="HAAR"/>
    <s v="2.1.18"/>
    <m/>
    <n v="0"/>
    <n v="31"/>
    <n v="0"/>
    <n v="3"/>
    <n v="0"/>
    <n v="13"/>
    <n v="12"/>
    <n v="6"/>
    <n v="3"/>
    <n v="0"/>
    <n v="0"/>
    <n v="0"/>
    <n v="13"/>
    <n v="12"/>
    <n v="6"/>
    <n v="3"/>
    <n v="0"/>
    <n v="0"/>
    <n v="0"/>
    <n v="0"/>
    <n v="0"/>
    <n v="0"/>
    <n v="0"/>
    <n v="0"/>
    <n v="0"/>
    <n v="0"/>
    <n v="0"/>
    <n v="0"/>
    <n v="0"/>
    <n v="0"/>
    <n v="0"/>
    <n v="0"/>
    <s v="Strategic Planning/Nine Elms"/>
    <x v="0"/>
    <x v="1"/>
    <x v="1"/>
    <x v="0"/>
    <x v="0"/>
    <x v="0"/>
    <m/>
    <x v="0"/>
    <s v="Y"/>
    <n v="12"/>
    <m/>
    <n v="0"/>
    <n v="0"/>
    <n v="0"/>
    <n v="0"/>
    <n v="0"/>
    <n v="34"/>
    <n v="0"/>
    <n v="0"/>
    <n v="0"/>
    <n v="0"/>
    <n v="0"/>
    <n v="0"/>
    <n v="0"/>
    <n v="0"/>
    <n v="0"/>
    <n v="0"/>
    <n v="0"/>
    <n v="0"/>
    <n v="0"/>
    <n v="0"/>
    <n v="0"/>
    <n v="34"/>
    <n v="34"/>
  </r>
  <r>
    <n v="3943"/>
    <x v="2"/>
    <s v="2016/2424"/>
    <s v="Nine Elms Parkside"/>
    <s v="Royal Mail Group Site, Ponton Road"/>
    <s v="Plot D"/>
    <n v="529575"/>
    <n v="177401"/>
    <x v="6"/>
    <d v="2013-07-01T00:00:00"/>
    <m/>
    <n v="0"/>
    <n v="23"/>
    <n v="23"/>
    <n v="1950"/>
    <n v="1950"/>
    <s v="Y"/>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s v="S73"/>
    <d v="2016-04-21T00:00:00"/>
    <d v="2017-01-23T00:00:00"/>
    <x v="0"/>
    <s v="Nil"/>
    <m/>
    <s v="BF"/>
    <x v="0"/>
    <x v="1"/>
    <x v="1"/>
    <n v="0"/>
    <m/>
    <x v="0"/>
    <m/>
    <x v="1"/>
    <s v="HAIU"/>
    <s v="2.1.18"/>
    <m/>
    <n v="0"/>
    <n v="21"/>
    <n v="0"/>
    <n v="2"/>
    <n v="0"/>
    <n v="8"/>
    <n v="8"/>
    <n v="5"/>
    <n v="2"/>
    <n v="0"/>
    <n v="0"/>
    <n v="0"/>
    <n v="8"/>
    <n v="8"/>
    <n v="5"/>
    <n v="2"/>
    <n v="0"/>
    <n v="0"/>
    <n v="0"/>
    <n v="0"/>
    <n v="0"/>
    <n v="0"/>
    <n v="0"/>
    <n v="0"/>
    <n v="0"/>
    <n v="0"/>
    <n v="0"/>
    <n v="0"/>
    <n v="0"/>
    <n v="0"/>
    <n v="0"/>
    <n v="0"/>
    <s v="Strategic Planning/Nine Elms"/>
    <x v="0"/>
    <x v="1"/>
    <x v="1"/>
    <x v="0"/>
    <x v="0"/>
    <x v="0"/>
    <m/>
    <x v="0"/>
    <s v="Y"/>
    <n v="12"/>
    <m/>
    <n v="0"/>
    <n v="0"/>
    <n v="0"/>
    <n v="0"/>
    <n v="0"/>
    <n v="23"/>
    <n v="0"/>
    <n v="0"/>
    <n v="0"/>
    <n v="0"/>
    <n v="0"/>
    <n v="0"/>
    <n v="0"/>
    <n v="0"/>
    <n v="0"/>
    <n v="0"/>
    <n v="0"/>
    <n v="0"/>
    <n v="0"/>
    <n v="0"/>
    <n v="0"/>
    <n v="23"/>
    <n v="23"/>
  </r>
  <r>
    <n v="3943"/>
    <x v="2"/>
    <s v="2016/2424"/>
    <s v="Nine Elms Parkside"/>
    <s v="Royal Mail Group Site, Ponton Road"/>
    <s v="Plot E"/>
    <n v="529575"/>
    <n v="177401"/>
    <x v="6"/>
    <d v="2013-07-01T00:00:00"/>
    <m/>
    <n v="0"/>
    <n v="286"/>
    <n v="286"/>
    <n v="1950"/>
    <n v="1950"/>
    <s v="Y"/>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s v="S73"/>
    <d v="2016-04-21T00:00:00"/>
    <d v="2017-01-23T00:00:00"/>
    <x v="0"/>
    <s v="Nil"/>
    <m/>
    <s v="BF"/>
    <x v="0"/>
    <x v="1"/>
    <x v="1"/>
    <n v="0"/>
    <m/>
    <x v="0"/>
    <m/>
    <x v="0"/>
    <s v="P"/>
    <s v="2.1.18"/>
    <m/>
    <n v="0"/>
    <n v="257"/>
    <n v="0"/>
    <n v="29"/>
    <n v="16"/>
    <n v="78"/>
    <n v="129"/>
    <n v="53"/>
    <n v="10"/>
    <n v="0"/>
    <n v="0"/>
    <n v="16"/>
    <n v="78"/>
    <n v="129"/>
    <n v="53"/>
    <n v="10"/>
    <n v="0"/>
    <n v="0"/>
    <n v="0"/>
    <n v="0"/>
    <n v="0"/>
    <n v="0"/>
    <n v="0"/>
    <n v="0"/>
    <n v="0"/>
    <n v="0"/>
    <n v="0"/>
    <n v="0"/>
    <n v="0"/>
    <n v="0"/>
    <n v="0"/>
    <n v="0"/>
    <s v="Strategic Planning/Nine Elms"/>
    <x v="0"/>
    <x v="1"/>
    <x v="1"/>
    <x v="0"/>
    <x v="0"/>
    <x v="0"/>
    <m/>
    <x v="0"/>
    <s v="Y"/>
    <n v="12"/>
    <m/>
    <n v="0"/>
    <n v="0"/>
    <n v="0"/>
    <n v="0"/>
    <n v="0"/>
    <n v="0"/>
    <n v="0"/>
    <n v="0"/>
    <n v="286"/>
    <n v="0"/>
    <n v="0"/>
    <n v="0"/>
    <n v="0"/>
    <n v="0"/>
    <n v="0"/>
    <n v="0"/>
    <n v="0"/>
    <n v="0"/>
    <n v="0"/>
    <n v="0"/>
    <n v="0"/>
    <n v="0"/>
    <n v="286"/>
  </r>
  <r>
    <n v="3943"/>
    <x v="2"/>
    <s v="2016/2424"/>
    <s v="Nine Elms Parkside"/>
    <s v="Royal Mail Group Site, Ponton Road"/>
    <s v="Plot E"/>
    <n v="529575"/>
    <n v="177401"/>
    <x v="6"/>
    <d v="2013-07-01T00:00:00"/>
    <m/>
    <n v="0"/>
    <n v="30"/>
    <n v="30"/>
    <n v="1950"/>
    <n v="1950"/>
    <s v="Y"/>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s v="S73"/>
    <d v="2016-04-21T00:00:00"/>
    <d v="2017-01-23T00:00:00"/>
    <x v="0"/>
    <s v="Nil"/>
    <m/>
    <s v="BF"/>
    <x v="0"/>
    <x v="1"/>
    <x v="1"/>
    <n v="0"/>
    <m/>
    <x v="0"/>
    <m/>
    <x v="2"/>
    <s v="HAAR"/>
    <s v="2.1.18"/>
    <m/>
    <n v="0"/>
    <n v="27"/>
    <n v="0"/>
    <n v="3"/>
    <n v="0"/>
    <n v="11"/>
    <n v="11"/>
    <n v="6"/>
    <n v="2"/>
    <n v="0"/>
    <n v="0"/>
    <n v="0"/>
    <n v="11"/>
    <n v="11"/>
    <n v="6"/>
    <n v="2"/>
    <n v="0"/>
    <n v="0"/>
    <n v="0"/>
    <n v="0"/>
    <n v="0"/>
    <n v="0"/>
    <n v="0"/>
    <n v="0"/>
    <n v="0"/>
    <n v="0"/>
    <n v="0"/>
    <n v="0"/>
    <n v="0"/>
    <n v="0"/>
    <n v="0"/>
    <n v="0"/>
    <s v="Strategic Planning/Nine Elms"/>
    <x v="0"/>
    <x v="1"/>
    <x v="1"/>
    <x v="0"/>
    <x v="0"/>
    <x v="0"/>
    <m/>
    <x v="0"/>
    <s v="Y"/>
    <n v="12"/>
    <m/>
    <n v="0"/>
    <n v="0"/>
    <n v="0"/>
    <n v="0"/>
    <n v="0"/>
    <n v="0"/>
    <n v="0"/>
    <n v="0"/>
    <n v="30"/>
    <n v="0"/>
    <n v="0"/>
    <n v="0"/>
    <n v="0"/>
    <n v="0"/>
    <n v="0"/>
    <n v="0"/>
    <n v="0"/>
    <n v="0"/>
    <n v="0"/>
    <n v="0"/>
    <n v="0"/>
    <n v="0"/>
    <n v="30"/>
  </r>
  <r>
    <n v="3943"/>
    <x v="2"/>
    <s v="2016/2424"/>
    <s v="Nine Elms Parkside"/>
    <s v="Royal Mail Group Site, Ponton Road"/>
    <s v="Plot E"/>
    <n v="529575"/>
    <n v="177401"/>
    <x v="6"/>
    <d v="2013-07-01T00:00:00"/>
    <m/>
    <n v="0"/>
    <n v="21"/>
    <n v="21"/>
    <n v="1950"/>
    <n v="1950"/>
    <s v="Y"/>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s v="S73"/>
    <d v="2016-04-21T00:00:00"/>
    <d v="2017-01-23T00:00:00"/>
    <x v="0"/>
    <s v="Nil"/>
    <m/>
    <s v="BF"/>
    <x v="0"/>
    <x v="1"/>
    <x v="1"/>
    <n v="0"/>
    <m/>
    <x v="0"/>
    <m/>
    <x v="1"/>
    <s v="HAIU"/>
    <s v="2.1.18"/>
    <m/>
    <n v="0"/>
    <n v="19"/>
    <n v="0"/>
    <n v="2"/>
    <n v="0"/>
    <n v="8"/>
    <n v="7"/>
    <n v="4"/>
    <n v="2"/>
    <n v="0"/>
    <n v="0"/>
    <n v="0"/>
    <n v="8"/>
    <n v="7"/>
    <n v="4"/>
    <n v="2"/>
    <n v="0"/>
    <n v="0"/>
    <n v="0"/>
    <n v="0"/>
    <n v="0"/>
    <n v="0"/>
    <n v="0"/>
    <n v="0"/>
    <n v="0"/>
    <n v="0"/>
    <n v="0"/>
    <n v="0"/>
    <n v="0"/>
    <n v="0"/>
    <n v="0"/>
    <n v="0"/>
    <s v="Strategic Planning/Nine Elms"/>
    <x v="0"/>
    <x v="1"/>
    <x v="1"/>
    <x v="0"/>
    <x v="0"/>
    <x v="0"/>
    <m/>
    <x v="0"/>
    <s v="Y"/>
    <n v="12"/>
    <m/>
    <n v="0"/>
    <n v="0"/>
    <n v="0"/>
    <n v="0"/>
    <n v="0"/>
    <n v="0"/>
    <n v="0"/>
    <n v="0"/>
    <n v="21"/>
    <n v="0"/>
    <n v="0"/>
    <n v="0"/>
    <n v="0"/>
    <n v="0"/>
    <n v="0"/>
    <n v="0"/>
    <n v="0"/>
    <n v="0"/>
    <n v="0"/>
    <n v="0"/>
    <n v="0"/>
    <n v="0"/>
    <n v="21"/>
  </r>
  <r>
    <n v="3943"/>
    <x v="2"/>
    <s v="2016/2424"/>
    <s v="Nine Elms Parkside"/>
    <s v="Royal Mail Group Site, Ponton Road"/>
    <s v="Plot F"/>
    <n v="529575"/>
    <n v="177401"/>
    <x v="6"/>
    <d v="2013-07-01T00:00:00"/>
    <m/>
    <n v="0"/>
    <n v="233"/>
    <n v="233"/>
    <n v="1950"/>
    <n v="1950"/>
    <s v="Y"/>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s v="S73"/>
    <d v="2016-04-21T00:00:00"/>
    <d v="2017-01-23T00:00:00"/>
    <x v="0"/>
    <s v="Nil"/>
    <m/>
    <s v="BF"/>
    <x v="0"/>
    <x v="1"/>
    <x v="1"/>
    <n v="0"/>
    <m/>
    <x v="0"/>
    <m/>
    <x v="0"/>
    <s v="P"/>
    <s v="2.1.18"/>
    <m/>
    <n v="0"/>
    <n v="210"/>
    <n v="0"/>
    <n v="23"/>
    <n v="13"/>
    <n v="64"/>
    <n v="105"/>
    <n v="43"/>
    <n v="8"/>
    <n v="0"/>
    <n v="0"/>
    <n v="13"/>
    <n v="64"/>
    <n v="105"/>
    <n v="43"/>
    <n v="8"/>
    <n v="0"/>
    <n v="0"/>
    <n v="0"/>
    <n v="0"/>
    <n v="0"/>
    <n v="0"/>
    <n v="0"/>
    <n v="0"/>
    <n v="0"/>
    <n v="0"/>
    <n v="0"/>
    <n v="0"/>
    <n v="0"/>
    <n v="0"/>
    <n v="0"/>
    <n v="0"/>
    <s v="Strategic Planning/Nine Elms"/>
    <x v="0"/>
    <x v="1"/>
    <x v="1"/>
    <x v="0"/>
    <x v="0"/>
    <x v="0"/>
    <m/>
    <x v="0"/>
    <s v="Y"/>
    <n v="12"/>
    <m/>
    <n v="0"/>
    <n v="0"/>
    <n v="0"/>
    <n v="0"/>
    <n v="0"/>
    <n v="0"/>
    <n v="0"/>
    <n v="0"/>
    <n v="0"/>
    <n v="233"/>
    <n v="0"/>
    <n v="0"/>
    <n v="0"/>
    <n v="0"/>
    <n v="0"/>
    <n v="0"/>
    <n v="0"/>
    <n v="0"/>
    <n v="0"/>
    <n v="0"/>
    <n v="0"/>
    <n v="0"/>
    <n v="233"/>
  </r>
  <r>
    <n v="3943"/>
    <x v="2"/>
    <s v="2016/2424"/>
    <s v="Nine Elms Parkside"/>
    <s v="Royal Mail Group Site, Ponton Road"/>
    <s v="Plot F"/>
    <n v="529575"/>
    <n v="177401"/>
    <x v="6"/>
    <d v="2013-07-01T00:00:00"/>
    <m/>
    <n v="0"/>
    <n v="25"/>
    <n v="25"/>
    <n v="1950"/>
    <n v="1950"/>
    <s v="Y"/>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s v="S73"/>
    <d v="2016-04-21T00:00:00"/>
    <d v="2017-01-23T00:00:00"/>
    <x v="0"/>
    <s v="Nil"/>
    <m/>
    <s v="BF"/>
    <x v="0"/>
    <x v="1"/>
    <x v="1"/>
    <n v="0"/>
    <m/>
    <x v="0"/>
    <m/>
    <x v="2"/>
    <s v="HAAR"/>
    <s v="2.1.18"/>
    <m/>
    <n v="0"/>
    <n v="22"/>
    <n v="0"/>
    <n v="3"/>
    <n v="0"/>
    <n v="9"/>
    <n v="9"/>
    <n v="5"/>
    <n v="2"/>
    <n v="0"/>
    <n v="0"/>
    <n v="0"/>
    <n v="9"/>
    <n v="9"/>
    <n v="5"/>
    <n v="2"/>
    <n v="0"/>
    <n v="0"/>
    <n v="0"/>
    <n v="0"/>
    <n v="0"/>
    <n v="0"/>
    <n v="0"/>
    <n v="0"/>
    <n v="0"/>
    <n v="0"/>
    <n v="0"/>
    <n v="0"/>
    <n v="0"/>
    <n v="0"/>
    <n v="0"/>
    <n v="0"/>
    <s v="Strategic Planning/Nine Elms"/>
    <x v="0"/>
    <x v="1"/>
    <x v="1"/>
    <x v="0"/>
    <x v="0"/>
    <x v="0"/>
    <m/>
    <x v="0"/>
    <s v="Y"/>
    <n v="12"/>
    <m/>
    <n v="0"/>
    <n v="0"/>
    <n v="0"/>
    <n v="0"/>
    <n v="0"/>
    <n v="0"/>
    <n v="0"/>
    <n v="0"/>
    <n v="0"/>
    <n v="25"/>
    <n v="0"/>
    <n v="0"/>
    <n v="0"/>
    <n v="0"/>
    <n v="0"/>
    <n v="0"/>
    <n v="0"/>
    <n v="0"/>
    <n v="0"/>
    <n v="0"/>
    <n v="0"/>
    <n v="0"/>
    <n v="25"/>
  </r>
  <r>
    <n v="3943"/>
    <x v="2"/>
    <s v="2016/2424"/>
    <s v="Nine Elms Parkside"/>
    <s v="Royal Mail Group Site, Ponton Road"/>
    <s v="Plot F"/>
    <n v="529575"/>
    <n v="177401"/>
    <x v="6"/>
    <d v="2013-07-01T00:00:00"/>
    <m/>
    <n v="0"/>
    <n v="16"/>
    <n v="16"/>
    <n v="1950"/>
    <n v="1950"/>
    <s v="Y"/>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s v="S73"/>
    <d v="2016-04-21T00:00:00"/>
    <d v="2017-01-23T00:00:00"/>
    <x v="0"/>
    <s v="Nil"/>
    <m/>
    <s v="BF"/>
    <x v="0"/>
    <x v="1"/>
    <x v="1"/>
    <n v="0"/>
    <m/>
    <x v="0"/>
    <m/>
    <x v="1"/>
    <s v="HAIU"/>
    <s v="2.1.18"/>
    <m/>
    <n v="0"/>
    <n v="14"/>
    <n v="0"/>
    <n v="2"/>
    <n v="0"/>
    <n v="6"/>
    <n v="6"/>
    <n v="3"/>
    <n v="1"/>
    <n v="0"/>
    <n v="0"/>
    <n v="0"/>
    <n v="6"/>
    <n v="6"/>
    <n v="3"/>
    <n v="1"/>
    <n v="0"/>
    <n v="0"/>
    <n v="0"/>
    <n v="0"/>
    <n v="0"/>
    <n v="0"/>
    <n v="0"/>
    <n v="0"/>
    <n v="0"/>
    <n v="0"/>
    <n v="0"/>
    <n v="0"/>
    <n v="0"/>
    <n v="0"/>
    <n v="0"/>
    <n v="0"/>
    <s v="Strategic Planning/Nine Elms"/>
    <x v="0"/>
    <x v="1"/>
    <x v="1"/>
    <x v="0"/>
    <x v="0"/>
    <x v="0"/>
    <m/>
    <x v="0"/>
    <s v="Y"/>
    <n v="12"/>
    <m/>
    <n v="0"/>
    <n v="0"/>
    <n v="0"/>
    <n v="0"/>
    <n v="0"/>
    <n v="0"/>
    <n v="0"/>
    <n v="0"/>
    <n v="0"/>
    <n v="16"/>
    <n v="0"/>
    <n v="0"/>
    <n v="0"/>
    <n v="0"/>
    <n v="0"/>
    <n v="0"/>
    <n v="0"/>
    <n v="0"/>
    <n v="0"/>
    <n v="0"/>
    <n v="0"/>
    <n v="0"/>
    <n v="16"/>
  </r>
  <r>
    <n v="3943"/>
    <x v="2"/>
    <s v="2016/2424"/>
    <s v="Nine Elms Parkside"/>
    <s v="Royal Mail Group Site, Ponton Road"/>
    <s v="Plot G"/>
    <n v="529575"/>
    <n v="177401"/>
    <x v="6"/>
    <d v="2013-07-01T00:00:00"/>
    <m/>
    <n v="0"/>
    <n v="159"/>
    <n v="159"/>
    <n v="1950"/>
    <n v="1950"/>
    <s v="Y"/>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s v="S73"/>
    <d v="2016-04-21T00:00:00"/>
    <d v="2017-01-23T00:00:00"/>
    <x v="0"/>
    <s v="Nil"/>
    <m/>
    <s v="BF"/>
    <x v="0"/>
    <x v="1"/>
    <x v="1"/>
    <n v="0"/>
    <m/>
    <x v="0"/>
    <m/>
    <x v="0"/>
    <s v="P"/>
    <s v="2.1.18"/>
    <m/>
    <n v="0"/>
    <n v="143"/>
    <n v="0"/>
    <n v="16"/>
    <n v="9"/>
    <n v="43"/>
    <n v="72"/>
    <n v="29"/>
    <n v="6"/>
    <n v="0"/>
    <n v="0"/>
    <n v="9"/>
    <n v="43"/>
    <n v="72"/>
    <n v="29"/>
    <n v="6"/>
    <n v="0"/>
    <n v="0"/>
    <n v="0"/>
    <n v="0"/>
    <n v="0"/>
    <n v="0"/>
    <n v="0"/>
    <n v="0"/>
    <n v="0"/>
    <n v="0"/>
    <n v="0"/>
    <n v="0"/>
    <n v="0"/>
    <n v="0"/>
    <n v="0"/>
    <n v="0"/>
    <s v="Strategic Planning/Nine Elms"/>
    <x v="0"/>
    <x v="1"/>
    <x v="1"/>
    <x v="0"/>
    <x v="0"/>
    <x v="0"/>
    <m/>
    <x v="0"/>
    <s v="Y"/>
    <n v="12"/>
    <m/>
    <n v="0"/>
    <n v="0"/>
    <n v="0"/>
    <n v="0"/>
    <n v="0"/>
    <n v="0"/>
    <n v="0"/>
    <n v="0"/>
    <n v="0"/>
    <n v="0"/>
    <n v="159"/>
    <n v="0"/>
    <n v="0"/>
    <n v="0"/>
    <n v="0"/>
    <n v="0"/>
    <n v="0"/>
    <n v="0"/>
    <n v="0"/>
    <n v="0"/>
    <n v="0"/>
    <n v="0"/>
    <n v="159"/>
  </r>
  <r>
    <n v="3943"/>
    <x v="2"/>
    <s v="2016/2424"/>
    <s v="Nine Elms Parkside"/>
    <s v="Royal Mail Group Site, Ponton Road"/>
    <s v="Plot G"/>
    <n v="529575"/>
    <n v="177401"/>
    <x v="6"/>
    <d v="2013-07-01T00:00:00"/>
    <m/>
    <n v="0"/>
    <n v="16"/>
    <n v="16"/>
    <n v="1950"/>
    <n v="1950"/>
    <s v="Y"/>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s v="S73"/>
    <d v="2016-04-21T00:00:00"/>
    <d v="2017-01-23T00:00:00"/>
    <x v="0"/>
    <s v="Nil"/>
    <m/>
    <s v="BF"/>
    <x v="0"/>
    <x v="1"/>
    <x v="1"/>
    <n v="0"/>
    <m/>
    <x v="0"/>
    <m/>
    <x v="2"/>
    <s v="HAAR"/>
    <s v="2.1.18"/>
    <m/>
    <n v="0"/>
    <n v="14"/>
    <n v="0"/>
    <n v="2"/>
    <n v="0"/>
    <n v="6"/>
    <n v="6"/>
    <n v="3"/>
    <n v="1"/>
    <n v="0"/>
    <n v="0"/>
    <n v="0"/>
    <n v="6"/>
    <n v="6"/>
    <n v="3"/>
    <n v="1"/>
    <n v="0"/>
    <n v="0"/>
    <n v="0"/>
    <n v="0"/>
    <n v="0"/>
    <n v="0"/>
    <n v="0"/>
    <n v="0"/>
    <n v="0"/>
    <n v="0"/>
    <n v="0"/>
    <n v="0"/>
    <n v="0"/>
    <n v="0"/>
    <n v="0"/>
    <n v="0"/>
    <s v="Strategic Planning/Nine Elms"/>
    <x v="0"/>
    <x v="1"/>
    <x v="1"/>
    <x v="0"/>
    <x v="0"/>
    <x v="0"/>
    <m/>
    <x v="0"/>
    <s v="Y"/>
    <n v="12"/>
    <m/>
    <n v="0"/>
    <n v="0"/>
    <n v="0"/>
    <n v="0"/>
    <n v="0"/>
    <n v="0"/>
    <n v="0"/>
    <n v="0"/>
    <n v="0"/>
    <n v="0"/>
    <n v="16"/>
    <n v="0"/>
    <n v="0"/>
    <n v="0"/>
    <n v="0"/>
    <n v="0"/>
    <n v="0"/>
    <n v="0"/>
    <n v="0"/>
    <n v="0"/>
    <n v="0"/>
    <n v="0"/>
    <n v="16"/>
  </r>
  <r>
    <n v="3943"/>
    <x v="2"/>
    <s v="2016/2424"/>
    <s v="Nine Elms Parkside"/>
    <s v="Royal Mail Group Site, Ponton Road"/>
    <s v="Plot G"/>
    <n v="529575"/>
    <n v="177401"/>
    <x v="6"/>
    <d v="2013-07-01T00:00:00"/>
    <m/>
    <n v="0"/>
    <n v="12"/>
    <n v="12"/>
    <n v="1950"/>
    <n v="1950"/>
    <s v="Y"/>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s v="S73"/>
    <d v="2016-04-21T00:00:00"/>
    <d v="2017-01-23T00:00:00"/>
    <x v="0"/>
    <s v="Nil"/>
    <m/>
    <s v="BF"/>
    <x v="0"/>
    <x v="1"/>
    <x v="1"/>
    <n v="0"/>
    <m/>
    <x v="0"/>
    <m/>
    <x v="1"/>
    <s v="HAIU"/>
    <s v="2.1.18"/>
    <m/>
    <n v="0"/>
    <n v="11"/>
    <n v="0"/>
    <n v="1"/>
    <n v="0"/>
    <n v="4"/>
    <n v="5"/>
    <n v="2"/>
    <n v="1"/>
    <n v="0"/>
    <n v="0"/>
    <n v="0"/>
    <n v="4"/>
    <n v="5"/>
    <n v="2"/>
    <n v="1"/>
    <n v="0"/>
    <n v="0"/>
    <n v="0"/>
    <n v="0"/>
    <n v="0"/>
    <n v="0"/>
    <n v="0"/>
    <n v="0"/>
    <n v="0"/>
    <n v="0"/>
    <n v="0"/>
    <n v="0"/>
    <n v="0"/>
    <n v="0"/>
    <n v="0"/>
    <n v="0"/>
    <s v="Strategic Planning/Nine Elms"/>
    <x v="0"/>
    <x v="1"/>
    <x v="1"/>
    <x v="0"/>
    <x v="0"/>
    <x v="0"/>
    <m/>
    <x v="0"/>
    <s v="Y"/>
    <n v="12"/>
    <m/>
    <n v="0"/>
    <n v="0"/>
    <n v="0"/>
    <n v="0"/>
    <n v="0"/>
    <n v="0"/>
    <n v="0"/>
    <n v="0"/>
    <n v="0"/>
    <n v="0"/>
    <n v="12"/>
    <n v="0"/>
    <n v="0"/>
    <n v="0"/>
    <n v="0"/>
    <n v="0"/>
    <n v="0"/>
    <n v="0"/>
    <n v="0"/>
    <n v="0"/>
    <n v="0"/>
    <n v="0"/>
    <n v="12"/>
  </r>
  <r>
    <n v="3944"/>
    <x v="2"/>
    <s v="2016/4720"/>
    <s v="The Residence"/>
    <s v="Christies Auctioneers Depot, 40-42 Ponton Road"/>
    <s v="Eastern Parcel Block A"/>
    <n v="529725"/>
    <n v="177404"/>
    <x v="6"/>
    <d v="2015-04-01T00:00:00"/>
    <m/>
    <n v="0"/>
    <n v="118"/>
    <n v="118"/>
    <n v="514"/>
    <n v="514"/>
    <s v="Y"/>
    <s v="Minor Material Amendment Application pursuant to Condition 2 (approved plans) of planning permission dated 20th October 2016 (ref: 2016/1397) for a reconfiguration of internal layouts and associated alterations of Block B within the Eastern Parcel to facilitate a revised residential mix comprising an additional 9 residential units. (Permission 2016/1397 amended original October 2014 permission (ref: 2014/0614), which was for the demolition of existing buildings and redevelopment of the site to provide new buildings ranging from 2 to 19 storeys in height comprising 510 residential units (Use Class C3), including 15% (76 units) affordable housing; 1,352.5 sq.m of flexible commercial (Use Classes A1/A2/A3/B1/D1/D2), and 1,122.5 sq.m of community use floorspace (use class D1), together with ground floor car parking, public realm and landscaping)."/>
    <s v="S73"/>
    <d v="2016-10-26T00:00:00"/>
    <d v="2017-03-16T00:00:00"/>
    <x v="0"/>
    <s v="Nil"/>
    <m/>
    <s v="BF"/>
    <x v="0"/>
    <x v="1"/>
    <x v="1"/>
    <n v="0.19799999892711601"/>
    <d v="2015-04-01T00:00:00"/>
    <x v="0"/>
    <m/>
    <x v="0"/>
    <s v="P"/>
    <s v="2.1.19"/>
    <m/>
    <n v="0"/>
    <m/>
    <n v="0"/>
    <m/>
    <n v="0"/>
    <n v="33"/>
    <n v="68"/>
    <n v="17"/>
    <n v="0"/>
    <n v="0"/>
    <n v="0"/>
    <n v="0"/>
    <n v="33"/>
    <n v="68"/>
    <n v="17"/>
    <n v="0"/>
    <n v="0"/>
    <n v="0"/>
    <n v="0"/>
    <n v="0"/>
    <n v="0"/>
    <n v="0"/>
    <n v="0"/>
    <n v="0"/>
    <n v="0"/>
    <n v="0"/>
    <n v="0"/>
    <n v="0"/>
    <n v="0"/>
    <n v="0"/>
    <n v="0"/>
    <n v="0"/>
    <s v="Strategic Planning/Nine Elms"/>
    <x v="0"/>
    <x v="1"/>
    <x v="1"/>
    <x v="0"/>
    <x v="0"/>
    <x v="0"/>
    <m/>
    <x v="0"/>
    <s v="Y"/>
    <n v="12"/>
    <m/>
    <n v="0"/>
    <n v="0"/>
    <n v="118"/>
    <n v="0"/>
    <n v="0"/>
    <n v="0"/>
    <n v="0"/>
    <n v="0"/>
    <n v="0"/>
    <n v="0"/>
    <n v="0"/>
    <n v="0"/>
    <n v="0"/>
    <n v="0"/>
    <n v="0"/>
    <n v="0"/>
    <n v="0"/>
    <n v="0"/>
    <n v="0"/>
    <n v="0"/>
    <n v="0"/>
    <n v="118"/>
    <n v="118"/>
  </r>
  <r>
    <n v="3944"/>
    <x v="2"/>
    <s v="2016/4720"/>
    <s v="The Residence"/>
    <s v="Christies Auctioneers Depot, 40-42 Ponton Road"/>
    <s v="Eastern Parcel Block B"/>
    <n v="529725"/>
    <n v="177404"/>
    <x v="6"/>
    <d v="2015-04-01T00:00:00"/>
    <m/>
    <n v="0"/>
    <n v="67"/>
    <n v="67"/>
    <n v="514"/>
    <n v="514"/>
    <s v="Y"/>
    <s v="Minor Material Amendment Application pursuant to Condition 2 (approved plans) of planning permission dated 20th October 2016 (ref: 2016/1397) for a reconfiguration of internal layouts and associated alterations of Block B within the Eastern Parcel to facilitate a revised residential mix comprising an additional 9 residential units. (Permission 2016/1397 amended original October 2014 permission (ref: 2014/0614), which was for the demolition of existing buildings and redevelopment of the site to provide new buildings ranging from 2 to 19 storeys in height comprising 510 residential units (Use Class C3), including 15% (76 units) affordable housing; 1,352.5 sq.m of flexible commercial (Use Classes A1/A2/A3/B1/D1/D2), and 1,122.5 sq.m of community use floorspace (use class D1), together with ground floor car parking, public realm and landscaping)."/>
    <s v="S73"/>
    <d v="2016-10-26T00:00:00"/>
    <d v="2017-03-16T00:00:00"/>
    <x v="0"/>
    <s v="Nil"/>
    <m/>
    <s v="BF"/>
    <x v="0"/>
    <x v="1"/>
    <x v="1"/>
    <n v="0.11200000345706899"/>
    <d v="2015-04-01T00:00:00"/>
    <x v="0"/>
    <m/>
    <x v="0"/>
    <s v="P"/>
    <s v="2.1.19"/>
    <m/>
    <n v="0"/>
    <m/>
    <n v="0"/>
    <m/>
    <n v="0"/>
    <n v="20"/>
    <n v="34"/>
    <n v="13"/>
    <n v="0"/>
    <n v="0"/>
    <n v="0"/>
    <n v="0"/>
    <n v="20"/>
    <n v="34"/>
    <n v="13"/>
    <n v="0"/>
    <n v="0"/>
    <n v="0"/>
    <n v="0"/>
    <n v="0"/>
    <n v="0"/>
    <n v="0"/>
    <n v="0"/>
    <n v="0"/>
    <n v="0"/>
    <n v="0"/>
    <n v="0"/>
    <n v="0"/>
    <n v="0"/>
    <n v="0"/>
    <n v="0"/>
    <n v="0"/>
    <s v="Strategic Planning/Nine Elms"/>
    <x v="0"/>
    <x v="1"/>
    <x v="1"/>
    <x v="0"/>
    <x v="0"/>
    <x v="0"/>
    <m/>
    <x v="0"/>
    <s v="Y"/>
    <n v="12"/>
    <m/>
    <n v="0"/>
    <n v="67"/>
    <n v="0"/>
    <n v="0"/>
    <n v="0"/>
    <n v="0"/>
    <n v="0"/>
    <n v="0"/>
    <n v="0"/>
    <n v="0"/>
    <n v="0"/>
    <n v="0"/>
    <n v="0"/>
    <n v="0"/>
    <n v="0"/>
    <n v="0"/>
    <n v="0"/>
    <n v="0"/>
    <n v="0"/>
    <n v="0"/>
    <n v="0"/>
    <n v="67"/>
    <n v="67"/>
  </r>
  <r>
    <n v="3944"/>
    <x v="2"/>
    <s v="2016/4720"/>
    <s v="The Residence"/>
    <s v="Christies Auctioneers Depot, 40-42 Ponton Road"/>
    <s v="Eastern Parcel Block C"/>
    <n v="529725"/>
    <n v="177404"/>
    <x v="6"/>
    <d v="2015-04-01T00:00:00"/>
    <m/>
    <n v="0"/>
    <n v="88"/>
    <n v="88"/>
    <n v="514"/>
    <n v="514"/>
    <s v="Y"/>
    <s v="Minor Material Amendment Application pursuant to Condition 2 (approved plans) of planning permission dated 20th October 2016 (ref: 2016/1397) for a reconfiguration of internal layouts and associated alterations of Block B within the Eastern Parcel to facilitate a revised residential mix comprising an additional 9 residential units. (Permission 2016/1397 amended original October 2014 permission (ref: 2014/0614), which was for the demolition of existing buildings and redevelopment of the site to provide new buildings ranging from 2 to 19 storeys in height comprising 510 residential units (Use Class C3), including 15% (76 units) affordable housing; 1,352.5 sq.m of flexible commercial (Use Classes A1/A2/A3/B1/D1/D2), and 1,122.5 sq.m of community use floorspace (use class D1), together with ground floor car parking, public realm and landscaping)."/>
    <s v="S73"/>
    <d v="2016-10-26T00:00:00"/>
    <d v="2017-03-16T00:00:00"/>
    <x v="0"/>
    <s v="Nil"/>
    <m/>
    <s v="BF"/>
    <x v="0"/>
    <x v="1"/>
    <x v="1"/>
    <n v="0.14699999988079099"/>
    <d v="2015-04-01T00:00:00"/>
    <x v="0"/>
    <m/>
    <x v="0"/>
    <s v="P"/>
    <s v="2.1.19"/>
    <m/>
    <n v="0"/>
    <m/>
    <n v="0"/>
    <m/>
    <n v="0"/>
    <n v="18"/>
    <n v="58"/>
    <n v="12"/>
    <n v="0"/>
    <n v="0"/>
    <n v="0"/>
    <n v="0"/>
    <n v="18"/>
    <n v="58"/>
    <n v="12"/>
    <n v="0"/>
    <n v="0"/>
    <n v="0"/>
    <n v="0"/>
    <n v="0"/>
    <n v="0"/>
    <n v="0"/>
    <n v="0"/>
    <n v="0"/>
    <n v="0"/>
    <n v="0"/>
    <n v="0"/>
    <n v="0"/>
    <n v="0"/>
    <n v="0"/>
    <n v="0"/>
    <n v="0"/>
    <s v="Strategic Planning/Nine Elms"/>
    <x v="0"/>
    <x v="1"/>
    <x v="1"/>
    <x v="0"/>
    <x v="0"/>
    <x v="0"/>
    <m/>
    <x v="0"/>
    <s v="Y"/>
    <n v="12"/>
    <m/>
    <n v="0"/>
    <n v="88"/>
    <n v="0"/>
    <n v="0"/>
    <n v="0"/>
    <n v="0"/>
    <n v="0"/>
    <n v="0"/>
    <n v="0"/>
    <n v="0"/>
    <n v="0"/>
    <n v="0"/>
    <n v="0"/>
    <n v="0"/>
    <n v="0"/>
    <n v="0"/>
    <n v="0"/>
    <n v="0"/>
    <n v="0"/>
    <n v="0"/>
    <n v="0"/>
    <n v="88"/>
    <n v="88"/>
  </r>
  <r>
    <n v="3944"/>
    <x v="2"/>
    <s v="2016/4720"/>
    <s v="The Residence"/>
    <s v="Christies Auctioneers Depot, 40-42 Ponton Road"/>
    <s v="Eastern Parcel Block D"/>
    <n v="529725"/>
    <n v="177404"/>
    <x v="6"/>
    <d v="2015-04-01T00:00:00"/>
    <m/>
    <n v="0"/>
    <n v="51"/>
    <n v="51"/>
    <n v="514"/>
    <n v="514"/>
    <s v="Y"/>
    <s v="Minor Material Amendment Application pursuant to Condition 2 (approved plans) of planning permission dated 20th October 2016 (ref: 2016/1397) for a reconfiguration of internal layouts and associated alterations of Block B within the Eastern Parcel to facilitate a revised residential mix comprising an additional 9 residential units. (Permission 2016/1397 amended original October 2014 permission (ref: 2014/0614), which was for the demolition of existing buildings and redevelopment of the site to provide new buildings ranging from 2 to 19 storeys in height comprising 510 residential units (Use Class C3), including 15% (76 units) affordable housing; 1,352.5 sq.m of flexible commercial (Use Classes A1/A2/A3/B1/D1/D2), and 1,122.5 sq.m of community use floorspace (use class D1), together with ground floor car parking, public realm and landscaping)."/>
    <s v="S73"/>
    <d v="2016-10-26T00:00:00"/>
    <d v="2017-03-16T00:00:00"/>
    <x v="0"/>
    <s v="Nil"/>
    <m/>
    <s v="BF"/>
    <x v="0"/>
    <x v="1"/>
    <x v="1"/>
    <n v="8.5000000894069699E-2"/>
    <d v="2015-04-01T00:00:00"/>
    <x v="0"/>
    <m/>
    <x v="0"/>
    <s v="P"/>
    <s v="2.1.19"/>
    <m/>
    <n v="0"/>
    <m/>
    <n v="0"/>
    <m/>
    <n v="0"/>
    <n v="10"/>
    <n v="34"/>
    <n v="7"/>
    <n v="0"/>
    <n v="0"/>
    <n v="0"/>
    <n v="0"/>
    <n v="10"/>
    <n v="34"/>
    <n v="7"/>
    <n v="0"/>
    <n v="0"/>
    <n v="0"/>
    <n v="0"/>
    <n v="0"/>
    <n v="0"/>
    <n v="0"/>
    <n v="0"/>
    <n v="0"/>
    <n v="0"/>
    <n v="0"/>
    <n v="0"/>
    <n v="0"/>
    <n v="0"/>
    <n v="0"/>
    <n v="0"/>
    <n v="0"/>
    <s v="Strategic Planning/Nine Elms"/>
    <x v="0"/>
    <x v="1"/>
    <x v="1"/>
    <x v="0"/>
    <x v="0"/>
    <x v="0"/>
    <m/>
    <x v="0"/>
    <s v="Y"/>
    <n v="12"/>
    <m/>
    <n v="0"/>
    <n v="51"/>
    <n v="0"/>
    <n v="0"/>
    <n v="0"/>
    <n v="0"/>
    <n v="0"/>
    <n v="0"/>
    <n v="0"/>
    <n v="0"/>
    <n v="0"/>
    <n v="0"/>
    <n v="0"/>
    <n v="0"/>
    <n v="0"/>
    <n v="0"/>
    <n v="0"/>
    <n v="0"/>
    <n v="0"/>
    <n v="0"/>
    <n v="0"/>
    <n v="51"/>
    <n v="51"/>
  </r>
  <r>
    <n v="3991"/>
    <x v="2"/>
    <s v="2017/2353"/>
    <m/>
    <s v="and 21a, 21 Oxford Road"/>
    <m/>
    <n v="524343"/>
    <n v="175170"/>
    <x v="13"/>
    <d v="2018-03-31T00:00:00"/>
    <m/>
    <n v="2"/>
    <n v="2"/>
    <n v="0"/>
    <n v="2"/>
    <n v="0"/>
    <m/>
    <s v="Alterations including erection of part single, part two-storey rear/side extension (basement and ground floor levels), excavation to enlarge basement including formation of side lightwell. Formation of raised rear terrace at ground floor level; erection of side dormer to main rear roof slope; erection of rear extension at first floor level; removal of trees to rear garden in connection with use as a 1-bedroom flat at basement level and 5-bedroom flat in remainder of building."/>
    <s v="PF"/>
    <d v="2017-05-12T00:00:00"/>
    <d v="2017-07-07T00:00:00"/>
    <x v="1"/>
    <s v="Nil"/>
    <m/>
    <s v="BF"/>
    <x v="4"/>
    <x v="0"/>
    <x v="10"/>
    <n v="5.7000000029802302E-2"/>
    <d v="2018-03-31T00:00:00"/>
    <x v="1"/>
    <m/>
    <x v="0"/>
    <s v="P"/>
    <m/>
    <m/>
    <n v="0"/>
    <m/>
    <n v="0"/>
    <m/>
    <n v="0"/>
    <n v="1"/>
    <n v="0"/>
    <n v="-1"/>
    <n v="0"/>
    <n v="0"/>
    <n v="0"/>
    <n v="0"/>
    <n v="1"/>
    <n v="0"/>
    <n v="-1"/>
    <n v="0"/>
    <n v="0"/>
    <n v="0"/>
    <n v="0"/>
    <n v="0"/>
    <n v="0"/>
    <n v="0"/>
    <n v="0"/>
    <n v="0"/>
    <n v="0"/>
    <n v="0"/>
    <n v="0"/>
    <n v="0"/>
    <n v="0"/>
    <n v="0"/>
    <n v="0"/>
    <n v="0"/>
    <s v="West"/>
    <x v="0"/>
    <x v="0"/>
    <x v="1"/>
    <x v="0"/>
    <x v="0"/>
    <x v="0"/>
    <m/>
    <x v="0"/>
    <s v="Y"/>
    <s v="8B"/>
    <m/>
    <n v="0"/>
    <n v="0"/>
    <n v="0"/>
    <n v="0"/>
    <n v="0"/>
    <n v="0"/>
    <n v="0"/>
    <n v="0"/>
    <n v="0"/>
    <n v="0"/>
    <n v="0"/>
    <n v="0"/>
    <n v="0"/>
    <n v="0"/>
    <n v="0"/>
    <n v="0"/>
    <n v="0"/>
    <n v="0"/>
    <n v="0"/>
    <n v="0"/>
    <n v="0"/>
    <n v="0"/>
    <n v="0"/>
  </r>
  <r>
    <n v="4167"/>
    <x v="2"/>
    <s v="2016/6259"/>
    <m/>
    <s v="Park House, 233 Roehampton Lane"/>
    <m/>
    <n v="522501"/>
    <n v="173758"/>
    <x v="15"/>
    <d v="2018-03-31T00:00:00"/>
    <m/>
    <n v="0"/>
    <n v="2"/>
    <n v="2"/>
    <n v="2"/>
    <n v="2"/>
    <m/>
    <s v="Determination as to whether prior approval is required for change of use of office at first floor level from (Class B1a) to residential (Class C3) to provide 1 x 2-bedroom  and 1 x 1-bedroom flats."/>
    <s v="PAG"/>
    <d v="2016-10-25T00:00:00"/>
    <d v="2016-12-19T00:00:00"/>
    <x v="0"/>
    <s v="Nil"/>
    <m/>
    <s v="BF"/>
    <x v="3"/>
    <x v="0"/>
    <x v="9"/>
    <n v="1.2000000104308101E-2"/>
    <d v="2018-03-31T00:00:00"/>
    <x v="1"/>
    <m/>
    <x v="0"/>
    <s v="P"/>
    <m/>
    <m/>
    <n v="0"/>
    <m/>
    <n v="0"/>
    <m/>
    <n v="0"/>
    <n v="1"/>
    <n v="1"/>
    <n v="0"/>
    <n v="0"/>
    <n v="0"/>
    <n v="0"/>
    <n v="0"/>
    <n v="1"/>
    <n v="1"/>
    <n v="0"/>
    <n v="0"/>
    <n v="0"/>
    <n v="0"/>
    <n v="0"/>
    <n v="0"/>
    <n v="0"/>
    <n v="0"/>
    <n v="0"/>
    <n v="0"/>
    <n v="0"/>
    <n v="0"/>
    <n v="0"/>
    <n v="0"/>
    <n v="0"/>
    <n v="0"/>
    <n v="0"/>
    <n v="0"/>
    <s v="West"/>
    <x v="0"/>
    <x v="0"/>
    <x v="1"/>
    <x v="0"/>
    <x v="0"/>
    <x v="0"/>
    <m/>
    <x v="0"/>
    <s v="Y"/>
    <s v="8B"/>
    <m/>
    <n v="0"/>
    <n v="1"/>
    <n v="1"/>
    <n v="0"/>
    <n v="0"/>
    <n v="0"/>
    <n v="0"/>
    <n v="0"/>
    <n v="0"/>
    <n v="0"/>
    <n v="0"/>
    <n v="0"/>
    <n v="0"/>
    <n v="0"/>
    <n v="0"/>
    <n v="0"/>
    <n v="0"/>
    <n v="0"/>
    <n v="0"/>
    <n v="0"/>
    <n v="0"/>
    <n v="2"/>
    <n v="2"/>
  </r>
  <r>
    <n v="4167"/>
    <x v="2"/>
    <s v="2017/0175"/>
    <m/>
    <s v="Park House, 233 Roehampton Lane"/>
    <m/>
    <n v="522501"/>
    <n v="173758"/>
    <x v="15"/>
    <d v="2018-03-31T00:00:00"/>
    <m/>
    <n v="0"/>
    <n v="2"/>
    <n v="2"/>
    <n v="2"/>
    <n v="2"/>
    <m/>
    <s v="Alterations including erection of extension at ground floor level in connection with change of use from clinic (Class D1) to 2 x 2-bedroom flats (Class C3)."/>
    <s v="PF"/>
    <d v="2017-01-13T00:00:00"/>
    <d v="2017-03-10T00:00:00"/>
    <x v="0"/>
    <s v="Nil"/>
    <m/>
    <s v="BF"/>
    <x v="4"/>
    <x v="0"/>
    <x v="5"/>
    <n v="1.8999999389052401E-2"/>
    <d v="2018-03-31T00:00:00"/>
    <x v="1"/>
    <m/>
    <x v="0"/>
    <s v="P"/>
    <m/>
    <m/>
    <n v="0"/>
    <m/>
    <n v="0"/>
    <m/>
    <n v="0"/>
    <n v="0"/>
    <n v="2"/>
    <n v="0"/>
    <n v="0"/>
    <n v="0"/>
    <n v="0"/>
    <n v="0"/>
    <n v="0"/>
    <n v="2"/>
    <n v="0"/>
    <n v="0"/>
    <n v="0"/>
    <n v="0"/>
    <n v="0"/>
    <n v="0"/>
    <n v="0"/>
    <n v="0"/>
    <n v="0"/>
    <n v="0"/>
    <n v="0"/>
    <n v="0"/>
    <n v="0"/>
    <n v="0"/>
    <n v="0"/>
    <n v="0"/>
    <n v="0"/>
    <n v="0"/>
    <s v="West"/>
    <x v="0"/>
    <x v="0"/>
    <x v="1"/>
    <x v="0"/>
    <x v="0"/>
    <x v="0"/>
    <m/>
    <x v="0"/>
    <s v="Y"/>
    <s v="8B"/>
    <m/>
    <n v="0"/>
    <n v="1"/>
    <n v="1"/>
    <n v="0"/>
    <n v="0"/>
    <n v="0"/>
    <n v="0"/>
    <n v="0"/>
    <n v="0"/>
    <n v="0"/>
    <n v="0"/>
    <n v="0"/>
    <n v="0"/>
    <n v="0"/>
    <n v="0"/>
    <n v="0"/>
    <n v="0"/>
    <n v="0"/>
    <n v="0"/>
    <n v="0"/>
    <n v="0"/>
    <n v="2"/>
    <n v="2"/>
  </r>
  <r>
    <n v="4260"/>
    <x v="2"/>
    <s v="2013/5264"/>
    <m/>
    <s v="155 Burntwood Lane"/>
    <m/>
    <n v="526461"/>
    <n v="172543"/>
    <x v="18"/>
    <d v="2018-03-31T00:00:00"/>
    <m/>
    <n v="0"/>
    <n v="4"/>
    <n v="4"/>
    <n v="4"/>
    <n v="4"/>
    <m/>
    <s v="Demolition of rear addition and alterations including erection of part single part two-storey front, side, rear extensions to rear addition, alterations to front and side ground floor elevations and enclosure of front and side forecourt in connection with use as three flats."/>
    <s v="PF"/>
    <d v="2013-10-21T00:00:00"/>
    <d v="2013-10-21T00:00:00"/>
    <x v="0"/>
    <s v="Nil"/>
    <m/>
    <s v="BF"/>
    <x v="4"/>
    <x v="0"/>
    <x v="4"/>
    <n v="3.4000001847744002E-2"/>
    <d v="2018-03-31T00:00:00"/>
    <x v="1"/>
    <m/>
    <x v="0"/>
    <s v="P"/>
    <m/>
    <m/>
    <n v="0"/>
    <m/>
    <n v="0"/>
    <m/>
    <n v="0"/>
    <n v="1"/>
    <n v="2"/>
    <n v="1"/>
    <n v="0"/>
    <n v="0"/>
    <n v="0"/>
    <n v="0"/>
    <n v="1"/>
    <n v="2"/>
    <n v="1"/>
    <n v="0"/>
    <n v="0"/>
    <n v="0"/>
    <n v="0"/>
    <n v="0"/>
    <n v="0"/>
    <n v="0"/>
    <n v="0"/>
    <n v="0"/>
    <n v="0"/>
    <n v="0"/>
    <n v="0"/>
    <n v="0"/>
    <n v="0"/>
    <n v="0"/>
    <n v="0"/>
    <n v="0"/>
    <s v="West"/>
    <x v="0"/>
    <x v="0"/>
    <x v="1"/>
    <x v="0"/>
    <x v="0"/>
    <x v="0"/>
    <m/>
    <x v="0"/>
    <s v="Y"/>
    <s v="8B"/>
    <m/>
    <n v="0"/>
    <n v="2"/>
    <n v="2"/>
    <n v="0"/>
    <n v="0"/>
    <n v="0"/>
    <n v="0"/>
    <n v="0"/>
    <n v="0"/>
    <n v="0"/>
    <n v="0"/>
    <n v="0"/>
    <n v="0"/>
    <n v="0"/>
    <n v="0"/>
    <n v="0"/>
    <n v="0"/>
    <n v="0"/>
    <n v="0"/>
    <n v="0"/>
    <n v="0"/>
    <n v="4"/>
    <n v="4"/>
  </r>
  <r>
    <n v="4281"/>
    <x v="2"/>
    <s v="2014/4516"/>
    <m/>
    <s v="Tidbury Court, Stewarts Road"/>
    <m/>
    <n v="529104"/>
    <n v="177095"/>
    <x v="6"/>
    <d v="2017-04-27T00:00:00"/>
    <m/>
    <n v="12"/>
    <n v="22"/>
    <n v="10"/>
    <n v="22"/>
    <n v="10"/>
    <s v="Y"/>
    <s v="Demolition of existing buildings and construction of a new 4-storey building to provide 22 flats for affordable rent, including associated landscaping, cycle and refuse stores."/>
    <s v="PF"/>
    <d v="2014-08-21T00:00:00"/>
    <d v="2014-11-10T00:00:00"/>
    <x v="0"/>
    <s v="Nil"/>
    <m/>
    <s v="BF"/>
    <x v="0"/>
    <x v="1"/>
    <x v="1"/>
    <n v="0.259999990463257"/>
    <d v="2017-04-27T00:00:00"/>
    <x v="1"/>
    <m/>
    <x v="2"/>
    <s v="C"/>
    <s v="2.1.26"/>
    <m/>
    <n v="22"/>
    <m/>
    <n v="2"/>
    <m/>
    <n v="0"/>
    <n v="-2"/>
    <n v="11"/>
    <n v="1"/>
    <n v="0"/>
    <n v="0"/>
    <n v="0"/>
    <n v="0"/>
    <n v="-2"/>
    <n v="11"/>
    <n v="1"/>
    <n v="0"/>
    <n v="0"/>
    <n v="0"/>
    <n v="0"/>
    <n v="0"/>
    <n v="0"/>
    <n v="0"/>
    <n v="0"/>
    <n v="0"/>
    <n v="0"/>
    <n v="0"/>
    <n v="0"/>
    <n v="0"/>
    <n v="0"/>
    <n v="0"/>
    <n v="0"/>
    <n v="0"/>
    <s v="Strategic Planning/Nine Elms"/>
    <x v="0"/>
    <x v="1"/>
    <x v="1"/>
    <x v="0"/>
    <x v="0"/>
    <x v="0"/>
    <m/>
    <x v="0"/>
    <s v="Y"/>
    <n v="12"/>
    <m/>
    <n v="0"/>
    <n v="10"/>
    <n v="0"/>
    <n v="0"/>
    <n v="0"/>
    <n v="0"/>
    <n v="0"/>
    <n v="0"/>
    <n v="0"/>
    <n v="0"/>
    <n v="0"/>
    <n v="0"/>
    <n v="0"/>
    <n v="0"/>
    <n v="0"/>
    <n v="0"/>
    <n v="0"/>
    <n v="0"/>
    <n v="0"/>
    <n v="0"/>
    <n v="0"/>
    <n v="10"/>
    <n v="10"/>
  </r>
  <r>
    <n v="4308"/>
    <x v="2"/>
    <s v="2014/3016"/>
    <m/>
    <s v="Land rear of 88, Thurleigh Road"/>
    <m/>
    <n v="528260"/>
    <n v="174215"/>
    <x v="9"/>
    <d v="2016-09-30T00:00:00"/>
    <m/>
    <n v="0"/>
    <n v="8"/>
    <n v="8"/>
    <n v="8"/>
    <n v="8"/>
    <m/>
    <s v="Construction of 8no. mews houses (two terraces of 4 houses) in two- and three-storey buildings, including associated car parking, bin stores and landscaping."/>
    <s v="PF"/>
    <d v="2014-05-29T00:00:00"/>
    <d v="2014-09-24T00:00:00"/>
    <x v="0"/>
    <s v="Nil"/>
    <m/>
    <s v="BF"/>
    <x v="0"/>
    <x v="0"/>
    <x v="0"/>
    <n v="0.21799999475479101"/>
    <d v="2016-09-30T00:00:00"/>
    <x v="0"/>
    <m/>
    <x v="0"/>
    <s v="P"/>
    <m/>
    <m/>
    <n v="8"/>
    <m/>
    <n v="1"/>
    <m/>
    <n v="0"/>
    <n v="0"/>
    <n v="0"/>
    <n v="0"/>
    <n v="8"/>
    <n v="0"/>
    <n v="0"/>
    <n v="0"/>
    <n v="0"/>
    <n v="0"/>
    <n v="0"/>
    <n v="0"/>
    <n v="0"/>
    <n v="0"/>
    <n v="0"/>
    <n v="0"/>
    <n v="0"/>
    <n v="0"/>
    <n v="8"/>
    <n v="0"/>
    <n v="0"/>
    <n v="0"/>
    <n v="0"/>
    <n v="0"/>
    <n v="0"/>
    <n v="0"/>
    <n v="0"/>
    <n v="0"/>
    <s v="East"/>
    <x v="0"/>
    <x v="0"/>
    <x v="1"/>
    <x v="0"/>
    <x v="0"/>
    <x v="0"/>
    <m/>
    <x v="0"/>
    <s v="Y"/>
    <s v="2A"/>
    <m/>
    <n v="0"/>
    <n v="8"/>
    <n v="0"/>
    <n v="0"/>
    <n v="0"/>
    <n v="0"/>
    <n v="0"/>
    <n v="0"/>
    <n v="0"/>
    <n v="0"/>
    <n v="0"/>
    <n v="0"/>
    <n v="0"/>
    <n v="0"/>
    <n v="0"/>
    <n v="0"/>
    <n v="0"/>
    <n v="0"/>
    <n v="0"/>
    <n v="0"/>
    <n v="0"/>
    <n v="8"/>
    <n v="8"/>
  </r>
  <r>
    <n v="4359"/>
    <x v="2"/>
    <s v="2016/0647"/>
    <m/>
    <s v="The Alchemist, 225 St Johns Hill"/>
    <m/>
    <n v="526586"/>
    <n v="174964"/>
    <x v="0"/>
    <d v="2016-03-30T00:00:00"/>
    <m/>
    <n v="1"/>
    <n v="6"/>
    <n v="5"/>
    <n v="6"/>
    <n v="5"/>
    <m/>
    <s v="Demolition of existing building and erection of replacement four storey building comprising commercial floorspace at ground floor with ancillary storage (Use classes A1, A2, A3 and A4), two 2-bedroom apartments and a studio on the first floor, two 2-bedroom apartments on the second floor and 2-bedroom apartment on second and third floors."/>
    <s v="PF"/>
    <d v="2016-03-22T00:00:00"/>
    <d v="2016-09-15T00:00:00"/>
    <x v="0"/>
    <s v="Nil"/>
    <m/>
    <s v="BF"/>
    <x v="0"/>
    <x v="0"/>
    <x v="0"/>
    <n v="3.20000015199184E-2"/>
    <d v="2016-03-30T00:00:00"/>
    <x v="0"/>
    <m/>
    <x v="0"/>
    <s v="P"/>
    <m/>
    <m/>
    <n v="0"/>
    <m/>
    <n v="0"/>
    <m/>
    <n v="1"/>
    <n v="0"/>
    <n v="5"/>
    <n v="0"/>
    <n v="0"/>
    <n v="-1"/>
    <n v="0"/>
    <n v="1"/>
    <n v="0"/>
    <n v="5"/>
    <n v="0"/>
    <n v="0"/>
    <n v="-1"/>
    <n v="0"/>
    <n v="0"/>
    <n v="0"/>
    <n v="0"/>
    <n v="0"/>
    <n v="0"/>
    <n v="0"/>
    <n v="0"/>
    <n v="0"/>
    <n v="0"/>
    <n v="0"/>
    <n v="0"/>
    <n v="0"/>
    <n v="0"/>
    <n v="0"/>
    <s v="West"/>
    <x v="0"/>
    <x v="0"/>
    <x v="1"/>
    <x v="0"/>
    <x v="0"/>
    <x v="0"/>
    <m/>
    <x v="0"/>
    <s v="Y"/>
    <s v="2A"/>
    <m/>
    <n v="0"/>
    <n v="5"/>
    <n v="0"/>
    <n v="0"/>
    <n v="0"/>
    <n v="0"/>
    <n v="0"/>
    <n v="0"/>
    <n v="0"/>
    <n v="0"/>
    <n v="0"/>
    <n v="0"/>
    <n v="0"/>
    <n v="0"/>
    <n v="0"/>
    <n v="0"/>
    <n v="0"/>
    <n v="0"/>
    <n v="0"/>
    <n v="0"/>
    <n v="0"/>
    <n v="5"/>
    <n v="5"/>
  </r>
  <r>
    <n v="4368"/>
    <x v="2"/>
    <s v="2015/5221"/>
    <m/>
    <s v="6 Lavender Hill"/>
    <m/>
    <n v="528539"/>
    <n v="175783"/>
    <x v="10"/>
    <d v="2016-03-16T00:00:00"/>
    <m/>
    <n v="0"/>
    <n v="2"/>
    <n v="2"/>
    <n v="2"/>
    <n v="2"/>
    <m/>
    <s v="Alterations in connection with the use of the upper floors as 2 flats (1 x three-bedroom and 1 x 1-bedroom) including erection of front and rear roof extension to provide an additional floor of accommodation."/>
    <s v="PF"/>
    <d v="2015-10-16T00:00:00"/>
    <d v="2016-03-16T00:00:00"/>
    <x v="0"/>
    <s v="Nil"/>
    <m/>
    <s v="BF"/>
    <x v="4"/>
    <x v="0"/>
    <x v="0"/>
    <n v="7.0000002160668399E-3"/>
    <d v="2016-03-16T00:00:00"/>
    <x v="0"/>
    <m/>
    <x v="0"/>
    <s v="P"/>
    <m/>
    <m/>
    <n v="0"/>
    <m/>
    <n v="0"/>
    <m/>
    <n v="0"/>
    <n v="1"/>
    <n v="0"/>
    <n v="1"/>
    <n v="0"/>
    <n v="0"/>
    <n v="0"/>
    <n v="0"/>
    <n v="1"/>
    <n v="0"/>
    <n v="1"/>
    <n v="0"/>
    <n v="0"/>
    <n v="0"/>
    <n v="0"/>
    <n v="0"/>
    <n v="0"/>
    <n v="0"/>
    <n v="0"/>
    <n v="0"/>
    <n v="0"/>
    <n v="0"/>
    <n v="0"/>
    <n v="0"/>
    <n v="0"/>
    <n v="0"/>
    <n v="0"/>
    <n v="0"/>
    <s v="East"/>
    <x v="0"/>
    <x v="0"/>
    <x v="1"/>
    <x v="0"/>
    <x v="0"/>
    <x v="0"/>
    <m/>
    <x v="0"/>
    <s v="Y"/>
    <s v="8A"/>
    <m/>
    <n v="0"/>
    <n v="2"/>
    <n v="0"/>
    <n v="0"/>
    <n v="0"/>
    <n v="0"/>
    <n v="0"/>
    <n v="0"/>
    <n v="0"/>
    <n v="0"/>
    <n v="0"/>
    <n v="0"/>
    <n v="0"/>
    <n v="0"/>
    <n v="0"/>
    <n v="0"/>
    <n v="0"/>
    <n v="0"/>
    <n v="0"/>
    <n v="0"/>
    <n v="0"/>
    <n v="2"/>
    <n v="2"/>
  </r>
  <r>
    <n v="4432"/>
    <x v="2"/>
    <s v="2010/0271"/>
    <m/>
    <s v="Ima House, 20 Northfields"/>
    <s v="Part ground and first floor"/>
    <n v="525103"/>
    <n v="175205"/>
    <x v="13"/>
    <d v="2013-03-14T00:00:00"/>
    <m/>
    <n v="0"/>
    <n v="8"/>
    <n v="8"/>
    <n v="29"/>
    <n v="29"/>
    <s v="Y"/>
    <s v="Demolition of existing office building. Erection of an 8-storey plus basement block to provide commercial floorspace (Use Classes A2, B1 and D1) together with 29 flats  (including 8 affordable) with 29 car parking spaces, cycle spaces and associated landscaping."/>
    <s v="PFLA"/>
    <d v="2010-01-22T00:00:00"/>
    <d v="2011-12-05T00:00:00"/>
    <x v="0"/>
    <s v="Nil"/>
    <m/>
    <s v="BF"/>
    <x v="0"/>
    <x v="1"/>
    <x v="1"/>
    <n v="3.0999999493360499E-2"/>
    <d v="2013-03-14T00:00:00"/>
    <x v="0"/>
    <m/>
    <x v="1"/>
    <s v="HASO"/>
    <m/>
    <m/>
    <n v="8"/>
    <m/>
    <n v="2"/>
    <m/>
    <n v="0"/>
    <n v="3"/>
    <n v="4"/>
    <n v="1"/>
    <n v="0"/>
    <n v="0"/>
    <n v="0"/>
    <n v="0"/>
    <n v="3"/>
    <n v="4"/>
    <n v="1"/>
    <n v="0"/>
    <n v="0"/>
    <n v="0"/>
    <n v="0"/>
    <n v="0"/>
    <n v="0"/>
    <n v="0"/>
    <n v="0"/>
    <n v="0"/>
    <n v="0"/>
    <n v="0"/>
    <n v="0"/>
    <n v="0"/>
    <n v="0"/>
    <n v="0"/>
    <n v="0"/>
    <n v="0"/>
    <s v="West"/>
    <x v="0"/>
    <x v="0"/>
    <x v="0"/>
    <x v="0"/>
    <x v="0"/>
    <x v="0"/>
    <m/>
    <x v="0"/>
    <s v="Y"/>
    <s v="3A"/>
    <m/>
    <n v="0"/>
    <n v="0"/>
    <n v="0"/>
    <n v="0"/>
    <n v="0"/>
    <n v="0"/>
    <n v="1.6"/>
    <n v="1.6"/>
    <n v="1.6"/>
    <n v="1.6"/>
    <n v="1.6"/>
    <n v="0"/>
    <n v="0"/>
    <n v="0"/>
    <n v="0"/>
    <n v="0"/>
    <n v="0"/>
    <n v="0"/>
    <n v="0"/>
    <n v="0"/>
    <n v="0"/>
    <n v="0"/>
    <n v="8"/>
  </r>
  <r>
    <n v="4432"/>
    <x v="2"/>
    <s v="2010/0271"/>
    <m/>
    <s v="Ima House, 20 Northfields"/>
    <m/>
    <n v="525103"/>
    <n v="175205"/>
    <x v="13"/>
    <d v="2013-03-14T00:00:00"/>
    <m/>
    <n v="0"/>
    <n v="21"/>
    <n v="21"/>
    <n v="29"/>
    <n v="29"/>
    <s v="Y"/>
    <s v="Demolition of existing office building. Erection of an 8-storey plus basement block to provide commercial floorspace (Use Classes A2, B1 and D1) together with 29 flats  (including 8 affordable) with 29 car parking spaces, cycle spaces and associated landscaping."/>
    <s v="PFLA"/>
    <d v="2010-01-22T00:00:00"/>
    <d v="2011-12-05T00:00:00"/>
    <x v="0"/>
    <s v="Nil"/>
    <m/>
    <s v="BF"/>
    <x v="0"/>
    <x v="1"/>
    <x v="1"/>
    <n v="7.9000003635883304E-2"/>
    <d v="2013-03-14T00:00:00"/>
    <x v="0"/>
    <m/>
    <x v="0"/>
    <s v="P"/>
    <m/>
    <m/>
    <n v="21"/>
    <m/>
    <n v="1"/>
    <m/>
    <n v="0"/>
    <n v="0"/>
    <n v="19"/>
    <n v="2"/>
    <n v="0"/>
    <n v="0"/>
    <n v="0"/>
    <n v="0"/>
    <n v="0"/>
    <n v="19"/>
    <n v="2"/>
    <n v="0"/>
    <n v="0"/>
    <n v="0"/>
    <n v="0"/>
    <n v="0"/>
    <n v="0"/>
    <n v="0"/>
    <n v="0"/>
    <n v="0"/>
    <n v="0"/>
    <n v="0"/>
    <n v="0"/>
    <n v="0"/>
    <n v="0"/>
    <n v="0"/>
    <n v="0"/>
    <n v="0"/>
    <s v="West"/>
    <x v="0"/>
    <x v="0"/>
    <x v="0"/>
    <x v="0"/>
    <x v="0"/>
    <x v="0"/>
    <m/>
    <x v="0"/>
    <s v="Y"/>
    <s v="3A"/>
    <m/>
    <n v="0"/>
    <n v="0"/>
    <n v="0"/>
    <n v="0"/>
    <n v="0"/>
    <n v="0"/>
    <n v="4.2"/>
    <n v="4.2"/>
    <n v="4.2"/>
    <n v="4.2"/>
    <n v="4.2"/>
    <n v="0"/>
    <n v="0"/>
    <n v="0"/>
    <n v="0"/>
    <n v="0"/>
    <n v="0"/>
    <n v="0"/>
    <n v="0"/>
    <n v="0"/>
    <n v="0"/>
    <n v="0"/>
    <n v="21"/>
  </r>
  <r>
    <n v="4482"/>
    <x v="2"/>
    <s v="2016/6164"/>
    <s v="Land at Linton Fuels Osiers Road"/>
    <s v="Linton Fuels, Osiers Road"/>
    <m/>
    <n v="525443"/>
    <n v="175090"/>
    <x v="13"/>
    <d v="2017-10-01T00:00:00"/>
    <m/>
    <n v="0"/>
    <n v="80"/>
    <n v="80"/>
    <n v="109"/>
    <n v="109"/>
    <s v="Y"/>
    <s v="Redevelopment of the site to provide a mixed use development in buildings ranging in height between ten and fourteen storeys, linked by a two-storey podium element, to provide 926 sq.m. (GIA) of flexible commercial floorspace (for use for either A1 (retail), A2 (financial and professional services), A3 (restaurant), B1 (business), D1 (non-residential institutions) or D2 (assembly and leisure), and 109 residential units, together with 20 car parking spaces at first floor level (with ramped access from Osiers Road) and 222  cycle parking spaces, with associated amenity space provision, including roof terraces and balconies, together with provision  of landscaping/areas of public realm and other associated works."/>
    <s v="PFLA"/>
    <d v="2016-10-25T00:00:00"/>
    <d v="2017-09-07T00:00:00"/>
    <x v="1"/>
    <s v="Nil"/>
    <m/>
    <s v="BF"/>
    <x v="0"/>
    <x v="1"/>
    <x v="1"/>
    <n v="0.14200000464916199"/>
    <d v="2017-10-01T00:00:00"/>
    <x v="1"/>
    <m/>
    <x v="0"/>
    <s v="P"/>
    <s v="3.3.4"/>
    <m/>
    <n v="80"/>
    <n v="75"/>
    <n v="0"/>
    <n v="5"/>
    <n v="0"/>
    <n v="6"/>
    <n v="64"/>
    <n v="10"/>
    <n v="0"/>
    <n v="0"/>
    <n v="0"/>
    <n v="0"/>
    <n v="6"/>
    <n v="64"/>
    <n v="10"/>
    <n v="0"/>
    <n v="0"/>
    <n v="0"/>
    <n v="0"/>
    <n v="0"/>
    <n v="0"/>
    <n v="0"/>
    <n v="0"/>
    <n v="0"/>
    <n v="0"/>
    <n v="0"/>
    <n v="0"/>
    <n v="0"/>
    <n v="0"/>
    <n v="0"/>
    <n v="0"/>
    <n v="0"/>
    <s v="West"/>
    <x v="0"/>
    <x v="0"/>
    <x v="0"/>
    <x v="0"/>
    <x v="0"/>
    <x v="0"/>
    <m/>
    <x v="0"/>
    <s v="Y"/>
    <s v="3A"/>
    <m/>
    <n v="0"/>
    <n v="0"/>
    <n v="0"/>
    <n v="0"/>
    <n v="80"/>
    <n v="0"/>
    <n v="0"/>
    <n v="0"/>
    <n v="0"/>
    <n v="0"/>
    <n v="0"/>
    <n v="0"/>
    <n v="0"/>
    <n v="0"/>
    <n v="0"/>
    <n v="0"/>
    <n v="0"/>
    <n v="0"/>
    <n v="0"/>
    <n v="0"/>
    <n v="0"/>
    <n v="80"/>
    <n v="80"/>
  </r>
  <r>
    <n v="4482"/>
    <x v="2"/>
    <s v="2016/6164"/>
    <s v="Land at Linton Fuels Osiers Road"/>
    <s v="Linton Fuels, Osiers Road"/>
    <m/>
    <n v="525443"/>
    <n v="175090"/>
    <x v="13"/>
    <d v="2017-10-01T00:00:00"/>
    <m/>
    <n v="0"/>
    <n v="29"/>
    <n v="29"/>
    <n v="109"/>
    <n v="109"/>
    <s v="Y"/>
    <s v="Redevelopment of the site to provide a mixed use development in buildings ranging in height between ten and fourteen storeys, linked by a two-storey podium element, to provide 926 sq.m. (GIA) of flexible commercial floorspace (for use for either A1 (retail), A2 (financial and professional services), A3 (restaurant), B1 (business), D1 (non-residential institutions) or D2 (assembly and leisure), and 109 residential units, together with 20 car parking spaces at first floor level (with ramped access from Osiers Road) and 222  cycle parking spaces, with associated amenity space provision, including roof terraces and balconies, together with provision  of landscaping/areas of public realm and other associated works."/>
    <s v="PFLA"/>
    <d v="2016-10-25T00:00:00"/>
    <d v="2017-09-07T00:00:00"/>
    <x v="1"/>
    <s v="Nil"/>
    <m/>
    <s v="BF"/>
    <x v="0"/>
    <x v="1"/>
    <x v="1"/>
    <n v="9.4999998807907104E-2"/>
    <d v="2017-10-01T00:00:00"/>
    <x v="1"/>
    <m/>
    <x v="1"/>
    <s v="HAIS"/>
    <s v="3.3.4"/>
    <m/>
    <n v="29"/>
    <n v="23"/>
    <n v="0"/>
    <n v="6"/>
    <n v="0"/>
    <n v="16"/>
    <n v="13"/>
    <n v="0"/>
    <n v="0"/>
    <n v="0"/>
    <n v="0"/>
    <n v="0"/>
    <n v="16"/>
    <n v="13"/>
    <n v="0"/>
    <n v="0"/>
    <n v="0"/>
    <n v="0"/>
    <n v="0"/>
    <n v="0"/>
    <n v="0"/>
    <n v="0"/>
    <n v="0"/>
    <n v="0"/>
    <n v="0"/>
    <n v="0"/>
    <n v="0"/>
    <n v="0"/>
    <n v="0"/>
    <n v="0"/>
    <n v="0"/>
    <n v="0"/>
    <s v="West"/>
    <x v="0"/>
    <x v="0"/>
    <x v="0"/>
    <x v="0"/>
    <x v="0"/>
    <x v="0"/>
    <m/>
    <x v="0"/>
    <s v="Y"/>
    <s v="3A"/>
    <m/>
    <n v="0"/>
    <n v="0"/>
    <n v="0"/>
    <n v="0"/>
    <n v="29"/>
    <n v="0"/>
    <n v="0"/>
    <n v="0"/>
    <n v="0"/>
    <n v="0"/>
    <n v="0"/>
    <n v="0"/>
    <n v="0"/>
    <n v="0"/>
    <n v="0"/>
    <n v="0"/>
    <n v="0"/>
    <n v="0"/>
    <n v="0"/>
    <n v="0"/>
    <n v="0"/>
    <n v="29"/>
    <n v="29"/>
  </r>
  <r>
    <n v="4592"/>
    <x v="2"/>
    <s v="2016/2182"/>
    <m/>
    <s v="Jessica House, Red Lion Square"/>
    <m/>
    <n v="525349"/>
    <n v="174610"/>
    <x v="5"/>
    <d v="2018-03-31T00:00:00"/>
    <m/>
    <n v="0"/>
    <n v="61"/>
    <n v="61"/>
    <n v="61"/>
    <n v="61"/>
    <s v="Y"/>
    <s v="Change of use of offices on part of ground, mezzanine and first floor and all other upper levels (2-4) from (Class B1a) to residential (Class C3) to provide 61 residential units."/>
    <s v="PAG"/>
    <d v="2016-05-03T00:00:00"/>
    <d v="2016-06-22T00:00:00"/>
    <x v="0"/>
    <s v="Nil"/>
    <m/>
    <s v="BF"/>
    <x v="3"/>
    <x v="5"/>
    <x v="1"/>
    <n v="9.4999998807907104E-2"/>
    <d v="2018-03-31T00:00:00"/>
    <x v="1"/>
    <m/>
    <x v="0"/>
    <s v="P"/>
    <m/>
    <m/>
    <n v="0"/>
    <m/>
    <n v="0"/>
    <m/>
    <n v="30"/>
    <n v="19"/>
    <n v="12"/>
    <n v="0"/>
    <n v="0"/>
    <n v="0"/>
    <n v="0"/>
    <n v="30"/>
    <n v="19"/>
    <n v="12"/>
    <n v="0"/>
    <n v="0"/>
    <n v="0"/>
    <n v="0"/>
    <n v="0"/>
    <n v="0"/>
    <n v="0"/>
    <n v="0"/>
    <n v="0"/>
    <n v="0"/>
    <n v="0"/>
    <n v="0"/>
    <n v="0"/>
    <n v="0"/>
    <n v="0"/>
    <n v="0"/>
    <n v="0"/>
    <n v="0"/>
    <s v="West"/>
    <x v="4"/>
    <x v="0"/>
    <x v="0"/>
    <x v="0"/>
    <x v="0"/>
    <x v="0"/>
    <m/>
    <x v="0"/>
    <s v="Y"/>
    <s v="8B"/>
    <m/>
    <n v="0"/>
    <n v="30.5"/>
    <n v="30.5"/>
    <n v="0"/>
    <n v="0"/>
    <n v="0"/>
    <n v="0"/>
    <n v="0"/>
    <n v="0"/>
    <n v="0"/>
    <n v="0"/>
    <n v="0"/>
    <n v="0"/>
    <n v="0"/>
    <n v="0"/>
    <n v="0"/>
    <n v="0"/>
    <n v="0"/>
    <n v="0"/>
    <n v="0"/>
    <n v="0"/>
    <n v="61"/>
    <n v="61"/>
  </r>
  <r>
    <n v="4640"/>
    <x v="2"/>
    <s v="2014/7090"/>
    <m/>
    <s v="28-30 Putney High Street"/>
    <m/>
    <n v="524103"/>
    <n v="175546"/>
    <x v="13"/>
    <d v="2017-04-27T00:00:00"/>
    <m/>
    <n v="0"/>
    <n v="5"/>
    <n v="5"/>
    <n v="5"/>
    <n v="5"/>
    <m/>
    <s v="Retention of ground floor bar (Class A4) (number 30) and part retention of ground floor level café/restaurant (Class A3) (number 28) and part change of use of ground, first, second and third floor levels from office (Class B1) to 5x flats (Class C3); comprising 3x 1-bedroom and 2x 2-bedroom.  Erection of a roof level mansard extension (number 28); mezzanine level in connection with ground floor commercial unit (number 28), rear extensions at first and second floor levels and 3-storey extension to the rear in addition to wider alterations to fenestration and erection of external stairwell and walkway."/>
    <s v="PF"/>
    <d v="2015-01-26T00:00:00"/>
    <d v="2015-08-14T00:00:00"/>
    <x v="0"/>
    <s v="Nil"/>
    <m/>
    <s v="BF"/>
    <x v="4"/>
    <x v="0"/>
    <x v="9"/>
    <n v="1.09999999403954E-2"/>
    <d v="2017-04-27T00:00:00"/>
    <x v="1"/>
    <m/>
    <x v="0"/>
    <s v="P"/>
    <m/>
    <m/>
    <n v="0"/>
    <m/>
    <n v="0"/>
    <m/>
    <n v="0"/>
    <n v="3"/>
    <n v="2"/>
    <n v="0"/>
    <n v="0"/>
    <n v="0"/>
    <n v="0"/>
    <n v="0"/>
    <n v="3"/>
    <n v="2"/>
    <n v="0"/>
    <n v="0"/>
    <n v="0"/>
    <n v="0"/>
    <n v="0"/>
    <n v="0"/>
    <n v="0"/>
    <n v="0"/>
    <n v="0"/>
    <n v="0"/>
    <n v="0"/>
    <n v="0"/>
    <n v="0"/>
    <n v="0"/>
    <n v="0"/>
    <n v="0"/>
    <n v="0"/>
    <n v="0"/>
    <s v="West"/>
    <x v="3"/>
    <x v="0"/>
    <x v="1"/>
    <x v="0"/>
    <x v="0"/>
    <x v="0"/>
    <m/>
    <x v="0"/>
    <s v="Y"/>
    <s v="8A"/>
    <m/>
    <n v="0"/>
    <n v="5"/>
    <n v="0"/>
    <n v="0"/>
    <n v="0"/>
    <n v="0"/>
    <n v="0"/>
    <n v="0"/>
    <n v="0"/>
    <n v="0"/>
    <n v="0"/>
    <n v="0"/>
    <n v="0"/>
    <n v="0"/>
    <n v="0"/>
    <n v="0"/>
    <n v="0"/>
    <n v="0"/>
    <n v="0"/>
    <n v="0"/>
    <n v="0"/>
    <n v="5"/>
    <n v="5"/>
  </r>
  <r>
    <n v="4682"/>
    <x v="2"/>
    <s v="2017/0203"/>
    <m/>
    <s v="435 Upper Richmond Road"/>
    <m/>
    <n v="522102"/>
    <n v="175464"/>
    <x v="7"/>
    <d v="2017-10-24T00:00:00"/>
    <m/>
    <n v="1"/>
    <n v="4"/>
    <n v="3"/>
    <n v="4"/>
    <n v="3"/>
    <m/>
    <s v="Erection of mansard extension to main rear roof (with French doors) including roof terrace to rear with 1.8m high screen surround and dormer roof extension to front;  two-storey rear extension and excavation to create basement including formation of front and rear lightwells in connection with conversion of property into 2 x 2-bedroom and 2 x 3-bedroom flats with associated cycle and refuse storage at 435 Upper Richmond Road.  Repositioning flank window to rear elevation of 437 Upper Richmond Road."/>
    <s v="RP"/>
    <d v="2017-01-19T00:00:00"/>
    <d v="2017-03-16T00:00:00"/>
    <x v="1"/>
    <s v="APG"/>
    <d v="2017-09-05T00:00:00"/>
    <s v="BF"/>
    <x v="4"/>
    <x v="0"/>
    <x v="7"/>
    <n v="2.70000007003546E-2"/>
    <d v="2017-10-24T00:00:00"/>
    <x v="1"/>
    <m/>
    <x v="0"/>
    <s v="P"/>
    <m/>
    <m/>
    <n v="0"/>
    <m/>
    <n v="0"/>
    <m/>
    <n v="0"/>
    <n v="0"/>
    <n v="2"/>
    <n v="1"/>
    <n v="0"/>
    <n v="0"/>
    <n v="0"/>
    <n v="0"/>
    <n v="0"/>
    <n v="2"/>
    <n v="2"/>
    <n v="0"/>
    <n v="0"/>
    <n v="0"/>
    <n v="0"/>
    <n v="0"/>
    <n v="0"/>
    <n v="-1"/>
    <n v="0"/>
    <n v="0"/>
    <n v="0"/>
    <n v="0"/>
    <n v="0"/>
    <n v="0"/>
    <n v="0"/>
    <n v="0"/>
    <n v="0"/>
    <n v="0"/>
    <s v="West"/>
    <x v="0"/>
    <x v="0"/>
    <x v="1"/>
    <x v="0"/>
    <x v="0"/>
    <x v="0"/>
    <m/>
    <x v="0"/>
    <s v="Y"/>
    <s v="8B"/>
    <m/>
    <n v="0"/>
    <n v="1.5"/>
    <n v="1.5"/>
    <n v="0"/>
    <n v="0"/>
    <n v="0"/>
    <n v="0"/>
    <n v="0"/>
    <n v="0"/>
    <n v="0"/>
    <n v="0"/>
    <n v="0"/>
    <n v="0"/>
    <n v="0"/>
    <n v="0"/>
    <n v="0"/>
    <n v="0"/>
    <n v="0"/>
    <n v="0"/>
    <n v="0"/>
    <n v="0"/>
    <n v="3"/>
    <n v="3"/>
  </r>
  <r>
    <n v="4707"/>
    <x v="2"/>
    <s v="2016/2748"/>
    <m/>
    <s v="191 Replingham Road"/>
    <m/>
    <n v="525177"/>
    <n v="173402"/>
    <x v="5"/>
    <d v="2017-10-31T00:00:00"/>
    <m/>
    <n v="0"/>
    <n v="1"/>
    <n v="1"/>
    <n v="1"/>
    <n v="1"/>
    <m/>
    <s v="Determination as to whether prior approval is required for change of use of office at ground floor level from (Class B1a) to residential (Class C3) to provide 1 bedroom self-contained flat"/>
    <s v="PANR"/>
    <d v="2016-05-16T00:00:00"/>
    <d v="2016-07-08T00:00:00"/>
    <x v="0"/>
    <s v="Nil"/>
    <m/>
    <s v="BF"/>
    <x v="3"/>
    <x v="0"/>
    <x v="9"/>
    <n v="2.0000000949949E-3"/>
    <d v="2017-10-31T00:00:00"/>
    <x v="1"/>
    <m/>
    <x v="0"/>
    <s v="P"/>
    <m/>
    <m/>
    <n v="0"/>
    <m/>
    <n v="0"/>
    <m/>
    <n v="0"/>
    <n v="1"/>
    <n v="0"/>
    <n v="0"/>
    <n v="0"/>
    <n v="0"/>
    <n v="0"/>
    <n v="0"/>
    <n v="1"/>
    <n v="0"/>
    <n v="0"/>
    <n v="0"/>
    <n v="0"/>
    <n v="0"/>
    <n v="0"/>
    <n v="0"/>
    <n v="0"/>
    <n v="0"/>
    <n v="0"/>
    <n v="0"/>
    <n v="0"/>
    <n v="0"/>
    <n v="0"/>
    <n v="0"/>
    <n v="0"/>
    <n v="0"/>
    <n v="0"/>
    <n v="0"/>
    <s v="West"/>
    <x v="0"/>
    <x v="0"/>
    <x v="1"/>
    <x v="0"/>
    <x v="0"/>
    <x v="0"/>
    <m/>
    <x v="0"/>
    <s v="Y"/>
    <s v="8B"/>
    <m/>
    <n v="0"/>
    <n v="0.5"/>
    <n v="0.5"/>
    <n v="0"/>
    <n v="0"/>
    <n v="0"/>
    <n v="0"/>
    <n v="0"/>
    <n v="0"/>
    <n v="0"/>
    <n v="0"/>
    <n v="0"/>
    <n v="0"/>
    <n v="0"/>
    <n v="0"/>
    <n v="0"/>
    <n v="0"/>
    <n v="0"/>
    <n v="0"/>
    <n v="0"/>
    <n v="0"/>
    <n v="1"/>
    <n v="1"/>
  </r>
  <r>
    <n v="4717"/>
    <x v="2"/>
    <s v="2014/5149"/>
    <s v="South Thames College &amp; Welbeck House"/>
    <s v="South Thames College &amp; Welbeck House, 17-27 Garratt Lane"/>
    <s v="BLOCK A - INTERMEDIATE"/>
    <n v="525735"/>
    <n v="174565"/>
    <x v="0"/>
    <d v="2016-06-01T00:00:00"/>
    <m/>
    <n v="0"/>
    <n v="21"/>
    <n v="21"/>
    <n v="201"/>
    <n v="201"/>
    <s v="Y"/>
    <s v="Demolition of existing buildings and erection of four new buildings ranging in height from 4 to 26 storeys to provide 201 residential units, 2,458sq.m of commercial floor space (Class A1, A2, A3, A4 and A5, B1(a)) and D1 (relocation of Wandsworth library) and associated parking, access routes, amenity space, public realm works and alterations to the adjacent Old Burial Ground on Garratt Lane."/>
    <s v="PFLA"/>
    <d v="2014-10-08T00:00:00"/>
    <d v="2015-07-08T00:00:00"/>
    <x v="0"/>
    <s v="Nil"/>
    <m/>
    <s v="BF"/>
    <x v="0"/>
    <x v="1"/>
    <x v="1"/>
    <n v="0"/>
    <d v="2016-06-01T00:00:00"/>
    <x v="0"/>
    <m/>
    <x v="1"/>
    <s v="HASO"/>
    <s v="3.1.4"/>
    <m/>
    <n v="21"/>
    <m/>
    <n v="3"/>
    <m/>
    <n v="0"/>
    <n v="10"/>
    <n v="11"/>
    <n v="0"/>
    <n v="0"/>
    <n v="0"/>
    <n v="0"/>
    <n v="0"/>
    <n v="10"/>
    <n v="11"/>
    <n v="0"/>
    <n v="0"/>
    <n v="0"/>
    <n v="0"/>
    <n v="0"/>
    <n v="0"/>
    <n v="0"/>
    <n v="0"/>
    <n v="0"/>
    <n v="0"/>
    <n v="0"/>
    <n v="0"/>
    <n v="0"/>
    <n v="0"/>
    <n v="0"/>
    <n v="0"/>
    <n v="0"/>
    <n v="0"/>
    <s v="West"/>
    <x v="4"/>
    <x v="0"/>
    <x v="0"/>
    <x v="0"/>
    <x v="0"/>
    <x v="0"/>
    <m/>
    <x v="0"/>
    <s v="Y"/>
    <s v="3A"/>
    <m/>
    <n v="0"/>
    <n v="0"/>
    <n v="21"/>
    <n v="0"/>
    <n v="0"/>
    <n v="0"/>
    <n v="0"/>
    <n v="0"/>
    <n v="0"/>
    <n v="0"/>
    <n v="0"/>
    <n v="0"/>
    <n v="0"/>
    <n v="0"/>
    <n v="0"/>
    <n v="0"/>
    <n v="0"/>
    <n v="0"/>
    <n v="0"/>
    <n v="0"/>
    <n v="0"/>
    <n v="21"/>
    <n v="21"/>
  </r>
  <r>
    <n v="4717"/>
    <x v="2"/>
    <s v="2014/5149"/>
    <s v="South Thames College &amp; Welbeck House"/>
    <s v="South Thames College &amp; Welbeck House, 17-27 Garratt Lane"/>
    <s v="BLOCK B - PRIVATE"/>
    <n v="525735"/>
    <n v="174565"/>
    <x v="0"/>
    <d v="2016-06-01T00:00:00"/>
    <m/>
    <n v="0"/>
    <n v="106"/>
    <n v="106"/>
    <n v="201"/>
    <n v="201"/>
    <s v="Y"/>
    <s v="Demolition of existing buildings and erection of four new buildings ranging in height from 4 to 26 storeys to provide 201 residential units, 2,458sq.m of commercial floor space (Class A1, A2, A3, A4 and A5, B1(a)) and D1 (relocation of Wandsworth library) and associated parking, access routes, amenity space, public realm works and alterations to the adjacent Old Burial Ground on Garratt Lane."/>
    <s v="PFLA"/>
    <d v="2014-10-08T00:00:00"/>
    <d v="2015-07-08T00:00:00"/>
    <x v="0"/>
    <s v="Nil"/>
    <m/>
    <s v="BF"/>
    <x v="0"/>
    <x v="1"/>
    <x v="1"/>
    <n v="0"/>
    <d v="2016-06-01T00:00:00"/>
    <x v="0"/>
    <m/>
    <x v="0"/>
    <s v="P"/>
    <s v="3.1.4"/>
    <m/>
    <n v="106"/>
    <m/>
    <n v="12"/>
    <m/>
    <n v="0"/>
    <n v="15"/>
    <n v="84"/>
    <n v="7"/>
    <n v="0"/>
    <n v="0"/>
    <n v="0"/>
    <n v="0"/>
    <n v="15"/>
    <n v="84"/>
    <n v="7"/>
    <n v="0"/>
    <n v="0"/>
    <n v="0"/>
    <n v="0"/>
    <n v="0"/>
    <n v="0"/>
    <n v="0"/>
    <n v="0"/>
    <n v="0"/>
    <n v="0"/>
    <n v="0"/>
    <n v="0"/>
    <n v="0"/>
    <n v="0"/>
    <n v="0"/>
    <n v="0"/>
    <n v="0"/>
    <s v="West"/>
    <x v="4"/>
    <x v="0"/>
    <x v="0"/>
    <x v="0"/>
    <x v="0"/>
    <x v="0"/>
    <m/>
    <x v="0"/>
    <s v="Y"/>
    <s v="3A"/>
    <m/>
    <n v="0"/>
    <n v="0"/>
    <n v="106"/>
    <n v="0"/>
    <n v="0"/>
    <n v="0"/>
    <n v="0"/>
    <n v="0"/>
    <n v="0"/>
    <n v="0"/>
    <n v="0"/>
    <n v="0"/>
    <n v="0"/>
    <n v="0"/>
    <n v="0"/>
    <n v="0"/>
    <n v="0"/>
    <n v="0"/>
    <n v="0"/>
    <n v="0"/>
    <n v="0"/>
    <n v="106"/>
    <n v="106"/>
  </r>
  <r>
    <n v="4717"/>
    <x v="2"/>
    <s v="2014/5149"/>
    <s v="South Thames College &amp; Welbeck House"/>
    <s v="South Thames College &amp; Welbeck House, 17-27 Garratt Lane"/>
    <s v="BLOCK C - PRIVATE"/>
    <n v="525735"/>
    <n v="174565"/>
    <x v="0"/>
    <d v="2016-06-01T00:00:00"/>
    <m/>
    <n v="0"/>
    <n v="45"/>
    <n v="45"/>
    <n v="201"/>
    <n v="201"/>
    <s v="Y"/>
    <s v="Demolition of existing buildings and erection of four new buildings ranging in height from 4 to 26 storeys to provide 201 residential units, 2,458sq.m of commercial floor space (Class A1, A2, A3, A4 and A5, B1(a)) and D1 (relocation of Wandsworth library) and associated parking, access routes, amenity space, public realm works and alterations to the adjacent Old Burial Ground on Garratt Lane."/>
    <s v="PFLA"/>
    <d v="2014-10-08T00:00:00"/>
    <d v="2015-07-08T00:00:00"/>
    <x v="0"/>
    <s v="Nil"/>
    <m/>
    <s v="BF"/>
    <x v="0"/>
    <x v="1"/>
    <x v="1"/>
    <n v="0.67000001668930098"/>
    <d v="2016-06-01T00:00:00"/>
    <x v="0"/>
    <m/>
    <x v="0"/>
    <s v="P"/>
    <s v="3.1.4"/>
    <m/>
    <n v="45"/>
    <m/>
    <n v="6"/>
    <m/>
    <n v="0"/>
    <n v="0"/>
    <n v="45"/>
    <n v="0"/>
    <n v="0"/>
    <n v="0"/>
    <n v="0"/>
    <n v="0"/>
    <n v="0"/>
    <n v="45"/>
    <n v="0"/>
    <n v="0"/>
    <n v="0"/>
    <n v="0"/>
    <n v="0"/>
    <n v="0"/>
    <n v="0"/>
    <n v="0"/>
    <n v="0"/>
    <n v="0"/>
    <n v="0"/>
    <n v="0"/>
    <n v="0"/>
    <n v="0"/>
    <n v="0"/>
    <n v="0"/>
    <n v="0"/>
    <n v="0"/>
    <s v="West"/>
    <x v="4"/>
    <x v="0"/>
    <x v="0"/>
    <x v="0"/>
    <x v="0"/>
    <x v="0"/>
    <m/>
    <x v="0"/>
    <s v="Y"/>
    <s v="3A"/>
    <m/>
    <n v="0"/>
    <n v="0"/>
    <n v="45"/>
    <n v="0"/>
    <n v="0"/>
    <n v="0"/>
    <n v="0"/>
    <n v="0"/>
    <n v="0"/>
    <n v="0"/>
    <n v="0"/>
    <n v="0"/>
    <n v="0"/>
    <n v="0"/>
    <n v="0"/>
    <n v="0"/>
    <n v="0"/>
    <n v="0"/>
    <n v="0"/>
    <n v="0"/>
    <n v="0"/>
    <n v="45"/>
    <n v="45"/>
  </r>
  <r>
    <n v="4717"/>
    <x v="2"/>
    <s v="2014/5149"/>
    <s v="South Thames College &amp; Welbeck House"/>
    <s v="South Thames College &amp; Welbeck House, 17-27 Garratt Lane"/>
    <s v="BLOCK D - AFFORDABLE RENTED"/>
    <n v="525735"/>
    <n v="174565"/>
    <x v="0"/>
    <d v="2016-06-01T00:00:00"/>
    <m/>
    <n v="0"/>
    <n v="29"/>
    <n v="29"/>
    <n v="201"/>
    <n v="201"/>
    <s v="Y"/>
    <s v="Demolition of existing buildings and erection of four new buildings ranging in height from 4 to 26 storeys to provide 201 residential units, 2,458sq.m of commercial floor space (Class A1, A2, A3, A4 and A5, B1(a)) and D1 (relocation of Wandsworth library) and associated parking, access routes, amenity space, public realm works and alterations to the adjacent Old Burial Ground on Garratt Lane."/>
    <s v="PFLA"/>
    <d v="2014-10-08T00:00:00"/>
    <d v="2015-07-08T00:00:00"/>
    <x v="0"/>
    <s v="Nil"/>
    <m/>
    <s v="BF"/>
    <x v="0"/>
    <x v="1"/>
    <x v="1"/>
    <n v="0"/>
    <d v="2016-06-01T00:00:00"/>
    <x v="0"/>
    <m/>
    <x v="2"/>
    <s v="HAAR"/>
    <s v="3.1.4"/>
    <m/>
    <n v="29"/>
    <m/>
    <n v="4"/>
    <m/>
    <n v="0"/>
    <n v="8"/>
    <n v="13"/>
    <n v="8"/>
    <n v="0"/>
    <n v="0"/>
    <n v="0"/>
    <n v="0"/>
    <n v="8"/>
    <n v="13"/>
    <n v="8"/>
    <n v="0"/>
    <n v="0"/>
    <n v="0"/>
    <n v="0"/>
    <n v="0"/>
    <n v="0"/>
    <n v="0"/>
    <n v="0"/>
    <n v="0"/>
    <n v="0"/>
    <n v="0"/>
    <n v="0"/>
    <n v="0"/>
    <n v="0"/>
    <n v="0"/>
    <n v="0"/>
    <n v="0"/>
    <s v="West"/>
    <x v="4"/>
    <x v="0"/>
    <x v="0"/>
    <x v="0"/>
    <x v="0"/>
    <x v="0"/>
    <m/>
    <x v="0"/>
    <s v="Y"/>
    <s v="3A"/>
    <m/>
    <n v="0"/>
    <n v="0"/>
    <n v="29"/>
    <n v="0"/>
    <n v="0"/>
    <n v="0"/>
    <n v="0"/>
    <n v="0"/>
    <n v="0"/>
    <n v="0"/>
    <n v="0"/>
    <n v="0"/>
    <n v="0"/>
    <n v="0"/>
    <n v="0"/>
    <n v="0"/>
    <n v="0"/>
    <n v="0"/>
    <n v="0"/>
    <n v="0"/>
    <n v="0"/>
    <n v="29"/>
    <n v="29"/>
  </r>
  <r>
    <n v="4718"/>
    <x v="2"/>
    <s v="2013/5239"/>
    <s v="Embassy Gardens"/>
    <s v="Main Site, Ballymore, Ponton Road"/>
    <s v="A04"/>
    <n v="529643"/>
    <n v="177593"/>
    <x v="6"/>
    <d v="2016-09-01T00:00:00"/>
    <m/>
    <n v="0"/>
    <n v="179"/>
    <n v="179"/>
    <n v="1339"/>
    <n v="1339"/>
    <s v="Y"/>
    <s v="Minor-material amendment application in accordance with Section 73 of the Town and Country Planning Act. Variation of conditions 8 (Design Principles Documents), 40 (noise mitigation), 49 (coach &amp; taxi parking) and 61 (approved drawings) to planning permission 2011/1815 dated 30 March 2012 for demolition of all existing buildings and construction of a mixed use redevelopment to provide residential units, including affordable housing, commercial, office and community uses, associated basement and ground level parking and servicing; energy centres; new vehicle and pedestrian access and circulation; and new public amenity space and landscaping including part of the 'Linear Park'.  Amendments include relocation of car park entrance to plot A03, relocation of car park of A05 from basement to ground floor, redistribution of ground floor commercial uses, revised residential mix, and introduction of amenity links at upper floors."/>
    <s v="S73"/>
    <d v="2013-10-21T00:00:00"/>
    <d v="2014-09-12T00:00:00"/>
    <x v="0"/>
    <s v="Nil"/>
    <m/>
    <s v="BF"/>
    <x v="0"/>
    <x v="1"/>
    <x v="1"/>
    <n v="0.24099999666214"/>
    <d v="2016-09-01T00:00:00"/>
    <x v="0"/>
    <m/>
    <x v="0"/>
    <s v="P"/>
    <s v="2.1.16"/>
    <m/>
    <n v="179"/>
    <m/>
    <n v="18"/>
    <m/>
    <n v="3"/>
    <n v="33"/>
    <n v="133"/>
    <n v="9"/>
    <n v="1"/>
    <n v="0"/>
    <n v="0"/>
    <n v="3"/>
    <n v="33"/>
    <n v="133"/>
    <n v="9"/>
    <n v="1"/>
    <n v="0"/>
    <n v="0"/>
    <n v="0"/>
    <n v="0"/>
    <n v="0"/>
    <n v="0"/>
    <n v="0"/>
    <n v="0"/>
    <n v="0"/>
    <n v="0"/>
    <n v="0"/>
    <n v="0"/>
    <n v="0"/>
    <n v="0"/>
    <n v="0"/>
    <n v="0"/>
    <s v="Strategic Planning/Nine Elms"/>
    <x v="0"/>
    <x v="1"/>
    <x v="1"/>
    <x v="0"/>
    <x v="0"/>
    <x v="0"/>
    <m/>
    <x v="0"/>
    <s v="Y"/>
    <n v="12"/>
    <m/>
    <n v="0"/>
    <n v="179"/>
    <n v="0"/>
    <n v="0"/>
    <n v="0"/>
    <n v="0"/>
    <n v="0"/>
    <n v="0"/>
    <n v="0"/>
    <n v="0"/>
    <n v="0"/>
    <n v="0"/>
    <n v="0"/>
    <n v="0"/>
    <n v="0"/>
    <n v="0"/>
    <n v="0"/>
    <n v="0"/>
    <n v="0"/>
    <n v="0"/>
    <n v="0"/>
    <n v="179"/>
    <n v="179"/>
  </r>
  <r>
    <n v="4718"/>
    <x v="2"/>
    <s v="2013/5239"/>
    <s v="Embassy Gardens"/>
    <s v="Main Site, Ballymore, Ponton Road"/>
    <s v="A04"/>
    <n v="529643"/>
    <n v="177593"/>
    <x v="6"/>
    <d v="2016-09-01T00:00:00"/>
    <m/>
    <n v="0"/>
    <n v="42"/>
    <n v="42"/>
    <n v="1339"/>
    <n v="1339"/>
    <s v="Y"/>
    <s v="Minor-material amendment application in accordance with Section 73 of the Town and Country Planning Act. Variation of conditions 8 (Design Principles Documents), 40 (noise mitigation), 49 (coach &amp; taxi parking) and 61 (approved drawings) to planning permission 2011/1815 dated 30 March 2012 for demolition of all existing buildings and construction of a mixed use redevelopment to provide residential units, including affordable housing, commercial, office and community uses, associated basement and ground level parking and servicing; energy centres; new vehicle and pedestrian access and circulation; and new public amenity space and landscaping including part of the 'Linear Park'.  Amendments include relocation of car park entrance to plot A03, relocation of car park of A05 from basement to ground floor, redistribution of ground floor commercial uses, revised residential mix, and introduction of amenity links at upper floors."/>
    <s v="S73"/>
    <d v="2013-10-21T00:00:00"/>
    <d v="2014-09-12T00:00:00"/>
    <x v="0"/>
    <s v="Nil"/>
    <m/>
    <s v="BF"/>
    <x v="0"/>
    <x v="1"/>
    <x v="1"/>
    <n v="5.6000001728534698E-2"/>
    <d v="2016-09-01T00:00:00"/>
    <x v="0"/>
    <m/>
    <x v="2"/>
    <s v="HAAR"/>
    <s v="2.1.16"/>
    <m/>
    <n v="42"/>
    <m/>
    <n v="4"/>
    <m/>
    <n v="0"/>
    <n v="7"/>
    <n v="17"/>
    <n v="14"/>
    <n v="4"/>
    <n v="0"/>
    <n v="0"/>
    <n v="0"/>
    <n v="7"/>
    <n v="17"/>
    <n v="14"/>
    <n v="4"/>
    <n v="0"/>
    <n v="0"/>
    <n v="0"/>
    <n v="0"/>
    <n v="0"/>
    <n v="0"/>
    <n v="0"/>
    <n v="0"/>
    <n v="0"/>
    <n v="0"/>
    <n v="0"/>
    <n v="0"/>
    <n v="0"/>
    <n v="0"/>
    <n v="0"/>
    <n v="0"/>
    <s v="Strategic Planning/Nine Elms"/>
    <x v="0"/>
    <x v="1"/>
    <x v="1"/>
    <x v="0"/>
    <x v="0"/>
    <x v="0"/>
    <m/>
    <x v="0"/>
    <s v="Y"/>
    <n v="12"/>
    <m/>
    <n v="0"/>
    <n v="0"/>
    <n v="42"/>
    <n v="0"/>
    <n v="0"/>
    <n v="0"/>
    <n v="0"/>
    <n v="0"/>
    <n v="0"/>
    <n v="0"/>
    <n v="0"/>
    <n v="0"/>
    <n v="0"/>
    <n v="0"/>
    <n v="0"/>
    <n v="0"/>
    <n v="0"/>
    <n v="0"/>
    <n v="0"/>
    <n v="0"/>
    <n v="0"/>
    <n v="42"/>
    <n v="42"/>
  </r>
  <r>
    <n v="4718"/>
    <x v="2"/>
    <s v="2013/5239"/>
    <s v="Embassy Gardens"/>
    <s v="Main Site, Ballymore, Ponton Road"/>
    <s v="A04"/>
    <n v="529643"/>
    <n v="177593"/>
    <x v="6"/>
    <d v="2016-09-01T00:00:00"/>
    <m/>
    <n v="0"/>
    <n v="38"/>
    <n v="38"/>
    <n v="1339"/>
    <n v="1339"/>
    <s v="Y"/>
    <s v="Minor-material amendment application in accordance with Section 73 of the Town and Country Planning Act. Variation of conditions 8 (Design Principles Documents), 40 (noise mitigation), 49 (coach &amp; taxi parking) and 61 (approved drawings) to planning permission 2011/1815 dated 30 March 2012 for demolition of all existing buildings and construction of a mixed use redevelopment to provide residential units, including affordable housing, commercial, office and community uses, associated basement and ground level parking and servicing; energy centres; new vehicle and pedestrian access and circulation; and new public amenity space and landscaping including part of the 'Linear Park'.  Amendments include relocation of car park entrance to plot A03, relocation of car park of A05 from basement to ground floor, redistribution of ground floor commercial uses, revised residential mix, and introduction of amenity links at upper floors."/>
    <s v="S73"/>
    <d v="2013-10-21T00:00:00"/>
    <d v="2014-09-12T00:00:00"/>
    <x v="0"/>
    <s v="Nil"/>
    <m/>
    <s v="BF"/>
    <x v="0"/>
    <x v="1"/>
    <x v="1"/>
    <n v="5.0999999046325697E-2"/>
    <d v="2016-09-01T00:00:00"/>
    <x v="0"/>
    <m/>
    <x v="1"/>
    <s v="HAIU"/>
    <s v="2.1.16"/>
    <m/>
    <n v="38"/>
    <m/>
    <n v="4"/>
    <m/>
    <n v="0"/>
    <n v="14"/>
    <n v="24"/>
    <n v="0"/>
    <n v="0"/>
    <n v="0"/>
    <n v="0"/>
    <n v="0"/>
    <n v="14"/>
    <n v="24"/>
    <n v="0"/>
    <n v="0"/>
    <n v="0"/>
    <n v="0"/>
    <n v="0"/>
    <n v="0"/>
    <n v="0"/>
    <n v="0"/>
    <n v="0"/>
    <n v="0"/>
    <n v="0"/>
    <n v="0"/>
    <n v="0"/>
    <n v="0"/>
    <n v="0"/>
    <n v="0"/>
    <n v="0"/>
    <n v="0"/>
    <s v="Strategic Planning/Nine Elms"/>
    <x v="0"/>
    <x v="1"/>
    <x v="1"/>
    <x v="0"/>
    <x v="0"/>
    <x v="0"/>
    <m/>
    <x v="0"/>
    <s v="Y"/>
    <n v="12"/>
    <m/>
    <n v="0"/>
    <n v="0"/>
    <n v="38"/>
    <n v="0"/>
    <n v="0"/>
    <n v="0"/>
    <n v="0"/>
    <n v="0"/>
    <n v="0"/>
    <n v="0"/>
    <n v="0"/>
    <n v="0"/>
    <n v="0"/>
    <n v="0"/>
    <n v="0"/>
    <n v="0"/>
    <n v="0"/>
    <n v="0"/>
    <n v="0"/>
    <n v="0"/>
    <n v="0"/>
    <n v="38"/>
    <n v="38"/>
  </r>
  <r>
    <n v="4718"/>
    <x v="2"/>
    <s v="2013/5239"/>
    <s v="Embassy Gardens"/>
    <s v="Main Site, Ballymore, Ponton Road"/>
    <s v="A05"/>
    <n v="529643"/>
    <n v="177593"/>
    <x v="6"/>
    <d v="2016-09-01T00:00:00"/>
    <m/>
    <n v="0"/>
    <n v="83"/>
    <n v="83"/>
    <n v="1339"/>
    <n v="1339"/>
    <s v="Y"/>
    <s v="Minor-material amendment application in accordance with Section 73 of the Town and Country Planning Act. Variation of conditions 8 (Design Principles Documents), 40 (noise mitigation), 49 (coach &amp; taxi parking) and 61 (approved drawings) to planning permission 2011/1815 dated 30 March 2012 for demolition of all existing buildings and construction of a mixed use redevelopment to provide residential units, including affordable housing, commercial, office and community uses, associated basement and ground level parking and servicing; energy centres; new vehicle and pedestrian access and circulation; and new public amenity space and landscaping including part of the 'Linear Park'.  Amendments include relocation of car park entrance to plot A03, relocation of car park of A05 from basement to ground floor, redistribution of ground floor commercial uses, revised residential mix, and introduction of amenity links at upper floors."/>
    <s v="S73"/>
    <d v="2013-10-21T00:00:00"/>
    <d v="2014-09-12T00:00:00"/>
    <x v="0"/>
    <s v="Nil"/>
    <m/>
    <s v="BF"/>
    <x v="0"/>
    <x v="1"/>
    <x v="1"/>
    <n v="0.11200000345706899"/>
    <d v="2016-09-01T00:00:00"/>
    <x v="0"/>
    <m/>
    <x v="2"/>
    <s v="HAAR"/>
    <s v="2.1.16"/>
    <m/>
    <n v="83"/>
    <m/>
    <n v="8"/>
    <m/>
    <n v="0"/>
    <n v="11"/>
    <n v="24"/>
    <n v="31"/>
    <n v="17"/>
    <n v="0"/>
    <n v="0"/>
    <n v="0"/>
    <n v="11"/>
    <n v="24"/>
    <n v="31"/>
    <n v="17"/>
    <n v="0"/>
    <n v="0"/>
    <n v="0"/>
    <n v="0"/>
    <n v="0"/>
    <n v="0"/>
    <n v="0"/>
    <n v="0"/>
    <n v="0"/>
    <n v="0"/>
    <n v="0"/>
    <n v="0"/>
    <n v="0"/>
    <n v="0"/>
    <n v="0"/>
    <n v="0"/>
    <s v="Strategic Planning/Nine Elms"/>
    <x v="0"/>
    <x v="1"/>
    <x v="1"/>
    <x v="0"/>
    <x v="0"/>
    <x v="0"/>
    <m/>
    <x v="0"/>
    <s v="Y"/>
    <n v="12"/>
    <m/>
    <n v="0"/>
    <n v="83"/>
    <n v="0"/>
    <n v="0"/>
    <n v="0"/>
    <n v="0"/>
    <n v="0"/>
    <n v="0"/>
    <n v="0"/>
    <n v="0"/>
    <n v="0"/>
    <n v="0"/>
    <n v="0"/>
    <n v="0"/>
    <n v="0"/>
    <n v="0"/>
    <n v="0"/>
    <n v="0"/>
    <n v="0"/>
    <n v="0"/>
    <n v="0"/>
    <n v="83"/>
    <n v="83"/>
  </r>
  <r>
    <n v="4718"/>
    <x v="2"/>
    <s v="2015/4499"/>
    <s v="Embassy Gardens"/>
    <s v="Main Site, Ballymore, Ponton Road"/>
    <s v="A03"/>
    <n v="529643"/>
    <n v="177593"/>
    <x v="6"/>
    <d v="2016-09-01T00:00:00"/>
    <m/>
    <n v="0"/>
    <n v="279"/>
    <n v="279"/>
    <n v="530"/>
    <n v="530"/>
    <s v="Y"/>
    <s v="'Submission of revised Reserved Matters details (scale, layout, access, external appearance and landscaping) for plots A03, A04 and A05 of Phase 2, to allow revision to internal reconfiguration of private sale units in plots A03 and A05, landscaping amendments, details of orangery at roof level and minor façade revision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15-08-13T00:00:00"/>
    <d v="2017-05-25T00:00:00"/>
    <x v="1"/>
    <s v="Nil"/>
    <m/>
    <s v="BF"/>
    <x v="0"/>
    <x v="1"/>
    <x v="1"/>
    <n v="0.375"/>
    <d v="2016-09-01T00:00:00"/>
    <x v="0"/>
    <m/>
    <x v="0"/>
    <s v="P"/>
    <s v="2.1.16"/>
    <m/>
    <n v="279"/>
    <m/>
    <n v="28"/>
    <m/>
    <n v="12"/>
    <n v="26"/>
    <n v="213"/>
    <n v="26"/>
    <n v="2"/>
    <n v="0"/>
    <n v="0"/>
    <n v="12"/>
    <n v="26"/>
    <n v="213"/>
    <n v="26"/>
    <n v="2"/>
    <n v="0"/>
    <n v="0"/>
    <n v="0"/>
    <n v="0"/>
    <n v="0"/>
    <n v="0"/>
    <n v="0"/>
    <n v="0"/>
    <n v="0"/>
    <n v="0"/>
    <n v="0"/>
    <n v="0"/>
    <n v="0"/>
    <n v="0"/>
    <n v="0"/>
    <n v="0"/>
    <s v="Strategic Planning/Nine Elms"/>
    <x v="0"/>
    <x v="1"/>
    <x v="1"/>
    <x v="0"/>
    <x v="0"/>
    <x v="0"/>
    <m/>
    <x v="0"/>
    <s v="Y"/>
    <n v="12"/>
    <m/>
    <n v="0"/>
    <n v="279"/>
    <n v="0"/>
    <n v="0"/>
    <n v="0"/>
    <n v="0"/>
    <n v="0"/>
    <n v="0"/>
    <n v="0"/>
    <n v="0"/>
    <n v="0"/>
    <n v="0"/>
    <n v="0"/>
    <n v="0"/>
    <n v="0"/>
    <n v="0"/>
    <n v="0"/>
    <n v="0"/>
    <n v="0"/>
    <n v="0"/>
    <n v="0"/>
    <n v="279"/>
    <n v="279"/>
  </r>
  <r>
    <n v="4718"/>
    <x v="2"/>
    <s v="2015/4499"/>
    <s v="Embassy Gardens"/>
    <s v="Main Site, Ballymore, Ponton Road"/>
    <s v="A05"/>
    <n v="529643"/>
    <n v="177593"/>
    <x v="6"/>
    <d v="2016-09-01T00:00:00"/>
    <m/>
    <n v="0"/>
    <n v="251"/>
    <n v="251"/>
    <n v="530"/>
    <n v="530"/>
    <s v="Y"/>
    <s v="'Submission of revised Reserved Matters details (scale, layout, access, external appearance and landscaping) for plots A03, A04 and A05 of Phase 2, to allow revision to internal reconfiguration of private sale units in plots A03 and A05, landscaping amendments, details of orangery at roof level and minor façade revision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S73"/>
    <d v="2015-08-13T00:00:00"/>
    <d v="2017-05-25T00:00:00"/>
    <x v="1"/>
    <s v="Nil"/>
    <m/>
    <s v="BF"/>
    <x v="0"/>
    <x v="1"/>
    <x v="1"/>
    <n v="0"/>
    <d v="2016-09-01T00:00:00"/>
    <x v="0"/>
    <m/>
    <x v="0"/>
    <s v="P"/>
    <s v="2.1.16"/>
    <m/>
    <n v="251"/>
    <m/>
    <n v="25"/>
    <m/>
    <n v="0"/>
    <n v="20"/>
    <n v="47"/>
    <n v="160"/>
    <n v="23"/>
    <n v="1"/>
    <n v="0"/>
    <n v="0"/>
    <n v="20"/>
    <n v="47"/>
    <n v="160"/>
    <n v="23"/>
    <n v="1"/>
    <n v="0"/>
    <n v="0"/>
    <n v="0"/>
    <n v="0"/>
    <n v="0"/>
    <n v="0"/>
    <n v="0"/>
    <n v="0"/>
    <n v="0"/>
    <n v="0"/>
    <n v="0"/>
    <n v="0"/>
    <n v="0"/>
    <n v="0"/>
    <n v="0"/>
    <s v="Strategic Planning/Nine Elms"/>
    <x v="0"/>
    <x v="1"/>
    <x v="1"/>
    <x v="0"/>
    <x v="0"/>
    <x v="0"/>
    <m/>
    <x v="0"/>
    <s v="Y"/>
    <n v="12"/>
    <m/>
    <n v="0"/>
    <n v="251"/>
    <n v="0"/>
    <n v="0"/>
    <n v="0"/>
    <n v="0"/>
    <n v="0"/>
    <n v="0"/>
    <n v="0"/>
    <n v="0"/>
    <n v="0"/>
    <n v="0"/>
    <n v="0"/>
    <n v="0"/>
    <n v="0"/>
    <n v="0"/>
    <n v="0"/>
    <n v="0"/>
    <n v="0"/>
    <n v="0"/>
    <n v="0"/>
    <n v="251"/>
    <n v="251"/>
  </r>
  <r>
    <n v="4718"/>
    <x v="2"/>
    <s v="2015/5658"/>
    <s v="Embassy Gardens"/>
    <s v="Main Site, Ballymore, Ponton Road"/>
    <s v="A01"/>
    <n v="529643"/>
    <n v="177593"/>
    <x v="6"/>
    <d v="2017-08-14T00:00:00"/>
    <m/>
    <n v="0"/>
    <n v="207"/>
    <n v="207"/>
    <n v="468"/>
    <n v="468"/>
    <s v="Y"/>
    <s v="Proposal seeks amendments to the approved development specification and condition 10; revised ground uses parameter plan; revised vertical parameter plan and revised horizontal parameter plan."/>
    <s v="S73"/>
    <d v="2015-10-06T00:00:00"/>
    <d v="2017-05-10T00:00:00"/>
    <x v="1"/>
    <s v="Nil"/>
    <m/>
    <s v="BF"/>
    <x v="0"/>
    <x v="1"/>
    <x v="1"/>
    <n v="0.277999997138977"/>
    <d v="2017-08-14T00:00:00"/>
    <x v="1"/>
    <m/>
    <x v="0"/>
    <s v="P"/>
    <s v="2.1.16"/>
    <m/>
    <n v="207"/>
    <m/>
    <n v="21"/>
    <m/>
    <n v="18"/>
    <n v="49"/>
    <n v="124"/>
    <n v="16"/>
    <n v="0"/>
    <n v="0"/>
    <n v="0"/>
    <n v="18"/>
    <n v="49"/>
    <n v="124"/>
    <n v="16"/>
    <n v="0"/>
    <n v="0"/>
    <n v="0"/>
    <n v="0"/>
    <n v="0"/>
    <n v="0"/>
    <n v="0"/>
    <n v="0"/>
    <n v="0"/>
    <n v="0"/>
    <n v="0"/>
    <n v="0"/>
    <n v="0"/>
    <n v="0"/>
    <n v="0"/>
    <n v="0"/>
    <n v="0"/>
    <s v="Strategic Planning/Nine Elms"/>
    <x v="0"/>
    <x v="1"/>
    <x v="1"/>
    <x v="0"/>
    <x v="0"/>
    <x v="0"/>
    <m/>
    <x v="0"/>
    <s v="Y"/>
    <n v="12"/>
    <m/>
    <n v="0"/>
    <n v="0"/>
    <n v="0"/>
    <n v="0"/>
    <n v="0"/>
    <n v="0"/>
    <n v="0"/>
    <n v="207"/>
    <n v="0"/>
    <n v="0"/>
    <n v="0"/>
    <n v="0"/>
    <n v="0"/>
    <n v="0"/>
    <n v="0"/>
    <n v="0"/>
    <n v="0"/>
    <n v="0"/>
    <n v="0"/>
    <n v="0"/>
    <n v="0"/>
    <n v="0"/>
    <n v="207"/>
  </r>
  <r>
    <n v="4718"/>
    <x v="2"/>
    <s v="2015/5658"/>
    <s v="Embassy Gardens"/>
    <s v="Main Site, Ballymore, Ponton Road"/>
    <s v="A07"/>
    <n v="529643"/>
    <n v="177593"/>
    <x v="6"/>
    <d v="2017-08-14T00:00:00"/>
    <m/>
    <n v="0"/>
    <n v="222"/>
    <n v="222"/>
    <n v="468"/>
    <n v="468"/>
    <s v="Y"/>
    <s v="Proposal seeks amendments to the approved development specification and condition 10; revised ground uses parameter plan; revised vertical parameter plan and revised horizontal parameter plan."/>
    <s v="S73"/>
    <d v="2015-10-06T00:00:00"/>
    <d v="2017-05-10T00:00:00"/>
    <x v="1"/>
    <s v="Nil"/>
    <m/>
    <s v="BF"/>
    <x v="0"/>
    <x v="1"/>
    <x v="1"/>
    <n v="0.29699999094009399"/>
    <m/>
    <x v="0"/>
    <m/>
    <x v="0"/>
    <s v="P"/>
    <s v="2.1.16"/>
    <m/>
    <n v="222"/>
    <m/>
    <n v="22"/>
    <m/>
    <n v="8"/>
    <n v="27"/>
    <n v="159"/>
    <n v="14"/>
    <n v="14"/>
    <n v="0"/>
    <n v="0"/>
    <n v="8"/>
    <n v="27"/>
    <n v="159"/>
    <n v="14"/>
    <n v="14"/>
    <n v="0"/>
    <n v="0"/>
    <n v="0"/>
    <n v="0"/>
    <n v="0"/>
    <n v="0"/>
    <n v="0"/>
    <n v="0"/>
    <n v="0"/>
    <n v="0"/>
    <n v="0"/>
    <n v="0"/>
    <n v="0"/>
    <n v="0"/>
    <n v="0"/>
    <n v="0"/>
    <s v="Strategic Planning/Nine Elms"/>
    <x v="0"/>
    <x v="1"/>
    <x v="1"/>
    <x v="0"/>
    <x v="0"/>
    <x v="0"/>
    <m/>
    <x v="0"/>
    <s v="Y"/>
    <n v="12"/>
    <m/>
    <n v="0"/>
    <n v="0"/>
    <n v="0"/>
    <n v="0"/>
    <n v="0"/>
    <n v="0"/>
    <n v="0"/>
    <n v="222"/>
    <n v="0"/>
    <n v="0"/>
    <n v="0"/>
    <n v="0"/>
    <n v="0"/>
    <n v="0"/>
    <n v="0"/>
    <n v="0"/>
    <n v="0"/>
    <n v="0"/>
    <n v="0"/>
    <n v="0"/>
    <n v="0"/>
    <n v="0"/>
    <n v="222"/>
  </r>
  <r>
    <n v="4718"/>
    <x v="2"/>
    <s v="2015/5658"/>
    <s v="Embassy Gardens"/>
    <s v="Main Site, Ballymore, Ponton Road"/>
    <s v="A07"/>
    <n v="529643"/>
    <n v="177593"/>
    <x v="6"/>
    <d v="2017-08-14T00:00:00"/>
    <m/>
    <n v="0"/>
    <n v="20"/>
    <n v="20"/>
    <n v="468"/>
    <n v="468"/>
    <s v="Y"/>
    <s v="Proposal seeks amendments to the approved development specification and condition 10; revised ground uses parameter plan; revised vertical parameter plan and revised horizontal parameter plan."/>
    <s v="S73"/>
    <d v="2015-10-06T00:00:00"/>
    <d v="2017-05-10T00:00:00"/>
    <x v="1"/>
    <s v="Nil"/>
    <m/>
    <s v="BF"/>
    <x v="0"/>
    <x v="1"/>
    <x v="1"/>
    <n v="2.70000007003546E-2"/>
    <d v="2018-03-31T00:00:00"/>
    <x v="1"/>
    <m/>
    <x v="1"/>
    <s v="HAIU"/>
    <s v="2.1.16"/>
    <m/>
    <n v="20"/>
    <m/>
    <n v="2"/>
    <m/>
    <n v="0"/>
    <n v="7"/>
    <n v="9"/>
    <n v="4"/>
    <n v="0"/>
    <n v="0"/>
    <n v="0"/>
    <n v="0"/>
    <n v="7"/>
    <n v="9"/>
    <n v="4"/>
    <n v="0"/>
    <n v="0"/>
    <n v="0"/>
    <n v="0"/>
    <n v="0"/>
    <n v="0"/>
    <n v="0"/>
    <n v="0"/>
    <n v="0"/>
    <n v="0"/>
    <n v="0"/>
    <n v="0"/>
    <n v="0"/>
    <n v="0"/>
    <n v="0"/>
    <n v="0"/>
    <n v="0"/>
    <s v="Strategic Planning/Nine Elms"/>
    <x v="0"/>
    <x v="1"/>
    <x v="1"/>
    <x v="0"/>
    <x v="0"/>
    <x v="0"/>
    <m/>
    <x v="0"/>
    <s v="Y"/>
    <n v="12"/>
    <m/>
    <n v="0"/>
    <n v="0"/>
    <n v="0"/>
    <n v="0"/>
    <n v="0"/>
    <n v="0"/>
    <n v="0"/>
    <n v="20"/>
    <n v="0"/>
    <n v="0"/>
    <n v="0"/>
    <n v="0"/>
    <n v="0"/>
    <n v="0"/>
    <n v="0"/>
    <n v="0"/>
    <n v="0"/>
    <n v="0"/>
    <n v="0"/>
    <n v="0"/>
    <n v="0"/>
    <n v="0"/>
    <n v="20"/>
  </r>
  <r>
    <n v="4718"/>
    <x v="2"/>
    <s v="2015/5658"/>
    <s v="Embassy Gardens"/>
    <s v="Main Site, Ballymore, Ponton Road"/>
    <s v="A07"/>
    <n v="529643"/>
    <n v="177593"/>
    <x v="6"/>
    <d v="2017-08-14T00:00:00"/>
    <m/>
    <n v="0"/>
    <n v="19"/>
    <n v="19"/>
    <n v="468"/>
    <n v="468"/>
    <s v="Y"/>
    <s v="Proposal seeks amendments to the approved development specification and condition 10; revised ground uses parameter plan; revised vertical parameter plan and revised horizontal parameter plan."/>
    <s v="S73"/>
    <d v="2015-10-06T00:00:00"/>
    <d v="2017-05-10T00:00:00"/>
    <x v="1"/>
    <s v="Nil"/>
    <m/>
    <s v="BF"/>
    <x v="0"/>
    <x v="1"/>
    <x v="1"/>
    <n v="2.60000005364418E-2"/>
    <m/>
    <x v="0"/>
    <m/>
    <x v="2"/>
    <s v="HAAR"/>
    <s v="2.1.16"/>
    <m/>
    <n v="19"/>
    <m/>
    <n v="2"/>
    <m/>
    <n v="0"/>
    <n v="3"/>
    <n v="6"/>
    <n v="7"/>
    <n v="3"/>
    <n v="0"/>
    <n v="0"/>
    <n v="0"/>
    <n v="3"/>
    <n v="6"/>
    <n v="7"/>
    <n v="3"/>
    <n v="0"/>
    <n v="0"/>
    <n v="0"/>
    <n v="0"/>
    <n v="0"/>
    <n v="0"/>
    <n v="0"/>
    <n v="0"/>
    <n v="0"/>
    <n v="0"/>
    <n v="0"/>
    <n v="0"/>
    <n v="0"/>
    <n v="0"/>
    <n v="0"/>
    <n v="0"/>
    <s v="Strategic Planning/Nine Elms"/>
    <x v="0"/>
    <x v="1"/>
    <x v="1"/>
    <x v="0"/>
    <x v="0"/>
    <x v="0"/>
    <m/>
    <x v="0"/>
    <s v="Y"/>
    <n v="12"/>
    <m/>
    <n v="0"/>
    <n v="0"/>
    <n v="0"/>
    <n v="0"/>
    <n v="0"/>
    <n v="0"/>
    <n v="0"/>
    <n v="19"/>
    <n v="0"/>
    <n v="0"/>
    <n v="0"/>
    <n v="0"/>
    <n v="0"/>
    <n v="0"/>
    <n v="0"/>
    <n v="0"/>
    <n v="0"/>
    <n v="0"/>
    <n v="0"/>
    <n v="0"/>
    <n v="0"/>
    <n v="0"/>
    <n v="19"/>
  </r>
  <r>
    <n v="4722"/>
    <x v="2"/>
    <s v="2014/0195"/>
    <m/>
    <s v="172-176 Balham High Road"/>
    <m/>
    <n v="528478"/>
    <n v="173353"/>
    <x v="11"/>
    <d v="2017-03-31T00:00:00"/>
    <m/>
    <n v="0"/>
    <n v="8"/>
    <n v="8"/>
    <n v="8"/>
    <n v="8"/>
    <m/>
    <s v="Demolition of existing two-storey building at 176 Balham High Road and replacement with four-storey building, in connection with use as retail unit (Class A1, 570sqm ) at ground floor and basement, 24 hour Gymnasium  (Class D2 leisure and assembly use) at first floor level linking with the first floor level with 174-176 and 8 residential units."/>
    <s v="PF"/>
    <d v="2014-01-29T00:00:00"/>
    <d v="2015-04-20T00:00:00"/>
    <x v="0"/>
    <s v="Nil"/>
    <m/>
    <s v="BF"/>
    <x v="0"/>
    <x v="0"/>
    <x v="0"/>
    <n v="0.112999998033047"/>
    <d v="2017-03-31T00:00:00"/>
    <x v="0"/>
    <m/>
    <x v="0"/>
    <s v="P"/>
    <m/>
    <m/>
    <n v="8"/>
    <m/>
    <n v="6"/>
    <m/>
    <n v="0"/>
    <n v="3"/>
    <n v="5"/>
    <n v="0"/>
    <n v="0"/>
    <n v="0"/>
    <n v="0"/>
    <n v="0"/>
    <n v="3"/>
    <n v="5"/>
    <n v="0"/>
    <n v="0"/>
    <n v="0"/>
    <n v="0"/>
    <n v="0"/>
    <n v="0"/>
    <n v="0"/>
    <n v="0"/>
    <n v="0"/>
    <n v="0"/>
    <n v="0"/>
    <n v="0"/>
    <n v="0"/>
    <n v="0"/>
    <n v="0"/>
    <n v="0"/>
    <n v="0"/>
    <n v="0"/>
    <s v="East"/>
    <x v="2"/>
    <x v="0"/>
    <x v="1"/>
    <x v="0"/>
    <x v="0"/>
    <x v="0"/>
    <m/>
    <x v="0"/>
    <s v="Y"/>
    <s v="2A"/>
    <m/>
    <n v="0"/>
    <n v="8"/>
    <n v="0"/>
    <n v="0"/>
    <n v="0"/>
    <n v="0"/>
    <n v="0"/>
    <n v="0"/>
    <n v="0"/>
    <n v="0"/>
    <n v="0"/>
    <n v="0"/>
    <n v="0"/>
    <n v="0"/>
    <n v="0"/>
    <n v="0"/>
    <n v="0"/>
    <n v="0"/>
    <n v="0"/>
    <n v="0"/>
    <n v="0"/>
    <n v="8"/>
    <n v="8"/>
  </r>
  <r>
    <n v="4746"/>
    <x v="2"/>
    <s v="2013/2746"/>
    <m/>
    <s v="Garages adjacent to, 125 Pendle Road"/>
    <m/>
    <n v="528869"/>
    <n v="170872"/>
    <x v="12"/>
    <d v="2017-03-31T00:00:00"/>
    <m/>
    <n v="0"/>
    <n v="2"/>
    <n v="2"/>
    <n v="2"/>
    <n v="2"/>
    <m/>
    <s v="Erection of two semi-detached dwellings with private gardens following the demolition of existing garages."/>
    <s v="PF"/>
    <d v="2013-06-05T00:00:00"/>
    <d v="2014-04-16T00:00:00"/>
    <x v="0"/>
    <s v="Nil"/>
    <m/>
    <s v="BF"/>
    <x v="0"/>
    <x v="0"/>
    <x v="0"/>
    <n v="3.29999998211861E-2"/>
    <d v="2017-03-31T00:00:00"/>
    <x v="0"/>
    <m/>
    <x v="0"/>
    <s v="P"/>
    <m/>
    <m/>
    <n v="0"/>
    <m/>
    <n v="0"/>
    <m/>
    <n v="0"/>
    <n v="0"/>
    <n v="0"/>
    <n v="0"/>
    <n v="0"/>
    <n v="2"/>
    <n v="0"/>
    <n v="0"/>
    <n v="0"/>
    <n v="0"/>
    <n v="0"/>
    <n v="0"/>
    <n v="0"/>
    <n v="0"/>
    <n v="0"/>
    <n v="0"/>
    <n v="0"/>
    <n v="0"/>
    <n v="0"/>
    <n v="2"/>
    <n v="0"/>
    <n v="0"/>
    <n v="0"/>
    <n v="0"/>
    <n v="0"/>
    <n v="0"/>
    <n v="0"/>
    <n v="0"/>
    <s v="East"/>
    <x v="0"/>
    <x v="0"/>
    <x v="1"/>
    <x v="0"/>
    <x v="0"/>
    <x v="0"/>
    <m/>
    <x v="0"/>
    <s v="Y"/>
    <s v="2A"/>
    <m/>
    <n v="0"/>
    <n v="2"/>
    <n v="0"/>
    <n v="0"/>
    <n v="0"/>
    <n v="0"/>
    <n v="0"/>
    <n v="0"/>
    <n v="0"/>
    <n v="0"/>
    <n v="0"/>
    <n v="0"/>
    <n v="0"/>
    <n v="0"/>
    <n v="0"/>
    <n v="0"/>
    <n v="0"/>
    <n v="0"/>
    <n v="0"/>
    <n v="0"/>
    <n v="0"/>
    <n v="2"/>
    <n v="2"/>
  </r>
  <r>
    <n v="4751"/>
    <x v="2"/>
    <s v="2015/6064"/>
    <m/>
    <s v="Garages adjoining 2, Sutherland Grove"/>
    <m/>
    <n v="524675"/>
    <n v="173310"/>
    <x v="19"/>
    <d v="2017-03-31T00:00:00"/>
    <m/>
    <n v="0"/>
    <n v="1"/>
    <n v="1"/>
    <n v="1"/>
    <n v="1"/>
    <m/>
    <s v="Demolition of existing garages and erection of single-storey 2-bedroom house with accommodation at basement level including erection of a bike and bin store in front garden."/>
    <s v="PF"/>
    <d v="2015-12-01T00:00:00"/>
    <d v="2016-02-29T00:00:00"/>
    <x v="0"/>
    <s v="Nil"/>
    <m/>
    <s v="BF"/>
    <x v="0"/>
    <x v="0"/>
    <x v="0"/>
    <n v="7.0000002160668399E-3"/>
    <d v="2017-03-31T00:00:00"/>
    <x v="0"/>
    <m/>
    <x v="0"/>
    <s v="P"/>
    <m/>
    <m/>
    <n v="1"/>
    <m/>
    <n v="0"/>
    <m/>
    <n v="0"/>
    <n v="0"/>
    <n v="1"/>
    <n v="0"/>
    <n v="0"/>
    <n v="0"/>
    <n v="0"/>
    <n v="0"/>
    <n v="0"/>
    <n v="0"/>
    <n v="0"/>
    <n v="0"/>
    <n v="0"/>
    <n v="0"/>
    <n v="0"/>
    <n v="0"/>
    <n v="1"/>
    <n v="0"/>
    <n v="0"/>
    <n v="0"/>
    <n v="0"/>
    <n v="0"/>
    <n v="0"/>
    <n v="0"/>
    <n v="0"/>
    <n v="0"/>
    <n v="0"/>
    <n v="0"/>
    <s v="West"/>
    <x v="0"/>
    <x v="0"/>
    <x v="1"/>
    <x v="0"/>
    <x v="0"/>
    <x v="0"/>
    <m/>
    <x v="0"/>
    <s v="Y"/>
    <s v="2A"/>
    <m/>
    <n v="0"/>
    <n v="1"/>
    <n v="0"/>
    <n v="0"/>
    <n v="0"/>
    <n v="0"/>
    <n v="0"/>
    <n v="0"/>
    <n v="0"/>
    <n v="0"/>
    <n v="0"/>
    <n v="0"/>
    <n v="0"/>
    <n v="0"/>
    <n v="0"/>
    <n v="0"/>
    <n v="0"/>
    <n v="0"/>
    <n v="0"/>
    <n v="0"/>
    <n v="0"/>
    <n v="1"/>
    <n v="1"/>
  </r>
  <r>
    <n v="4757"/>
    <x v="2"/>
    <s v="2011/4771"/>
    <m/>
    <s v="10 Stonells Road"/>
    <m/>
    <n v="527783"/>
    <n v="174496"/>
    <x v="14"/>
    <d v="2014-01-27T00:00:00"/>
    <m/>
    <n v="1"/>
    <n v="1"/>
    <n v="0"/>
    <n v="1"/>
    <n v="0"/>
    <m/>
    <s v="Demolition of existing mid-terrace house and construction of three storey house with basement excavation of entire plot, rear terrace at 2nd floor level,  2 x rear lightwells  and single storey annex in rear garden"/>
    <s v="PF"/>
    <d v="2011-12-05T00:00:00"/>
    <d v="2012-02-22T00:00:00"/>
    <x v="0"/>
    <s v="Nil"/>
    <m/>
    <s v="BF"/>
    <x v="0"/>
    <x v="0"/>
    <x v="0"/>
    <n v="9.9999997764825804E-3"/>
    <d v="2014-01-27T00:00:00"/>
    <x v="0"/>
    <m/>
    <x v="0"/>
    <s v="P"/>
    <m/>
    <m/>
    <n v="0"/>
    <m/>
    <n v="0"/>
    <m/>
    <n v="0"/>
    <n v="0"/>
    <n v="-1"/>
    <n v="0"/>
    <n v="1"/>
    <n v="0"/>
    <n v="0"/>
    <n v="0"/>
    <n v="0"/>
    <n v="0"/>
    <n v="0"/>
    <n v="0"/>
    <n v="0"/>
    <n v="0"/>
    <n v="0"/>
    <n v="0"/>
    <n v="-1"/>
    <n v="0"/>
    <n v="1"/>
    <n v="0"/>
    <n v="0"/>
    <n v="0"/>
    <n v="0"/>
    <n v="0"/>
    <n v="0"/>
    <n v="0"/>
    <n v="0"/>
    <n v="0"/>
    <s v="East"/>
    <x v="0"/>
    <x v="0"/>
    <x v="1"/>
    <x v="0"/>
    <x v="0"/>
    <x v="0"/>
    <m/>
    <x v="0"/>
    <s v="Y"/>
    <s v="2A"/>
    <m/>
    <n v="0"/>
    <n v="0"/>
    <n v="0"/>
    <n v="0"/>
    <n v="0"/>
    <n v="0"/>
    <n v="0"/>
    <n v="0"/>
    <n v="0"/>
    <n v="0"/>
    <n v="0"/>
    <n v="0"/>
    <n v="0"/>
    <n v="0"/>
    <n v="0"/>
    <n v="0"/>
    <n v="0"/>
    <n v="0"/>
    <n v="0"/>
    <n v="0"/>
    <n v="0"/>
    <n v="0"/>
    <n v="0"/>
  </r>
  <r>
    <n v="4801"/>
    <x v="2"/>
    <s v="2014/4515"/>
    <m/>
    <s v="50 Thessaly Road"/>
    <m/>
    <n v="529529"/>
    <n v="176787"/>
    <x v="6"/>
    <d v="2015-03-31T00:00:00"/>
    <m/>
    <n v="0"/>
    <n v="15"/>
    <n v="15"/>
    <n v="15"/>
    <n v="15"/>
    <s v="Y"/>
    <s v="Demolition of existing buildings and construction of a new development consisting of a four-storey block to provide 8no. flats, and 7no. two-storey (plus roof space) family houses, all for affordable rent.  Associated landscaping, car parking, bicycle and refuse storage."/>
    <s v="PF"/>
    <d v="2014-08-21T00:00:00"/>
    <d v="2014-11-10T00:00:00"/>
    <x v="0"/>
    <s v="Nil"/>
    <m/>
    <s v="BF"/>
    <x v="3"/>
    <x v="3"/>
    <x v="1"/>
    <n v="0.15099999308586101"/>
    <d v="2015-03-31T00:00:00"/>
    <x v="0"/>
    <m/>
    <x v="2"/>
    <s v="C"/>
    <m/>
    <m/>
    <n v="15"/>
    <m/>
    <n v="2"/>
    <m/>
    <n v="0"/>
    <n v="1"/>
    <n v="7"/>
    <n v="3"/>
    <n v="4"/>
    <n v="0"/>
    <n v="0"/>
    <n v="0"/>
    <n v="1"/>
    <n v="7"/>
    <n v="0"/>
    <n v="0"/>
    <n v="0"/>
    <n v="0"/>
    <n v="0"/>
    <n v="0"/>
    <n v="0"/>
    <n v="3"/>
    <n v="4"/>
    <n v="0"/>
    <n v="0"/>
    <n v="0"/>
    <n v="0"/>
    <n v="0"/>
    <n v="0"/>
    <n v="0"/>
    <n v="0"/>
    <n v="0"/>
    <s v="Strategic Planning/Nine Elms"/>
    <x v="0"/>
    <x v="1"/>
    <x v="1"/>
    <x v="0"/>
    <x v="0"/>
    <x v="0"/>
    <m/>
    <x v="0"/>
    <s v="Y"/>
    <n v="12"/>
    <m/>
    <n v="0"/>
    <n v="15"/>
    <n v="0"/>
    <n v="0"/>
    <n v="0"/>
    <n v="0"/>
    <n v="0"/>
    <n v="0"/>
    <n v="0"/>
    <n v="0"/>
    <n v="0"/>
    <n v="0"/>
    <n v="0"/>
    <n v="0"/>
    <n v="0"/>
    <n v="0"/>
    <n v="0"/>
    <n v="0"/>
    <n v="0"/>
    <n v="0"/>
    <n v="0"/>
    <n v="15"/>
    <n v="15"/>
  </r>
  <r>
    <n v="4877"/>
    <x v="2"/>
    <s v="2014/3467"/>
    <m/>
    <s v="Site adjoining 60, Aliwal Road"/>
    <m/>
    <n v="527228"/>
    <n v="175145"/>
    <x v="14"/>
    <d v="2015-08-12T00:00:00"/>
    <m/>
    <n v="0"/>
    <n v="1"/>
    <n v="1"/>
    <n v="1"/>
    <n v="1"/>
    <m/>
    <s v="Demolition of two single storey prefabricated concrete lock up storage units and excavation to enable erection of 1 x 3 bedroom three-storey house with office (as live/work unit) included at basement level."/>
    <s v="PF"/>
    <d v="2014-06-18T00:00:00"/>
    <d v="2014-10-08T00:00:00"/>
    <x v="0"/>
    <s v="Nil"/>
    <m/>
    <s v="BF"/>
    <x v="0"/>
    <x v="0"/>
    <x v="0"/>
    <n v="1.7999999225139601E-2"/>
    <d v="2015-08-12T00:00:00"/>
    <x v="0"/>
    <m/>
    <x v="0"/>
    <s v="P"/>
    <m/>
    <m/>
    <n v="0"/>
    <m/>
    <n v="0"/>
    <m/>
    <n v="0"/>
    <n v="0"/>
    <n v="0"/>
    <n v="1"/>
    <n v="0"/>
    <n v="0"/>
    <n v="0"/>
    <n v="0"/>
    <n v="0"/>
    <n v="0"/>
    <n v="0"/>
    <n v="0"/>
    <n v="0"/>
    <n v="0"/>
    <n v="0"/>
    <n v="0"/>
    <n v="0"/>
    <n v="0"/>
    <n v="0"/>
    <n v="0"/>
    <n v="0"/>
    <n v="0"/>
    <n v="0"/>
    <n v="0"/>
    <n v="1"/>
    <n v="0"/>
    <n v="0"/>
    <n v="0"/>
    <s v="East"/>
    <x v="0"/>
    <x v="0"/>
    <x v="1"/>
    <x v="0"/>
    <x v="0"/>
    <x v="0"/>
    <m/>
    <x v="0"/>
    <s v="Y"/>
    <s v="2A"/>
    <m/>
    <n v="0"/>
    <n v="1"/>
    <n v="0"/>
    <n v="0"/>
    <n v="0"/>
    <n v="0"/>
    <n v="0"/>
    <n v="0"/>
    <n v="0"/>
    <n v="0"/>
    <n v="0"/>
    <n v="0"/>
    <n v="0"/>
    <n v="0"/>
    <n v="0"/>
    <n v="0"/>
    <n v="0"/>
    <n v="0"/>
    <n v="0"/>
    <n v="0"/>
    <n v="0"/>
    <n v="1"/>
    <n v="1"/>
  </r>
  <r>
    <n v="4945"/>
    <x v="2"/>
    <s v="2015/3449"/>
    <m/>
    <s v="3 &amp; 4 The Boulevard, Balham High Road"/>
    <m/>
    <n v="528361"/>
    <n v="172945"/>
    <x v="3"/>
    <d v="2018-03-31T00:00:00"/>
    <m/>
    <n v="1"/>
    <n v="2"/>
    <n v="1"/>
    <n v="2"/>
    <n v="1"/>
    <m/>
    <s v="Alterations including erection of a mansard roof extension to the main rear roofs of both properties in connection with the creation of one additional flat in each building."/>
    <s v="PF"/>
    <d v="2015-09-07T00:00:00"/>
    <d v="2016-01-08T00:00:00"/>
    <x v="0"/>
    <s v="Nil"/>
    <m/>
    <s v="BF"/>
    <x v="2"/>
    <x v="0"/>
    <x v="3"/>
    <n v="1.7999999225139601E-2"/>
    <d v="2018-03-31T00:00:00"/>
    <x v="1"/>
    <m/>
    <x v="0"/>
    <s v="P"/>
    <m/>
    <m/>
    <n v="0"/>
    <m/>
    <n v="0"/>
    <m/>
    <n v="-1"/>
    <n v="2"/>
    <n v="0"/>
    <n v="0"/>
    <n v="0"/>
    <n v="0"/>
    <n v="0"/>
    <n v="-1"/>
    <n v="2"/>
    <n v="0"/>
    <n v="0"/>
    <n v="0"/>
    <n v="0"/>
    <n v="0"/>
    <n v="0"/>
    <n v="0"/>
    <n v="0"/>
    <n v="0"/>
    <n v="0"/>
    <n v="0"/>
    <n v="0"/>
    <n v="0"/>
    <n v="0"/>
    <n v="0"/>
    <n v="0"/>
    <n v="0"/>
    <n v="0"/>
    <n v="0"/>
    <s v="East"/>
    <x v="0"/>
    <x v="0"/>
    <x v="1"/>
    <x v="0"/>
    <x v="0"/>
    <x v="0"/>
    <m/>
    <x v="0"/>
    <s v="Y"/>
    <s v="8B"/>
    <m/>
    <n v="0"/>
    <n v="0.5"/>
    <n v="0.5"/>
    <n v="0"/>
    <n v="0"/>
    <n v="0"/>
    <n v="0"/>
    <n v="0"/>
    <n v="0"/>
    <n v="0"/>
    <n v="0"/>
    <n v="0"/>
    <n v="0"/>
    <n v="0"/>
    <n v="0"/>
    <n v="0"/>
    <n v="0"/>
    <n v="0"/>
    <n v="0"/>
    <n v="0"/>
    <n v="0"/>
    <n v="1"/>
    <n v="1"/>
  </r>
  <r>
    <n v="4978"/>
    <x v="2"/>
    <s v="2016/2986"/>
    <m/>
    <s v="The Mission Hall, Walkers Place"/>
    <m/>
    <n v="523988"/>
    <n v="175472"/>
    <x v="13"/>
    <d v="2017-03-31T00:00:00"/>
    <m/>
    <n v="0"/>
    <n v="6"/>
    <n v="6"/>
    <n v="6"/>
    <n v="6"/>
    <m/>
    <s v="Demolition of existing building and erection of a new four-storey plus basement level building for use as either class B1 (office use) or class D1 (non residential institutions) at rear part of ground floor and lower ground floor, class A3 (cafe) including external seating area in front part ground floor, and 6 x 2-bed flats on the first to third floors, with associated terraces/balconies."/>
    <s v="PF"/>
    <d v="2016-06-08T00:00:00"/>
    <d v="2016-09-15T00:00:00"/>
    <x v="0"/>
    <s v="Nil"/>
    <m/>
    <s v="BF"/>
    <x v="0"/>
    <x v="0"/>
    <x v="0"/>
    <n v="6.1000000685453401E-2"/>
    <d v="2017-03-31T00:00:00"/>
    <x v="0"/>
    <m/>
    <x v="0"/>
    <s v="P"/>
    <m/>
    <m/>
    <n v="6"/>
    <m/>
    <n v="2"/>
    <m/>
    <n v="0"/>
    <n v="0"/>
    <n v="6"/>
    <n v="0"/>
    <n v="0"/>
    <n v="0"/>
    <n v="0"/>
    <n v="0"/>
    <n v="0"/>
    <n v="6"/>
    <n v="0"/>
    <n v="0"/>
    <n v="0"/>
    <n v="0"/>
    <n v="0"/>
    <n v="0"/>
    <n v="0"/>
    <n v="0"/>
    <n v="0"/>
    <n v="0"/>
    <n v="0"/>
    <n v="0"/>
    <n v="0"/>
    <n v="0"/>
    <n v="0"/>
    <n v="0"/>
    <n v="0"/>
    <n v="0"/>
    <s v="West"/>
    <x v="3"/>
    <x v="0"/>
    <x v="1"/>
    <x v="0"/>
    <x v="0"/>
    <x v="0"/>
    <m/>
    <x v="0"/>
    <s v="Y"/>
    <s v="2A"/>
    <m/>
    <n v="0"/>
    <n v="6"/>
    <n v="0"/>
    <n v="0"/>
    <n v="0"/>
    <n v="0"/>
    <n v="0"/>
    <n v="0"/>
    <n v="0"/>
    <n v="0"/>
    <n v="0"/>
    <n v="0"/>
    <n v="0"/>
    <n v="0"/>
    <n v="0"/>
    <n v="0"/>
    <n v="0"/>
    <n v="0"/>
    <n v="0"/>
    <n v="0"/>
    <n v="0"/>
    <n v="6"/>
    <n v="6"/>
  </r>
  <r>
    <n v="5109"/>
    <x v="2"/>
    <s v="2016/5770"/>
    <m/>
    <s v="1A Garratt Terrace, 58-62 Tooting High Street"/>
    <m/>
    <n v="527405"/>
    <n v="171440"/>
    <x v="4"/>
    <d v="2018-03-31T00:00:00"/>
    <m/>
    <n v="0"/>
    <n v="1"/>
    <n v="1"/>
    <n v="1"/>
    <n v="1"/>
    <m/>
    <s v="Alterations including erection of part single, part two-storey side/rear extension (including basement extension and rear lightwell) in connection with erection of a 1x1-bedroom unit on Garratt Terrace frontage."/>
    <s v="PF"/>
    <d v="2016-10-03T00:00:00"/>
    <d v="2016-11-28T00:00:00"/>
    <x v="0"/>
    <s v="Nil"/>
    <m/>
    <s v="BF"/>
    <x v="0"/>
    <x v="0"/>
    <x v="0"/>
    <n v="2.5000000372528999E-2"/>
    <d v="2018-03-31T00:00:00"/>
    <x v="1"/>
    <m/>
    <x v="0"/>
    <s v="P"/>
    <m/>
    <m/>
    <n v="1"/>
    <m/>
    <n v="0"/>
    <m/>
    <n v="0"/>
    <n v="1"/>
    <n v="0"/>
    <n v="0"/>
    <n v="0"/>
    <n v="0"/>
    <n v="0"/>
    <n v="0"/>
    <n v="0"/>
    <n v="0"/>
    <n v="0"/>
    <n v="0"/>
    <n v="0"/>
    <n v="0"/>
    <n v="0"/>
    <n v="1"/>
    <n v="0"/>
    <n v="0"/>
    <n v="0"/>
    <n v="0"/>
    <n v="0"/>
    <n v="0"/>
    <n v="0"/>
    <n v="0"/>
    <n v="0"/>
    <n v="0"/>
    <n v="0"/>
    <n v="0"/>
    <s v="East"/>
    <x v="1"/>
    <x v="0"/>
    <x v="1"/>
    <x v="0"/>
    <x v="0"/>
    <x v="0"/>
    <m/>
    <x v="0"/>
    <s v="Y"/>
    <s v="2B"/>
    <m/>
    <n v="0"/>
    <n v="0.5"/>
    <n v="0.5"/>
    <n v="0"/>
    <n v="0"/>
    <n v="0"/>
    <n v="0"/>
    <n v="0"/>
    <n v="0"/>
    <n v="0"/>
    <n v="0"/>
    <n v="0"/>
    <n v="0"/>
    <n v="0"/>
    <n v="0"/>
    <n v="0"/>
    <n v="0"/>
    <n v="0"/>
    <n v="0"/>
    <n v="0"/>
    <n v="0"/>
    <n v="1"/>
    <n v="1"/>
  </r>
  <r>
    <n v="5113"/>
    <x v="2"/>
    <s v="2012/4193"/>
    <m/>
    <s v="Henderson Court, 30-40 Henderson Road"/>
    <m/>
    <n v="527175"/>
    <n v="173907"/>
    <x v="17"/>
    <d v="2015-12-01T00:00:00"/>
    <m/>
    <n v="6"/>
    <n v="3"/>
    <n v="-3"/>
    <n v="3"/>
    <n v="-3"/>
    <m/>
    <s v="Demolition of three storey block of six flats and erection of three, two-storey semi-detached houses with accommodation at basement and roof levels."/>
    <s v="PF"/>
    <d v="2012-09-10T00:00:00"/>
    <d v="2013-02-13T00:00:00"/>
    <x v="0"/>
    <s v="Nil"/>
    <m/>
    <s v="BF"/>
    <x v="0"/>
    <x v="0"/>
    <x v="0"/>
    <n v="7.9000003635883304E-2"/>
    <d v="2015-12-01T00:00:00"/>
    <x v="0"/>
    <m/>
    <x v="0"/>
    <s v="P"/>
    <m/>
    <m/>
    <n v="3"/>
    <m/>
    <n v="0"/>
    <m/>
    <n v="0"/>
    <n v="0"/>
    <n v="-6"/>
    <n v="0"/>
    <n v="0"/>
    <n v="3"/>
    <n v="0"/>
    <n v="0"/>
    <n v="0"/>
    <n v="-6"/>
    <n v="0"/>
    <n v="0"/>
    <n v="0"/>
    <n v="0"/>
    <n v="0"/>
    <n v="0"/>
    <n v="0"/>
    <n v="0"/>
    <n v="0"/>
    <n v="3"/>
    <n v="0"/>
    <n v="0"/>
    <n v="0"/>
    <n v="0"/>
    <n v="0"/>
    <n v="0"/>
    <n v="0"/>
    <n v="0"/>
    <s v="West"/>
    <x v="0"/>
    <x v="0"/>
    <x v="1"/>
    <x v="0"/>
    <x v="0"/>
    <x v="0"/>
    <m/>
    <x v="0"/>
    <s v="Y"/>
    <s v="2A"/>
    <m/>
    <n v="0"/>
    <n v="-3"/>
    <n v="0"/>
    <n v="0"/>
    <n v="0"/>
    <n v="0"/>
    <n v="0"/>
    <n v="0"/>
    <n v="0"/>
    <n v="0"/>
    <n v="0"/>
    <n v="0"/>
    <n v="0"/>
    <n v="0"/>
    <n v="0"/>
    <n v="0"/>
    <n v="0"/>
    <n v="0"/>
    <n v="0"/>
    <n v="0"/>
    <n v="0"/>
    <n v="-3"/>
    <n v="-3"/>
  </r>
  <r>
    <n v="5114"/>
    <x v="2"/>
    <s v="2016/2096"/>
    <s v="Pearl Chemist"/>
    <s v="134-142 Mitcham Road"/>
    <m/>
    <n v="527786"/>
    <n v="171065"/>
    <x v="8"/>
    <d v="2017-03-31T00:00:00"/>
    <m/>
    <n v="0"/>
    <n v="9"/>
    <n v="9"/>
    <n v="9"/>
    <n v="9"/>
    <m/>
    <s v="Erection of four storey building plus basement to provide mixed use building comprising ground floor Class A1 retail shop and pharmacy shop with associated offices and storage at basement level, Class D1 Medical/Therapy centre at first floor and 9 x residential flats (Class C3 - 2 x 1-bedroom, 5 x 2-bedroom and 2 x 3-bedroom flats) at second and third floor levels with associated roof terrace and communal garden."/>
    <s v="PF"/>
    <d v="2016-04-14T00:00:00"/>
    <d v="2016-08-17T00:00:00"/>
    <x v="0"/>
    <s v="Nil"/>
    <m/>
    <s v="BF"/>
    <x v="0"/>
    <x v="0"/>
    <x v="0"/>
    <n v="4.3000001460313797E-2"/>
    <d v="2017-03-31T00:00:00"/>
    <x v="0"/>
    <m/>
    <x v="0"/>
    <s v="P"/>
    <m/>
    <m/>
    <n v="9"/>
    <m/>
    <n v="0"/>
    <m/>
    <n v="0"/>
    <n v="2"/>
    <n v="5"/>
    <n v="2"/>
    <n v="0"/>
    <n v="0"/>
    <n v="0"/>
    <n v="0"/>
    <n v="2"/>
    <n v="5"/>
    <n v="2"/>
    <n v="0"/>
    <n v="0"/>
    <n v="0"/>
    <n v="0"/>
    <n v="0"/>
    <n v="0"/>
    <n v="0"/>
    <n v="0"/>
    <n v="0"/>
    <n v="0"/>
    <n v="0"/>
    <n v="0"/>
    <n v="0"/>
    <n v="0"/>
    <n v="0"/>
    <n v="0"/>
    <n v="0"/>
    <s v="East"/>
    <x v="1"/>
    <x v="0"/>
    <x v="1"/>
    <x v="0"/>
    <x v="0"/>
    <x v="0"/>
    <m/>
    <x v="0"/>
    <s v="Y"/>
    <s v="2A"/>
    <m/>
    <n v="0"/>
    <n v="9"/>
    <n v="0"/>
    <n v="0"/>
    <n v="0"/>
    <n v="0"/>
    <n v="0"/>
    <n v="0"/>
    <n v="0"/>
    <n v="0"/>
    <n v="0"/>
    <n v="0"/>
    <n v="0"/>
    <n v="0"/>
    <n v="0"/>
    <n v="0"/>
    <n v="0"/>
    <n v="0"/>
    <n v="0"/>
    <n v="0"/>
    <n v="0"/>
    <n v="9"/>
    <n v="9"/>
  </r>
  <r>
    <n v="5181"/>
    <x v="2"/>
    <s v="2012/5419"/>
    <m/>
    <s v="192 Upper Richmond Road"/>
    <m/>
    <n v="524012"/>
    <n v="175048"/>
    <x v="13"/>
    <d v="2013-12-04T00:00:00"/>
    <m/>
    <n v="0"/>
    <n v="4"/>
    <n v="4"/>
    <n v="4"/>
    <n v="4"/>
    <m/>
    <s v="Erection rear extension at lower ground, ground, first and second floor levels with roof terraces at first and third floor levels to provide office space at lower ground and ground floor levels and change of use of upper floors from offices to 3 x 1 bedroom flats and a studio flat."/>
    <s v="PF"/>
    <d v="2013-02-18T00:00:00"/>
    <d v="2013-05-10T00:00:00"/>
    <x v="0"/>
    <s v="Nil"/>
    <m/>
    <s v="BF"/>
    <x v="4"/>
    <x v="0"/>
    <x v="9"/>
    <n v="8.0000003799796104E-3"/>
    <d v="2013-12-04T00:00:00"/>
    <x v="0"/>
    <m/>
    <x v="0"/>
    <s v="P"/>
    <m/>
    <m/>
    <n v="0"/>
    <m/>
    <n v="0"/>
    <m/>
    <n v="1"/>
    <n v="3"/>
    <n v="0"/>
    <n v="0"/>
    <n v="0"/>
    <n v="0"/>
    <n v="0"/>
    <n v="1"/>
    <n v="3"/>
    <n v="0"/>
    <n v="0"/>
    <n v="0"/>
    <n v="0"/>
    <n v="0"/>
    <n v="0"/>
    <n v="0"/>
    <n v="0"/>
    <n v="0"/>
    <n v="0"/>
    <n v="0"/>
    <n v="0"/>
    <n v="0"/>
    <n v="0"/>
    <n v="0"/>
    <n v="0"/>
    <n v="0"/>
    <n v="0"/>
    <n v="0"/>
    <s v="West"/>
    <x v="3"/>
    <x v="0"/>
    <x v="1"/>
    <x v="0"/>
    <x v="1"/>
    <x v="0"/>
    <m/>
    <x v="0"/>
    <s v="Y"/>
    <s v="8A"/>
    <m/>
    <n v="0"/>
    <n v="4"/>
    <n v="0"/>
    <n v="0"/>
    <n v="0"/>
    <n v="0"/>
    <n v="0"/>
    <n v="0"/>
    <n v="0"/>
    <n v="0"/>
    <n v="0"/>
    <n v="0"/>
    <n v="0"/>
    <n v="0"/>
    <n v="0"/>
    <n v="0"/>
    <n v="0"/>
    <n v="0"/>
    <n v="0"/>
    <n v="0"/>
    <n v="0"/>
    <n v="4"/>
    <n v="4"/>
  </r>
  <r>
    <n v="5195"/>
    <x v="2"/>
    <s v="2013/1978"/>
    <s v="Former John Paul II School"/>
    <s v="Saint John Bosco College, Princes Way"/>
    <m/>
    <n v="523820"/>
    <n v="173605"/>
    <x v="19"/>
    <d v="2016-06-01T00:00:00"/>
    <m/>
    <n v="0"/>
    <n v="110"/>
    <n v="110"/>
    <n v="110"/>
    <n v="110"/>
    <s v="Y"/>
    <s v="Demolition of all existing buildings on site and construction of 110 new dwellings in buildings between three and seven storeys (55 mews, courtyard and town houses and 55 apartments) with 102 car parking spaces and 203 cycle spaces; associated access, highway and landscaping works including new open space and children’s play area."/>
    <s v="PFLA"/>
    <d v="2013-05-29T00:00:00"/>
    <d v="2013-10-22T00:00:00"/>
    <x v="0"/>
    <s v="Nil"/>
    <m/>
    <s v="BF"/>
    <x v="0"/>
    <x v="1"/>
    <x v="1"/>
    <n v="1.2489999532699601"/>
    <d v="2016-06-01T00:00:00"/>
    <x v="0"/>
    <m/>
    <x v="0"/>
    <s v="P"/>
    <m/>
    <m/>
    <n v="110"/>
    <n v="99"/>
    <n v="11"/>
    <n v="11"/>
    <n v="0"/>
    <n v="19"/>
    <n v="30"/>
    <n v="26"/>
    <n v="35"/>
    <n v="0"/>
    <n v="0"/>
    <n v="0"/>
    <n v="19"/>
    <n v="30"/>
    <n v="6"/>
    <n v="0"/>
    <n v="0"/>
    <n v="0"/>
    <n v="0"/>
    <n v="0"/>
    <n v="0"/>
    <n v="20"/>
    <n v="35"/>
    <n v="0"/>
    <n v="0"/>
    <n v="0"/>
    <n v="0"/>
    <n v="0"/>
    <n v="0"/>
    <n v="0"/>
    <n v="0"/>
    <n v="0"/>
    <s v="West"/>
    <x v="0"/>
    <x v="0"/>
    <x v="1"/>
    <x v="0"/>
    <x v="0"/>
    <x v="0"/>
    <m/>
    <x v="0"/>
    <s v="Y"/>
    <s v="3A"/>
    <m/>
    <n v="0"/>
    <n v="0"/>
    <n v="110"/>
    <n v="0"/>
    <n v="0"/>
    <n v="0"/>
    <n v="0"/>
    <n v="0"/>
    <n v="0"/>
    <n v="0"/>
    <n v="0"/>
    <n v="0"/>
    <n v="0"/>
    <n v="0"/>
    <n v="0"/>
    <n v="0"/>
    <n v="0"/>
    <n v="0"/>
    <n v="0"/>
    <n v="0"/>
    <n v="0"/>
    <n v="110"/>
    <n v="110"/>
  </r>
  <r>
    <n v="5215"/>
    <x v="2"/>
    <s v="2017/4140"/>
    <m/>
    <s v="21 Balham High Road"/>
    <m/>
    <n v="528754"/>
    <n v="173676"/>
    <x v="9"/>
    <d v="2018-03-31T00:00:00"/>
    <m/>
    <n v="0"/>
    <n v="1"/>
    <n v="1"/>
    <n v="1"/>
    <n v="1"/>
    <m/>
    <s v="Demolition of two-storey back addition. Erection of single storey rear extension to provide 1 x 1-bedroom flats."/>
    <s v="PF"/>
    <d v="2017-07-28T00:00:00"/>
    <d v="2017-09-22T00:00:00"/>
    <x v="1"/>
    <s v="Nil"/>
    <m/>
    <s v="BF"/>
    <x v="0"/>
    <x v="0"/>
    <x v="0"/>
    <n v="4.0000001899898104E-3"/>
    <d v="2018-03-31T00:00:00"/>
    <x v="1"/>
    <m/>
    <x v="0"/>
    <s v="P"/>
    <m/>
    <m/>
    <n v="0"/>
    <m/>
    <n v="0"/>
    <m/>
    <n v="0"/>
    <n v="1"/>
    <n v="0"/>
    <n v="0"/>
    <n v="0"/>
    <n v="0"/>
    <n v="0"/>
    <n v="0"/>
    <n v="1"/>
    <n v="0"/>
    <n v="0"/>
    <n v="0"/>
    <n v="0"/>
    <n v="0"/>
    <n v="0"/>
    <n v="0"/>
    <n v="0"/>
    <n v="0"/>
    <n v="0"/>
    <n v="0"/>
    <n v="0"/>
    <n v="0"/>
    <n v="0"/>
    <n v="0"/>
    <n v="0"/>
    <n v="0"/>
    <n v="0"/>
    <n v="0"/>
    <s v="East"/>
    <x v="2"/>
    <x v="0"/>
    <x v="1"/>
    <x v="0"/>
    <x v="0"/>
    <x v="0"/>
    <m/>
    <x v="0"/>
    <s v="Y"/>
    <s v="2B"/>
    <m/>
    <n v="0"/>
    <n v="0.5"/>
    <n v="0.5"/>
    <n v="0"/>
    <n v="0"/>
    <n v="0"/>
    <n v="0"/>
    <n v="0"/>
    <n v="0"/>
    <n v="0"/>
    <n v="0"/>
    <n v="0"/>
    <n v="0"/>
    <n v="0"/>
    <n v="0"/>
    <n v="0"/>
    <n v="0"/>
    <n v="0"/>
    <n v="0"/>
    <n v="0"/>
    <n v="0"/>
    <n v="1"/>
    <n v="1"/>
  </r>
  <r>
    <n v="5235"/>
    <x v="2"/>
    <s v="2015/6259"/>
    <m/>
    <s v="Avalon Comics &amp; Books, 143 Lavender Hill"/>
    <m/>
    <n v="528062"/>
    <n v="175605"/>
    <x v="10"/>
    <d v="2018-03-31T00:00:00"/>
    <m/>
    <n v="0"/>
    <n v="1"/>
    <n v="1"/>
    <n v="1"/>
    <n v="1"/>
    <m/>
    <s v="Erection of a mansard roof extension to front and rear including raising the ridge by approximately 500mm and a hip to gable side roof extension with dormer to the front. Alterations and extensions in connection with the formation of a one-bedroom flat."/>
    <s v="RP"/>
    <d v="2015-11-09T00:00:00"/>
    <d v="2016-03-18T00:00:00"/>
    <x v="0"/>
    <s v="APG"/>
    <d v="2017-02-02T00:00:00"/>
    <s v="BF"/>
    <x v="4"/>
    <x v="0"/>
    <x v="0"/>
    <n v="4.0000001899898104E-3"/>
    <d v="2018-03-31T00:00:00"/>
    <x v="1"/>
    <m/>
    <x v="0"/>
    <s v="P"/>
    <m/>
    <m/>
    <n v="0"/>
    <m/>
    <n v="0"/>
    <m/>
    <n v="0"/>
    <n v="1"/>
    <n v="0"/>
    <n v="0"/>
    <n v="0"/>
    <n v="0"/>
    <n v="0"/>
    <n v="0"/>
    <n v="1"/>
    <n v="0"/>
    <n v="0"/>
    <n v="0"/>
    <n v="0"/>
    <n v="0"/>
    <n v="0"/>
    <n v="0"/>
    <n v="0"/>
    <n v="0"/>
    <n v="0"/>
    <n v="0"/>
    <n v="0"/>
    <n v="0"/>
    <n v="0"/>
    <n v="0"/>
    <n v="0"/>
    <n v="0"/>
    <n v="0"/>
    <n v="0"/>
    <s v="East"/>
    <x v="0"/>
    <x v="0"/>
    <x v="1"/>
    <x v="0"/>
    <x v="0"/>
    <x v="0"/>
    <m/>
    <x v="0"/>
    <s v="Y"/>
    <s v="8B"/>
    <m/>
    <n v="0"/>
    <n v="0.5"/>
    <n v="0.5"/>
    <n v="0"/>
    <n v="0"/>
    <n v="0"/>
    <n v="0"/>
    <n v="0"/>
    <n v="0"/>
    <n v="0"/>
    <n v="0"/>
    <n v="0"/>
    <n v="0"/>
    <n v="0"/>
    <n v="0"/>
    <n v="0"/>
    <n v="0"/>
    <n v="0"/>
    <n v="0"/>
    <n v="0"/>
    <n v="0"/>
    <n v="1"/>
    <n v="1"/>
  </r>
  <r>
    <n v="5245"/>
    <x v="2"/>
    <s v="2013/1313"/>
    <m/>
    <s v="28 Thessaly Road"/>
    <m/>
    <n v="529554"/>
    <n v="176699"/>
    <x v="6"/>
    <d v="2016-04-01T00:00:00"/>
    <m/>
    <n v="0"/>
    <n v="16"/>
    <n v="16"/>
    <n v="16"/>
    <n v="16"/>
    <s v="Y"/>
    <s v="Demolition of existing public house and removal of lay-by and construction of a part four, part five, part six storey building, plus basement, comprising 16 residential units each with private balconies/terraces and a communal roof terrace at 5th floor level plus associated cycle parking and landscaping."/>
    <s v="PFLA"/>
    <d v="2013-03-21T00:00:00"/>
    <d v="2013-10-08T00:00:00"/>
    <x v="0"/>
    <s v="Nil"/>
    <m/>
    <s v="BF"/>
    <x v="0"/>
    <x v="1"/>
    <x v="1"/>
    <n v="2.0999999716877899E-2"/>
    <d v="2016-04-01T00:00:00"/>
    <x v="0"/>
    <m/>
    <x v="0"/>
    <s v="P"/>
    <m/>
    <m/>
    <n v="16"/>
    <m/>
    <n v="16"/>
    <m/>
    <n v="0"/>
    <n v="3"/>
    <n v="8"/>
    <n v="5"/>
    <n v="0"/>
    <n v="0"/>
    <n v="0"/>
    <n v="0"/>
    <n v="3"/>
    <n v="8"/>
    <n v="5"/>
    <n v="0"/>
    <n v="0"/>
    <n v="0"/>
    <n v="0"/>
    <n v="0"/>
    <n v="0"/>
    <n v="0"/>
    <n v="0"/>
    <n v="0"/>
    <n v="0"/>
    <n v="0"/>
    <n v="0"/>
    <n v="0"/>
    <n v="0"/>
    <n v="0"/>
    <n v="0"/>
    <n v="0"/>
    <s v="Strategic Planning/Nine Elms"/>
    <x v="0"/>
    <x v="1"/>
    <x v="1"/>
    <x v="0"/>
    <x v="0"/>
    <x v="0"/>
    <m/>
    <x v="0"/>
    <s v="Y"/>
    <s v="2A"/>
    <m/>
    <n v="0"/>
    <n v="16"/>
    <n v="0"/>
    <n v="0"/>
    <n v="0"/>
    <n v="0"/>
    <n v="0"/>
    <n v="0"/>
    <n v="0"/>
    <n v="0"/>
    <n v="0"/>
    <n v="0"/>
    <n v="0"/>
    <n v="0"/>
    <n v="0"/>
    <n v="0"/>
    <n v="0"/>
    <n v="0"/>
    <n v="0"/>
    <n v="0"/>
    <n v="0"/>
    <n v="16"/>
    <n v="16"/>
  </r>
  <r>
    <n v="5292"/>
    <x v="2"/>
    <s v="2015/3563"/>
    <m/>
    <s v="Carlton House (&amp; 27A Carlton Drive), 85-91 Upper Richmond Road"/>
    <s v="BLOCK A FLOOR 1"/>
    <n v="524279"/>
    <n v="174909"/>
    <x v="16"/>
    <d v="2017-03-31T00:00:00"/>
    <m/>
    <n v="0"/>
    <n v="2"/>
    <n v="2"/>
    <n v="73"/>
    <n v="73"/>
    <s v="Y"/>
    <s v="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
    <s v="PFLA"/>
    <d v="2015-07-03T00:00:00"/>
    <d v="2015-11-27T00:00:00"/>
    <x v="0"/>
    <s v="Nil"/>
    <m/>
    <s v="BF"/>
    <x v="0"/>
    <x v="1"/>
    <x v="1"/>
    <n v="0"/>
    <d v="2017-03-31T00:00:00"/>
    <x v="0"/>
    <m/>
    <x v="0"/>
    <s v="P"/>
    <s v="6.2.4"/>
    <m/>
    <n v="2"/>
    <m/>
    <n v="0"/>
    <m/>
    <n v="0"/>
    <n v="0"/>
    <n v="2"/>
    <n v="0"/>
    <n v="0"/>
    <n v="0"/>
    <n v="0"/>
    <n v="0"/>
    <n v="0"/>
    <n v="2"/>
    <n v="0"/>
    <n v="0"/>
    <n v="0"/>
    <n v="0"/>
    <n v="0"/>
    <n v="0"/>
    <n v="0"/>
    <n v="0"/>
    <n v="0"/>
    <n v="0"/>
    <n v="0"/>
    <n v="0"/>
    <n v="0"/>
    <n v="0"/>
    <n v="0"/>
    <n v="0"/>
    <n v="0"/>
    <n v="0"/>
    <s v="West"/>
    <x v="3"/>
    <x v="0"/>
    <x v="1"/>
    <x v="0"/>
    <x v="1"/>
    <x v="0"/>
    <m/>
    <x v="0"/>
    <s v="Y"/>
    <s v="3A"/>
    <m/>
    <n v="0"/>
    <n v="0"/>
    <n v="2"/>
    <n v="0"/>
    <n v="0"/>
    <n v="0"/>
    <n v="0"/>
    <n v="0"/>
    <n v="0"/>
    <n v="0"/>
    <n v="0"/>
    <n v="0"/>
    <n v="0"/>
    <n v="0"/>
    <n v="0"/>
    <n v="0"/>
    <n v="0"/>
    <n v="0"/>
    <n v="0"/>
    <n v="0"/>
    <n v="0"/>
    <n v="2"/>
    <n v="2"/>
  </r>
  <r>
    <n v="5292"/>
    <x v="2"/>
    <s v="2015/3563"/>
    <m/>
    <s v="Carlton House (&amp; 27A Carlton Drive), 85-91 Upper Richmond Road"/>
    <s v="BLOCK A FLOOR 10"/>
    <n v="524279"/>
    <n v="174909"/>
    <x v="16"/>
    <d v="2017-03-31T00:00:00"/>
    <m/>
    <n v="0"/>
    <n v="1"/>
    <n v="1"/>
    <n v="73"/>
    <n v="73"/>
    <s v="Y"/>
    <s v="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
    <s v="PFLA"/>
    <d v="2015-07-03T00:00:00"/>
    <d v="2015-11-27T00:00:00"/>
    <x v="0"/>
    <s v="Nil"/>
    <m/>
    <s v="BF"/>
    <x v="0"/>
    <x v="1"/>
    <x v="1"/>
    <n v="0"/>
    <d v="2017-03-31T00:00:00"/>
    <x v="0"/>
    <m/>
    <x v="0"/>
    <s v="P"/>
    <s v="6.2.4"/>
    <m/>
    <n v="1"/>
    <m/>
    <n v="0"/>
    <m/>
    <n v="0"/>
    <n v="0"/>
    <n v="0"/>
    <n v="1"/>
    <n v="0"/>
    <n v="0"/>
    <n v="0"/>
    <n v="0"/>
    <n v="0"/>
    <n v="0"/>
    <n v="1"/>
    <n v="0"/>
    <n v="0"/>
    <n v="0"/>
    <n v="0"/>
    <n v="0"/>
    <n v="0"/>
    <n v="0"/>
    <n v="0"/>
    <n v="0"/>
    <n v="0"/>
    <n v="0"/>
    <n v="0"/>
    <n v="0"/>
    <n v="0"/>
    <n v="0"/>
    <n v="0"/>
    <n v="0"/>
    <s v="West"/>
    <x v="3"/>
    <x v="0"/>
    <x v="1"/>
    <x v="0"/>
    <x v="1"/>
    <x v="0"/>
    <m/>
    <x v="0"/>
    <s v="Y"/>
    <s v="3A"/>
    <m/>
    <n v="0"/>
    <n v="0"/>
    <n v="1"/>
    <n v="0"/>
    <n v="0"/>
    <n v="0"/>
    <n v="0"/>
    <n v="0"/>
    <n v="0"/>
    <n v="0"/>
    <n v="0"/>
    <n v="0"/>
    <n v="0"/>
    <n v="0"/>
    <n v="0"/>
    <n v="0"/>
    <n v="0"/>
    <n v="0"/>
    <n v="0"/>
    <n v="0"/>
    <n v="0"/>
    <n v="1"/>
    <n v="1"/>
  </r>
  <r>
    <n v="5292"/>
    <x v="2"/>
    <s v="2015/3563"/>
    <m/>
    <s v="Carlton House (&amp; 27A Carlton Drive), 85-91 Upper Richmond Road"/>
    <s v="BLOCK A FLOOR 11"/>
    <n v="524279"/>
    <n v="174909"/>
    <x v="16"/>
    <d v="2017-03-31T00:00:00"/>
    <m/>
    <n v="0"/>
    <n v="1"/>
    <n v="1"/>
    <n v="73"/>
    <n v="73"/>
    <s v="Y"/>
    <s v="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
    <s v="PFLA"/>
    <d v="2015-07-03T00:00:00"/>
    <d v="2015-11-27T00:00:00"/>
    <x v="0"/>
    <s v="Nil"/>
    <m/>
    <s v="BF"/>
    <x v="0"/>
    <x v="1"/>
    <x v="1"/>
    <n v="0"/>
    <d v="2017-03-31T00:00:00"/>
    <x v="0"/>
    <m/>
    <x v="0"/>
    <s v="P"/>
    <s v="6.2.4"/>
    <m/>
    <n v="1"/>
    <m/>
    <n v="0"/>
    <m/>
    <n v="0"/>
    <n v="0"/>
    <n v="0"/>
    <n v="1"/>
    <n v="0"/>
    <n v="0"/>
    <n v="0"/>
    <n v="0"/>
    <n v="0"/>
    <n v="0"/>
    <n v="1"/>
    <n v="0"/>
    <n v="0"/>
    <n v="0"/>
    <n v="0"/>
    <n v="0"/>
    <n v="0"/>
    <n v="0"/>
    <n v="0"/>
    <n v="0"/>
    <n v="0"/>
    <n v="0"/>
    <n v="0"/>
    <n v="0"/>
    <n v="0"/>
    <n v="0"/>
    <n v="0"/>
    <n v="0"/>
    <s v="West"/>
    <x v="3"/>
    <x v="0"/>
    <x v="1"/>
    <x v="0"/>
    <x v="1"/>
    <x v="0"/>
    <m/>
    <x v="0"/>
    <s v="Y"/>
    <s v="3A"/>
    <m/>
    <n v="0"/>
    <n v="0"/>
    <n v="1"/>
    <n v="0"/>
    <n v="0"/>
    <n v="0"/>
    <n v="0"/>
    <n v="0"/>
    <n v="0"/>
    <n v="0"/>
    <n v="0"/>
    <n v="0"/>
    <n v="0"/>
    <n v="0"/>
    <n v="0"/>
    <n v="0"/>
    <n v="0"/>
    <n v="0"/>
    <n v="0"/>
    <n v="0"/>
    <n v="0"/>
    <n v="1"/>
    <n v="1"/>
  </r>
  <r>
    <n v="5292"/>
    <x v="2"/>
    <s v="2015/3563"/>
    <m/>
    <s v="Carlton House (&amp; 27A Carlton Drive), 85-91 Upper Richmond Road"/>
    <s v="BLOCK A FLOOR 2"/>
    <n v="524279"/>
    <n v="174909"/>
    <x v="16"/>
    <d v="2017-03-31T00:00:00"/>
    <m/>
    <n v="0"/>
    <n v="5"/>
    <n v="5"/>
    <n v="73"/>
    <n v="73"/>
    <s v="Y"/>
    <s v="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
    <s v="PFLA"/>
    <d v="2015-07-03T00:00:00"/>
    <d v="2015-11-27T00:00:00"/>
    <x v="0"/>
    <s v="Nil"/>
    <m/>
    <s v="BF"/>
    <x v="0"/>
    <x v="1"/>
    <x v="1"/>
    <n v="0"/>
    <d v="2017-03-31T00:00:00"/>
    <x v="0"/>
    <m/>
    <x v="0"/>
    <s v="P"/>
    <s v="6.2.4"/>
    <m/>
    <n v="5"/>
    <m/>
    <n v="1"/>
    <m/>
    <n v="0"/>
    <n v="2"/>
    <n v="3"/>
    <n v="0"/>
    <n v="0"/>
    <n v="0"/>
    <n v="0"/>
    <n v="0"/>
    <n v="2"/>
    <n v="3"/>
    <n v="0"/>
    <n v="0"/>
    <n v="0"/>
    <n v="0"/>
    <n v="0"/>
    <n v="0"/>
    <n v="0"/>
    <n v="0"/>
    <n v="0"/>
    <n v="0"/>
    <n v="0"/>
    <n v="0"/>
    <n v="0"/>
    <n v="0"/>
    <n v="0"/>
    <n v="0"/>
    <n v="0"/>
    <n v="0"/>
    <s v="West"/>
    <x v="3"/>
    <x v="0"/>
    <x v="1"/>
    <x v="0"/>
    <x v="1"/>
    <x v="0"/>
    <m/>
    <x v="0"/>
    <s v="Y"/>
    <s v="3A"/>
    <m/>
    <n v="0"/>
    <n v="0"/>
    <n v="5"/>
    <n v="0"/>
    <n v="0"/>
    <n v="0"/>
    <n v="0"/>
    <n v="0"/>
    <n v="0"/>
    <n v="0"/>
    <n v="0"/>
    <n v="0"/>
    <n v="0"/>
    <n v="0"/>
    <n v="0"/>
    <n v="0"/>
    <n v="0"/>
    <n v="0"/>
    <n v="0"/>
    <n v="0"/>
    <n v="0"/>
    <n v="5"/>
    <n v="5"/>
  </r>
  <r>
    <n v="5292"/>
    <x v="2"/>
    <s v="2015/3563"/>
    <m/>
    <s v="Carlton House (&amp; 27A Carlton Drive), 85-91 Upper Richmond Road"/>
    <s v="BLOCK A FLOOR 2"/>
    <n v="524279"/>
    <n v="174909"/>
    <x v="16"/>
    <d v="2017-03-31T00:00:00"/>
    <m/>
    <n v="0"/>
    <n v="2"/>
    <n v="2"/>
    <n v="73"/>
    <n v="73"/>
    <s v="Y"/>
    <s v="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
    <s v="PFLA"/>
    <d v="2015-07-03T00:00:00"/>
    <d v="2015-11-27T00:00:00"/>
    <x v="0"/>
    <s v="Nil"/>
    <m/>
    <s v="BF"/>
    <x v="0"/>
    <x v="1"/>
    <x v="1"/>
    <n v="0"/>
    <d v="2017-03-31T00:00:00"/>
    <x v="0"/>
    <m/>
    <x v="2"/>
    <s v="HAAR"/>
    <s v="6.2.4"/>
    <m/>
    <n v="2"/>
    <m/>
    <n v="1"/>
    <m/>
    <n v="0"/>
    <n v="2"/>
    <n v="0"/>
    <n v="0"/>
    <n v="0"/>
    <n v="0"/>
    <n v="0"/>
    <n v="0"/>
    <n v="2"/>
    <n v="0"/>
    <n v="0"/>
    <n v="0"/>
    <n v="0"/>
    <n v="0"/>
    <n v="0"/>
    <n v="0"/>
    <n v="0"/>
    <n v="0"/>
    <n v="0"/>
    <n v="0"/>
    <n v="0"/>
    <n v="0"/>
    <n v="0"/>
    <n v="0"/>
    <n v="0"/>
    <n v="0"/>
    <n v="0"/>
    <n v="0"/>
    <s v="West"/>
    <x v="3"/>
    <x v="0"/>
    <x v="1"/>
    <x v="0"/>
    <x v="1"/>
    <x v="0"/>
    <m/>
    <x v="0"/>
    <s v="Y"/>
    <s v="3A"/>
    <m/>
    <n v="0"/>
    <n v="0"/>
    <n v="2"/>
    <n v="0"/>
    <n v="0"/>
    <n v="0"/>
    <n v="0"/>
    <n v="0"/>
    <n v="0"/>
    <n v="0"/>
    <n v="0"/>
    <n v="0"/>
    <n v="0"/>
    <n v="0"/>
    <n v="0"/>
    <n v="0"/>
    <n v="0"/>
    <n v="0"/>
    <n v="0"/>
    <n v="0"/>
    <n v="0"/>
    <n v="2"/>
    <n v="2"/>
  </r>
  <r>
    <n v="5292"/>
    <x v="2"/>
    <s v="2015/3563"/>
    <m/>
    <s v="Carlton House (&amp; 27A Carlton Drive), 85-91 Upper Richmond Road"/>
    <s v="BLOCK A FLOOR 2 DUPLEX"/>
    <n v="524279"/>
    <n v="174909"/>
    <x v="16"/>
    <d v="2017-03-31T00:00:00"/>
    <m/>
    <n v="0"/>
    <n v="2"/>
    <n v="2"/>
    <n v="73"/>
    <n v="73"/>
    <s v="Y"/>
    <s v="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
    <s v="PFLA"/>
    <d v="2015-07-03T00:00:00"/>
    <d v="2015-11-27T00:00:00"/>
    <x v="0"/>
    <s v="Nil"/>
    <m/>
    <s v="BF"/>
    <x v="0"/>
    <x v="1"/>
    <x v="1"/>
    <n v="0"/>
    <d v="2017-03-31T00:00:00"/>
    <x v="0"/>
    <m/>
    <x v="0"/>
    <s v="P"/>
    <s v="6.2.4"/>
    <m/>
    <n v="2"/>
    <m/>
    <n v="0"/>
    <m/>
    <n v="0"/>
    <n v="0"/>
    <n v="2"/>
    <n v="0"/>
    <n v="0"/>
    <n v="0"/>
    <n v="0"/>
    <n v="0"/>
    <n v="0"/>
    <n v="2"/>
    <n v="0"/>
    <n v="0"/>
    <n v="0"/>
    <n v="0"/>
    <n v="0"/>
    <n v="0"/>
    <n v="0"/>
    <n v="0"/>
    <n v="0"/>
    <n v="0"/>
    <n v="0"/>
    <n v="0"/>
    <n v="0"/>
    <n v="0"/>
    <n v="0"/>
    <n v="0"/>
    <n v="0"/>
    <n v="0"/>
    <s v="West"/>
    <x v="3"/>
    <x v="0"/>
    <x v="1"/>
    <x v="0"/>
    <x v="1"/>
    <x v="0"/>
    <m/>
    <x v="0"/>
    <s v="Y"/>
    <s v="3A"/>
    <m/>
    <n v="0"/>
    <n v="0"/>
    <n v="2"/>
    <n v="0"/>
    <n v="0"/>
    <n v="0"/>
    <n v="0"/>
    <n v="0"/>
    <n v="0"/>
    <n v="0"/>
    <n v="0"/>
    <n v="0"/>
    <n v="0"/>
    <n v="0"/>
    <n v="0"/>
    <n v="0"/>
    <n v="0"/>
    <n v="0"/>
    <n v="0"/>
    <n v="0"/>
    <n v="0"/>
    <n v="2"/>
    <n v="2"/>
  </r>
  <r>
    <n v="5292"/>
    <x v="2"/>
    <s v="2015/3563"/>
    <m/>
    <s v="Carlton House (&amp; 27A Carlton Drive), 85-91 Upper Richmond Road"/>
    <s v="BLOCK A FLOOR 3"/>
    <n v="524279"/>
    <n v="174909"/>
    <x v="16"/>
    <d v="2017-03-31T00:00:00"/>
    <m/>
    <n v="0"/>
    <n v="8"/>
    <n v="8"/>
    <n v="73"/>
    <n v="73"/>
    <s v="Y"/>
    <s v="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
    <s v="PFLA"/>
    <d v="2015-07-03T00:00:00"/>
    <d v="2015-11-27T00:00:00"/>
    <x v="0"/>
    <s v="Nil"/>
    <m/>
    <s v="BF"/>
    <x v="0"/>
    <x v="1"/>
    <x v="1"/>
    <n v="0"/>
    <d v="2017-03-31T00:00:00"/>
    <x v="0"/>
    <m/>
    <x v="0"/>
    <s v="P"/>
    <s v="6.2.4"/>
    <m/>
    <n v="8"/>
    <m/>
    <n v="1"/>
    <m/>
    <n v="0"/>
    <n v="3"/>
    <n v="5"/>
    <n v="0"/>
    <n v="0"/>
    <n v="0"/>
    <n v="0"/>
    <n v="0"/>
    <n v="3"/>
    <n v="5"/>
    <n v="0"/>
    <n v="0"/>
    <n v="0"/>
    <n v="0"/>
    <n v="0"/>
    <n v="0"/>
    <n v="0"/>
    <n v="0"/>
    <n v="0"/>
    <n v="0"/>
    <n v="0"/>
    <n v="0"/>
    <n v="0"/>
    <n v="0"/>
    <n v="0"/>
    <n v="0"/>
    <n v="0"/>
    <n v="0"/>
    <s v="West"/>
    <x v="3"/>
    <x v="0"/>
    <x v="1"/>
    <x v="0"/>
    <x v="1"/>
    <x v="0"/>
    <m/>
    <x v="0"/>
    <s v="Y"/>
    <s v="3A"/>
    <m/>
    <n v="0"/>
    <n v="0"/>
    <n v="8"/>
    <n v="0"/>
    <n v="0"/>
    <n v="0"/>
    <n v="0"/>
    <n v="0"/>
    <n v="0"/>
    <n v="0"/>
    <n v="0"/>
    <n v="0"/>
    <n v="0"/>
    <n v="0"/>
    <n v="0"/>
    <n v="0"/>
    <n v="0"/>
    <n v="0"/>
    <n v="0"/>
    <n v="0"/>
    <n v="0"/>
    <n v="8"/>
    <n v="8"/>
  </r>
  <r>
    <n v="5292"/>
    <x v="2"/>
    <s v="2015/3563"/>
    <m/>
    <s v="Carlton House (&amp; 27A Carlton Drive), 85-91 Upper Richmond Road"/>
    <s v="BLOCK A FLOOR 4"/>
    <n v="524279"/>
    <n v="174909"/>
    <x v="16"/>
    <d v="2017-03-31T00:00:00"/>
    <m/>
    <n v="0"/>
    <n v="8"/>
    <n v="8"/>
    <n v="73"/>
    <n v="73"/>
    <s v="Y"/>
    <s v="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
    <s v="PFLA"/>
    <d v="2015-07-03T00:00:00"/>
    <d v="2015-11-27T00:00:00"/>
    <x v="0"/>
    <s v="Nil"/>
    <m/>
    <s v="BF"/>
    <x v="0"/>
    <x v="1"/>
    <x v="1"/>
    <n v="0"/>
    <d v="2017-03-31T00:00:00"/>
    <x v="0"/>
    <m/>
    <x v="0"/>
    <s v="P"/>
    <s v="6.2.4"/>
    <m/>
    <n v="8"/>
    <m/>
    <n v="1"/>
    <m/>
    <n v="0"/>
    <n v="2"/>
    <n v="6"/>
    <n v="0"/>
    <n v="0"/>
    <n v="0"/>
    <n v="0"/>
    <n v="0"/>
    <n v="2"/>
    <n v="6"/>
    <n v="0"/>
    <n v="0"/>
    <n v="0"/>
    <n v="0"/>
    <n v="0"/>
    <n v="0"/>
    <n v="0"/>
    <n v="0"/>
    <n v="0"/>
    <n v="0"/>
    <n v="0"/>
    <n v="0"/>
    <n v="0"/>
    <n v="0"/>
    <n v="0"/>
    <n v="0"/>
    <n v="0"/>
    <n v="0"/>
    <s v="West"/>
    <x v="3"/>
    <x v="0"/>
    <x v="1"/>
    <x v="0"/>
    <x v="1"/>
    <x v="0"/>
    <m/>
    <x v="0"/>
    <s v="Y"/>
    <s v="3A"/>
    <m/>
    <n v="0"/>
    <n v="0"/>
    <n v="8"/>
    <n v="0"/>
    <n v="0"/>
    <n v="0"/>
    <n v="0"/>
    <n v="0"/>
    <n v="0"/>
    <n v="0"/>
    <n v="0"/>
    <n v="0"/>
    <n v="0"/>
    <n v="0"/>
    <n v="0"/>
    <n v="0"/>
    <n v="0"/>
    <n v="0"/>
    <n v="0"/>
    <n v="0"/>
    <n v="0"/>
    <n v="8"/>
    <n v="8"/>
  </r>
  <r>
    <n v="5292"/>
    <x v="2"/>
    <s v="2015/3563"/>
    <m/>
    <s v="Carlton House (&amp; 27A Carlton Drive), 85-91 Upper Richmond Road"/>
    <s v="BLOCK A FLOOR 5"/>
    <n v="524279"/>
    <n v="174909"/>
    <x v="16"/>
    <d v="2017-03-31T00:00:00"/>
    <m/>
    <n v="0"/>
    <n v="8"/>
    <n v="8"/>
    <n v="73"/>
    <n v="73"/>
    <s v="Y"/>
    <s v="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
    <s v="PFLA"/>
    <d v="2015-07-03T00:00:00"/>
    <d v="2015-11-27T00:00:00"/>
    <x v="0"/>
    <s v="Nil"/>
    <m/>
    <s v="BF"/>
    <x v="0"/>
    <x v="1"/>
    <x v="1"/>
    <n v="0"/>
    <d v="2017-03-31T00:00:00"/>
    <x v="0"/>
    <m/>
    <x v="0"/>
    <s v="P"/>
    <s v="6.2.4"/>
    <m/>
    <n v="8"/>
    <m/>
    <n v="1"/>
    <m/>
    <n v="0"/>
    <n v="2"/>
    <n v="6"/>
    <n v="0"/>
    <n v="0"/>
    <n v="0"/>
    <n v="0"/>
    <n v="0"/>
    <n v="2"/>
    <n v="6"/>
    <n v="0"/>
    <n v="0"/>
    <n v="0"/>
    <n v="0"/>
    <n v="0"/>
    <n v="0"/>
    <n v="0"/>
    <n v="0"/>
    <n v="0"/>
    <n v="0"/>
    <n v="0"/>
    <n v="0"/>
    <n v="0"/>
    <n v="0"/>
    <n v="0"/>
    <n v="0"/>
    <n v="0"/>
    <n v="0"/>
    <s v="West"/>
    <x v="3"/>
    <x v="0"/>
    <x v="1"/>
    <x v="0"/>
    <x v="1"/>
    <x v="0"/>
    <m/>
    <x v="0"/>
    <s v="Y"/>
    <s v="3A"/>
    <m/>
    <n v="0"/>
    <n v="0"/>
    <n v="8"/>
    <n v="0"/>
    <n v="0"/>
    <n v="0"/>
    <n v="0"/>
    <n v="0"/>
    <n v="0"/>
    <n v="0"/>
    <n v="0"/>
    <n v="0"/>
    <n v="0"/>
    <n v="0"/>
    <n v="0"/>
    <n v="0"/>
    <n v="0"/>
    <n v="0"/>
    <n v="0"/>
    <n v="0"/>
    <n v="0"/>
    <n v="8"/>
    <n v="8"/>
  </r>
  <r>
    <n v="5292"/>
    <x v="2"/>
    <s v="2015/3563"/>
    <m/>
    <s v="Carlton House (&amp; 27A Carlton Drive), 85-91 Upper Richmond Road"/>
    <s v="BLOCK A FLOOR 6"/>
    <n v="524279"/>
    <n v="174909"/>
    <x v="16"/>
    <d v="2017-03-31T00:00:00"/>
    <m/>
    <n v="0"/>
    <n v="8"/>
    <n v="8"/>
    <n v="73"/>
    <n v="73"/>
    <s v="Y"/>
    <s v="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
    <s v="PFLA"/>
    <d v="2015-07-03T00:00:00"/>
    <d v="2015-11-27T00:00:00"/>
    <x v="0"/>
    <s v="Nil"/>
    <m/>
    <s v="BF"/>
    <x v="0"/>
    <x v="1"/>
    <x v="1"/>
    <n v="0"/>
    <d v="2017-03-31T00:00:00"/>
    <x v="0"/>
    <m/>
    <x v="0"/>
    <s v="P"/>
    <s v="6.2.4"/>
    <m/>
    <n v="8"/>
    <m/>
    <n v="1"/>
    <m/>
    <n v="0"/>
    <n v="2"/>
    <n v="6"/>
    <n v="0"/>
    <n v="0"/>
    <n v="0"/>
    <n v="0"/>
    <n v="0"/>
    <n v="2"/>
    <n v="6"/>
    <n v="0"/>
    <n v="0"/>
    <n v="0"/>
    <n v="0"/>
    <n v="0"/>
    <n v="0"/>
    <n v="0"/>
    <n v="0"/>
    <n v="0"/>
    <n v="0"/>
    <n v="0"/>
    <n v="0"/>
    <n v="0"/>
    <n v="0"/>
    <n v="0"/>
    <n v="0"/>
    <n v="0"/>
    <n v="0"/>
    <s v="West"/>
    <x v="3"/>
    <x v="0"/>
    <x v="1"/>
    <x v="0"/>
    <x v="1"/>
    <x v="0"/>
    <m/>
    <x v="0"/>
    <s v="Y"/>
    <s v="3A"/>
    <m/>
    <n v="0"/>
    <n v="0"/>
    <n v="8"/>
    <n v="0"/>
    <n v="0"/>
    <n v="0"/>
    <n v="0"/>
    <n v="0"/>
    <n v="0"/>
    <n v="0"/>
    <n v="0"/>
    <n v="0"/>
    <n v="0"/>
    <n v="0"/>
    <n v="0"/>
    <n v="0"/>
    <n v="0"/>
    <n v="0"/>
    <n v="0"/>
    <n v="0"/>
    <n v="0"/>
    <n v="8"/>
    <n v="8"/>
  </r>
  <r>
    <n v="5292"/>
    <x v="2"/>
    <s v="2015/3563"/>
    <m/>
    <s v="Carlton House (&amp; 27A Carlton Drive), 85-91 Upper Richmond Road"/>
    <s v="BLOCK A FLOOR 7"/>
    <n v="524279"/>
    <n v="174909"/>
    <x v="16"/>
    <d v="2017-03-31T00:00:00"/>
    <m/>
    <n v="0"/>
    <n v="7"/>
    <n v="7"/>
    <n v="73"/>
    <n v="73"/>
    <s v="Y"/>
    <s v="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
    <s v="PFLA"/>
    <d v="2015-07-03T00:00:00"/>
    <d v="2015-11-27T00:00:00"/>
    <x v="0"/>
    <s v="Nil"/>
    <m/>
    <s v="BF"/>
    <x v="0"/>
    <x v="1"/>
    <x v="1"/>
    <n v="0"/>
    <d v="2017-03-31T00:00:00"/>
    <x v="0"/>
    <m/>
    <x v="0"/>
    <s v="P"/>
    <s v="6.2.4"/>
    <m/>
    <n v="7"/>
    <m/>
    <n v="1"/>
    <m/>
    <n v="0"/>
    <n v="0"/>
    <n v="6"/>
    <n v="1"/>
    <n v="0"/>
    <n v="0"/>
    <n v="0"/>
    <n v="0"/>
    <n v="0"/>
    <n v="6"/>
    <n v="1"/>
    <n v="0"/>
    <n v="0"/>
    <n v="0"/>
    <n v="0"/>
    <n v="0"/>
    <n v="0"/>
    <n v="0"/>
    <n v="0"/>
    <n v="0"/>
    <n v="0"/>
    <n v="0"/>
    <n v="0"/>
    <n v="0"/>
    <n v="0"/>
    <n v="0"/>
    <n v="0"/>
    <n v="0"/>
    <s v="West"/>
    <x v="3"/>
    <x v="0"/>
    <x v="1"/>
    <x v="0"/>
    <x v="1"/>
    <x v="0"/>
    <m/>
    <x v="0"/>
    <s v="Y"/>
    <s v="3A"/>
    <m/>
    <n v="0"/>
    <n v="0"/>
    <n v="7"/>
    <n v="0"/>
    <n v="0"/>
    <n v="0"/>
    <n v="0"/>
    <n v="0"/>
    <n v="0"/>
    <n v="0"/>
    <n v="0"/>
    <n v="0"/>
    <n v="0"/>
    <n v="0"/>
    <n v="0"/>
    <n v="0"/>
    <n v="0"/>
    <n v="0"/>
    <n v="0"/>
    <n v="0"/>
    <n v="0"/>
    <n v="7"/>
    <n v="7"/>
  </r>
  <r>
    <n v="5292"/>
    <x v="2"/>
    <s v="2015/3563"/>
    <m/>
    <s v="Carlton House (&amp; 27A Carlton Drive), 85-91 Upper Richmond Road"/>
    <s v="BLOCK A FLOOR 8"/>
    <n v="524279"/>
    <n v="174909"/>
    <x v="16"/>
    <d v="2017-03-31T00:00:00"/>
    <m/>
    <n v="0"/>
    <n v="4"/>
    <n v="4"/>
    <n v="73"/>
    <n v="73"/>
    <s v="Y"/>
    <s v="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
    <s v="PFLA"/>
    <d v="2015-07-03T00:00:00"/>
    <d v="2015-11-27T00:00:00"/>
    <x v="0"/>
    <s v="Nil"/>
    <m/>
    <s v="BF"/>
    <x v="0"/>
    <x v="1"/>
    <x v="1"/>
    <n v="0"/>
    <d v="2017-03-31T00:00:00"/>
    <x v="0"/>
    <m/>
    <x v="0"/>
    <s v="P"/>
    <s v="6.2.4"/>
    <m/>
    <n v="4"/>
    <m/>
    <n v="0"/>
    <m/>
    <n v="0"/>
    <n v="0"/>
    <n v="2"/>
    <n v="2"/>
    <n v="0"/>
    <n v="0"/>
    <n v="0"/>
    <n v="0"/>
    <n v="0"/>
    <n v="2"/>
    <n v="2"/>
    <n v="0"/>
    <n v="0"/>
    <n v="0"/>
    <n v="0"/>
    <n v="0"/>
    <n v="0"/>
    <n v="0"/>
    <n v="0"/>
    <n v="0"/>
    <n v="0"/>
    <n v="0"/>
    <n v="0"/>
    <n v="0"/>
    <n v="0"/>
    <n v="0"/>
    <n v="0"/>
    <n v="0"/>
    <s v="West"/>
    <x v="3"/>
    <x v="0"/>
    <x v="1"/>
    <x v="0"/>
    <x v="1"/>
    <x v="0"/>
    <m/>
    <x v="0"/>
    <s v="Y"/>
    <s v="3A"/>
    <m/>
    <n v="0"/>
    <n v="0"/>
    <n v="4"/>
    <n v="0"/>
    <n v="0"/>
    <n v="0"/>
    <n v="0"/>
    <n v="0"/>
    <n v="0"/>
    <n v="0"/>
    <n v="0"/>
    <n v="0"/>
    <n v="0"/>
    <n v="0"/>
    <n v="0"/>
    <n v="0"/>
    <n v="0"/>
    <n v="0"/>
    <n v="0"/>
    <n v="0"/>
    <n v="0"/>
    <n v="4"/>
    <n v="4"/>
  </r>
  <r>
    <n v="5292"/>
    <x v="2"/>
    <s v="2015/3563"/>
    <m/>
    <s v="Carlton House (&amp; 27A Carlton Drive), 85-91 Upper Richmond Road"/>
    <s v="BLOCK A FLOOR 9"/>
    <n v="524279"/>
    <n v="174909"/>
    <x v="16"/>
    <d v="2017-03-31T00:00:00"/>
    <m/>
    <n v="0"/>
    <n v="4"/>
    <n v="4"/>
    <n v="73"/>
    <n v="73"/>
    <s v="Y"/>
    <s v="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
    <s v="PFLA"/>
    <d v="2015-07-03T00:00:00"/>
    <d v="2015-11-27T00:00:00"/>
    <x v="0"/>
    <s v="Nil"/>
    <m/>
    <s v="BF"/>
    <x v="0"/>
    <x v="1"/>
    <x v="1"/>
    <n v="0"/>
    <d v="2017-03-31T00:00:00"/>
    <x v="0"/>
    <m/>
    <x v="0"/>
    <s v="P"/>
    <s v="6.2.4"/>
    <m/>
    <n v="4"/>
    <m/>
    <n v="0"/>
    <m/>
    <n v="0"/>
    <n v="0"/>
    <n v="2"/>
    <n v="2"/>
    <n v="0"/>
    <n v="0"/>
    <n v="0"/>
    <n v="0"/>
    <n v="0"/>
    <n v="2"/>
    <n v="2"/>
    <n v="0"/>
    <n v="0"/>
    <n v="0"/>
    <n v="0"/>
    <n v="0"/>
    <n v="0"/>
    <n v="0"/>
    <n v="0"/>
    <n v="0"/>
    <n v="0"/>
    <n v="0"/>
    <n v="0"/>
    <n v="0"/>
    <n v="0"/>
    <n v="0"/>
    <n v="0"/>
    <n v="0"/>
    <s v="West"/>
    <x v="3"/>
    <x v="0"/>
    <x v="1"/>
    <x v="0"/>
    <x v="1"/>
    <x v="0"/>
    <m/>
    <x v="0"/>
    <s v="Y"/>
    <s v="3A"/>
    <m/>
    <n v="0"/>
    <n v="0"/>
    <n v="4"/>
    <n v="0"/>
    <n v="0"/>
    <n v="0"/>
    <n v="0"/>
    <n v="0"/>
    <n v="0"/>
    <n v="0"/>
    <n v="0"/>
    <n v="0"/>
    <n v="0"/>
    <n v="0"/>
    <n v="0"/>
    <n v="0"/>
    <n v="0"/>
    <n v="0"/>
    <n v="0"/>
    <n v="0"/>
    <n v="0"/>
    <n v="4"/>
    <n v="4"/>
  </r>
  <r>
    <n v="5292"/>
    <x v="2"/>
    <s v="2015/3563"/>
    <m/>
    <s v="Carlton House (&amp; 27A Carlton Drive), 85-91 Upper Richmond Road"/>
    <s v="BLOCK B FLOOR 1"/>
    <n v="524279"/>
    <n v="174909"/>
    <x v="16"/>
    <d v="2017-03-31T00:00:00"/>
    <m/>
    <n v="0"/>
    <n v="4"/>
    <n v="4"/>
    <n v="73"/>
    <n v="73"/>
    <s v="Y"/>
    <s v="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
    <s v="PFLA"/>
    <d v="2015-07-03T00:00:00"/>
    <d v="2015-11-27T00:00:00"/>
    <x v="0"/>
    <s v="Nil"/>
    <m/>
    <s v="BF"/>
    <x v="0"/>
    <x v="1"/>
    <x v="1"/>
    <n v="0.21400000154972099"/>
    <d v="2017-03-31T00:00:00"/>
    <x v="0"/>
    <m/>
    <x v="2"/>
    <s v="HAAR"/>
    <s v="6.2.4"/>
    <m/>
    <n v="4"/>
    <m/>
    <n v="1"/>
    <m/>
    <n v="0"/>
    <n v="2"/>
    <n v="1"/>
    <n v="1"/>
    <n v="0"/>
    <n v="0"/>
    <n v="0"/>
    <n v="0"/>
    <n v="2"/>
    <n v="1"/>
    <n v="1"/>
    <n v="0"/>
    <n v="0"/>
    <n v="0"/>
    <n v="0"/>
    <n v="0"/>
    <n v="0"/>
    <n v="0"/>
    <n v="0"/>
    <n v="0"/>
    <n v="0"/>
    <n v="0"/>
    <n v="0"/>
    <n v="0"/>
    <n v="0"/>
    <n v="0"/>
    <n v="0"/>
    <n v="0"/>
    <s v="West"/>
    <x v="3"/>
    <x v="0"/>
    <x v="1"/>
    <x v="0"/>
    <x v="1"/>
    <x v="0"/>
    <m/>
    <x v="0"/>
    <s v="Y"/>
    <s v="3A"/>
    <m/>
    <n v="0"/>
    <n v="0"/>
    <n v="4"/>
    <n v="0"/>
    <n v="0"/>
    <n v="0"/>
    <n v="0"/>
    <n v="0"/>
    <n v="0"/>
    <n v="0"/>
    <n v="0"/>
    <n v="0"/>
    <n v="0"/>
    <n v="0"/>
    <n v="0"/>
    <n v="0"/>
    <n v="0"/>
    <n v="0"/>
    <n v="0"/>
    <n v="0"/>
    <n v="0"/>
    <n v="4"/>
    <n v="4"/>
  </r>
  <r>
    <n v="5292"/>
    <x v="2"/>
    <s v="2015/3563"/>
    <m/>
    <s v="Carlton House (&amp; 27A Carlton Drive), 85-91 Upper Richmond Road"/>
    <s v="BLOCK B FLOOR 2"/>
    <n v="524279"/>
    <n v="174909"/>
    <x v="16"/>
    <d v="2017-03-31T00:00:00"/>
    <m/>
    <n v="0"/>
    <n v="5"/>
    <n v="5"/>
    <n v="73"/>
    <n v="73"/>
    <s v="Y"/>
    <s v="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
    <s v="PFLA"/>
    <d v="2015-07-03T00:00:00"/>
    <d v="2015-11-27T00:00:00"/>
    <x v="0"/>
    <s v="Nil"/>
    <m/>
    <s v="BF"/>
    <x v="0"/>
    <x v="1"/>
    <x v="1"/>
    <n v="0"/>
    <d v="2017-03-31T00:00:00"/>
    <x v="0"/>
    <m/>
    <x v="2"/>
    <s v="HAAR"/>
    <s v="6.2.4"/>
    <m/>
    <n v="5"/>
    <m/>
    <n v="0"/>
    <m/>
    <n v="0"/>
    <n v="3"/>
    <n v="1"/>
    <n v="1"/>
    <n v="0"/>
    <n v="0"/>
    <n v="0"/>
    <n v="0"/>
    <n v="3"/>
    <n v="1"/>
    <n v="1"/>
    <n v="0"/>
    <n v="0"/>
    <n v="0"/>
    <n v="0"/>
    <n v="0"/>
    <n v="0"/>
    <n v="0"/>
    <n v="0"/>
    <n v="0"/>
    <n v="0"/>
    <n v="0"/>
    <n v="0"/>
    <n v="0"/>
    <n v="0"/>
    <n v="0"/>
    <n v="0"/>
    <n v="0"/>
    <s v="West"/>
    <x v="3"/>
    <x v="0"/>
    <x v="1"/>
    <x v="0"/>
    <x v="1"/>
    <x v="0"/>
    <m/>
    <x v="0"/>
    <s v="Y"/>
    <s v="3A"/>
    <m/>
    <n v="0"/>
    <n v="0"/>
    <n v="5"/>
    <n v="0"/>
    <n v="0"/>
    <n v="0"/>
    <n v="0"/>
    <n v="0"/>
    <n v="0"/>
    <n v="0"/>
    <n v="0"/>
    <n v="0"/>
    <n v="0"/>
    <n v="0"/>
    <n v="0"/>
    <n v="0"/>
    <n v="0"/>
    <n v="0"/>
    <n v="0"/>
    <n v="0"/>
    <n v="0"/>
    <n v="5"/>
    <n v="5"/>
  </r>
  <r>
    <n v="5292"/>
    <x v="2"/>
    <s v="2015/3563"/>
    <m/>
    <s v="Carlton House (&amp; 27A Carlton Drive), 85-91 Upper Richmond Road"/>
    <s v="BLOCK B FLOOR 3"/>
    <n v="524279"/>
    <n v="174909"/>
    <x v="16"/>
    <d v="2017-03-31T00:00:00"/>
    <m/>
    <n v="0"/>
    <n v="4"/>
    <n v="4"/>
    <n v="73"/>
    <n v="73"/>
    <s v="Y"/>
    <s v="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
    <s v="PFLA"/>
    <d v="2015-07-03T00:00:00"/>
    <d v="2015-11-27T00:00:00"/>
    <x v="0"/>
    <s v="Nil"/>
    <m/>
    <s v="BF"/>
    <x v="0"/>
    <x v="1"/>
    <x v="1"/>
    <n v="0"/>
    <d v="2017-03-31T00:00:00"/>
    <x v="0"/>
    <m/>
    <x v="2"/>
    <s v="HAAR"/>
    <s v="6.2.4"/>
    <m/>
    <n v="4"/>
    <m/>
    <n v="0"/>
    <m/>
    <n v="0"/>
    <n v="2"/>
    <n v="1"/>
    <n v="1"/>
    <n v="0"/>
    <n v="0"/>
    <n v="0"/>
    <n v="0"/>
    <n v="2"/>
    <n v="1"/>
    <n v="1"/>
    <n v="0"/>
    <n v="0"/>
    <n v="0"/>
    <n v="0"/>
    <n v="0"/>
    <n v="0"/>
    <n v="0"/>
    <n v="0"/>
    <n v="0"/>
    <n v="0"/>
    <n v="0"/>
    <n v="0"/>
    <n v="0"/>
    <n v="0"/>
    <n v="0"/>
    <n v="0"/>
    <n v="0"/>
    <s v="West"/>
    <x v="3"/>
    <x v="0"/>
    <x v="1"/>
    <x v="0"/>
    <x v="1"/>
    <x v="0"/>
    <m/>
    <x v="0"/>
    <s v="Y"/>
    <s v="3A"/>
    <m/>
    <n v="0"/>
    <n v="0"/>
    <n v="4"/>
    <n v="0"/>
    <n v="0"/>
    <n v="0"/>
    <n v="0"/>
    <n v="0"/>
    <n v="0"/>
    <n v="0"/>
    <n v="0"/>
    <n v="0"/>
    <n v="0"/>
    <n v="0"/>
    <n v="0"/>
    <n v="0"/>
    <n v="0"/>
    <n v="0"/>
    <n v="0"/>
    <n v="0"/>
    <n v="0"/>
    <n v="4"/>
    <n v="4"/>
  </r>
  <r>
    <n v="5348"/>
    <x v="2"/>
    <s v="2013/3041"/>
    <m/>
    <s v="5 Mayford Road"/>
    <m/>
    <n v="527772"/>
    <n v="173569"/>
    <x v="11"/>
    <d v="2018-03-31T00:00:00"/>
    <m/>
    <n v="0"/>
    <n v="5"/>
    <n v="5"/>
    <n v="5"/>
    <n v="5"/>
    <m/>
    <s v="Change of use from children's home (currently vacant) to 6 flats. Demolition of rear dormer, construction of two storey rear extension and dormer.  Removal of external stairs.  Demolition of garage and formation of 3 no parking bays.  Demolition of first floor bay to rear elevation."/>
    <s v="RP"/>
    <d v="2013-07-02T00:00:00"/>
    <d v="2014-10-24T00:00:00"/>
    <x v="0"/>
    <s v="APG"/>
    <d v="2015-09-22T00:00:00"/>
    <s v="BF"/>
    <x v="4"/>
    <x v="0"/>
    <x v="5"/>
    <n v="3.20000015199184E-2"/>
    <d v="2018-03-31T00:00:00"/>
    <x v="1"/>
    <m/>
    <x v="0"/>
    <s v="P"/>
    <m/>
    <m/>
    <n v="0"/>
    <m/>
    <n v="0"/>
    <m/>
    <n v="1"/>
    <n v="2"/>
    <n v="0"/>
    <n v="2"/>
    <n v="0"/>
    <n v="0"/>
    <n v="0"/>
    <n v="1"/>
    <n v="2"/>
    <n v="0"/>
    <n v="2"/>
    <n v="0"/>
    <n v="0"/>
    <n v="0"/>
    <n v="0"/>
    <n v="0"/>
    <n v="0"/>
    <n v="0"/>
    <n v="0"/>
    <n v="0"/>
    <n v="0"/>
    <n v="0"/>
    <n v="0"/>
    <n v="0"/>
    <n v="0"/>
    <n v="0"/>
    <n v="0"/>
    <n v="0"/>
    <s v="East"/>
    <x v="0"/>
    <x v="0"/>
    <x v="1"/>
    <x v="0"/>
    <x v="0"/>
    <x v="0"/>
    <m/>
    <x v="0"/>
    <s v="Y"/>
    <s v="8B"/>
    <m/>
    <n v="0"/>
    <n v="2.5"/>
    <n v="2.5"/>
    <n v="0"/>
    <n v="0"/>
    <n v="0"/>
    <n v="0"/>
    <n v="0"/>
    <n v="0"/>
    <n v="0"/>
    <n v="0"/>
    <n v="0"/>
    <n v="0"/>
    <n v="0"/>
    <n v="0"/>
    <n v="0"/>
    <n v="0"/>
    <n v="0"/>
    <n v="0"/>
    <n v="0"/>
    <n v="0"/>
    <n v="5"/>
    <n v="5"/>
  </r>
  <r>
    <n v="5363"/>
    <x v="2"/>
    <s v="2015/3069"/>
    <m/>
    <s v="Centre Square 1-9, 1 Hardwicks Square"/>
    <m/>
    <n v="525417"/>
    <n v="174604"/>
    <x v="5"/>
    <d v="2017-03-31T00:00:00"/>
    <m/>
    <n v="0"/>
    <n v="3"/>
    <n v="3"/>
    <n v="3"/>
    <n v="3"/>
    <m/>
    <s v="Determination as to whether prior approval is required for change of use from office (Class B1a) to three residential units (Class C3)."/>
    <s v="PANR"/>
    <d v="2015-06-18T00:00:00"/>
    <d v="2015-09-16T00:00:00"/>
    <x v="0"/>
    <s v="Nil"/>
    <m/>
    <s v="BF"/>
    <x v="3"/>
    <x v="0"/>
    <x v="9"/>
    <n v="4.1999999433755902E-2"/>
    <d v="2017-03-31T00:00:00"/>
    <x v="0"/>
    <m/>
    <x v="0"/>
    <s v="P"/>
    <m/>
    <m/>
    <n v="0"/>
    <m/>
    <n v="0"/>
    <m/>
    <n v="0"/>
    <n v="0"/>
    <n v="3"/>
    <n v="0"/>
    <n v="0"/>
    <n v="0"/>
    <n v="0"/>
    <n v="0"/>
    <n v="0"/>
    <n v="3"/>
    <n v="0"/>
    <n v="0"/>
    <n v="0"/>
    <n v="0"/>
    <n v="0"/>
    <n v="0"/>
    <n v="0"/>
    <n v="0"/>
    <n v="0"/>
    <n v="0"/>
    <n v="0"/>
    <n v="0"/>
    <n v="0"/>
    <n v="0"/>
    <n v="0"/>
    <n v="0"/>
    <n v="0"/>
    <n v="0"/>
    <s v="West"/>
    <x v="4"/>
    <x v="0"/>
    <x v="0"/>
    <x v="0"/>
    <x v="0"/>
    <x v="0"/>
    <m/>
    <x v="0"/>
    <s v="Y"/>
    <s v="8A"/>
    <m/>
    <n v="0"/>
    <n v="3"/>
    <n v="0"/>
    <n v="0"/>
    <n v="0"/>
    <n v="0"/>
    <n v="0"/>
    <n v="0"/>
    <n v="0"/>
    <n v="0"/>
    <n v="0"/>
    <n v="0"/>
    <n v="0"/>
    <n v="0"/>
    <n v="0"/>
    <n v="0"/>
    <n v="0"/>
    <n v="0"/>
    <n v="0"/>
    <n v="0"/>
    <n v="0"/>
    <n v="3"/>
    <n v="3"/>
  </r>
  <r>
    <n v="5376"/>
    <x v="2"/>
    <s v="2013/3267"/>
    <m/>
    <s v="land adjacent to 72, 72A Bedford Hill"/>
    <m/>
    <n v="528703"/>
    <n v="173099"/>
    <x v="11"/>
    <d v="2016-07-01T00:00:00"/>
    <m/>
    <n v="0"/>
    <n v="1"/>
    <n v="1"/>
    <n v="1"/>
    <n v="1"/>
    <m/>
    <s v="Erection of a three storey building (between 72 Bedford Hill and the railway embankment) to provide a shop/store on ground floor and a two bedroom maisonette on first and second floors.  (Amended drawings received  showing alterations to the development)"/>
    <s v="PF"/>
    <d v="2013-08-23T00:00:00"/>
    <d v="2014-07-23T00:00:00"/>
    <x v="0"/>
    <s v="Nil"/>
    <m/>
    <s v="BF"/>
    <x v="0"/>
    <x v="0"/>
    <x v="0"/>
    <n v="8.9999996125698107E-3"/>
    <d v="2016-07-01T00:00:00"/>
    <x v="0"/>
    <m/>
    <x v="0"/>
    <s v="P"/>
    <m/>
    <m/>
    <n v="0"/>
    <m/>
    <n v="0"/>
    <m/>
    <n v="0"/>
    <n v="0"/>
    <n v="1"/>
    <n v="0"/>
    <n v="0"/>
    <n v="0"/>
    <n v="0"/>
    <n v="0"/>
    <n v="0"/>
    <n v="1"/>
    <n v="0"/>
    <n v="0"/>
    <n v="0"/>
    <n v="0"/>
    <n v="0"/>
    <n v="0"/>
    <n v="0"/>
    <n v="0"/>
    <n v="0"/>
    <n v="0"/>
    <n v="0"/>
    <n v="0"/>
    <n v="0"/>
    <n v="0"/>
    <n v="0"/>
    <n v="0"/>
    <n v="0"/>
    <n v="0"/>
    <s v="East"/>
    <x v="0"/>
    <x v="0"/>
    <x v="1"/>
    <x v="0"/>
    <x v="0"/>
    <x v="0"/>
    <m/>
    <x v="0"/>
    <s v="Y"/>
    <s v="2A"/>
    <m/>
    <n v="0"/>
    <n v="1"/>
    <n v="0"/>
    <n v="0"/>
    <n v="0"/>
    <n v="0"/>
    <n v="0"/>
    <n v="0"/>
    <n v="0"/>
    <n v="0"/>
    <n v="0"/>
    <n v="0"/>
    <n v="0"/>
    <n v="0"/>
    <n v="0"/>
    <n v="0"/>
    <n v="0"/>
    <n v="0"/>
    <n v="0"/>
    <n v="0"/>
    <n v="0"/>
    <n v="1"/>
    <n v="1"/>
  </r>
  <r>
    <n v="5376"/>
    <x v="2"/>
    <s v="2017/2024"/>
    <m/>
    <s v="land adjacent to 72, 72A Bedford Hill"/>
    <m/>
    <n v="528703"/>
    <n v="173099"/>
    <x v="11"/>
    <d v="2017-11-06T00:00:00"/>
    <m/>
    <n v="0"/>
    <n v="1"/>
    <n v="1"/>
    <n v="1"/>
    <n v="1"/>
    <m/>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x v="1"/>
    <s v="Nil"/>
    <m/>
    <s v="BF"/>
    <x v="2"/>
    <x v="0"/>
    <x v="3"/>
    <n v="4.0000001899898104E-3"/>
    <d v="2017-11-06T00:00:00"/>
    <x v="1"/>
    <m/>
    <x v="0"/>
    <s v="P"/>
    <m/>
    <m/>
    <n v="0"/>
    <m/>
    <n v="0"/>
    <m/>
    <n v="1"/>
    <n v="0"/>
    <n v="0"/>
    <n v="0"/>
    <n v="0"/>
    <n v="0"/>
    <n v="0"/>
    <n v="1"/>
    <n v="0"/>
    <n v="0"/>
    <n v="0"/>
    <n v="0"/>
    <n v="0"/>
    <n v="0"/>
    <n v="0"/>
    <n v="0"/>
    <n v="0"/>
    <n v="0"/>
    <n v="0"/>
    <n v="0"/>
    <n v="0"/>
    <n v="0"/>
    <n v="0"/>
    <n v="0"/>
    <n v="0"/>
    <n v="0"/>
    <n v="0"/>
    <n v="0"/>
    <s v="East"/>
    <x v="0"/>
    <x v="0"/>
    <x v="1"/>
    <x v="0"/>
    <x v="0"/>
    <x v="0"/>
    <m/>
    <x v="0"/>
    <s v="Y"/>
    <s v="8B"/>
    <m/>
    <n v="0"/>
    <n v="0.5"/>
    <n v="0.5"/>
    <n v="0"/>
    <n v="0"/>
    <n v="0"/>
    <n v="0"/>
    <n v="0"/>
    <n v="0"/>
    <n v="0"/>
    <n v="0"/>
    <n v="0"/>
    <n v="0"/>
    <n v="0"/>
    <n v="0"/>
    <n v="0"/>
    <n v="0"/>
    <n v="0"/>
    <n v="0"/>
    <n v="0"/>
    <n v="0"/>
    <n v="1"/>
    <n v="1"/>
  </r>
  <r>
    <n v="5377"/>
    <x v="2"/>
    <s v="2016/4349"/>
    <m/>
    <s v="28 Tooting Bec Road"/>
    <m/>
    <n v="528146"/>
    <n v="172290"/>
    <x v="3"/>
    <d v="2018-03-31T00:00:00"/>
    <m/>
    <n v="1"/>
    <n v="3"/>
    <n v="2"/>
    <n v="3"/>
    <n v="2"/>
    <m/>
    <s v="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
    <s v="PF"/>
    <d v="2016-08-05T00:00:00"/>
    <d v="2016-10-24T00:00:00"/>
    <x v="0"/>
    <s v="Nil"/>
    <m/>
    <s v="BF"/>
    <x v="4"/>
    <x v="0"/>
    <x v="10"/>
    <n v="7.0000002160668399E-3"/>
    <d v="2018-03-31T00:00:00"/>
    <x v="1"/>
    <m/>
    <x v="0"/>
    <s v="P"/>
    <m/>
    <m/>
    <n v="0"/>
    <m/>
    <n v="0"/>
    <m/>
    <n v="0"/>
    <n v="2"/>
    <n v="1"/>
    <n v="-1"/>
    <n v="0"/>
    <n v="0"/>
    <n v="0"/>
    <n v="0"/>
    <n v="2"/>
    <n v="1"/>
    <n v="-1"/>
    <n v="0"/>
    <n v="0"/>
    <n v="0"/>
    <n v="0"/>
    <n v="0"/>
    <n v="0"/>
    <n v="0"/>
    <n v="0"/>
    <n v="0"/>
    <n v="0"/>
    <n v="0"/>
    <n v="0"/>
    <n v="0"/>
    <n v="0"/>
    <n v="0"/>
    <n v="0"/>
    <n v="0"/>
    <s v="East"/>
    <x v="0"/>
    <x v="0"/>
    <x v="1"/>
    <x v="0"/>
    <x v="0"/>
    <x v="0"/>
    <m/>
    <x v="0"/>
    <s v="Y"/>
    <s v="8B"/>
    <m/>
    <n v="0"/>
    <n v="1"/>
    <n v="1"/>
    <n v="0"/>
    <n v="0"/>
    <n v="0"/>
    <n v="0"/>
    <n v="0"/>
    <n v="0"/>
    <n v="0"/>
    <n v="0"/>
    <n v="0"/>
    <n v="0"/>
    <n v="0"/>
    <n v="0"/>
    <n v="0"/>
    <n v="0"/>
    <n v="0"/>
    <n v="0"/>
    <n v="0"/>
    <n v="0"/>
    <n v="2"/>
    <n v="2"/>
  </r>
  <r>
    <n v="5410"/>
    <x v="2"/>
    <s v="2017/2058"/>
    <m/>
    <s v="129-139 Beaumont Road"/>
    <m/>
    <n v="524095"/>
    <n v="173645"/>
    <x v="19"/>
    <d v="2018-01-26T00:00:00"/>
    <m/>
    <n v="0"/>
    <n v="28"/>
    <n v="28"/>
    <n v="28"/>
    <n v="28"/>
    <s v="Y"/>
    <s v="Demolition of the existing parade of shops to be replaced with a mixed use, commercial / residential block. Proposed block to be 5 storey and incorporate 28 residential units with commercial space at ground floor."/>
    <s v="PFLA"/>
    <d v="2017-04-27T00:00:00"/>
    <d v="2018-01-26T00:00:00"/>
    <x v="1"/>
    <s v="Nil"/>
    <m/>
    <s v="BF"/>
    <x v="0"/>
    <x v="1"/>
    <x v="1"/>
    <n v="4.6999998390674598E-2"/>
    <d v="2018-01-26T00:00:00"/>
    <x v="1"/>
    <m/>
    <x v="0"/>
    <s v="P"/>
    <m/>
    <m/>
    <n v="0"/>
    <m/>
    <n v="0"/>
    <n v="3"/>
    <n v="0"/>
    <n v="13"/>
    <n v="11"/>
    <n v="4"/>
    <n v="0"/>
    <n v="0"/>
    <n v="0"/>
    <n v="0"/>
    <n v="13"/>
    <n v="11"/>
    <n v="4"/>
    <n v="0"/>
    <n v="0"/>
    <n v="0"/>
    <n v="0"/>
    <n v="0"/>
    <n v="0"/>
    <n v="0"/>
    <n v="0"/>
    <n v="0"/>
    <n v="0"/>
    <n v="0"/>
    <n v="0"/>
    <n v="0"/>
    <n v="0"/>
    <n v="0"/>
    <n v="0"/>
    <n v="0"/>
    <s v="West"/>
    <x v="0"/>
    <x v="0"/>
    <x v="1"/>
    <x v="0"/>
    <x v="0"/>
    <x v="0"/>
    <m/>
    <x v="0"/>
    <s v="Y"/>
    <s v="3B"/>
    <m/>
    <n v="0"/>
    <n v="0"/>
    <n v="7"/>
    <n v="7"/>
    <n v="7"/>
    <n v="7"/>
    <n v="0"/>
    <n v="0"/>
    <n v="0"/>
    <n v="0"/>
    <n v="0"/>
    <n v="0"/>
    <n v="0"/>
    <n v="0"/>
    <n v="0"/>
    <n v="0"/>
    <n v="0"/>
    <n v="0"/>
    <n v="0"/>
    <n v="0"/>
    <n v="0"/>
    <n v="28"/>
    <n v="28"/>
  </r>
  <r>
    <n v="5442"/>
    <x v="2"/>
    <s v="2013/3516"/>
    <m/>
    <s v="70A Ravensbury Road"/>
    <m/>
    <n v="525614"/>
    <n v="172864"/>
    <x v="5"/>
    <d v="2014-03-31T00:00:00"/>
    <m/>
    <n v="0"/>
    <n v="1"/>
    <n v="1"/>
    <n v="1"/>
    <n v="1"/>
    <m/>
    <s v="Demolition of existing workshop. Erection of two-storey, 1-bedroom house with first floor level terrace to rear."/>
    <s v="PF"/>
    <d v="2013-07-15T00:00:00"/>
    <d v="2013-10-11T00:00:00"/>
    <x v="0"/>
    <s v="Nil"/>
    <m/>
    <s v="BF"/>
    <x v="0"/>
    <x v="0"/>
    <x v="0"/>
    <n v="4.0000001899898104E-3"/>
    <m/>
    <x v="0"/>
    <m/>
    <x v="0"/>
    <s v="P"/>
    <m/>
    <m/>
    <n v="0"/>
    <m/>
    <n v="0"/>
    <m/>
    <n v="0"/>
    <n v="1"/>
    <n v="0"/>
    <n v="0"/>
    <n v="0"/>
    <n v="0"/>
    <n v="0"/>
    <n v="0"/>
    <n v="0"/>
    <n v="0"/>
    <n v="0"/>
    <n v="0"/>
    <n v="0"/>
    <n v="0"/>
    <n v="0"/>
    <n v="1"/>
    <n v="0"/>
    <n v="0"/>
    <n v="0"/>
    <n v="0"/>
    <n v="0"/>
    <n v="0"/>
    <n v="0"/>
    <n v="0"/>
    <n v="0"/>
    <n v="0"/>
    <n v="0"/>
    <n v="0"/>
    <s v="West"/>
    <x v="0"/>
    <x v="0"/>
    <x v="1"/>
    <x v="0"/>
    <x v="0"/>
    <x v="0"/>
    <m/>
    <x v="1"/>
    <s v="Y"/>
    <s v="2A"/>
    <m/>
    <n v="0"/>
    <n v="1"/>
    <n v="0"/>
    <n v="0"/>
    <n v="0"/>
    <n v="0"/>
    <n v="0"/>
    <n v="0"/>
    <n v="0"/>
    <n v="0"/>
    <n v="0"/>
    <n v="0"/>
    <n v="0"/>
    <n v="0"/>
    <n v="0"/>
    <n v="0"/>
    <n v="0"/>
    <n v="0"/>
    <n v="0"/>
    <n v="0"/>
    <n v="0"/>
    <n v="1"/>
    <n v="1"/>
  </r>
  <r>
    <n v="5445"/>
    <x v="2"/>
    <s v="2013/3260"/>
    <m/>
    <s v="53 &amp; 55 Albert Bridge Road"/>
    <s v="55 Albert Bridge Road"/>
    <n v="527585"/>
    <n v="176783"/>
    <x v="1"/>
    <d v="2017-03-31T00:00:00"/>
    <m/>
    <n v="3"/>
    <n v="1"/>
    <n v="-2"/>
    <n v="1"/>
    <n v="-2"/>
    <m/>
    <s v="Demolition of the existing rear conservatories and erection of a two-storey (lower ground and ground floor level) 4.5m deep rear extension to both properties;  1200mm deep excavation of part of the lower ground floor levels to provide increased floor to ceiling level. The proposal also included the conversion of number 55 from 3 flats into a single house."/>
    <s v="PF"/>
    <d v="2013-07-02T00:00:00"/>
    <d v="2013-11-04T00:00:00"/>
    <x v="0"/>
    <s v="Nil"/>
    <m/>
    <s v="BF"/>
    <x v="4"/>
    <x v="0"/>
    <x v="7"/>
    <n v="2.4000000208616298E-2"/>
    <d v="2017-03-31T00:00:00"/>
    <x v="0"/>
    <m/>
    <x v="0"/>
    <s v="P"/>
    <m/>
    <m/>
    <n v="0"/>
    <m/>
    <n v="0"/>
    <m/>
    <n v="0"/>
    <n v="-1"/>
    <n v="-2"/>
    <n v="0"/>
    <n v="1"/>
    <n v="0"/>
    <n v="0"/>
    <n v="0"/>
    <n v="-1"/>
    <n v="-2"/>
    <n v="0"/>
    <n v="0"/>
    <n v="0"/>
    <n v="0"/>
    <n v="0"/>
    <n v="0"/>
    <n v="0"/>
    <n v="0"/>
    <n v="1"/>
    <n v="0"/>
    <n v="0"/>
    <n v="0"/>
    <n v="0"/>
    <n v="0"/>
    <n v="0"/>
    <n v="0"/>
    <n v="0"/>
    <n v="0"/>
    <s v="East"/>
    <x v="0"/>
    <x v="0"/>
    <x v="1"/>
    <x v="0"/>
    <x v="0"/>
    <x v="0"/>
    <m/>
    <x v="0"/>
    <s v="Y"/>
    <s v="8A"/>
    <m/>
    <n v="0"/>
    <n v="-2"/>
    <n v="0"/>
    <n v="0"/>
    <n v="0"/>
    <n v="0"/>
    <n v="0"/>
    <n v="0"/>
    <n v="0"/>
    <n v="0"/>
    <n v="0"/>
    <n v="0"/>
    <n v="0"/>
    <n v="0"/>
    <n v="0"/>
    <n v="0"/>
    <n v="0"/>
    <n v="0"/>
    <n v="0"/>
    <n v="0"/>
    <n v="0"/>
    <n v="-2"/>
    <n v="-2"/>
  </r>
  <r>
    <n v="5447"/>
    <x v="2"/>
    <s v="2014/0058"/>
    <m/>
    <s v="Land r/o, 14A Lavender Hill"/>
    <m/>
    <n v="528513"/>
    <n v="175788"/>
    <x v="10"/>
    <d v="2017-10-03T00:00:00"/>
    <m/>
    <n v="0"/>
    <n v="1"/>
    <n v="1"/>
    <n v="1"/>
    <n v="1"/>
    <m/>
    <s v="Erection of a one-bedroom dwelling at the rear of No.14 Lavender Hill with the associated amenity space, refuse and cycle space."/>
    <s v="PF"/>
    <d v="2014-01-08T00:00:00"/>
    <d v="2014-06-18T00:00:00"/>
    <x v="0"/>
    <s v="Nil"/>
    <m/>
    <s v="BF"/>
    <x v="0"/>
    <x v="0"/>
    <x v="0"/>
    <n v="2.3000000044703501E-2"/>
    <d v="2017-10-03T00:00:00"/>
    <x v="1"/>
    <m/>
    <x v="0"/>
    <s v="P"/>
    <m/>
    <m/>
    <n v="0"/>
    <m/>
    <n v="0"/>
    <m/>
    <n v="0"/>
    <n v="1"/>
    <n v="0"/>
    <n v="0"/>
    <n v="0"/>
    <n v="0"/>
    <n v="0"/>
    <n v="0"/>
    <n v="0"/>
    <n v="0"/>
    <n v="0"/>
    <n v="0"/>
    <n v="0"/>
    <n v="0"/>
    <n v="0"/>
    <n v="1"/>
    <n v="0"/>
    <n v="0"/>
    <n v="0"/>
    <n v="0"/>
    <n v="0"/>
    <n v="0"/>
    <n v="0"/>
    <n v="0"/>
    <n v="0"/>
    <n v="0"/>
    <n v="0"/>
    <n v="0"/>
    <s v="East"/>
    <x v="0"/>
    <x v="0"/>
    <x v="1"/>
    <x v="0"/>
    <x v="0"/>
    <x v="0"/>
    <m/>
    <x v="0"/>
    <s v="Y"/>
    <s v="2B"/>
    <m/>
    <n v="0"/>
    <n v="0.5"/>
    <n v="0.5"/>
    <n v="0"/>
    <n v="0"/>
    <n v="0"/>
    <n v="0"/>
    <n v="0"/>
    <n v="0"/>
    <n v="0"/>
    <n v="0"/>
    <n v="0"/>
    <n v="0"/>
    <n v="0"/>
    <n v="0"/>
    <n v="0"/>
    <n v="0"/>
    <n v="0"/>
    <n v="0"/>
    <n v="0"/>
    <n v="0"/>
    <n v="1"/>
    <n v="1"/>
  </r>
  <r>
    <n v="5453"/>
    <x v="2"/>
    <s v="2017/4995"/>
    <m/>
    <s v="Adjacent, 93 Bolingbroke Grove"/>
    <m/>
    <n v="527274"/>
    <n v="174710"/>
    <x v="14"/>
    <d v="2018-03-31T00:00:00"/>
    <m/>
    <n v="0"/>
    <n v="1"/>
    <n v="1"/>
    <n v="1"/>
    <n v="1"/>
    <m/>
    <s v="Erection of two storey (plus roof and basement) 5-bedroom house with associated car and cycle parking and refuse storage."/>
    <s v="PF"/>
    <d v="2017-09-11T00:00:00"/>
    <d v="2017-12-06T00:00:00"/>
    <x v="1"/>
    <s v="Nil"/>
    <m/>
    <s v="Gdn"/>
    <x v="0"/>
    <x v="0"/>
    <x v="0"/>
    <n v="9.00000035762787E-2"/>
    <d v="2018-03-31T00:00:00"/>
    <x v="1"/>
    <m/>
    <x v="0"/>
    <s v="P"/>
    <m/>
    <m/>
    <n v="0"/>
    <m/>
    <n v="0"/>
    <m/>
    <n v="0"/>
    <n v="0"/>
    <n v="0"/>
    <n v="0"/>
    <n v="0"/>
    <n v="1"/>
    <n v="0"/>
    <n v="0"/>
    <n v="0"/>
    <n v="0"/>
    <n v="0"/>
    <n v="0"/>
    <n v="0"/>
    <n v="0"/>
    <n v="0"/>
    <n v="0"/>
    <n v="0"/>
    <n v="0"/>
    <n v="0"/>
    <n v="1"/>
    <n v="0"/>
    <n v="0"/>
    <n v="0"/>
    <n v="0"/>
    <n v="0"/>
    <n v="0"/>
    <n v="0"/>
    <n v="0"/>
    <s v="East"/>
    <x v="0"/>
    <x v="0"/>
    <x v="1"/>
    <x v="0"/>
    <x v="0"/>
    <x v="0"/>
    <m/>
    <x v="0"/>
    <s v="Y"/>
    <s v="2B"/>
    <m/>
    <n v="0"/>
    <n v="0.5"/>
    <n v="0.5"/>
    <n v="0"/>
    <n v="0"/>
    <n v="0"/>
    <n v="0"/>
    <n v="0"/>
    <n v="0"/>
    <n v="0"/>
    <n v="0"/>
    <n v="0"/>
    <n v="0"/>
    <n v="0"/>
    <n v="0"/>
    <n v="0"/>
    <n v="0"/>
    <n v="0"/>
    <n v="0"/>
    <n v="0"/>
    <n v="0"/>
    <n v="1"/>
    <n v="1"/>
  </r>
  <r>
    <n v="5475"/>
    <x v="2"/>
    <s v="2013/5746"/>
    <m/>
    <s v="1 Prince of Wales Drive"/>
    <m/>
    <n v="527437"/>
    <n v="176713"/>
    <x v="1"/>
    <d v="2015-03-31T00:00:00"/>
    <m/>
    <n v="1"/>
    <n v="1"/>
    <n v="0"/>
    <n v="1"/>
    <n v="0"/>
    <m/>
    <s v="Partial demolition of existing building, and erection of extensions at ground, first and second floor to rear of retained section, with erection of two-storey side extension; excavation of new basement floorspace beneath whole of extended property, with formation of lightwells to the front and basement courtyard area to the rear; installation of new windows; replacement of front boundary treatment."/>
    <s v="PF"/>
    <d v="2013-11-27T00:00:00"/>
    <d v="2014-06-20T00:00:00"/>
    <x v="0"/>
    <s v="Nil"/>
    <m/>
    <s v="BF"/>
    <x v="0"/>
    <x v="0"/>
    <x v="0"/>
    <n v="3.9000000804662698E-2"/>
    <d v="2015-03-31T00:00:00"/>
    <x v="0"/>
    <m/>
    <x v="0"/>
    <s v="P"/>
    <m/>
    <m/>
    <n v="0"/>
    <m/>
    <n v="0"/>
    <m/>
    <n v="0"/>
    <n v="0"/>
    <n v="0"/>
    <n v="0"/>
    <n v="-1"/>
    <n v="1"/>
    <n v="0"/>
    <n v="0"/>
    <n v="0"/>
    <n v="0"/>
    <n v="0"/>
    <n v="0"/>
    <n v="0"/>
    <n v="0"/>
    <n v="0"/>
    <n v="0"/>
    <n v="0"/>
    <n v="0"/>
    <n v="-1"/>
    <n v="1"/>
    <n v="0"/>
    <n v="0"/>
    <n v="0"/>
    <n v="0"/>
    <n v="0"/>
    <n v="0"/>
    <n v="0"/>
    <n v="0"/>
    <s v="East"/>
    <x v="0"/>
    <x v="0"/>
    <x v="1"/>
    <x v="0"/>
    <x v="0"/>
    <x v="0"/>
    <m/>
    <x v="0"/>
    <s v="Y"/>
    <s v="2A"/>
    <m/>
    <n v="0"/>
    <n v="0"/>
    <n v="0"/>
    <n v="0"/>
    <n v="0"/>
    <n v="0"/>
    <n v="0"/>
    <n v="0"/>
    <n v="0"/>
    <n v="0"/>
    <n v="0"/>
    <n v="0"/>
    <n v="0"/>
    <n v="0"/>
    <n v="0"/>
    <n v="0"/>
    <n v="0"/>
    <n v="0"/>
    <n v="0"/>
    <n v="0"/>
    <n v="0"/>
    <n v="0"/>
    <n v="0"/>
  </r>
  <r>
    <n v="5514"/>
    <x v="2"/>
    <s v="2013/6430"/>
    <m/>
    <s v="15 Fernthorpe Road"/>
    <m/>
    <n v="529246"/>
    <n v="170855"/>
    <x v="12"/>
    <d v="2017-04-01T00:00:00"/>
    <m/>
    <n v="0"/>
    <n v="1"/>
    <n v="1"/>
    <n v="1"/>
    <n v="1"/>
    <m/>
    <s v="Demolition of existing garage. Construction of three-storey side extension with rear roof extension and conversion into self contained two bedroomed dwelling. Installation of 6 solar panels to front roof slope."/>
    <s v="PF"/>
    <d v="2014-01-08T00:00:00"/>
    <d v="2015-04-13T00:00:00"/>
    <x v="0"/>
    <s v="Nil"/>
    <m/>
    <s v="BF"/>
    <x v="4"/>
    <x v="0"/>
    <x v="0"/>
    <n v="7.0000002160668399E-3"/>
    <d v="2017-04-01T00:00:00"/>
    <x v="1"/>
    <m/>
    <x v="0"/>
    <s v="P"/>
    <m/>
    <m/>
    <n v="1"/>
    <m/>
    <n v="0"/>
    <m/>
    <n v="0"/>
    <n v="0"/>
    <n v="1"/>
    <n v="0"/>
    <n v="0"/>
    <n v="0"/>
    <n v="0"/>
    <n v="0"/>
    <n v="0"/>
    <n v="0"/>
    <n v="0"/>
    <n v="0"/>
    <n v="0"/>
    <n v="0"/>
    <n v="0"/>
    <n v="0"/>
    <n v="1"/>
    <n v="0"/>
    <n v="0"/>
    <n v="0"/>
    <n v="0"/>
    <n v="0"/>
    <n v="0"/>
    <n v="0"/>
    <n v="0"/>
    <n v="0"/>
    <n v="0"/>
    <n v="0"/>
    <s v="East"/>
    <x v="0"/>
    <x v="0"/>
    <x v="1"/>
    <x v="0"/>
    <x v="0"/>
    <x v="0"/>
    <m/>
    <x v="0"/>
    <s v="Y"/>
    <s v="8A"/>
    <m/>
    <n v="0"/>
    <n v="1"/>
    <n v="0"/>
    <n v="0"/>
    <n v="0"/>
    <n v="0"/>
    <n v="0"/>
    <n v="0"/>
    <n v="0"/>
    <n v="0"/>
    <n v="0"/>
    <n v="0"/>
    <n v="0"/>
    <n v="0"/>
    <n v="0"/>
    <n v="0"/>
    <n v="0"/>
    <n v="0"/>
    <n v="0"/>
    <n v="0"/>
    <n v="0"/>
    <n v="1"/>
    <n v="1"/>
  </r>
  <r>
    <n v="5532"/>
    <x v="2"/>
    <s v="2013/6641"/>
    <m/>
    <s v="Land between 96 to 126 and 128 to 162, Melody Road"/>
    <m/>
    <n v="526348"/>
    <n v="174401"/>
    <x v="17"/>
    <d v="2017-04-21T00:00:00"/>
    <m/>
    <n v="0"/>
    <n v="9"/>
    <n v="9"/>
    <n v="9"/>
    <n v="9"/>
    <m/>
    <s v="Three-storey detached building providing 9 units of supported housing; relocation of parking spaces including 3 additional spaces."/>
    <s v="PF"/>
    <d v="2014-01-07T00:00:00"/>
    <d v="2014-03-21T00:00:00"/>
    <x v="0"/>
    <s v="Nil"/>
    <m/>
    <s v="BF"/>
    <x v="0"/>
    <x v="0"/>
    <x v="0"/>
    <n v="6.7000001668930095E-2"/>
    <d v="2017-04-21T00:00:00"/>
    <x v="1"/>
    <m/>
    <x v="2"/>
    <s v="HASR"/>
    <m/>
    <m/>
    <n v="9"/>
    <m/>
    <n v="2"/>
    <m/>
    <n v="0"/>
    <n v="9"/>
    <n v="0"/>
    <n v="0"/>
    <n v="0"/>
    <n v="0"/>
    <n v="0"/>
    <n v="0"/>
    <n v="9"/>
    <n v="0"/>
    <n v="0"/>
    <n v="0"/>
    <n v="0"/>
    <n v="0"/>
    <n v="0"/>
    <n v="0"/>
    <n v="0"/>
    <n v="0"/>
    <n v="0"/>
    <n v="0"/>
    <n v="0"/>
    <n v="0"/>
    <n v="0"/>
    <n v="0"/>
    <n v="0"/>
    <n v="0"/>
    <n v="0"/>
    <n v="0"/>
    <s v="West"/>
    <x v="0"/>
    <x v="0"/>
    <x v="1"/>
    <x v="0"/>
    <x v="0"/>
    <x v="0"/>
    <m/>
    <x v="0"/>
    <s v="Y"/>
    <s v="2A"/>
    <m/>
    <n v="0"/>
    <n v="9"/>
    <n v="0"/>
    <n v="0"/>
    <n v="0"/>
    <n v="0"/>
    <n v="0"/>
    <n v="0"/>
    <n v="0"/>
    <n v="0"/>
    <n v="0"/>
    <n v="0"/>
    <n v="0"/>
    <n v="0"/>
    <n v="0"/>
    <n v="0"/>
    <n v="0"/>
    <n v="0"/>
    <n v="0"/>
    <n v="0"/>
    <n v="0"/>
    <n v="9"/>
    <n v="9"/>
  </r>
  <r>
    <n v="5554"/>
    <x v="2"/>
    <s v="2015/0277"/>
    <m/>
    <s v="Kerry Cottage, 1A Cambalt Road"/>
    <m/>
    <n v="523841"/>
    <n v="174804"/>
    <x v="16"/>
    <d v="2017-07-21T00:00:00"/>
    <m/>
    <n v="1"/>
    <n v="1"/>
    <n v="0"/>
    <n v="1"/>
    <n v="0"/>
    <m/>
    <s v="Demolition of existing building and erection of detached 2-storey house with accommodation at basement level; erection of east brick boundary wall."/>
    <s v="PF"/>
    <d v="2015-01-20T00:00:00"/>
    <d v="2015-03-17T00:00:00"/>
    <x v="0"/>
    <s v="Nil"/>
    <m/>
    <s v="BF"/>
    <x v="0"/>
    <x v="0"/>
    <x v="0"/>
    <n v="2.3000000044703501E-2"/>
    <d v="2017-07-21T00:00:00"/>
    <x v="1"/>
    <m/>
    <x v="0"/>
    <s v="P"/>
    <m/>
    <m/>
    <n v="0"/>
    <m/>
    <n v="0"/>
    <m/>
    <n v="0"/>
    <n v="0"/>
    <n v="0"/>
    <n v="-1"/>
    <n v="1"/>
    <n v="0"/>
    <n v="0"/>
    <n v="0"/>
    <n v="0"/>
    <n v="0"/>
    <n v="0"/>
    <n v="0"/>
    <n v="0"/>
    <n v="0"/>
    <n v="0"/>
    <n v="0"/>
    <n v="0"/>
    <n v="-1"/>
    <n v="1"/>
    <n v="0"/>
    <n v="0"/>
    <n v="0"/>
    <n v="0"/>
    <n v="0"/>
    <n v="0"/>
    <n v="0"/>
    <n v="0"/>
    <n v="0"/>
    <s v="West"/>
    <x v="0"/>
    <x v="0"/>
    <x v="1"/>
    <x v="0"/>
    <x v="0"/>
    <x v="0"/>
    <m/>
    <x v="0"/>
    <s v="Y"/>
    <s v="2A"/>
    <m/>
    <n v="0"/>
    <n v="0"/>
    <n v="0"/>
    <n v="0"/>
    <n v="0"/>
    <n v="0"/>
    <n v="0"/>
    <n v="0"/>
    <n v="0"/>
    <n v="0"/>
    <n v="0"/>
    <n v="0"/>
    <n v="0"/>
    <n v="0"/>
    <n v="0"/>
    <n v="0"/>
    <n v="0"/>
    <n v="0"/>
    <n v="0"/>
    <n v="0"/>
    <n v="0"/>
    <n v="0"/>
    <n v="0"/>
  </r>
  <r>
    <n v="5555"/>
    <x v="2"/>
    <s v="2013/6478"/>
    <m/>
    <s v="The Imperial Laundry, 71 Warriner Gardens"/>
    <m/>
    <n v="527992"/>
    <n v="176642"/>
    <x v="6"/>
    <d v="2017-03-31T00:00:00"/>
    <m/>
    <n v="0"/>
    <n v="9"/>
    <n v="9"/>
    <n v="9"/>
    <n v="9"/>
    <m/>
    <s v="Partial demolition of existing buildings on the site, and the erection of 9 five-storey houses (including basement level and accommodation within the roofspace) fronting Warriner Gardens, with associated private amenity space, balconies and terraces, and provision of 11 off-street parking spaces to the rear with vehicular access via the existing Imperial Laundry site entrance. The remainder of the Imperial Laundry site will remain in employment use."/>
    <s v="PF"/>
    <d v="2014-02-26T00:00:00"/>
    <d v="2015-01-21T00:00:00"/>
    <x v="0"/>
    <s v="Nil"/>
    <m/>
    <s v="BF"/>
    <x v="0"/>
    <x v="0"/>
    <x v="0"/>
    <n v="0.25600001215934798"/>
    <d v="2017-03-31T00:00:00"/>
    <x v="0"/>
    <m/>
    <x v="0"/>
    <s v="P"/>
    <m/>
    <m/>
    <n v="9"/>
    <m/>
    <n v="0"/>
    <m/>
    <n v="0"/>
    <n v="0"/>
    <n v="0"/>
    <n v="0"/>
    <n v="0"/>
    <n v="9"/>
    <n v="0"/>
    <n v="0"/>
    <n v="0"/>
    <n v="0"/>
    <n v="0"/>
    <n v="0"/>
    <n v="0"/>
    <n v="0"/>
    <n v="0"/>
    <n v="0"/>
    <n v="0"/>
    <n v="0"/>
    <n v="0"/>
    <n v="9"/>
    <n v="0"/>
    <n v="0"/>
    <n v="0"/>
    <n v="0"/>
    <n v="0"/>
    <n v="0"/>
    <n v="0"/>
    <n v="0"/>
    <s v="East"/>
    <x v="0"/>
    <x v="0"/>
    <x v="1"/>
    <x v="0"/>
    <x v="0"/>
    <x v="0"/>
    <m/>
    <x v="0"/>
    <s v="Y"/>
    <s v="2A"/>
    <m/>
    <n v="0"/>
    <n v="9"/>
    <n v="0"/>
    <n v="0"/>
    <n v="0"/>
    <n v="0"/>
    <n v="0"/>
    <n v="0"/>
    <n v="0"/>
    <n v="0"/>
    <n v="0"/>
    <n v="0"/>
    <n v="0"/>
    <n v="0"/>
    <n v="0"/>
    <n v="0"/>
    <n v="0"/>
    <n v="0"/>
    <n v="0"/>
    <n v="0"/>
    <n v="0"/>
    <n v="9"/>
    <n v="9"/>
  </r>
  <r>
    <n v="5585"/>
    <x v="2"/>
    <s v="2014/1385"/>
    <m/>
    <s v="36 Old Park Avenue"/>
    <m/>
    <n v="528205"/>
    <n v="174157"/>
    <x v="9"/>
    <d v="2016-10-20T00:00:00"/>
    <m/>
    <n v="0"/>
    <n v="1"/>
    <n v="1"/>
    <n v="1"/>
    <n v="1"/>
    <m/>
    <s v="Excavation to form a new basement level under the footprint of the existing house including front and rear lightwells to provide two bedrooms, bathroom, additional floorspace with access from new door in the west side elevation of the house; terrace platform and glazed bridge to rear; new window and door openings."/>
    <s v="PF"/>
    <d v="2014-03-27T00:00:00"/>
    <d v="2015-03-24T00:00:00"/>
    <x v="0"/>
    <s v="Nil"/>
    <m/>
    <s v="BF"/>
    <x v="0"/>
    <x v="0"/>
    <x v="0"/>
    <n v="8.0000003799796104E-3"/>
    <d v="2016-10-20T00:00:00"/>
    <x v="0"/>
    <m/>
    <x v="0"/>
    <s v="P"/>
    <m/>
    <m/>
    <n v="0"/>
    <m/>
    <n v="0"/>
    <m/>
    <n v="0"/>
    <n v="0"/>
    <n v="1"/>
    <n v="0"/>
    <n v="0"/>
    <n v="0"/>
    <n v="0"/>
    <n v="0"/>
    <n v="0"/>
    <n v="1"/>
    <n v="0"/>
    <n v="0"/>
    <n v="0"/>
    <n v="0"/>
    <n v="0"/>
    <n v="0"/>
    <n v="0"/>
    <n v="0"/>
    <n v="0"/>
    <n v="0"/>
    <n v="0"/>
    <n v="0"/>
    <n v="0"/>
    <n v="0"/>
    <n v="0"/>
    <n v="0"/>
    <n v="0"/>
    <n v="0"/>
    <s v="East"/>
    <x v="0"/>
    <x v="0"/>
    <x v="1"/>
    <x v="0"/>
    <x v="0"/>
    <x v="0"/>
    <m/>
    <x v="0"/>
    <s v="Y"/>
    <s v="2A"/>
    <m/>
    <n v="0"/>
    <n v="1"/>
    <n v="0"/>
    <n v="0"/>
    <n v="0"/>
    <n v="0"/>
    <n v="0"/>
    <n v="0"/>
    <n v="0"/>
    <n v="0"/>
    <n v="0"/>
    <n v="0"/>
    <n v="0"/>
    <n v="0"/>
    <n v="0"/>
    <n v="0"/>
    <n v="0"/>
    <n v="0"/>
    <n v="0"/>
    <n v="0"/>
    <n v="0"/>
    <n v="1"/>
    <n v="1"/>
  </r>
  <r>
    <n v="5592"/>
    <x v="2"/>
    <s v="2014/0340"/>
    <m/>
    <s v="165-167 St. Johns Hill"/>
    <m/>
    <n v="526732"/>
    <n v="175022"/>
    <x v="0"/>
    <d v="2015-03-31T00:00:00"/>
    <m/>
    <n v="1"/>
    <n v="3"/>
    <n v="2"/>
    <n v="3"/>
    <n v="2"/>
    <m/>
    <s v="Demolition of existing first floor accommodation with retention of existing frontage; erection of part single/part two storey extension above ground floor retail unit to provide 3 residential units."/>
    <s v="PF"/>
    <d v="2014-01-24T00:00:00"/>
    <d v="2014-04-15T00:00:00"/>
    <x v="0"/>
    <s v="Nil"/>
    <m/>
    <s v="BF"/>
    <x v="0"/>
    <x v="0"/>
    <x v="0"/>
    <n v="3.9999999105930301E-2"/>
    <d v="2015-03-31T00:00:00"/>
    <x v="0"/>
    <m/>
    <x v="0"/>
    <s v="P"/>
    <m/>
    <m/>
    <n v="0"/>
    <m/>
    <n v="0"/>
    <m/>
    <n v="0"/>
    <n v="0"/>
    <n v="2"/>
    <n v="0"/>
    <n v="0"/>
    <n v="0"/>
    <n v="0"/>
    <n v="0"/>
    <n v="0"/>
    <n v="2"/>
    <n v="0"/>
    <n v="0"/>
    <n v="0"/>
    <n v="0"/>
    <n v="0"/>
    <n v="0"/>
    <n v="0"/>
    <n v="0"/>
    <n v="0"/>
    <n v="0"/>
    <n v="0"/>
    <n v="0"/>
    <n v="0"/>
    <n v="0"/>
    <n v="0"/>
    <n v="0"/>
    <n v="0"/>
    <n v="0"/>
    <s v="West"/>
    <x v="0"/>
    <x v="0"/>
    <x v="1"/>
    <x v="0"/>
    <x v="0"/>
    <x v="0"/>
    <m/>
    <x v="0"/>
    <s v="Y"/>
    <s v="2A"/>
    <m/>
    <n v="0"/>
    <n v="2"/>
    <n v="0"/>
    <n v="0"/>
    <n v="0"/>
    <n v="0"/>
    <n v="0"/>
    <n v="0"/>
    <n v="0"/>
    <n v="0"/>
    <n v="0"/>
    <n v="0"/>
    <n v="0"/>
    <n v="0"/>
    <n v="0"/>
    <n v="0"/>
    <n v="0"/>
    <n v="0"/>
    <n v="0"/>
    <n v="0"/>
    <n v="0"/>
    <n v="2"/>
    <n v="2"/>
  </r>
  <r>
    <n v="5598"/>
    <x v="2"/>
    <s v="2015/5965"/>
    <m/>
    <s v="86-88 Mitcham Lane"/>
    <m/>
    <n v="529349"/>
    <n v="171212"/>
    <x v="12"/>
    <d v="2016-06-16T00:00:00"/>
    <m/>
    <n v="0"/>
    <n v="3"/>
    <n v="3"/>
    <n v="3"/>
    <n v="3"/>
    <m/>
    <s v="Erection of two-storey building with basement to provide three flats (2 x 2 bedroom and 1 x 1 bedroom) and associated communal garden, bin store and bicycle store."/>
    <s v="PF"/>
    <d v="2015-11-30T00:00:00"/>
    <d v="2016-01-25T00:00:00"/>
    <x v="0"/>
    <s v="Nil"/>
    <m/>
    <s v="BF"/>
    <x v="0"/>
    <x v="0"/>
    <x v="0"/>
    <n v="8.0000003799796104E-3"/>
    <d v="2016-06-16T00:00:00"/>
    <x v="0"/>
    <m/>
    <x v="0"/>
    <s v="P"/>
    <m/>
    <m/>
    <n v="3"/>
    <m/>
    <n v="0"/>
    <m/>
    <n v="0"/>
    <n v="1"/>
    <n v="2"/>
    <n v="0"/>
    <n v="0"/>
    <n v="0"/>
    <n v="0"/>
    <n v="0"/>
    <n v="1"/>
    <n v="2"/>
    <n v="0"/>
    <n v="0"/>
    <n v="0"/>
    <n v="0"/>
    <n v="0"/>
    <n v="0"/>
    <n v="0"/>
    <n v="0"/>
    <n v="0"/>
    <n v="0"/>
    <n v="0"/>
    <n v="0"/>
    <n v="0"/>
    <n v="0"/>
    <n v="0"/>
    <n v="0"/>
    <n v="0"/>
    <n v="0"/>
    <s v="East"/>
    <x v="0"/>
    <x v="0"/>
    <x v="1"/>
    <x v="0"/>
    <x v="0"/>
    <x v="0"/>
    <m/>
    <x v="0"/>
    <s v="Y"/>
    <s v="2A"/>
    <m/>
    <n v="0"/>
    <n v="3"/>
    <n v="0"/>
    <n v="0"/>
    <n v="0"/>
    <n v="0"/>
    <n v="0"/>
    <n v="0"/>
    <n v="0"/>
    <n v="0"/>
    <n v="0"/>
    <n v="0"/>
    <n v="0"/>
    <n v="0"/>
    <n v="0"/>
    <n v="0"/>
    <n v="0"/>
    <n v="0"/>
    <n v="0"/>
    <n v="0"/>
    <n v="0"/>
    <n v="3"/>
    <n v="3"/>
  </r>
  <r>
    <n v="5621"/>
    <x v="2"/>
    <s v="2014/0194"/>
    <m/>
    <s v="34 Gambole Road"/>
    <m/>
    <n v="527083"/>
    <n v="171544"/>
    <x v="4"/>
    <d v="2015-12-23T00:00:00"/>
    <m/>
    <n v="1"/>
    <n v="3"/>
    <n v="2"/>
    <n v="3"/>
    <n v="2"/>
    <m/>
    <s v="Construction of a single-storey rear extension, in connection with the conversion of the existing dwellinghouse to form; 1 x 3-bedroom flat, 1 x 2-bedroom flat &amp; 1 x 1-bedroom flat."/>
    <s v="PF"/>
    <d v="2014-01-15T00:00:00"/>
    <d v="2014-06-13T00:00:00"/>
    <x v="0"/>
    <s v="Nil"/>
    <m/>
    <s v="BF"/>
    <x v="1"/>
    <x v="0"/>
    <x v="8"/>
    <n v="1.60000007599592E-2"/>
    <d v="2015-12-23T00:00:00"/>
    <x v="0"/>
    <m/>
    <x v="0"/>
    <s v="P"/>
    <m/>
    <m/>
    <n v="0"/>
    <m/>
    <n v="0"/>
    <m/>
    <n v="0"/>
    <n v="1"/>
    <n v="1"/>
    <n v="1"/>
    <n v="-1"/>
    <n v="0"/>
    <n v="0"/>
    <n v="0"/>
    <n v="1"/>
    <n v="1"/>
    <n v="1"/>
    <n v="0"/>
    <n v="0"/>
    <n v="0"/>
    <n v="0"/>
    <n v="0"/>
    <n v="0"/>
    <n v="0"/>
    <n v="-1"/>
    <n v="0"/>
    <n v="0"/>
    <n v="0"/>
    <n v="0"/>
    <n v="0"/>
    <n v="0"/>
    <n v="0"/>
    <n v="0"/>
    <n v="0"/>
    <s v="East"/>
    <x v="0"/>
    <x v="0"/>
    <x v="1"/>
    <x v="0"/>
    <x v="0"/>
    <x v="0"/>
    <m/>
    <x v="0"/>
    <s v="Y"/>
    <s v="8A"/>
    <m/>
    <n v="0"/>
    <n v="2"/>
    <n v="0"/>
    <n v="0"/>
    <n v="0"/>
    <n v="0"/>
    <n v="0"/>
    <n v="0"/>
    <n v="0"/>
    <n v="0"/>
    <n v="0"/>
    <n v="0"/>
    <n v="0"/>
    <n v="0"/>
    <n v="0"/>
    <n v="0"/>
    <n v="0"/>
    <n v="0"/>
    <n v="0"/>
    <n v="0"/>
    <n v="0"/>
    <n v="2"/>
    <n v="2"/>
  </r>
  <r>
    <n v="5625"/>
    <x v="2"/>
    <s v="2014/0338"/>
    <m/>
    <s v="60 Culvderden Road"/>
    <m/>
    <n v="529202"/>
    <n v="172619"/>
    <x v="3"/>
    <d v="2017-07-11T00:00:00"/>
    <m/>
    <n v="0"/>
    <n v="2"/>
    <n v="2"/>
    <n v="2"/>
    <n v="2"/>
    <m/>
    <s v="Demolition of three storey rear extension. Excavation of basement to create 2 no. 2 bedroom flats, including front and rear lightwells, two storey extension to rear, and roof extension to the rear. Alterations to all windows and doors, associated landscaping and front boundary treatments and provision of refuse and cycle storage."/>
    <s v="PF"/>
    <d v="2014-02-10T00:00:00"/>
    <d v="2014-06-26T00:00:00"/>
    <x v="0"/>
    <s v="Nil"/>
    <m/>
    <s v="BF"/>
    <x v="0"/>
    <x v="0"/>
    <x v="0"/>
    <n v="2.0999999716877899E-2"/>
    <d v="2017-07-11T00:00:00"/>
    <x v="1"/>
    <m/>
    <x v="0"/>
    <s v="P"/>
    <m/>
    <m/>
    <n v="0"/>
    <m/>
    <n v="0"/>
    <m/>
    <n v="0"/>
    <n v="0"/>
    <n v="2"/>
    <n v="0"/>
    <n v="0"/>
    <n v="0"/>
    <n v="0"/>
    <n v="0"/>
    <n v="0"/>
    <n v="2"/>
    <n v="0"/>
    <n v="0"/>
    <n v="0"/>
    <n v="0"/>
    <n v="0"/>
    <n v="0"/>
    <n v="0"/>
    <n v="0"/>
    <n v="0"/>
    <n v="0"/>
    <n v="0"/>
    <n v="0"/>
    <n v="0"/>
    <n v="0"/>
    <n v="0"/>
    <n v="0"/>
    <n v="0"/>
    <n v="0"/>
    <s v="East"/>
    <x v="0"/>
    <x v="0"/>
    <x v="1"/>
    <x v="0"/>
    <x v="0"/>
    <x v="0"/>
    <m/>
    <x v="0"/>
    <s v="Y"/>
    <s v="2A"/>
    <m/>
    <n v="0"/>
    <n v="2"/>
    <n v="0"/>
    <n v="0"/>
    <n v="0"/>
    <n v="0"/>
    <n v="0"/>
    <n v="0"/>
    <n v="0"/>
    <n v="0"/>
    <n v="0"/>
    <n v="0"/>
    <n v="0"/>
    <n v="0"/>
    <n v="0"/>
    <n v="0"/>
    <n v="0"/>
    <n v="0"/>
    <n v="0"/>
    <n v="0"/>
    <n v="0"/>
    <n v="2"/>
    <n v="2"/>
  </r>
  <r>
    <n v="5626"/>
    <x v="2"/>
    <s v="2014/0641"/>
    <m/>
    <s v="Bedford House, 215 Balham High Road"/>
    <m/>
    <n v="528298"/>
    <n v="172753"/>
    <x v="3"/>
    <d v="2017-03-31T00:00:00"/>
    <m/>
    <n v="0"/>
    <n v="41"/>
    <n v="41"/>
    <n v="52"/>
    <n v="52"/>
    <s v="Y"/>
    <s v="Demolition of existing building and redevelopment of the site by the erection of a new building up to 8-storeys plus lower ground floor level high, providing 52 residential units (8 x 1 bedroom; 41 x 2 bedroom 3 x 3 bedroom) of both private and affordable tenure, with associated amenity space, including balconies and roof terraces, cycle storage and refuse storage facilities, together with provision of a new electricity sub-station and alterations to vehicular and pedestrian access from Balham High Road."/>
    <s v="PFLA"/>
    <d v="2014-02-10T00:00:00"/>
    <d v="2014-06-27T00:00:00"/>
    <x v="0"/>
    <s v="Nil"/>
    <m/>
    <s v="BF"/>
    <x v="0"/>
    <x v="1"/>
    <x v="1"/>
    <n v="8.5000000894069699E-2"/>
    <d v="2017-03-31T00:00:00"/>
    <x v="0"/>
    <m/>
    <x v="0"/>
    <s v="P"/>
    <m/>
    <m/>
    <n v="32"/>
    <m/>
    <n v="4"/>
    <m/>
    <n v="0"/>
    <n v="7"/>
    <n v="32"/>
    <n v="2"/>
    <n v="0"/>
    <n v="0"/>
    <n v="0"/>
    <n v="0"/>
    <n v="7"/>
    <n v="32"/>
    <n v="2"/>
    <n v="0"/>
    <n v="0"/>
    <n v="0"/>
    <n v="0"/>
    <n v="0"/>
    <n v="0"/>
    <n v="0"/>
    <n v="0"/>
    <n v="0"/>
    <n v="0"/>
    <n v="0"/>
    <n v="0"/>
    <n v="0"/>
    <n v="0"/>
    <n v="0"/>
    <n v="0"/>
    <n v="0"/>
    <s v="East"/>
    <x v="0"/>
    <x v="0"/>
    <x v="1"/>
    <x v="0"/>
    <x v="0"/>
    <x v="0"/>
    <m/>
    <x v="0"/>
    <s v="Y"/>
    <s v="3A"/>
    <m/>
    <n v="0"/>
    <n v="0"/>
    <n v="41"/>
    <n v="0"/>
    <n v="0"/>
    <n v="0"/>
    <n v="0"/>
    <n v="0"/>
    <n v="0"/>
    <n v="0"/>
    <n v="0"/>
    <n v="0"/>
    <n v="0"/>
    <n v="0"/>
    <n v="0"/>
    <n v="0"/>
    <n v="0"/>
    <n v="0"/>
    <n v="0"/>
    <n v="0"/>
    <n v="0"/>
    <n v="41"/>
    <n v="41"/>
  </r>
  <r>
    <n v="5626"/>
    <x v="2"/>
    <s v="2014/0641"/>
    <m/>
    <s v="Bedford House, 215 Balham High Road"/>
    <m/>
    <n v="528298"/>
    <n v="172753"/>
    <x v="3"/>
    <d v="2017-03-31T00:00:00"/>
    <m/>
    <n v="0"/>
    <n v="9"/>
    <n v="9"/>
    <n v="52"/>
    <n v="52"/>
    <s v="Y"/>
    <s v="Demolition of existing building and redevelopment of the site by the erection of a new building up to 8-storeys plus lower ground floor level high, providing 52 residential units (8 x 1 bedroom; 41 x 2 bedroom 3 x 3 bedroom) of both private and affordable tenure, with associated amenity space, including balconies and roof terraces, cycle storage and refuse storage facilities, together with provision of a new electricity sub-station and alterations to vehicular and pedestrian access from Balham High Road."/>
    <s v="PFLA"/>
    <d v="2014-02-10T00:00:00"/>
    <d v="2014-06-27T00:00:00"/>
    <x v="0"/>
    <s v="Nil"/>
    <m/>
    <s v="BF"/>
    <x v="0"/>
    <x v="1"/>
    <x v="1"/>
    <n v="1.4999999664723899E-2"/>
    <d v="2017-03-31T00:00:00"/>
    <x v="0"/>
    <m/>
    <x v="2"/>
    <s v="HASR"/>
    <m/>
    <m/>
    <n v="9"/>
    <m/>
    <n v="1"/>
    <m/>
    <n v="0"/>
    <n v="1"/>
    <n v="7"/>
    <n v="1"/>
    <n v="0"/>
    <n v="0"/>
    <n v="0"/>
    <n v="0"/>
    <n v="1"/>
    <n v="7"/>
    <n v="1"/>
    <n v="0"/>
    <n v="0"/>
    <n v="0"/>
    <n v="0"/>
    <n v="0"/>
    <n v="0"/>
    <n v="0"/>
    <n v="0"/>
    <n v="0"/>
    <n v="0"/>
    <n v="0"/>
    <n v="0"/>
    <n v="0"/>
    <n v="0"/>
    <n v="0"/>
    <n v="0"/>
    <n v="0"/>
    <s v="East"/>
    <x v="0"/>
    <x v="0"/>
    <x v="1"/>
    <x v="0"/>
    <x v="0"/>
    <x v="0"/>
    <m/>
    <x v="0"/>
    <s v="Y"/>
    <s v="3A"/>
    <m/>
    <n v="0"/>
    <n v="0"/>
    <n v="9"/>
    <n v="0"/>
    <n v="0"/>
    <n v="0"/>
    <n v="0"/>
    <n v="0"/>
    <n v="0"/>
    <n v="0"/>
    <n v="0"/>
    <n v="0"/>
    <n v="0"/>
    <n v="0"/>
    <n v="0"/>
    <n v="0"/>
    <n v="0"/>
    <n v="0"/>
    <n v="0"/>
    <n v="0"/>
    <n v="0"/>
    <n v="9"/>
    <n v="9"/>
  </r>
  <r>
    <n v="5626"/>
    <x v="2"/>
    <s v="2014/0641"/>
    <m/>
    <s v="Bedford House, 215 Balham High Road"/>
    <m/>
    <n v="528298"/>
    <n v="172753"/>
    <x v="3"/>
    <d v="2017-03-31T00:00:00"/>
    <m/>
    <n v="0"/>
    <n v="2"/>
    <n v="2"/>
    <n v="52"/>
    <n v="52"/>
    <s v="Y"/>
    <s v="Demolition of existing building and redevelopment of the site by the erection of a new building up to 8-storeys plus lower ground floor level high, providing 52 residential units (8 x 1 bedroom; 41 x 2 bedroom 3 x 3 bedroom) of both private and affordable tenure, with associated amenity space, including balconies and roof terraces, cycle storage and refuse storage facilities, together with provision of a new electricity sub-station and alterations to vehicular and pedestrian access from Balham High Road."/>
    <s v="PFLA"/>
    <d v="2014-02-10T00:00:00"/>
    <d v="2014-06-27T00:00:00"/>
    <x v="0"/>
    <s v="Nil"/>
    <m/>
    <s v="BF"/>
    <x v="0"/>
    <x v="1"/>
    <x v="1"/>
    <n v="8.9999996125698107E-3"/>
    <d v="2017-03-31T00:00:00"/>
    <x v="0"/>
    <m/>
    <x v="1"/>
    <s v="HASO"/>
    <m/>
    <m/>
    <n v="2"/>
    <m/>
    <n v="0"/>
    <m/>
    <n v="0"/>
    <n v="0"/>
    <n v="2"/>
    <n v="0"/>
    <n v="0"/>
    <n v="0"/>
    <n v="0"/>
    <n v="0"/>
    <n v="0"/>
    <n v="2"/>
    <n v="0"/>
    <n v="0"/>
    <n v="0"/>
    <n v="0"/>
    <n v="0"/>
    <n v="0"/>
    <n v="0"/>
    <n v="0"/>
    <n v="0"/>
    <n v="0"/>
    <n v="0"/>
    <n v="0"/>
    <n v="0"/>
    <n v="0"/>
    <n v="0"/>
    <n v="0"/>
    <n v="0"/>
    <n v="0"/>
    <s v="East"/>
    <x v="0"/>
    <x v="0"/>
    <x v="1"/>
    <x v="0"/>
    <x v="0"/>
    <x v="0"/>
    <m/>
    <x v="0"/>
    <s v="Y"/>
    <s v="3A"/>
    <m/>
    <n v="0"/>
    <n v="0"/>
    <n v="2"/>
    <n v="0"/>
    <n v="0"/>
    <n v="0"/>
    <n v="0"/>
    <n v="0"/>
    <n v="0"/>
    <n v="0"/>
    <n v="0"/>
    <n v="0"/>
    <n v="0"/>
    <n v="0"/>
    <n v="0"/>
    <n v="0"/>
    <n v="0"/>
    <n v="0"/>
    <n v="0"/>
    <n v="0"/>
    <n v="0"/>
    <n v="2"/>
    <n v="2"/>
  </r>
  <r>
    <n v="5630"/>
    <x v="2"/>
    <s v="2014/0618"/>
    <m/>
    <s v="56 Trinity Road"/>
    <m/>
    <n v="527902"/>
    <n v="172490"/>
    <x v="11"/>
    <d v="2017-07-03T00:00:00"/>
    <m/>
    <n v="0"/>
    <n v="1"/>
    <n v="1"/>
    <n v="1"/>
    <n v="1"/>
    <m/>
    <s v="Construction of side/rear extension in connection with the conversion of part of existing hairdressers (Shop- Class A1) to one-bedroom flat (Class C3). Formation of window openings to rear facade."/>
    <s v="PF"/>
    <d v="2014-02-07T00:00:00"/>
    <d v="2014-07-11T00:00:00"/>
    <x v="0"/>
    <s v="Nil"/>
    <m/>
    <s v="BF"/>
    <x v="4"/>
    <x v="0"/>
    <x v="0"/>
    <n v="4.9999998882412902E-3"/>
    <d v="2017-07-03T00:00:00"/>
    <x v="1"/>
    <m/>
    <x v="0"/>
    <s v="P"/>
    <m/>
    <m/>
    <n v="0"/>
    <m/>
    <n v="0"/>
    <m/>
    <n v="0"/>
    <n v="1"/>
    <n v="0"/>
    <n v="0"/>
    <n v="0"/>
    <n v="0"/>
    <n v="0"/>
    <n v="0"/>
    <n v="1"/>
    <n v="0"/>
    <n v="0"/>
    <n v="0"/>
    <n v="0"/>
    <n v="0"/>
    <n v="0"/>
    <n v="0"/>
    <n v="0"/>
    <n v="0"/>
    <n v="0"/>
    <n v="0"/>
    <n v="0"/>
    <n v="0"/>
    <n v="0"/>
    <n v="0"/>
    <n v="0"/>
    <n v="0"/>
    <n v="0"/>
    <n v="0"/>
    <s v="East"/>
    <x v="0"/>
    <x v="0"/>
    <x v="1"/>
    <x v="0"/>
    <x v="0"/>
    <x v="0"/>
    <m/>
    <x v="0"/>
    <s v="Y"/>
    <s v="8A"/>
    <m/>
    <n v="0"/>
    <n v="1"/>
    <n v="0"/>
    <n v="0"/>
    <n v="0"/>
    <n v="0"/>
    <n v="0"/>
    <n v="0"/>
    <n v="0"/>
    <n v="0"/>
    <n v="0"/>
    <n v="0"/>
    <n v="0"/>
    <n v="0"/>
    <n v="0"/>
    <n v="0"/>
    <n v="0"/>
    <n v="0"/>
    <n v="0"/>
    <n v="0"/>
    <n v="0"/>
    <n v="1"/>
    <n v="1"/>
  </r>
  <r>
    <n v="5645"/>
    <x v="2"/>
    <s v="2014/5735"/>
    <s v="Ransomes Dock Business Centre"/>
    <s v="Unit 17, 18 21, 22 &amp; 23 Ransomes Dock Business Centre, 35-37 Parkgate Road"/>
    <m/>
    <n v="527292"/>
    <n v="177189"/>
    <x v="1"/>
    <d v="2015-02-25T00:00:00"/>
    <m/>
    <n v="0"/>
    <n v="1"/>
    <n v="1"/>
    <n v="2"/>
    <n v="2"/>
    <m/>
    <s v="Change of use of first floor units from offices (Use Class B1) to residentail (Use Class C3) as two studio flats."/>
    <s v="PAG"/>
    <d v="2014-11-04T00:00:00"/>
    <d v="2015-02-25T00:00:00"/>
    <x v="0"/>
    <s v="Nil"/>
    <m/>
    <s v="BF"/>
    <x v="3"/>
    <x v="0"/>
    <x v="9"/>
    <n v="4.9999998882412902E-3"/>
    <m/>
    <x v="0"/>
    <m/>
    <x v="0"/>
    <s v="P"/>
    <m/>
    <m/>
    <n v="0"/>
    <m/>
    <n v="0"/>
    <m/>
    <n v="1"/>
    <n v="0"/>
    <n v="0"/>
    <n v="0"/>
    <n v="0"/>
    <n v="0"/>
    <n v="0"/>
    <n v="1"/>
    <n v="0"/>
    <n v="0"/>
    <n v="0"/>
    <n v="0"/>
    <n v="0"/>
    <n v="0"/>
    <n v="0"/>
    <n v="0"/>
    <n v="0"/>
    <n v="0"/>
    <n v="0"/>
    <n v="0"/>
    <n v="0"/>
    <n v="0"/>
    <n v="0"/>
    <n v="0"/>
    <n v="0"/>
    <n v="0"/>
    <n v="0"/>
    <n v="0"/>
    <s v="East"/>
    <x v="0"/>
    <x v="0"/>
    <x v="1"/>
    <x v="0"/>
    <x v="0"/>
    <x v="0"/>
    <s v="Y"/>
    <x v="0"/>
    <s v="Y"/>
    <s v="8A"/>
    <m/>
    <n v="0"/>
    <n v="1"/>
    <n v="0"/>
    <n v="0"/>
    <n v="0"/>
    <n v="0"/>
    <n v="0"/>
    <n v="0"/>
    <n v="0"/>
    <n v="0"/>
    <n v="0"/>
    <n v="0"/>
    <n v="0"/>
    <n v="0"/>
    <n v="0"/>
    <n v="0"/>
    <n v="0"/>
    <n v="0"/>
    <n v="0"/>
    <n v="0"/>
    <n v="0"/>
    <n v="1"/>
    <n v="1"/>
  </r>
  <r>
    <n v="5646"/>
    <x v="2"/>
    <s v="2017/4151"/>
    <m/>
    <s v="64 St Johns Road"/>
    <m/>
    <n v="527378"/>
    <n v="175255"/>
    <x v="14"/>
    <d v="2017-09-15T00:00:00"/>
    <m/>
    <n v="0"/>
    <n v="3"/>
    <n v="3"/>
    <n v="3"/>
    <n v="3"/>
    <m/>
    <s v="Prior approval for change of use of first, second and third floors from offices (Class B1a) to residential use (Class C3) as 3 flats."/>
    <s v="PAG"/>
    <d v="2017-07-25T00:00:00"/>
    <d v="2017-09-15T00:00:00"/>
    <x v="1"/>
    <s v="Nil"/>
    <m/>
    <s v="BF"/>
    <x v="3"/>
    <x v="0"/>
    <x v="9"/>
    <n v="4.0000001899898104E-3"/>
    <d v="2017-09-15T00:00:00"/>
    <x v="1"/>
    <m/>
    <x v="0"/>
    <s v="P"/>
    <m/>
    <m/>
    <n v="0"/>
    <m/>
    <n v="0"/>
    <m/>
    <n v="2"/>
    <n v="1"/>
    <n v="0"/>
    <n v="0"/>
    <n v="0"/>
    <n v="0"/>
    <n v="0"/>
    <n v="2"/>
    <n v="1"/>
    <n v="0"/>
    <n v="0"/>
    <n v="0"/>
    <n v="0"/>
    <n v="0"/>
    <n v="0"/>
    <n v="0"/>
    <n v="0"/>
    <n v="0"/>
    <n v="0"/>
    <n v="0"/>
    <n v="0"/>
    <n v="0"/>
    <n v="0"/>
    <n v="0"/>
    <n v="0"/>
    <n v="0"/>
    <n v="0"/>
    <n v="0"/>
    <s v="East"/>
    <x v="5"/>
    <x v="0"/>
    <x v="1"/>
    <x v="0"/>
    <x v="0"/>
    <x v="0"/>
    <m/>
    <x v="0"/>
    <s v="Y"/>
    <s v="8A"/>
    <m/>
    <n v="0"/>
    <n v="3"/>
    <n v="0"/>
    <n v="0"/>
    <n v="0"/>
    <n v="0"/>
    <n v="0"/>
    <n v="0"/>
    <n v="0"/>
    <n v="0"/>
    <n v="0"/>
    <n v="0"/>
    <n v="0"/>
    <n v="0"/>
    <n v="0"/>
    <n v="0"/>
    <n v="0"/>
    <n v="0"/>
    <n v="0"/>
    <n v="0"/>
    <n v="0"/>
    <n v="3"/>
    <n v="3"/>
  </r>
  <r>
    <n v="5665"/>
    <x v="2"/>
    <s v="2015/1446"/>
    <m/>
    <s v="176 Upper Tooting Road"/>
    <m/>
    <n v="527697"/>
    <n v="171921"/>
    <x v="4"/>
    <d v="2018-03-31T00:00:00"/>
    <m/>
    <n v="0"/>
    <n v="1"/>
    <n v="1"/>
    <n v="2"/>
    <n v="1"/>
    <m/>
    <s v="Erection of second floor extension (with front and rear mansards) to create additional storey of accommodation including the creation of an additional one bedroom residential flat; erection of a part single-storey, part two-storey rear extension; external rear staircase and first floor balconies."/>
    <s v="PF"/>
    <d v="2015-04-18T00:00:00"/>
    <d v="2015-06-10T00:00:00"/>
    <x v="0"/>
    <s v="Nil"/>
    <m/>
    <s v="BF"/>
    <x v="4"/>
    <x v="0"/>
    <x v="0"/>
    <n v="3.0000000260770299E-3"/>
    <d v="2018-03-31T00:00:00"/>
    <x v="1"/>
    <m/>
    <x v="0"/>
    <s v="P"/>
    <m/>
    <m/>
    <n v="0"/>
    <m/>
    <n v="0"/>
    <m/>
    <n v="1"/>
    <n v="0"/>
    <n v="0"/>
    <n v="0"/>
    <n v="0"/>
    <n v="0"/>
    <n v="0"/>
    <n v="1"/>
    <n v="0"/>
    <n v="0"/>
    <n v="0"/>
    <n v="0"/>
    <n v="0"/>
    <n v="0"/>
    <n v="0"/>
    <n v="0"/>
    <n v="0"/>
    <n v="0"/>
    <n v="0"/>
    <n v="0"/>
    <n v="0"/>
    <n v="0"/>
    <n v="0"/>
    <n v="0"/>
    <n v="0"/>
    <n v="0"/>
    <n v="0"/>
    <n v="0"/>
    <s v="East"/>
    <x v="1"/>
    <x v="0"/>
    <x v="1"/>
    <x v="0"/>
    <x v="0"/>
    <x v="0"/>
    <m/>
    <x v="0"/>
    <s v="Y"/>
    <s v="8B"/>
    <m/>
    <n v="0"/>
    <n v="0.5"/>
    <n v="0.5"/>
    <n v="0"/>
    <n v="0"/>
    <n v="0"/>
    <n v="0"/>
    <n v="0"/>
    <n v="0"/>
    <n v="0"/>
    <n v="0"/>
    <n v="0"/>
    <n v="0"/>
    <n v="0"/>
    <n v="0"/>
    <n v="0"/>
    <n v="0"/>
    <n v="0"/>
    <n v="0"/>
    <n v="0"/>
    <n v="0"/>
    <n v="1"/>
    <n v="1"/>
  </r>
  <r>
    <n v="5665"/>
    <x v="2"/>
    <s v="2015/1446"/>
    <m/>
    <s v="176 Upper Tooting Road"/>
    <m/>
    <n v="527697"/>
    <n v="171921"/>
    <x v="4"/>
    <d v="2018-03-31T00:00:00"/>
    <m/>
    <n v="1"/>
    <n v="1"/>
    <n v="0"/>
    <n v="2"/>
    <n v="1"/>
    <m/>
    <s v="Erection of second floor extension (with front and rear mansards) to create additional storey of accommodation including the creation of an additional one bedroom residential flat; erection of a part single-storey, part two-storey rear extension; external rear staircase and first floor balconies."/>
    <s v="PF"/>
    <d v="2015-04-18T00:00:00"/>
    <d v="2015-06-10T00:00:00"/>
    <x v="0"/>
    <s v="Nil"/>
    <m/>
    <s v="BF"/>
    <x v="4"/>
    <x v="0"/>
    <x v="10"/>
    <n v="3.0000000260770299E-3"/>
    <d v="2018-03-31T00:00:00"/>
    <x v="1"/>
    <m/>
    <x v="0"/>
    <s v="P"/>
    <m/>
    <m/>
    <n v="0"/>
    <m/>
    <n v="0"/>
    <m/>
    <n v="0"/>
    <n v="-1"/>
    <n v="1"/>
    <n v="0"/>
    <n v="0"/>
    <n v="0"/>
    <n v="0"/>
    <n v="0"/>
    <n v="-1"/>
    <n v="1"/>
    <n v="0"/>
    <n v="0"/>
    <n v="0"/>
    <n v="0"/>
    <n v="0"/>
    <n v="0"/>
    <n v="0"/>
    <n v="0"/>
    <n v="0"/>
    <n v="0"/>
    <n v="0"/>
    <n v="0"/>
    <n v="0"/>
    <n v="0"/>
    <n v="0"/>
    <n v="0"/>
    <n v="0"/>
    <n v="0"/>
    <s v="East"/>
    <x v="1"/>
    <x v="0"/>
    <x v="1"/>
    <x v="0"/>
    <x v="0"/>
    <x v="0"/>
    <m/>
    <x v="0"/>
    <s v="Y"/>
    <s v="8B"/>
    <m/>
    <n v="0"/>
    <n v="0"/>
    <n v="0"/>
    <n v="0"/>
    <n v="0"/>
    <n v="0"/>
    <n v="0"/>
    <n v="0"/>
    <n v="0"/>
    <n v="0"/>
    <n v="0"/>
    <n v="0"/>
    <n v="0"/>
    <n v="0"/>
    <n v="0"/>
    <n v="0"/>
    <n v="0"/>
    <n v="0"/>
    <n v="0"/>
    <n v="0"/>
    <n v="0"/>
    <n v="0"/>
    <n v="0"/>
  </r>
  <r>
    <n v="5701"/>
    <x v="2"/>
    <s v="2014/3755"/>
    <m/>
    <s v="71 Lavender Hill"/>
    <m/>
    <n v="528325"/>
    <n v="175700"/>
    <x v="10"/>
    <d v="2017-05-23T00:00:00"/>
    <m/>
    <n v="0"/>
    <n v="3"/>
    <n v="3"/>
    <n v="3"/>
    <n v="3"/>
    <m/>
    <s v="Construction of first and second floor rear extensions and roof terraces, and mansard roof extension to create an additional storey of accommodation with roof terrace in connection with the creation of three self-contained flats (1 x 1-bedroom, 1 x 2-bedroom and 1 x 4-bedroom unit). Ground floor alterations to shop front, insertion of side windows and access gate."/>
    <s v="PF"/>
    <d v="2014-08-04T00:00:00"/>
    <d v="2014-11-25T00:00:00"/>
    <x v="0"/>
    <s v="Nil"/>
    <m/>
    <s v="BF"/>
    <x v="4"/>
    <x v="0"/>
    <x v="0"/>
    <n v="6.0000000521540598E-3"/>
    <d v="2017-05-23T00:00:00"/>
    <x v="1"/>
    <m/>
    <x v="0"/>
    <s v="P"/>
    <m/>
    <m/>
    <n v="0"/>
    <m/>
    <n v="0"/>
    <m/>
    <n v="1"/>
    <n v="0"/>
    <n v="1"/>
    <n v="0"/>
    <n v="1"/>
    <n v="0"/>
    <n v="0"/>
    <n v="1"/>
    <n v="0"/>
    <n v="1"/>
    <n v="0"/>
    <n v="1"/>
    <n v="0"/>
    <n v="0"/>
    <n v="0"/>
    <n v="0"/>
    <n v="0"/>
    <n v="0"/>
    <n v="0"/>
    <n v="0"/>
    <n v="0"/>
    <n v="0"/>
    <n v="0"/>
    <n v="0"/>
    <n v="0"/>
    <n v="0"/>
    <n v="0"/>
    <n v="0"/>
    <s v="East"/>
    <x v="0"/>
    <x v="0"/>
    <x v="1"/>
    <x v="0"/>
    <x v="0"/>
    <x v="0"/>
    <m/>
    <x v="0"/>
    <s v="Y"/>
    <s v="8A"/>
    <m/>
    <n v="0"/>
    <n v="3"/>
    <n v="0"/>
    <n v="0"/>
    <n v="0"/>
    <n v="0"/>
    <n v="0"/>
    <n v="0"/>
    <n v="0"/>
    <n v="0"/>
    <n v="0"/>
    <n v="0"/>
    <n v="0"/>
    <n v="0"/>
    <n v="0"/>
    <n v="0"/>
    <n v="0"/>
    <n v="0"/>
    <n v="0"/>
    <n v="0"/>
    <n v="0"/>
    <n v="3"/>
    <n v="3"/>
  </r>
  <r>
    <n v="5703"/>
    <x v="2"/>
    <s v="2014/4483"/>
    <m/>
    <s v="Grange Cottage, 8A Bramcote Road"/>
    <m/>
    <n v="522881"/>
    <n v="175249"/>
    <x v="7"/>
    <d v="2017-03-31T00:00:00"/>
    <m/>
    <n v="1"/>
    <n v="1"/>
    <n v="0"/>
    <n v="1"/>
    <n v="0"/>
    <m/>
    <s v="Demolition of existing house and erection of two-storey (plus basement) house with a first floor balcony, associated landscaping and felling of 4 trees. Further consultation following Tree survey and site boundary adjustments."/>
    <s v="PF"/>
    <d v="2014-09-15T00:00:00"/>
    <d v="2014-12-22T00:00:00"/>
    <x v="0"/>
    <s v="Nil"/>
    <m/>
    <s v="BF"/>
    <x v="0"/>
    <x v="0"/>
    <x v="0"/>
    <n v="3.20000015199184E-2"/>
    <d v="2017-03-31T00:00:00"/>
    <x v="0"/>
    <m/>
    <x v="0"/>
    <s v="P"/>
    <m/>
    <m/>
    <n v="0"/>
    <m/>
    <n v="0"/>
    <m/>
    <n v="0"/>
    <n v="0"/>
    <n v="0"/>
    <n v="-1"/>
    <n v="1"/>
    <n v="0"/>
    <n v="0"/>
    <n v="0"/>
    <n v="0"/>
    <n v="0"/>
    <n v="0"/>
    <n v="0"/>
    <n v="0"/>
    <n v="0"/>
    <n v="0"/>
    <n v="0"/>
    <n v="0"/>
    <n v="-1"/>
    <n v="1"/>
    <n v="0"/>
    <n v="0"/>
    <n v="0"/>
    <n v="0"/>
    <n v="0"/>
    <n v="0"/>
    <n v="0"/>
    <n v="0"/>
    <n v="0"/>
    <s v="West"/>
    <x v="0"/>
    <x v="0"/>
    <x v="1"/>
    <x v="0"/>
    <x v="0"/>
    <x v="0"/>
    <m/>
    <x v="0"/>
    <s v="Y"/>
    <s v="2A"/>
    <m/>
    <n v="0"/>
    <n v="0"/>
    <n v="0"/>
    <n v="0"/>
    <n v="0"/>
    <n v="0"/>
    <n v="0"/>
    <n v="0"/>
    <n v="0"/>
    <n v="0"/>
    <n v="0"/>
    <n v="0"/>
    <n v="0"/>
    <n v="0"/>
    <n v="0"/>
    <n v="0"/>
    <n v="0"/>
    <n v="0"/>
    <n v="0"/>
    <n v="0"/>
    <n v="0"/>
    <n v="0"/>
    <n v="0"/>
  </r>
  <r>
    <n v="5717"/>
    <x v="2"/>
    <s v="2014/7166"/>
    <m/>
    <s v="Rear of, 60 Culverden Road"/>
    <m/>
    <n v="529218"/>
    <n v="172611"/>
    <x v="3"/>
    <d v="2017-04-01T00:00:00"/>
    <m/>
    <n v="0"/>
    <n v="1"/>
    <n v="1"/>
    <n v="1"/>
    <n v="1"/>
    <m/>
    <s v="Conversion of 5 vacant residential garages into a 1 x 2 bedroom dwelling including excavation to create basement level accomodation and a courtyard."/>
    <s v="PF"/>
    <d v="2014-12-17T00:00:00"/>
    <d v="2015-02-13T00:00:00"/>
    <x v="0"/>
    <s v="Nil"/>
    <m/>
    <s v="BF"/>
    <x v="0"/>
    <x v="0"/>
    <x v="0"/>
    <n v="3.0000000260770299E-3"/>
    <d v="2017-04-01T00:00:00"/>
    <x v="1"/>
    <m/>
    <x v="0"/>
    <s v="P"/>
    <m/>
    <m/>
    <n v="0"/>
    <m/>
    <n v="0"/>
    <m/>
    <n v="0"/>
    <n v="0"/>
    <n v="1"/>
    <n v="0"/>
    <n v="0"/>
    <n v="0"/>
    <n v="0"/>
    <n v="0"/>
    <n v="0"/>
    <n v="0"/>
    <n v="0"/>
    <n v="0"/>
    <n v="0"/>
    <n v="0"/>
    <n v="0"/>
    <n v="0"/>
    <n v="1"/>
    <n v="0"/>
    <n v="0"/>
    <n v="0"/>
    <n v="0"/>
    <n v="0"/>
    <n v="0"/>
    <n v="0"/>
    <n v="0"/>
    <n v="0"/>
    <n v="0"/>
    <n v="0"/>
    <s v="East"/>
    <x v="0"/>
    <x v="0"/>
    <x v="1"/>
    <x v="0"/>
    <x v="0"/>
    <x v="0"/>
    <m/>
    <x v="0"/>
    <s v="Y"/>
    <s v="2A"/>
    <m/>
    <n v="0"/>
    <n v="1"/>
    <n v="0"/>
    <n v="0"/>
    <n v="0"/>
    <n v="0"/>
    <n v="0"/>
    <n v="0"/>
    <n v="0"/>
    <n v="0"/>
    <n v="0"/>
    <n v="0"/>
    <n v="0"/>
    <n v="0"/>
    <n v="0"/>
    <n v="0"/>
    <n v="0"/>
    <n v="0"/>
    <n v="0"/>
    <n v="0"/>
    <n v="0"/>
    <n v="1"/>
    <n v="1"/>
  </r>
  <r>
    <n v="5723"/>
    <x v="2"/>
    <s v="2014/4756"/>
    <m/>
    <s v="63C Chartfield Avenue"/>
    <m/>
    <n v="522904"/>
    <n v="174633"/>
    <x v="7"/>
    <d v="2016-01-29T00:00:00"/>
    <m/>
    <n v="1"/>
    <n v="1"/>
    <n v="0"/>
    <n v="1"/>
    <n v="0"/>
    <m/>
    <s v="Demolition of existing property and erection of a four-storey (including basement level and accommodation within the roofspace) detached house."/>
    <s v="PF"/>
    <d v="2014-09-08T00:00:00"/>
    <d v="2015-01-21T00:00:00"/>
    <x v="0"/>
    <s v="Nil"/>
    <m/>
    <s v="BF"/>
    <x v="0"/>
    <x v="0"/>
    <x v="0"/>
    <n v="5.0000000745058101E-2"/>
    <d v="2016-01-29T00:00:00"/>
    <x v="0"/>
    <m/>
    <x v="0"/>
    <s v="P"/>
    <m/>
    <m/>
    <n v="0"/>
    <m/>
    <n v="0"/>
    <m/>
    <n v="0"/>
    <n v="0"/>
    <n v="0"/>
    <n v="-1"/>
    <n v="0"/>
    <n v="1"/>
    <n v="0"/>
    <n v="0"/>
    <n v="0"/>
    <n v="0"/>
    <n v="0"/>
    <n v="0"/>
    <n v="0"/>
    <n v="0"/>
    <n v="0"/>
    <n v="0"/>
    <n v="0"/>
    <n v="-1"/>
    <n v="0"/>
    <n v="1"/>
    <n v="0"/>
    <n v="0"/>
    <n v="0"/>
    <n v="0"/>
    <n v="0"/>
    <n v="0"/>
    <n v="0"/>
    <n v="0"/>
    <s v="West"/>
    <x v="0"/>
    <x v="0"/>
    <x v="1"/>
    <x v="0"/>
    <x v="0"/>
    <x v="0"/>
    <m/>
    <x v="0"/>
    <s v="Y"/>
    <s v="2A"/>
    <m/>
    <n v="0"/>
    <n v="0"/>
    <n v="0"/>
    <n v="0"/>
    <n v="0"/>
    <n v="0"/>
    <n v="0"/>
    <n v="0"/>
    <n v="0"/>
    <n v="0"/>
    <n v="0"/>
    <n v="0"/>
    <n v="0"/>
    <n v="0"/>
    <n v="0"/>
    <n v="0"/>
    <n v="0"/>
    <n v="0"/>
    <n v="0"/>
    <n v="0"/>
    <n v="0"/>
    <n v="0"/>
    <n v="0"/>
  </r>
  <r>
    <n v="5740"/>
    <x v="2"/>
    <s v="2014/4964"/>
    <m/>
    <s v="Land Adjacent, 60 Hereward Road"/>
    <m/>
    <n v="527507"/>
    <n v="171899"/>
    <x v="4"/>
    <d v="2015-03-31T00:00:00"/>
    <m/>
    <n v="0"/>
    <n v="1"/>
    <n v="1"/>
    <n v="1"/>
    <n v="1"/>
    <m/>
    <s v="Erection of a two-storey 3-bed dwelling with primary access off Hereward Road (Outline) (All matters reserved)"/>
    <s v="PF"/>
    <d v="2014-10-01T00:00:00"/>
    <d v="2014-12-17T00:00:00"/>
    <x v="0"/>
    <s v="Nil"/>
    <m/>
    <s v="BF"/>
    <x v="0"/>
    <x v="0"/>
    <x v="0"/>
    <n v="4.9999998882412902E-3"/>
    <d v="2015-03-31T00:00:00"/>
    <x v="0"/>
    <m/>
    <x v="0"/>
    <s v="P"/>
    <m/>
    <m/>
    <n v="0"/>
    <m/>
    <n v="0"/>
    <m/>
    <n v="0"/>
    <n v="0"/>
    <n v="0"/>
    <n v="1"/>
    <n v="0"/>
    <n v="0"/>
    <n v="0"/>
    <n v="0"/>
    <n v="0"/>
    <n v="0"/>
    <n v="0"/>
    <n v="0"/>
    <n v="0"/>
    <n v="0"/>
    <n v="0"/>
    <n v="0"/>
    <n v="0"/>
    <n v="1"/>
    <n v="0"/>
    <n v="0"/>
    <n v="0"/>
    <n v="0"/>
    <n v="0"/>
    <n v="0"/>
    <n v="0"/>
    <n v="0"/>
    <n v="0"/>
    <n v="0"/>
    <s v="East"/>
    <x v="0"/>
    <x v="0"/>
    <x v="1"/>
    <x v="0"/>
    <x v="0"/>
    <x v="0"/>
    <m/>
    <x v="0"/>
    <s v="Y"/>
    <s v="2A"/>
    <m/>
    <n v="0"/>
    <n v="1"/>
    <n v="0"/>
    <n v="0"/>
    <n v="0"/>
    <n v="0"/>
    <n v="0"/>
    <n v="0"/>
    <n v="0"/>
    <n v="0"/>
    <n v="0"/>
    <n v="0"/>
    <n v="0"/>
    <n v="0"/>
    <n v="0"/>
    <n v="0"/>
    <n v="0"/>
    <n v="0"/>
    <n v="0"/>
    <n v="0"/>
    <n v="0"/>
    <n v="1"/>
    <n v="1"/>
  </r>
  <r>
    <n v="5751"/>
    <x v="2"/>
    <s v="2014/5714"/>
    <m/>
    <s v="8 Ormeley Road"/>
    <m/>
    <n v="528740"/>
    <n v="173517"/>
    <x v="9"/>
    <d v="2015-09-02T00:00:00"/>
    <m/>
    <n v="2"/>
    <n v="1"/>
    <n v="-1"/>
    <n v="1"/>
    <n v="-1"/>
    <m/>
    <s v="Erection of extension above existing two storey side extension within front recess, single-storey rear extension and excavation to create a basement all in connection with the change from use of two flats to a single dwellinghouse."/>
    <s v="PF"/>
    <d v="2014-10-07T00:00:00"/>
    <d v="2014-12-19T00:00:00"/>
    <x v="0"/>
    <s v="Nil"/>
    <m/>
    <s v="BF"/>
    <x v="4"/>
    <x v="0"/>
    <x v="7"/>
    <n v="2.8000000864267301E-2"/>
    <d v="2015-09-02T00:00:00"/>
    <x v="0"/>
    <m/>
    <x v="0"/>
    <s v="P"/>
    <m/>
    <m/>
    <n v="0"/>
    <m/>
    <n v="0"/>
    <m/>
    <n v="0"/>
    <n v="-1"/>
    <n v="-1"/>
    <n v="0"/>
    <n v="1"/>
    <n v="0"/>
    <n v="0"/>
    <n v="0"/>
    <n v="-1"/>
    <n v="-1"/>
    <n v="0"/>
    <n v="0"/>
    <n v="0"/>
    <n v="0"/>
    <n v="0"/>
    <n v="0"/>
    <n v="0"/>
    <n v="0"/>
    <n v="1"/>
    <n v="0"/>
    <n v="0"/>
    <n v="0"/>
    <n v="0"/>
    <n v="0"/>
    <n v="0"/>
    <n v="0"/>
    <n v="0"/>
    <n v="0"/>
    <s v="East"/>
    <x v="0"/>
    <x v="0"/>
    <x v="1"/>
    <x v="0"/>
    <x v="0"/>
    <x v="0"/>
    <m/>
    <x v="0"/>
    <s v="Y"/>
    <s v="8A"/>
    <m/>
    <n v="0"/>
    <n v="-1"/>
    <n v="0"/>
    <n v="0"/>
    <n v="0"/>
    <n v="0"/>
    <n v="0"/>
    <n v="0"/>
    <n v="0"/>
    <n v="0"/>
    <n v="0"/>
    <n v="0"/>
    <n v="0"/>
    <n v="0"/>
    <n v="0"/>
    <n v="0"/>
    <n v="0"/>
    <n v="0"/>
    <n v="0"/>
    <n v="0"/>
    <n v="0"/>
    <n v="-1"/>
    <n v="-1"/>
  </r>
  <r>
    <n v="5767"/>
    <x v="2"/>
    <s v="2014/5357"/>
    <m/>
    <s v="56-66 Gwynne Road"/>
    <m/>
    <n v="526797"/>
    <n v="176325"/>
    <x v="1"/>
    <d v="2017-07-21T00:00:00"/>
    <m/>
    <n v="0"/>
    <n v="22"/>
    <n v="22"/>
    <n v="33"/>
    <n v="33"/>
    <s v="Y"/>
    <s v="Redevelopment of the site comprising of the demolition of the existing two-storey commercial building, excavation to form new basement and replacement with a new 14 storey building to provide mixed use comprising of commercial/retail at ground &amp; mezzanine levels and 33 residential  flats above with cycle and refuse storage facilities at basement level."/>
    <s v="PFLA"/>
    <d v="2014-09-16T00:00:00"/>
    <d v="2016-01-07T00:00:00"/>
    <x v="0"/>
    <s v="Nil"/>
    <m/>
    <s v="BF"/>
    <x v="4"/>
    <x v="1"/>
    <x v="1"/>
    <n v="1.2000000104308101E-2"/>
    <d v="2017-07-21T00:00:00"/>
    <x v="1"/>
    <m/>
    <x v="0"/>
    <s v="P"/>
    <m/>
    <m/>
    <n v="25"/>
    <m/>
    <n v="2"/>
    <m/>
    <n v="0"/>
    <n v="5"/>
    <n v="15"/>
    <n v="2"/>
    <n v="0"/>
    <n v="0"/>
    <n v="0"/>
    <n v="0"/>
    <n v="5"/>
    <n v="15"/>
    <n v="2"/>
    <n v="0"/>
    <n v="0"/>
    <n v="0"/>
    <n v="0"/>
    <n v="0"/>
    <n v="0"/>
    <n v="0"/>
    <n v="0"/>
    <n v="0"/>
    <n v="0"/>
    <n v="0"/>
    <n v="0"/>
    <n v="0"/>
    <n v="0"/>
    <n v="0"/>
    <n v="0"/>
    <n v="0"/>
    <s v="East"/>
    <x v="0"/>
    <x v="0"/>
    <x v="1"/>
    <x v="0"/>
    <x v="0"/>
    <x v="0"/>
    <m/>
    <x v="0"/>
    <s v="Y"/>
    <s v="3A"/>
    <m/>
    <n v="0"/>
    <n v="0"/>
    <n v="22"/>
    <n v="0"/>
    <n v="0"/>
    <n v="0"/>
    <n v="0"/>
    <n v="0"/>
    <n v="0"/>
    <n v="0"/>
    <n v="0"/>
    <n v="0"/>
    <n v="0"/>
    <n v="0"/>
    <n v="0"/>
    <n v="0"/>
    <n v="0"/>
    <n v="0"/>
    <n v="0"/>
    <n v="0"/>
    <n v="0"/>
    <n v="22"/>
    <n v="22"/>
  </r>
  <r>
    <n v="5767"/>
    <x v="2"/>
    <s v="2014/5357"/>
    <m/>
    <s v="56-66 Gwynne Road"/>
    <m/>
    <n v="526797"/>
    <n v="176325"/>
    <x v="1"/>
    <d v="2017-07-21T00:00:00"/>
    <m/>
    <n v="0"/>
    <n v="11"/>
    <n v="11"/>
    <n v="33"/>
    <n v="33"/>
    <s v="Y"/>
    <s v="Redevelopment of the site comprising of the demolition of the existing two-storey commercial building, excavation to form new basement and replacement with a new 14 storey building to provide mixed use comprising of commercial/retail at ground &amp; mezzanine levels and 33 residential  flats above with cycle and refuse storage facilities at basement level."/>
    <s v="PFLA"/>
    <d v="2014-09-16T00:00:00"/>
    <d v="2016-01-07T00:00:00"/>
    <x v="0"/>
    <s v="Nil"/>
    <m/>
    <s v="BF"/>
    <x v="4"/>
    <x v="0"/>
    <x v="0"/>
    <n v="9.9999997764825804E-3"/>
    <d v="2017-07-21T00:00:00"/>
    <x v="1"/>
    <m/>
    <x v="1"/>
    <s v="HASO"/>
    <m/>
    <m/>
    <n v="11"/>
    <m/>
    <n v="1"/>
    <m/>
    <n v="0"/>
    <n v="4"/>
    <n v="6"/>
    <n v="1"/>
    <n v="0"/>
    <n v="0"/>
    <n v="0"/>
    <n v="0"/>
    <n v="4"/>
    <n v="6"/>
    <n v="1"/>
    <n v="0"/>
    <n v="0"/>
    <n v="0"/>
    <n v="0"/>
    <n v="0"/>
    <n v="0"/>
    <n v="0"/>
    <n v="0"/>
    <n v="0"/>
    <n v="0"/>
    <n v="0"/>
    <n v="0"/>
    <n v="0"/>
    <n v="0"/>
    <n v="0"/>
    <n v="0"/>
    <n v="0"/>
    <s v="East"/>
    <x v="0"/>
    <x v="0"/>
    <x v="1"/>
    <x v="0"/>
    <x v="0"/>
    <x v="0"/>
    <m/>
    <x v="0"/>
    <s v="Y"/>
    <s v="3A"/>
    <m/>
    <n v="0"/>
    <n v="0"/>
    <n v="11"/>
    <n v="0"/>
    <n v="0"/>
    <n v="0"/>
    <n v="0"/>
    <n v="0"/>
    <n v="0"/>
    <n v="0"/>
    <n v="0"/>
    <n v="0"/>
    <n v="0"/>
    <n v="0"/>
    <n v="0"/>
    <n v="0"/>
    <n v="0"/>
    <n v="0"/>
    <n v="0"/>
    <n v="0"/>
    <n v="0"/>
    <n v="11"/>
    <n v="11"/>
  </r>
  <r>
    <n v="5775"/>
    <x v="2"/>
    <s v="2014/6325"/>
    <m/>
    <s v="Land rear of, 13 Thurleigh Road"/>
    <m/>
    <n v="527719"/>
    <n v="174043"/>
    <x v="14"/>
    <d v="2016-02-11T00:00:00"/>
    <m/>
    <n v="0"/>
    <n v="1"/>
    <n v="1"/>
    <n v="1"/>
    <n v="1"/>
    <m/>
    <s v="Demolition of existing garages, erection of a single-storey plus basement attached self-contained dwelling fronting Blenkame Road with boundary treatment and associated landscaping."/>
    <s v="PF"/>
    <d v="2014-11-06T00:00:00"/>
    <d v="2015-02-27T00:00:00"/>
    <x v="0"/>
    <s v="Nil"/>
    <m/>
    <s v="BF"/>
    <x v="0"/>
    <x v="0"/>
    <x v="0"/>
    <n v="8.9999996125698107E-3"/>
    <d v="2016-02-11T00:00:00"/>
    <x v="0"/>
    <m/>
    <x v="0"/>
    <s v="P"/>
    <m/>
    <m/>
    <n v="0"/>
    <m/>
    <n v="0"/>
    <m/>
    <n v="0"/>
    <n v="0"/>
    <n v="1"/>
    <n v="0"/>
    <n v="0"/>
    <n v="0"/>
    <n v="0"/>
    <n v="0"/>
    <n v="0"/>
    <n v="0"/>
    <n v="0"/>
    <n v="0"/>
    <n v="0"/>
    <n v="0"/>
    <n v="0"/>
    <n v="0"/>
    <n v="1"/>
    <n v="0"/>
    <n v="0"/>
    <n v="0"/>
    <n v="0"/>
    <n v="0"/>
    <n v="0"/>
    <n v="0"/>
    <n v="0"/>
    <n v="0"/>
    <n v="0"/>
    <n v="0"/>
    <s v="East"/>
    <x v="0"/>
    <x v="0"/>
    <x v="1"/>
    <x v="0"/>
    <x v="0"/>
    <x v="0"/>
    <m/>
    <x v="0"/>
    <s v="Y"/>
    <s v="2A"/>
    <m/>
    <n v="0"/>
    <n v="1"/>
    <n v="0"/>
    <n v="0"/>
    <n v="0"/>
    <n v="0"/>
    <n v="0"/>
    <n v="0"/>
    <n v="0"/>
    <n v="0"/>
    <n v="0"/>
    <n v="0"/>
    <n v="0"/>
    <n v="0"/>
    <n v="0"/>
    <n v="0"/>
    <n v="0"/>
    <n v="0"/>
    <n v="0"/>
    <n v="0"/>
    <n v="0"/>
    <n v="1"/>
    <n v="1"/>
  </r>
  <r>
    <n v="5777"/>
    <x v="2"/>
    <s v="2014/6447"/>
    <m/>
    <s v="Hookham Court Garages, Deeley Road"/>
    <m/>
    <n v="529591"/>
    <n v="176818"/>
    <x v="6"/>
    <d v="2015-03-31T00:00:00"/>
    <m/>
    <n v="0"/>
    <n v="20"/>
    <n v="20"/>
    <n v="20"/>
    <n v="20"/>
    <s v="Y"/>
    <s v="Demolition of existing Council own garages and redevelopment of the site to provide a new Council own building ranging from 4 to 5 storeys in height comprising 20 residential units of affordable housing (use class C3) together with ground floor automobile and cycle parking, refuse area  and landscaping."/>
    <s v="PF"/>
    <d v="2014-11-27T00:00:00"/>
    <d v="2015-01-27T00:00:00"/>
    <x v="0"/>
    <s v="Nil"/>
    <m/>
    <s v="BF"/>
    <x v="0"/>
    <x v="1"/>
    <x v="1"/>
    <n v="0.13400000333786"/>
    <d v="2015-03-31T00:00:00"/>
    <x v="0"/>
    <m/>
    <x v="2"/>
    <s v="HASR"/>
    <m/>
    <m/>
    <n v="2"/>
    <m/>
    <n v="20"/>
    <m/>
    <n v="0"/>
    <n v="6"/>
    <n v="9"/>
    <n v="5"/>
    <n v="0"/>
    <n v="0"/>
    <n v="0"/>
    <n v="0"/>
    <n v="6"/>
    <n v="9"/>
    <n v="5"/>
    <n v="0"/>
    <n v="0"/>
    <n v="0"/>
    <n v="0"/>
    <n v="0"/>
    <n v="0"/>
    <n v="0"/>
    <n v="0"/>
    <n v="0"/>
    <n v="0"/>
    <n v="0"/>
    <n v="0"/>
    <n v="0"/>
    <n v="0"/>
    <n v="0"/>
    <n v="0"/>
    <n v="0"/>
    <s v="Strategic Planning/Nine Elms"/>
    <x v="0"/>
    <x v="1"/>
    <x v="1"/>
    <x v="0"/>
    <x v="0"/>
    <x v="0"/>
    <m/>
    <x v="0"/>
    <s v="Y"/>
    <n v="12"/>
    <m/>
    <n v="0"/>
    <n v="20"/>
    <n v="0"/>
    <n v="0"/>
    <n v="0"/>
    <n v="0"/>
    <n v="0"/>
    <n v="0"/>
    <n v="0"/>
    <n v="0"/>
    <n v="0"/>
    <n v="0"/>
    <n v="0"/>
    <n v="0"/>
    <n v="0"/>
    <n v="0"/>
    <n v="0"/>
    <n v="0"/>
    <n v="0"/>
    <n v="0"/>
    <n v="0"/>
    <n v="20"/>
    <n v="20"/>
  </r>
  <r>
    <n v="5782"/>
    <x v="2"/>
    <s v="2014/4665"/>
    <s v="Battersea Exchange"/>
    <s v="Battersea Park East, Queenstown Road"/>
    <s v="Blocks 1-2, 4 and 7-10"/>
    <n v="528822"/>
    <n v="176878"/>
    <x v="6"/>
    <d v="2015-09-14T00:00:00"/>
    <m/>
    <n v="0"/>
    <n v="144"/>
    <n v="144"/>
    <n v="290"/>
    <n v="290"/>
    <s v="Y"/>
    <s v="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_x000d__x000a_Applications for listed building consent for the elements of the works concerning Queenstown Road station (ref.2014/4687), and Battersea Park Railway Bridge (ref. 2014/4688) are submitted concurrently."/>
    <s v="PFLA"/>
    <d v="2014-08-04T00:00:00"/>
    <d v="2015-03-12T00:00:00"/>
    <x v="0"/>
    <s v="Nil"/>
    <m/>
    <s v="BF"/>
    <x v="4"/>
    <x v="1"/>
    <x v="1"/>
    <n v="0.80900001525878895"/>
    <d v="2015-09-14T00:00:00"/>
    <x v="0"/>
    <m/>
    <x v="0"/>
    <s v="P"/>
    <s v="2.1.30"/>
    <m/>
    <n v="230"/>
    <m/>
    <n v="23"/>
    <m/>
    <n v="0"/>
    <n v="36"/>
    <n v="91"/>
    <n v="16"/>
    <n v="1"/>
    <n v="0"/>
    <n v="0"/>
    <n v="0"/>
    <n v="36"/>
    <n v="91"/>
    <n v="16"/>
    <n v="1"/>
    <n v="0"/>
    <n v="0"/>
    <n v="0"/>
    <n v="0"/>
    <n v="0"/>
    <n v="0"/>
    <n v="0"/>
    <n v="0"/>
    <n v="0"/>
    <n v="0"/>
    <n v="0"/>
    <n v="0"/>
    <n v="0"/>
    <n v="0"/>
    <n v="0"/>
    <n v="0"/>
    <s v="Strategic Planning/Nine Elms"/>
    <x v="0"/>
    <x v="1"/>
    <x v="1"/>
    <x v="0"/>
    <x v="0"/>
    <x v="0"/>
    <m/>
    <x v="0"/>
    <s v="Y"/>
    <n v="12"/>
    <m/>
    <n v="0"/>
    <n v="76"/>
    <n v="68"/>
    <n v="0"/>
    <n v="0"/>
    <n v="0"/>
    <n v="0"/>
    <n v="0"/>
    <n v="0"/>
    <n v="0"/>
    <n v="0"/>
    <n v="0"/>
    <n v="0"/>
    <n v="0"/>
    <n v="0"/>
    <n v="0"/>
    <n v="0"/>
    <n v="0"/>
    <n v="0"/>
    <n v="0"/>
    <n v="0"/>
    <n v="144"/>
    <n v="144"/>
  </r>
  <r>
    <n v="5782"/>
    <x v="2"/>
    <s v="2014/4665"/>
    <s v="Battersea Exchange"/>
    <s v="Battersea Park East, Queenstown Road"/>
    <s v="Blocks 1-2, 4 and 7-10"/>
    <n v="528822"/>
    <n v="176878"/>
    <x v="6"/>
    <d v="2015-09-14T00:00:00"/>
    <m/>
    <n v="0"/>
    <n v="20"/>
    <n v="20"/>
    <n v="290"/>
    <n v="290"/>
    <s v="Y"/>
    <s v="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_x000d__x000a_Applications for listed building consent for the elements of the works concerning Queenstown Road station (ref.2014/4687), and Battersea Park Railway Bridge (ref. 2014/4688) are submitted concurrently."/>
    <s v="PFLA"/>
    <d v="2014-08-04T00:00:00"/>
    <d v="2015-03-12T00:00:00"/>
    <x v="0"/>
    <s v="Nil"/>
    <m/>
    <s v="BF"/>
    <x v="4"/>
    <x v="1"/>
    <x v="1"/>
    <n v="0.104999996721745"/>
    <d v="2015-09-14T00:00:00"/>
    <x v="0"/>
    <m/>
    <x v="1"/>
    <s v="HASO"/>
    <s v="2.1.30"/>
    <m/>
    <n v="30"/>
    <m/>
    <n v="3"/>
    <m/>
    <n v="2"/>
    <n v="1"/>
    <n v="13"/>
    <n v="4"/>
    <n v="0"/>
    <n v="0"/>
    <n v="0"/>
    <n v="2"/>
    <n v="1"/>
    <n v="13"/>
    <n v="4"/>
    <n v="0"/>
    <n v="0"/>
    <n v="0"/>
    <n v="0"/>
    <n v="0"/>
    <n v="0"/>
    <n v="0"/>
    <n v="0"/>
    <n v="0"/>
    <n v="0"/>
    <n v="0"/>
    <n v="0"/>
    <n v="0"/>
    <n v="0"/>
    <n v="0"/>
    <n v="0"/>
    <n v="0"/>
    <s v="Strategic Planning/Nine Elms"/>
    <x v="0"/>
    <x v="1"/>
    <x v="1"/>
    <x v="0"/>
    <x v="0"/>
    <x v="0"/>
    <m/>
    <x v="0"/>
    <s v="Y"/>
    <n v="12"/>
    <m/>
    <n v="0"/>
    <n v="20"/>
    <n v="0"/>
    <n v="0"/>
    <n v="0"/>
    <n v="0"/>
    <n v="0"/>
    <n v="0"/>
    <n v="0"/>
    <n v="0"/>
    <n v="0"/>
    <n v="0"/>
    <n v="0"/>
    <n v="0"/>
    <n v="0"/>
    <n v="0"/>
    <n v="0"/>
    <n v="0"/>
    <n v="0"/>
    <n v="0"/>
    <n v="0"/>
    <n v="20"/>
    <n v="20"/>
  </r>
  <r>
    <n v="5782"/>
    <x v="2"/>
    <s v="2014/4665"/>
    <s v="Battersea Exchange"/>
    <s v="Battersea Park East, Queenstown Road"/>
    <s v="Blocks 1-2, 4 and 7-10"/>
    <n v="528822"/>
    <n v="176878"/>
    <x v="6"/>
    <d v="2015-09-14T00:00:00"/>
    <m/>
    <n v="0"/>
    <n v="7"/>
    <n v="7"/>
    <n v="290"/>
    <n v="290"/>
    <s v="Y"/>
    <s v="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_x000d__x000a_Applications for listed building consent for the elements of the works concerning Queenstown Road station (ref.2014/4687), and Battersea Park Railway Bridge (ref. 2014/4688) are submitted concurrently."/>
    <s v="PFLA"/>
    <d v="2014-08-04T00:00:00"/>
    <d v="2015-03-12T00:00:00"/>
    <x v="0"/>
    <s v="Nil"/>
    <m/>
    <s v="BF"/>
    <x v="4"/>
    <x v="1"/>
    <x v="1"/>
    <n v="0.104999996721745"/>
    <d v="2015-09-14T00:00:00"/>
    <x v="0"/>
    <m/>
    <x v="2"/>
    <s v="HAAR"/>
    <s v="2.1.30"/>
    <m/>
    <n v="30"/>
    <m/>
    <n v="3"/>
    <m/>
    <n v="0"/>
    <n v="0"/>
    <n v="4"/>
    <n v="1"/>
    <n v="2"/>
    <n v="0"/>
    <n v="0"/>
    <n v="0"/>
    <n v="0"/>
    <n v="4"/>
    <n v="1"/>
    <n v="2"/>
    <n v="0"/>
    <n v="0"/>
    <n v="0"/>
    <n v="0"/>
    <n v="0"/>
    <n v="0"/>
    <n v="0"/>
    <n v="0"/>
    <n v="0"/>
    <n v="0"/>
    <n v="0"/>
    <n v="0"/>
    <n v="0"/>
    <n v="0"/>
    <n v="0"/>
    <n v="0"/>
    <s v="Strategic Planning/Nine Elms"/>
    <x v="0"/>
    <x v="1"/>
    <x v="1"/>
    <x v="0"/>
    <x v="0"/>
    <x v="0"/>
    <m/>
    <x v="0"/>
    <s v="Y"/>
    <n v="12"/>
    <m/>
    <n v="0"/>
    <n v="5"/>
    <n v="2"/>
    <n v="0"/>
    <n v="0"/>
    <n v="0"/>
    <n v="0"/>
    <n v="0"/>
    <n v="0"/>
    <n v="0"/>
    <n v="0"/>
    <n v="0"/>
    <n v="0"/>
    <n v="0"/>
    <n v="0"/>
    <n v="0"/>
    <n v="0"/>
    <n v="0"/>
    <n v="0"/>
    <n v="0"/>
    <n v="0"/>
    <n v="7"/>
    <n v="7"/>
  </r>
  <r>
    <n v="5793"/>
    <x v="2"/>
    <s v="2014/6746"/>
    <m/>
    <s v="Car Park and Land South of, Osiers Road"/>
    <s v="BLOCK A - 2ND FLOOR - PRIVATE"/>
    <n v="525347"/>
    <n v="175071"/>
    <x v="13"/>
    <d v="2017-03-31T00:00:00"/>
    <m/>
    <n v="0"/>
    <n v="5"/>
    <n v="5"/>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1.30000002682209E-2"/>
    <d v="2017-03-31T00:00:00"/>
    <x v="0"/>
    <m/>
    <x v="0"/>
    <s v="P"/>
    <m/>
    <m/>
    <n v="5"/>
    <m/>
    <n v="1"/>
    <m/>
    <n v="0"/>
    <n v="0"/>
    <n v="5"/>
    <n v="0"/>
    <n v="0"/>
    <n v="0"/>
    <n v="0"/>
    <n v="0"/>
    <n v="0"/>
    <n v="5"/>
    <n v="0"/>
    <n v="0"/>
    <n v="0"/>
    <n v="0"/>
    <n v="0"/>
    <n v="0"/>
    <n v="0"/>
    <n v="0"/>
    <n v="0"/>
    <n v="0"/>
    <n v="0"/>
    <n v="0"/>
    <n v="0"/>
    <n v="0"/>
    <n v="0"/>
    <n v="0"/>
    <n v="0"/>
    <n v="0"/>
    <s v="West"/>
    <x v="0"/>
    <x v="0"/>
    <x v="0"/>
    <x v="0"/>
    <x v="0"/>
    <x v="0"/>
    <m/>
    <x v="0"/>
    <s v="Y"/>
    <s v="3A"/>
    <m/>
    <n v="0"/>
    <n v="0"/>
    <n v="5"/>
    <n v="0"/>
    <n v="0"/>
    <n v="0"/>
    <n v="0"/>
    <n v="0"/>
    <n v="0"/>
    <n v="0"/>
    <n v="0"/>
    <n v="0"/>
    <n v="0"/>
    <n v="0"/>
    <n v="0"/>
    <n v="0"/>
    <n v="0"/>
    <n v="0"/>
    <n v="0"/>
    <n v="0"/>
    <n v="0"/>
    <n v="5"/>
    <n v="5"/>
  </r>
  <r>
    <n v="5793"/>
    <x v="2"/>
    <s v="2014/6746"/>
    <m/>
    <s v="Car Park and Land South of, Osiers Road"/>
    <s v="BLOCK A - 2ND FLOOR SHARED OWNERSHIP"/>
    <n v="525347"/>
    <n v="175071"/>
    <x v="13"/>
    <d v="2017-03-31T00:00:00"/>
    <m/>
    <n v="0"/>
    <n v="1"/>
    <n v="1"/>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3.0000000260770299E-3"/>
    <d v="2017-03-31T00:00:00"/>
    <x v="0"/>
    <m/>
    <x v="1"/>
    <s v="HASO"/>
    <m/>
    <m/>
    <n v="1"/>
    <m/>
    <n v="1"/>
    <m/>
    <n v="0"/>
    <n v="1"/>
    <n v="0"/>
    <n v="0"/>
    <n v="0"/>
    <n v="0"/>
    <n v="0"/>
    <n v="0"/>
    <n v="1"/>
    <n v="0"/>
    <n v="0"/>
    <n v="0"/>
    <n v="0"/>
    <n v="0"/>
    <n v="0"/>
    <n v="0"/>
    <n v="0"/>
    <n v="0"/>
    <n v="0"/>
    <n v="0"/>
    <n v="0"/>
    <n v="0"/>
    <n v="0"/>
    <n v="0"/>
    <n v="0"/>
    <n v="0"/>
    <n v="0"/>
    <n v="0"/>
    <s v="West"/>
    <x v="0"/>
    <x v="0"/>
    <x v="0"/>
    <x v="0"/>
    <x v="0"/>
    <x v="0"/>
    <m/>
    <x v="0"/>
    <s v="Y"/>
    <s v="3A"/>
    <m/>
    <n v="0"/>
    <n v="0"/>
    <n v="1"/>
    <n v="0"/>
    <n v="0"/>
    <n v="0"/>
    <n v="0"/>
    <n v="0"/>
    <n v="0"/>
    <n v="0"/>
    <n v="0"/>
    <n v="0"/>
    <n v="0"/>
    <n v="0"/>
    <n v="0"/>
    <n v="0"/>
    <n v="0"/>
    <n v="0"/>
    <n v="0"/>
    <n v="0"/>
    <n v="0"/>
    <n v="1"/>
    <n v="1"/>
  </r>
  <r>
    <n v="5793"/>
    <x v="2"/>
    <s v="2014/6746"/>
    <m/>
    <s v="Car Park and Land South of, Osiers Road"/>
    <s v="BLOCK A - 3RD FLOOR - PRIVATE"/>
    <n v="525347"/>
    <n v="175071"/>
    <x v="13"/>
    <d v="2017-03-31T00:00:00"/>
    <m/>
    <n v="0"/>
    <n v="5"/>
    <n v="5"/>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1.30000002682209E-2"/>
    <d v="2017-03-31T00:00:00"/>
    <x v="0"/>
    <m/>
    <x v="0"/>
    <s v="P"/>
    <m/>
    <m/>
    <n v="5"/>
    <m/>
    <n v="1"/>
    <m/>
    <n v="0"/>
    <n v="0"/>
    <n v="5"/>
    <n v="0"/>
    <n v="0"/>
    <n v="0"/>
    <n v="0"/>
    <n v="0"/>
    <n v="0"/>
    <n v="5"/>
    <n v="0"/>
    <n v="0"/>
    <n v="0"/>
    <n v="0"/>
    <n v="0"/>
    <n v="0"/>
    <n v="0"/>
    <n v="0"/>
    <n v="0"/>
    <n v="0"/>
    <n v="0"/>
    <n v="0"/>
    <n v="0"/>
    <n v="0"/>
    <n v="0"/>
    <n v="0"/>
    <n v="0"/>
    <n v="0"/>
    <s v="West"/>
    <x v="0"/>
    <x v="0"/>
    <x v="0"/>
    <x v="0"/>
    <x v="0"/>
    <x v="0"/>
    <m/>
    <x v="0"/>
    <s v="Y"/>
    <s v="3A"/>
    <m/>
    <n v="0"/>
    <n v="0"/>
    <n v="5"/>
    <n v="0"/>
    <n v="0"/>
    <n v="0"/>
    <n v="0"/>
    <n v="0"/>
    <n v="0"/>
    <n v="0"/>
    <n v="0"/>
    <n v="0"/>
    <n v="0"/>
    <n v="0"/>
    <n v="0"/>
    <n v="0"/>
    <n v="0"/>
    <n v="0"/>
    <n v="0"/>
    <n v="0"/>
    <n v="0"/>
    <n v="5"/>
    <n v="5"/>
  </r>
  <r>
    <n v="5793"/>
    <x v="2"/>
    <s v="2014/6746"/>
    <m/>
    <s v="Car Park and Land South of, Osiers Road"/>
    <s v="BLOCK A - 3RD FLOOR - SHARED OWNERSHIP"/>
    <n v="525347"/>
    <n v="175071"/>
    <x v="13"/>
    <d v="2017-03-31T00:00:00"/>
    <m/>
    <n v="0"/>
    <n v="1"/>
    <n v="1"/>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3.0000000260770299E-3"/>
    <d v="2017-03-31T00:00:00"/>
    <x v="0"/>
    <m/>
    <x v="1"/>
    <s v="HASO"/>
    <m/>
    <m/>
    <n v="1"/>
    <m/>
    <n v="0"/>
    <m/>
    <n v="0"/>
    <n v="1"/>
    <n v="0"/>
    <n v="0"/>
    <n v="0"/>
    <n v="0"/>
    <n v="0"/>
    <n v="0"/>
    <n v="1"/>
    <n v="0"/>
    <n v="0"/>
    <n v="0"/>
    <n v="0"/>
    <n v="0"/>
    <n v="0"/>
    <n v="0"/>
    <n v="0"/>
    <n v="0"/>
    <n v="0"/>
    <n v="0"/>
    <n v="0"/>
    <n v="0"/>
    <n v="0"/>
    <n v="0"/>
    <n v="0"/>
    <n v="0"/>
    <n v="0"/>
    <n v="0"/>
    <s v="West"/>
    <x v="0"/>
    <x v="0"/>
    <x v="0"/>
    <x v="0"/>
    <x v="0"/>
    <x v="0"/>
    <m/>
    <x v="0"/>
    <s v="Y"/>
    <s v="3A"/>
    <m/>
    <n v="0"/>
    <n v="0"/>
    <n v="1"/>
    <n v="0"/>
    <n v="0"/>
    <n v="0"/>
    <n v="0"/>
    <n v="0"/>
    <n v="0"/>
    <n v="0"/>
    <n v="0"/>
    <n v="0"/>
    <n v="0"/>
    <n v="0"/>
    <n v="0"/>
    <n v="0"/>
    <n v="0"/>
    <n v="0"/>
    <n v="0"/>
    <n v="0"/>
    <n v="0"/>
    <n v="1"/>
    <n v="1"/>
  </r>
  <r>
    <n v="5793"/>
    <x v="2"/>
    <s v="2014/6746"/>
    <m/>
    <s v="Car Park and Land South of, Osiers Road"/>
    <s v="BLOCK A - 4TH FLOOR - PRIVATE"/>
    <n v="525347"/>
    <n v="175071"/>
    <x v="13"/>
    <d v="2017-03-31T00:00:00"/>
    <m/>
    <n v="0"/>
    <n v="5"/>
    <n v="5"/>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1.30000002682209E-2"/>
    <d v="2017-03-31T00:00:00"/>
    <x v="0"/>
    <m/>
    <x v="0"/>
    <s v="P"/>
    <m/>
    <m/>
    <n v="5"/>
    <m/>
    <n v="1"/>
    <m/>
    <n v="0"/>
    <n v="0"/>
    <n v="5"/>
    <n v="0"/>
    <n v="0"/>
    <n v="0"/>
    <n v="0"/>
    <n v="0"/>
    <n v="0"/>
    <n v="5"/>
    <n v="0"/>
    <n v="0"/>
    <n v="0"/>
    <n v="0"/>
    <n v="0"/>
    <n v="0"/>
    <n v="0"/>
    <n v="0"/>
    <n v="0"/>
    <n v="0"/>
    <n v="0"/>
    <n v="0"/>
    <n v="0"/>
    <n v="0"/>
    <n v="0"/>
    <n v="0"/>
    <n v="0"/>
    <n v="0"/>
    <s v="West"/>
    <x v="0"/>
    <x v="0"/>
    <x v="0"/>
    <x v="0"/>
    <x v="0"/>
    <x v="0"/>
    <m/>
    <x v="0"/>
    <s v="Y"/>
    <s v="3A"/>
    <m/>
    <n v="0"/>
    <n v="0"/>
    <n v="5"/>
    <n v="0"/>
    <n v="0"/>
    <n v="0"/>
    <n v="0"/>
    <n v="0"/>
    <n v="0"/>
    <n v="0"/>
    <n v="0"/>
    <n v="0"/>
    <n v="0"/>
    <n v="0"/>
    <n v="0"/>
    <n v="0"/>
    <n v="0"/>
    <n v="0"/>
    <n v="0"/>
    <n v="0"/>
    <n v="0"/>
    <n v="5"/>
    <n v="5"/>
  </r>
  <r>
    <n v="5793"/>
    <x v="2"/>
    <s v="2014/6746"/>
    <m/>
    <s v="Car Park and Land South of, Osiers Road"/>
    <s v="BLOCK A - 4TH FLOOR - SHARED OWNERSHIP"/>
    <n v="525347"/>
    <n v="175071"/>
    <x v="13"/>
    <d v="2017-03-31T00:00:00"/>
    <m/>
    <n v="0"/>
    <n v="1"/>
    <n v="1"/>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3.0000000260770299E-3"/>
    <d v="2017-03-31T00:00:00"/>
    <x v="0"/>
    <m/>
    <x v="1"/>
    <s v="HASO"/>
    <m/>
    <m/>
    <n v="1"/>
    <m/>
    <n v="0"/>
    <m/>
    <n v="0"/>
    <n v="1"/>
    <n v="0"/>
    <n v="0"/>
    <n v="0"/>
    <n v="0"/>
    <n v="0"/>
    <n v="0"/>
    <n v="1"/>
    <n v="0"/>
    <n v="0"/>
    <n v="0"/>
    <n v="0"/>
    <n v="0"/>
    <n v="0"/>
    <n v="0"/>
    <n v="0"/>
    <n v="0"/>
    <n v="0"/>
    <n v="0"/>
    <n v="0"/>
    <n v="0"/>
    <n v="0"/>
    <n v="0"/>
    <n v="0"/>
    <n v="0"/>
    <n v="0"/>
    <n v="0"/>
    <s v="West"/>
    <x v="0"/>
    <x v="0"/>
    <x v="0"/>
    <x v="0"/>
    <x v="0"/>
    <x v="0"/>
    <m/>
    <x v="0"/>
    <s v="Y"/>
    <s v="3A"/>
    <m/>
    <n v="0"/>
    <n v="0"/>
    <n v="1"/>
    <n v="0"/>
    <n v="0"/>
    <n v="0"/>
    <n v="0"/>
    <n v="0"/>
    <n v="0"/>
    <n v="0"/>
    <n v="0"/>
    <n v="0"/>
    <n v="0"/>
    <n v="0"/>
    <n v="0"/>
    <n v="0"/>
    <n v="0"/>
    <n v="0"/>
    <n v="0"/>
    <n v="0"/>
    <n v="0"/>
    <n v="1"/>
    <n v="1"/>
  </r>
  <r>
    <n v="5793"/>
    <x v="2"/>
    <s v="2014/6746"/>
    <m/>
    <s v="Car Park and Land South of, Osiers Road"/>
    <s v="BLOCK A - 4TH FLOOR - SHARED OWNERSHIP"/>
    <n v="525347"/>
    <n v="175071"/>
    <x v="13"/>
    <d v="2017-03-31T00:00:00"/>
    <m/>
    <n v="0"/>
    <n v="1"/>
    <n v="1"/>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3.0000000260770299E-3"/>
    <d v="2017-03-31T00:00:00"/>
    <x v="0"/>
    <m/>
    <x v="1"/>
    <s v="HASO"/>
    <m/>
    <m/>
    <n v="1"/>
    <m/>
    <n v="0"/>
    <m/>
    <n v="0"/>
    <n v="1"/>
    <n v="0"/>
    <n v="0"/>
    <n v="0"/>
    <n v="0"/>
    <n v="0"/>
    <n v="0"/>
    <n v="1"/>
    <n v="0"/>
    <n v="0"/>
    <n v="0"/>
    <n v="0"/>
    <n v="0"/>
    <n v="0"/>
    <n v="0"/>
    <n v="0"/>
    <n v="0"/>
    <n v="0"/>
    <n v="0"/>
    <n v="0"/>
    <n v="0"/>
    <n v="0"/>
    <n v="0"/>
    <n v="0"/>
    <n v="0"/>
    <n v="0"/>
    <n v="0"/>
    <s v="West"/>
    <x v="0"/>
    <x v="0"/>
    <x v="0"/>
    <x v="0"/>
    <x v="0"/>
    <x v="0"/>
    <m/>
    <x v="0"/>
    <s v="Y"/>
    <s v="3A"/>
    <m/>
    <n v="0"/>
    <n v="0"/>
    <n v="1"/>
    <n v="0"/>
    <n v="0"/>
    <n v="0"/>
    <n v="0"/>
    <n v="0"/>
    <n v="0"/>
    <n v="0"/>
    <n v="0"/>
    <n v="0"/>
    <n v="0"/>
    <n v="0"/>
    <n v="0"/>
    <n v="0"/>
    <n v="0"/>
    <n v="0"/>
    <n v="0"/>
    <n v="0"/>
    <n v="0"/>
    <n v="1"/>
    <n v="1"/>
  </r>
  <r>
    <n v="5793"/>
    <x v="2"/>
    <s v="2014/6746"/>
    <m/>
    <s v="Car Park and Land South of, Osiers Road"/>
    <s v="BLOCK A - 5TH FLOOR - PRIVATE"/>
    <n v="525347"/>
    <n v="175071"/>
    <x v="13"/>
    <d v="2017-03-31T00:00:00"/>
    <m/>
    <n v="0"/>
    <n v="5"/>
    <n v="5"/>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1.30000002682209E-2"/>
    <d v="2017-03-31T00:00:00"/>
    <x v="0"/>
    <m/>
    <x v="0"/>
    <s v="P"/>
    <m/>
    <m/>
    <n v="5"/>
    <m/>
    <n v="0"/>
    <m/>
    <n v="0"/>
    <n v="0"/>
    <n v="5"/>
    <n v="0"/>
    <n v="0"/>
    <n v="0"/>
    <n v="0"/>
    <n v="0"/>
    <n v="0"/>
    <n v="5"/>
    <n v="0"/>
    <n v="0"/>
    <n v="0"/>
    <n v="0"/>
    <n v="0"/>
    <n v="0"/>
    <n v="0"/>
    <n v="0"/>
    <n v="0"/>
    <n v="0"/>
    <n v="0"/>
    <n v="0"/>
    <n v="0"/>
    <n v="0"/>
    <n v="0"/>
    <n v="0"/>
    <n v="0"/>
    <n v="0"/>
    <s v="West"/>
    <x v="0"/>
    <x v="0"/>
    <x v="0"/>
    <x v="0"/>
    <x v="0"/>
    <x v="0"/>
    <m/>
    <x v="0"/>
    <s v="Y"/>
    <s v="3A"/>
    <m/>
    <n v="0"/>
    <n v="0"/>
    <n v="5"/>
    <n v="0"/>
    <n v="0"/>
    <n v="0"/>
    <n v="0"/>
    <n v="0"/>
    <n v="0"/>
    <n v="0"/>
    <n v="0"/>
    <n v="0"/>
    <n v="0"/>
    <n v="0"/>
    <n v="0"/>
    <n v="0"/>
    <n v="0"/>
    <n v="0"/>
    <n v="0"/>
    <n v="0"/>
    <n v="0"/>
    <n v="5"/>
    <n v="5"/>
  </r>
  <r>
    <n v="5793"/>
    <x v="2"/>
    <s v="2014/6746"/>
    <m/>
    <s v="Car Park and Land South of, Osiers Road"/>
    <s v="BLOCK A - 6TH FLOOR - PRIVATE"/>
    <n v="525347"/>
    <n v="175071"/>
    <x v="13"/>
    <d v="2017-03-31T00:00:00"/>
    <m/>
    <n v="0"/>
    <n v="5"/>
    <n v="5"/>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1.30000002682209E-2"/>
    <d v="2017-03-31T00:00:00"/>
    <x v="0"/>
    <m/>
    <x v="0"/>
    <s v="P"/>
    <m/>
    <m/>
    <n v="5"/>
    <m/>
    <n v="0"/>
    <m/>
    <n v="0"/>
    <n v="0"/>
    <n v="5"/>
    <n v="0"/>
    <n v="0"/>
    <n v="0"/>
    <n v="0"/>
    <n v="0"/>
    <n v="0"/>
    <n v="5"/>
    <n v="0"/>
    <n v="0"/>
    <n v="0"/>
    <n v="0"/>
    <n v="0"/>
    <n v="0"/>
    <n v="0"/>
    <n v="0"/>
    <n v="0"/>
    <n v="0"/>
    <n v="0"/>
    <n v="0"/>
    <n v="0"/>
    <n v="0"/>
    <n v="0"/>
    <n v="0"/>
    <n v="0"/>
    <n v="0"/>
    <s v="West"/>
    <x v="0"/>
    <x v="0"/>
    <x v="0"/>
    <x v="0"/>
    <x v="0"/>
    <x v="0"/>
    <m/>
    <x v="0"/>
    <s v="Y"/>
    <s v="3A"/>
    <m/>
    <n v="0"/>
    <n v="0"/>
    <n v="5"/>
    <n v="0"/>
    <n v="0"/>
    <n v="0"/>
    <n v="0"/>
    <n v="0"/>
    <n v="0"/>
    <n v="0"/>
    <n v="0"/>
    <n v="0"/>
    <n v="0"/>
    <n v="0"/>
    <n v="0"/>
    <n v="0"/>
    <n v="0"/>
    <n v="0"/>
    <n v="0"/>
    <n v="0"/>
    <n v="0"/>
    <n v="5"/>
    <n v="5"/>
  </r>
  <r>
    <n v="5793"/>
    <x v="2"/>
    <s v="2014/6746"/>
    <m/>
    <s v="Car Park and Land South of, Osiers Road"/>
    <s v="BLOCK A - 6TH FLOOR - SHARED OWNERSHIP"/>
    <n v="525347"/>
    <n v="175071"/>
    <x v="13"/>
    <d v="2017-03-31T00:00:00"/>
    <m/>
    <n v="0"/>
    <n v="1"/>
    <n v="1"/>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3.0000000260770299E-3"/>
    <d v="2017-03-31T00:00:00"/>
    <x v="0"/>
    <m/>
    <x v="1"/>
    <s v="HASO"/>
    <m/>
    <m/>
    <n v="1"/>
    <m/>
    <n v="0"/>
    <m/>
    <n v="0"/>
    <n v="1"/>
    <n v="0"/>
    <n v="0"/>
    <n v="0"/>
    <n v="0"/>
    <n v="0"/>
    <n v="0"/>
    <n v="1"/>
    <n v="0"/>
    <n v="0"/>
    <n v="0"/>
    <n v="0"/>
    <n v="0"/>
    <n v="0"/>
    <n v="0"/>
    <n v="0"/>
    <n v="0"/>
    <n v="0"/>
    <n v="0"/>
    <n v="0"/>
    <n v="0"/>
    <n v="0"/>
    <n v="0"/>
    <n v="0"/>
    <n v="0"/>
    <n v="0"/>
    <n v="0"/>
    <s v="West"/>
    <x v="0"/>
    <x v="0"/>
    <x v="0"/>
    <x v="0"/>
    <x v="0"/>
    <x v="0"/>
    <m/>
    <x v="0"/>
    <s v="Y"/>
    <s v="3A"/>
    <m/>
    <n v="0"/>
    <n v="0"/>
    <n v="1"/>
    <n v="0"/>
    <n v="0"/>
    <n v="0"/>
    <n v="0"/>
    <n v="0"/>
    <n v="0"/>
    <n v="0"/>
    <n v="0"/>
    <n v="0"/>
    <n v="0"/>
    <n v="0"/>
    <n v="0"/>
    <n v="0"/>
    <n v="0"/>
    <n v="0"/>
    <n v="0"/>
    <n v="0"/>
    <n v="0"/>
    <n v="1"/>
    <n v="1"/>
  </r>
  <r>
    <n v="5793"/>
    <x v="2"/>
    <s v="2014/6746"/>
    <m/>
    <s v="Car Park and Land South of, Osiers Road"/>
    <s v="BLOCK A - 7TH FLOOR - PRIVATE"/>
    <n v="525347"/>
    <n v="175071"/>
    <x v="13"/>
    <d v="2017-03-31T00:00:00"/>
    <m/>
    <n v="0"/>
    <n v="5"/>
    <n v="5"/>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1.30000002682209E-2"/>
    <d v="2017-03-31T00:00:00"/>
    <x v="0"/>
    <m/>
    <x v="0"/>
    <s v="P"/>
    <m/>
    <m/>
    <n v="5"/>
    <m/>
    <n v="0"/>
    <m/>
    <n v="0"/>
    <n v="0"/>
    <n v="5"/>
    <n v="0"/>
    <n v="0"/>
    <n v="0"/>
    <n v="0"/>
    <n v="0"/>
    <n v="0"/>
    <n v="5"/>
    <n v="0"/>
    <n v="0"/>
    <n v="0"/>
    <n v="0"/>
    <n v="0"/>
    <n v="0"/>
    <n v="0"/>
    <n v="0"/>
    <n v="0"/>
    <n v="0"/>
    <n v="0"/>
    <n v="0"/>
    <n v="0"/>
    <n v="0"/>
    <n v="0"/>
    <n v="0"/>
    <n v="0"/>
    <n v="0"/>
    <s v="West"/>
    <x v="0"/>
    <x v="0"/>
    <x v="0"/>
    <x v="0"/>
    <x v="0"/>
    <x v="0"/>
    <m/>
    <x v="0"/>
    <s v="Y"/>
    <s v="3A"/>
    <m/>
    <n v="0"/>
    <n v="0"/>
    <n v="5"/>
    <n v="0"/>
    <n v="0"/>
    <n v="0"/>
    <n v="0"/>
    <n v="0"/>
    <n v="0"/>
    <n v="0"/>
    <n v="0"/>
    <n v="0"/>
    <n v="0"/>
    <n v="0"/>
    <n v="0"/>
    <n v="0"/>
    <n v="0"/>
    <n v="0"/>
    <n v="0"/>
    <n v="0"/>
    <n v="0"/>
    <n v="5"/>
    <n v="5"/>
  </r>
  <r>
    <n v="5793"/>
    <x v="2"/>
    <s v="2014/6746"/>
    <m/>
    <s v="Car Park and Land South of, Osiers Road"/>
    <s v="BLOCK A - 7TH FLOOR - SHARED OWNERSHIP"/>
    <n v="525347"/>
    <n v="175071"/>
    <x v="13"/>
    <d v="2017-03-31T00:00:00"/>
    <m/>
    <n v="0"/>
    <n v="1"/>
    <n v="1"/>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3.0000000260770299E-3"/>
    <d v="2017-03-31T00:00:00"/>
    <x v="0"/>
    <m/>
    <x v="1"/>
    <s v="HASO"/>
    <m/>
    <m/>
    <n v="1"/>
    <m/>
    <n v="0"/>
    <m/>
    <n v="0"/>
    <n v="1"/>
    <n v="0"/>
    <n v="0"/>
    <n v="0"/>
    <n v="0"/>
    <n v="0"/>
    <n v="0"/>
    <n v="1"/>
    <n v="0"/>
    <n v="0"/>
    <n v="0"/>
    <n v="0"/>
    <n v="0"/>
    <n v="0"/>
    <n v="0"/>
    <n v="0"/>
    <n v="0"/>
    <n v="0"/>
    <n v="0"/>
    <n v="0"/>
    <n v="0"/>
    <n v="0"/>
    <n v="0"/>
    <n v="0"/>
    <n v="0"/>
    <n v="0"/>
    <n v="0"/>
    <s v="West"/>
    <x v="0"/>
    <x v="0"/>
    <x v="0"/>
    <x v="0"/>
    <x v="0"/>
    <x v="0"/>
    <m/>
    <x v="0"/>
    <s v="Y"/>
    <s v="3A"/>
    <m/>
    <n v="0"/>
    <n v="0"/>
    <n v="1"/>
    <n v="0"/>
    <n v="0"/>
    <n v="0"/>
    <n v="0"/>
    <n v="0"/>
    <n v="0"/>
    <n v="0"/>
    <n v="0"/>
    <n v="0"/>
    <n v="0"/>
    <n v="0"/>
    <n v="0"/>
    <n v="0"/>
    <n v="0"/>
    <n v="0"/>
    <n v="0"/>
    <n v="0"/>
    <n v="0"/>
    <n v="1"/>
    <n v="1"/>
  </r>
  <r>
    <n v="5793"/>
    <x v="2"/>
    <s v="2014/6746"/>
    <m/>
    <s v="Car Park and Land South of, Osiers Road"/>
    <s v="BLOCK A - 8TH FLOOR - PRIVATE"/>
    <n v="525347"/>
    <n v="175071"/>
    <x v="13"/>
    <d v="2017-03-31T00:00:00"/>
    <m/>
    <n v="0"/>
    <n v="5"/>
    <n v="5"/>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1.30000002682209E-2"/>
    <d v="2017-03-31T00:00:00"/>
    <x v="0"/>
    <m/>
    <x v="0"/>
    <s v="P"/>
    <m/>
    <m/>
    <n v="5"/>
    <m/>
    <n v="0"/>
    <m/>
    <n v="0"/>
    <n v="0"/>
    <n v="5"/>
    <n v="0"/>
    <n v="0"/>
    <n v="0"/>
    <n v="0"/>
    <n v="0"/>
    <n v="0"/>
    <n v="5"/>
    <n v="0"/>
    <n v="0"/>
    <n v="0"/>
    <n v="0"/>
    <n v="0"/>
    <n v="0"/>
    <n v="0"/>
    <n v="0"/>
    <n v="0"/>
    <n v="0"/>
    <n v="0"/>
    <n v="0"/>
    <n v="0"/>
    <n v="0"/>
    <n v="0"/>
    <n v="0"/>
    <n v="0"/>
    <n v="0"/>
    <s v="West"/>
    <x v="0"/>
    <x v="0"/>
    <x v="0"/>
    <x v="0"/>
    <x v="0"/>
    <x v="0"/>
    <m/>
    <x v="0"/>
    <s v="Y"/>
    <s v="3A"/>
    <m/>
    <n v="0"/>
    <n v="0"/>
    <n v="5"/>
    <n v="0"/>
    <n v="0"/>
    <n v="0"/>
    <n v="0"/>
    <n v="0"/>
    <n v="0"/>
    <n v="0"/>
    <n v="0"/>
    <n v="0"/>
    <n v="0"/>
    <n v="0"/>
    <n v="0"/>
    <n v="0"/>
    <n v="0"/>
    <n v="0"/>
    <n v="0"/>
    <n v="0"/>
    <n v="0"/>
    <n v="5"/>
    <n v="5"/>
  </r>
  <r>
    <n v="5793"/>
    <x v="2"/>
    <s v="2014/6746"/>
    <m/>
    <s v="Car Park and Land South of, Osiers Road"/>
    <s v="BLOCK A - 8TH FLOOR - SHARED OWNERSHIP"/>
    <n v="525347"/>
    <n v="175071"/>
    <x v="13"/>
    <d v="2017-03-31T00:00:00"/>
    <m/>
    <n v="0"/>
    <n v="1"/>
    <n v="1"/>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3.0000000260770299E-3"/>
    <d v="2017-03-31T00:00:00"/>
    <x v="0"/>
    <m/>
    <x v="1"/>
    <s v="HASO"/>
    <m/>
    <m/>
    <n v="1"/>
    <m/>
    <n v="0"/>
    <m/>
    <n v="0"/>
    <n v="1"/>
    <n v="0"/>
    <n v="0"/>
    <n v="0"/>
    <n v="0"/>
    <n v="0"/>
    <n v="0"/>
    <n v="1"/>
    <n v="0"/>
    <n v="0"/>
    <n v="0"/>
    <n v="0"/>
    <n v="0"/>
    <n v="0"/>
    <n v="0"/>
    <n v="0"/>
    <n v="0"/>
    <n v="0"/>
    <n v="0"/>
    <n v="0"/>
    <n v="0"/>
    <n v="0"/>
    <n v="0"/>
    <n v="0"/>
    <n v="0"/>
    <n v="0"/>
    <n v="0"/>
    <s v="West"/>
    <x v="0"/>
    <x v="0"/>
    <x v="0"/>
    <x v="0"/>
    <x v="0"/>
    <x v="0"/>
    <m/>
    <x v="0"/>
    <s v="Y"/>
    <s v="3A"/>
    <m/>
    <n v="0"/>
    <n v="0"/>
    <n v="1"/>
    <n v="0"/>
    <n v="0"/>
    <n v="0"/>
    <n v="0"/>
    <n v="0"/>
    <n v="0"/>
    <n v="0"/>
    <n v="0"/>
    <n v="0"/>
    <n v="0"/>
    <n v="0"/>
    <n v="0"/>
    <n v="0"/>
    <n v="0"/>
    <n v="0"/>
    <n v="0"/>
    <n v="0"/>
    <n v="0"/>
    <n v="1"/>
    <n v="1"/>
  </r>
  <r>
    <n v="5793"/>
    <x v="2"/>
    <s v="2014/6746"/>
    <m/>
    <s v="Car Park and Land South of, Osiers Road"/>
    <s v="BLOCK A - 9TH FLOOR - PRIVATE"/>
    <n v="525347"/>
    <n v="175071"/>
    <x v="13"/>
    <d v="2017-03-31T00:00:00"/>
    <m/>
    <n v="0"/>
    <n v="4"/>
    <n v="4"/>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9.9999997764825804E-3"/>
    <d v="2017-03-31T00:00:00"/>
    <x v="0"/>
    <m/>
    <x v="0"/>
    <s v="P"/>
    <m/>
    <m/>
    <n v="4"/>
    <m/>
    <n v="0"/>
    <m/>
    <n v="0"/>
    <n v="0"/>
    <n v="3"/>
    <n v="1"/>
    <n v="0"/>
    <n v="0"/>
    <n v="0"/>
    <n v="0"/>
    <n v="0"/>
    <n v="3"/>
    <n v="1"/>
    <n v="0"/>
    <n v="0"/>
    <n v="0"/>
    <n v="0"/>
    <n v="0"/>
    <n v="0"/>
    <n v="0"/>
    <n v="0"/>
    <n v="0"/>
    <n v="0"/>
    <n v="0"/>
    <n v="0"/>
    <n v="0"/>
    <n v="0"/>
    <n v="0"/>
    <n v="0"/>
    <n v="0"/>
    <s v="West"/>
    <x v="0"/>
    <x v="0"/>
    <x v="0"/>
    <x v="0"/>
    <x v="0"/>
    <x v="0"/>
    <m/>
    <x v="0"/>
    <s v="Y"/>
    <s v="3A"/>
    <m/>
    <n v="0"/>
    <n v="0"/>
    <n v="4"/>
    <n v="0"/>
    <n v="0"/>
    <n v="0"/>
    <n v="0"/>
    <n v="0"/>
    <n v="0"/>
    <n v="0"/>
    <n v="0"/>
    <n v="0"/>
    <n v="0"/>
    <n v="0"/>
    <n v="0"/>
    <n v="0"/>
    <n v="0"/>
    <n v="0"/>
    <n v="0"/>
    <n v="0"/>
    <n v="0"/>
    <n v="4"/>
    <n v="4"/>
  </r>
  <r>
    <n v="5793"/>
    <x v="2"/>
    <s v="2014/6746"/>
    <m/>
    <s v="Car Park and Land South of, Osiers Road"/>
    <s v="BLOCK B - 2ND FLOOR - PRIVATE"/>
    <n v="525347"/>
    <n v="175071"/>
    <x v="13"/>
    <d v="2017-03-31T00:00:00"/>
    <m/>
    <n v="0"/>
    <n v="3"/>
    <n v="3"/>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8.0000003799796104E-3"/>
    <d v="2017-03-31T00:00:00"/>
    <x v="0"/>
    <m/>
    <x v="0"/>
    <s v="P"/>
    <m/>
    <m/>
    <n v="3"/>
    <m/>
    <n v="0"/>
    <m/>
    <n v="0"/>
    <n v="1"/>
    <n v="1"/>
    <n v="1"/>
    <n v="0"/>
    <n v="0"/>
    <n v="0"/>
    <n v="0"/>
    <n v="1"/>
    <n v="1"/>
    <n v="1"/>
    <n v="0"/>
    <n v="0"/>
    <n v="0"/>
    <n v="0"/>
    <n v="0"/>
    <n v="0"/>
    <n v="0"/>
    <n v="0"/>
    <n v="0"/>
    <n v="0"/>
    <n v="0"/>
    <n v="0"/>
    <n v="0"/>
    <n v="0"/>
    <n v="0"/>
    <n v="0"/>
    <n v="0"/>
    <s v="West"/>
    <x v="0"/>
    <x v="0"/>
    <x v="0"/>
    <x v="0"/>
    <x v="0"/>
    <x v="0"/>
    <m/>
    <x v="0"/>
    <s v="Y"/>
    <s v="3A"/>
    <m/>
    <n v="0"/>
    <n v="0"/>
    <n v="3"/>
    <n v="0"/>
    <n v="0"/>
    <n v="0"/>
    <n v="0"/>
    <n v="0"/>
    <n v="0"/>
    <n v="0"/>
    <n v="0"/>
    <n v="0"/>
    <n v="0"/>
    <n v="0"/>
    <n v="0"/>
    <n v="0"/>
    <n v="0"/>
    <n v="0"/>
    <n v="0"/>
    <n v="0"/>
    <n v="0"/>
    <n v="3"/>
    <n v="3"/>
  </r>
  <r>
    <n v="5793"/>
    <x v="2"/>
    <s v="2014/6746"/>
    <m/>
    <s v="Car Park and Land South of, Osiers Road"/>
    <s v="BLOCK B - 3RD FLOOR - PRIVATE"/>
    <n v="525347"/>
    <n v="175071"/>
    <x v="13"/>
    <d v="2017-03-31T00:00:00"/>
    <m/>
    <n v="0"/>
    <n v="2"/>
    <n v="2"/>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0"/>
    <n v="4.9999998882412902E-3"/>
    <d v="2017-03-31T00:00:00"/>
    <x v="0"/>
    <m/>
    <x v="0"/>
    <s v="P"/>
    <m/>
    <m/>
    <n v="2"/>
    <m/>
    <n v="0"/>
    <m/>
    <n v="0"/>
    <n v="0"/>
    <n v="1"/>
    <n v="1"/>
    <n v="0"/>
    <n v="0"/>
    <n v="0"/>
    <n v="0"/>
    <n v="0"/>
    <n v="1"/>
    <n v="1"/>
    <n v="0"/>
    <n v="0"/>
    <n v="0"/>
    <n v="0"/>
    <n v="0"/>
    <n v="0"/>
    <n v="0"/>
    <n v="0"/>
    <n v="0"/>
    <n v="0"/>
    <n v="0"/>
    <n v="0"/>
    <n v="0"/>
    <n v="0"/>
    <n v="0"/>
    <n v="0"/>
    <n v="0"/>
    <s v="West"/>
    <x v="0"/>
    <x v="0"/>
    <x v="0"/>
    <x v="0"/>
    <x v="0"/>
    <x v="0"/>
    <m/>
    <x v="0"/>
    <s v="Y"/>
    <s v="3A"/>
    <m/>
    <n v="0"/>
    <n v="0"/>
    <n v="2"/>
    <n v="0"/>
    <n v="0"/>
    <n v="0"/>
    <n v="0"/>
    <n v="0"/>
    <n v="0"/>
    <n v="0"/>
    <n v="0"/>
    <n v="0"/>
    <n v="0"/>
    <n v="0"/>
    <n v="0"/>
    <n v="0"/>
    <n v="0"/>
    <n v="0"/>
    <n v="0"/>
    <n v="0"/>
    <n v="0"/>
    <n v="2"/>
    <n v="2"/>
  </r>
  <r>
    <n v="5793"/>
    <x v="2"/>
    <s v="2014/6746"/>
    <m/>
    <s v="Car Park and Land South of, Osiers Road"/>
    <s v="BLOCK B - 3RD FLOOR - SHARED OWNERSHIP"/>
    <n v="525347"/>
    <n v="175071"/>
    <x v="13"/>
    <d v="2017-03-31T00:00:00"/>
    <m/>
    <n v="0"/>
    <n v="1"/>
    <n v="1"/>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3.0000000260770299E-3"/>
    <d v="2017-03-31T00:00:00"/>
    <x v="0"/>
    <m/>
    <x v="1"/>
    <s v="HASO"/>
    <m/>
    <m/>
    <n v="1"/>
    <m/>
    <n v="1"/>
    <m/>
    <n v="0"/>
    <n v="1"/>
    <n v="0"/>
    <n v="0"/>
    <n v="0"/>
    <n v="0"/>
    <n v="0"/>
    <n v="0"/>
    <n v="1"/>
    <n v="0"/>
    <n v="0"/>
    <n v="0"/>
    <n v="0"/>
    <n v="0"/>
    <n v="0"/>
    <n v="0"/>
    <n v="0"/>
    <n v="0"/>
    <n v="0"/>
    <n v="0"/>
    <n v="0"/>
    <n v="0"/>
    <n v="0"/>
    <n v="0"/>
    <n v="0"/>
    <n v="0"/>
    <n v="0"/>
    <n v="0"/>
    <s v="West"/>
    <x v="0"/>
    <x v="0"/>
    <x v="0"/>
    <x v="0"/>
    <x v="0"/>
    <x v="0"/>
    <m/>
    <x v="0"/>
    <s v="Y"/>
    <s v="3A"/>
    <m/>
    <n v="0"/>
    <n v="0"/>
    <n v="1"/>
    <n v="0"/>
    <n v="0"/>
    <n v="0"/>
    <n v="0"/>
    <n v="0"/>
    <n v="0"/>
    <n v="0"/>
    <n v="0"/>
    <n v="0"/>
    <n v="0"/>
    <n v="0"/>
    <n v="0"/>
    <n v="0"/>
    <n v="0"/>
    <n v="0"/>
    <n v="0"/>
    <n v="0"/>
    <n v="0"/>
    <n v="1"/>
    <n v="1"/>
  </r>
  <r>
    <n v="5793"/>
    <x v="2"/>
    <s v="2014/6746"/>
    <m/>
    <s v="Car Park and Land South of, Osiers Road"/>
    <s v="BLOCK B - 4TH FLOOR - PRIVATE"/>
    <n v="525347"/>
    <n v="175071"/>
    <x v="13"/>
    <d v="2017-03-31T00:00:00"/>
    <m/>
    <n v="0"/>
    <n v="3"/>
    <n v="3"/>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8.0000003799796104E-3"/>
    <d v="2017-03-31T00:00:00"/>
    <x v="0"/>
    <m/>
    <x v="0"/>
    <s v="P"/>
    <m/>
    <m/>
    <n v="3"/>
    <m/>
    <n v="0"/>
    <m/>
    <n v="0"/>
    <n v="1"/>
    <n v="1"/>
    <n v="1"/>
    <n v="0"/>
    <n v="0"/>
    <n v="0"/>
    <n v="0"/>
    <n v="1"/>
    <n v="1"/>
    <n v="1"/>
    <n v="0"/>
    <n v="0"/>
    <n v="0"/>
    <n v="0"/>
    <n v="0"/>
    <n v="0"/>
    <n v="0"/>
    <n v="0"/>
    <n v="0"/>
    <n v="0"/>
    <n v="0"/>
    <n v="0"/>
    <n v="0"/>
    <n v="0"/>
    <n v="0"/>
    <n v="0"/>
    <n v="0"/>
    <s v="West"/>
    <x v="0"/>
    <x v="0"/>
    <x v="0"/>
    <x v="0"/>
    <x v="0"/>
    <x v="0"/>
    <m/>
    <x v="0"/>
    <s v="Y"/>
    <s v="3A"/>
    <m/>
    <n v="0"/>
    <n v="0"/>
    <n v="3"/>
    <n v="0"/>
    <n v="0"/>
    <n v="0"/>
    <n v="0"/>
    <n v="0"/>
    <n v="0"/>
    <n v="0"/>
    <n v="0"/>
    <n v="0"/>
    <n v="0"/>
    <n v="0"/>
    <n v="0"/>
    <n v="0"/>
    <n v="0"/>
    <n v="0"/>
    <n v="0"/>
    <n v="0"/>
    <n v="0"/>
    <n v="3"/>
    <n v="3"/>
  </r>
  <r>
    <n v="5793"/>
    <x v="2"/>
    <s v="2014/6746"/>
    <m/>
    <s v="Car Park and Land South of, Osiers Road"/>
    <s v="BLOCK B - 5TH FLOOR - PRIVATE"/>
    <n v="525347"/>
    <n v="175071"/>
    <x v="13"/>
    <d v="2017-03-31T00:00:00"/>
    <m/>
    <n v="0"/>
    <n v="3"/>
    <n v="3"/>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8.0000003799796104E-3"/>
    <d v="2017-03-31T00:00:00"/>
    <x v="0"/>
    <m/>
    <x v="0"/>
    <s v="P"/>
    <m/>
    <m/>
    <n v="3"/>
    <m/>
    <n v="0"/>
    <m/>
    <n v="0"/>
    <n v="1"/>
    <n v="1"/>
    <n v="1"/>
    <n v="0"/>
    <n v="0"/>
    <n v="0"/>
    <n v="0"/>
    <n v="1"/>
    <n v="1"/>
    <n v="1"/>
    <n v="0"/>
    <n v="0"/>
    <n v="0"/>
    <n v="0"/>
    <n v="0"/>
    <n v="0"/>
    <n v="0"/>
    <n v="0"/>
    <n v="0"/>
    <n v="0"/>
    <n v="0"/>
    <n v="0"/>
    <n v="0"/>
    <n v="0"/>
    <n v="0"/>
    <n v="0"/>
    <n v="0"/>
    <s v="West"/>
    <x v="0"/>
    <x v="0"/>
    <x v="0"/>
    <x v="0"/>
    <x v="0"/>
    <x v="0"/>
    <m/>
    <x v="0"/>
    <s v="Y"/>
    <s v="3A"/>
    <m/>
    <n v="0"/>
    <n v="0"/>
    <n v="3"/>
    <n v="0"/>
    <n v="0"/>
    <n v="0"/>
    <n v="0"/>
    <n v="0"/>
    <n v="0"/>
    <n v="0"/>
    <n v="0"/>
    <n v="0"/>
    <n v="0"/>
    <n v="0"/>
    <n v="0"/>
    <n v="0"/>
    <n v="0"/>
    <n v="0"/>
    <n v="0"/>
    <n v="0"/>
    <n v="0"/>
    <n v="3"/>
    <n v="3"/>
  </r>
  <r>
    <n v="5793"/>
    <x v="2"/>
    <s v="2014/6746"/>
    <m/>
    <s v="Car Park and Land South of, Osiers Road"/>
    <s v="BLOCK B - 6TH FLOOR - PRIVATE"/>
    <n v="525347"/>
    <n v="175071"/>
    <x v="13"/>
    <d v="2017-03-31T00:00:00"/>
    <m/>
    <n v="0"/>
    <n v="3"/>
    <n v="3"/>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8.0000003799796104E-3"/>
    <d v="2017-03-31T00:00:00"/>
    <x v="0"/>
    <m/>
    <x v="0"/>
    <s v="P"/>
    <m/>
    <m/>
    <n v="3"/>
    <m/>
    <n v="0"/>
    <m/>
    <n v="0"/>
    <n v="1"/>
    <n v="1"/>
    <n v="1"/>
    <n v="0"/>
    <n v="0"/>
    <n v="0"/>
    <n v="0"/>
    <n v="1"/>
    <n v="1"/>
    <n v="1"/>
    <n v="0"/>
    <n v="0"/>
    <n v="0"/>
    <n v="0"/>
    <n v="0"/>
    <n v="0"/>
    <n v="0"/>
    <n v="0"/>
    <n v="0"/>
    <n v="0"/>
    <n v="0"/>
    <n v="0"/>
    <n v="0"/>
    <n v="0"/>
    <n v="0"/>
    <n v="0"/>
    <n v="0"/>
    <s v="West"/>
    <x v="0"/>
    <x v="0"/>
    <x v="0"/>
    <x v="0"/>
    <x v="0"/>
    <x v="0"/>
    <m/>
    <x v="0"/>
    <s v="Y"/>
    <s v="3A"/>
    <m/>
    <n v="0"/>
    <n v="0"/>
    <n v="3"/>
    <n v="0"/>
    <n v="0"/>
    <n v="0"/>
    <n v="0"/>
    <n v="0"/>
    <n v="0"/>
    <n v="0"/>
    <n v="0"/>
    <n v="0"/>
    <n v="0"/>
    <n v="0"/>
    <n v="0"/>
    <n v="0"/>
    <n v="0"/>
    <n v="0"/>
    <n v="0"/>
    <n v="0"/>
    <n v="0"/>
    <n v="3"/>
    <n v="3"/>
  </r>
  <r>
    <n v="5793"/>
    <x v="2"/>
    <s v="2014/6746"/>
    <m/>
    <s v="Car Park and Land South of, Osiers Road"/>
    <s v="BLOCK B - 7TH FLOOR - PRIVATE"/>
    <n v="525347"/>
    <n v="175071"/>
    <x v="13"/>
    <d v="2017-03-31T00:00:00"/>
    <m/>
    <n v="0"/>
    <n v="3"/>
    <n v="3"/>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8.0000003799796104E-3"/>
    <d v="2017-03-31T00:00:00"/>
    <x v="0"/>
    <m/>
    <x v="0"/>
    <s v="P"/>
    <m/>
    <m/>
    <n v="3"/>
    <m/>
    <n v="0"/>
    <m/>
    <n v="0"/>
    <n v="1"/>
    <n v="1"/>
    <n v="1"/>
    <n v="0"/>
    <n v="0"/>
    <n v="0"/>
    <n v="0"/>
    <n v="1"/>
    <n v="1"/>
    <n v="1"/>
    <n v="0"/>
    <n v="0"/>
    <n v="0"/>
    <n v="0"/>
    <n v="0"/>
    <n v="0"/>
    <n v="0"/>
    <n v="0"/>
    <n v="0"/>
    <n v="0"/>
    <n v="0"/>
    <n v="0"/>
    <n v="0"/>
    <n v="0"/>
    <n v="0"/>
    <n v="0"/>
    <n v="0"/>
    <s v="West"/>
    <x v="0"/>
    <x v="0"/>
    <x v="0"/>
    <x v="0"/>
    <x v="0"/>
    <x v="0"/>
    <m/>
    <x v="0"/>
    <s v="Y"/>
    <s v="3A"/>
    <m/>
    <n v="0"/>
    <n v="0"/>
    <n v="3"/>
    <n v="0"/>
    <n v="0"/>
    <n v="0"/>
    <n v="0"/>
    <n v="0"/>
    <n v="0"/>
    <n v="0"/>
    <n v="0"/>
    <n v="0"/>
    <n v="0"/>
    <n v="0"/>
    <n v="0"/>
    <n v="0"/>
    <n v="0"/>
    <n v="0"/>
    <n v="0"/>
    <n v="0"/>
    <n v="0"/>
    <n v="3"/>
    <n v="3"/>
  </r>
  <r>
    <n v="5793"/>
    <x v="2"/>
    <s v="2014/6746"/>
    <m/>
    <s v="Car Park and Land South of, Osiers Road"/>
    <s v="BLOCK B - 8TH FLOOR - PRIVATE"/>
    <n v="525347"/>
    <n v="175071"/>
    <x v="13"/>
    <d v="2017-03-31T00:00:00"/>
    <m/>
    <n v="0"/>
    <n v="3"/>
    <n v="3"/>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8.0000003799796104E-3"/>
    <d v="2017-03-31T00:00:00"/>
    <x v="0"/>
    <m/>
    <x v="0"/>
    <s v="P"/>
    <m/>
    <m/>
    <n v="3"/>
    <m/>
    <n v="0"/>
    <m/>
    <n v="0"/>
    <n v="1"/>
    <n v="1"/>
    <n v="1"/>
    <n v="0"/>
    <n v="0"/>
    <n v="0"/>
    <n v="0"/>
    <n v="1"/>
    <n v="1"/>
    <n v="1"/>
    <n v="0"/>
    <n v="0"/>
    <n v="0"/>
    <n v="0"/>
    <n v="0"/>
    <n v="0"/>
    <n v="0"/>
    <n v="0"/>
    <n v="0"/>
    <n v="0"/>
    <n v="0"/>
    <n v="0"/>
    <n v="0"/>
    <n v="0"/>
    <n v="0"/>
    <n v="0"/>
    <n v="0"/>
    <s v="West"/>
    <x v="0"/>
    <x v="0"/>
    <x v="0"/>
    <x v="0"/>
    <x v="0"/>
    <x v="0"/>
    <m/>
    <x v="0"/>
    <s v="Y"/>
    <s v="3A"/>
    <m/>
    <n v="0"/>
    <n v="0"/>
    <n v="3"/>
    <n v="0"/>
    <n v="0"/>
    <n v="0"/>
    <n v="0"/>
    <n v="0"/>
    <n v="0"/>
    <n v="0"/>
    <n v="0"/>
    <n v="0"/>
    <n v="0"/>
    <n v="0"/>
    <n v="0"/>
    <n v="0"/>
    <n v="0"/>
    <n v="0"/>
    <n v="0"/>
    <n v="0"/>
    <n v="0"/>
    <n v="3"/>
    <n v="3"/>
  </r>
  <r>
    <n v="5793"/>
    <x v="2"/>
    <s v="2014/6746"/>
    <m/>
    <s v="Car Park and Land South of, Osiers Road"/>
    <s v="BLOCK B - 9TH FLOOR - PRIVATE"/>
    <n v="525347"/>
    <n v="175071"/>
    <x v="13"/>
    <d v="2017-03-31T00:00:00"/>
    <m/>
    <n v="0"/>
    <n v="2"/>
    <n v="2"/>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4.9999998882412902E-3"/>
    <d v="2017-03-31T00:00:00"/>
    <x v="0"/>
    <m/>
    <x v="0"/>
    <s v="P"/>
    <m/>
    <m/>
    <n v="2"/>
    <m/>
    <n v="0"/>
    <m/>
    <n v="0"/>
    <n v="0"/>
    <n v="1"/>
    <n v="1"/>
    <n v="0"/>
    <n v="0"/>
    <n v="0"/>
    <n v="0"/>
    <n v="0"/>
    <n v="1"/>
    <n v="1"/>
    <n v="0"/>
    <n v="0"/>
    <n v="0"/>
    <n v="0"/>
    <n v="0"/>
    <n v="0"/>
    <n v="0"/>
    <n v="0"/>
    <n v="0"/>
    <n v="0"/>
    <n v="0"/>
    <n v="0"/>
    <n v="0"/>
    <n v="0"/>
    <n v="0"/>
    <n v="0"/>
    <n v="0"/>
    <s v="West"/>
    <x v="0"/>
    <x v="0"/>
    <x v="0"/>
    <x v="0"/>
    <x v="0"/>
    <x v="0"/>
    <m/>
    <x v="0"/>
    <s v="Y"/>
    <s v="3A"/>
    <m/>
    <n v="0"/>
    <n v="0"/>
    <n v="2"/>
    <n v="0"/>
    <n v="0"/>
    <n v="0"/>
    <n v="0"/>
    <n v="0"/>
    <n v="0"/>
    <n v="0"/>
    <n v="0"/>
    <n v="0"/>
    <n v="0"/>
    <n v="0"/>
    <n v="0"/>
    <n v="0"/>
    <n v="0"/>
    <n v="0"/>
    <n v="0"/>
    <n v="0"/>
    <n v="0"/>
    <n v="2"/>
    <n v="2"/>
  </r>
  <r>
    <n v="5793"/>
    <x v="2"/>
    <s v="2014/6746"/>
    <m/>
    <s v="Car Park and Land South of, Osiers Road"/>
    <s v="BLOCK C - 2ND FLOOR - PRIVATE"/>
    <n v="525347"/>
    <n v="175071"/>
    <x v="13"/>
    <d v="2017-03-31T00:00:00"/>
    <m/>
    <n v="0"/>
    <n v="1"/>
    <n v="1"/>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3.0000000260770299E-3"/>
    <d v="2017-03-31T00:00:00"/>
    <x v="0"/>
    <m/>
    <x v="0"/>
    <s v="P"/>
    <m/>
    <m/>
    <n v="2"/>
    <m/>
    <n v="1"/>
    <m/>
    <n v="0"/>
    <n v="0"/>
    <n v="1"/>
    <n v="0"/>
    <n v="0"/>
    <n v="0"/>
    <n v="0"/>
    <n v="0"/>
    <n v="0"/>
    <n v="1"/>
    <n v="0"/>
    <n v="0"/>
    <n v="0"/>
    <n v="0"/>
    <n v="0"/>
    <n v="0"/>
    <n v="0"/>
    <n v="0"/>
    <n v="0"/>
    <n v="0"/>
    <n v="0"/>
    <n v="0"/>
    <n v="0"/>
    <n v="0"/>
    <n v="0"/>
    <n v="0"/>
    <n v="0"/>
    <n v="0"/>
    <s v="West"/>
    <x v="0"/>
    <x v="0"/>
    <x v="0"/>
    <x v="0"/>
    <x v="0"/>
    <x v="0"/>
    <m/>
    <x v="0"/>
    <s v="Y"/>
    <s v="3A"/>
    <m/>
    <n v="0"/>
    <n v="0"/>
    <n v="1"/>
    <n v="0"/>
    <n v="0"/>
    <n v="0"/>
    <n v="0"/>
    <n v="0"/>
    <n v="0"/>
    <n v="0"/>
    <n v="0"/>
    <n v="0"/>
    <n v="0"/>
    <n v="0"/>
    <n v="0"/>
    <n v="0"/>
    <n v="0"/>
    <n v="0"/>
    <n v="0"/>
    <n v="0"/>
    <n v="0"/>
    <n v="1"/>
    <n v="1"/>
  </r>
  <r>
    <n v="5793"/>
    <x v="2"/>
    <s v="2014/6746"/>
    <m/>
    <s v="Car Park and Land South of, Osiers Road"/>
    <s v="BLOCK C - 2ND FLOOR - SHARED OWNERSHIP"/>
    <n v="525347"/>
    <n v="175071"/>
    <x v="13"/>
    <d v="2017-03-31T00:00:00"/>
    <m/>
    <n v="0"/>
    <n v="1"/>
    <n v="1"/>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3.0000000260770299E-3"/>
    <d v="2017-03-31T00:00:00"/>
    <x v="0"/>
    <m/>
    <x v="1"/>
    <s v="HASO"/>
    <m/>
    <m/>
    <n v="1"/>
    <m/>
    <n v="0"/>
    <m/>
    <n v="0"/>
    <n v="0"/>
    <n v="1"/>
    <n v="0"/>
    <n v="0"/>
    <n v="0"/>
    <n v="0"/>
    <n v="0"/>
    <n v="0"/>
    <n v="1"/>
    <n v="0"/>
    <n v="0"/>
    <n v="0"/>
    <n v="0"/>
    <n v="0"/>
    <n v="0"/>
    <n v="0"/>
    <n v="0"/>
    <n v="0"/>
    <n v="0"/>
    <n v="0"/>
    <n v="0"/>
    <n v="0"/>
    <n v="0"/>
    <n v="0"/>
    <n v="0"/>
    <n v="0"/>
    <n v="0"/>
    <s v="West"/>
    <x v="0"/>
    <x v="0"/>
    <x v="0"/>
    <x v="0"/>
    <x v="0"/>
    <x v="0"/>
    <m/>
    <x v="0"/>
    <s v="Y"/>
    <s v="3A"/>
    <m/>
    <n v="0"/>
    <n v="0"/>
    <n v="1"/>
    <n v="0"/>
    <n v="0"/>
    <n v="0"/>
    <n v="0"/>
    <n v="0"/>
    <n v="0"/>
    <n v="0"/>
    <n v="0"/>
    <n v="0"/>
    <n v="0"/>
    <n v="0"/>
    <n v="0"/>
    <n v="0"/>
    <n v="0"/>
    <n v="0"/>
    <n v="0"/>
    <n v="0"/>
    <n v="0"/>
    <n v="1"/>
    <n v="1"/>
  </r>
  <r>
    <n v="5793"/>
    <x v="2"/>
    <s v="2014/6746"/>
    <m/>
    <s v="Car Park and Land South of, Osiers Road"/>
    <s v="BLOCK C - 3RD FLOOR - SHARED OWNERSHIP"/>
    <n v="525347"/>
    <n v="175071"/>
    <x v="13"/>
    <d v="2017-03-31T00:00:00"/>
    <m/>
    <n v="0"/>
    <n v="2"/>
    <n v="2"/>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4.9999998882412902E-3"/>
    <d v="2017-03-31T00:00:00"/>
    <x v="0"/>
    <m/>
    <x v="0"/>
    <s v="P"/>
    <m/>
    <m/>
    <n v="2"/>
    <m/>
    <n v="1"/>
    <m/>
    <n v="0"/>
    <n v="0"/>
    <n v="2"/>
    <n v="0"/>
    <n v="0"/>
    <n v="0"/>
    <n v="0"/>
    <n v="0"/>
    <n v="0"/>
    <n v="2"/>
    <n v="0"/>
    <n v="0"/>
    <n v="0"/>
    <n v="0"/>
    <n v="0"/>
    <n v="0"/>
    <n v="0"/>
    <n v="0"/>
    <n v="0"/>
    <n v="0"/>
    <n v="0"/>
    <n v="0"/>
    <n v="0"/>
    <n v="0"/>
    <n v="0"/>
    <n v="0"/>
    <n v="0"/>
    <n v="0"/>
    <s v="West"/>
    <x v="0"/>
    <x v="0"/>
    <x v="0"/>
    <x v="0"/>
    <x v="0"/>
    <x v="0"/>
    <m/>
    <x v="0"/>
    <s v="Y"/>
    <s v="3A"/>
    <m/>
    <n v="0"/>
    <n v="0"/>
    <n v="2"/>
    <n v="0"/>
    <n v="0"/>
    <n v="0"/>
    <n v="0"/>
    <n v="0"/>
    <n v="0"/>
    <n v="0"/>
    <n v="0"/>
    <n v="0"/>
    <n v="0"/>
    <n v="0"/>
    <n v="0"/>
    <n v="0"/>
    <n v="0"/>
    <n v="0"/>
    <n v="0"/>
    <n v="0"/>
    <n v="0"/>
    <n v="2"/>
    <n v="2"/>
  </r>
  <r>
    <n v="5793"/>
    <x v="2"/>
    <s v="2014/6746"/>
    <m/>
    <s v="Car Park and Land South of, Osiers Road"/>
    <s v="BLOCK C - 4TH FLOOR - SHARED OWNERSHIP"/>
    <n v="525347"/>
    <n v="175071"/>
    <x v="13"/>
    <d v="2017-03-31T00:00:00"/>
    <m/>
    <n v="0"/>
    <n v="2"/>
    <n v="2"/>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4.9999998882412902E-3"/>
    <d v="2017-03-31T00:00:00"/>
    <x v="0"/>
    <m/>
    <x v="1"/>
    <s v="HASO"/>
    <m/>
    <m/>
    <n v="2"/>
    <m/>
    <n v="1"/>
    <m/>
    <n v="0"/>
    <n v="0"/>
    <n v="2"/>
    <n v="0"/>
    <n v="0"/>
    <n v="0"/>
    <n v="0"/>
    <n v="0"/>
    <n v="0"/>
    <n v="2"/>
    <n v="0"/>
    <n v="0"/>
    <n v="0"/>
    <n v="0"/>
    <n v="0"/>
    <n v="0"/>
    <n v="0"/>
    <n v="0"/>
    <n v="0"/>
    <n v="0"/>
    <n v="0"/>
    <n v="0"/>
    <n v="0"/>
    <n v="0"/>
    <n v="0"/>
    <n v="0"/>
    <n v="0"/>
    <n v="0"/>
    <s v="West"/>
    <x v="0"/>
    <x v="0"/>
    <x v="0"/>
    <x v="0"/>
    <x v="0"/>
    <x v="0"/>
    <m/>
    <x v="0"/>
    <s v="Y"/>
    <s v="3A"/>
    <m/>
    <n v="0"/>
    <n v="0"/>
    <n v="2"/>
    <n v="0"/>
    <n v="0"/>
    <n v="0"/>
    <n v="0"/>
    <n v="0"/>
    <n v="0"/>
    <n v="0"/>
    <n v="0"/>
    <n v="0"/>
    <n v="0"/>
    <n v="0"/>
    <n v="0"/>
    <n v="0"/>
    <n v="0"/>
    <n v="0"/>
    <n v="0"/>
    <n v="0"/>
    <n v="0"/>
    <n v="2"/>
    <n v="2"/>
  </r>
  <r>
    <n v="5793"/>
    <x v="2"/>
    <s v="2014/6746"/>
    <m/>
    <s v="Car Park and Land South of, Osiers Road"/>
    <s v="BLOCK C - 5TH FLOOR - SHARED OWNERSHIP"/>
    <n v="525347"/>
    <n v="175071"/>
    <x v="13"/>
    <d v="2017-03-31T00:00:00"/>
    <m/>
    <n v="0"/>
    <n v="2"/>
    <n v="2"/>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4.9999998882412902E-3"/>
    <d v="2017-03-31T00:00:00"/>
    <x v="0"/>
    <m/>
    <x v="1"/>
    <s v="HASO"/>
    <m/>
    <m/>
    <n v="2"/>
    <m/>
    <n v="1"/>
    <m/>
    <n v="0"/>
    <n v="0"/>
    <n v="2"/>
    <n v="0"/>
    <n v="0"/>
    <n v="0"/>
    <n v="0"/>
    <n v="0"/>
    <n v="0"/>
    <n v="2"/>
    <n v="0"/>
    <n v="0"/>
    <n v="0"/>
    <n v="0"/>
    <n v="0"/>
    <n v="0"/>
    <n v="0"/>
    <n v="0"/>
    <n v="0"/>
    <n v="0"/>
    <n v="0"/>
    <n v="0"/>
    <n v="0"/>
    <n v="0"/>
    <n v="0"/>
    <n v="0"/>
    <n v="0"/>
    <n v="0"/>
    <s v="West"/>
    <x v="0"/>
    <x v="0"/>
    <x v="0"/>
    <x v="0"/>
    <x v="0"/>
    <x v="0"/>
    <m/>
    <x v="0"/>
    <s v="Y"/>
    <s v="3A"/>
    <m/>
    <n v="0"/>
    <n v="0"/>
    <n v="2"/>
    <n v="0"/>
    <n v="0"/>
    <n v="0"/>
    <n v="0"/>
    <n v="0"/>
    <n v="0"/>
    <n v="0"/>
    <n v="0"/>
    <n v="0"/>
    <n v="0"/>
    <n v="0"/>
    <n v="0"/>
    <n v="0"/>
    <n v="0"/>
    <n v="0"/>
    <n v="0"/>
    <n v="0"/>
    <n v="0"/>
    <n v="2"/>
    <n v="2"/>
  </r>
  <r>
    <n v="5793"/>
    <x v="2"/>
    <s v="2014/6746"/>
    <m/>
    <s v="Car Park and Land South of, Osiers Road"/>
    <s v="BLOCK C - 6TH FLOOR - PRIVATE"/>
    <n v="525347"/>
    <n v="175071"/>
    <x v="13"/>
    <d v="2017-03-31T00:00:00"/>
    <m/>
    <n v="0"/>
    <n v="1"/>
    <n v="1"/>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3.0000000260770299E-3"/>
    <d v="2017-03-31T00:00:00"/>
    <x v="0"/>
    <m/>
    <x v="0"/>
    <s v="P"/>
    <m/>
    <m/>
    <n v="1"/>
    <m/>
    <n v="0"/>
    <m/>
    <n v="0"/>
    <n v="0"/>
    <n v="1"/>
    <n v="0"/>
    <n v="0"/>
    <n v="0"/>
    <n v="0"/>
    <n v="0"/>
    <n v="0"/>
    <n v="1"/>
    <n v="0"/>
    <n v="0"/>
    <n v="0"/>
    <n v="0"/>
    <n v="0"/>
    <n v="0"/>
    <n v="0"/>
    <n v="0"/>
    <n v="0"/>
    <n v="0"/>
    <n v="0"/>
    <n v="0"/>
    <n v="0"/>
    <n v="0"/>
    <n v="0"/>
    <n v="0"/>
    <n v="0"/>
    <n v="0"/>
    <s v="West"/>
    <x v="0"/>
    <x v="0"/>
    <x v="0"/>
    <x v="0"/>
    <x v="0"/>
    <x v="0"/>
    <m/>
    <x v="0"/>
    <s v="Y"/>
    <s v="3A"/>
    <m/>
    <n v="0"/>
    <n v="0"/>
    <n v="1"/>
    <n v="0"/>
    <n v="0"/>
    <n v="0"/>
    <n v="0"/>
    <n v="0"/>
    <n v="0"/>
    <n v="0"/>
    <n v="0"/>
    <n v="0"/>
    <n v="0"/>
    <n v="0"/>
    <n v="0"/>
    <n v="0"/>
    <n v="0"/>
    <n v="0"/>
    <n v="0"/>
    <n v="0"/>
    <n v="0"/>
    <n v="1"/>
    <n v="1"/>
  </r>
  <r>
    <n v="5793"/>
    <x v="2"/>
    <s v="2014/6746"/>
    <m/>
    <s v="Car Park and Land South of, Osiers Road"/>
    <s v="BLOCK C - 6TH FLOOR - SHARED OWNERSHIP"/>
    <n v="525347"/>
    <n v="175071"/>
    <x v="13"/>
    <d v="2017-03-31T00:00:00"/>
    <m/>
    <n v="0"/>
    <n v="1"/>
    <n v="1"/>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3.0000000260770299E-3"/>
    <d v="2017-03-31T00:00:00"/>
    <x v="0"/>
    <m/>
    <x v="1"/>
    <s v="HASO"/>
    <m/>
    <m/>
    <n v="1"/>
    <m/>
    <n v="1"/>
    <m/>
    <n v="0"/>
    <n v="0"/>
    <n v="1"/>
    <n v="0"/>
    <n v="0"/>
    <n v="0"/>
    <n v="0"/>
    <n v="0"/>
    <n v="0"/>
    <n v="1"/>
    <n v="0"/>
    <n v="0"/>
    <n v="0"/>
    <n v="0"/>
    <n v="0"/>
    <n v="0"/>
    <n v="0"/>
    <n v="0"/>
    <n v="0"/>
    <n v="0"/>
    <n v="0"/>
    <n v="0"/>
    <n v="0"/>
    <n v="0"/>
    <n v="0"/>
    <n v="0"/>
    <n v="0"/>
    <n v="0"/>
    <s v="West"/>
    <x v="0"/>
    <x v="0"/>
    <x v="0"/>
    <x v="0"/>
    <x v="0"/>
    <x v="0"/>
    <m/>
    <x v="0"/>
    <s v="Y"/>
    <s v="3A"/>
    <m/>
    <n v="0"/>
    <n v="0"/>
    <n v="1"/>
    <n v="0"/>
    <n v="0"/>
    <n v="0"/>
    <n v="0"/>
    <n v="0"/>
    <n v="0"/>
    <n v="0"/>
    <n v="0"/>
    <n v="0"/>
    <n v="0"/>
    <n v="0"/>
    <n v="0"/>
    <n v="0"/>
    <n v="0"/>
    <n v="0"/>
    <n v="0"/>
    <n v="0"/>
    <n v="0"/>
    <n v="1"/>
    <n v="1"/>
  </r>
  <r>
    <n v="5793"/>
    <x v="2"/>
    <s v="2014/6746"/>
    <m/>
    <s v="Car Park and Land South of, Osiers Road"/>
    <s v="BLOCK C - 7TH FLOOR - PRIVATE"/>
    <n v="525347"/>
    <n v="175071"/>
    <x v="13"/>
    <d v="2017-03-31T00:00:00"/>
    <m/>
    <n v="0"/>
    <n v="1"/>
    <n v="1"/>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3.0000000260770299E-3"/>
    <d v="2017-03-31T00:00:00"/>
    <x v="0"/>
    <m/>
    <x v="0"/>
    <s v="P"/>
    <m/>
    <m/>
    <n v="1"/>
    <m/>
    <n v="0"/>
    <m/>
    <n v="0"/>
    <n v="0"/>
    <n v="1"/>
    <n v="0"/>
    <n v="0"/>
    <n v="0"/>
    <n v="0"/>
    <n v="0"/>
    <n v="0"/>
    <n v="1"/>
    <n v="0"/>
    <n v="0"/>
    <n v="0"/>
    <n v="0"/>
    <n v="0"/>
    <n v="0"/>
    <n v="0"/>
    <n v="0"/>
    <n v="0"/>
    <n v="0"/>
    <n v="0"/>
    <n v="0"/>
    <n v="0"/>
    <n v="0"/>
    <n v="0"/>
    <n v="0"/>
    <n v="0"/>
    <n v="0"/>
    <s v="West"/>
    <x v="0"/>
    <x v="0"/>
    <x v="0"/>
    <x v="0"/>
    <x v="0"/>
    <x v="0"/>
    <m/>
    <x v="0"/>
    <s v="Y"/>
    <s v="3A"/>
    <m/>
    <n v="0"/>
    <n v="0"/>
    <n v="1"/>
    <n v="0"/>
    <n v="0"/>
    <n v="0"/>
    <n v="0"/>
    <n v="0"/>
    <n v="0"/>
    <n v="0"/>
    <n v="0"/>
    <n v="0"/>
    <n v="0"/>
    <n v="0"/>
    <n v="0"/>
    <n v="0"/>
    <n v="0"/>
    <n v="0"/>
    <n v="0"/>
    <n v="0"/>
    <n v="0"/>
    <n v="1"/>
    <n v="1"/>
  </r>
  <r>
    <n v="5793"/>
    <x v="2"/>
    <s v="2014/6746"/>
    <m/>
    <s v="Car Park and Land South of, Osiers Road"/>
    <s v="BLOCK C - 7TH FLOOR - SHARED OWNERSHIP"/>
    <n v="525347"/>
    <n v="175071"/>
    <x v="13"/>
    <d v="2017-03-31T00:00:00"/>
    <m/>
    <n v="0"/>
    <n v="1"/>
    <n v="1"/>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3.0000000260770299E-3"/>
    <d v="2017-03-31T00:00:00"/>
    <x v="0"/>
    <m/>
    <x v="1"/>
    <s v="HASO"/>
    <m/>
    <m/>
    <n v="1"/>
    <m/>
    <n v="0"/>
    <m/>
    <n v="0"/>
    <n v="0"/>
    <n v="1"/>
    <n v="0"/>
    <n v="0"/>
    <n v="0"/>
    <n v="0"/>
    <n v="0"/>
    <n v="0"/>
    <n v="1"/>
    <n v="0"/>
    <n v="0"/>
    <n v="0"/>
    <n v="0"/>
    <n v="0"/>
    <n v="0"/>
    <n v="0"/>
    <n v="0"/>
    <n v="0"/>
    <n v="0"/>
    <n v="0"/>
    <n v="0"/>
    <n v="0"/>
    <n v="0"/>
    <n v="0"/>
    <n v="0"/>
    <n v="0"/>
    <n v="0"/>
    <s v="West"/>
    <x v="0"/>
    <x v="0"/>
    <x v="0"/>
    <x v="0"/>
    <x v="0"/>
    <x v="0"/>
    <m/>
    <x v="0"/>
    <s v="Y"/>
    <s v="3A"/>
    <m/>
    <n v="0"/>
    <n v="0"/>
    <n v="1"/>
    <n v="0"/>
    <n v="0"/>
    <n v="0"/>
    <n v="0"/>
    <n v="0"/>
    <n v="0"/>
    <n v="0"/>
    <n v="0"/>
    <n v="0"/>
    <n v="0"/>
    <n v="0"/>
    <n v="0"/>
    <n v="0"/>
    <n v="0"/>
    <n v="0"/>
    <n v="0"/>
    <n v="0"/>
    <n v="0"/>
    <n v="1"/>
    <n v="1"/>
  </r>
  <r>
    <n v="5793"/>
    <x v="2"/>
    <s v="2014/6746"/>
    <m/>
    <s v="Car Park and Land South of, Osiers Road"/>
    <s v="BLOCK C - 8TH FLOOR - PRIVATE"/>
    <n v="525347"/>
    <n v="175071"/>
    <x v="13"/>
    <d v="2017-03-31T00:00:00"/>
    <m/>
    <n v="0"/>
    <n v="1"/>
    <n v="1"/>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3.0000000260770299E-3"/>
    <d v="2017-03-31T00:00:00"/>
    <x v="0"/>
    <m/>
    <x v="0"/>
    <s v="P"/>
    <m/>
    <m/>
    <n v="1"/>
    <m/>
    <n v="0"/>
    <m/>
    <n v="0"/>
    <n v="0"/>
    <n v="1"/>
    <n v="0"/>
    <n v="0"/>
    <n v="0"/>
    <n v="0"/>
    <n v="0"/>
    <n v="0"/>
    <n v="1"/>
    <n v="0"/>
    <n v="0"/>
    <n v="0"/>
    <n v="0"/>
    <n v="0"/>
    <n v="0"/>
    <n v="0"/>
    <n v="0"/>
    <n v="0"/>
    <n v="0"/>
    <n v="0"/>
    <n v="0"/>
    <n v="0"/>
    <n v="0"/>
    <n v="0"/>
    <n v="0"/>
    <n v="0"/>
    <n v="0"/>
    <s v="West"/>
    <x v="0"/>
    <x v="0"/>
    <x v="0"/>
    <x v="0"/>
    <x v="0"/>
    <x v="0"/>
    <m/>
    <x v="0"/>
    <s v="Y"/>
    <s v="3A"/>
    <m/>
    <n v="0"/>
    <n v="0"/>
    <n v="1"/>
    <n v="0"/>
    <n v="0"/>
    <n v="0"/>
    <n v="0"/>
    <n v="0"/>
    <n v="0"/>
    <n v="0"/>
    <n v="0"/>
    <n v="0"/>
    <n v="0"/>
    <n v="0"/>
    <n v="0"/>
    <n v="0"/>
    <n v="0"/>
    <n v="0"/>
    <n v="0"/>
    <n v="0"/>
    <n v="0"/>
    <n v="1"/>
    <n v="1"/>
  </r>
  <r>
    <n v="5793"/>
    <x v="2"/>
    <s v="2014/6746"/>
    <m/>
    <s v="Car Park and Land South of, Osiers Road"/>
    <s v="BLOCK C - 8TH FLOOR - SHARED OWNERSHIP"/>
    <n v="525347"/>
    <n v="175071"/>
    <x v="13"/>
    <d v="2017-03-31T00:00:00"/>
    <m/>
    <n v="0"/>
    <n v="1"/>
    <n v="1"/>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3.0000000260770299E-3"/>
    <d v="2017-03-31T00:00:00"/>
    <x v="0"/>
    <m/>
    <x v="1"/>
    <s v="HASO"/>
    <m/>
    <m/>
    <n v="1"/>
    <m/>
    <n v="0"/>
    <m/>
    <n v="0"/>
    <n v="0"/>
    <n v="1"/>
    <n v="0"/>
    <n v="0"/>
    <n v="0"/>
    <n v="0"/>
    <n v="0"/>
    <n v="0"/>
    <n v="1"/>
    <n v="0"/>
    <n v="0"/>
    <n v="0"/>
    <n v="0"/>
    <n v="0"/>
    <n v="0"/>
    <n v="0"/>
    <n v="0"/>
    <n v="0"/>
    <n v="0"/>
    <n v="0"/>
    <n v="0"/>
    <n v="0"/>
    <n v="0"/>
    <n v="0"/>
    <n v="0"/>
    <n v="0"/>
    <n v="0"/>
    <s v="West"/>
    <x v="0"/>
    <x v="0"/>
    <x v="0"/>
    <x v="0"/>
    <x v="0"/>
    <x v="0"/>
    <m/>
    <x v="0"/>
    <s v="Y"/>
    <s v="3A"/>
    <m/>
    <n v="0"/>
    <n v="0"/>
    <n v="1"/>
    <n v="0"/>
    <n v="0"/>
    <n v="0"/>
    <n v="0"/>
    <n v="0"/>
    <n v="0"/>
    <n v="0"/>
    <n v="0"/>
    <n v="0"/>
    <n v="0"/>
    <n v="0"/>
    <n v="0"/>
    <n v="0"/>
    <n v="0"/>
    <n v="0"/>
    <n v="0"/>
    <n v="0"/>
    <n v="0"/>
    <n v="1"/>
    <n v="1"/>
  </r>
  <r>
    <n v="5793"/>
    <x v="2"/>
    <s v="2014/6746"/>
    <m/>
    <s v="Car Park and Land South of, Osiers Road"/>
    <s v="BLOCK C - 9TH FLOOR - PRIVARE"/>
    <n v="525347"/>
    <n v="175071"/>
    <x v="13"/>
    <d v="2017-03-31T00:00:00"/>
    <m/>
    <n v="0"/>
    <n v="1"/>
    <n v="1"/>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3.0000000260770299E-3"/>
    <d v="2017-03-31T00:00:00"/>
    <x v="0"/>
    <m/>
    <x v="0"/>
    <s v="P"/>
    <m/>
    <m/>
    <n v="1"/>
    <m/>
    <n v="1"/>
    <m/>
    <n v="0"/>
    <n v="0"/>
    <n v="1"/>
    <n v="0"/>
    <n v="0"/>
    <n v="0"/>
    <n v="0"/>
    <n v="0"/>
    <n v="0"/>
    <n v="1"/>
    <n v="0"/>
    <n v="0"/>
    <n v="0"/>
    <n v="0"/>
    <n v="0"/>
    <n v="0"/>
    <n v="0"/>
    <n v="0"/>
    <n v="0"/>
    <n v="0"/>
    <n v="0"/>
    <n v="0"/>
    <n v="0"/>
    <n v="0"/>
    <n v="0"/>
    <n v="0"/>
    <n v="0"/>
    <n v="0"/>
    <s v="West"/>
    <x v="0"/>
    <x v="0"/>
    <x v="0"/>
    <x v="0"/>
    <x v="0"/>
    <x v="0"/>
    <m/>
    <x v="0"/>
    <s v="Y"/>
    <s v="3A"/>
    <m/>
    <n v="0"/>
    <n v="0"/>
    <n v="1"/>
    <n v="0"/>
    <n v="0"/>
    <n v="0"/>
    <n v="0"/>
    <n v="0"/>
    <n v="0"/>
    <n v="0"/>
    <n v="0"/>
    <n v="0"/>
    <n v="0"/>
    <n v="0"/>
    <n v="0"/>
    <n v="0"/>
    <n v="0"/>
    <n v="0"/>
    <n v="0"/>
    <n v="0"/>
    <n v="0"/>
    <n v="1"/>
    <n v="1"/>
  </r>
  <r>
    <n v="5793"/>
    <x v="2"/>
    <s v="2014/6746"/>
    <m/>
    <s v="Car Park and Land South of, Osiers Road"/>
    <s v="BLOCK C - 9TH FLOOR - SHARED OWNERSHIP"/>
    <n v="525347"/>
    <n v="175071"/>
    <x v="13"/>
    <d v="2017-03-31T00:00:00"/>
    <m/>
    <n v="0"/>
    <n v="1"/>
    <n v="1"/>
    <n v="85"/>
    <n v="85"/>
    <s v="Y"/>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x v="0"/>
    <x v="1"/>
    <x v="1"/>
    <n v="3.0000000260770299E-3"/>
    <d v="2017-03-31T00:00:00"/>
    <x v="0"/>
    <m/>
    <x v="1"/>
    <s v="HASO"/>
    <m/>
    <m/>
    <n v="1"/>
    <m/>
    <n v="0"/>
    <m/>
    <n v="0"/>
    <n v="1"/>
    <n v="0"/>
    <n v="0"/>
    <n v="0"/>
    <n v="0"/>
    <n v="0"/>
    <n v="0"/>
    <n v="1"/>
    <n v="0"/>
    <n v="0"/>
    <n v="0"/>
    <n v="0"/>
    <n v="0"/>
    <n v="0"/>
    <n v="0"/>
    <n v="0"/>
    <n v="0"/>
    <n v="0"/>
    <n v="0"/>
    <n v="0"/>
    <n v="0"/>
    <n v="0"/>
    <n v="0"/>
    <n v="0"/>
    <n v="0"/>
    <n v="0"/>
    <n v="0"/>
    <s v="West"/>
    <x v="0"/>
    <x v="0"/>
    <x v="0"/>
    <x v="0"/>
    <x v="0"/>
    <x v="0"/>
    <m/>
    <x v="0"/>
    <s v="Y"/>
    <s v="3A"/>
    <m/>
    <n v="0"/>
    <n v="0"/>
    <n v="1"/>
    <n v="0"/>
    <n v="0"/>
    <n v="0"/>
    <n v="0"/>
    <n v="0"/>
    <n v="0"/>
    <n v="0"/>
    <n v="0"/>
    <n v="0"/>
    <n v="0"/>
    <n v="0"/>
    <n v="0"/>
    <n v="0"/>
    <n v="0"/>
    <n v="0"/>
    <n v="0"/>
    <n v="0"/>
    <n v="0"/>
    <n v="1"/>
    <n v="1"/>
  </r>
  <r>
    <n v="5794"/>
    <x v="2"/>
    <s v="2017/3215"/>
    <m/>
    <s v="ground floor, 25 Alston Road"/>
    <m/>
    <n v="526672"/>
    <n v="171644"/>
    <x v="4"/>
    <d v="2018-03-31T00:00:00"/>
    <m/>
    <n v="0"/>
    <n v="1"/>
    <n v="1"/>
    <n v="1"/>
    <n v="1"/>
    <m/>
    <s v="Alterations including erection of single-storey rear extension in connection with the change of use of ground floor from office (Class B1) to 1 x 1 bedroom flat (Class C3),"/>
    <s v="PF"/>
    <d v="2017-06-19T00:00:00"/>
    <d v="2017-08-14T00:00:00"/>
    <x v="1"/>
    <s v="Nil"/>
    <m/>
    <s v="BF"/>
    <x v="4"/>
    <x v="0"/>
    <x v="9"/>
    <n v="4.9999998882412902E-3"/>
    <d v="2018-03-31T00:00:00"/>
    <x v="1"/>
    <m/>
    <x v="0"/>
    <s v="P"/>
    <m/>
    <m/>
    <n v="0"/>
    <m/>
    <n v="0"/>
    <m/>
    <n v="0"/>
    <n v="1"/>
    <n v="0"/>
    <n v="0"/>
    <n v="0"/>
    <n v="0"/>
    <n v="0"/>
    <n v="0"/>
    <n v="1"/>
    <n v="0"/>
    <n v="0"/>
    <n v="0"/>
    <n v="0"/>
    <n v="0"/>
    <n v="0"/>
    <n v="0"/>
    <n v="0"/>
    <n v="0"/>
    <n v="0"/>
    <n v="0"/>
    <n v="0"/>
    <n v="0"/>
    <n v="0"/>
    <n v="0"/>
    <n v="0"/>
    <n v="0"/>
    <n v="0"/>
    <n v="0"/>
    <s v="East"/>
    <x v="0"/>
    <x v="0"/>
    <x v="1"/>
    <x v="0"/>
    <x v="0"/>
    <x v="0"/>
    <m/>
    <x v="0"/>
    <s v="Y"/>
    <s v="8B"/>
    <m/>
    <n v="0"/>
    <n v="0.5"/>
    <n v="0.5"/>
    <n v="0"/>
    <n v="0"/>
    <n v="0"/>
    <n v="0"/>
    <n v="0"/>
    <n v="0"/>
    <n v="0"/>
    <n v="0"/>
    <n v="0"/>
    <n v="0"/>
    <n v="0"/>
    <n v="0"/>
    <n v="0"/>
    <n v="0"/>
    <n v="0"/>
    <n v="0"/>
    <n v="0"/>
    <n v="0"/>
    <n v="1"/>
    <n v="1"/>
  </r>
  <r>
    <n v="5812"/>
    <x v="2"/>
    <s v="2015/4504"/>
    <m/>
    <s v="46 Ponton Road"/>
    <s v="Block A"/>
    <n v="529628"/>
    <n v="177338"/>
    <x v="6"/>
    <d v="2017-02-27T00:00:00"/>
    <m/>
    <n v="0"/>
    <n v="126"/>
    <n v="126"/>
    <n v="357"/>
    <n v="357"/>
    <s v="Y"/>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x v="0"/>
    <s v="Nil"/>
    <m/>
    <s v="BF"/>
    <x v="0"/>
    <x v="1"/>
    <x v="1"/>
    <n v="0.20000000298023199"/>
    <d v="2017-02-27T00:00:00"/>
    <x v="0"/>
    <m/>
    <x v="0"/>
    <s v="P"/>
    <s v="2.1.20"/>
    <m/>
    <n v="126"/>
    <m/>
    <n v="12"/>
    <m/>
    <n v="9"/>
    <n v="12"/>
    <n v="97"/>
    <n v="8"/>
    <n v="0"/>
    <n v="0"/>
    <n v="0"/>
    <n v="9"/>
    <n v="12"/>
    <n v="97"/>
    <n v="8"/>
    <n v="0"/>
    <n v="0"/>
    <n v="0"/>
    <n v="0"/>
    <n v="0"/>
    <n v="0"/>
    <n v="0"/>
    <n v="0"/>
    <n v="0"/>
    <n v="0"/>
    <n v="0"/>
    <n v="0"/>
    <n v="0"/>
    <n v="0"/>
    <n v="0"/>
    <n v="0"/>
    <n v="0"/>
    <s v="Strategic Planning/Nine Elms"/>
    <x v="0"/>
    <x v="1"/>
    <x v="1"/>
    <x v="0"/>
    <x v="0"/>
    <x v="0"/>
    <m/>
    <x v="0"/>
    <s v="Y"/>
    <n v="12"/>
    <m/>
    <n v="0"/>
    <n v="0"/>
    <n v="126"/>
    <n v="0"/>
    <n v="0"/>
    <n v="0"/>
    <n v="0"/>
    <n v="0"/>
    <n v="0"/>
    <n v="0"/>
    <n v="0"/>
    <n v="0"/>
    <n v="0"/>
    <n v="0"/>
    <n v="0"/>
    <n v="0"/>
    <n v="0"/>
    <n v="0"/>
    <n v="0"/>
    <n v="0"/>
    <n v="0"/>
    <n v="126"/>
    <n v="126"/>
  </r>
  <r>
    <n v="5812"/>
    <x v="2"/>
    <s v="2015/4504"/>
    <m/>
    <s v="46 Ponton Road"/>
    <s v="Block B"/>
    <n v="529628"/>
    <n v="177338"/>
    <x v="6"/>
    <d v="2017-02-27T00:00:00"/>
    <m/>
    <n v="0"/>
    <n v="126"/>
    <n v="126"/>
    <n v="357"/>
    <n v="357"/>
    <s v="Y"/>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x v="0"/>
    <s v="Nil"/>
    <m/>
    <s v="BF"/>
    <x v="0"/>
    <x v="1"/>
    <x v="1"/>
    <n v="0.18299999833107"/>
    <d v="2018-03-31T00:00:00"/>
    <x v="1"/>
    <m/>
    <x v="0"/>
    <s v="P"/>
    <s v="2.1.20"/>
    <m/>
    <n v="126"/>
    <m/>
    <n v="12"/>
    <m/>
    <n v="0"/>
    <n v="33"/>
    <n v="85"/>
    <n v="8"/>
    <n v="0"/>
    <n v="0"/>
    <n v="0"/>
    <n v="0"/>
    <n v="33"/>
    <n v="85"/>
    <n v="8"/>
    <n v="0"/>
    <n v="0"/>
    <n v="0"/>
    <n v="0"/>
    <n v="0"/>
    <n v="0"/>
    <n v="0"/>
    <n v="0"/>
    <n v="0"/>
    <n v="0"/>
    <n v="0"/>
    <n v="0"/>
    <n v="0"/>
    <n v="0"/>
    <n v="0"/>
    <n v="0"/>
    <n v="0"/>
    <s v="Strategic Planning/Nine Elms"/>
    <x v="0"/>
    <x v="1"/>
    <x v="1"/>
    <x v="0"/>
    <x v="0"/>
    <x v="0"/>
    <m/>
    <x v="0"/>
    <s v="Y"/>
    <n v="12"/>
    <m/>
    <n v="0"/>
    <n v="0"/>
    <n v="0"/>
    <n v="126"/>
    <n v="0"/>
    <n v="0"/>
    <n v="0"/>
    <n v="0"/>
    <n v="0"/>
    <n v="0"/>
    <n v="0"/>
    <n v="0"/>
    <n v="0"/>
    <n v="0"/>
    <n v="0"/>
    <n v="0"/>
    <n v="0"/>
    <n v="0"/>
    <n v="0"/>
    <n v="0"/>
    <n v="0"/>
    <n v="126"/>
    <n v="126"/>
  </r>
  <r>
    <n v="5812"/>
    <x v="2"/>
    <s v="2015/4504"/>
    <m/>
    <s v="46 Ponton Road"/>
    <s v="Block C"/>
    <n v="529628"/>
    <n v="177338"/>
    <x v="6"/>
    <d v="2017-02-27T00:00:00"/>
    <m/>
    <n v="0"/>
    <n v="39"/>
    <n v="39"/>
    <n v="357"/>
    <n v="357"/>
    <s v="Y"/>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x v="0"/>
    <s v="Nil"/>
    <m/>
    <s v="BF"/>
    <x v="0"/>
    <x v="1"/>
    <x v="1"/>
    <n v="5.0000000745058101E-2"/>
    <d v="2018-03-31T00:00:00"/>
    <x v="1"/>
    <m/>
    <x v="2"/>
    <s v="HAAR"/>
    <s v="2.1.20"/>
    <m/>
    <n v="39"/>
    <m/>
    <n v="9"/>
    <n v="5"/>
    <n v="0"/>
    <n v="6"/>
    <n v="22"/>
    <n v="11"/>
    <n v="0"/>
    <n v="0"/>
    <n v="0"/>
    <n v="0"/>
    <n v="6"/>
    <n v="22"/>
    <n v="11"/>
    <n v="0"/>
    <n v="0"/>
    <n v="0"/>
    <n v="0"/>
    <n v="0"/>
    <n v="0"/>
    <n v="0"/>
    <n v="0"/>
    <n v="0"/>
    <n v="0"/>
    <n v="0"/>
    <n v="0"/>
    <n v="0"/>
    <n v="0"/>
    <n v="0"/>
    <n v="0"/>
    <n v="0"/>
    <s v="Strategic Planning/Nine Elms"/>
    <x v="0"/>
    <x v="1"/>
    <x v="1"/>
    <x v="0"/>
    <x v="0"/>
    <x v="0"/>
    <m/>
    <x v="0"/>
    <s v="Y"/>
    <n v="12"/>
    <m/>
    <n v="0"/>
    <n v="0"/>
    <n v="0"/>
    <n v="0"/>
    <n v="39"/>
    <n v="0"/>
    <n v="0"/>
    <n v="0"/>
    <n v="0"/>
    <n v="0"/>
    <n v="0"/>
    <n v="0"/>
    <n v="0"/>
    <n v="0"/>
    <n v="0"/>
    <n v="0"/>
    <n v="0"/>
    <n v="0"/>
    <n v="0"/>
    <n v="0"/>
    <n v="0"/>
    <n v="39"/>
    <n v="39"/>
  </r>
  <r>
    <n v="5812"/>
    <x v="2"/>
    <s v="2015/4504"/>
    <m/>
    <s v="46 Ponton Road"/>
    <s v="Block C"/>
    <n v="529628"/>
    <n v="177338"/>
    <x v="6"/>
    <d v="2017-02-27T00:00:00"/>
    <m/>
    <n v="0"/>
    <n v="10"/>
    <n v="10"/>
    <n v="357"/>
    <n v="357"/>
    <s v="Y"/>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x v="0"/>
    <s v="Nil"/>
    <m/>
    <s v="BF"/>
    <x v="0"/>
    <x v="1"/>
    <x v="1"/>
    <n v="5.0000000745058101E-2"/>
    <d v="2018-03-31T00:00:00"/>
    <x v="1"/>
    <m/>
    <x v="0"/>
    <s v="P"/>
    <s v="2.1.20"/>
    <m/>
    <n v="10"/>
    <m/>
    <n v="0"/>
    <m/>
    <n v="0"/>
    <n v="4"/>
    <n v="4"/>
    <n v="2"/>
    <n v="0"/>
    <n v="0"/>
    <n v="0"/>
    <n v="0"/>
    <n v="4"/>
    <n v="4"/>
    <n v="2"/>
    <n v="0"/>
    <n v="0"/>
    <n v="0"/>
    <n v="0"/>
    <n v="0"/>
    <n v="0"/>
    <n v="0"/>
    <n v="0"/>
    <n v="0"/>
    <n v="0"/>
    <n v="0"/>
    <n v="0"/>
    <n v="0"/>
    <n v="0"/>
    <n v="0"/>
    <n v="0"/>
    <n v="0"/>
    <s v="Strategic Planning/Nine Elms"/>
    <x v="0"/>
    <x v="1"/>
    <x v="1"/>
    <x v="0"/>
    <x v="0"/>
    <x v="0"/>
    <m/>
    <x v="0"/>
    <s v="Y"/>
    <n v="12"/>
    <m/>
    <n v="0"/>
    <n v="0"/>
    <n v="0"/>
    <n v="0"/>
    <n v="10"/>
    <n v="0"/>
    <n v="0"/>
    <n v="0"/>
    <n v="0"/>
    <n v="0"/>
    <n v="0"/>
    <n v="0"/>
    <n v="0"/>
    <n v="0"/>
    <n v="0"/>
    <n v="0"/>
    <n v="0"/>
    <n v="0"/>
    <n v="0"/>
    <n v="0"/>
    <n v="0"/>
    <n v="10"/>
    <n v="10"/>
  </r>
  <r>
    <n v="5812"/>
    <x v="2"/>
    <s v="2017/1890"/>
    <m/>
    <s v="46 Ponton Road"/>
    <s v="Block C"/>
    <n v="529628"/>
    <n v="177338"/>
    <x v="6"/>
    <d v="2018-03-31T00:00:00"/>
    <m/>
    <n v="0"/>
    <n v="59"/>
    <n v="59"/>
    <n v="59"/>
    <n v="59"/>
    <s v="Y"/>
    <s v="Application under Section 73 of the Town and Country Planning Act (as amended) for amendments to planning permission dated 04/10/2016 (ref: 2015/4504) for the demolition of all existing buildings and redevelopment of the site to provide a mixed-use development comprising 357 residential units, including affordable housing (Use Class C3) and 772 sqm of commercial / community floorspace (Use Classes A1 / A2 / A3 / B1 / D1 / D2/) within buildings ranging from 10 to 13 storeys in height, together with associated car and cycle parking, private and public open space, landscaping and infrastructure works. (The amendments include:_x000d__x000a_Amendments to building façade and materials and relocation of façade frame; Reduction in overall building height; Amendments to the ground floor layout and building core layouts; Amendments to podium drainage; Removal of podium level attenuation; Amendments to internal apartment layouts; and Amendments to internal layouts of Block C resulting in changes to the unit mix within the shared ownership tenure and an increase of three residential units)"/>
    <s v="PFLA"/>
    <d v="2017-04-04T00:00:00"/>
    <d v="2017-12-22T00:00:00"/>
    <x v="1"/>
    <s v="Nil"/>
    <m/>
    <s v="BF"/>
    <x v="0"/>
    <x v="1"/>
    <x v="1"/>
    <n v="6.7000001668930095E-2"/>
    <d v="2018-03-31T00:00:00"/>
    <x v="1"/>
    <m/>
    <x v="1"/>
    <s v="HAIS"/>
    <s v="2.1.20"/>
    <m/>
    <n v="0"/>
    <m/>
    <n v="0"/>
    <n v="3"/>
    <n v="0"/>
    <n v="38"/>
    <n v="20"/>
    <n v="1"/>
    <n v="0"/>
    <n v="0"/>
    <n v="0"/>
    <n v="0"/>
    <n v="38"/>
    <n v="20"/>
    <n v="1"/>
    <n v="0"/>
    <n v="0"/>
    <n v="0"/>
    <n v="0"/>
    <n v="0"/>
    <n v="0"/>
    <n v="0"/>
    <n v="0"/>
    <n v="0"/>
    <n v="0"/>
    <n v="0"/>
    <n v="0"/>
    <n v="0"/>
    <n v="0"/>
    <n v="0"/>
    <n v="0"/>
    <n v="0"/>
    <s v="Strategic Planning/Nine Elms"/>
    <x v="0"/>
    <x v="1"/>
    <x v="1"/>
    <x v="0"/>
    <x v="0"/>
    <x v="0"/>
    <m/>
    <x v="0"/>
    <s v="Y"/>
    <n v="12"/>
    <m/>
    <n v="0"/>
    <n v="0"/>
    <n v="0"/>
    <n v="0"/>
    <n v="59"/>
    <n v="0"/>
    <n v="0"/>
    <n v="0"/>
    <n v="0"/>
    <n v="0"/>
    <n v="0"/>
    <n v="0"/>
    <n v="0"/>
    <n v="0"/>
    <n v="0"/>
    <n v="0"/>
    <n v="0"/>
    <n v="0"/>
    <n v="0"/>
    <n v="0"/>
    <n v="0"/>
    <n v="59"/>
    <n v="59"/>
  </r>
  <r>
    <n v="5816"/>
    <x v="2"/>
    <s v="2015/5777"/>
    <m/>
    <s v="Land west of River Wandle / north of electricity sub-station, Mapleton Crescent"/>
    <m/>
    <n v="525646"/>
    <n v="174310"/>
    <x v="5"/>
    <d v="2017-03-31T00:00:00"/>
    <m/>
    <n v="0"/>
    <n v="53"/>
    <n v="53"/>
    <n v="89"/>
    <n v="89"/>
    <s v="Y"/>
    <s v="Erection of a part 27-storey, part 24-storey building (maximum height of 89.5m) comprising of 89 residential units (including 53 affordable), with associated bicycle parking, servicing, private and communal amenity space. Provision of a river walk to the south side of the River Wandle and improvements to bridge and pedestrian footway. (Amendment to the scheme ref. 2015/0662,  resolved to grant planning permission on the 18th June 2015. Amendments include increase in height of the building by 3m together with internal alterations to provide 2 additional storeys, the reduction in the number of affordable units from 63 to 53 and increase in the number of private units from 23 to 36; omission of basement level; and alterations to fenestration and arrangement of balconies)."/>
    <s v="PFLA"/>
    <d v="2015-10-16T00:00:00"/>
    <d v="2016-03-16T00:00:00"/>
    <x v="0"/>
    <s v="Nil"/>
    <m/>
    <s v="BF"/>
    <x v="0"/>
    <x v="1"/>
    <x v="1"/>
    <n v="2.60000005364418E-2"/>
    <d v="2017-03-31T00:00:00"/>
    <x v="0"/>
    <m/>
    <x v="1"/>
    <s v="HASO"/>
    <m/>
    <m/>
    <n v="53"/>
    <n v="53"/>
    <n v="1"/>
    <n v="0"/>
    <n v="0"/>
    <n v="53"/>
    <n v="0"/>
    <n v="0"/>
    <n v="0"/>
    <n v="0"/>
    <n v="0"/>
    <n v="0"/>
    <n v="53"/>
    <n v="0"/>
    <n v="0"/>
    <n v="0"/>
    <n v="0"/>
    <n v="0"/>
    <n v="0"/>
    <n v="0"/>
    <n v="0"/>
    <n v="0"/>
    <n v="0"/>
    <n v="0"/>
    <n v="0"/>
    <n v="0"/>
    <n v="0"/>
    <n v="0"/>
    <n v="0"/>
    <n v="0"/>
    <n v="0"/>
    <n v="0"/>
    <s v="West"/>
    <x v="4"/>
    <x v="0"/>
    <x v="0"/>
    <x v="0"/>
    <x v="0"/>
    <x v="0"/>
    <m/>
    <x v="0"/>
    <s v="Y"/>
    <s v="3A"/>
    <m/>
    <n v="0"/>
    <n v="53"/>
    <n v="0"/>
    <n v="0"/>
    <n v="0"/>
    <n v="0"/>
    <n v="0"/>
    <n v="0"/>
    <n v="0"/>
    <n v="0"/>
    <n v="0"/>
    <n v="0"/>
    <n v="0"/>
    <n v="0"/>
    <n v="0"/>
    <n v="0"/>
    <n v="0"/>
    <n v="0"/>
    <n v="0"/>
    <n v="0"/>
    <n v="0"/>
    <n v="53"/>
    <n v="53"/>
  </r>
  <r>
    <n v="5816"/>
    <x v="2"/>
    <s v="2015/5777"/>
    <m/>
    <s v="Land west of River Wandle / north of electricity sub-station, Mapleton Crescent"/>
    <m/>
    <n v="525646"/>
    <n v="174310"/>
    <x v="5"/>
    <d v="2017-03-31T00:00:00"/>
    <m/>
    <n v="0"/>
    <n v="36"/>
    <n v="36"/>
    <n v="89"/>
    <n v="89"/>
    <s v="Y"/>
    <s v="Erection of a part 27-storey, part 24-storey building (maximum height of 89.5m) comprising of 89 residential units (including 53 affordable), with associated bicycle parking, servicing, private and communal amenity space. Provision of a river walk to the south side of the River Wandle and improvements to bridge and pedestrian footway. (Amendment to the scheme ref. 2015/0662,  resolved to grant planning permission on the 18th June 2015. Amendments include increase in height of the building by 3m together with internal alterations to provide 2 additional storeys, the reduction in the number of affordable units from 63 to 53 and increase in the number of private units from 23 to 36; omission of basement level; and alterations to fenestration and arrangement of balconies)."/>
    <s v="PFLA"/>
    <d v="2015-10-16T00:00:00"/>
    <d v="2016-03-16T00:00:00"/>
    <x v="0"/>
    <s v="Nil"/>
    <m/>
    <s v="BF"/>
    <x v="0"/>
    <x v="1"/>
    <x v="1"/>
    <n v="2.19999998807907E-2"/>
    <d v="2017-03-31T00:00:00"/>
    <x v="0"/>
    <m/>
    <x v="0"/>
    <s v="P"/>
    <m/>
    <m/>
    <n v="36"/>
    <n v="36"/>
    <n v="2"/>
    <m/>
    <n v="0"/>
    <n v="0"/>
    <n v="26"/>
    <n v="10"/>
    <n v="0"/>
    <n v="0"/>
    <n v="0"/>
    <n v="0"/>
    <n v="0"/>
    <n v="26"/>
    <n v="10"/>
    <n v="0"/>
    <n v="0"/>
    <n v="0"/>
    <n v="0"/>
    <n v="0"/>
    <n v="0"/>
    <n v="0"/>
    <n v="0"/>
    <n v="0"/>
    <n v="0"/>
    <n v="0"/>
    <n v="0"/>
    <n v="0"/>
    <n v="0"/>
    <n v="0"/>
    <n v="0"/>
    <n v="0"/>
    <s v="West"/>
    <x v="4"/>
    <x v="0"/>
    <x v="0"/>
    <x v="0"/>
    <x v="0"/>
    <x v="0"/>
    <m/>
    <x v="0"/>
    <s v="Y"/>
    <s v="3A"/>
    <m/>
    <n v="0"/>
    <n v="36"/>
    <n v="0"/>
    <n v="0"/>
    <n v="0"/>
    <n v="0"/>
    <n v="0"/>
    <n v="0"/>
    <n v="0"/>
    <n v="0"/>
    <n v="0"/>
    <n v="0"/>
    <n v="0"/>
    <n v="0"/>
    <n v="0"/>
    <n v="0"/>
    <n v="0"/>
    <n v="0"/>
    <n v="0"/>
    <n v="0"/>
    <n v="0"/>
    <n v="36"/>
    <n v="36"/>
  </r>
  <r>
    <n v="5818"/>
    <x v="2"/>
    <s v="2014/7206"/>
    <m/>
    <s v="19-21 &amp; 31-37, Cabul Road"/>
    <s v="19 CABUL ROAD"/>
    <n v="527340"/>
    <n v="176146"/>
    <x v="2"/>
    <d v="2015-10-27T00:00:00"/>
    <m/>
    <n v="0"/>
    <n v="2"/>
    <n v="2"/>
    <n v="19"/>
    <n v="19"/>
    <s v="Y"/>
    <s v="Change of use of no.19 Cabul Road from offices (Use Class B1) to provide 2 x 2 bed flats (Use Class C3), with basement excavation, ground floor side/rear extension and roof extension to main rear roof slope and over part of rear addition.  _x000d__x000a_Change of use of no. 21 Cabul Road from photography studio (Use Class B1) to provide 13 residential units (Use Class C3) as 3 x 1-bed, 6 x 2-bed and 4 x 3-bed units.  Extensions to no. 21 including excavation to provide lower ground floor floorspace with side and rear courtyards, rear extensions at ground, 1st and 2nd floor levels, alterations to roof with provision of dormer extensions, raising of main roof ridge level, raising of glazed side element and creation of accommodation and associated amenity space (in the form of garden areas and roof terraces).  _x000d__x000a_Demolition of nos. 31 to 37 Cabul Road and erection of 4x family dwellinghouses with lower ground floor excavations."/>
    <s v="PFLA"/>
    <d v="2014-12-31T00:00:00"/>
    <d v="2015-07-29T00:00:00"/>
    <x v="0"/>
    <s v="Nil"/>
    <m/>
    <s v="BF"/>
    <x v="4"/>
    <x v="0"/>
    <x v="9"/>
    <n v="1.30000002682209E-2"/>
    <d v="2015-10-27T00:00:00"/>
    <x v="0"/>
    <m/>
    <x v="0"/>
    <s v="P"/>
    <m/>
    <m/>
    <n v="2"/>
    <m/>
    <n v="0"/>
    <m/>
    <n v="0"/>
    <n v="0"/>
    <n v="2"/>
    <n v="0"/>
    <n v="0"/>
    <n v="0"/>
    <n v="0"/>
    <n v="0"/>
    <n v="0"/>
    <n v="2"/>
    <n v="0"/>
    <n v="0"/>
    <n v="0"/>
    <n v="0"/>
    <n v="0"/>
    <n v="0"/>
    <n v="0"/>
    <n v="0"/>
    <n v="0"/>
    <n v="0"/>
    <n v="0"/>
    <n v="0"/>
    <n v="0"/>
    <n v="0"/>
    <n v="0"/>
    <n v="0"/>
    <n v="0"/>
    <n v="0"/>
    <s v="East"/>
    <x v="0"/>
    <x v="0"/>
    <x v="1"/>
    <x v="0"/>
    <x v="0"/>
    <x v="0"/>
    <m/>
    <x v="0"/>
    <s v="Y"/>
    <s v="8A"/>
    <m/>
    <n v="0"/>
    <n v="2"/>
    <n v="0"/>
    <n v="0"/>
    <n v="0"/>
    <n v="0"/>
    <n v="0"/>
    <n v="0"/>
    <n v="0"/>
    <n v="0"/>
    <n v="0"/>
    <n v="0"/>
    <n v="0"/>
    <n v="0"/>
    <n v="0"/>
    <n v="0"/>
    <n v="0"/>
    <n v="0"/>
    <n v="0"/>
    <n v="0"/>
    <n v="0"/>
    <n v="2"/>
    <n v="2"/>
  </r>
  <r>
    <n v="5818"/>
    <x v="2"/>
    <s v="2014/7206"/>
    <m/>
    <s v="19-21 &amp; 31-37, Cabul Road"/>
    <s v="21 CABUL ROAD"/>
    <n v="527340"/>
    <n v="176146"/>
    <x v="2"/>
    <d v="2015-10-27T00:00:00"/>
    <m/>
    <n v="0"/>
    <n v="13"/>
    <n v="13"/>
    <n v="19"/>
    <n v="19"/>
    <s v="Y"/>
    <s v="Change of use of no.19 Cabul Road from offices (Use Class B1) to provide 2 x 2 bed flats (Use Class C3), with basement excavation, ground floor side/rear extension and roof extension to main rear roof slope and over part of rear addition.  _x000d__x000a_Change of use of no. 21 Cabul Road from photography studio (Use Class B1) to provide 13 residential units (Use Class C3) as 3 x 1-bed, 6 x 2-bed and 4 x 3-bed units.  Extensions to no. 21 including excavation to provide lower ground floor floorspace with side and rear courtyards, rear extensions at ground, 1st and 2nd floor levels, alterations to roof with provision of dormer extensions, raising of main roof ridge level, raising of glazed side element and creation of accommodation and associated amenity space (in the form of garden areas and roof terraces).  _x000d__x000a_Demolition of nos. 31 to 37 Cabul Road and erection of 4x family dwellinghouses with lower ground floor excavations."/>
    <s v="PFLA"/>
    <d v="2014-12-31T00:00:00"/>
    <d v="2015-07-29T00:00:00"/>
    <x v="0"/>
    <s v="Nil"/>
    <m/>
    <s v="BF"/>
    <x v="4"/>
    <x v="0"/>
    <x v="9"/>
    <n v="6.1000000685453401E-2"/>
    <d v="2015-10-27T00:00:00"/>
    <x v="0"/>
    <m/>
    <x v="0"/>
    <s v="P"/>
    <m/>
    <m/>
    <n v="13"/>
    <m/>
    <n v="0"/>
    <m/>
    <n v="0"/>
    <n v="3"/>
    <n v="6"/>
    <n v="4"/>
    <n v="0"/>
    <n v="0"/>
    <n v="0"/>
    <n v="0"/>
    <n v="3"/>
    <n v="6"/>
    <n v="4"/>
    <n v="0"/>
    <n v="0"/>
    <n v="0"/>
    <n v="0"/>
    <n v="0"/>
    <n v="0"/>
    <n v="0"/>
    <n v="0"/>
    <n v="0"/>
    <n v="0"/>
    <n v="0"/>
    <n v="0"/>
    <n v="0"/>
    <n v="0"/>
    <n v="0"/>
    <n v="0"/>
    <n v="0"/>
    <s v="East"/>
    <x v="0"/>
    <x v="0"/>
    <x v="1"/>
    <x v="0"/>
    <x v="0"/>
    <x v="0"/>
    <m/>
    <x v="0"/>
    <s v="Y"/>
    <s v="8A"/>
    <m/>
    <n v="0"/>
    <n v="13"/>
    <n v="0"/>
    <n v="0"/>
    <n v="0"/>
    <n v="0"/>
    <n v="0"/>
    <n v="0"/>
    <n v="0"/>
    <n v="0"/>
    <n v="0"/>
    <n v="0"/>
    <n v="0"/>
    <n v="0"/>
    <n v="0"/>
    <n v="0"/>
    <n v="0"/>
    <n v="0"/>
    <n v="0"/>
    <n v="0"/>
    <n v="0"/>
    <n v="13"/>
    <n v="13"/>
  </r>
  <r>
    <n v="5818"/>
    <x v="2"/>
    <s v="2014/7206"/>
    <m/>
    <s v="19-21 &amp; 31-37, Cabul Road"/>
    <s v="31-37 CABUL ROAD"/>
    <n v="527340"/>
    <n v="176146"/>
    <x v="2"/>
    <d v="2015-10-27T00:00:00"/>
    <m/>
    <n v="0"/>
    <n v="4"/>
    <n v="4"/>
    <n v="19"/>
    <n v="19"/>
    <s v="Y"/>
    <s v="Change of use of no.19 Cabul Road from offices (Use Class B1) to provide 2 x 2 bed flats (Use Class C3), with basement excavation, ground floor side/rear extension and roof extension to main rear roof slope and over part of rear addition.  _x000d__x000a_Change of use of no. 21 Cabul Road from photography studio (Use Class B1) to provide 13 residential units (Use Class C3) as 3 x 1-bed, 6 x 2-bed and 4 x 3-bed units.  Extensions to no. 21 including excavation to provide lower ground floor floorspace with side and rear courtyards, rear extensions at ground, 1st and 2nd floor levels, alterations to roof with provision of dormer extensions, raising of main roof ridge level, raising of glazed side element and creation of accommodation and associated amenity space (in the form of garden areas and roof terraces).  _x000d__x000a_Demolition of nos. 31 to 37 Cabul Road and erection of 4x family dwellinghouses with lower ground floor excavations."/>
    <s v="PFLA"/>
    <d v="2014-12-31T00:00:00"/>
    <d v="2015-07-29T00:00:00"/>
    <x v="0"/>
    <s v="Nil"/>
    <m/>
    <s v="BF"/>
    <x v="4"/>
    <x v="0"/>
    <x v="0"/>
    <n v="1.60000007599592E-2"/>
    <d v="2015-10-27T00:00:00"/>
    <x v="0"/>
    <m/>
    <x v="0"/>
    <s v="P"/>
    <m/>
    <m/>
    <n v="4"/>
    <m/>
    <n v="0"/>
    <m/>
    <n v="0"/>
    <n v="1"/>
    <n v="1"/>
    <n v="2"/>
    <n v="0"/>
    <n v="0"/>
    <n v="0"/>
    <n v="0"/>
    <n v="0"/>
    <n v="0"/>
    <n v="0"/>
    <n v="0"/>
    <n v="0"/>
    <n v="0"/>
    <n v="0"/>
    <n v="1"/>
    <n v="1"/>
    <n v="2"/>
    <n v="0"/>
    <n v="0"/>
    <n v="0"/>
    <n v="0"/>
    <n v="0"/>
    <n v="0"/>
    <n v="0"/>
    <n v="0"/>
    <n v="0"/>
    <n v="0"/>
    <s v="East"/>
    <x v="0"/>
    <x v="0"/>
    <x v="1"/>
    <x v="0"/>
    <x v="0"/>
    <x v="0"/>
    <m/>
    <x v="0"/>
    <s v="Y"/>
    <s v="2A"/>
    <m/>
    <n v="0"/>
    <n v="4"/>
    <n v="0"/>
    <n v="0"/>
    <n v="0"/>
    <n v="0"/>
    <n v="0"/>
    <n v="0"/>
    <n v="0"/>
    <n v="0"/>
    <n v="0"/>
    <n v="0"/>
    <n v="0"/>
    <n v="0"/>
    <n v="0"/>
    <n v="0"/>
    <n v="0"/>
    <n v="0"/>
    <n v="0"/>
    <n v="0"/>
    <n v="0"/>
    <n v="4"/>
    <n v="4"/>
  </r>
  <r>
    <n v="5821"/>
    <x v="2"/>
    <s v="2015/7642"/>
    <m/>
    <s v="341 Battersea Park Road"/>
    <m/>
    <n v="528080"/>
    <n v="176610"/>
    <x v="2"/>
    <d v="2017-02-03T00:00:00"/>
    <m/>
    <n v="0"/>
    <n v="10"/>
    <n v="10"/>
    <n v="10"/>
    <n v="10"/>
    <s v="Y"/>
    <s v="Demolition of existing building to provide a mixed use development in a part-3, part-4 storey building (plus basement level) with side/rear lightwell and roof terrace.  Retail/professional services/restaurant/office uses (Use Class A1) at ground and basement levels and 10 residential units (2 x 1-bedroom, 6 x 2-bedroom and 2 x 3-bedroom) at basement, ground, first, second and third floors; associated cycle parking and refuse and recycling storage."/>
    <s v="PF"/>
    <d v="2016-01-04T00:00:00"/>
    <d v="2016-07-01T00:00:00"/>
    <x v="0"/>
    <s v="Nil"/>
    <m/>
    <s v="BF"/>
    <x v="0"/>
    <x v="1"/>
    <x v="1"/>
    <n v="4.80000004172325E-2"/>
    <d v="2017-02-03T00:00:00"/>
    <x v="0"/>
    <m/>
    <x v="0"/>
    <s v="P"/>
    <m/>
    <m/>
    <n v="10"/>
    <m/>
    <n v="2"/>
    <m/>
    <n v="0"/>
    <n v="2"/>
    <n v="6"/>
    <n v="2"/>
    <n v="0"/>
    <n v="0"/>
    <n v="0"/>
    <n v="0"/>
    <n v="2"/>
    <n v="6"/>
    <n v="2"/>
    <n v="0"/>
    <n v="0"/>
    <n v="0"/>
    <n v="0"/>
    <n v="0"/>
    <n v="0"/>
    <n v="0"/>
    <n v="0"/>
    <n v="0"/>
    <n v="0"/>
    <n v="0"/>
    <n v="0"/>
    <n v="0"/>
    <n v="0"/>
    <n v="0"/>
    <n v="0"/>
    <n v="0"/>
    <s v="East"/>
    <x v="0"/>
    <x v="0"/>
    <x v="1"/>
    <x v="0"/>
    <x v="0"/>
    <x v="0"/>
    <m/>
    <x v="0"/>
    <s v="Y"/>
    <s v="2A"/>
    <m/>
    <n v="0"/>
    <n v="10"/>
    <n v="0"/>
    <n v="0"/>
    <n v="0"/>
    <n v="0"/>
    <n v="0"/>
    <n v="0"/>
    <n v="0"/>
    <n v="0"/>
    <n v="0"/>
    <n v="0"/>
    <n v="0"/>
    <n v="0"/>
    <n v="0"/>
    <n v="0"/>
    <n v="0"/>
    <n v="0"/>
    <n v="0"/>
    <n v="0"/>
    <n v="0"/>
    <n v="10"/>
    <n v="10"/>
  </r>
  <r>
    <n v="5835"/>
    <x v="2"/>
    <s v="2014/7399"/>
    <m/>
    <s v="Ground floor, 89 Replingham Road"/>
    <m/>
    <n v="525002"/>
    <n v="173362"/>
    <x v="5"/>
    <d v="2016-03-31T00:00:00"/>
    <m/>
    <n v="0"/>
    <n v="1"/>
    <n v="1"/>
    <n v="1"/>
    <n v="1"/>
    <m/>
    <s v="Change of use for part of ground floor from hairdressers (Use Class A1) to a residential studio (Class Use C3) (42 sqm)."/>
    <s v="PANR"/>
    <d v="2015-01-06T00:00:00"/>
    <d v="2015-03-03T00:00:00"/>
    <x v="0"/>
    <s v="Nil"/>
    <m/>
    <s v="BF"/>
    <x v="3"/>
    <x v="0"/>
    <x v="4"/>
    <n v="4.0000001899898104E-3"/>
    <d v="2016-03-31T00:00:00"/>
    <x v="0"/>
    <m/>
    <x v="0"/>
    <s v="P"/>
    <m/>
    <m/>
    <n v="0"/>
    <m/>
    <n v="0"/>
    <m/>
    <n v="1"/>
    <n v="0"/>
    <n v="0"/>
    <n v="0"/>
    <n v="0"/>
    <n v="0"/>
    <n v="0"/>
    <n v="1"/>
    <n v="0"/>
    <n v="0"/>
    <n v="0"/>
    <n v="0"/>
    <n v="0"/>
    <n v="0"/>
    <n v="0"/>
    <n v="0"/>
    <n v="0"/>
    <n v="0"/>
    <n v="0"/>
    <n v="0"/>
    <n v="0"/>
    <n v="0"/>
    <n v="0"/>
    <n v="0"/>
    <n v="0"/>
    <n v="0"/>
    <n v="0"/>
    <n v="0"/>
    <s v="West"/>
    <x v="0"/>
    <x v="0"/>
    <x v="1"/>
    <x v="0"/>
    <x v="0"/>
    <x v="0"/>
    <m/>
    <x v="0"/>
    <s v="Y"/>
    <s v="8A"/>
    <m/>
    <n v="0"/>
    <n v="1"/>
    <n v="0"/>
    <n v="0"/>
    <n v="0"/>
    <n v="0"/>
    <n v="0"/>
    <n v="0"/>
    <n v="0"/>
    <n v="0"/>
    <n v="0"/>
    <n v="0"/>
    <n v="0"/>
    <n v="0"/>
    <n v="0"/>
    <n v="0"/>
    <n v="0"/>
    <n v="0"/>
    <n v="0"/>
    <n v="0"/>
    <n v="0"/>
    <n v="1"/>
    <n v="1"/>
  </r>
  <r>
    <n v="5849"/>
    <x v="2"/>
    <s v="2015/1330"/>
    <m/>
    <s v="and Land rear of 224, 224 Tooting High Street"/>
    <m/>
    <n v="527082"/>
    <n v="170938"/>
    <x v="4"/>
    <d v="2017-10-12T00:00:00"/>
    <m/>
    <n v="0"/>
    <n v="3"/>
    <n v="3"/>
    <n v="4"/>
    <n v="4"/>
    <m/>
    <s v="Change of use of ground floor from shop (Use Class A1) to residential (Use Class C3) in connection with conversion of property into 3 self contained flats (1x3-bed, 1x2-bed, 1x1-bed).  External alterations including formation of front and rear lightwells and erection of rear extension at basement, ground, first and second floor levels with second floor roof terrace (1.8m high obscure glazed screening around).  Demolition of existing workshop premises at rear and construction of a single-storey plus basement 2-bedroom dwelling."/>
    <s v="PF"/>
    <d v="2015-03-12T00:00:00"/>
    <d v="2015-09-09T00:00:00"/>
    <x v="0"/>
    <s v="Nil"/>
    <m/>
    <s v="BF"/>
    <x v="4"/>
    <x v="0"/>
    <x v="10"/>
    <n v="1.2000000104308101E-2"/>
    <d v="2017-10-12T00:00:00"/>
    <x v="1"/>
    <m/>
    <x v="0"/>
    <s v="P"/>
    <m/>
    <m/>
    <n v="0"/>
    <m/>
    <n v="0"/>
    <m/>
    <n v="0"/>
    <n v="1"/>
    <n v="1"/>
    <n v="1"/>
    <n v="0"/>
    <n v="0"/>
    <n v="0"/>
    <n v="0"/>
    <n v="1"/>
    <n v="1"/>
    <n v="1"/>
    <n v="0"/>
    <n v="0"/>
    <n v="0"/>
    <n v="0"/>
    <n v="0"/>
    <n v="0"/>
    <n v="0"/>
    <n v="0"/>
    <n v="0"/>
    <n v="0"/>
    <n v="0"/>
    <n v="0"/>
    <n v="0"/>
    <n v="0"/>
    <n v="0"/>
    <n v="0"/>
    <n v="0"/>
    <s v="East"/>
    <x v="0"/>
    <x v="0"/>
    <x v="1"/>
    <x v="0"/>
    <x v="0"/>
    <x v="0"/>
    <m/>
    <x v="0"/>
    <s v="Y"/>
    <s v="8B"/>
    <m/>
    <n v="0"/>
    <n v="1.5"/>
    <n v="1.5"/>
    <n v="0"/>
    <n v="0"/>
    <n v="0"/>
    <n v="0"/>
    <n v="0"/>
    <n v="0"/>
    <n v="0"/>
    <n v="0"/>
    <n v="0"/>
    <n v="0"/>
    <n v="0"/>
    <n v="0"/>
    <n v="0"/>
    <n v="0"/>
    <n v="0"/>
    <n v="0"/>
    <n v="0"/>
    <n v="0"/>
    <n v="3"/>
    <n v="3"/>
  </r>
  <r>
    <n v="5849"/>
    <x v="2"/>
    <s v="2015/1330"/>
    <m/>
    <s v="and Land rear of 224, 224 Tooting High Street"/>
    <m/>
    <n v="527082"/>
    <n v="170938"/>
    <x v="4"/>
    <d v="2017-10-12T00:00:00"/>
    <m/>
    <n v="0"/>
    <n v="1"/>
    <n v="1"/>
    <n v="4"/>
    <n v="4"/>
    <m/>
    <s v="Change of use of ground floor from shop (Use Class A1) to residential (Use Class C3) in connection with conversion of property into 3 self contained flats (1x3-bed, 1x2-bed, 1x1-bed).  External alterations including formation of front and rear lightwells and erection of rear extension at basement, ground, first and second floor levels with second floor roof terrace (1.8m high obscure glazed screening around).  Demolition of existing workshop premises at rear and construction of a single-storey plus basement 2-bedroom dwelling."/>
    <s v="PF"/>
    <d v="2015-03-12T00:00:00"/>
    <d v="2015-09-09T00:00:00"/>
    <x v="0"/>
    <s v="Nil"/>
    <m/>
    <s v="BF"/>
    <x v="4"/>
    <x v="0"/>
    <x v="0"/>
    <n v="4.0000001899898104E-3"/>
    <m/>
    <x v="0"/>
    <m/>
    <x v="0"/>
    <s v="P"/>
    <m/>
    <m/>
    <n v="1"/>
    <m/>
    <n v="0"/>
    <m/>
    <n v="0"/>
    <n v="0"/>
    <n v="1"/>
    <n v="0"/>
    <n v="0"/>
    <n v="0"/>
    <n v="0"/>
    <n v="0"/>
    <n v="0"/>
    <n v="0"/>
    <n v="0"/>
    <n v="0"/>
    <n v="0"/>
    <n v="0"/>
    <n v="0"/>
    <n v="0"/>
    <n v="1"/>
    <n v="0"/>
    <n v="0"/>
    <n v="0"/>
    <n v="0"/>
    <n v="0"/>
    <n v="0"/>
    <n v="0"/>
    <n v="0"/>
    <n v="0"/>
    <n v="0"/>
    <n v="0"/>
    <s v="East"/>
    <x v="0"/>
    <x v="0"/>
    <x v="1"/>
    <x v="0"/>
    <x v="0"/>
    <x v="0"/>
    <m/>
    <x v="0"/>
    <s v="Y"/>
    <s v="8A"/>
    <m/>
    <n v="0"/>
    <n v="1"/>
    <n v="0"/>
    <n v="0"/>
    <n v="0"/>
    <n v="0"/>
    <n v="0"/>
    <n v="0"/>
    <n v="0"/>
    <n v="0"/>
    <n v="0"/>
    <n v="0"/>
    <n v="0"/>
    <n v="0"/>
    <n v="0"/>
    <n v="0"/>
    <n v="0"/>
    <n v="0"/>
    <n v="0"/>
    <n v="0"/>
    <n v="0"/>
    <n v="1"/>
    <n v="1"/>
  </r>
  <r>
    <n v="5858"/>
    <x v="2"/>
    <s v="2015/0140"/>
    <m/>
    <s v="Land at, Stormont Road"/>
    <m/>
    <n v="528141"/>
    <n v="175625"/>
    <x v="10"/>
    <d v="2016-07-27T00:00:00"/>
    <m/>
    <n v="0"/>
    <n v="9"/>
    <n v="9"/>
    <n v="9"/>
    <n v="9"/>
    <m/>
    <s v="Demolition of existing industrial buildings (Use Class B2) and erection of 9 x 4 bedroom three-storey (with basement) residential dwellings (Class Use C3) with second floor balconies and roof terraces, including new access and parking areas."/>
    <s v="PF"/>
    <d v="2015-01-19T00:00:00"/>
    <d v="2015-04-22T00:00:00"/>
    <x v="0"/>
    <s v="Nil"/>
    <m/>
    <s v="BF"/>
    <x v="0"/>
    <x v="0"/>
    <x v="0"/>
    <n v="9.3999996781349196E-2"/>
    <d v="2016-07-27T00:00:00"/>
    <x v="0"/>
    <m/>
    <x v="0"/>
    <s v="P"/>
    <m/>
    <m/>
    <n v="9"/>
    <m/>
    <n v="0"/>
    <m/>
    <n v="0"/>
    <n v="0"/>
    <n v="0"/>
    <n v="0"/>
    <n v="9"/>
    <n v="0"/>
    <n v="0"/>
    <n v="0"/>
    <n v="0"/>
    <n v="0"/>
    <n v="0"/>
    <n v="0"/>
    <n v="0"/>
    <n v="0"/>
    <n v="0"/>
    <n v="0"/>
    <n v="0"/>
    <n v="0"/>
    <n v="9"/>
    <n v="0"/>
    <n v="0"/>
    <n v="0"/>
    <n v="0"/>
    <n v="0"/>
    <n v="0"/>
    <n v="0"/>
    <n v="0"/>
    <n v="0"/>
    <s v="East"/>
    <x v="0"/>
    <x v="0"/>
    <x v="1"/>
    <x v="0"/>
    <x v="0"/>
    <x v="0"/>
    <m/>
    <x v="0"/>
    <s v="Y"/>
    <s v="2A"/>
    <m/>
    <n v="0"/>
    <n v="9"/>
    <n v="0"/>
    <n v="0"/>
    <n v="0"/>
    <n v="0"/>
    <n v="0"/>
    <n v="0"/>
    <n v="0"/>
    <n v="0"/>
    <n v="0"/>
    <n v="0"/>
    <n v="0"/>
    <n v="0"/>
    <n v="0"/>
    <n v="0"/>
    <n v="0"/>
    <n v="0"/>
    <n v="0"/>
    <n v="0"/>
    <n v="0"/>
    <n v="9"/>
    <n v="9"/>
  </r>
  <r>
    <n v="5862"/>
    <x v="2"/>
    <s v="2015/0317"/>
    <m/>
    <s v="87 Putney High Street"/>
    <m/>
    <n v="524068"/>
    <n v="175336"/>
    <x v="13"/>
    <d v="2018-03-31T00:00:00"/>
    <m/>
    <n v="1"/>
    <n v="4"/>
    <n v="3"/>
    <n v="4"/>
    <n v="3"/>
    <m/>
    <s v="Alterations and erection of three-storey (first to third floors) rear extension in connection with conversion of upper floors into 3 x 1 bedroom self contained flats with communal first floor rear terrace. Erection of three-storey house at rear with first floor rear terrace and second floor rear balcony."/>
    <s v="PF"/>
    <d v="2015-01-22T00:00:00"/>
    <d v="2015-05-01T00:00:00"/>
    <x v="0"/>
    <s v="Nil"/>
    <m/>
    <s v="BF"/>
    <x v="4"/>
    <x v="0"/>
    <x v="0"/>
    <n v="1.7999999225139601E-2"/>
    <d v="2018-03-31T00:00:00"/>
    <x v="1"/>
    <m/>
    <x v="0"/>
    <s v="P"/>
    <m/>
    <m/>
    <n v="4"/>
    <m/>
    <n v="0"/>
    <m/>
    <n v="0"/>
    <n v="3"/>
    <n v="0"/>
    <n v="-1"/>
    <n v="1"/>
    <n v="0"/>
    <n v="0"/>
    <n v="0"/>
    <n v="3"/>
    <n v="0"/>
    <n v="-1"/>
    <n v="0"/>
    <n v="0"/>
    <n v="0"/>
    <n v="0"/>
    <n v="0"/>
    <n v="0"/>
    <n v="0"/>
    <n v="1"/>
    <n v="0"/>
    <n v="0"/>
    <n v="0"/>
    <n v="0"/>
    <n v="0"/>
    <n v="0"/>
    <n v="0"/>
    <n v="0"/>
    <n v="0"/>
    <s v="West"/>
    <x v="3"/>
    <x v="0"/>
    <x v="1"/>
    <x v="0"/>
    <x v="0"/>
    <x v="0"/>
    <m/>
    <x v="0"/>
    <s v="Y"/>
    <s v="8B"/>
    <m/>
    <n v="0"/>
    <n v="1.5"/>
    <n v="1.5"/>
    <n v="0"/>
    <n v="0"/>
    <n v="0"/>
    <n v="0"/>
    <n v="0"/>
    <n v="0"/>
    <n v="0"/>
    <n v="0"/>
    <n v="0"/>
    <n v="0"/>
    <n v="0"/>
    <n v="0"/>
    <n v="0"/>
    <n v="0"/>
    <n v="0"/>
    <n v="0"/>
    <n v="0"/>
    <n v="0"/>
    <n v="3"/>
    <n v="3"/>
  </r>
  <r>
    <n v="5877"/>
    <x v="2"/>
    <s v="2016/1630"/>
    <s v="Land adjacent Fontenoy Road"/>
    <s v="rear of 47/49 &amp; r/o The Studio, Ferndale and Killinhchy, Culverden Road"/>
    <m/>
    <n v="529014"/>
    <n v="172572"/>
    <x v="3"/>
    <d v="2018-03-31T00:00:00"/>
    <m/>
    <n v="0"/>
    <n v="1"/>
    <n v="1"/>
    <n v="1"/>
    <n v="1"/>
    <m/>
    <s v="Erection of single-storey (with basement and roof accommodation) detached 3-bedroom dwelling."/>
    <s v="PF"/>
    <d v="2016-04-26T00:00:00"/>
    <d v="2016-06-21T00:00:00"/>
    <x v="0"/>
    <s v="Nil"/>
    <m/>
    <s v="BF"/>
    <x v="0"/>
    <x v="0"/>
    <x v="0"/>
    <n v="2.19999998807907E-2"/>
    <d v="2018-03-31T00:00:00"/>
    <x v="1"/>
    <m/>
    <x v="0"/>
    <s v="P"/>
    <m/>
    <m/>
    <n v="1"/>
    <m/>
    <n v="0"/>
    <m/>
    <n v="0"/>
    <n v="0"/>
    <n v="0"/>
    <n v="1"/>
    <n v="0"/>
    <n v="0"/>
    <n v="0"/>
    <n v="0"/>
    <n v="0"/>
    <n v="0"/>
    <n v="0"/>
    <n v="0"/>
    <n v="0"/>
    <n v="0"/>
    <n v="0"/>
    <n v="0"/>
    <n v="0"/>
    <n v="1"/>
    <n v="0"/>
    <n v="0"/>
    <n v="0"/>
    <n v="0"/>
    <n v="0"/>
    <n v="0"/>
    <n v="0"/>
    <n v="0"/>
    <n v="0"/>
    <n v="0"/>
    <s v="East"/>
    <x v="0"/>
    <x v="0"/>
    <x v="1"/>
    <x v="0"/>
    <x v="0"/>
    <x v="0"/>
    <m/>
    <x v="0"/>
    <s v="Y"/>
    <s v="2B"/>
    <m/>
    <n v="0"/>
    <n v="0.5"/>
    <n v="0.5"/>
    <n v="0"/>
    <n v="0"/>
    <n v="0"/>
    <n v="0"/>
    <n v="0"/>
    <n v="0"/>
    <n v="0"/>
    <n v="0"/>
    <n v="0"/>
    <n v="0"/>
    <n v="0"/>
    <n v="0"/>
    <n v="0"/>
    <n v="0"/>
    <n v="0"/>
    <n v="0"/>
    <n v="0"/>
    <n v="0"/>
    <n v="1"/>
    <n v="1"/>
  </r>
  <r>
    <n v="5881"/>
    <x v="2"/>
    <s v="2015/2303"/>
    <m/>
    <s v="563-565, 563-565 Battersea Park Road"/>
    <m/>
    <n v="527326"/>
    <n v="176301"/>
    <x v="2"/>
    <d v="2017-03-31T00:00:00"/>
    <m/>
    <n v="0"/>
    <n v="1"/>
    <n v="1"/>
    <n v="1"/>
    <n v="1"/>
    <m/>
    <s v="Erection of mansard roof extension to form an additional storey to provide a 1 bedroom flat with a screened roof terrace above. Alterations to extend the common staircase upwards and alterations to ground floor shop front."/>
    <s v="PF"/>
    <d v="2015-04-20T00:00:00"/>
    <d v="2015-06-15T00:00:00"/>
    <x v="0"/>
    <s v="Nil"/>
    <m/>
    <s v="BF"/>
    <x v="2"/>
    <x v="0"/>
    <x v="3"/>
    <n v="2.0000000949949E-3"/>
    <d v="2017-03-31T00:00:00"/>
    <x v="0"/>
    <m/>
    <x v="0"/>
    <s v="P"/>
    <m/>
    <m/>
    <n v="0"/>
    <m/>
    <n v="0"/>
    <m/>
    <n v="0"/>
    <n v="1"/>
    <n v="0"/>
    <n v="0"/>
    <n v="0"/>
    <n v="0"/>
    <n v="0"/>
    <n v="0"/>
    <n v="1"/>
    <n v="0"/>
    <n v="0"/>
    <n v="0"/>
    <n v="0"/>
    <n v="0"/>
    <n v="0"/>
    <n v="0"/>
    <n v="0"/>
    <n v="0"/>
    <n v="0"/>
    <n v="0"/>
    <n v="0"/>
    <n v="0"/>
    <n v="0"/>
    <n v="0"/>
    <n v="0"/>
    <n v="0"/>
    <n v="0"/>
    <n v="0"/>
    <s v="East"/>
    <x v="0"/>
    <x v="0"/>
    <x v="1"/>
    <x v="0"/>
    <x v="0"/>
    <x v="0"/>
    <m/>
    <x v="0"/>
    <s v="Y"/>
    <s v="8A"/>
    <m/>
    <n v="0"/>
    <n v="1"/>
    <n v="0"/>
    <n v="0"/>
    <n v="0"/>
    <n v="0"/>
    <n v="0"/>
    <n v="0"/>
    <n v="0"/>
    <n v="0"/>
    <n v="0"/>
    <n v="0"/>
    <n v="0"/>
    <n v="0"/>
    <n v="0"/>
    <n v="0"/>
    <n v="0"/>
    <n v="0"/>
    <n v="0"/>
    <n v="0"/>
    <n v="0"/>
    <n v="1"/>
    <n v="1"/>
  </r>
  <r>
    <n v="5909"/>
    <x v="2"/>
    <s v="2015/1235"/>
    <m/>
    <s v="8 Bellevue Road"/>
    <m/>
    <n v="527564"/>
    <n v="173450"/>
    <x v="11"/>
    <d v="2018-03-31T00:00:00"/>
    <m/>
    <n v="1"/>
    <n v="3"/>
    <n v="2"/>
    <n v="3"/>
    <n v="2"/>
    <m/>
    <s v="Erection of roof extension to main rear roof and increase in height of existing back addition with roof terrace and associated screening above; erection of part single-storey, part two storey rear extension; and alterations in connection with conversion of the rear part of the ground floor and the upper floors into 3 self-contained flats (2 x 2 bed, 1 x 1 bed)."/>
    <s v="PF"/>
    <d v="2015-03-09T00:00:00"/>
    <d v="2015-07-21T00:00:00"/>
    <x v="0"/>
    <s v="Nil"/>
    <m/>
    <s v="BF"/>
    <x v="4"/>
    <x v="0"/>
    <x v="10"/>
    <n v="1.09999999403954E-2"/>
    <d v="2018-03-31T00:00:00"/>
    <x v="1"/>
    <m/>
    <x v="0"/>
    <s v="P"/>
    <m/>
    <m/>
    <n v="0"/>
    <m/>
    <n v="0"/>
    <m/>
    <n v="0"/>
    <n v="1"/>
    <n v="2"/>
    <n v="-1"/>
    <n v="0"/>
    <n v="0"/>
    <n v="0"/>
    <n v="0"/>
    <n v="1"/>
    <n v="2"/>
    <n v="-1"/>
    <n v="0"/>
    <n v="0"/>
    <n v="0"/>
    <n v="0"/>
    <n v="0"/>
    <n v="0"/>
    <n v="0"/>
    <n v="0"/>
    <n v="0"/>
    <n v="0"/>
    <n v="0"/>
    <n v="0"/>
    <n v="0"/>
    <n v="0"/>
    <n v="0"/>
    <n v="0"/>
    <n v="0"/>
    <s v="East"/>
    <x v="0"/>
    <x v="0"/>
    <x v="1"/>
    <x v="0"/>
    <x v="0"/>
    <x v="0"/>
    <m/>
    <x v="0"/>
    <s v="Y"/>
    <s v="8B"/>
    <m/>
    <n v="0"/>
    <n v="1"/>
    <n v="1"/>
    <n v="0"/>
    <n v="0"/>
    <n v="0"/>
    <n v="0"/>
    <n v="0"/>
    <n v="0"/>
    <n v="0"/>
    <n v="0"/>
    <n v="0"/>
    <n v="0"/>
    <n v="0"/>
    <n v="0"/>
    <n v="0"/>
    <n v="0"/>
    <n v="0"/>
    <n v="0"/>
    <n v="0"/>
    <n v="0"/>
    <n v="2"/>
    <n v="2"/>
  </r>
  <r>
    <n v="5915"/>
    <x v="2"/>
    <s v="2015/1572"/>
    <m/>
    <s v="62 Chartfield Avenue"/>
    <m/>
    <n v="523061"/>
    <n v="174593"/>
    <x v="7"/>
    <d v="2017-03-31T00:00:00"/>
    <m/>
    <n v="1"/>
    <n v="1"/>
    <n v="0"/>
    <n v="1"/>
    <n v="0"/>
    <m/>
    <s v="Demolition of existing property and erection of a new two-storey plus basement level detached house, with additional accommodation provided within the roofspace, and with integral garage."/>
    <s v="PF"/>
    <d v="2015-03-24T00:00:00"/>
    <d v="2015-06-23T00:00:00"/>
    <x v="0"/>
    <s v="Nil"/>
    <m/>
    <s v="BF"/>
    <x v="0"/>
    <x v="0"/>
    <x v="0"/>
    <n v="7.5999997556209606E-2"/>
    <d v="2017-03-31T00:00:00"/>
    <x v="0"/>
    <m/>
    <x v="0"/>
    <s v="P"/>
    <m/>
    <m/>
    <n v="1"/>
    <m/>
    <n v="0"/>
    <m/>
    <n v="0"/>
    <n v="0"/>
    <n v="0"/>
    <n v="0"/>
    <n v="-1"/>
    <n v="1"/>
    <n v="0"/>
    <n v="0"/>
    <n v="0"/>
    <n v="0"/>
    <n v="0"/>
    <n v="0"/>
    <n v="0"/>
    <n v="0"/>
    <n v="0"/>
    <n v="0"/>
    <n v="0"/>
    <n v="0"/>
    <n v="-1"/>
    <n v="1"/>
    <n v="0"/>
    <n v="0"/>
    <n v="0"/>
    <n v="0"/>
    <n v="0"/>
    <n v="0"/>
    <n v="0"/>
    <n v="0"/>
    <s v="West"/>
    <x v="0"/>
    <x v="0"/>
    <x v="1"/>
    <x v="0"/>
    <x v="0"/>
    <x v="0"/>
    <m/>
    <x v="0"/>
    <s v="Y"/>
    <s v="2A"/>
    <m/>
    <n v="0"/>
    <n v="0"/>
    <n v="0"/>
    <n v="0"/>
    <n v="0"/>
    <n v="0"/>
    <n v="0"/>
    <n v="0"/>
    <n v="0"/>
    <n v="0"/>
    <n v="0"/>
    <n v="0"/>
    <n v="0"/>
    <n v="0"/>
    <n v="0"/>
    <n v="0"/>
    <n v="0"/>
    <n v="0"/>
    <n v="0"/>
    <n v="0"/>
    <n v="0"/>
    <n v="0"/>
    <n v="0"/>
  </r>
  <r>
    <n v="5921"/>
    <x v="2"/>
    <s v="2017/1971"/>
    <m/>
    <s v="30 Woodborough Road"/>
    <m/>
    <n v="522745"/>
    <n v="174977"/>
    <x v="7"/>
    <d v="2017-12-21T00:00:00"/>
    <m/>
    <n v="4"/>
    <n v="8"/>
    <n v="4"/>
    <n v="8"/>
    <n v="4"/>
    <m/>
    <s v="Demolition of existing building and erection of a two-storey (plus basement and roof levels) building to provide 2 x 1-bedroom, 2 x 2-bedroom and 4 x 3-bedroom flats with front and rear roof terraces, associated landscaping, car parking, cycle and refuse storage. (REVISED DESCRIPTION)"/>
    <s v="PF"/>
    <d v="2017-04-03T00:00:00"/>
    <d v="2017-06-23T00:00:00"/>
    <x v="1"/>
    <s v="Nil"/>
    <m/>
    <s v="BF"/>
    <x v="0"/>
    <x v="0"/>
    <x v="0"/>
    <n v="0.119999997317791"/>
    <d v="2017-12-21T00:00:00"/>
    <x v="1"/>
    <m/>
    <x v="0"/>
    <s v="P"/>
    <m/>
    <m/>
    <n v="0"/>
    <m/>
    <n v="0"/>
    <m/>
    <n v="0"/>
    <n v="-1"/>
    <n v="2"/>
    <n v="3"/>
    <n v="0"/>
    <n v="0"/>
    <n v="0"/>
    <n v="0"/>
    <n v="-1"/>
    <n v="2"/>
    <n v="3"/>
    <n v="0"/>
    <n v="0"/>
    <n v="0"/>
    <n v="0"/>
    <n v="0"/>
    <n v="0"/>
    <n v="0"/>
    <n v="0"/>
    <n v="0"/>
    <n v="0"/>
    <n v="0"/>
    <n v="0"/>
    <n v="0"/>
    <n v="0"/>
    <n v="0"/>
    <n v="0"/>
    <n v="0"/>
    <s v="West"/>
    <x v="0"/>
    <x v="0"/>
    <x v="1"/>
    <x v="0"/>
    <x v="0"/>
    <x v="0"/>
    <m/>
    <x v="0"/>
    <s v="Y"/>
    <s v="2B"/>
    <m/>
    <n v="0"/>
    <n v="2"/>
    <n v="2"/>
    <n v="0"/>
    <n v="0"/>
    <n v="0"/>
    <n v="0"/>
    <n v="0"/>
    <n v="0"/>
    <n v="0"/>
    <n v="0"/>
    <n v="0"/>
    <n v="0"/>
    <n v="0"/>
    <n v="0"/>
    <n v="0"/>
    <n v="0"/>
    <n v="0"/>
    <n v="0"/>
    <n v="0"/>
    <n v="0"/>
    <n v="4"/>
    <n v="4"/>
  </r>
  <r>
    <n v="5924"/>
    <x v="2"/>
    <s v="2015/2093"/>
    <m/>
    <s v="149 Balham Hill"/>
    <m/>
    <n v="528796"/>
    <n v="173797"/>
    <x v="9"/>
    <d v="2018-03-31T00:00:00"/>
    <m/>
    <n v="0"/>
    <n v="3"/>
    <n v="3"/>
    <n v="3"/>
    <n v="3"/>
    <m/>
    <s v="Determination as to whether prior approval is required for change of use from office (Class B1a) at ground floor and basement levels to three residential units (Class C3)."/>
    <s v="PANR"/>
    <d v="2015-04-28T00:00:00"/>
    <d v="2015-06-23T00:00:00"/>
    <x v="0"/>
    <s v="Nil"/>
    <m/>
    <s v="BF"/>
    <x v="3"/>
    <x v="0"/>
    <x v="9"/>
    <n v="4.9999998882412902E-3"/>
    <d v="2018-03-31T00:00:00"/>
    <x v="1"/>
    <m/>
    <x v="0"/>
    <s v="P"/>
    <m/>
    <m/>
    <n v="0"/>
    <m/>
    <n v="0"/>
    <m/>
    <n v="1"/>
    <n v="2"/>
    <n v="0"/>
    <n v="0"/>
    <n v="0"/>
    <n v="0"/>
    <n v="0"/>
    <n v="1"/>
    <n v="2"/>
    <n v="0"/>
    <n v="0"/>
    <n v="0"/>
    <n v="0"/>
    <n v="0"/>
    <n v="0"/>
    <n v="0"/>
    <n v="0"/>
    <n v="0"/>
    <n v="0"/>
    <n v="0"/>
    <n v="0"/>
    <n v="0"/>
    <n v="0"/>
    <n v="0"/>
    <n v="0"/>
    <n v="0"/>
    <n v="0"/>
    <n v="0"/>
    <s v="East"/>
    <x v="0"/>
    <x v="0"/>
    <x v="1"/>
    <x v="0"/>
    <x v="0"/>
    <x v="0"/>
    <m/>
    <x v="0"/>
    <s v="Y"/>
    <s v="8B"/>
    <m/>
    <n v="0"/>
    <n v="1.5"/>
    <n v="1.5"/>
    <n v="0"/>
    <n v="0"/>
    <n v="0"/>
    <n v="0"/>
    <n v="0"/>
    <n v="0"/>
    <n v="0"/>
    <n v="0"/>
    <n v="0"/>
    <n v="0"/>
    <n v="0"/>
    <n v="0"/>
    <n v="0"/>
    <n v="0"/>
    <n v="0"/>
    <n v="0"/>
    <n v="0"/>
    <n v="0"/>
    <n v="3"/>
    <n v="3"/>
  </r>
  <r>
    <n v="5938"/>
    <x v="2"/>
    <s v="2015/2512"/>
    <m/>
    <s v="161 Wimbledon Park Road"/>
    <m/>
    <n v="524894"/>
    <n v="173570"/>
    <x v="5"/>
    <d v="2018-03-31T00:00:00"/>
    <m/>
    <n v="0"/>
    <n v="1"/>
    <n v="1"/>
    <n v="1"/>
    <n v="1"/>
    <m/>
    <s v="Determination as to whether prior approval is required for change of use from retail (Class A1) to one residential unit (Class C3)."/>
    <s v="PAR"/>
    <d v="2015-05-08T00:00:00"/>
    <d v="2015-06-23T00:00:00"/>
    <x v="0"/>
    <s v="APG"/>
    <d v="2016-01-27T00:00:00"/>
    <s v="BF"/>
    <x v="3"/>
    <x v="0"/>
    <x v="4"/>
    <n v="2.0999999716877899E-2"/>
    <d v="2018-03-31T00:00:00"/>
    <x v="1"/>
    <m/>
    <x v="0"/>
    <s v="P"/>
    <m/>
    <m/>
    <n v="0"/>
    <m/>
    <n v="0"/>
    <m/>
    <n v="0"/>
    <n v="0"/>
    <n v="0"/>
    <n v="1"/>
    <n v="0"/>
    <n v="0"/>
    <n v="0"/>
    <n v="0"/>
    <n v="0"/>
    <n v="0"/>
    <n v="1"/>
    <n v="0"/>
    <n v="0"/>
    <n v="0"/>
    <n v="0"/>
    <n v="0"/>
    <n v="0"/>
    <n v="0"/>
    <n v="0"/>
    <n v="0"/>
    <n v="0"/>
    <n v="0"/>
    <n v="0"/>
    <n v="0"/>
    <n v="0"/>
    <n v="0"/>
    <n v="0"/>
    <n v="0"/>
    <s v="West"/>
    <x v="0"/>
    <x v="0"/>
    <x v="1"/>
    <x v="0"/>
    <x v="0"/>
    <x v="0"/>
    <m/>
    <x v="0"/>
    <s v="Y"/>
    <s v="8B"/>
    <m/>
    <n v="0"/>
    <n v="0.5"/>
    <n v="0.5"/>
    <n v="0"/>
    <n v="0"/>
    <n v="0"/>
    <n v="0"/>
    <n v="0"/>
    <n v="0"/>
    <n v="0"/>
    <n v="0"/>
    <n v="0"/>
    <n v="0"/>
    <n v="0"/>
    <n v="0"/>
    <n v="0"/>
    <n v="0"/>
    <n v="0"/>
    <n v="0"/>
    <n v="0"/>
    <n v="0"/>
    <n v="1"/>
    <n v="1"/>
  </r>
  <r>
    <n v="5939"/>
    <x v="2"/>
    <s v="2016/3254"/>
    <m/>
    <s v="433 Upper Richmond Road"/>
    <m/>
    <n v="522110"/>
    <n v="175464"/>
    <x v="7"/>
    <d v="2017-02-16T00:00:00"/>
    <m/>
    <n v="1"/>
    <n v="4"/>
    <n v="3"/>
    <n v="4"/>
    <n v="3"/>
    <m/>
    <s v="Conversion of single dwelling house into 2 x 3 bedroom flats and 2 x 2 bedroom flats; Erection of rear mansard roof extension to main roof with french doors and safety railings; erection of front dormer;  erection of part single, part two-storey rear extension (basement and ground floors) and excavation to create basement including formation of front and rear lightwells; cycle and refuse store in front garden."/>
    <s v="PF"/>
    <d v="2016-06-08T00:00:00"/>
    <d v="2016-09-15T00:00:00"/>
    <x v="0"/>
    <s v="Nil"/>
    <m/>
    <s v="BF"/>
    <x v="4"/>
    <x v="0"/>
    <x v="8"/>
    <n v="2.8999999165535001E-2"/>
    <d v="2017-02-16T00:00:00"/>
    <x v="0"/>
    <m/>
    <x v="0"/>
    <s v="P"/>
    <m/>
    <m/>
    <n v="0"/>
    <m/>
    <n v="0"/>
    <m/>
    <n v="0"/>
    <n v="0"/>
    <n v="2"/>
    <n v="2"/>
    <n v="-1"/>
    <n v="0"/>
    <n v="0"/>
    <n v="0"/>
    <n v="0"/>
    <n v="2"/>
    <n v="2"/>
    <n v="0"/>
    <n v="0"/>
    <n v="0"/>
    <n v="0"/>
    <n v="0"/>
    <n v="0"/>
    <n v="0"/>
    <n v="-1"/>
    <n v="0"/>
    <n v="0"/>
    <n v="0"/>
    <n v="0"/>
    <n v="0"/>
    <n v="0"/>
    <n v="0"/>
    <n v="0"/>
    <n v="0"/>
    <s v="West"/>
    <x v="0"/>
    <x v="0"/>
    <x v="1"/>
    <x v="0"/>
    <x v="0"/>
    <x v="0"/>
    <m/>
    <x v="0"/>
    <s v="Y"/>
    <s v="8A"/>
    <m/>
    <n v="0"/>
    <n v="3"/>
    <n v="0"/>
    <n v="0"/>
    <n v="0"/>
    <n v="0"/>
    <n v="0"/>
    <n v="0"/>
    <n v="0"/>
    <n v="0"/>
    <n v="0"/>
    <n v="0"/>
    <n v="0"/>
    <n v="0"/>
    <n v="0"/>
    <n v="0"/>
    <n v="0"/>
    <n v="0"/>
    <n v="0"/>
    <n v="0"/>
    <n v="0"/>
    <n v="3"/>
    <n v="3"/>
  </r>
  <r>
    <n v="5942"/>
    <x v="2"/>
    <s v="2016/1889"/>
    <m/>
    <s v="186-188 Balham High Road"/>
    <s v="Extn to ex"/>
    <n v="528486"/>
    <n v="173287"/>
    <x v="11"/>
    <d v="2018-03-31T00:00:00"/>
    <m/>
    <n v="0"/>
    <n v="6"/>
    <n v="6"/>
    <n v="7"/>
    <n v="7"/>
    <m/>
    <s v="Part demolition and reconfiguration of the existing first floor (Use Class A1/A2 - retail) and construction of a part 2-, 3- and 4-storey extensions (at 1st, 2nd, 3rd and 4th floor levels) and construction of a part 1- and 2-storey building (including basement accommodation) to the existing service/storage yard to create 7 x self-contained residential units (Use Class C3) with associated amenity space in the form of balconies and roof terraces and green/living walls. (Amendments to planning permission ref. 2015/1933 dated 16/11/2015 including revisions to the staircases; internal alterations to flat 1.1; installation of staircase within retail unit; installation of glazed staircase and walkway to second and third floor flats; increase floorspace to third floor flat and associated external changes)."/>
    <s v="PF"/>
    <d v="2016-07-04T00:00:00"/>
    <d v="2016-11-28T00:00:00"/>
    <x v="0"/>
    <s v="Nil"/>
    <m/>
    <s v="BF"/>
    <x v="4"/>
    <x v="0"/>
    <x v="0"/>
    <n v="2.8999999165535001E-2"/>
    <d v="2018-03-31T00:00:00"/>
    <x v="1"/>
    <m/>
    <x v="0"/>
    <s v="P"/>
    <m/>
    <m/>
    <n v="0"/>
    <m/>
    <n v="0"/>
    <m/>
    <n v="0"/>
    <n v="0"/>
    <n v="4"/>
    <n v="2"/>
    <n v="0"/>
    <n v="0"/>
    <n v="0"/>
    <n v="0"/>
    <n v="0"/>
    <n v="4"/>
    <n v="2"/>
    <n v="0"/>
    <n v="0"/>
    <n v="0"/>
    <n v="0"/>
    <n v="0"/>
    <n v="0"/>
    <n v="0"/>
    <n v="0"/>
    <n v="0"/>
    <n v="0"/>
    <n v="0"/>
    <n v="0"/>
    <n v="0"/>
    <n v="0"/>
    <n v="0"/>
    <n v="0"/>
    <n v="0"/>
    <s v="East"/>
    <x v="2"/>
    <x v="0"/>
    <x v="1"/>
    <x v="0"/>
    <x v="0"/>
    <x v="0"/>
    <m/>
    <x v="0"/>
    <s v="Y"/>
    <s v="8B"/>
    <m/>
    <n v="0"/>
    <n v="3"/>
    <n v="3"/>
    <n v="0"/>
    <n v="0"/>
    <n v="0"/>
    <n v="0"/>
    <n v="0"/>
    <n v="0"/>
    <n v="0"/>
    <n v="0"/>
    <n v="0"/>
    <n v="0"/>
    <n v="0"/>
    <n v="0"/>
    <n v="0"/>
    <n v="0"/>
    <n v="0"/>
    <n v="0"/>
    <n v="0"/>
    <n v="0"/>
    <n v="6"/>
    <n v="6"/>
  </r>
  <r>
    <n v="5942"/>
    <x v="2"/>
    <s v="2016/1889"/>
    <m/>
    <s v="186-188 Balham High Road"/>
    <s v="New Build"/>
    <n v="528486"/>
    <n v="173287"/>
    <x v="11"/>
    <d v="2018-03-31T00:00:00"/>
    <m/>
    <n v="0"/>
    <n v="1"/>
    <n v="1"/>
    <n v="7"/>
    <n v="7"/>
    <m/>
    <s v="Part demolition and reconfiguration of the existing first floor (Use Class A1/A2 - retail) and construction of a part 2-, 3- and 4-storey extensions (at 1st, 2nd, 3rd and 4th floor levels) and construction of a part 1- and 2-storey building (including basement accommodation) to the existing service/storage yard to create 7 x self-contained residential units (Use Class C3) with associated amenity space in the form of balconies and roof terraces and green/living walls. (Amendments to planning permission ref. 2015/1933 dated 16/11/2015 including revisions to the staircases; internal alterations to flat 1.1; installation of staircase within retail unit; installation of glazed staircase and walkway to second and third floor flats; increase floorspace to third floor flat and associated external changes)."/>
    <s v="PF"/>
    <d v="2016-07-04T00:00:00"/>
    <d v="2016-11-28T00:00:00"/>
    <x v="0"/>
    <s v="Nil"/>
    <m/>
    <s v="BF"/>
    <x v="4"/>
    <x v="0"/>
    <x v="0"/>
    <n v="1.2000000104308101E-2"/>
    <d v="2018-03-31T00:00:00"/>
    <x v="1"/>
    <m/>
    <x v="0"/>
    <s v="P"/>
    <m/>
    <m/>
    <n v="0"/>
    <m/>
    <n v="0"/>
    <m/>
    <n v="0"/>
    <n v="0"/>
    <n v="0"/>
    <n v="1"/>
    <n v="0"/>
    <n v="0"/>
    <n v="0"/>
    <n v="0"/>
    <n v="0"/>
    <n v="0"/>
    <n v="0"/>
    <n v="0"/>
    <n v="0"/>
    <n v="0"/>
    <n v="0"/>
    <n v="0"/>
    <n v="0"/>
    <n v="1"/>
    <n v="0"/>
    <n v="0"/>
    <n v="0"/>
    <n v="0"/>
    <n v="0"/>
    <n v="0"/>
    <n v="0"/>
    <n v="0"/>
    <n v="0"/>
    <n v="0"/>
    <s v="East"/>
    <x v="2"/>
    <x v="0"/>
    <x v="1"/>
    <x v="0"/>
    <x v="0"/>
    <x v="0"/>
    <m/>
    <x v="0"/>
    <s v="Y"/>
    <s v="8B"/>
    <m/>
    <n v="0"/>
    <n v="0.5"/>
    <n v="0.5"/>
    <n v="0"/>
    <n v="0"/>
    <n v="0"/>
    <n v="0"/>
    <n v="0"/>
    <n v="0"/>
    <n v="0"/>
    <n v="0"/>
    <n v="0"/>
    <n v="0"/>
    <n v="0"/>
    <n v="0"/>
    <n v="0"/>
    <n v="0"/>
    <n v="0"/>
    <n v="0"/>
    <n v="0"/>
    <n v="0"/>
    <n v="1"/>
    <n v="1"/>
  </r>
  <r>
    <n v="5946"/>
    <x v="2"/>
    <s v="2015/2251"/>
    <m/>
    <s v="60 Lavender Hill"/>
    <m/>
    <n v="528334"/>
    <n v="175747"/>
    <x v="10"/>
    <d v="2017-03-31T00:00:00"/>
    <m/>
    <n v="1"/>
    <n v="2"/>
    <n v="1"/>
    <n v="3"/>
    <n v="2"/>
    <m/>
    <s v="Refurbishment of ground floor commercial unit; external alterations and erection of four-storey rear extension with formation of terraces with safety balustrades at upper ground, first and second floor levels in connection with the use of the rear ground and upper floors of the property as 3 self-contained flats (1 x 2 bedroom and 2 x 1 bedroom) (Use Class C3)."/>
    <s v="PF"/>
    <d v="2015-04-29T00:00:00"/>
    <d v="2015-10-22T00:00:00"/>
    <x v="0"/>
    <s v="Nil"/>
    <m/>
    <s v="BF"/>
    <x v="4"/>
    <x v="0"/>
    <x v="10"/>
    <n v="1.09999999403954E-2"/>
    <d v="2017-03-31T00:00:00"/>
    <x v="0"/>
    <m/>
    <x v="0"/>
    <s v="P"/>
    <m/>
    <m/>
    <n v="0"/>
    <m/>
    <n v="0"/>
    <m/>
    <n v="0"/>
    <n v="2"/>
    <n v="0"/>
    <n v="0"/>
    <n v="-1"/>
    <n v="0"/>
    <n v="0"/>
    <n v="0"/>
    <n v="2"/>
    <n v="0"/>
    <n v="0"/>
    <n v="-1"/>
    <n v="0"/>
    <n v="0"/>
    <n v="0"/>
    <n v="0"/>
    <n v="0"/>
    <n v="0"/>
    <n v="0"/>
    <n v="0"/>
    <n v="0"/>
    <n v="0"/>
    <n v="0"/>
    <n v="0"/>
    <n v="0"/>
    <n v="0"/>
    <n v="0"/>
    <n v="0"/>
    <s v="East"/>
    <x v="0"/>
    <x v="0"/>
    <x v="1"/>
    <x v="0"/>
    <x v="0"/>
    <x v="0"/>
    <m/>
    <x v="0"/>
    <s v="Y"/>
    <s v="8A"/>
    <m/>
    <n v="0"/>
    <n v="1"/>
    <n v="0"/>
    <n v="0"/>
    <n v="0"/>
    <n v="0"/>
    <n v="0"/>
    <n v="0"/>
    <n v="0"/>
    <n v="0"/>
    <n v="0"/>
    <n v="0"/>
    <n v="0"/>
    <n v="0"/>
    <n v="0"/>
    <n v="0"/>
    <n v="0"/>
    <n v="0"/>
    <n v="0"/>
    <n v="0"/>
    <n v="0"/>
    <n v="1"/>
    <n v="1"/>
  </r>
  <r>
    <n v="5959"/>
    <x v="2"/>
    <s v="2015/2661"/>
    <m/>
    <s v="Garages &amp; Land west of 17 &amp; 19, 17 Sutherland Grove"/>
    <m/>
    <n v="524608"/>
    <n v="173417"/>
    <x v="19"/>
    <d v="2017-08-03T00:00:00"/>
    <m/>
    <n v="0"/>
    <n v="1"/>
    <n v="1"/>
    <n v="1"/>
    <n v="1"/>
    <m/>
    <s v="Demolition of existing garages. Erection of 1 x single-storey, with basement, dwellinghouse (Class C3) fronting Combemartin Road with lightwells to the front and rear and new boundary treatment."/>
    <s v="PF"/>
    <d v="2015-05-20T00:00:00"/>
    <d v="2015-10-19T00:00:00"/>
    <x v="0"/>
    <s v="Nil"/>
    <m/>
    <s v="Gdn"/>
    <x v="0"/>
    <x v="0"/>
    <x v="0"/>
    <n v="1.8999999389052401E-2"/>
    <d v="2017-08-03T00:00:00"/>
    <x v="1"/>
    <m/>
    <x v="0"/>
    <s v="P"/>
    <m/>
    <m/>
    <n v="1"/>
    <m/>
    <n v="0"/>
    <m/>
    <n v="0"/>
    <n v="0"/>
    <n v="0"/>
    <n v="0"/>
    <n v="1"/>
    <n v="0"/>
    <n v="0"/>
    <n v="0"/>
    <n v="0"/>
    <n v="0"/>
    <n v="0"/>
    <n v="0"/>
    <n v="0"/>
    <n v="0"/>
    <n v="0"/>
    <n v="0"/>
    <n v="0"/>
    <n v="0"/>
    <n v="1"/>
    <n v="0"/>
    <n v="0"/>
    <n v="0"/>
    <n v="0"/>
    <n v="0"/>
    <n v="0"/>
    <n v="0"/>
    <n v="0"/>
    <n v="0"/>
    <s v="West"/>
    <x v="0"/>
    <x v="0"/>
    <x v="1"/>
    <x v="0"/>
    <x v="0"/>
    <x v="0"/>
    <m/>
    <x v="0"/>
    <s v="Y"/>
    <s v="2A"/>
    <m/>
    <n v="0"/>
    <n v="1"/>
    <n v="0"/>
    <n v="0"/>
    <n v="0"/>
    <n v="0"/>
    <n v="0"/>
    <n v="0"/>
    <n v="0"/>
    <n v="0"/>
    <n v="0"/>
    <n v="0"/>
    <n v="0"/>
    <n v="0"/>
    <n v="0"/>
    <n v="0"/>
    <n v="0"/>
    <n v="0"/>
    <n v="0"/>
    <n v="0"/>
    <n v="0"/>
    <n v="1"/>
    <n v="1"/>
  </r>
  <r>
    <n v="5966"/>
    <x v="2"/>
    <s v="2015/7662"/>
    <s v="Ransomes Dock Business Centre"/>
    <s v="Unit 3 &amp; 20 Ransomes Dock Business Centre, 35-37 Parkgate Road"/>
    <m/>
    <n v="527304"/>
    <n v="177160"/>
    <x v="1"/>
    <d v="2017-03-31T00:00:00"/>
    <m/>
    <n v="0"/>
    <n v="1"/>
    <n v="1"/>
    <n v="2"/>
    <n v="2"/>
    <m/>
    <s v="Determination as to whether prior approval is required for change of use from office (Class B1a) to two residential units (Class C3)."/>
    <s v="PANR"/>
    <d v="2015-12-13T00:00:00"/>
    <d v="2016-03-14T00:00:00"/>
    <x v="0"/>
    <s v="Nil"/>
    <m/>
    <s v="BF"/>
    <x v="3"/>
    <x v="0"/>
    <x v="9"/>
    <n v="2.9999999329447701E-2"/>
    <m/>
    <x v="0"/>
    <m/>
    <x v="0"/>
    <s v="P"/>
    <m/>
    <m/>
    <n v="0"/>
    <m/>
    <n v="0"/>
    <m/>
    <n v="1"/>
    <n v="0"/>
    <n v="0"/>
    <n v="0"/>
    <n v="0"/>
    <n v="0"/>
    <n v="0"/>
    <n v="1"/>
    <n v="0"/>
    <n v="0"/>
    <n v="0"/>
    <n v="0"/>
    <n v="0"/>
    <n v="0"/>
    <n v="0"/>
    <n v="0"/>
    <n v="0"/>
    <n v="0"/>
    <n v="0"/>
    <n v="0"/>
    <n v="0"/>
    <n v="0"/>
    <n v="0"/>
    <n v="0"/>
    <n v="0"/>
    <n v="0"/>
    <n v="0"/>
    <n v="0"/>
    <s v="East"/>
    <x v="0"/>
    <x v="0"/>
    <x v="1"/>
    <x v="0"/>
    <x v="0"/>
    <x v="0"/>
    <s v="Y"/>
    <x v="0"/>
    <s v="Y"/>
    <s v="8A"/>
    <m/>
    <n v="0"/>
    <n v="1"/>
    <n v="0"/>
    <n v="0"/>
    <n v="0"/>
    <n v="0"/>
    <n v="0"/>
    <n v="0"/>
    <n v="0"/>
    <n v="0"/>
    <n v="0"/>
    <n v="0"/>
    <n v="0"/>
    <n v="0"/>
    <n v="0"/>
    <n v="0"/>
    <n v="0"/>
    <n v="0"/>
    <n v="0"/>
    <n v="0"/>
    <n v="0"/>
    <n v="1"/>
    <n v="1"/>
  </r>
  <r>
    <n v="5968"/>
    <x v="2"/>
    <s v="2017/1369"/>
    <m/>
    <s v="BP Nightingale Service Station, 266 Balham High Road"/>
    <m/>
    <n v="528235"/>
    <n v="172781"/>
    <x v="11"/>
    <d v="2017-05-01T00:00:00"/>
    <m/>
    <n v="0"/>
    <n v="3"/>
    <n v="3"/>
    <n v="69"/>
    <n v="69"/>
    <s v="Y"/>
    <s v="Variation of condition 10 (in accordance with approved drawings) pursuant to planning permission 2015/3470 dated 4th January 2016 (Demolition of existing petrol filling station (Class Sui Generis) and redevelopment of the site including erection of a 4-7 storey building to provide 71 self-contained residential units (Class C3) (22 x 1 bedrooms, 41 x 2 bedrooms, 8 x 3 bedrooms) with associated cycle parking and landscaping) to allow design alterations in association with reconfigured layout of 69 units.alterations in association with reconfigured layout of 69 units."/>
    <s v="S73"/>
    <d v="2017-03-08T00:00:00"/>
    <d v="2017-07-07T00:00:00"/>
    <x v="1"/>
    <s v="Nil"/>
    <m/>
    <s v="BF"/>
    <x v="0"/>
    <x v="1"/>
    <x v="1"/>
    <n v="6.0000000521540598E-3"/>
    <d v="2018-03-31T00:00:00"/>
    <x v="1"/>
    <m/>
    <x v="2"/>
    <s v="HAAR"/>
    <m/>
    <m/>
    <n v="0"/>
    <n v="3"/>
    <n v="0"/>
    <n v="0"/>
    <n v="0"/>
    <n v="0"/>
    <n v="2"/>
    <n v="1"/>
    <n v="0"/>
    <n v="0"/>
    <n v="0"/>
    <n v="0"/>
    <n v="0"/>
    <n v="2"/>
    <n v="1"/>
    <n v="0"/>
    <n v="0"/>
    <n v="0"/>
    <n v="0"/>
    <n v="0"/>
    <n v="0"/>
    <n v="0"/>
    <n v="0"/>
    <n v="0"/>
    <n v="0"/>
    <n v="0"/>
    <n v="0"/>
    <n v="0"/>
    <n v="0"/>
    <n v="0"/>
    <n v="0"/>
    <n v="0"/>
    <s v="East"/>
    <x v="0"/>
    <x v="0"/>
    <x v="1"/>
    <x v="0"/>
    <x v="0"/>
    <x v="0"/>
    <m/>
    <x v="0"/>
    <s v="Y"/>
    <s v="3A"/>
    <m/>
    <n v="0"/>
    <n v="0"/>
    <n v="1"/>
    <n v="1"/>
    <n v="1"/>
    <n v="0"/>
    <n v="0"/>
    <n v="0"/>
    <n v="0"/>
    <n v="0"/>
    <n v="0"/>
    <n v="0"/>
    <n v="0"/>
    <n v="0"/>
    <n v="0"/>
    <n v="0"/>
    <n v="0"/>
    <n v="0"/>
    <n v="0"/>
    <n v="0"/>
    <n v="0"/>
    <n v="3"/>
    <n v="3"/>
  </r>
  <r>
    <n v="5968"/>
    <x v="2"/>
    <s v="2017/1369"/>
    <m/>
    <s v="BP Nightingale Service Station, 266 Balham High Road"/>
    <m/>
    <n v="528235"/>
    <n v="172781"/>
    <x v="11"/>
    <d v="2017-05-01T00:00:00"/>
    <m/>
    <n v="0"/>
    <n v="2"/>
    <n v="2"/>
    <n v="69"/>
    <n v="69"/>
    <s v="Y"/>
    <s v="Variation of condition 10 (in accordance with approved drawings) pursuant to planning permission 2015/3470 dated 4th January 2016 (Demolition of existing petrol filling station (Class Sui Generis) and redevelopment of the site including erection of a 4-7 storey building to provide 71 self-contained residential units (Class C3) (22 x 1 bedrooms, 41 x 2 bedrooms, 8 x 3 bedrooms) with associated cycle parking and landscaping) to allow design alterations in association with reconfigured layout of 69 units.alterations in association with reconfigured layout of 69 units."/>
    <s v="S73"/>
    <d v="2017-03-08T00:00:00"/>
    <d v="2017-07-07T00:00:00"/>
    <x v="1"/>
    <s v="Nil"/>
    <m/>
    <s v="BF"/>
    <x v="0"/>
    <x v="1"/>
    <x v="1"/>
    <n v="4.0000001899898104E-3"/>
    <d v="2018-03-31T00:00:00"/>
    <x v="1"/>
    <m/>
    <x v="1"/>
    <s v="HAIS"/>
    <m/>
    <m/>
    <n v="0"/>
    <n v="2"/>
    <n v="0"/>
    <m/>
    <n v="0"/>
    <n v="1"/>
    <n v="1"/>
    <n v="0"/>
    <n v="0"/>
    <n v="0"/>
    <n v="0"/>
    <n v="0"/>
    <n v="1"/>
    <n v="1"/>
    <n v="0"/>
    <n v="0"/>
    <n v="0"/>
    <n v="0"/>
    <n v="0"/>
    <n v="0"/>
    <n v="0"/>
    <n v="0"/>
    <n v="0"/>
    <n v="0"/>
    <n v="0"/>
    <n v="0"/>
    <n v="0"/>
    <n v="0"/>
    <n v="0"/>
    <n v="0"/>
    <n v="0"/>
    <n v="0"/>
    <s v="East"/>
    <x v="0"/>
    <x v="0"/>
    <x v="1"/>
    <x v="0"/>
    <x v="0"/>
    <x v="0"/>
    <m/>
    <x v="0"/>
    <s v="Y"/>
    <s v="3A"/>
    <m/>
    <n v="0"/>
    <n v="0"/>
    <n v="0.66666666666666663"/>
    <n v="0.66666666666666663"/>
    <n v="0.66666666666666663"/>
    <n v="0"/>
    <n v="0"/>
    <n v="0"/>
    <n v="0"/>
    <n v="0"/>
    <n v="0"/>
    <n v="0"/>
    <n v="0"/>
    <n v="0"/>
    <n v="0"/>
    <n v="0"/>
    <n v="0"/>
    <n v="0"/>
    <n v="0"/>
    <n v="0"/>
    <n v="0"/>
    <n v="2"/>
    <n v="2"/>
  </r>
  <r>
    <n v="5968"/>
    <x v="2"/>
    <s v="2017/6232"/>
    <m/>
    <s v="BP Nightingale Service Station, 266 Balham High Road"/>
    <m/>
    <n v="528235"/>
    <n v="172781"/>
    <x v="11"/>
    <d v="2017-05-01T00:00:00"/>
    <m/>
    <n v="0"/>
    <n v="64"/>
    <n v="64"/>
    <n v="64"/>
    <n v="64"/>
    <s v="Y"/>
    <s v="Variation of condition 10 (in accordance with approved drawings) of planning permission 2017/1369 dated 7 July 2017 which granted 'Demolition of existing petrol filling station (Class Sui Generis) and redevelopment of the site including erection of a 4-7 storey building to provide 71 self-contained residential units (Class C3)(22 x 1 bedrooms, 41x 2 bedrooms, 8 x 3 bedrooms) with associated cycle parking and landscaping) to allow alterations in association with reconfigured layout of 69 units).) to allow alterations in association with reconfigured layout of 69 units ((20 x 1 bedrooms, 40x 2 bedrooms, 7 x 3 bedrooms, 1 x 4 bedroom and 1 studio)'.  Approved drawings to be amended by way of: Minor changes to floor plates on all levels (incl. basement); Internal reconfigurations; Minor changes to schedule of accommodation; Minor elevational alterations (omission of stallrisers, minor changes to fenestration, minor changes to configuration of materials - increased vertical emphasis)"/>
    <s v="S73"/>
    <d v="2017-11-17T00:00:00"/>
    <d v="2018-03-07T00:00:00"/>
    <x v="1"/>
    <s v="Nil"/>
    <m/>
    <s v="BF"/>
    <x v="0"/>
    <x v="1"/>
    <x v="1"/>
    <n v="0.123000003397465"/>
    <d v="2018-03-31T00:00:00"/>
    <x v="1"/>
    <m/>
    <x v="0"/>
    <s v="P"/>
    <m/>
    <m/>
    <n v="0"/>
    <n v="58"/>
    <n v="0"/>
    <n v="6"/>
    <n v="0"/>
    <n v="20"/>
    <n v="36"/>
    <n v="7"/>
    <n v="1"/>
    <n v="0"/>
    <n v="0"/>
    <n v="0"/>
    <n v="20"/>
    <n v="36"/>
    <n v="7"/>
    <n v="1"/>
    <n v="0"/>
    <n v="0"/>
    <n v="0"/>
    <n v="0"/>
    <n v="0"/>
    <n v="0"/>
    <n v="0"/>
    <n v="0"/>
    <n v="0"/>
    <n v="0"/>
    <n v="0"/>
    <n v="0"/>
    <n v="0"/>
    <n v="0"/>
    <n v="0"/>
    <n v="0"/>
    <s v="East"/>
    <x v="0"/>
    <x v="0"/>
    <x v="1"/>
    <x v="0"/>
    <x v="0"/>
    <x v="0"/>
    <m/>
    <x v="0"/>
    <s v="Y"/>
    <s v="3A"/>
    <m/>
    <n v="0"/>
    <n v="0"/>
    <n v="21.333333333333332"/>
    <n v="21.333333333333332"/>
    <n v="21.333333333333332"/>
    <n v="0"/>
    <n v="0"/>
    <n v="0"/>
    <n v="0"/>
    <n v="0"/>
    <n v="0"/>
    <n v="0"/>
    <n v="0"/>
    <n v="0"/>
    <n v="0"/>
    <n v="0"/>
    <n v="0"/>
    <n v="0"/>
    <n v="0"/>
    <n v="0"/>
    <n v="0"/>
    <n v="64"/>
    <n v="64"/>
  </r>
  <r>
    <n v="6002"/>
    <x v="2"/>
    <s v="2015/2883"/>
    <m/>
    <s v="11 &amp; 12 Elsynge Mansions, 21 Elsynge Road"/>
    <m/>
    <n v="526733"/>
    <n v="174909"/>
    <x v="0"/>
    <d v="2017-03-31T00:00:00"/>
    <m/>
    <n v="2"/>
    <n v="2"/>
    <n v="0"/>
    <n v="2"/>
    <n v="0"/>
    <m/>
    <s v="Demolition of pair of single-storey dwellings and erection of pair of semi-detached two-storey houses with rear terrace at first floor level."/>
    <s v="PF"/>
    <d v="2015-06-18T00:00:00"/>
    <d v="2015-10-20T00:00:00"/>
    <x v="0"/>
    <s v="Nil"/>
    <m/>
    <s v="BF"/>
    <x v="0"/>
    <x v="0"/>
    <x v="0"/>
    <n v="3.4000001847744002E-2"/>
    <d v="2017-03-31T00:00:00"/>
    <x v="0"/>
    <m/>
    <x v="0"/>
    <s v="P"/>
    <m/>
    <m/>
    <n v="2"/>
    <m/>
    <n v="0"/>
    <m/>
    <n v="0"/>
    <n v="-1"/>
    <n v="-1"/>
    <n v="0"/>
    <n v="2"/>
    <n v="0"/>
    <n v="0"/>
    <n v="0"/>
    <n v="0"/>
    <n v="0"/>
    <n v="0"/>
    <n v="0"/>
    <n v="0"/>
    <n v="0"/>
    <n v="0"/>
    <n v="-1"/>
    <n v="-1"/>
    <n v="0"/>
    <n v="2"/>
    <n v="0"/>
    <n v="0"/>
    <n v="0"/>
    <n v="0"/>
    <n v="0"/>
    <n v="0"/>
    <n v="0"/>
    <n v="0"/>
    <n v="0"/>
    <s v="West"/>
    <x v="0"/>
    <x v="0"/>
    <x v="1"/>
    <x v="0"/>
    <x v="0"/>
    <x v="0"/>
    <m/>
    <x v="0"/>
    <s v="Y"/>
    <s v="2A"/>
    <m/>
    <n v="0"/>
    <n v="0"/>
    <n v="0"/>
    <n v="0"/>
    <n v="0"/>
    <n v="0"/>
    <n v="0"/>
    <n v="0"/>
    <n v="0"/>
    <n v="0"/>
    <n v="0"/>
    <n v="0"/>
    <n v="0"/>
    <n v="0"/>
    <n v="0"/>
    <n v="0"/>
    <n v="0"/>
    <n v="0"/>
    <n v="0"/>
    <n v="0"/>
    <n v="0"/>
    <n v="0"/>
    <n v="0"/>
  </r>
  <r>
    <n v="6006"/>
    <x v="2"/>
    <s v="2015/3237"/>
    <m/>
    <s v="44 Melrose Court, Melrose Road"/>
    <m/>
    <n v="524739"/>
    <n v="174137"/>
    <x v="16"/>
    <d v="2017-07-21T00:00:00"/>
    <m/>
    <n v="0"/>
    <n v="1"/>
    <n v="1"/>
    <n v="1"/>
    <n v="1"/>
    <m/>
    <s v="Demolition of garages and excavation in connection with erection of two storey dwelling (basement and ground floors). (Reduced lower ground footprint)."/>
    <s v="PF"/>
    <d v="2016-04-22T00:00:00"/>
    <d v="2016-12-15T00:00:00"/>
    <x v="0"/>
    <s v="Nil"/>
    <m/>
    <s v="BF"/>
    <x v="0"/>
    <x v="0"/>
    <x v="0"/>
    <n v="2.70000007003546E-2"/>
    <d v="2017-07-21T00:00:00"/>
    <x v="1"/>
    <m/>
    <x v="0"/>
    <s v="P"/>
    <m/>
    <m/>
    <n v="1"/>
    <m/>
    <n v="0"/>
    <m/>
    <n v="0"/>
    <n v="0"/>
    <n v="0"/>
    <n v="0"/>
    <n v="1"/>
    <n v="0"/>
    <n v="0"/>
    <n v="0"/>
    <n v="0"/>
    <n v="0"/>
    <n v="0"/>
    <n v="0"/>
    <n v="0"/>
    <n v="0"/>
    <n v="0"/>
    <n v="0"/>
    <n v="0"/>
    <n v="0"/>
    <n v="1"/>
    <n v="0"/>
    <n v="0"/>
    <n v="0"/>
    <n v="0"/>
    <n v="0"/>
    <n v="0"/>
    <n v="0"/>
    <n v="0"/>
    <n v="0"/>
    <s v="West"/>
    <x v="0"/>
    <x v="0"/>
    <x v="1"/>
    <x v="0"/>
    <x v="0"/>
    <x v="0"/>
    <m/>
    <x v="0"/>
    <s v="Y"/>
    <s v="2A"/>
    <m/>
    <n v="0"/>
    <n v="1"/>
    <n v="0"/>
    <n v="0"/>
    <n v="0"/>
    <n v="0"/>
    <n v="0"/>
    <n v="0"/>
    <n v="0"/>
    <n v="0"/>
    <n v="0"/>
    <n v="0"/>
    <n v="0"/>
    <n v="0"/>
    <n v="0"/>
    <n v="0"/>
    <n v="0"/>
    <n v="0"/>
    <n v="0"/>
    <n v="0"/>
    <n v="0"/>
    <n v="1"/>
    <n v="1"/>
  </r>
  <r>
    <n v="6015"/>
    <x v="2"/>
    <s v="2015/3636"/>
    <m/>
    <s v="25 Roedean Crescent"/>
    <m/>
    <n v="521171"/>
    <n v="174446"/>
    <x v="15"/>
    <d v="2015-05-01T00:00:00"/>
    <m/>
    <n v="1"/>
    <n v="1"/>
    <n v="0"/>
    <n v="1"/>
    <n v="0"/>
    <m/>
    <s v="Demolition of existing building and erection of part single, part two-storey dwelling with accommodation at roof and basement level (with a sub-basement) including excavation under rear garden and formation of rear lightwell."/>
    <s v="PF"/>
    <d v="2015-07-03T00:00:00"/>
    <d v="2015-09-16T00:00:00"/>
    <x v="0"/>
    <s v="Nil"/>
    <m/>
    <s v="BF"/>
    <x v="0"/>
    <x v="0"/>
    <x v="0"/>
    <n v="0.11200000345706899"/>
    <d v="2015-05-01T00:00:00"/>
    <x v="0"/>
    <m/>
    <x v="0"/>
    <s v="P"/>
    <m/>
    <m/>
    <n v="1"/>
    <m/>
    <n v="0"/>
    <m/>
    <n v="0"/>
    <n v="0"/>
    <n v="0"/>
    <n v="0"/>
    <n v="-1"/>
    <n v="1"/>
    <n v="0"/>
    <n v="0"/>
    <n v="0"/>
    <n v="0"/>
    <n v="0"/>
    <n v="0"/>
    <n v="0"/>
    <n v="0"/>
    <n v="0"/>
    <n v="0"/>
    <n v="0"/>
    <n v="0"/>
    <n v="-1"/>
    <n v="1"/>
    <n v="0"/>
    <n v="0"/>
    <n v="0"/>
    <n v="0"/>
    <n v="0"/>
    <n v="0"/>
    <n v="0"/>
    <n v="0"/>
    <s v="West"/>
    <x v="0"/>
    <x v="0"/>
    <x v="1"/>
    <x v="0"/>
    <x v="0"/>
    <x v="0"/>
    <m/>
    <x v="0"/>
    <s v="Y"/>
    <s v="2A"/>
    <m/>
    <n v="0"/>
    <n v="0"/>
    <n v="0"/>
    <n v="0"/>
    <n v="0"/>
    <n v="0"/>
    <n v="0"/>
    <n v="0"/>
    <n v="0"/>
    <n v="0"/>
    <n v="0"/>
    <n v="0"/>
    <n v="0"/>
    <n v="0"/>
    <n v="0"/>
    <n v="0"/>
    <n v="0"/>
    <n v="0"/>
    <n v="0"/>
    <n v="0"/>
    <n v="0"/>
    <n v="0"/>
    <n v="0"/>
  </r>
  <r>
    <n v="6027"/>
    <x v="2"/>
    <s v="2015/3757"/>
    <m/>
    <s v="Land adjacent Jordan Lodge, Nutwell Street"/>
    <m/>
    <n v="527409"/>
    <n v="171118"/>
    <x v="8"/>
    <d v="2017-02-23T00:00:00"/>
    <m/>
    <n v="0"/>
    <n v="2"/>
    <n v="2"/>
    <n v="2"/>
    <n v="2"/>
    <m/>
    <s v="Demolition of existing storesheds and erection of two semi-detached 3 bedroom houses with associated landscaping."/>
    <s v="PF"/>
    <d v="2015-08-10T00:00:00"/>
    <d v="2015-10-05T00:00:00"/>
    <x v="0"/>
    <s v="Nil"/>
    <m/>
    <s v="BF"/>
    <x v="0"/>
    <x v="0"/>
    <x v="0"/>
    <n v="2.8999999165535001E-2"/>
    <d v="2017-02-23T00:00:00"/>
    <x v="0"/>
    <m/>
    <x v="2"/>
    <s v="C"/>
    <m/>
    <m/>
    <n v="2"/>
    <m/>
    <n v="0"/>
    <m/>
    <n v="0"/>
    <n v="0"/>
    <n v="0"/>
    <n v="2"/>
    <n v="0"/>
    <n v="0"/>
    <n v="0"/>
    <n v="0"/>
    <n v="0"/>
    <n v="0"/>
    <n v="0"/>
    <n v="0"/>
    <n v="0"/>
    <n v="0"/>
    <n v="0"/>
    <n v="0"/>
    <n v="0"/>
    <n v="2"/>
    <n v="0"/>
    <n v="0"/>
    <n v="0"/>
    <n v="0"/>
    <n v="0"/>
    <n v="0"/>
    <n v="0"/>
    <n v="0"/>
    <n v="0"/>
    <n v="0"/>
    <s v="East"/>
    <x v="0"/>
    <x v="0"/>
    <x v="1"/>
    <x v="0"/>
    <x v="0"/>
    <x v="0"/>
    <m/>
    <x v="0"/>
    <s v="Y"/>
    <s v="2A"/>
    <m/>
    <n v="0"/>
    <n v="2"/>
    <n v="0"/>
    <n v="0"/>
    <n v="0"/>
    <n v="0"/>
    <n v="0"/>
    <n v="0"/>
    <n v="0"/>
    <n v="0"/>
    <n v="0"/>
    <n v="0"/>
    <n v="0"/>
    <n v="0"/>
    <n v="0"/>
    <n v="0"/>
    <n v="0"/>
    <n v="0"/>
    <n v="0"/>
    <n v="0"/>
    <n v="0"/>
    <n v="2"/>
    <n v="2"/>
  </r>
  <r>
    <n v="6040"/>
    <x v="2"/>
    <s v="2015/2434"/>
    <m/>
    <s v="Land adjacent 75, 75 Putney Bridge Road"/>
    <m/>
    <n v="524968"/>
    <n v="175095"/>
    <x v="13"/>
    <d v="2017-03-31T00:00:00"/>
    <m/>
    <n v="8"/>
    <n v="16"/>
    <n v="8"/>
    <n v="16"/>
    <n v="8"/>
    <s v="Y"/>
    <s v="Demolition of existing building and redevelopment of the site by the erection of two buildings of two to four-storeys high to provide 16 residential units fronting either Putney Bridge Road or Fawe Park Road, including balconies/terraces and with associated cycle parking provision."/>
    <s v="PFLA"/>
    <d v="2015-06-02T00:00:00"/>
    <d v="2016-08-01T00:00:00"/>
    <x v="0"/>
    <s v="Nil"/>
    <m/>
    <s v="BF"/>
    <x v="0"/>
    <x v="1"/>
    <x v="1"/>
    <n v="9.6000000834464999E-2"/>
    <d v="2017-03-31T00:00:00"/>
    <x v="0"/>
    <m/>
    <x v="0"/>
    <s v="P"/>
    <m/>
    <m/>
    <n v="16"/>
    <m/>
    <n v="0"/>
    <m/>
    <n v="0"/>
    <n v="-7"/>
    <n v="11"/>
    <n v="4"/>
    <n v="0"/>
    <n v="0"/>
    <n v="0"/>
    <n v="0"/>
    <n v="-7"/>
    <n v="11"/>
    <n v="2"/>
    <n v="0"/>
    <n v="0"/>
    <n v="0"/>
    <n v="0"/>
    <n v="0"/>
    <n v="0"/>
    <n v="2"/>
    <n v="0"/>
    <n v="0"/>
    <n v="0"/>
    <n v="0"/>
    <n v="0"/>
    <n v="0"/>
    <n v="0"/>
    <n v="0"/>
    <n v="0"/>
    <n v="0"/>
    <s v="West"/>
    <x v="0"/>
    <x v="0"/>
    <x v="1"/>
    <x v="0"/>
    <x v="0"/>
    <x v="0"/>
    <m/>
    <x v="0"/>
    <s v="Y"/>
    <s v="2A"/>
    <m/>
    <n v="0"/>
    <n v="8"/>
    <n v="0"/>
    <n v="0"/>
    <n v="0"/>
    <n v="0"/>
    <n v="0"/>
    <n v="0"/>
    <n v="0"/>
    <n v="0"/>
    <n v="0"/>
    <n v="0"/>
    <n v="0"/>
    <n v="0"/>
    <n v="0"/>
    <n v="0"/>
    <n v="0"/>
    <n v="0"/>
    <n v="0"/>
    <n v="0"/>
    <n v="0"/>
    <n v="8"/>
    <n v="8"/>
  </r>
  <r>
    <n v="6046"/>
    <x v="2"/>
    <s v="2015/3244"/>
    <m/>
    <s v="Land and forecourt adjacent to, 44 Rowditch Lane"/>
    <m/>
    <n v="528204"/>
    <n v="176387"/>
    <x v="2"/>
    <d v="2017-05-30T00:00:00"/>
    <m/>
    <n v="0"/>
    <n v="6"/>
    <n v="6"/>
    <n v="6"/>
    <n v="6"/>
    <m/>
    <s v="Demolition of existing garages in connection with the erection of a two-storey building comprising 6 houses (5 x 3 bed and 1 x 2 bed) with associated parking and landscaping."/>
    <s v="PF"/>
    <d v="2015-08-20T00:00:00"/>
    <d v="2015-12-17T00:00:00"/>
    <x v="0"/>
    <s v="Nil"/>
    <m/>
    <s v="BF"/>
    <x v="0"/>
    <x v="0"/>
    <x v="0"/>
    <n v="6.8999998271465302E-2"/>
    <d v="2017-05-30T00:00:00"/>
    <x v="1"/>
    <m/>
    <x v="2"/>
    <s v="HAAR"/>
    <m/>
    <m/>
    <n v="6"/>
    <m/>
    <n v="0"/>
    <m/>
    <n v="0"/>
    <n v="0"/>
    <n v="1"/>
    <n v="5"/>
    <n v="0"/>
    <n v="0"/>
    <n v="0"/>
    <n v="0"/>
    <n v="0"/>
    <n v="0"/>
    <n v="0"/>
    <n v="0"/>
    <n v="0"/>
    <n v="0"/>
    <n v="0"/>
    <n v="0"/>
    <n v="1"/>
    <n v="5"/>
    <n v="0"/>
    <n v="0"/>
    <n v="0"/>
    <n v="0"/>
    <n v="0"/>
    <n v="0"/>
    <n v="0"/>
    <n v="0"/>
    <n v="0"/>
    <n v="0"/>
    <s v="East"/>
    <x v="0"/>
    <x v="0"/>
    <x v="1"/>
    <x v="0"/>
    <x v="0"/>
    <x v="0"/>
    <m/>
    <x v="0"/>
    <s v="Y"/>
    <s v="2A"/>
    <m/>
    <n v="0"/>
    <n v="6"/>
    <n v="0"/>
    <n v="0"/>
    <n v="0"/>
    <n v="0"/>
    <n v="0"/>
    <n v="0"/>
    <n v="0"/>
    <n v="0"/>
    <n v="0"/>
    <n v="0"/>
    <n v="0"/>
    <n v="0"/>
    <n v="0"/>
    <n v="0"/>
    <n v="0"/>
    <n v="0"/>
    <n v="0"/>
    <n v="0"/>
    <n v="0"/>
    <n v="6"/>
    <n v="6"/>
  </r>
  <r>
    <n v="6047"/>
    <x v="2"/>
    <s v="2015/4414"/>
    <m/>
    <s v="89 Lavender Hill"/>
    <m/>
    <n v="528267"/>
    <n v="175679"/>
    <x v="10"/>
    <d v="2016-08-14T00:00:00"/>
    <m/>
    <n v="1"/>
    <n v="0"/>
    <n v="-1"/>
    <n v="0"/>
    <n v="-1"/>
    <m/>
    <s v="Erection of a rear roof extension and extension to increase the height and length of the existing two-storey rear addition. Formation of recessed first floor balcony to rear."/>
    <s v="PF"/>
    <d v="2015-09-08T00:00:00"/>
    <d v="2016-01-07T00:00:00"/>
    <x v="0"/>
    <s v="Nil"/>
    <m/>
    <s v="BF"/>
    <x v="4"/>
    <x v="0"/>
    <x v="6"/>
    <n v="7.0000002160668399E-3"/>
    <d v="2016-08-14T00:00:00"/>
    <x v="0"/>
    <m/>
    <x v="0"/>
    <s v="P"/>
    <m/>
    <m/>
    <n v="0"/>
    <m/>
    <n v="0"/>
    <m/>
    <n v="0"/>
    <n v="0"/>
    <n v="0"/>
    <n v="0"/>
    <n v="-1"/>
    <n v="0"/>
    <n v="0"/>
    <n v="0"/>
    <n v="0"/>
    <n v="0"/>
    <n v="0"/>
    <n v="0"/>
    <n v="0"/>
    <n v="0"/>
    <n v="0"/>
    <n v="0"/>
    <n v="0"/>
    <n v="0"/>
    <n v="-1"/>
    <n v="0"/>
    <n v="0"/>
    <n v="0"/>
    <n v="0"/>
    <n v="0"/>
    <n v="0"/>
    <n v="0"/>
    <n v="0"/>
    <n v="0"/>
    <s v="East"/>
    <x v="0"/>
    <x v="0"/>
    <x v="1"/>
    <x v="0"/>
    <x v="0"/>
    <x v="0"/>
    <m/>
    <x v="0"/>
    <s v="Y"/>
    <s v="8A"/>
    <m/>
    <n v="0"/>
    <n v="-1"/>
    <n v="0"/>
    <n v="0"/>
    <n v="0"/>
    <n v="0"/>
    <n v="0"/>
    <n v="0"/>
    <n v="0"/>
    <n v="0"/>
    <n v="0"/>
    <n v="0"/>
    <n v="0"/>
    <n v="0"/>
    <n v="0"/>
    <n v="0"/>
    <n v="0"/>
    <n v="0"/>
    <n v="0"/>
    <n v="0"/>
    <n v="0"/>
    <n v="-1"/>
    <n v="-1"/>
  </r>
  <r>
    <n v="6048"/>
    <x v="2"/>
    <s v="2016/1218"/>
    <m/>
    <s v="First Floor Flat, 134 Longley Road"/>
    <m/>
    <n v="527668"/>
    <n v="170652"/>
    <x v="8"/>
    <d v="2018-03-31T00:00:00"/>
    <m/>
    <n v="0"/>
    <n v="1"/>
    <n v="1"/>
    <n v="1"/>
    <n v="1"/>
    <m/>
    <s v="Alterations including erection of mansard roof extension to main rear roof (with two sets of French doors and safety railings), extension above part of two-storey back addition, and replacement of rear windows at first floor level with french doors and safety railings. In connection with the creation of a one-bedroom flat."/>
    <s v="PF"/>
    <d v="2016-06-14T00:00:00"/>
    <d v="2016-07-20T00:00:00"/>
    <x v="0"/>
    <s v="Nil"/>
    <m/>
    <s v="BF"/>
    <x v="2"/>
    <x v="0"/>
    <x v="3"/>
    <n v="7.0000002160668399E-3"/>
    <d v="2018-03-31T00:00:00"/>
    <x v="1"/>
    <m/>
    <x v="0"/>
    <s v="P"/>
    <m/>
    <m/>
    <n v="0"/>
    <m/>
    <n v="0"/>
    <m/>
    <n v="0"/>
    <n v="1"/>
    <n v="0"/>
    <n v="0"/>
    <n v="0"/>
    <n v="0"/>
    <n v="0"/>
    <n v="0"/>
    <n v="1"/>
    <n v="0"/>
    <n v="0"/>
    <n v="0"/>
    <n v="0"/>
    <n v="0"/>
    <n v="0"/>
    <n v="0"/>
    <n v="0"/>
    <n v="0"/>
    <n v="0"/>
    <n v="0"/>
    <n v="0"/>
    <n v="0"/>
    <n v="0"/>
    <n v="0"/>
    <n v="0"/>
    <n v="0"/>
    <n v="0"/>
    <n v="0"/>
    <s v="East"/>
    <x v="0"/>
    <x v="0"/>
    <x v="1"/>
    <x v="0"/>
    <x v="0"/>
    <x v="0"/>
    <m/>
    <x v="0"/>
    <s v="Y"/>
    <s v="8B"/>
    <m/>
    <n v="0"/>
    <n v="0.5"/>
    <n v="0.5"/>
    <n v="0"/>
    <n v="0"/>
    <n v="0"/>
    <n v="0"/>
    <n v="0"/>
    <n v="0"/>
    <n v="0"/>
    <n v="0"/>
    <n v="0"/>
    <n v="0"/>
    <n v="0"/>
    <n v="0"/>
    <n v="0"/>
    <n v="0"/>
    <n v="0"/>
    <n v="0"/>
    <n v="0"/>
    <n v="0"/>
    <n v="1"/>
    <n v="1"/>
  </r>
  <r>
    <n v="6071"/>
    <x v="2"/>
    <s v="2015/4036"/>
    <m/>
    <s v="Palladino House &amp; Wood House 6 &amp; 7, Laurel Close"/>
    <m/>
    <n v="527421"/>
    <n v="171301"/>
    <x v="8"/>
    <d v="2017-02-22T00:00:00"/>
    <m/>
    <n v="0"/>
    <n v="49"/>
    <n v="49"/>
    <n v="49"/>
    <n v="49"/>
    <s v="Y"/>
    <s v="Change of use of existing three storey building from retirement housing, residential care home and general needs housing (Use Class C2) to 49 self contained flats (Use Class C3) as 18 x 1-bedroom, 14 x 2-bedroom, 6 x 3-bedroom, 10 x 4-bedroom units and 1 x 4-bedroom maisonette, to provide temporary emergency family accommodation prior to permanent housing allocation."/>
    <s v="PF"/>
    <d v="2015-09-30T00:00:00"/>
    <d v="2015-12-17T00:00:00"/>
    <x v="0"/>
    <s v="Nil"/>
    <m/>
    <s v="BF"/>
    <x v="3"/>
    <x v="3"/>
    <x v="1"/>
    <n v="0.35299998521804798"/>
    <d v="2017-02-22T00:00:00"/>
    <x v="0"/>
    <m/>
    <x v="2"/>
    <s v="C"/>
    <s v="5.4"/>
    <m/>
    <n v="0"/>
    <m/>
    <n v="0"/>
    <m/>
    <n v="0"/>
    <n v="18"/>
    <n v="14"/>
    <n v="6"/>
    <n v="11"/>
    <n v="0"/>
    <n v="0"/>
    <n v="0"/>
    <n v="18"/>
    <n v="14"/>
    <n v="6"/>
    <n v="11"/>
    <n v="0"/>
    <n v="0"/>
    <n v="0"/>
    <n v="0"/>
    <n v="0"/>
    <n v="0"/>
    <n v="0"/>
    <n v="0"/>
    <n v="0"/>
    <n v="0"/>
    <n v="0"/>
    <n v="0"/>
    <n v="0"/>
    <n v="0"/>
    <n v="0"/>
    <n v="0"/>
    <s v="East"/>
    <x v="0"/>
    <x v="0"/>
    <x v="1"/>
    <x v="0"/>
    <x v="0"/>
    <x v="0"/>
    <m/>
    <x v="0"/>
    <s v="Y"/>
    <s v="8A"/>
    <m/>
    <n v="0"/>
    <n v="49"/>
    <n v="0"/>
    <n v="0"/>
    <n v="0"/>
    <n v="0"/>
    <n v="0"/>
    <n v="0"/>
    <n v="0"/>
    <n v="0"/>
    <n v="0"/>
    <n v="0"/>
    <n v="0"/>
    <n v="0"/>
    <n v="0"/>
    <n v="0"/>
    <n v="0"/>
    <n v="0"/>
    <n v="0"/>
    <n v="0"/>
    <n v="0"/>
    <n v="49"/>
    <n v="49"/>
  </r>
  <r>
    <n v="6075"/>
    <x v="2"/>
    <s v="2015/5445"/>
    <m/>
    <s v="8A, 8 Spencer Walk"/>
    <m/>
    <n v="523643"/>
    <n v="175322"/>
    <x v="13"/>
    <d v="2017-03-31T00:00:00"/>
    <m/>
    <n v="2"/>
    <n v="1"/>
    <n v="-1"/>
    <n v="1"/>
    <n v="-1"/>
    <m/>
    <s v="Alterations in connection with the conversion of property into a single dwellinghouse including erection of side and rear dormer extension to main rear roof; erection of single-storey rear extension."/>
    <s v="PF"/>
    <d v="2015-09-28T00:00:00"/>
    <d v="2015-11-23T00:00:00"/>
    <x v="0"/>
    <s v="Nil"/>
    <m/>
    <s v="BF"/>
    <x v="4"/>
    <x v="0"/>
    <x v="7"/>
    <n v="1.8999999389052401E-2"/>
    <d v="2017-03-31T00:00:00"/>
    <x v="0"/>
    <m/>
    <x v="0"/>
    <s v="P"/>
    <m/>
    <m/>
    <n v="0"/>
    <m/>
    <n v="0"/>
    <m/>
    <n v="0"/>
    <n v="-1"/>
    <n v="0"/>
    <n v="-1"/>
    <n v="1"/>
    <n v="0"/>
    <n v="0"/>
    <n v="0"/>
    <n v="-1"/>
    <n v="0"/>
    <n v="-1"/>
    <n v="0"/>
    <n v="0"/>
    <n v="0"/>
    <n v="0"/>
    <n v="0"/>
    <n v="0"/>
    <n v="0"/>
    <n v="1"/>
    <n v="0"/>
    <n v="0"/>
    <n v="0"/>
    <n v="0"/>
    <n v="0"/>
    <n v="0"/>
    <n v="0"/>
    <n v="0"/>
    <n v="0"/>
    <s v="West"/>
    <x v="0"/>
    <x v="0"/>
    <x v="1"/>
    <x v="0"/>
    <x v="0"/>
    <x v="0"/>
    <m/>
    <x v="0"/>
    <s v="Y"/>
    <s v="8A"/>
    <m/>
    <n v="0"/>
    <n v="-1"/>
    <n v="0"/>
    <n v="0"/>
    <n v="0"/>
    <n v="0"/>
    <n v="0"/>
    <n v="0"/>
    <n v="0"/>
    <n v="0"/>
    <n v="0"/>
    <n v="0"/>
    <n v="0"/>
    <n v="0"/>
    <n v="0"/>
    <n v="0"/>
    <n v="0"/>
    <n v="0"/>
    <n v="0"/>
    <n v="0"/>
    <n v="0"/>
    <n v="-1"/>
    <n v="-1"/>
  </r>
  <r>
    <n v="6081"/>
    <x v="2"/>
    <s v="2015/5470"/>
    <m/>
    <s v="3 Wandle Road"/>
    <m/>
    <n v="527548"/>
    <n v="172887"/>
    <x v="17"/>
    <d v="2016-03-31T00:00:00"/>
    <m/>
    <n v="2"/>
    <n v="1"/>
    <n v="-1"/>
    <n v="1"/>
    <n v="-1"/>
    <m/>
    <s v="Internal alterations in connection with use as a single dwelling."/>
    <s v="PF"/>
    <d v="2015-10-12T00:00:00"/>
    <d v="2015-11-30T00:00:00"/>
    <x v="0"/>
    <s v="Nil"/>
    <m/>
    <s v="BF"/>
    <x v="1"/>
    <x v="0"/>
    <x v="7"/>
    <n v="4.5000001788139302E-2"/>
    <d v="2016-03-31T00:00:00"/>
    <x v="0"/>
    <m/>
    <x v="0"/>
    <s v="P"/>
    <m/>
    <m/>
    <n v="0"/>
    <m/>
    <n v="0"/>
    <m/>
    <n v="0"/>
    <n v="-1"/>
    <n v="0"/>
    <n v="0"/>
    <n v="0"/>
    <n v="0"/>
    <n v="0"/>
    <n v="0"/>
    <n v="-1"/>
    <n v="0"/>
    <n v="0"/>
    <n v="-1"/>
    <n v="0"/>
    <n v="0"/>
    <n v="0"/>
    <n v="0"/>
    <n v="0"/>
    <n v="0"/>
    <n v="1"/>
    <n v="0"/>
    <n v="0"/>
    <n v="0"/>
    <n v="0"/>
    <n v="0"/>
    <n v="0"/>
    <n v="0"/>
    <n v="0"/>
    <n v="0"/>
    <s v="West"/>
    <x v="0"/>
    <x v="0"/>
    <x v="1"/>
    <x v="0"/>
    <x v="0"/>
    <x v="0"/>
    <m/>
    <x v="0"/>
    <s v="Y"/>
    <s v="8A"/>
    <m/>
    <n v="0"/>
    <n v="-1"/>
    <n v="0"/>
    <n v="0"/>
    <n v="0"/>
    <n v="0"/>
    <n v="0"/>
    <n v="0"/>
    <n v="0"/>
    <n v="0"/>
    <n v="0"/>
    <n v="0"/>
    <n v="0"/>
    <n v="0"/>
    <n v="0"/>
    <n v="0"/>
    <n v="0"/>
    <n v="0"/>
    <n v="0"/>
    <n v="0"/>
    <n v="0"/>
    <n v="-1"/>
    <n v="-1"/>
  </r>
  <r>
    <n v="6082"/>
    <x v="2"/>
    <s v="2015/5926"/>
    <s v="1-6 Gaskarth Road"/>
    <s v="Garages &amp; Forecourt 72-82, 72-82 Gaskarth Road"/>
    <m/>
    <n v="529010"/>
    <n v="174056"/>
    <x v="9"/>
    <d v="2018-03-19T00:00:00"/>
    <m/>
    <n v="0"/>
    <n v="6"/>
    <n v="6"/>
    <n v="6"/>
    <n v="6"/>
    <m/>
    <s v="Demolition of existing garages and erection of part one, part two, part three-storey building to provide 4x2 bedroom flats and 2x1 bed flats with associated cycle storage and boundary treatments."/>
    <s v="PF"/>
    <d v="2015-10-21T00:00:00"/>
    <d v="2016-03-04T00:00:00"/>
    <x v="0"/>
    <s v="Nil"/>
    <m/>
    <s v="BF"/>
    <x v="0"/>
    <x v="0"/>
    <x v="0"/>
    <n v="3.4000001847744002E-2"/>
    <d v="2018-03-19T00:00:00"/>
    <x v="1"/>
    <m/>
    <x v="2"/>
    <s v="C"/>
    <m/>
    <m/>
    <n v="6"/>
    <m/>
    <n v="0"/>
    <m/>
    <n v="0"/>
    <n v="2"/>
    <n v="4"/>
    <n v="0"/>
    <n v="0"/>
    <n v="0"/>
    <n v="0"/>
    <n v="0"/>
    <n v="2"/>
    <n v="4"/>
    <n v="0"/>
    <n v="0"/>
    <n v="0"/>
    <n v="0"/>
    <n v="0"/>
    <n v="0"/>
    <n v="0"/>
    <n v="0"/>
    <n v="0"/>
    <n v="0"/>
    <n v="0"/>
    <n v="0"/>
    <n v="0"/>
    <n v="0"/>
    <n v="0"/>
    <n v="0"/>
    <n v="0"/>
    <n v="0"/>
    <s v="East"/>
    <x v="0"/>
    <x v="0"/>
    <x v="1"/>
    <x v="0"/>
    <x v="0"/>
    <x v="0"/>
    <m/>
    <x v="0"/>
    <s v="Y"/>
    <s v="2B"/>
    <m/>
    <n v="0"/>
    <n v="3"/>
    <n v="3"/>
    <n v="0"/>
    <n v="0"/>
    <n v="0"/>
    <n v="0"/>
    <n v="0"/>
    <n v="0"/>
    <n v="0"/>
    <n v="0"/>
    <n v="0"/>
    <n v="0"/>
    <n v="0"/>
    <n v="0"/>
    <n v="0"/>
    <n v="0"/>
    <n v="0"/>
    <n v="0"/>
    <n v="0"/>
    <n v="0"/>
    <n v="6"/>
    <n v="6"/>
  </r>
  <r>
    <n v="6085"/>
    <x v="2"/>
    <s v="2015/5931"/>
    <m/>
    <s v="21 Totterdown Street"/>
    <m/>
    <n v="527713"/>
    <n v="171582"/>
    <x v="8"/>
    <d v="2017-11-14T00:00:00"/>
    <m/>
    <n v="1"/>
    <n v="2"/>
    <n v="1"/>
    <n v="2"/>
    <n v="1"/>
    <m/>
    <s v="Change of use from dwelling house (Class C3) to resdential institution (Class C2) to provide living facility for the sole purpose of adults with learning disabilities; alterations including erection of mansard roof extension to main rear roof and erection of part single, part two-storey rear extension; demolition of existing conservatory and single storey rear projection."/>
    <s v="PFLA"/>
    <d v="2015-10-21T00:00:00"/>
    <d v="2017-07-27T00:00:00"/>
    <x v="1"/>
    <s v="Nil"/>
    <m/>
    <s v="BF"/>
    <x v="4"/>
    <x v="0"/>
    <x v="6"/>
    <n v="1.30000002682209E-2"/>
    <d v="2017-11-14T00:00:00"/>
    <x v="1"/>
    <m/>
    <x v="0"/>
    <s v="P"/>
    <m/>
    <m/>
    <n v="0"/>
    <m/>
    <n v="0"/>
    <m/>
    <n v="0"/>
    <n v="1"/>
    <n v="0"/>
    <n v="0"/>
    <n v="0"/>
    <n v="0"/>
    <n v="0"/>
    <n v="0"/>
    <n v="1"/>
    <n v="1"/>
    <n v="0"/>
    <n v="0"/>
    <n v="0"/>
    <n v="0"/>
    <n v="0"/>
    <n v="0"/>
    <n v="-1"/>
    <n v="0"/>
    <n v="0"/>
    <n v="0"/>
    <n v="0"/>
    <n v="0"/>
    <n v="0"/>
    <n v="0"/>
    <n v="0"/>
    <n v="0"/>
    <n v="0"/>
    <n v="0"/>
    <s v="East"/>
    <x v="0"/>
    <x v="0"/>
    <x v="1"/>
    <x v="0"/>
    <x v="0"/>
    <x v="0"/>
    <m/>
    <x v="0"/>
    <s v="Y"/>
    <s v="8B"/>
    <m/>
    <n v="0"/>
    <n v="0.5"/>
    <n v="0.5"/>
    <n v="0"/>
    <n v="0"/>
    <n v="0"/>
    <n v="0"/>
    <n v="0"/>
    <n v="0"/>
    <n v="0"/>
    <n v="0"/>
    <n v="0"/>
    <n v="0"/>
    <n v="0"/>
    <n v="0"/>
    <n v="0"/>
    <n v="0"/>
    <n v="0"/>
    <n v="0"/>
    <n v="0"/>
    <n v="0"/>
    <n v="1"/>
    <n v="1"/>
  </r>
  <r>
    <n v="6091"/>
    <x v="2"/>
    <s v="2015/0433"/>
    <m/>
    <s v="10 Pickets Street"/>
    <m/>
    <n v="528541"/>
    <n v="173797"/>
    <x v="9"/>
    <d v="2017-03-31T00:00:00"/>
    <m/>
    <n v="1"/>
    <n v="1"/>
    <n v="0"/>
    <n v="1"/>
    <n v="0"/>
    <m/>
    <s v="Demolition and reconstruction of property to form a two-storey dwellinghouse including attic accommodation within a mansard-style roof."/>
    <s v="RP"/>
    <d v="2015-02-09T00:00:00"/>
    <d v="2015-11-16T00:00:00"/>
    <x v="0"/>
    <s v="APG"/>
    <d v="2016-09-21T00:00:00"/>
    <s v="BF"/>
    <x v="0"/>
    <x v="0"/>
    <x v="0"/>
    <n v="1.30000002682209E-2"/>
    <d v="2017-03-31T00:00:00"/>
    <x v="0"/>
    <m/>
    <x v="0"/>
    <s v="P"/>
    <m/>
    <m/>
    <n v="0"/>
    <m/>
    <n v="0"/>
    <m/>
    <n v="0"/>
    <n v="0"/>
    <n v="0"/>
    <n v="0"/>
    <n v="0"/>
    <n v="0"/>
    <n v="0"/>
    <n v="0"/>
    <n v="0"/>
    <n v="0"/>
    <n v="0"/>
    <n v="0"/>
    <n v="0"/>
    <n v="0"/>
    <n v="0"/>
    <n v="0"/>
    <n v="0"/>
    <n v="0"/>
    <n v="0"/>
    <n v="0"/>
    <n v="0"/>
    <n v="0"/>
    <n v="0"/>
    <n v="0"/>
    <n v="0"/>
    <n v="0"/>
    <n v="0"/>
    <n v="0"/>
    <s v="East"/>
    <x v="0"/>
    <x v="0"/>
    <x v="1"/>
    <x v="0"/>
    <x v="0"/>
    <x v="0"/>
    <m/>
    <x v="0"/>
    <s v="Y"/>
    <s v="2A"/>
    <m/>
    <n v="0"/>
    <n v="0"/>
    <n v="0"/>
    <n v="0"/>
    <n v="0"/>
    <n v="0"/>
    <n v="0"/>
    <n v="0"/>
    <n v="0"/>
    <n v="0"/>
    <n v="0"/>
    <n v="0"/>
    <n v="0"/>
    <n v="0"/>
    <n v="0"/>
    <n v="0"/>
    <n v="0"/>
    <n v="0"/>
    <n v="0"/>
    <n v="0"/>
    <n v="0"/>
    <n v="0"/>
    <n v="0"/>
  </r>
  <r>
    <n v="6099"/>
    <x v="2"/>
    <s v="2015/5987"/>
    <m/>
    <s v="50 Chartfield Avenue"/>
    <m/>
    <n v="523163"/>
    <n v="174605"/>
    <x v="7"/>
    <d v="2017-01-19T00:00:00"/>
    <m/>
    <n v="1"/>
    <n v="1"/>
    <n v="0"/>
    <n v="1"/>
    <n v="0"/>
    <m/>
    <s v="Demolition of existing residential dwelling and the erection of two-storey dwellinghouse including basement and habitable roofspace."/>
    <s v="PF"/>
    <d v="2015-10-29T00:00:00"/>
    <d v="2015-12-23T00:00:00"/>
    <x v="0"/>
    <s v="Nil"/>
    <m/>
    <s v="BF"/>
    <x v="0"/>
    <x v="0"/>
    <x v="0"/>
    <n v="5.4999999701976797E-2"/>
    <d v="2017-01-19T00:00:00"/>
    <x v="0"/>
    <m/>
    <x v="0"/>
    <s v="P"/>
    <m/>
    <m/>
    <n v="1"/>
    <m/>
    <n v="0"/>
    <m/>
    <n v="0"/>
    <n v="0"/>
    <n v="0"/>
    <n v="-1"/>
    <n v="0"/>
    <n v="1"/>
    <n v="0"/>
    <n v="0"/>
    <n v="0"/>
    <n v="0"/>
    <n v="0"/>
    <n v="0"/>
    <n v="0"/>
    <n v="0"/>
    <n v="0"/>
    <n v="0"/>
    <n v="0"/>
    <n v="-1"/>
    <n v="0"/>
    <n v="1"/>
    <n v="0"/>
    <n v="0"/>
    <n v="0"/>
    <n v="0"/>
    <n v="0"/>
    <n v="0"/>
    <n v="0"/>
    <n v="0"/>
    <s v="West"/>
    <x v="0"/>
    <x v="0"/>
    <x v="1"/>
    <x v="0"/>
    <x v="0"/>
    <x v="0"/>
    <m/>
    <x v="0"/>
    <s v="Y"/>
    <s v="2A"/>
    <m/>
    <n v="0"/>
    <n v="0"/>
    <n v="0"/>
    <n v="0"/>
    <n v="0"/>
    <n v="0"/>
    <n v="0"/>
    <n v="0"/>
    <n v="0"/>
    <n v="0"/>
    <n v="0"/>
    <n v="0"/>
    <n v="0"/>
    <n v="0"/>
    <n v="0"/>
    <n v="0"/>
    <n v="0"/>
    <n v="0"/>
    <n v="0"/>
    <n v="0"/>
    <n v="0"/>
    <n v="0"/>
    <n v="0"/>
  </r>
  <r>
    <n v="6112"/>
    <x v="2"/>
    <s v="2018/0078"/>
    <m/>
    <s v="357-359, 357-359 Garratt Lane"/>
    <m/>
    <n v="525940"/>
    <n v="173410"/>
    <x v="18"/>
    <d v="2018-03-31T00:00:00"/>
    <m/>
    <n v="0"/>
    <n v="3"/>
    <n v="3"/>
    <n v="4"/>
    <n v="4"/>
    <m/>
    <s v="Alterations including refurbishment of commercial floorspace at basement and part ground floor levels; change of use of rear ground floor from retail (class A1) to residential (class C3) in relation to the conversion of the properties to 1 x 3 bedroom, 2 x 2 bedroom and 1 x 1 bedroom flats; alterations including first floor rear extension at no. 359, roof extensions above part of each two-storey back addition, extend existing dormer at no. 359, replacement of single-storey rear extension, roof terrace over at rear second floor level of no. 359 with screening; alterations to shopfront including reduction to the depth of the ground floor front elevation, excavations to create front lightwells with metal balustrades; creation of cycle and refuse store with access from side elevation."/>
    <s v="PF"/>
    <d v="2018-01-19T00:00:00"/>
    <d v="2018-03-16T00:00:00"/>
    <x v="1"/>
    <s v="Nil"/>
    <m/>
    <s v="BF"/>
    <x v="4"/>
    <x v="0"/>
    <x v="0"/>
    <n v="8.9999996125698107E-3"/>
    <d v="2018-03-31T00:00:00"/>
    <x v="1"/>
    <m/>
    <x v="0"/>
    <s v="P"/>
    <m/>
    <m/>
    <n v="0"/>
    <m/>
    <n v="0"/>
    <m/>
    <n v="0"/>
    <n v="0"/>
    <n v="2"/>
    <n v="1"/>
    <n v="0"/>
    <n v="0"/>
    <n v="0"/>
    <n v="0"/>
    <n v="0"/>
    <n v="2"/>
    <n v="1"/>
    <n v="0"/>
    <n v="0"/>
    <n v="0"/>
    <n v="0"/>
    <n v="0"/>
    <n v="0"/>
    <n v="0"/>
    <n v="0"/>
    <n v="0"/>
    <n v="0"/>
    <n v="0"/>
    <n v="0"/>
    <n v="0"/>
    <n v="0"/>
    <n v="0"/>
    <n v="0"/>
    <n v="0"/>
    <s v="West"/>
    <x v="0"/>
    <x v="0"/>
    <x v="1"/>
    <x v="0"/>
    <x v="0"/>
    <x v="0"/>
    <m/>
    <x v="1"/>
    <s v="Y"/>
    <s v="8B"/>
    <m/>
    <n v="0"/>
    <n v="1.5"/>
    <n v="1.5"/>
    <n v="0"/>
    <n v="0"/>
    <n v="0"/>
    <n v="0"/>
    <n v="0"/>
    <n v="0"/>
    <n v="0"/>
    <n v="0"/>
    <n v="0"/>
    <n v="0"/>
    <n v="0"/>
    <n v="0"/>
    <n v="0"/>
    <n v="0"/>
    <n v="0"/>
    <n v="0"/>
    <n v="0"/>
    <n v="0"/>
    <n v="3"/>
    <n v="3"/>
  </r>
  <r>
    <n v="6112"/>
    <x v="2"/>
    <s v="2018/0078"/>
    <m/>
    <s v="357-359, 357-359 Garratt Lane"/>
    <m/>
    <n v="525940"/>
    <n v="173410"/>
    <x v="18"/>
    <d v="2018-03-31T00:00:00"/>
    <m/>
    <n v="0"/>
    <n v="1"/>
    <n v="1"/>
    <n v="4"/>
    <n v="4"/>
    <m/>
    <s v="Alterations including refurbishment of commercial floorspace at basement and part ground floor levels; change of use of rear ground floor from retail (class A1) to residential (class C3) in relation to the conversion of the properties to 1 x 3 bedroom, 2 x 2 bedroom and 1 x 1 bedroom flats; alterations including first floor rear extension at no. 359, roof extensions above part of each two-storey back addition, extend existing dormer at no. 359, replacement of single-storey rear extension, roof terrace over at rear second floor level of no. 359 with screening; alterations to shopfront including reduction to the depth of the ground floor front elevation, excavations to create front lightwells with metal balustrades; creation of cycle and refuse store with access from side elevation."/>
    <s v="PF"/>
    <d v="2018-01-19T00:00:00"/>
    <d v="2018-03-16T00:00:00"/>
    <x v="1"/>
    <s v="Nil"/>
    <m/>
    <s v="BF"/>
    <x v="4"/>
    <x v="0"/>
    <x v="4"/>
    <n v="4.0000001899898104E-3"/>
    <d v="2018-03-31T00:00:00"/>
    <x v="1"/>
    <m/>
    <x v="0"/>
    <s v="P"/>
    <m/>
    <m/>
    <n v="0"/>
    <m/>
    <n v="0"/>
    <m/>
    <n v="0"/>
    <n v="1"/>
    <n v="0"/>
    <n v="0"/>
    <n v="0"/>
    <n v="0"/>
    <n v="0"/>
    <n v="0"/>
    <n v="1"/>
    <n v="0"/>
    <n v="0"/>
    <n v="0"/>
    <n v="0"/>
    <n v="0"/>
    <n v="0"/>
    <n v="0"/>
    <n v="0"/>
    <n v="0"/>
    <n v="0"/>
    <n v="0"/>
    <n v="0"/>
    <n v="0"/>
    <n v="0"/>
    <n v="0"/>
    <n v="0"/>
    <n v="0"/>
    <n v="0"/>
    <n v="0"/>
    <s v="West"/>
    <x v="0"/>
    <x v="0"/>
    <x v="1"/>
    <x v="0"/>
    <x v="0"/>
    <x v="0"/>
    <m/>
    <x v="1"/>
    <s v="Y"/>
    <s v="8B"/>
    <m/>
    <n v="0"/>
    <n v="0.5"/>
    <n v="0.5"/>
    <n v="0"/>
    <n v="0"/>
    <n v="0"/>
    <n v="0"/>
    <n v="0"/>
    <n v="0"/>
    <n v="0"/>
    <n v="0"/>
    <n v="0"/>
    <n v="0"/>
    <n v="0"/>
    <n v="0"/>
    <n v="0"/>
    <n v="0"/>
    <n v="0"/>
    <n v="0"/>
    <n v="0"/>
    <n v="0"/>
    <n v="1"/>
    <n v="1"/>
  </r>
  <r>
    <n v="6119"/>
    <x v="2"/>
    <s v="2015/7245"/>
    <m/>
    <s v="Audiology House, 45 Nightingale Lane"/>
    <m/>
    <n v="528391"/>
    <n v="174060"/>
    <x v="9"/>
    <d v="2017-03-31T00:00:00"/>
    <m/>
    <n v="0"/>
    <n v="16"/>
    <n v="16"/>
    <n v="16"/>
    <n v="16"/>
    <s v="Y"/>
    <s v="Retention and conversion of main Audiology House building, and demolition and redevelopment of the side and rear extensions and factory building to rear, to create 16. residential units (consisting of 13 flats and 3 dwellinghouses; provision of associated car parking  (to provide 7 spaces) and cycle parking, private and communal amenity space, hard and soft landscaping and other associated works"/>
    <s v="PFLA"/>
    <d v="2015-12-16T00:00:00"/>
    <d v="2016-03-31T00:00:00"/>
    <x v="0"/>
    <s v="Nil"/>
    <m/>
    <s v="BF"/>
    <x v="4"/>
    <x v="1"/>
    <x v="1"/>
    <n v="0.181999996304512"/>
    <d v="2017-03-31T00:00:00"/>
    <x v="0"/>
    <m/>
    <x v="0"/>
    <s v="P"/>
    <m/>
    <m/>
    <n v="16"/>
    <m/>
    <n v="3"/>
    <m/>
    <n v="2"/>
    <n v="3"/>
    <n v="6"/>
    <n v="2"/>
    <n v="3"/>
    <n v="0"/>
    <n v="0"/>
    <n v="2"/>
    <n v="3"/>
    <n v="6"/>
    <n v="2"/>
    <n v="0"/>
    <n v="0"/>
    <n v="0"/>
    <n v="0"/>
    <n v="0"/>
    <n v="0"/>
    <n v="0"/>
    <n v="3"/>
    <n v="0"/>
    <n v="0"/>
    <n v="0"/>
    <n v="0"/>
    <n v="0"/>
    <n v="0"/>
    <n v="0"/>
    <n v="0"/>
    <n v="0"/>
    <s v="East"/>
    <x v="0"/>
    <x v="0"/>
    <x v="1"/>
    <x v="0"/>
    <x v="0"/>
    <x v="0"/>
    <m/>
    <x v="0"/>
    <s v="Y"/>
    <s v="2A"/>
    <m/>
    <n v="0"/>
    <n v="16"/>
    <n v="0"/>
    <n v="0"/>
    <n v="0"/>
    <n v="0"/>
    <n v="0"/>
    <n v="0"/>
    <n v="0"/>
    <n v="0"/>
    <n v="0"/>
    <n v="0"/>
    <n v="0"/>
    <n v="0"/>
    <n v="0"/>
    <n v="0"/>
    <n v="0"/>
    <n v="0"/>
    <n v="0"/>
    <n v="0"/>
    <n v="0"/>
    <n v="16"/>
    <n v="16"/>
  </r>
  <r>
    <n v="6121"/>
    <x v="2"/>
    <s v="2016/2739"/>
    <m/>
    <s v="Land rear of 968, 968 Garratt Lane"/>
    <m/>
    <n v="527356"/>
    <n v="171517"/>
    <x v="4"/>
    <d v="2018-03-31T00:00:00"/>
    <m/>
    <n v="1"/>
    <n v="3"/>
    <n v="2"/>
    <n v="3"/>
    <n v="2"/>
    <m/>
    <s v="Demolition of existing building and erection of three-storey building (including basement level with front lightwell) to provide 1x 1-bedroom unit and 2x 2-bedroom residential units."/>
    <s v="PF"/>
    <d v="2016-05-13T00:00:00"/>
    <d v="2016-07-08T00:00:00"/>
    <x v="0"/>
    <s v="Nil"/>
    <m/>
    <s v="BF"/>
    <x v="0"/>
    <x v="0"/>
    <x v="0"/>
    <n v="3.4000001847744002E-2"/>
    <d v="2018-03-31T00:00:00"/>
    <x v="1"/>
    <m/>
    <x v="0"/>
    <s v="P"/>
    <m/>
    <m/>
    <n v="0"/>
    <m/>
    <n v="0"/>
    <m/>
    <n v="-1"/>
    <n v="1"/>
    <n v="2"/>
    <n v="0"/>
    <n v="0"/>
    <n v="0"/>
    <n v="0"/>
    <n v="-1"/>
    <n v="1"/>
    <n v="2"/>
    <n v="0"/>
    <n v="0"/>
    <n v="0"/>
    <n v="0"/>
    <n v="0"/>
    <n v="0"/>
    <n v="0"/>
    <n v="0"/>
    <n v="0"/>
    <n v="0"/>
    <n v="0"/>
    <n v="0"/>
    <n v="0"/>
    <n v="0"/>
    <n v="0"/>
    <n v="0"/>
    <n v="0"/>
    <n v="0"/>
    <s v="East"/>
    <x v="0"/>
    <x v="0"/>
    <x v="1"/>
    <x v="0"/>
    <x v="0"/>
    <x v="0"/>
    <m/>
    <x v="0"/>
    <s v="Y"/>
    <s v="2B"/>
    <m/>
    <n v="0"/>
    <n v="1"/>
    <n v="1"/>
    <n v="0"/>
    <n v="0"/>
    <n v="0"/>
    <n v="0"/>
    <n v="0"/>
    <n v="0"/>
    <n v="0"/>
    <n v="0"/>
    <n v="0"/>
    <n v="0"/>
    <n v="0"/>
    <n v="0"/>
    <n v="0"/>
    <n v="0"/>
    <n v="0"/>
    <n v="0"/>
    <n v="0"/>
    <n v="0"/>
    <n v="2"/>
    <n v="2"/>
  </r>
  <r>
    <n v="6124"/>
    <x v="2"/>
    <s v="2015/7075"/>
    <m/>
    <s v="97 St Johns Hill"/>
    <m/>
    <n v="526974"/>
    <n v="175176"/>
    <x v="0"/>
    <d v="2017-03-31T00:00:00"/>
    <m/>
    <n v="2"/>
    <n v="4"/>
    <n v="2"/>
    <n v="4"/>
    <n v="2"/>
    <m/>
    <s v="Alterations including enlargement of existing rear lower ground floor terrace, construction of first floor rear/side infill extension with sliding doors and safety glass, full width rear roof extension to main roof with rear door and projecting balcony, steel bridge at ground floor level over lightwell leading to rear garden, installation of replacement and new rear doors and windows and three front roof lights all in connection with the conversion of the property from 1x commercial unit and 2x residential units to 1x commercial unit and 1 x studio flat, 1 x 1-bedroom and 2 x 2-bedroom units."/>
    <s v="PF"/>
    <d v="2016-01-05T00:00:00"/>
    <d v="2016-02-29T00:00:00"/>
    <x v="0"/>
    <s v="Nil"/>
    <m/>
    <s v="BF"/>
    <x v="4"/>
    <x v="0"/>
    <x v="10"/>
    <n v="1.30000002682209E-2"/>
    <d v="2017-03-31T00:00:00"/>
    <x v="0"/>
    <m/>
    <x v="0"/>
    <s v="P"/>
    <m/>
    <m/>
    <n v="0"/>
    <m/>
    <n v="0"/>
    <m/>
    <n v="0"/>
    <n v="1"/>
    <n v="1"/>
    <n v="0"/>
    <n v="0"/>
    <n v="0"/>
    <n v="0"/>
    <n v="0"/>
    <n v="1"/>
    <n v="1"/>
    <n v="0"/>
    <n v="0"/>
    <n v="0"/>
    <n v="0"/>
    <n v="0"/>
    <n v="0"/>
    <n v="0"/>
    <n v="0"/>
    <n v="0"/>
    <n v="0"/>
    <n v="0"/>
    <n v="0"/>
    <n v="0"/>
    <n v="0"/>
    <n v="0"/>
    <n v="0"/>
    <n v="0"/>
    <n v="0"/>
    <s v="West"/>
    <x v="0"/>
    <x v="0"/>
    <x v="1"/>
    <x v="0"/>
    <x v="0"/>
    <x v="0"/>
    <m/>
    <x v="0"/>
    <s v="Y"/>
    <s v="8A"/>
    <m/>
    <n v="0"/>
    <n v="2"/>
    <n v="0"/>
    <n v="0"/>
    <n v="0"/>
    <n v="0"/>
    <n v="0"/>
    <n v="0"/>
    <n v="0"/>
    <n v="0"/>
    <n v="0"/>
    <n v="0"/>
    <n v="0"/>
    <n v="0"/>
    <n v="0"/>
    <n v="0"/>
    <n v="0"/>
    <n v="0"/>
    <n v="0"/>
    <n v="0"/>
    <n v="0"/>
    <n v="2"/>
    <n v="2"/>
  </r>
  <r>
    <n v="6132"/>
    <x v="2"/>
    <s v="2015/7472"/>
    <m/>
    <s v="Land East of, 22 Balham New Road"/>
    <m/>
    <n v="528883"/>
    <n v="173580"/>
    <x v="9"/>
    <d v="2017-03-31T00:00:00"/>
    <m/>
    <n v="0"/>
    <n v="3"/>
    <n v="3"/>
    <n v="3"/>
    <n v="3"/>
    <m/>
    <s v="Erection of 3 x three-bedroom, three-storey terrace houses"/>
    <s v="PF"/>
    <d v="2016-01-04T00:00:00"/>
    <d v="2016-03-16T00:00:00"/>
    <x v="0"/>
    <s v="Nil"/>
    <m/>
    <s v="BF"/>
    <x v="0"/>
    <x v="0"/>
    <x v="0"/>
    <n v="2.3000000044703501E-2"/>
    <d v="2017-03-31T00:00:00"/>
    <x v="0"/>
    <m/>
    <x v="0"/>
    <s v="P"/>
    <m/>
    <m/>
    <n v="3"/>
    <m/>
    <n v="0"/>
    <m/>
    <n v="0"/>
    <n v="0"/>
    <n v="0"/>
    <n v="3"/>
    <n v="0"/>
    <n v="0"/>
    <n v="0"/>
    <n v="0"/>
    <n v="0"/>
    <n v="0"/>
    <n v="0"/>
    <n v="0"/>
    <n v="0"/>
    <n v="0"/>
    <n v="0"/>
    <n v="0"/>
    <n v="0"/>
    <n v="3"/>
    <n v="0"/>
    <n v="0"/>
    <n v="0"/>
    <n v="0"/>
    <n v="0"/>
    <n v="0"/>
    <n v="0"/>
    <n v="0"/>
    <n v="0"/>
    <n v="0"/>
    <s v="East"/>
    <x v="0"/>
    <x v="0"/>
    <x v="1"/>
    <x v="0"/>
    <x v="0"/>
    <x v="0"/>
    <m/>
    <x v="0"/>
    <s v="Y"/>
    <s v="2A"/>
    <m/>
    <n v="0"/>
    <n v="3"/>
    <n v="0"/>
    <n v="0"/>
    <n v="0"/>
    <n v="0"/>
    <n v="0"/>
    <n v="0"/>
    <n v="0"/>
    <n v="0"/>
    <n v="0"/>
    <n v="0"/>
    <n v="0"/>
    <n v="0"/>
    <n v="0"/>
    <n v="0"/>
    <n v="0"/>
    <n v="0"/>
    <n v="0"/>
    <n v="0"/>
    <n v="0"/>
    <n v="3"/>
    <n v="3"/>
  </r>
  <r>
    <n v="6145"/>
    <x v="2"/>
    <s v="2015/4613"/>
    <m/>
    <s v="121a Mitcham Lane"/>
    <m/>
    <n v="529293"/>
    <n v="171072"/>
    <x v="12"/>
    <d v="2017-09-25T00:00:00"/>
    <m/>
    <n v="1"/>
    <n v="2"/>
    <n v="1"/>
    <n v="2"/>
    <n v="1"/>
    <m/>
    <s v="Alterations including erection of dormer extensions to side roof slope, alterations to rear dormer, and replacement windows and doors to rear. Erection of two-storey rear extension at first and second floor levels  in connection with use of upper floors as 2 x 2 bedroom flats."/>
    <s v="PF"/>
    <d v="2015-10-28T00:00:00"/>
    <d v="2016-03-30T00:00:00"/>
    <x v="0"/>
    <s v="Nil"/>
    <m/>
    <s v="BF"/>
    <x v="4"/>
    <x v="0"/>
    <x v="10"/>
    <n v="8.0000003799796104E-3"/>
    <d v="2017-09-25T00:00:00"/>
    <x v="1"/>
    <m/>
    <x v="0"/>
    <s v="P"/>
    <m/>
    <m/>
    <n v="0"/>
    <m/>
    <n v="0"/>
    <m/>
    <n v="0"/>
    <n v="0"/>
    <n v="2"/>
    <n v="0"/>
    <n v="-1"/>
    <n v="0"/>
    <n v="0"/>
    <n v="0"/>
    <n v="0"/>
    <n v="2"/>
    <n v="0"/>
    <n v="-1"/>
    <n v="0"/>
    <n v="0"/>
    <n v="0"/>
    <n v="0"/>
    <n v="0"/>
    <n v="0"/>
    <n v="0"/>
    <n v="0"/>
    <n v="0"/>
    <n v="0"/>
    <n v="0"/>
    <n v="0"/>
    <n v="0"/>
    <n v="0"/>
    <n v="0"/>
    <n v="0"/>
    <s v="East"/>
    <x v="0"/>
    <x v="0"/>
    <x v="1"/>
    <x v="0"/>
    <x v="0"/>
    <x v="0"/>
    <m/>
    <x v="0"/>
    <s v="Y"/>
    <s v="8A"/>
    <m/>
    <n v="0"/>
    <n v="1"/>
    <n v="0"/>
    <n v="0"/>
    <n v="0"/>
    <n v="0"/>
    <n v="0"/>
    <n v="0"/>
    <n v="0"/>
    <n v="0"/>
    <n v="0"/>
    <n v="0"/>
    <n v="0"/>
    <n v="0"/>
    <n v="0"/>
    <n v="0"/>
    <n v="0"/>
    <n v="0"/>
    <n v="0"/>
    <n v="0"/>
    <n v="0"/>
    <n v="1"/>
    <n v="1"/>
  </r>
  <r>
    <n v="6148"/>
    <x v="2"/>
    <s v="2015/5315"/>
    <m/>
    <s v="163 Fallsbrook Road"/>
    <m/>
    <n v="529113"/>
    <n v="170439"/>
    <x v="12"/>
    <d v="2017-02-03T00:00:00"/>
    <m/>
    <n v="0"/>
    <n v="9"/>
    <n v="9"/>
    <n v="9"/>
    <n v="9"/>
    <m/>
    <s v="Demolition of existing building and erection of three-storey building to provide 9 residential self-contained flats (Outline All matters reserved)."/>
    <s v="PO"/>
    <d v="2016-01-26T00:00:00"/>
    <d v="2016-04-05T00:00:00"/>
    <x v="0"/>
    <s v="Nil"/>
    <m/>
    <s v="BF"/>
    <x v="0"/>
    <x v="0"/>
    <x v="0"/>
    <n v="2.19999998807907E-2"/>
    <d v="2017-02-03T00:00:00"/>
    <x v="0"/>
    <m/>
    <x v="0"/>
    <s v="P"/>
    <m/>
    <m/>
    <n v="9"/>
    <m/>
    <n v="0"/>
    <m/>
    <n v="0"/>
    <n v="6"/>
    <n v="3"/>
    <n v="0"/>
    <n v="0"/>
    <n v="0"/>
    <n v="0"/>
    <n v="0"/>
    <n v="6"/>
    <n v="3"/>
    <n v="0"/>
    <n v="0"/>
    <n v="0"/>
    <n v="0"/>
    <n v="0"/>
    <n v="0"/>
    <n v="0"/>
    <n v="0"/>
    <n v="0"/>
    <n v="0"/>
    <n v="0"/>
    <n v="0"/>
    <n v="0"/>
    <n v="0"/>
    <n v="0"/>
    <n v="0"/>
    <n v="0"/>
    <n v="0"/>
    <s v="East"/>
    <x v="0"/>
    <x v="0"/>
    <x v="1"/>
    <x v="0"/>
    <x v="0"/>
    <x v="0"/>
    <m/>
    <x v="0"/>
    <s v="Y"/>
    <s v="2A"/>
    <m/>
    <n v="0"/>
    <n v="9"/>
    <n v="0"/>
    <n v="0"/>
    <n v="0"/>
    <n v="0"/>
    <n v="0"/>
    <n v="0"/>
    <n v="0"/>
    <n v="0"/>
    <n v="0"/>
    <n v="0"/>
    <n v="0"/>
    <n v="0"/>
    <n v="0"/>
    <n v="0"/>
    <n v="0"/>
    <n v="0"/>
    <n v="0"/>
    <n v="0"/>
    <n v="0"/>
    <n v="9"/>
    <n v="9"/>
  </r>
  <r>
    <n v="6162"/>
    <x v="2"/>
    <s v="2016/1790"/>
    <m/>
    <s v="13 Roehampton Lane"/>
    <m/>
    <n v="522116"/>
    <n v="175394"/>
    <x v="7"/>
    <d v="2018-03-31T00:00:00"/>
    <m/>
    <n v="1"/>
    <n v="4"/>
    <n v="3"/>
    <n v="4"/>
    <n v="3"/>
    <m/>
    <s v="Alterations including excavation to create basement including formation of front and rear lightwells; erection of single storey rear extension. Erection of dormer extension to main rear roof (with French doors and safety railings) in connection with the conversion of the property into 1x1 bedroom, 1x2 bedroom and 2x3 bedroom flats. External alterations to include provision of bin stores in front garden and a bike store  in rear garden."/>
    <s v="PF"/>
    <d v="2016-04-19T00:00:00"/>
    <d v="2016-07-11T00:00:00"/>
    <x v="0"/>
    <s v="Nil"/>
    <m/>
    <s v="BF"/>
    <x v="4"/>
    <x v="0"/>
    <x v="8"/>
    <n v="2.9999999329447701E-2"/>
    <d v="2018-03-31T00:00:00"/>
    <x v="1"/>
    <m/>
    <x v="0"/>
    <s v="P"/>
    <m/>
    <m/>
    <n v="0"/>
    <m/>
    <n v="0"/>
    <m/>
    <n v="0"/>
    <n v="1"/>
    <n v="1"/>
    <n v="2"/>
    <n v="-1"/>
    <n v="0"/>
    <n v="0"/>
    <n v="0"/>
    <n v="1"/>
    <n v="1"/>
    <n v="2"/>
    <n v="0"/>
    <n v="0"/>
    <n v="0"/>
    <n v="0"/>
    <n v="0"/>
    <n v="0"/>
    <n v="0"/>
    <n v="-1"/>
    <n v="0"/>
    <n v="0"/>
    <n v="0"/>
    <n v="0"/>
    <n v="0"/>
    <n v="0"/>
    <n v="0"/>
    <n v="0"/>
    <n v="0"/>
    <s v="West"/>
    <x v="0"/>
    <x v="0"/>
    <x v="1"/>
    <x v="0"/>
    <x v="0"/>
    <x v="0"/>
    <m/>
    <x v="0"/>
    <s v="Y"/>
    <s v="8B"/>
    <m/>
    <n v="0"/>
    <n v="1.5"/>
    <n v="1.5"/>
    <n v="0"/>
    <n v="0"/>
    <n v="0"/>
    <n v="0"/>
    <n v="0"/>
    <n v="0"/>
    <n v="0"/>
    <n v="0"/>
    <n v="0"/>
    <n v="0"/>
    <n v="0"/>
    <n v="0"/>
    <n v="0"/>
    <n v="0"/>
    <n v="0"/>
    <n v="0"/>
    <n v="0"/>
    <n v="0"/>
    <n v="3"/>
    <n v="3"/>
  </r>
  <r>
    <n v="6173"/>
    <x v="2"/>
    <s v="2016/0810"/>
    <m/>
    <s v="185 Mitcham Lane"/>
    <m/>
    <n v="529119"/>
    <n v="170805"/>
    <x v="12"/>
    <d v="2017-01-12T00:00:00"/>
    <m/>
    <n v="1"/>
    <n v="2"/>
    <n v="1"/>
    <n v="2"/>
    <n v="1"/>
    <m/>
    <s v="Alterations and extensions in connection with the use of property as 1 x three-bedroom flat and 1 x two bedroom flat. Erection of single storey rear/side extension.  Erection of mansard roof extension to main rear roof (with French doors and safety railings)."/>
    <s v="PF"/>
    <d v="2016-02-09T00:00:00"/>
    <d v="2016-05-23T00:00:00"/>
    <x v="0"/>
    <s v="Nil"/>
    <m/>
    <s v="BF"/>
    <x v="4"/>
    <x v="0"/>
    <x v="8"/>
    <n v="2.8000000864267301E-2"/>
    <d v="2017-01-12T00:00:00"/>
    <x v="0"/>
    <m/>
    <x v="0"/>
    <s v="P"/>
    <m/>
    <m/>
    <n v="0"/>
    <m/>
    <n v="0"/>
    <m/>
    <n v="0"/>
    <n v="0"/>
    <n v="1"/>
    <n v="1"/>
    <n v="-1"/>
    <n v="0"/>
    <n v="0"/>
    <n v="0"/>
    <n v="0"/>
    <n v="1"/>
    <n v="1"/>
    <n v="0"/>
    <n v="0"/>
    <n v="0"/>
    <n v="0"/>
    <n v="0"/>
    <n v="0"/>
    <n v="0"/>
    <n v="-1"/>
    <n v="0"/>
    <n v="0"/>
    <n v="0"/>
    <n v="0"/>
    <n v="0"/>
    <n v="0"/>
    <n v="0"/>
    <n v="0"/>
    <n v="0"/>
    <s v="East"/>
    <x v="0"/>
    <x v="0"/>
    <x v="1"/>
    <x v="0"/>
    <x v="0"/>
    <x v="0"/>
    <m/>
    <x v="0"/>
    <s v="Y"/>
    <s v="8A"/>
    <m/>
    <n v="0"/>
    <n v="1"/>
    <n v="0"/>
    <n v="0"/>
    <n v="0"/>
    <n v="0"/>
    <n v="0"/>
    <n v="0"/>
    <n v="0"/>
    <n v="0"/>
    <n v="0"/>
    <n v="0"/>
    <n v="0"/>
    <n v="0"/>
    <n v="0"/>
    <n v="0"/>
    <n v="0"/>
    <n v="0"/>
    <n v="0"/>
    <n v="0"/>
    <n v="0"/>
    <n v="1"/>
    <n v="1"/>
  </r>
  <r>
    <n v="6218"/>
    <x v="2"/>
    <s v="2016/3340"/>
    <m/>
    <s v="Land rear of 20-28, Taybridge Road"/>
    <m/>
    <n v="528378"/>
    <n v="175632"/>
    <x v="10"/>
    <d v="2017-03-31T00:00:00"/>
    <m/>
    <n v="0"/>
    <n v="1"/>
    <n v="1"/>
    <n v="1"/>
    <n v="1"/>
    <m/>
    <s v="Erection of 1 x 5-bedroom single storey house (plus basement level and lightwells), with vehicle access and front boundary treatment, garden room/cycle store."/>
    <s v="PF"/>
    <d v="2016-06-09T00:00:00"/>
    <d v="2016-08-04T00:00:00"/>
    <x v="0"/>
    <s v="Nil"/>
    <m/>
    <s v="BF"/>
    <x v="0"/>
    <x v="0"/>
    <x v="0"/>
    <n v="5.2999999374151202E-2"/>
    <d v="2017-03-31T00:00:00"/>
    <x v="0"/>
    <m/>
    <x v="0"/>
    <s v="P"/>
    <m/>
    <m/>
    <n v="0"/>
    <m/>
    <n v="0"/>
    <m/>
    <n v="0"/>
    <n v="0"/>
    <n v="0"/>
    <n v="0"/>
    <n v="0"/>
    <n v="1"/>
    <n v="0"/>
    <n v="0"/>
    <n v="0"/>
    <n v="0"/>
    <n v="0"/>
    <n v="0"/>
    <n v="0"/>
    <n v="0"/>
    <n v="0"/>
    <n v="0"/>
    <n v="0"/>
    <n v="0"/>
    <n v="0"/>
    <n v="1"/>
    <n v="0"/>
    <n v="0"/>
    <n v="0"/>
    <n v="0"/>
    <n v="0"/>
    <n v="0"/>
    <n v="0"/>
    <n v="0"/>
    <s v="East"/>
    <x v="0"/>
    <x v="0"/>
    <x v="1"/>
    <x v="0"/>
    <x v="0"/>
    <x v="0"/>
    <m/>
    <x v="0"/>
    <s v="Y"/>
    <s v="2A"/>
    <m/>
    <n v="0"/>
    <n v="1"/>
    <n v="0"/>
    <n v="0"/>
    <n v="0"/>
    <n v="0"/>
    <n v="0"/>
    <n v="0"/>
    <n v="0"/>
    <n v="0"/>
    <n v="0"/>
    <n v="0"/>
    <n v="0"/>
    <n v="0"/>
    <n v="0"/>
    <n v="0"/>
    <n v="0"/>
    <n v="0"/>
    <n v="0"/>
    <n v="0"/>
    <n v="0"/>
    <n v="1"/>
    <n v="1"/>
  </r>
  <r>
    <n v="6219"/>
    <x v="2"/>
    <s v="2016/5073"/>
    <m/>
    <s v="Land rear of 4, 4 Granville Road"/>
    <m/>
    <n v="525163"/>
    <n v="173918"/>
    <x v="5"/>
    <d v="2018-03-31T00:00:00"/>
    <m/>
    <n v="0"/>
    <n v="1"/>
    <n v="1"/>
    <n v="1"/>
    <n v="1"/>
    <m/>
    <s v="Erection of part single, part two-storey 2-bedroom detached house, including new boundary treatment, vegetation removal, landscaping and bike and bin stores, with access from Morris Gardens."/>
    <s v="PF"/>
    <d v="2016-09-02T00:00:00"/>
    <d v="2016-10-28T00:00:00"/>
    <x v="0"/>
    <s v="Nil"/>
    <m/>
    <s v="BF"/>
    <x v="0"/>
    <x v="0"/>
    <x v="0"/>
    <n v="1.60000007599592E-2"/>
    <d v="2018-03-31T00:00:00"/>
    <x v="1"/>
    <m/>
    <x v="0"/>
    <s v="P"/>
    <m/>
    <m/>
    <n v="0"/>
    <m/>
    <n v="0"/>
    <m/>
    <n v="0"/>
    <n v="0"/>
    <n v="1"/>
    <n v="0"/>
    <n v="0"/>
    <n v="0"/>
    <n v="0"/>
    <n v="0"/>
    <n v="0"/>
    <n v="0"/>
    <n v="0"/>
    <n v="0"/>
    <n v="0"/>
    <n v="0"/>
    <n v="0"/>
    <n v="0"/>
    <n v="1"/>
    <n v="0"/>
    <n v="0"/>
    <n v="0"/>
    <n v="0"/>
    <n v="0"/>
    <n v="0"/>
    <n v="0"/>
    <n v="0"/>
    <n v="0"/>
    <n v="0"/>
    <n v="0"/>
    <s v="West"/>
    <x v="0"/>
    <x v="0"/>
    <x v="1"/>
    <x v="0"/>
    <x v="0"/>
    <x v="0"/>
    <m/>
    <x v="0"/>
    <s v="Y"/>
    <s v="2B"/>
    <m/>
    <n v="0"/>
    <n v="0.5"/>
    <n v="0.5"/>
    <n v="0"/>
    <n v="0"/>
    <n v="0"/>
    <n v="0"/>
    <n v="0"/>
    <n v="0"/>
    <n v="0"/>
    <n v="0"/>
    <n v="0"/>
    <n v="0"/>
    <n v="0"/>
    <n v="0"/>
    <n v="0"/>
    <n v="0"/>
    <n v="0"/>
    <n v="0"/>
    <n v="0"/>
    <n v="0"/>
    <n v="1"/>
    <n v="1"/>
  </r>
  <r>
    <n v="6224"/>
    <x v="2"/>
    <s v="2016/2377"/>
    <m/>
    <s v="123 Drakefield Road"/>
    <m/>
    <n v="528527"/>
    <n v="172216"/>
    <x v="3"/>
    <d v="2017-03-31T00:00:00"/>
    <m/>
    <n v="3"/>
    <n v="1"/>
    <n v="-2"/>
    <n v="1"/>
    <n v="-2"/>
    <m/>
    <s v="Conversion of the property from three flats into a single dwellinghouse. Alterations including erection of a single-storey rear/side extension, erection of a roof extension to main rear roof, extension to basement including formation of front lightwell and new front boundary wall."/>
    <s v="PF"/>
    <d v="2016-05-13T00:00:00"/>
    <d v="2016-07-08T00:00:00"/>
    <x v="0"/>
    <s v="Nil"/>
    <m/>
    <s v="BF"/>
    <x v="4"/>
    <x v="0"/>
    <x v="7"/>
    <n v="2.70000007003546E-2"/>
    <d v="2017-03-31T00:00:00"/>
    <x v="0"/>
    <m/>
    <x v="0"/>
    <s v="P"/>
    <m/>
    <m/>
    <n v="0"/>
    <m/>
    <n v="0"/>
    <m/>
    <n v="0"/>
    <n v="0"/>
    <n v="-1"/>
    <n v="-2"/>
    <n v="0"/>
    <n v="1"/>
    <n v="0"/>
    <n v="0"/>
    <n v="0"/>
    <n v="-1"/>
    <n v="-2"/>
    <n v="0"/>
    <n v="0"/>
    <n v="0"/>
    <n v="0"/>
    <n v="0"/>
    <n v="0"/>
    <n v="0"/>
    <n v="0"/>
    <n v="1"/>
    <n v="0"/>
    <n v="0"/>
    <n v="0"/>
    <n v="0"/>
    <n v="0"/>
    <n v="0"/>
    <n v="0"/>
    <n v="0"/>
    <s v="East"/>
    <x v="0"/>
    <x v="0"/>
    <x v="1"/>
    <x v="0"/>
    <x v="0"/>
    <x v="0"/>
    <m/>
    <x v="0"/>
    <s v="Y"/>
    <s v="8A"/>
    <m/>
    <n v="0"/>
    <n v="-2"/>
    <n v="0"/>
    <n v="0"/>
    <n v="0"/>
    <n v="0"/>
    <n v="0"/>
    <n v="0"/>
    <n v="0"/>
    <n v="0"/>
    <n v="0"/>
    <n v="0"/>
    <n v="0"/>
    <n v="0"/>
    <n v="0"/>
    <n v="0"/>
    <n v="0"/>
    <n v="0"/>
    <n v="0"/>
    <n v="0"/>
    <n v="0"/>
    <n v="-2"/>
    <n v="-2"/>
  </r>
  <r>
    <n v="6233"/>
    <x v="2"/>
    <s v="2016/2566"/>
    <m/>
    <s v="83 Clapham common North Side"/>
    <m/>
    <n v="528286"/>
    <n v="175228"/>
    <x v="10"/>
    <d v="2017-06-21T00:00:00"/>
    <m/>
    <n v="1"/>
    <n v="4"/>
    <n v="3"/>
    <n v="4"/>
    <n v="3"/>
    <m/>
    <s v="Conversion into four flats (2 x 2 bedroom and 2 x 3 bedroom) by excavation of basement with creation of front and rear lightwells, relocation of entrance gate to Forthbridge Road  and alterations including boundary treatments along Clapham Common North Side and Forthbridge Road."/>
    <s v="PF"/>
    <d v="2016-05-11T00:00:00"/>
    <d v="2016-10-25T00:00:00"/>
    <x v="0"/>
    <s v="Nil"/>
    <m/>
    <s v="BF"/>
    <x v="4"/>
    <x v="0"/>
    <x v="8"/>
    <n v="2.0999999716877899E-2"/>
    <d v="2017-06-21T00:00:00"/>
    <x v="1"/>
    <m/>
    <x v="0"/>
    <s v="P"/>
    <m/>
    <m/>
    <n v="0"/>
    <m/>
    <n v="0"/>
    <m/>
    <n v="0"/>
    <n v="0"/>
    <n v="1"/>
    <n v="3"/>
    <n v="-1"/>
    <n v="0"/>
    <n v="0"/>
    <n v="0"/>
    <n v="0"/>
    <n v="1"/>
    <n v="3"/>
    <n v="0"/>
    <n v="0"/>
    <n v="0"/>
    <n v="0"/>
    <n v="0"/>
    <n v="0"/>
    <n v="0"/>
    <n v="-1"/>
    <n v="0"/>
    <n v="0"/>
    <n v="0"/>
    <n v="0"/>
    <n v="0"/>
    <n v="0"/>
    <n v="0"/>
    <n v="0"/>
    <n v="0"/>
    <s v="East"/>
    <x v="0"/>
    <x v="0"/>
    <x v="1"/>
    <x v="0"/>
    <x v="0"/>
    <x v="0"/>
    <m/>
    <x v="0"/>
    <s v="Y"/>
    <s v="8A"/>
    <m/>
    <n v="0"/>
    <n v="3"/>
    <n v="0"/>
    <n v="0"/>
    <n v="0"/>
    <n v="0"/>
    <n v="0"/>
    <n v="0"/>
    <n v="0"/>
    <n v="0"/>
    <n v="0"/>
    <n v="0"/>
    <n v="0"/>
    <n v="0"/>
    <n v="0"/>
    <n v="0"/>
    <n v="0"/>
    <n v="0"/>
    <n v="0"/>
    <n v="0"/>
    <n v="0"/>
    <n v="3"/>
    <n v="3"/>
  </r>
  <r>
    <n v="6243"/>
    <x v="2"/>
    <s v="2015/6469"/>
    <m/>
    <s v="7C, 7 Surrey Lane"/>
    <m/>
    <n v="527415"/>
    <n v="176656"/>
    <x v="1"/>
    <d v="2017-03-31T00:00:00"/>
    <m/>
    <n v="1"/>
    <n v="1"/>
    <n v="0"/>
    <n v="1"/>
    <n v="0"/>
    <m/>
    <s v="Demolition of existing property and erection of a 4-bedroom house (at basement, ground and first floor levels with roof terrace above), with  lightwell, cycle storage and refuse storage."/>
    <s v="PF"/>
    <d v="2015-11-30T00:00:00"/>
    <d v="2016-06-13T00:00:00"/>
    <x v="0"/>
    <s v="Nil"/>
    <m/>
    <s v="BF"/>
    <x v="0"/>
    <x v="0"/>
    <x v="0"/>
    <n v="1.4000000432133701E-2"/>
    <d v="2017-03-31T00:00:00"/>
    <x v="0"/>
    <m/>
    <x v="0"/>
    <s v="P"/>
    <m/>
    <m/>
    <n v="0"/>
    <m/>
    <n v="0"/>
    <m/>
    <n v="0"/>
    <n v="-1"/>
    <n v="0"/>
    <n v="0"/>
    <n v="1"/>
    <n v="0"/>
    <n v="0"/>
    <n v="0"/>
    <n v="0"/>
    <n v="0"/>
    <n v="0"/>
    <n v="0"/>
    <n v="0"/>
    <n v="0"/>
    <n v="0"/>
    <n v="-1"/>
    <n v="0"/>
    <n v="0"/>
    <n v="1"/>
    <n v="0"/>
    <n v="0"/>
    <n v="0"/>
    <n v="0"/>
    <n v="0"/>
    <n v="0"/>
    <n v="0"/>
    <n v="0"/>
    <n v="0"/>
    <s v="East"/>
    <x v="0"/>
    <x v="0"/>
    <x v="1"/>
    <x v="0"/>
    <x v="0"/>
    <x v="0"/>
    <m/>
    <x v="0"/>
    <s v="Y"/>
    <s v="2A"/>
    <m/>
    <n v="0"/>
    <n v="0"/>
    <n v="0"/>
    <n v="0"/>
    <n v="0"/>
    <n v="0"/>
    <n v="0"/>
    <n v="0"/>
    <n v="0"/>
    <n v="0"/>
    <n v="0"/>
    <n v="0"/>
    <n v="0"/>
    <n v="0"/>
    <n v="0"/>
    <n v="0"/>
    <n v="0"/>
    <n v="0"/>
    <n v="0"/>
    <n v="0"/>
    <n v="0"/>
    <n v="0"/>
    <n v="0"/>
  </r>
  <r>
    <n v="6247"/>
    <x v="2"/>
    <s v="2016/1738"/>
    <m/>
    <s v="Messenger Court, 23 Upper Richmond Road"/>
    <m/>
    <n v="524772"/>
    <n v="174597"/>
    <x v="16"/>
    <d v="2018-03-31T00:00:00"/>
    <m/>
    <n v="0"/>
    <n v="4"/>
    <n v="4"/>
    <n v="4"/>
    <n v="4"/>
    <m/>
    <s v="Alterations including erection of an additional storey onto the existing three-storey building to provide four flats (2 x 2-bedroom and 2 x 1- bedroom)."/>
    <s v="PF"/>
    <d v="2016-04-14T00:00:00"/>
    <d v="2016-06-28T00:00:00"/>
    <x v="0"/>
    <s v="Nil"/>
    <m/>
    <s v="BF"/>
    <x v="0"/>
    <x v="0"/>
    <x v="0"/>
    <n v="4.80000004172325E-2"/>
    <d v="2018-03-31T00:00:00"/>
    <x v="1"/>
    <m/>
    <x v="0"/>
    <s v="P"/>
    <m/>
    <m/>
    <n v="4"/>
    <m/>
    <n v="0"/>
    <m/>
    <n v="0"/>
    <n v="2"/>
    <n v="2"/>
    <n v="0"/>
    <n v="0"/>
    <n v="0"/>
    <n v="0"/>
    <n v="0"/>
    <n v="2"/>
    <n v="2"/>
    <n v="0"/>
    <n v="0"/>
    <n v="0"/>
    <n v="0"/>
    <n v="0"/>
    <n v="0"/>
    <n v="0"/>
    <n v="0"/>
    <n v="0"/>
    <n v="0"/>
    <n v="0"/>
    <n v="0"/>
    <n v="0"/>
    <n v="0"/>
    <n v="0"/>
    <n v="0"/>
    <n v="0"/>
    <n v="0"/>
    <s v="West"/>
    <x v="0"/>
    <x v="0"/>
    <x v="1"/>
    <x v="0"/>
    <x v="0"/>
    <x v="0"/>
    <m/>
    <x v="0"/>
    <s v="Y"/>
    <s v="2B"/>
    <m/>
    <n v="0"/>
    <n v="2"/>
    <n v="2"/>
    <n v="0"/>
    <n v="0"/>
    <n v="0"/>
    <n v="0"/>
    <n v="0"/>
    <n v="0"/>
    <n v="0"/>
    <n v="0"/>
    <n v="0"/>
    <n v="0"/>
    <n v="0"/>
    <n v="0"/>
    <n v="0"/>
    <n v="0"/>
    <n v="0"/>
    <n v="0"/>
    <n v="0"/>
    <n v="0"/>
    <n v="4"/>
    <n v="4"/>
  </r>
  <r>
    <n v="6249"/>
    <x v="2"/>
    <s v="2016/2230"/>
    <m/>
    <s v="Grafton House (Brodrick Road), 197 Trinity Road"/>
    <s v="4 flats - completed 17.04.18"/>
    <n v="527514"/>
    <n v="173045"/>
    <x v="17"/>
    <d v="2017-03-31T00:00:00"/>
    <m/>
    <n v="1"/>
    <n v="5"/>
    <n v="4"/>
    <n v="5"/>
    <n v="4"/>
    <m/>
    <s v="Demolition of existing garage and rear extension.  Erection of part two, part three-storey (basement to first floor) rear/side extensions, including formation of second floor rear roof terrace; excavation to create an enlarged basement including formation of front, side and rear lightwells. Works in connection with proposed conversion of the property into 5 residential units."/>
    <s v="PF"/>
    <d v="2016-05-13T00:00:00"/>
    <d v="2016-07-25T00:00:00"/>
    <x v="0"/>
    <s v="Nil"/>
    <m/>
    <s v="BF"/>
    <x v="4"/>
    <x v="0"/>
    <x v="0"/>
    <n v="2.9999999329447701E-2"/>
    <d v="2017-03-31T00:00:00"/>
    <x v="0"/>
    <m/>
    <x v="0"/>
    <s v="P"/>
    <m/>
    <m/>
    <n v="0"/>
    <m/>
    <n v="0"/>
    <m/>
    <n v="0"/>
    <n v="0"/>
    <n v="3"/>
    <n v="2"/>
    <n v="-1"/>
    <n v="0"/>
    <n v="0"/>
    <n v="0"/>
    <n v="0"/>
    <n v="3"/>
    <n v="1"/>
    <n v="0"/>
    <n v="0"/>
    <n v="0"/>
    <n v="0"/>
    <n v="0"/>
    <n v="0"/>
    <n v="1"/>
    <n v="-1"/>
    <n v="0"/>
    <n v="0"/>
    <n v="0"/>
    <n v="0"/>
    <n v="0"/>
    <n v="0"/>
    <n v="0"/>
    <n v="0"/>
    <n v="0"/>
    <s v="West"/>
    <x v="0"/>
    <x v="0"/>
    <x v="1"/>
    <x v="0"/>
    <x v="0"/>
    <x v="0"/>
    <m/>
    <x v="0"/>
    <s v="Y"/>
    <s v="8A"/>
    <m/>
    <n v="0"/>
    <n v="4"/>
    <n v="0"/>
    <n v="0"/>
    <n v="0"/>
    <n v="0"/>
    <n v="0"/>
    <n v="0"/>
    <n v="0"/>
    <n v="0"/>
    <n v="0"/>
    <n v="0"/>
    <n v="0"/>
    <n v="0"/>
    <n v="0"/>
    <n v="0"/>
    <n v="0"/>
    <n v="0"/>
    <n v="0"/>
    <n v="0"/>
    <n v="0"/>
    <n v="4"/>
    <n v="4"/>
  </r>
  <r>
    <n v="6250"/>
    <x v="2"/>
    <s v="2016/2770"/>
    <m/>
    <s v="76-87, 76-87 Arnal Crescent"/>
    <m/>
    <n v="524222"/>
    <n v="173822"/>
    <x v="19"/>
    <d v="2018-03-31T00:00:00"/>
    <m/>
    <n v="0"/>
    <n v="2"/>
    <n v="2"/>
    <n v="2"/>
    <n v="2"/>
    <m/>
    <s v="Alterations including infilling of undercroft parking area to provide 1 x 1-bedroom and 1 x 2- bedroom flats with erection of railings and access ramp to east elevation."/>
    <s v="PF"/>
    <d v="2016-05-25T00:00:00"/>
    <d v="2016-09-15T00:00:00"/>
    <x v="0"/>
    <s v="Nil"/>
    <m/>
    <s v="BF"/>
    <x v="0"/>
    <x v="0"/>
    <x v="0"/>
    <n v="1.30000002682209E-2"/>
    <d v="2018-03-31T00:00:00"/>
    <x v="1"/>
    <m/>
    <x v="2"/>
    <s v="C"/>
    <m/>
    <m/>
    <n v="2"/>
    <m/>
    <n v="2"/>
    <m/>
    <n v="0"/>
    <n v="1"/>
    <n v="1"/>
    <n v="0"/>
    <n v="0"/>
    <n v="0"/>
    <n v="0"/>
    <n v="0"/>
    <n v="1"/>
    <n v="1"/>
    <n v="0"/>
    <n v="0"/>
    <n v="0"/>
    <n v="0"/>
    <n v="0"/>
    <n v="0"/>
    <n v="0"/>
    <n v="0"/>
    <n v="0"/>
    <n v="0"/>
    <n v="0"/>
    <n v="0"/>
    <n v="0"/>
    <n v="0"/>
    <n v="0"/>
    <n v="0"/>
    <n v="0"/>
    <n v="0"/>
    <s v="West"/>
    <x v="0"/>
    <x v="0"/>
    <x v="1"/>
    <x v="0"/>
    <x v="0"/>
    <x v="0"/>
    <m/>
    <x v="0"/>
    <s v="Y"/>
    <s v="2B"/>
    <m/>
    <n v="0"/>
    <n v="1"/>
    <n v="1"/>
    <n v="0"/>
    <n v="0"/>
    <n v="0"/>
    <n v="0"/>
    <n v="0"/>
    <n v="0"/>
    <n v="0"/>
    <n v="0"/>
    <n v="0"/>
    <n v="0"/>
    <n v="0"/>
    <n v="0"/>
    <n v="0"/>
    <n v="0"/>
    <n v="0"/>
    <n v="0"/>
    <n v="0"/>
    <n v="0"/>
    <n v="2"/>
    <n v="2"/>
  </r>
  <r>
    <n v="6264"/>
    <x v="2"/>
    <s v="2016/6095"/>
    <m/>
    <s v="100-102, St Johns Hill"/>
    <s v="100 St Johns Hill"/>
    <n v="526810"/>
    <n v="175111"/>
    <x v="0"/>
    <d v="2018-03-28T00:00:00"/>
    <m/>
    <n v="2"/>
    <n v="3"/>
    <n v="1"/>
    <n v="6"/>
    <n v="3"/>
    <m/>
    <s v="Alterations to both properties including erection of front and rear roof extensions to provide an additional floor of accommodation (with french doors and safety balustrade); a roof terrace at rear of No.102 at second floor level; erection of part single, part three-storey rear/side extensions in connection with conversion of both properties into 1 x 1-bed studio, 3 x 2-bedroom, 2 x 3-bedroom flats."/>
    <s v="PF"/>
    <d v="2016-10-19T00:00:00"/>
    <d v="2017-04-27T00:00:00"/>
    <x v="1"/>
    <s v="Nil"/>
    <m/>
    <s v="BF"/>
    <x v="4"/>
    <x v="0"/>
    <x v="10"/>
    <n v="1.7999999225139601E-2"/>
    <d v="2018-03-28T00:00:00"/>
    <x v="1"/>
    <m/>
    <x v="0"/>
    <s v="P"/>
    <m/>
    <m/>
    <n v="0"/>
    <m/>
    <n v="0"/>
    <m/>
    <n v="0"/>
    <n v="0"/>
    <n v="2"/>
    <n v="0"/>
    <n v="-1"/>
    <n v="0"/>
    <n v="0"/>
    <n v="0"/>
    <n v="0"/>
    <n v="2"/>
    <n v="0"/>
    <n v="-1"/>
    <n v="0"/>
    <n v="0"/>
    <n v="0"/>
    <n v="0"/>
    <n v="0"/>
    <n v="0"/>
    <n v="0"/>
    <n v="0"/>
    <n v="0"/>
    <n v="0"/>
    <n v="0"/>
    <n v="0"/>
    <n v="0"/>
    <n v="0"/>
    <n v="0"/>
    <n v="0"/>
    <s v="West"/>
    <x v="0"/>
    <x v="0"/>
    <x v="1"/>
    <x v="0"/>
    <x v="0"/>
    <x v="0"/>
    <m/>
    <x v="0"/>
    <s v="Y"/>
    <s v="8B"/>
    <m/>
    <n v="0"/>
    <n v="0.5"/>
    <n v="0.5"/>
    <n v="0"/>
    <n v="0"/>
    <n v="0"/>
    <n v="0"/>
    <n v="0"/>
    <n v="0"/>
    <n v="0"/>
    <n v="0"/>
    <n v="0"/>
    <n v="0"/>
    <n v="0"/>
    <n v="0"/>
    <n v="0"/>
    <n v="0"/>
    <n v="0"/>
    <n v="0"/>
    <n v="0"/>
    <n v="0"/>
    <n v="1"/>
    <n v="1"/>
  </r>
  <r>
    <n v="6264"/>
    <x v="2"/>
    <s v="2016/6095"/>
    <m/>
    <s v="100-102, St Johns Hill"/>
    <s v="102 St Johns Hill"/>
    <n v="526810"/>
    <n v="175111"/>
    <x v="0"/>
    <d v="2018-03-28T00:00:00"/>
    <m/>
    <n v="1"/>
    <n v="3"/>
    <n v="2"/>
    <n v="6"/>
    <n v="3"/>
    <m/>
    <s v="Alterations to both properties including erection of front and rear roof extensions to provide an additional floor of accommodation (with french doors and safety balustrade); a roof terrace at rear of No.102 at second floor level; erection of part single, part three-storey rear/side extensions in connection with conversion of both properties into 1 x 1-bed studio, 3 x 2-bedroom, 2 x 3-bedroom flats."/>
    <s v="PF"/>
    <d v="2016-10-19T00:00:00"/>
    <d v="2017-04-27T00:00:00"/>
    <x v="1"/>
    <s v="Nil"/>
    <m/>
    <s v="BF"/>
    <x v="4"/>
    <x v="0"/>
    <x v="8"/>
    <n v="1.7999999225139601E-2"/>
    <d v="2018-03-28T00:00:00"/>
    <x v="0"/>
    <m/>
    <x v="0"/>
    <s v="P"/>
    <m/>
    <m/>
    <n v="0"/>
    <m/>
    <n v="0"/>
    <m/>
    <n v="1"/>
    <n v="0"/>
    <n v="1"/>
    <n v="1"/>
    <n v="0"/>
    <n v="-1"/>
    <n v="0"/>
    <n v="1"/>
    <n v="0"/>
    <n v="1"/>
    <n v="1"/>
    <n v="0"/>
    <n v="0"/>
    <n v="0"/>
    <n v="0"/>
    <n v="0"/>
    <n v="0"/>
    <n v="0"/>
    <n v="0"/>
    <n v="-1"/>
    <n v="0"/>
    <n v="0"/>
    <n v="0"/>
    <n v="0"/>
    <n v="0"/>
    <n v="0"/>
    <n v="0"/>
    <n v="0"/>
    <s v="West"/>
    <x v="0"/>
    <x v="0"/>
    <x v="1"/>
    <x v="0"/>
    <x v="0"/>
    <x v="0"/>
    <m/>
    <x v="0"/>
    <s v="Y"/>
    <s v="8B"/>
    <m/>
    <n v="0"/>
    <n v="1"/>
    <n v="1"/>
    <n v="0"/>
    <n v="0"/>
    <n v="0"/>
    <n v="0"/>
    <n v="0"/>
    <n v="0"/>
    <n v="0"/>
    <n v="0"/>
    <n v="0"/>
    <n v="0"/>
    <n v="0"/>
    <n v="0"/>
    <n v="0"/>
    <n v="0"/>
    <n v="0"/>
    <n v="0"/>
    <n v="0"/>
    <n v="0"/>
    <n v="2"/>
    <n v="2"/>
  </r>
  <r>
    <n v="6265"/>
    <x v="2"/>
    <s v="2016/3086"/>
    <m/>
    <s v="2 Brook Cottages, 103 Bolingbroke Grove"/>
    <m/>
    <n v="527193"/>
    <n v="174782"/>
    <x v="14"/>
    <d v="2017-03-31T00:00:00"/>
    <m/>
    <n v="1"/>
    <n v="1"/>
    <n v="0"/>
    <n v="1"/>
    <n v="0"/>
    <m/>
    <s v="Demolition of existing dwelling (retrospective). Erection of part single, part two-storey 3-bedroom dwellinghouse (plus basement level with front lightwells)."/>
    <s v="PF"/>
    <d v="2016-06-06T00:00:00"/>
    <d v="2016-08-01T00:00:00"/>
    <x v="0"/>
    <s v="Nil"/>
    <m/>
    <s v="BF"/>
    <x v="0"/>
    <x v="0"/>
    <x v="0"/>
    <n v="3.7999998778104803E-2"/>
    <d v="2017-03-31T00:00:00"/>
    <x v="0"/>
    <m/>
    <x v="0"/>
    <s v="P"/>
    <m/>
    <m/>
    <n v="1"/>
    <m/>
    <n v="0"/>
    <m/>
    <n v="0"/>
    <n v="0"/>
    <n v="-1"/>
    <n v="1"/>
    <n v="0"/>
    <n v="0"/>
    <n v="0"/>
    <n v="0"/>
    <n v="0"/>
    <n v="0"/>
    <n v="0"/>
    <n v="0"/>
    <n v="0"/>
    <n v="0"/>
    <n v="0"/>
    <n v="0"/>
    <n v="-1"/>
    <n v="1"/>
    <n v="0"/>
    <n v="0"/>
    <n v="0"/>
    <n v="0"/>
    <n v="0"/>
    <n v="0"/>
    <n v="0"/>
    <n v="0"/>
    <n v="0"/>
    <n v="0"/>
    <s v="East"/>
    <x v="0"/>
    <x v="0"/>
    <x v="1"/>
    <x v="0"/>
    <x v="0"/>
    <x v="0"/>
    <m/>
    <x v="0"/>
    <s v="Y"/>
    <s v="2A"/>
    <m/>
    <n v="0"/>
    <n v="0"/>
    <n v="0"/>
    <n v="0"/>
    <n v="0"/>
    <n v="0"/>
    <n v="0"/>
    <n v="0"/>
    <n v="0"/>
    <n v="0"/>
    <n v="0"/>
    <n v="0"/>
    <n v="0"/>
    <n v="0"/>
    <n v="0"/>
    <n v="0"/>
    <n v="0"/>
    <n v="0"/>
    <n v="0"/>
    <n v="0"/>
    <n v="0"/>
    <n v="0"/>
    <n v="0"/>
  </r>
  <r>
    <n v="6275"/>
    <x v="2"/>
    <s v="2016/4608"/>
    <m/>
    <s v="2 Alderbrook Road"/>
    <m/>
    <n v="528526"/>
    <n v="174202"/>
    <x v="9"/>
    <d v="2017-03-31T00:00:00"/>
    <m/>
    <n v="1"/>
    <n v="5"/>
    <n v="4"/>
    <n v="5"/>
    <n v="4"/>
    <m/>
    <s v="Demolition of existing rear extension; alterations including erection of dormer roof extension to main rear roof; erection of two-storey rear extension with roof terraces and associated screening; excavation to create basement including formation of front and rear lightwells with grille over; and conversion of property into 2 x 3-bedroom, 3 x 2-bedroom residential units with associated landscaping and bin and cycle storage."/>
    <s v="PF"/>
    <d v="2016-08-03T00:00:00"/>
    <d v="2016-11-28T00:00:00"/>
    <x v="0"/>
    <s v="Nil"/>
    <m/>
    <s v="BF"/>
    <x v="4"/>
    <x v="0"/>
    <x v="8"/>
    <n v="2.4000000208616298E-2"/>
    <d v="2017-03-31T00:00:00"/>
    <x v="0"/>
    <m/>
    <x v="0"/>
    <s v="P"/>
    <m/>
    <m/>
    <n v="0"/>
    <m/>
    <n v="0"/>
    <m/>
    <n v="0"/>
    <n v="0"/>
    <n v="3"/>
    <n v="2"/>
    <n v="0"/>
    <n v="-1"/>
    <n v="0"/>
    <n v="0"/>
    <n v="0"/>
    <n v="3"/>
    <n v="2"/>
    <n v="0"/>
    <n v="0"/>
    <n v="0"/>
    <n v="0"/>
    <n v="0"/>
    <n v="0"/>
    <n v="0"/>
    <n v="0"/>
    <n v="-1"/>
    <n v="0"/>
    <n v="0"/>
    <n v="0"/>
    <n v="0"/>
    <n v="0"/>
    <n v="0"/>
    <n v="0"/>
    <n v="0"/>
    <s v="East"/>
    <x v="0"/>
    <x v="0"/>
    <x v="1"/>
    <x v="0"/>
    <x v="0"/>
    <x v="0"/>
    <m/>
    <x v="0"/>
    <s v="Y"/>
    <s v="8A"/>
    <m/>
    <n v="0"/>
    <n v="4"/>
    <n v="0"/>
    <n v="0"/>
    <n v="0"/>
    <n v="0"/>
    <n v="0"/>
    <n v="0"/>
    <n v="0"/>
    <n v="0"/>
    <n v="0"/>
    <n v="0"/>
    <n v="0"/>
    <n v="0"/>
    <n v="0"/>
    <n v="0"/>
    <n v="0"/>
    <n v="0"/>
    <n v="0"/>
    <n v="0"/>
    <n v="0"/>
    <n v="4"/>
    <n v="4"/>
  </r>
  <r>
    <n v="6281"/>
    <x v="2"/>
    <s v="2016/3297"/>
    <m/>
    <s v="32 Malbrook Road"/>
    <m/>
    <n v="522932"/>
    <n v="175036"/>
    <x v="7"/>
    <d v="2018-03-31T00:00:00"/>
    <m/>
    <n v="1"/>
    <n v="2"/>
    <n v="1"/>
    <n v="2"/>
    <n v="1"/>
    <m/>
    <s v="Demolition of existing house and erection of 2 x two-storey semi-detached houses with accommodation at basement and roof levels; rebuilding of front and side boundary walls and associated landscaping."/>
    <s v="PF"/>
    <d v="2016-06-07T00:00:00"/>
    <d v="2016-08-02T00:00:00"/>
    <x v="0"/>
    <s v="Nil"/>
    <m/>
    <s v="BF"/>
    <x v="0"/>
    <x v="0"/>
    <x v="0"/>
    <n v="8.6000002920627594E-2"/>
    <d v="2018-03-31T00:00:00"/>
    <x v="1"/>
    <m/>
    <x v="0"/>
    <s v="P"/>
    <m/>
    <m/>
    <n v="0"/>
    <m/>
    <n v="0"/>
    <m/>
    <n v="0"/>
    <n v="0"/>
    <n v="0"/>
    <n v="0"/>
    <n v="1"/>
    <n v="0"/>
    <n v="0"/>
    <n v="0"/>
    <n v="0"/>
    <n v="0"/>
    <n v="0"/>
    <n v="0"/>
    <n v="0"/>
    <n v="0"/>
    <n v="0"/>
    <n v="0"/>
    <n v="0"/>
    <n v="0"/>
    <n v="1"/>
    <n v="0"/>
    <n v="0"/>
    <n v="0"/>
    <n v="0"/>
    <n v="0"/>
    <n v="0"/>
    <n v="0"/>
    <n v="0"/>
    <n v="0"/>
    <s v="West"/>
    <x v="0"/>
    <x v="0"/>
    <x v="1"/>
    <x v="0"/>
    <x v="0"/>
    <x v="0"/>
    <m/>
    <x v="0"/>
    <s v="Y"/>
    <s v="2B"/>
    <m/>
    <n v="0"/>
    <n v="0.5"/>
    <n v="0.5"/>
    <n v="0"/>
    <n v="0"/>
    <n v="0"/>
    <n v="0"/>
    <n v="0"/>
    <n v="0"/>
    <n v="0"/>
    <n v="0"/>
    <n v="0"/>
    <n v="0"/>
    <n v="0"/>
    <n v="0"/>
    <n v="0"/>
    <n v="0"/>
    <n v="0"/>
    <n v="0"/>
    <n v="0"/>
    <n v="0"/>
    <n v="1"/>
    <n v="1"/>
  </r>
  <r>
    <n v="6290"/>
    <x v="2"/>
    <s v="2017/1864"/>
    <m/>
    <s v="8 Roedean Crescent"/>
    <m/>
    <n v="521162"/>
    <n v="174661"/>
    <x v="15"/>
    <d v="2017-07-24T00:00:00"/>
    <m/>
    <n v="0"/>
    <n v="1"/>
    <n v="1"/>
    <n v="1"/>
    <n v="1"/>
    <m/>
    <s v="Erection of a three-storey (plus basement) 6-bedroom dwelling with additional living accommodation at lower ground floor level and lightwells to the front and rear; roof terrace on rear first floor level."/>
    <s v="PF"/>
    <d v="2017-04-18T00:00:00"/>
    <d v="2017-06-23T00:00:00"/>
    <x v="1"/>
    <s v="Nil"/>
    <m/>
    <s v="BF"/>
    <x v="0"/>
    <x v="0"/>
    <x v="0"/>
    <n v="0.15700000524520899"/>
    <d v="2017-07-24T00:00:00"/>
    <x v="1"/>
    <m/>
    <x v="0"/>
    <s v="P"/>
    <m/>
    <m/>
    <n v="0"/>
    <m/>
    <n v="0"/>
    <m/>
    <n v="0"/>
    <n v="0"/>
    <n v="0"/>
    <n v="0"/>
    <n v="0"/>
    <n v="1"/>
    <n v="0"/>
    <n v="0"/>
    <n v="0"/>
    <n v="0"/>
    <n v="0"/>
    <n v="0"/>
    <n v="0"/>
    <n v="0"/>
    <n v="0"/>
    <n v="0"/>
    <n v="0"/>
    <n v="0"/>
    <n v="0"/>
    <n v="1"/>
    <n v="0"/>
    <n v="0"/>
    <n v="0"/>
    <n v="0"/>
    <n v="0"/>
    <n v="0"/>
    <n v="0"/>
    <n v="0"/>
    <s v="West"/>
    <x v="0"/>
    <x v="0"/>
    <x v="1"/>
    <x v="0"/>
    <x v="0"/>
    <x v="0"/>
    <m/>
    <x v="0"/>
    <s v="Y"/>
    <s v="2A"/>
    <m/>
    <n v="0"/>
    <n v="1"/>
    <n v="0"/>
    <n v="0"/>
    <n v="0"/>
    <n v="0"/>
    <n v="0"/>
    <n v="0"/>
    <n v="0"/>
    <n v="0"/>
    <n v="0"/>
    <n v="0"/>
    <n v="0"/>
    <n v="0"/>
    <n v="0"/>
    <n v="0"/>
    <n v="0"/>
    <n v="0"/>
    <n v="0"/>
    <n v="0"/>
    <n v="0"/>
    <n v="1"/>
    <n v="1"/>
  </r>
  <r>
    <n v="6298"/>
    <x v="2"/>
    <s v="2016/3609"/>
    <m/>
    <s v="67 Selkirk Road"/>
    <m/>
    <n v="527332"/>
    <n v="171706"/>
    <x v="4"/>
    <d v="2017-03-31T00:00:00"/>
    <m/>
    <n v="1"/>
    <n v="2"/>
    <n v="1"/>
    <n v="2"/>
    <n v="1"/>
    <m/>
    <s v="Demolition of existing two storey outbuilding and extension in connection with the conversion of property to 1 x 3-bedroom and 1 x 2-bedroom residential units.  Erection of rear roof extension above two-storey back addition. Excavation to create an enlarged basement including formation of front and side lightwells with grille over. Erection of single-storey rear/side extension with demolition of the two storey building in rear garden.  Removal of two chimneys along Fishponds Road frontage and replacement of part of the boundary wall with rendered brick wall measuring up to 2.7m high including 2.1m high side gate on the Fishponds Road frontage."/>
    <s v="PF"/>
    <d v="2016-06-30T00:00:00"/>
    <d v="2016-08-25T00:00:00"/>
    <x v="0"/>
    <s v="Nil"/>
    <m/>
    <s v="BF"/>
    <x v="4"/>
    <x v="0"/>
    <x v="8"/>
    <n v="1.2000000104308101E-2"/>
    <d v="2017-03-31T00:00:00"/>
    <x v="0"/>
    <m/>
    <x v="0"/>
    <s v="P"/>
    <m/>
    <m/>
    <n v="0"/>
    <m/>
    <n v="0"/>
    <m/>
    <n v="0"/>
    <n v="0"/>
    <n v="1"/>
    <n v="0"/>
    <n v="0"/>
    <n v="0"/>
    <n v="0"/>
    <n v="0"/>
    <n v="0"/>
    <n v="1"/>
    <n v="1"/>
    <n v="0"/>
    <n v="0"/>
    <n v="0"/>
    <n v="0"/>
    <n v="0"/>
    <n v="0"/>
    <n v="-1"/>
    <n v="0"/>
    <n v="0"/>
    <n v="0"/>
    <n v="0"/>
    <n v="0"/>
    <n v="0"/>
    <n v="0"/>
    <n v="0"/>
    <n v="0"/>
    <n v="0"/>
    <s v="East"/>
    <x v="0"/>
    <x v="0"/>
    <x v="1"/>
    <x v="0"/>
    <x v="0"/>
    <x v="0"/>
    <m/>
    <x v="0"/>
    <s v="Y"/>
    <s v="8A"/>
    <m/>
    <n v="0"/>
    <n v="1"/>
    <n v="0"/>
    <n v="0"/>
    <n v="0"/>
    <n v="0"/>
    <n v="0"/>
    <n v="0"/>
    <n v="0"/>
    <n v="0"/>
    <n v="0"/>
    <n v="0"/>
    <n v="0"/>
    <n v="0"/>
    <n v="0"/>
    <n v="0"/>
    <n v="0"/>
    <n v="0"/>
    <n v="0"/>
    <n v="0"/>
    <n v="0"/>
    <n v="1"/>
    <n v="1"/>
  </r>
  <r>
    <n v="6299"/>
    <x v="2"/>
    <s v="2016/3773"/>
    <m/>
    <s v="3a, Woodborough Road"/>
    <m/>
    <n v="522733"/>
    <n v="175277"/>
    <x v="7"/>
    <d v="2018-03-31T00:00:00"/>
    <m/>
    <n v="1"/>
    <n v="1"/>
    <n v="0"/>
    <n v="1"/>
    <n v="0"/>
    <m/>
    <s v="Demolition of existing building and erection of a two-storey (plus basement) 5-bedroom detached house and associated landscaping."/>
    <s v="PF"/>
    <d v="2016-07-05T00:00:00"/>
    <d v="2016-10-26T00:00:00"/>
    <x v="0"/>
    <s v="Nil"/>
    <m/>
    <s v="BF"/>
    <x v="0"/>
    <x v="0"/>
    <x v="0"/>
    <n v="3.5000000149011598E-2"/>
    <d v="2018-03-31T00:00:00"/>
    <x v="1"/>
    <m/>
    <x v="0"/>
    <s v="P"/>
    <m/>
    <m/>
    <n v="1"/>
    <m/>
    <n v="0"/>
    <m/>
    <n v="0"/>
    <n v="0"/>
    <n v="0"/>
    <n v="-1"/>
    <n v="0"/>
    <n v="1"/>
    <n v="0"/>
    <n v="0"/>
    <n v="0"/>
    <n v="0"/>
    <n v="0"/>
    <n v="0"/>
    <n v="0"/>
    <n v="0"/>
    <n v="0"/>
    <n v="0"/>
    <n v="0"/>
    <n v="-1"/>
    <n v="0"/>
    <n v="1"/>
    <n v="0"/>
    <n v="0"/>
    <n v="0"/>
    <n v="0"/>
    <n v="0"/>
    <n v="0"/>
    <n v="0"/>
    <n v="0"/>
    <s v="West"/>
    <x v="0"/>
    <x v="0"/>
    <x v="1"/>
    <x v="0"/>
    <x v="0"/>
    <x v="0"/>
    <m/>
    <x v="0"/>
    <s v="Y"/>
    <s v="2B"/>
    <m/>
    <n v="0"/>
    <n v="0"/>
    <n v="0"/>
    <n v="0"/>
    <n v="0"/>
    <n v="0"/>
    <n v="0"/>
    <n v="0"/>
    <n v="0"/>
    <n v="0"/>
    <n v="0"/>
    <n v="0"/>
    <n v="0"/>
    <n v="0"/>
    <n v="0"/>
    <n v="0"/>
    <n v="0"/>
    <n v="0"/>
    <n v="0"/>
    <n v="0"/>
    <n v="0"/>
    <n v="0"/>
    <n v="0"/>
  </r>
  <r>
    <n v="6308"/>
    <x v="2"/>
    <s v="2017/1454"/>
    <m/>
    <s v="38-40, 38-40 Fernlea Road"/>
    <m/>
    <n v="528835"/>
    <n v="173118"/>
    <x v="9"/>
    <d v="2017-10-11T00:00:00"/>
    <m/>
    <n v="1"/>
    <n v="4"/>
    <n v="3"/>
    <n v="4"/>
    <n v="3"/>
    <m/>
    <s v="Conversion of ground floor flat and basement to create 4 flats (2 x 2-bedroom and 2 x 1-bedroom). Lightwells at front with railings and bin and bicycle storage area to front. Erection of a single-storey rear extension at basement with terrace above and replacement two-storey rear extension."/>
    <s v="PF"/>
    <d v="2017-03-09T00:00:00"/>
    <d v="2017-07-13T00:00:00"/>
    <x v="1"/>
    <s v="Nil"/>
    <m/>
    <s v="BF"/>
    <x v="1"/>
    <x v="0"/>
    <x v="10"/>
    <n v="2.19999998807907E-2"/>
    <d v="2017-10-11T00:00:00"/>
    <x v="1"/>
    <m/>
    <x v="0"/>
    <s v="P"/>
    <m/>
    <m/>
    <n v="0"/>
    <m/>
    <n v="0"/>
    <m/>
    <n v="1"/>
    <n v="1"/>
    <n v="1"/>
    <n v="0"/>
    <n v="0"/>
    <n v="0"/>
    <n v="0"/>
    <n v="1"/>
    <n v="1"/>
    <n v="1"/>
    <n v="0"/>
    <n v="0"/>
    <n v="0"/>
    <n v="0"/>
    <n v="0"/>
    <n v="0"/>
    <n v="0"/>
    <n v="0"/>
    <n v="0"/>
    <n v="0"/>
    <n v="0"/>
    <n v="0"/>
    <n v="0"/>
    <n v="0"/>
    <n v="0"/>
    <n v="0"/>
    <n v="0"/>
    <n v="0"/>
    <s v="East"/>
    <x v="0"/>
    <x v="0"/>
    <x v="1"/>
    <x v="0"/>
    <x v="0"/>
    <x v="0"/>
    <m/>
    <x v="0"/>
    <s v="Y"/>
    <s v="8B"/>
    <m/>
    <n v="0"/>
    <n v="1.5"/>
    <n v="1.5"/>
    <n v="0"/>
    <n v="0"/>
    <n v="0"/>
    <n v="0"/>
    <n v="0"/>
    <n v="0"/>
    <n v="0"/>
    <n v="0"/>
    <n v="0"/>
    <n v="0"/>
    <n v="0"/>
    <n v="0"/>
    <n v="0"/>
    <n v="0"/>
    <n v="0"/>
    <n v="0"/>
    <n v="0"/>
    <n v="0"/>
    <n v="3"/>
    <n v="3"/>
  </r>
  <r>
    <n v="6311"/>
    <x v="2"/>
    <s v="2016/6287"/>
    <m/>
    <s v="25 Crockerton Road"/>
    <m/>
    <n v="527604"/>
    <n v="172607"/>
    <x v="11"/>
    <d v="2017-11-08T00:00:00"/>
    <m/>
    <n v="4"/>
    <n v="1"/>
    <n v="-3"/>
    <n v="1"/>
    <n v="-3"/>
    <m/>
    <s v="Alterations in connection with the conversion of the property from four flats (2 x 1-bedroom and 2 x 2-bedroom) to a single dwellinghouse (seven-bedroom). Formation of rear roof terrace at main roof level with 1.1m high balustrade."/>
    <s v="PF"/>
    <d v="2016-10-27T00:00:00"/>
    <d v="2016-12-21T00:00:00"/>
    <x v="0"/>
    <s v="Nil"/>
    <m/>
    <s v="BF"/>
    <x v="1"/>
    <x v="0"/>
    <x v="7"/>
    <n v="2.8000000864267301E-2"/>
    <d v="2017-11-08T00:00:00"/>
    <x v="1"/>
    <m/>
    <x v="0"/>
    <s v="P"/>
    <m/>
    <m/>
    <n v="0"/>
    <m/>
    <n v="0"/>
    <m/>
    <n v="0"/>
    <n v="-2"/>
    <n v="-2"/>
    <n v="0"/>
    <n v="0"/>
    <n v="1"/>
    <n v="0"/>
    <n v="0"/>
    <n v="-2"/>
    <n v="-2"/>
    <n v="0"/>
    <n v="0"/>
    <n v="0"/>
    <n v="0"/>
    <n v="0"/>
    <n v="0"/>
    <n v="0"/>
    <n v="0"/>
    <n v="0"/>
    <n v="1"/>
    <n v="0"/>
    <n v="0"/>
    <n v="0"/>
    <n v="0"/>
    <n v="0"/>
    <n v="0"/>
    <n v="0"/>
    <n v="0"/>
    <s v="East"/>
    <x v="0"/>
    <x v="0"/>
    <x v="1"/>
    <x v="0"/>
    <x v="0"/>
    <x v="0"/>
    <m/>
    <x v="0"/>
    <s v="Y"/>
    <s v="8B"/>
    <m/>
    <n v="0"/>
    <n v="-1.5"/>
    <n v="-1.5"/>
    <n v="0"/>
    <n v="0"/>
    <n v="0"/>
    <n v="0"/>
    <n v="0"/>
    <n v="0"/>
    <n v="0"/>
    <n v="0"/>
    <n v="0"/>
    <n v="0"/>
    <n v="0"/>
    <n v="0"/>
    <n v="0"/>
    <n v="0"/>
    <n v="0"/>
    <n v="0"/>
    <n v="0"/>
    <n v="0"/>
    <n v="-3"/>
    <n v="-3"/>
  </r>
  <r>
    <n v="6323"/>
    <x v="2"/>
    <s v="2016/4311"/>
    <m/>
    <s v="191B, 191 Latchmere Road"/>
    <m/>
    <n v="527777"/>
    <n v="175664"/>
    <x v="10"/>
    <d v="2017-03-31T00:00:00"/>
    <m/>
    <n v="1"/>
    <n v="2"/>
    <n v="1"/>
    <n v="2"/>
    <n v="1"/>
    <m/>
    <s v="Alterations including erection of mansard roof extension to main rear roof including two frotn roofligths and extension above part of three-storey back addition including side dormer window;  formation of roof terrace with 1.7m high safety surround in connection with use of third floor as a 1x2 bedroom flat.  Internal altertions to second floor flat to create an extra bedroom."/>
    <s v="PF"/>
    <d v="2016-07-21T00:00:00"/>
    <d v="2016-09-15T00:00:00"/>
    <x v="0"/>
    <s v="Nil"/>
    <m/>
    <s v="BF"/>
    <x v="4"/>
    <x v="0"/>
    <x v="0"/>
    <n v="6.0000000521540598E-3"/>
    <d v="2017-03-31T00:00:00"/>
    <x v="0"/>
    <m/>
    <x v="0"/>
    <s v="P"/>
    <m/>
    <m/>
    <n v="0"/>
    <m/>
    <n v="0"/>
    <m/>
    <n v="0"/>
    <n v="0"/>
    <n v="0"/>
    <n v="1"/>
    <n v="0"/>
    <n v="0"/>
    <n v="0"/>
    <n v="0"/>
    <n v="0"/>
    <n v="0"/>
    <n v="1"/>
    <n v="0"/>
    <n v="0"/>
    <n v="0"/>
    <n v="0"/>
    <n v="0"/>
    <n v="0"/>
    <n v="0"/>
    <n v="0"/>
    <n v="0"/>
    <n v="0"/>
    <n v="0"/>
    <n v="0"/>
    <n v="0"/>
    <n v="0"/>
    <n v="0"/>
    <n v="0"/>
    <n v="0"/>
    <s v="East"/>
    <x v="0"/>
    <x v="0"/>
    <x v="1"/>
    <x v="0"/>
    <x v="0"/>
    <x v="0"/>
    <m/>
    <x v="0"/>
    <s v="Y"/>
    <s v="8A"/>
    <m/>
    <n v="0"/>
    <n v="1"/>
    <n v="0"/>
    <n v="0"/>
    <n v="0"/>
    <n v="0"/>
    <n v="0"/>
    <n v="0"/>
    <n v="0"/>
    <n v="0"/>
    <n v="0"/>
    <n v="0"/>
    <n v="0"/>
    <n v="0"/>
    <n v="0"/>
    <n v="0"/>
    <n v="0"/>
    <n v="0"/>
    <n v="0"/>
    <n v="0"/>
    <n v="0"/>
    <n v="1"/>
    <n v="1"/>
  </r>
  <r>
    <n v="6324"/>
    <x v="2"/>
    <s v="2016/3482"/>
    <m/>
    <s v="930 Garratt Lane"/>
    <m/>
    <n v="527264"/>
    <n v="171574"/>
    <x v="4"/>
    <d v="2017-03-31T00:00:00"/>
    <m/>
    <n v="1"/>
    <n v="3"/>
    <n v="2"/>
    <n v="3"/>
    <n v="2"/>
    <m/>
    <s v="Alterations including erection of roof extension to main rear roof and over two storey rear addition, replacement single storey side/rear extension, excavation to create basement including formation of side and rear lightwells with grille over, conversion of property into 1 x 3-bedroom, 1 x 1-bedroom and 1 x studio flats, alterations to front elevation windows and provision of cycle parking and one car parking space to rear garden."/>
    <s v="PF"/>
    <d v="2016-07-05T00:00:00"/>
    <d v="2016-08-30T00:00:00"/>
    <x v="0"/>
    <s v="Nil"/>
    <m/>
    <s v="BF"/>
    <x v="4"/>
    <x v="0"/>
    <x v="8"/>
    <n v="1.7000000923872001E-2"/>
    <d v="2017-03-31T00:00:00"/>
    <x v="0"/>
    <m/>
    <x v="0"/>
    <s v="P"/>
    <m/>
    <m/>
    <n v="0"/>
    <m/>
    <n v="0"/>
    <m/>
    <n v="1"/>
    <n v="1"/>
    <n v="0"/>
    <n v="1"/>
    <n v="0"/>
    <n v="-1"/>
    <n v="0"/>
    <n v="1"/>
    <n v="1"/>
    <n v="0"/>
    <n v="1"/>
    <n v="0"/>
    <n v="0"/>
    <n v="0"/>
    <n v="0"/>
    <n v="0"/>
    <n v="0"/>
    <n v="0"/>
    <n v="0"/>
    <n v="-1"/>
    <n v="0"/>
    <n v="0"/>
    <n v="0"/>
    <n v="0"/>
    <n v="0"/>
    <n v="0"/>
    <n v="0"/>
    <n v="0"/>
    <s v="East"/>
    <x v="0"/>
    <x v="0"/>
    <x v="1"/>
    <x v="0"/>
    <x v="0"/>
    <x v="0"/>
    <m/>
    <x v="0"/>
    <s v="Y"/>
    <s v="8A"/>
    <m/>
    <n v="0"/>
    <n v="2"/>
    <n v="0"/>
    <n v="0"/>
    <n v="0"/>
    <n v="0"/>
    <n v="0"/>
    <n v="0"/>
    <n v="0"/>
    <n v="0"/>
    <n v="0"/>
    <n v="0"/>
    <n v="0"/>
    <n v="0"/>
    <n v="0"/>
    <n v="0"/>
    <n v="0"/>
    <n v="0"/>
    <n v="0"/>
    <n v="0"/>
    <n v="0"/>
    <n v="2"/>
    <n v="2"/>
  </r>
  <r>
    <n v="6340"/>
    <x v="2"/>
    <s v="2016/3999"/>
    <m/>
    <s v="43 Eardley Road"/>
    <m/>
    <n v="529469"/>
    <n v="171072"/>
    <x v="12"/>
    <d v="2017-08-01T00:00:00"/>
    <m/>
    <n v="1"/>
    <n v="3"/>
    <n v="2"/>
    <n v="3"/>
    <n v="2"/>
    <m/>
    <s v="Alterations including excavation to enlarge basement including fromation of front lightwell; erection of two-storey rear extension and single storey rear extension in connection with conversion of property from a house into 1 x 1-bedroom, 1 x 2-bedroom and 1 x 3-bedroom flats."/>
    <s v="PF"/>
    <d v="2016-07-28T00:00:00"/>
    <d v="2016-09-22T00:00:00"/>
    <x v="0"/>
    <s v="Nil"/>
    <m/>
    <s v="BF"/>
    <x v="4"/>
    <x v="0"/>
    <x v="8"/>
    <n v="2.8000000864267301E-2"/>
    <d v="2017-08-01T00:00:00"/>
    <x v="1"/>
    <m/>
    <x v="0"/>
    <s v="P"/>
    <m/>
    <m/>
    <n v="0"/>
    <m/>
    <n v="0"/>
    <m/>
    <n v="0"/>
    <n v="1"/>
    <n v="1"/>
    <n v="1"/>
    <n v="-1"/>
    <n v="0"/>
    <n v="0"/>
    <n v="0"/>
    <n v="1"/>
    <n v="1"/>
    <n v="1"/>
    <n v="0"/>
    <n v="0"/>
    <n v="0"/>
    <n v="0"/>
    <n v="0"/>
    <n v="0"/>
    <n v="0"/>
    <n v="-1"/>
    <n v="0"/>
    <n v="0"/>
    <n v="0"/>
    <n v="0"/>
    <n v="0"/>
    <n v="0"/>
    <n v="0"/>
    <n v="0"/>
    <n v="0"/>
    <s v="East"/>
    <x v="0"/>
    <x v="0"/>
    <x v="1"/>
    <x v="0"/>
    <x v="0"/>
    <x v="0"/>
    <m/>
    <x v="0"/>
    <s v="Y"/>
    <s v="8A"/>
    <m/>
    <n v="0"/>
    <n v="2"/>
    <n v="0"/>
    <n v="0"/>
    <n v="0"/>
    <n v="0"/>
    <n v="0"/>
    <n v="0"/>
    <n v="0"/>
    <n v="0"/>
    <n v="0"/>
    <n v="0"/>
    <n v="0"/>
    <n v="0"/>
    <n v="0"/>
    <n v="0"/>
    <n v="0"/>
    <n v="0"/>
    <n v="0"/>
    <n v="0"/>
    <n v="0"/>
    <n v="2"/>
    <n v="2"/>
  </r>
  <r>
    <n v="6342"/>
    <x v="2"/>
    <s v="2016/4638"/>
    <m/>
    <s v="23 Huron Road"/>
    <m/>
    <n v="528447"/>
    <n v="172503"/>
    <x v="3"/>
    <d v="2017-03-31T00:00:00"/>
    <m/>
    <n v="6"/>
    <n v="1"/>
    <n v="-5"/>
    <n v="1"/>
    <n v="-5"/>
    <m/>
    <s v="Change of use from 6 flats to a single dwelling"/>
    <s v="PF"/>
    <d v="2016-08-16T00:00:00"/>
    <d v="2016-10-10T00:00:00"/>
    <x v="0"/>
    <s v="Nil"/>
    <m/>
    <s v="BF"/>
    <x v="1"/>
    <x v="0"/>
    <x v="7"/>
    <n v="2.3000000044703501E-2"/>
    <d v="2017-03-31T00:00:00"/>
    <x v="0"/>
    <m/>
    <x v="0"/>
    <s v="P"/>
    <m/>
    <m/>
    <n v="0"/>
    <m/>
    <n v="0"/>
    <m/>
    <n v="0"/>
    <n v="-6"/>
    <n v="0"/>
    <n v="0"/>
    <n v="0"/>
    <n v="1"/>
    <n v="0"/>
    <n v="0"/>
    <n v="-6"/>
    <n v="0"/>
    <n v="0"/>
    <n v="0"/>
    <n v="0"/>
    <n v="0"/>
    <n v="0"/>
    <n v="0"/>
    <n v="0"/>
    <n v="0"/>
    <n v="0"/>
    <n v="1"/>
    <n v="0"/>
    <n v="0"/>
    <n v="0"/>
    <n v="0"/>
    <n v="0"/>
    <n v="0"/>
    <n v="0"/>
    <n v="0"/>
    <s v="East"/>
    <x v="0"/>
    <x v="0"/>
    <x v="1"/>
    <x v="0"/>
    <x v="0"/>
    <x v="0"/>
    <m/>
    <x v="0"/>
    <s v="Y"/>
    <s v="8A"/>
    <m/>
    <n v="0"/>
    <n v="-5"/>
    <n v="0"/>
    <n v="0"/>
    <n v="0"/>
    <n v="0"/>
    <n v="0"/>
    <n v="0"/>
    <n v="0"/>
    <n v="0"/>
    <n v="0"/>
    <n v="0"/>
    <n v="0"/>
    <n v="0"/>
    <n v="0"/>
    <n v="0"/>
    <n v="0"/>
    <n v="0"/>
    <n v="0"/>
    <n v="0"/>
    <n v="0"/>
    <n v="-5"/>
    <n v="-5"/>
  </r>
  <r>
    <n v="6344"/>
    <x v="2"/>
    <s v="2016/4465"/>
    <m/>
    <s v="192-194, 192-194 Tooting High Street"/>
    <m/>
    <n v="527166"/>
    <n v="171035"/>
    <x v="4"/>
    <d v="2018-03-31T00:00:00"/>
    <m/>
    <n v="2"/>
    <n v="5"/>
    <n v="3"/>
    <n v="5"/>
    <n v="3"/>
    <m/>
    <s v="Alterations including erection of mansard roof extension to provide an additional storey, replacement shopfront, and part 2-storey part 3-storey side and rear extension to provide 5 flats (2 x 1-bedroom, 3 x 2-bedroom) and ground floor alterations to provide a restaurant (Class A3) with associated extract flue, cycle and refuse storage."/>
    <s v="PF"/>
    <d v="2016-08-17T00:00:00"/>
    <d v="2017-02-27T00:00:00"/>
    <x v="0"/>
    <s v="Nil"/>
    <m/>
    <s v="BF"/>
    <x v="4"/>
    <x v="0"/>
    <x v="0"/>
    <n v="2.0999999716877899E-2"/>
    <d v="2018-03-31T00:00:00"/>
    <x v="1"/>
    <m/>
    <x v="0"/>
    <s v="P"/>
    <m/>
    <m/>
    <n v="0"/>
    <m/>
    <n v="0"/>
    <m/>
    <n v="0"/>
    <n v="2"/>
    <n v="3"/>
    <n v="0"/>
    <n v="-2"/>
    <n v="0"/>
    <n v="0"/>
    <n v="0"/>
    <n v="2"/>
    <n v="3"/>
    <n v="0"/>
    <n v="-1"/>
    <n v="0"/>
    <n v="0"/>
    <n v="0"/>
    <n v="0"/>
    <n v="0"/>
    <n v="0"/>
    <n v="0"/>
    <n v="0"/>
    <n v="0"/>
    <n v="0"/>
    <n v="0"/>
    <n v="0"/>
    <n v="0"/>
    <n v="-1"/>
    <n v="0"/>
    <n v="0"/>
    <s v="East"/>
    <x v="0"/>
    <x v="0"/>
    <x v="1"/>
    <x v="0"/>
    <x v="0"/>
    <x v="0"/>
    <m/>
    <x v="0"/>
    <s v="Y"/>
    <s v="8B"/>
    <m/>
    <n v="0"/>
    <n v="1.5"/>
    <n v="1.5"/>
    <n v="0"/>
    <n v="0"/>
    <n v="0"/>
    <n v="0"/>
    <n v="0"/>
    <n v="0"/>
    <n v="0"/>
    <n v="0"/>
    <n v="0"/>
    <n v="0"/>
    <n v="0"/>
    <n v="0"/>
    <n v="0"/>
    <n v="0"/>
    <n v="0"/>
    <n v="0"/>
    <n v="0"/>
    <n v="0"/>
    <n v="3"/>
    <n v="3"/>
  </r>
  <r>
    <n v="6347"/>
    <x v="2"/>
    <s v="2016/4757"/>
    <m/>
    <s v="133 Tooting Bec Road"/>
    <m/>
    <n v="528380"/>
    <n v="172124"/>
    <x v="3"/>
    <d v="2017-03-31T00:00:00"/>
    <m/>
    <n v="1"/>
    <n v="2"/>
    <n v="1"/>
    <n v="2"/>
    <n v="1"/>
    <m/>
    <s v="Erection of mansard roof extension to main rear roof (with french doors and safety railings) and formation of roof terrace over two storey back addition with 1.7m screen surround. Alterations in connection with conversion of property into 2 x 3-bedroom flats."/>
    <s v="PF"/>
    <d v="2016-10-27T00:00:00"/>
    <d v="2016-12-21T00:00:00"/>
    <x v="0"/>
    <s v="Nil"/>
    <m/>
    <s v="BF"/>
    <x v="4"/>
    <x v="0"/>
    <x v="8"/>
    <n v="1.7000000923872001E-2"/>
    <d v="2017-03-31T00:00:00"/>
    <x v="0"/>
    <m/>
    <x v="0"/>
    <s v="P"/>
    <m/>
    <m/>
    <n v="0"/>
    <m/>
    <n v="0"/>
    <m/>
    <n v="0"/>
    <n v="0"/>
    <n v="0"/>
    <n v="2"/>
    <n v="0"/>
    <n v="-1"/>
    <n v="0"/>
    <n v="0"/>
    <n v="0"/>
    <n v="0"/>
    <n v="2"/>
    <n v="0"/>
    <n v="0"/>
    <n v="0"/>
    <n v="0"/>
    <n v="0"/>
    <n v="0"/>
    <n v="0"/>
    <n v="0"/>
    <n v="-1"/>
    <n v="0"/>
    <n v="0"/>
    <n v="0"/>
    <n v="0"/>
    <n v="0"/>
    <n v="0"/>
    <n v="0"/>
    <n v="0"/>
    <s v="East"/>
    <x v="0"/>
    <x v="0"/>
    <x v="1"/>
    <x v="0"/>
    <x v="0"/>
    <x v="0"/>
    <m/>
    <x v="0"/>
    <s v="Y"/>
    <s v="8A"/>
    <m/>
    <n v="0"/>
    <n v="1"/>
    <n v="0"/>
    <n v="0"/>
    <n v="0"/>
    <n v="0"/>
    <n v="0"/>
    <n v="0"/>
    <n v="0"/>
    <n v="0"/>
    <n v="0"/>
    <n v="0"/>
    <n v="0"/>
    <n v="0"/>
    <n v="0"/>
    <n v="0"/>
    <n v="0"/>
    <n v="0"/>
    <n v="0"/>
    <n v="0"/>
    <n v="0"/>
    <n v="1"/>
    <n v="1"/>
  </r>
  <r>
    <n v="6356"/>
    <x v="2"/>
    <s v="2016/5245"/>
    <m/>
    <s v="Garages south of 19-27, 19 Skelbrook Road"/>
    <m/>
    <n v="525993"/>
    <n v="172744"/>
    <x v="18"/>
    <d v="2017-03-31T00:00:00"/>
    <m/>
    <n v="0"/>
    <n v="2"/>
    <n v="2"/>
    <n v="2"/>
    <n v="2"/>
    <m/>
    <s v="Demolition of existing garages and erection of  2 x 2-storey, 3-bedroom houses with associated landscaping and 2 x off-street parking spaces with access from Summerley Street."/>
    <s v="PF"/>
    <d v="2016-09-06T00:00:00"/>
    <d v="2016-10-31T00:00:00"/>
    <x v="0"/>
    <s v="Nil"/>
    <m/>
    <s v="BF"/>
    <x v="0"/>
    <x v="0"/>
    <x v="0"/>
    <n v="2.4000000208616298E-2"/>
    <d v="2017-03-31T00:00:00"/>
    <x v="0"/>
    <m/>
    <x v="0"/>
    <s v="P"/>
    <m/>
    <m/>
    <n v="0"/>
    <m/>
    <n v="0"/>
    <m/>
    <n v="0"/>
    <n v="0"/>
    <n v="0"/>
    <n v="2"/>
    <n v="0"/>
    <n v="0"/>
    <n v="0"/>
    <n v="0"/>
    <n v="0"/>
    <n v="0"/>
    <n v="0"/>
    <n v="0"/>
    <n v="0"/>
    <n v="0"/>
    <n v="0"/>
    <n v="0"/>
    <n v="0"/>
    <n v="2"/>
    <n v="0"/>
    <n v="0"/>
    <n v="0"/>
    <n v="0"/>
    <n v="0"/>
    <n v="0"/>
    <n v="0"/>
    <n v="0"/>
    <n v="0"/>
    <n v="0"/>
    <s v="West"/>
    <x v="0"/>
    <x v="0"/>
    <x v="1"/>
    <x v="0"/>
    <x v="0"/>
    <x v="0"/>
    <m/>
    <x v="0"/>
    <s v="Y"/>
    <s v="2A"/>
    <m/>
    <n v="0"/>
    <n v="2"/>
    <n v="0"/>
    <n v="0"/>
    <n v="0"/>
    <n v="0"/>
    <n v="0"/>
    <n v="0"/>
    <n v="0"/>
    <n v="0"/>
    <n v="0"/>
    <n v="0"/>
    <n v="0"/>
    <n v="0"/>
    <n v="0"/>
    <n v="0"/>
    <n v="0"/>
    <n v="0"/>
    <n v="0"/>
    <n v="0"/>
    <n v="0"/>
    <n v="2"/>
    <n v="2"/>
  </r>
  <r>
    <n v="6362"/>
    <x v="2"/>
    <s v="2016/5139"/>
    <m/>
    <s v="85 Elspeth Road"/>
    <m/>
    <n v="527854"/>
    <n v="175303"/>
    <x v="10"/>
    <d v="2017-03-31T00:00:00"/>
    <m/>
    <n v="1"/>
    <n v="3"/>
    <n v="2"/>
    <n v="3"/>
    <n v="2"/>
    <m/>
    <s v="Erection of mansard extension to main rear roof and formation of roof terrace with 1.7m glazed screen surround; excavation to enlarge basement including formation of front and rear lightwells with grille over; alterations in connection with conversion of property into 1 x 3-bedroom and 2 x 1-bedroom flats."/>
    <s v="PF"/>
    <d v="2016-08-30T00:00:00"/>
    <d v="2016-11-28T00:00:00"/>
    <x v="0"/>
    <s v="Nil"/>
    <m/>
    <s v="BF"/>
    <x v="4"/>
    <x v="0"/>
    <x v="8"/>
    <n v="1.09999999403954E-2"/>
    <d v="2017-03-31T00:00:00"/>
    <x v="0"/>
    <m/>
    <x v="0"/>
    <s v="P"/>
    <m/>
    <m/>
    <n v="0"/>
    <m/>
    <n v="0"/>
    <m/>
    <n v="0"/>
    <n v="2"/>
    <n v="0"/>
    <n v="1"/>
    <n v="-1"/>
    <n v="0"/>
    <n v="0"/>
    <n v="0"/>
    <n v="2"/>
    <n v="0"/>
    <n v="1"/>
    <n v="0"/>
    <n v="0"/>
    <n v="0"/>
    <n v="0"/>
    <n v="0"/>
    <n v="0"/>
    <n v="0"/>
    <n v="-1"/>
    <n v="0"/>
    <n v="0"/>
    <n v="0"/>
    <n v="0"/>
    <n v="0"/>
    <n v="0"/>
    <n v="0"/>
    <n v="0"/>
    <n v="0"/>
    <s v="East"/>
    <x v="0"/>
    <x v="0"/>
    <x v="1"/>
    <x v="0"/>
    <x v="0"/>
    <x v="0"/>
    <m/>
    <x v="0"/>
    <s v="Y"/>
    <s v="8A"/>
    <m/>
    <n v="0"/>
    <n v="2"/>
    <n v="0"/>
    <n v="0"/>
    <n v="0"/>
    <n v="0"/>
    <n v="0"/>
    <n v="0"/>
    <n v="0"/>
    <n v="0"/>
    <n v="0"/>
    <n v="0"/>
    <n v="0"/>
    <n v="0"/>
    <n v="0"/>
    <n v="0"/>
    <n v="0"/>
    <n v="0"/>
    <n v="0"/>
    <n v="0"/>
    <n v="0"/>
    <n v="2"/>
    <n v="2"/>
  </r>
  <r>
    <n v="6363"/>
    <x v="2"/>
    <s v="2016/5168"/>
    <m/>
    <s v="Land at  (west of HM Prison), Heathfield Square"/>
    <s v="PRIVATE"/>
    <n v="526647"/>
    <n v="173996"/>
    <x v="17"/>
    <d v="2017-09-01T00:00:00"/>
    <m/>
    <n v="0"/>
    <n v="14"/>
    <n v="14"/>
    <n v="18"/>
    <n v="18"/>
    <s v="Y"/>
    <s v="Redevelopment of the site to provide 18 residential units, comprising six 4-bedroomed houses and 12 flats (3 x one-bedroom, 5 x two-bedroom and 4 x three-bedroom), including 4 shared ownership units, in buildings ranging between two and four-storeys high, with additional accommodation with the roofspace, and including balconies and terraces, with 18 associated off-street parking spaces, cycle parking, access and landscaping works."/>
    <s v="PFLA"/>
    <d v="2016-09-01T00:00:00"/>
    <d v="2017-06-13T00:00:00"/>
    <x v="1"/>
    <s v="Nil"/>
    <m/>
    <s v="BF"/>
    <x v="0"/>
    <x v="1"/>
    <x v="1"/>
    <n v="0.29100000858306901"/>
    <d v="2017-09-01T00:00:00"/>
    <x v="1"/>
    <m/>
    <x v="0"/>
    <s v="P"/>
    <s v="9.4"/>
    <m/>
    <n v="0"/>
    <n v="14"/>
    <n v="0"/>
    <m/>
    <n v="0"/>
    <n v="2"/>
    <n v="3"/>
    <n v="3"/>
    <n v="6"/>
    <n v="0"/>
    <n v="0"/>
    <n v="0"/>
    <n v="2"/>
    <n v="3"/>
    <n v="3"/>
    <n v="0"/>
    <n v="0"/>
    <n v="0"/>
    <n v="0"/>
    <n v="0"/>
    <n v="0"/>
    <n v="0"/>
    <n v="6"/>
    <n v="0"/>
    <n v="0"/>
    <n v="0"/>
    <n v="0"/>
    <n v="0"/>
    <n v="0"/>
    <n v="0"/>
    <n v="0"/>
    <n v="0"/>
    <s v="West"/>
    <x v="0"/>
    <x v="0"/>
    <x v="1"/>
    <x v="0"/>
    <x v="0"/>
    <x v="0"/>
    <m/>
    <x v="0"/>
    <s v="Y"/>
    <s v="2A"/>
    <m/>
    <n v="0"/>
    <n v="14"/>
    <n v="0"/>
    <n v="0"/>
    <n v="0"/>
    <n v="0"/>
    <n v="0"/>
    <n v="0"/>
    <n v="0"/>
    <n v="0"/>
    <n v="0"/>
    <n v="0"/>
    <n v="0"/>
    <n v="0"/>
    <n v="0"/>
    <n v="0"/>
    <n v="0"/>
    <n v="0"/>
    <n v="0"/>
    <n v="0"/>
    <n v="0"/>
    <n v="14"/>
    <n v="14"/>
  </r>
  <r>
    <n v="6363"/>
    <x v="2"/>
    <s v="2016/5168"/>
    <m/>
    <s v="Land at  (west of HM Prison), Heathfield Square"/>
    <s v="S/O INTERMEDIATE"/>
    <n v="526647"/>
    <n v="173996"/>
    <x v="17"/>
    <d v="2017-09-01T00:00:00"/>
    <m/>
    <n v="0"/>
    <n v="4"/>
    <n v="4"/>
    <n v="18"/>
    <n v="18"/>
    <s v="Y"/>
    <s v="Redevelopment of the site to provide 18 residential units, comprising six 4-bedroomed houses and 12 flats (3 x one-bedroom, 5 x two-bedroom and 4 x three-bedroom), including 4 shared ownership units, in buildings ranging between two and four-storeys high, with additional accommodation with the roofspace, and including balconies and terraces, with 18 associated off-street parking spaces, cycle parking, access and landscaping works."/>
    <s v="PFLA"/>
    <d v="2016-09-01T00:00:00"/>
    <d v="2017-06-13T00:00:00"/>
    <x v="1"/>
    <s v="Nil"/>
    <m/>
    <s v="BF"/>
    <x v="0"/>
    <x v="1"/>
    <x v="1"/>
    <n v="8.2999996840953799E-2"/>
    <d v="2017-09-01T00:00:00"/>
    <x v="1"/>
    <m/>
    <x v="1"/>
    <s v="HASO"/>
    <s v="9.4"/>
    <m/>
    <n v="0"/>
    <n v="4"/>
    <n v="0"/>
    <m/>
    <n v="0"/>
    <n v="1"/>
    <n v="2"/>
    <n v="1"/>
    <n v="0"/>
    <n v="0"/>
    <n v="0"/>
    <n v="0"/>
    <n v="1"/>
    <n v="2"/>
    <n v="1"/>
    <n v="0"/>
    <n v="0"/>
    <n v="0"/>
    <n v="0"/>
    <n v="0"/>
    <n v="0"/>
    <n v="0"/>
    <n v="0"/>
    <n v="0"/>
    <n v="0"/>
    <n v="0"/>
    <n v="0"/>
    <n v="0"/>
    <n v="0"/>
    <n v="0"/>
    <n v="0"/>
    <n v="0"/>
    <s v="West"/>
    <x v="0"/>
    <x v="0"/>
    <x v="1"/>
    <x v="0"/>
    <x v="0"/>
    <x v="0"/>
    <m/>
    <x v="0"/>
    <s v="Y"/>
    <s v="2A"/>
    <m/>
    <n v="0"/>
    <n v="4"/>
    <n v="0"/>
    <n v="0"/>
    <n v="0"/>
    <n v="0"/>
    <n v="0"/>
    <n v="0"/>
    <n v="0"/>
    <n v="0"/>
    <n v="0"/>
    <n v="0"/>
    <n v="0"/>
    <n v="0"/>
    <n v="0"/>
    <n v="0"/>
    <n v="0"/>
    <n v="0"/>
    <n v="0"/>
    <n v="0"/>
    <n v="0"/>
    <n v="4"/>
    <n v="4"/>
  </r>
  <r>
    <n v="6371"/>
    <x v="2"/>
    <s v="2016/6533"/>
    <m/>
    <s v="523 Old York Road"/>
    <m/>
    <n v="525949"/>
    <n v="174999"/>
    <x v="0"/>
    <d v="2018-03-31T00:00:00"/>
    <m/>
    <n v="0"/>
    <n v="3"/>
    <n v="3"/>
    <n v="3"/>
    <n v="3"/>
    <m/>
    <s v="Erection of replacement part single-part two storey rear extensions, erection of mansard roof extension, erection of a front dormer, erection of a mansard roof extension above the back addition including formation of roof terrace with glazed screen surround, change of use of first floor and part of the ground floor office space, excavation to enlarge basement including formation of rear lightwells and alterations to provide 1 x 1-bedroom, 1 x 2-bedroom and 1 x 3-bedroom flats."/>
    <s v="PF"/>
    <d v="2016-11-09T00:00:00"/>
    <d v="2017-03-29T00:00:00"/>
    <x v="0"/>
    <s v="Nil"/>
    <m/>
    <s v="BF"/>
    <x v="4"/>
    <x v="0"/>
    <x v="9"/>
    <n v="7.0000002160668399E-3"/>
    <d v="2018-03-31T00:00:00"/>
    <x v="1"/>
    <m/>
    <x v="0"/>
    <s v="P"/>
    <m/>
    <m/>
    <n v="0"/>
    <m/>
    <n v="0"/>
    <m/>
    <n v="0"/>
    <n v="1"/>
    <n v="1"/>
    <n v="1"/>
    <n v="0"/>
    <n v="0"/>
    <n v="0"/>
    <n v="0"/>
    <n v="1"/>
    <n v="1"/>
    <n v="1"/>
    <n v="0"/>
    <n v="0"/>
    <n v="0"/>
    <n v="0"/>
    <n v="0"/>
    <n v="0"/>
    <n v="0"/>
    <n v="0"/>
    <n v="0"/>
    <n v="0"/>
    <n v="0"/>
    <n v="0"/>
    <n v="0"/>
    <n v="0"/>
    <n v="0"/>
    <n v="0"/>
    <n v="0"/>
    <s v="West"/>
    <x v="0"/>
    <x v="0"/>
    <x v="1"/>
    <x v="0"/>
    <x v="0"/>
    <x v="0"/>
    <m/>
    <x v="0"/>
    <s v="Y"/>
    <s v="8B"/>
    <m/>
    <n v="0"/>
    <n v="1.5"/>
    <n v="1.5"/>
    <n v="0"/>
    <n v="0"/>
    <n v="0"/>
    <n v="0"/>
    <n v="0"/>
    <n v="0"/>
    <n v="0"/>
    <n v="0"/>
    <n v="0"/>
    <n v="0"/>
    <n v="0"/>
    <n v="0"/>
    <n v="0"/>
    <n v="0"/>
    <n v="0"/>
    <n v="0"/>
    <n v="0"/>
    <n v="0"/>
    <n v="3"/>
    <n v="3"/>
  </r>
  <r>
    <n v="6371"/>
    <x v="2"/>
    <s v="2016/6541"/>
    <m/>
    <s v="523 Old York Road"/>
    <m/>
    <n v="525949"/>
    <n v="174999"/>
    <x v="0"/>
    <d v="2018-03-31T00:00:00"/>
    <m/>
    <n v="0"/>
    <n v="1"/>
    <n v="1"/>
    <n v="1"/>
    <n v="1"/>
    <m/>
    <s v="Determination as to whether prior approval is required for change of use of office at first floor level from (Class B1a) to residential (Class C3) to provide 1 x 1-bedroom unit."/>
    <s v="PANR"/>
    <d v="2016-11-09T00:00:00"/>
    <d v="2017-01-04T00:00:00"/>
    <x v="0"/>
    <s v="Nil"/>
    <m/>
    <s v="BF"/>
    <x v="3"/>
    <x v="0"/>
    <x v="9"/>
    <n v="7.0000002160668399E-3"/>
    <d v="2018-03-31T00:00:00"/>
    <x v="1"/>
    <m/>
    <x v="0"/>
    <s v="P"/>
    <m/>
    <m/>
    <n v="0"/>
    <m/>
    <n v="0"/>
    <m/>
    <n v="0"/>
    <n v="1"/>
    <n v="0"/>
    <n v="0"/>
    <n v="0"/>
    <n v="0"/>
    <n v="0"/>
    <n v="0"/>
    <n v="1"/>
    <n v="0"/>
    <n v="0"/>
    <n v="0"/>
    <n v="0"/>
    <n v="0"/>
    <n v="0"/>
    <n v="0"/>
    <n v="0"/>
    <n v="0"/>
    <n v="0"/>
    <n v="0"/>
    <n v="0"/>
    <n v="0"/>
    <n v="0"/>
    <n v="0"/>
    <n v="0"/>
    <n v="0"/>
    <n v="0"/>
    <n v="0"/>
    <s v="West"/>
    <x v="0"/>
    <x v="0"/>
    <x v="1"/>
    <x v="0"/>
    <x v="0"/>
    <x v="0"/>
    <m/>
    <x v="0"/>
    <s v="Y"/>
    <s v="8B"/>
    <m/>
    <n v="0"/>
    <n v="0.5"/>
    <n v="0.5"/>
    <n v="0"/>
    <n v="0"/>
    <n v="0"/>
    <n v="0"/>
    <n v="0"/>
    <n v="0"/>
    <n v="0"/>
    <n v="0"/>
    <n v="0"/>
    <n v="0"/>
    <n v="0"/>
    <n v="0"/>
    <n v="0"/>
    <n v="0"/>
    <n v="0"/>
    <n v="0"/>
    <n v="0"/>
    <n v="0"/>
    <n v="1"/>
    <n v="1"/>
  </r>
  <r>
    <n v="6375"/>
    <x v="2"/>
    <s v="2016/4543"/>
    <m/>
    <s v="131 Lower Richmond Road"/>
    <m/>
    <n v="523565"/>
    <n v="175816"/>
    <x v="13"/>
    <d v="2017-09-05T00:00:00"/>
    <m/>
    <n v="1"/>
    <n v="2"/>
    <n v="1"/>
    <n v="2"/>
    <n v="1"/>
    <m/>
    <s v="Proposed use of the first and second floors as two residential flats."/>
    <s v="LDC Prop"/>
    <d v="2016-08-01T00:00:00"/>
    <d v="2016-10-17T00:00:00"/>
    <x v="0"/>
    <s v="Nil"/>
    <m/>
    <s v="BF"/>
    <x v="3"/>
    <x v="0"/>
    <x v="11"/>
    <n v="7.0000002160668399E-3"/>
    <d v="2017-09-05T00:00:00"/>
    <x v="1"/>
    <m/>
    <x v="0"/>
    <s v="P"/>
    <m/>
    <m/>
    <n v="0"/>
    <m/>
    <n v="0"/>
    <m/>
    <n v="0"/>
    <n v="0"/>
    <n v="2"/>
    <n v="0"/>
    <n v="0"/>
    <n v="-1"/>
    <n v="0"/>
    <n v="0"/>
    <n v="0"/>
    <n v="2"/>
    <n v="0"/>
    <n v="0"/>
    <n v="-1"/>
    <n v="0"/>
    <n v="0"/>
    <n v="0"/>
    <n v="0"/>
    <n v="0"/>
    <n v="0"/>
    <n v="0"/>
    <n v="0"/>
    <n v="0"/>
    <n v="0"/>
    <n v="0"/>
    <n v="0"/>
    <n v="0"/>
    <n v="0"/>
    <n v="0"/>
    <s v="West"/>
    <x v="0"/>
    <x v="0"/>
    <x v="1"/>
    <x v="0"/>
    <x v="0"/>
    <x v="0"/>
    <m/>
    <x v="0"/>
    <s v="Y"/>
    <s v="8A"/>
    <m/>
    <n v="0"/>
    <n v="1"/>
    <n v="0"/>
    <n v="0"/>
    <n v="0"/>
    <n v="0"/>
    <n v="0"/>
    <n v="0"/>
    <n v="0"/>
    <n v="0"/>
    <n v="0"/>
    <n v="0"/>
    <n v="0"/>
    <n v="0"/>
    <n v="0"/>
    <n v="0"/>
    <n v="0"/>
    <n v="0"/>
    <n v="0"/>
    <n v="0"/>
    <n v="0"/>
    <n v="1"/>
    <n v="1"/>
  </r>
  <r>
    <n v="6386"/>
    <x v="2"/>
    <s v="2017/3273"/>
    <m/>
    <s v="Land adjacent 1-5, 1-5 Gowrie Road"/>
    <m/>
    <n v="528405"/>
    <n v="175607"/>
    <x v="10"/>
    <d v="2018-03-31T00:00:00"/>
    <m/>
    <n v="0"/>
    <n v="4"/>
    <n v="4"/>
    <n v="4"/>
    <n v="4"/>
    <m/>
    <s v="Erection of a three storey building plus basement to create 3 x two bedroom and 1 x one bedroom (with study) flats; Erection of roof terraces with obscure glazed screening with associated refuse and cycle storage"/>
    <s v="PF"/>
    <d v="2017-06-19T00:00:00"/>
    <d v="2017-08-31T00:00:00"/>
    <x v="1"/>
    <s v="Nil"/>
    <m/>
    <s v="BF"/>
    <x v="0"/>
    <x v="0"/>
    <x v="0"/>
    <n v="1.7000000923872001E-2"/>
    <d v="2018-03-31T00:00:00"/>
    <x v="1"/>
    <m/>
    <x v="0"/>
    <s v="P"/>
    <m/>
    <m/>
    <n v="0"/>
    <m/>
    <n v="0"/>
    <m/>
    <n v="0"/>
    <n v="1"/>
    <n v="3"/>
    <n v="0"/>
    <n v="0"/>
    <n v="0"/>
    <n v="0"/>
    <n v="0"/>
    <n v="1"/>
    <n v="3"/>
    <n v="0"/>
    <n v="0"/>
    <n v="0"/>
    <n v="0"/>
    <n v="0"/>
    <n v="0"/>
    <n v="0"/>
    <n v="0"/>
    <n v="0"/>
    <n v="0"/>
    <n v="0"/>
    <n v="0"/>
    <n v="0"/>
    <n v="0"/>
    <n v="0"/>
    <n v="0"/>
    <n v="0"/>
    <n v="0"/>
    <s v="East"/>
    <x v="0"/>
    <x v="0"/>
    <x v="1"/>
    <x v="0"/>
    <x v="0"/>
    <x v="0"/>
    <m/>
    <x v="0"/>
    <s v="Y"/>
    <s v="2B"/>
    <m/>
    <n v="0"/>
    <n v="2"/>
    <n v="2"/>
    <n v="0"/>
    <n v="0"/>
    <n v="0"/>
    <n v="0"/>
    <n v="0"/>
    <n v="0"/>
    <n v="0"/>
    <n v="0"/>
    <n v="0"/>
    <n v="0"/>
    <n v="0"/>
    <n v="0"/>
    <n v="0"/>
    <n v="0"/>
    <n v="0"/>
    <n v="0"/>
    <n v="0"/>
    <n v="0"/>
    <n v="4"/>
    <n v="4"/>
  </r>
  <r>
    <n v="6398"/>
    <x v="2"/>
    <s v="2017/2098"/>
    <m/>
    <s v="256-264, 256-264 Mitcham Road"/>
    <m/>
    <n v="527962"/>
    <n v="170754"/>
    <x v="8"/>
    <d v="2017-05-19T00:00:00"/>
    <m/>
    <n v="3"/>
    <n v="6"/>
    <n v="3"/>
    <n v="6"/>
    <n v="3"/>
    <m/>
    <s v="Alterations including the erection of a three storey side and rear extension; roof extensions to main rear roof and above two storey back additions; formation of roof terrace at roof level with safety surround in association with the conversion of the upper floors into 5 x 2-bedroom and 1 x 1-bedroom flats with associated refuse and cycle store."/>
    <s v="PF"/>
    <d v="2017-06-08T00:00:00"/>
    <d v="2017-08-03T00:00:00"/>
    <x v="1"/>
    <s v="Nil"/>
    <m/>
    <s v="BF"/>
    <x v="4"/>
    <x v="0"/>
    <x v="10"/>
    <n v="2.3000000044703501E-2"/>
    <d v="2017-05-19T00:00:00"/>
    <x v="1"/>
    <m/>
    <x v="0"/>
    <s v="P"/>
    <m/>
    <m/>
    <n v="0"/>
    <m/>
    <n v="0"/>
    <m/>
    <n v="0"/>
    <n v="-1"/>
    <n v="4"/>
    <n v="0"/>
    <n v="0"/>
    <n v="0"/>
    <n v="0"/>
    <n v="0"/>
    <n v="-1"/>
    <n v="4"/>
    <n v="0"/>
    <n v="0"/>
    <n v="0"/>
    <n v="0"/>
    <n v="0"/>
    <n v="0"/>
    <n v="0"/>
    <n v="0"/>
    <n v="0"/>
    <n v="0"/>
    <n v="0"/>
    <n v="0"/>
    <n v="0"/>
    <n v="0"/>
    <n v="0"/>
    <n v="0"/>
    <n v="0"/>
    <n v="0"/>
    <s v="East"/>
    <x v="0"/>
    <x v="0"/>
    <x v="1"/>
    <x v="0"/>
    <x v="0"/>
    <x v="0"/>
    <m/>
    <x v="0"/>
    <s v="Y"/>
    <s v="8A"/>
    <m/>
    <n v="0"/>
    <n v="3"/>
    <n v="0"/>
    <n v="0"/>
    <n v="0"/>
    <n v="0"/>
    <n v="0"/>
    <n v="0"/>
    <n v="0"/>
    <n v="0"/>
    <n v="0"/>
    <n v="0"/>
    <n v="0"/>
    <n v="0"/>
    <n v="0"/>
    <n v="0"/>
    <n v="0"/>
    <n v="0"/>
    <n v="0"/>
    <n v="0"/>
    <n v="0"/>
    <n v="3"/>
    <n v="3"/>
  </r>
  <r>
    <n v="6399"/>
    <x v="2"/>
    <s v="2016/5955"/>
    <m/>
    <s v="1 Holdernesse Road"/>
    <m/>
    <n v="527919"/>
    <n v="172496"/>
    <x v="11"/>
    <d v="2017-04-12T00:00:00"/>
    <m/>
    <n v="1"/>
    <n v="3"/>
    <n v="2"/>
    <n v="3"/>
    <n v="2"/>
    <m/>
    <s v="Alterations including erection of mansard roof extension to main rear roof and alterations to three storey back addition roof. Alterations to ground floor side/rear extension. Conversion of property to 1 x 3-bedroom and 2 x 1-bedroom flats."/>
    <s v="PF"/>
    <d v="2016-10-11T00:00:00"/>
    <d v="2017-01-18T00:00:00"/>
    <x v="0"/>
    <s v="Nil"/>
    <m/>
    <s v="BF"/>
    <x v="4"/>
    <x v="0"/>
    <x v="8"/>
    <n v="1.7999999225139601E-2"/>
    <d v="2017-04-12T00:00:00"/>
    <x v="1"/>
    <m/>
    <x v="0"/>
    <s v="P"/>
    <m/>
    <m/>
    <n v="0"/>
    <m/>
    <n v="0"/>
    <m/>
    <n v="0"/>
    <n v="2"/>
    <n v="0"/>
    <n v="1"/>
    <n v="-1"/>
    <n v="0"/>
    <n v="0"/>
    <n v="0"/>
    <n v="2"/>
    <n v="0"/>
    <n v="1"/>
    <n v="0"/>
    <n v="0"/>
    <n v="0"/>
    <n v="0"/>
    <n v="0"/>
    <n v="0"/>
    <n v="0"/>
    <n v="-1"/>
    <n v="0"/>
    <n v="0"/>
    <n v="0"/>
    <n v="0"/>
    <n v="0"/>
    <n v="0"/>
    <n v="0"/>
    <n v="0"/>
    <n v="0"/>
    <s v="East"/>
    <x v="0"/>
    <x v="0"/>
    <x v="1"/>
    <x v="0"/>
    <x v="0"/>
    <x v="0"/>
    <m/>
    <x v="0"/>
    <s v="Y"/>
    <s v="8A"/>
    <m/>
    <n v="0"/>
    <n v="2"/>
    <n v="0"/>
    <n v="0"/>
    <n v="0"/>
    <n v="0"/>
    <n v="0"/>
    <n v="0"/>
    <n v="0"/>
    <n v="0"/>
    <n v="0"/>
    <n v="0"/>
    <n v="0"/>
    <n v="0"/>
    <n v="0"/>
    <n v="0"/>
    <n v="0"/>
    <n v="0"/>
    <n v="0"/>
    <n v="0"/>
    <n v="0"/>
    <n v="2"/>
    <n v="2"/>
  </r>
  <r>
    <n v="6400"/>
    <x v="2"/>
    <s v="2017/2382"/>
    <m/>
    <s v="127 Mitcham Lane"/>
    <m/>
    <n v="529268"/>
    <n v="171015"/>
    <x v="12"/>
    <d v="2018-03-31T00:00:00"/>
    <m/>
    <n v="0"/>
    <n v="3"/>
    <n v="3"/>
    <n v="4"/>
    <n v="4"/>
    <m/>
    <s v="Alterations including conversion of part of ground floor from Class A1 (retail) to Class C3 (residential) and erection of a two-storey extension on top the existing single storey rear addition to provide 1 x 2-bedroom and 4 x 1-bedroom units with access from Blegborough Road and associated cycle and refuse storage. Raising of roof to main building and rear dormer extensions to provide additional living space. Roof terraces and balconies at first, second and third floor level."/>
    <s v="PF"/>
    <d v="2017-04-26T00:00:00"/>
    <d v="2017-09-28T00:00:00"/>
    <x v="1"/>
    <s v="Nil"/>
    <m/>
    <s v="BF"/>
    <x v="4"/>
    <x v="0"/>
    <x v="0"/>
    <n v="1.30000002682209E-2"/>
    <d v="2018-03-31T00:00:00"/>
    <x v="1"/>
    <m/>
    <x v="0"/>
    <s v="P"/>
    <m/>
    <m/>
    <n v="3"/>
    <m/>
    <n v="0"/>
    <m/>
    <n v="0"/>
    <n v="2"/>
    <n v="1"/>
    <n v="0"/>
    <n v="0"/>
    <n v="0"/>
    <n v="0"/>
    <n v="0"/>
    <n v="2"/>
    <n v="1"/>
    <n v="0"/>
    <n v="0"/>
    <n v="0"/>
    <n v="0"/>
    <n v="0"/>
    <n v="0"/>
    <n v="0"/>
    <n v="0"/>
    <n v="0"/>
    <n v="0"/>
    <n v="0"/>
    <n v="0"/>
    <n v="0"/>
    <n v="0"/>
    <n v="0"/>
    <n v="0"/>
    <n v="0"/>
    <n v="0"/>
    <s v="East"/>
    <x v="0"/>
    <x v="0"/>
    <x v="1"/>
    <x v="0"/>
    <x v="0"/>
    <x v="0"/>
    <m/>
    <x v="0"/>
    <s v="Y"/>
    <s v="8B"/>
    <m/>
    <n v="0"/>
    <n v="1.5"/>
    <n v="1.5"/>
    <n v="0"/>
    <n v="0"/>
    <n v="0"/>
    <n v="0"/>
    <n v="0"/>
    <n v="0"/>
    <n v="0"/>
    <n v="0"/>
    <n v="0"/>
    <n v="0"/>
    <n v="0"/>
    <n v="0"/>
    <n v="0"/>
    <n v="0"/>
    <n v="0"/>
    <n v="0"/>
    <n v="0"/>
    <n v="0"/>
    <n v="3"/>
    <n v="3"/>
  </r>
  <r>
    <n v="6400"/>
    <x v="2"/>
    <s v="2017/2382"/>
    <m/>
    <s v="127 Mitcham Lane"/>
    <m/>
    <n v="529268"/>
    <n v="171015"/>
    <x v="12"/>
    <d v="2018-03-31T00:00:00"/>
    <m/>
    <n v="0"/>
    <n v="1"/>
    <n v="1"/>
    <n v="4"/>
    <n v="4"/>
    <m/>
    <s v="Alterations including conversion of part of ground floor from Class A1 (retail) to Class C3 (residential) and erection of a two-storey extension on top the existing single storey rear addition to provide 1 x 2-bedroom and 4 x 1-bedroom units with access from Blegborough Road and associated cycle and refuse storage. Raising of roof to main building and rear dormer extensions to provide additional living space. Roof terraces and balconies at first, second and third floor level."/>
    <s v="PF"/>
    <d v="2017-04-26T00:00:00"/>
    <d v="2017-09-28T00:00:00"/>
    <x v="1"/>
    <s v="Nil"/>
    <m/>
    <s v="BF"/>
    <x v="4"/>
    <x v="0"/>
    <x v="4"/>
    <n v="6.0000000521540598E-3"/>
    <d v="2018-03-31T00:00:00"/>
    <x v="1"/>
    <m/>
    <x v="0"/>
    <s v="P"/>
    <m/>
    <m/>
    <n v="1"/>
    <m/>
    <n v="0"/>
    <m/>
    <n v="0"/>
    <n v="0"/>
    <n v="1"/>
    <n v="0"/>
    <n v="0"/>
    <n v="0"/>
    <n v="0"/>
    <n v="0"/>
    <n v="0"/>
    <n v="1"/>
    <n v="0"/>
    <n v="0"/>
    <n v="0"/>
    <n v="0"/>
    <n v="0"/>
    <n v="0"/>
    <n v="0"/>
    <n v="0"/>
    <n v="0"/>
    <n v="0"/>
    <n v="0"/>
    <n v="0"/>
    <n v="0"/>
    <n v="0"/>
    <n v="0"/>
    <n v="0"/>
    <n v="0"/>
    <n v="0"/>
    <s v="East"/>
    <x v="0"/>
    <x v="0"/>
    <x v="1"/>
    <x v="0"/>
    <x v="0"/>
    <x v="0"/>
    <m/>
    <x v="0"/>
    <s v="Y"/>
    <s v="8B"/>
    <m/>
    <n v="0"/>
    <n v="0.5"/>
    <n v="0.5"/>
    <n v="0"/>
    <n v="0"/>
    <n v="0"/>
    <n v="0"/>
    <n v="0"/>
    <n v="0"/>
    <n v="0"/>
    <n v="0"/>
    <n v="0"/>
    <n v="0"/>
    <n v="0"/>
    <n v="0"/>
    <n v="0"/>
    <n v="0"/>
    <n v="0"/>
    <n v="0"/>
    <n v="0"/>
    <n v="0"/>
    <n v="1"/>
    <n v="1"/>
  </r>
  <r>
    <n v="6408"/>
    <x v="2"/>
    <s v="2016/6985"/>
    <m/>
    <s v="96 Felsham Road"/>
    <m/>
    <n v="523763"/>
    <n v="175632"/>
    <x v="13"/>
    <d v="2018-03-31T00:00:00"/>
    <m/>
    <n v="0"/>
    <n v="1"/>
    <n v="1"/>
    <n v="1"/>
    <n v="1"/>
    <m/>
    <s v="Change of use from restaurant (Class A3) to a self contained flat (Class C3); including formation of front lightwell, alterations to the front elevation and erection of a front boundary wall."/>
    <s v="PF"/>
    <d v="2016-12-08T00:00:00"/>
    <d v="2017-02-02T00:00:00"/>
    <x v="0"/>
    <s v="Nil"/>
    <m/>
    <s v="BF"/>
    <x v="4"/>
    <x v="0"/>
    <x v="5"/>
    <n v="8.0000003799796104E-3"/>
    <d v="2018-03-31T00:00:00"/>
    <x v="1"/>
    <m/>
    <x v="0"/>
    <s v="P"/>
    <m/>
    <m/>
    <n v="0"/>
    <m/>
    <n v="0"/>
    <m/>
    <n v="0"/>
    <n v="0"/>
    <n v="1"/>
    <n v="0"/>
    <n v="0"/>
    <n v="0"/>
    <n v="0"/>
    <n v="0"/>
    <n v="0"/>
    <n v="1"/>
    <n v="0"/>
    <n v="0"/>
    <n v="0"/>
    <n v="0"/>
    <n v="0"/>
    <n v="0"/>
    <n v="0"/>
    <n v="0"/>
    <n v="0"/>
    <n v="0"/>
    <n v="0"/>
    <n v="0"/>
    <n v="0"/>
    <n v="0"/>
    <n v="0"/>
    <n v="0"/>
    <n v="0"/>
    <n v="0"/>
    <s v="West"/>
    <x v="0"/>
    <x v="0"/>
    <x v="1"/>
    <x v="0"/>
    <x v="0"/>
    <x v="0"/>
    <m/>
    <x v="0"/>
    <s v="Y"/>
    <s v="8B"/>
    <m/>
    <n v="0"/>
    <n v="0.5"/>
    <n v="0.5"/>
    <n v="0"/>
    <n v="0"/>
    <n v="0"/>
    <n v="0"/>
    <n v="0"/>
    <n v="0"/>
    <n v="0"/>
    <n v="0"/>
    <n v="0"/>
    <n v="0"/>
    <n v="0"/>
    <n v="0"/>
    <n v="0"/>
    <n v="0"/>
    <n v="0"/>
    <n v="0"/>
    <n v="0"/>
    <n v="0"/>
    <n v="1"/>
    <n v="1"/>
  </r>
  <r>
    <n v="6412"/>
    <x v="2"/>
    <s v="2017/1835"/>
    <m/>
    <s v="113 Mysore Road"/>
    <m/>
    <n v="527972"/>
    <n v="175255"/>
    <x v="10"/>
    <d v="2017-07-31T00:00:00"/>
    <m/>
    <n v="1"/>
    <n v="3"/>
    <n v="2"/>
    <n v="3"/>
    <n v="2"/>
    <m/>
    <s v="Alterations including erection of mansard roof extension to main rear roof (with French doors and safety railings) including raising the ridge by 500mm, extension above part of two-storey back-addition. Erection of single-storey rear/side extension and excavation to create basement including front and rear lightwells in connection with conversion of property into 1 x 1 bedroom, 1 x 2 bedroom and 1 x 3 bedroom flats."/>
    <s v="PF"/>
    <d v="2017-03-27T00:00:00"/>
    <d v="2017-07-31T00:00:00"/>
    <x v="1"/>
    <s v="Nil"/>
    <m/>
    <s v="BF"/>
    <x v="4"/>
    <x v="0"/>
    <x v="8"/>
    <n v="1.09999999403954E-2"/>
    <d v="2017-07-31T00:00:00"/>
    <x v="1"/>
    <m/>
    <x v="0"/>
    <s v="P"/>
    <m/>
    <m/>
    <n v="0"/>
    <m/>
    <n v="0"/>
    <m/>
    <n v="0"/>
    <n v="1"/>
    <n v="1"/>
    <n v="1"/>
    <n v="0"/>
    <n v="-1"/>
    <n v="0"/>
    <n v="0"/>
    <n v="1"/>
    <n v="1"/>
    <n v="1"/>
    <n v="0"/>
    <n v="0"/>
    <n v="0"/>
    <n v="0"/>
    <n v="0"/>
    <n v="0"/>
    <n v="0"/>
    <n v="0"/>
    <n v="-1"/>
    <n v="0"/>
    <n v="0"/>
    <n v="0"/>
    <n v="0"/>
    <n v="0"/>
    <n v="0"/>
    <n v="0"/>
    <n v="0"/>
    <s v="East"/>
    <x v="0"/>
    <x v="0"/>
    <x v="1"/>
    <x v="0"/>
    <x v="0"/>
    <x v="0"/>
    <m/>
    <x v="0"/>
    <s v="Y"/>
    <s v="8A"/>
    <m/>
    <n v="0"/>
    <n v="2"/>
    <n v="0"/>
    <n v="0"/>
    <n v="0"/>
    <n v="0"/>
    <n v="0"/>
    <n v="0"/>
    <n v="0"/>
    <n v="0"/>
    <n v="0"/>
    <n v="0"/>
    <n v="0"/>
    <n v="0"/>
    <n v="0"/>
    <n v="0"/>
    <n v="0"/>
    <n v="0"/>
    <n v="0"/>
    <n v="0"/>
    <n v="0"/>
    <n v="2"/>
    <n v="2"/>
  </r>
  <r>
    <n v="6425"/>
    <x v="2"/>
    <s v="2017/0464"/>
    <m/>
    <s v="131 Tooting Bec Road"/>
    <m/>
    <n v="528377"/>
    <n v="172130"/>
    <x v="3"/>
    <d v="2018-03-31T00:00:00"/>
    <m/>
    <n v="1"/>
    <n v="3"/>
    <n v="2"/>
    <n v="3"/>
    <n v="2"/>
    <m/>
    <s v="Erection of dormer roof extension to main rear roof, formation of roof terrace over two-storey back addition with 1.7m screen surround and installation of 3no. rooflights to the front roof slope.  Erection of a single-storey side and rear extension. Enlargement of basement and formation of lightwell in side return. Alterations in connection with conversion of property into 3 flats (1 x 3-bedroom, 1 x 2-bedroom and 1 x 1-bedroom)."/>
    <s v="PF"/>
    <d v="2017-01-30T00:00:00"/>
    <d v="2017-03-27T00:00:00"/>
    <x v="0"/>
    <s v="Nil"/>
    <m/>
    <s v="BF"/>
    <x v="4"/>
    <x v="0"/>
    <x v="8"/>
    <n v="1.7000000923872001E-2"/>
    <d v="2018-03-31T00:00:00"/>
    <x v="1"/>
    <m/>
    <x v="0"/>
    <s v="P"/>
    <m/>
    <m/>
    <n v="0"/>
    <m/>
    <n v="0"/>
    <m/>
    <n v="0"/>
    <n v="1"/>
    <n v="1"/>
    <n v="1"/>
    <n v="-1"/>
    <n v="0"/>
    <n v="0"/>
    <n v="0"/>
    <n v="1"/>
    <n v="1"/>
    <n v="1"/>
    <n v="0"/>
    <n v="0"/>
    <n v="0"/>
    <n v="0"/>
    <n v="0"/>
    <n v="0"/>
    <n v="0"/>
    <n v="-1"/>
    <n v="0"/>
    <n v="0"/>
    <n v="0"/>
    <n v="0"/>
    <n v="0"/>
    <n v="0"/>
    <n v="0"/>
    <n v="0"/>
    <n v="0"/>
    <s v="East"/>
    <x v="0"/>
    <x v="0"/>
    <x v="1"/>
    <x v="0"/>
    <x v="0"/>
    <x v="0"/>
    <m/>
    <x v="0"/>
    <s v="Y"/>
    <s v="8B"/>
    <m/>
    <n v="0"/>
    <n v="1"/>
    <n v="1"/>
    <n v="0"/>
    <n v="0"/>
    <n v="0"/>
    <n v="0"/>
    <n v="0"/>
    <n v="0"/>
    <n v="0"/>
    <n v="0"/>
    <n v="0"/>
    <n v="0"/>
    <n v="0"/>
    <n v="0"/>
    <n v="0"/>
    <n v="0"/>
    <n v="0"/>
    <n v="0"/>
    <n v="0"/>
    <n v="0"/>
    <n v="2"/>
    <n v="2"/>
  </r>
  <r>
    <n v="6431"/>
    <x v="2"/>
    <s v="2016/6119"/>
    <m/>
    <s v="50 Keswick Road"/>
    <m/>
    <n v="524445"/>
    <n v="174363"/>
    <x v="16"/>
    <d v="2017-03-31T00:00:00"/>
    <m/>
    <n v="1"/>
    <n v="9"/>
    <n v="8"/>
    <n v="9"/>
    <n v="8"/>
    <m/>
    <s v="Demolition of existing dwelling and erection of two-storey building (with accommodation at roof and basement levels), to provide 4 x 3-bedroom, 4 x 2-bedroom and 1 x 1-bedroom flats with associated roof terraces to north, east and south elevations; cycle and refuse storage, five car parking spaces and associated landscaping. Erection of replacement front and side boundary wall and railings with pedestrian and vehicular gates up to 1.3m high."/>
    <s v="PF"/>
    <d v="2016-10-20T00:00:00"/>
    <d v="2017-03-24T00:00:00"/>
    <x v="0"/>
    <s v="Nil"/>
    <m/>
    <s v="BF"/>
    <x v="0"/>
    <x v="0"/>
    <x v="0"/>
    <n v="7.8000001609325395E-2"/>
    <d v="2017-03-31T00:00:00"/>
    <x v="0"/>
    <m/>
    <x v="0"/>
    <s v="P"/>
    <m/>
    <m/>
    <n v="0"/>
    <m/>
    <n v="0"/>
    <m/>
    <n v="0"/>
    <n v="1"/>
    <n v="4"/>
    <n v="4"/>
    <n v="-1"/>
    <n v="0"/>
    <n v="0"/>
    <n v="0"/>
    <n v="1"/>
    <n v="4"/>
    <n v="4"/>
    <n v="0"/>
    <n v="0"/>
    <n v="0"/>
    <n v="0"/>
    <n v="0"/>
    <n v="0"/>
    <n v="0"/>
    <n v="-1"/>
    <n v="0"/>
    <n v="0"/>
    <n v="0"/>
    <n v="0"/>
    <n v="0"/>
    <n v="0"/>
    <n v="0"/>
    <n v="0"/>
    <n v="0"/>
    <s v="West"/>
    <x v="0"/>
    <x v="0"/>
    <x v="1"/>
    <x v="0"/>
    <x v="0"/>
    <x v="0"/>
    <m/>
    <x v="0"/>
    <s v="Y"/>
    <s v="2A"/>
    <m/>
    <n v="0"/>
    <n v="8"/>
    <n v="0"/>
    <n v="0"/>
    <n v="0"/>
    <n v="0"/>
    <n v="0"/>
    <n v="0"/>
    <n v="0"/>
    <n v="0"/>
    <n v="0"/>
    <n v="0"/>
    <n v="0"/>
    <n v="0"/>
    <n v="0"/>
    <n v="0"/>
    <n v="0"/>
    <n v="0"/>
    <n v="0"/>
    <n v="0"/>
    <n v="0"/>
    <n v="8"/>
    <n v="8"/>
  </r>
  <r>
    <n v="6432"/>
    <x v="2"/>
    <s v="2016/6734"/>
    <m/>
    <s v="2A &amp; B and 12 &amp; 14, Church Lane"/>
    <m/>
    <n v="527816"/>
    <n v="171144"/>
    <x v="8"/>
    <d v="2017-03-31T00:00:00"/>
    <m/>
    <n v="0"/>
    <n v="5"/>
    <n v="5"/>
    <n v="5"/>
    <n v="5"/>
    <m/>
    <s v="Erection of a two-storey terrace comprising 5 x 1-bedroom houses."/>
    <s v="PF"/>
    <d v="2016-11-25T00:00:00"/>
    <d v="2017-03-31T00:00:00"/>
    <x v="0"/>
    <s v="Nil"/>
    <m/>
    <s v="BF"/>
    <x v="0"/>
    <x v="0"/>
    <x v="0"/>
    <n v="2.70000007003546E-2"/>
    <d v="2017-04-01T00:00:00"/>
    <x v="1"/>
    <m/>
    <x v="0"/>
    <s v="P"/>
    <m/>
    <m/>
    <n v="0"/>
    <m/>
    <n v="5"/>
    <m/>
    <n v="0"/>
    <n v="5"/>
    <n v="0"/>
    <n v="0"/>
    <n v="0"/>
    <n v="0"/>
    <n v="0"/>
    <n v="0"/>
    <n v="0"/>
    <n v="0"/>
    <n v="0"/>
    <n v="0"/>
    <n v="0"/>
    <n v="0"/>
    <n v="0"/>
    <n v="5"/>
    <n v="0"/>
    <n v="0"/>
    <n v="0"/>
    <n v="0"/>
    <n v="0"/>
    <n v="0"/>
    <n v="0"/>
    <n v="0"/>
    <n v="0"/>
    <n v="0"/>
    <n v="0"/>
    <n v="0"/>
    <s v="East"/>
    <x v="0"/>
    <x v="0"/>
    <x v="1"/>
    <x v="0"/>
    <x v="0"/>
    <x v="0"/>
    <m/>
    <x v="0"/>
    <s v="Y"/>
    <s v="2A"/>
    <m/>
    <n v="0"/>
    <n v="5"/>
    <n v="0"/>
    <n v="0"/>
    <n v="0"/>
    <n v="0"/>
    <n v="0"/>
    <n v="0"/>
    <n v="0"/>
    <n v="0"/>
    <n v="0"/>
    <n v="0"/>
    <n v="0"/>
    <n v="0"/>
    <n v="0"/>
    <n v="0"/>
    <n v="0"/>
    <n v="0"/>
    <n v="0"/>
    <n v="0"/>
    <n v="0"/>
    <n v="5"/>
    <n v="5"/>
  </r>
  <r>
    <n v="6433"/>
    <x v="2"/>
    <s v="2016/7179"/>
    <m/>
    <s v="Heathmere School Keeper's House, Alton Road"/>
    <m/>
    <n v="522309"/>
    <n v="173207"/>
    <x v="15"/>
    <d v="2018-03-31T00:00:00"/>
    <m/>
    <n v="1"/>
    <n v="6"/>
    <n v="5"/>
    <n v="6"/>
    <n v="5"/>
    <m/>
    <s v="Erection of new three storey building comprising of 6 new residential dwellings (3 x two-bedroom duplex apartments at ground and first floor level, all with private external area to the rear, and 3 x one-bedroom loft apartments with rear balconies at second floor level). Associated landscaping, boundary treatment and cycle and refuse storage."/>
    <s v="PF"/>
    <d v="2017-01-06T00:00:00"/>
    <d v="2017-03-24T00:00:00"/>
    <x v="0"/>
    <s v="Nil"/>
    <m/>
    <s v="BF"/>
    <x v="0"/>
    <x v="0"/>
    <x v="0"/>
    <n v="3.20000015199184E-2"/>
    <d v="2018-03-31T00:00:00"/>
    <x v="1"/>
    <m/>
    <x v="0"/>
    <s v="P"/>
    <m/>
    <m/>
    <n v="0"/>
    <m/>
    <n v="0"/>
    <m/>
    <n v="0"/>
    <n v="3"/>
    <n v="3"/>
    <n v="0"/>
    <n v="0"/>
    <n v="0"/>
    <n v="-1"/>
    <n v="0"/>
    <n v="3"/>
    <n v="3"/>
    <n v="0"/>
    <n v="0"/>
    <n v="0"/>
    <n v="0"/>
    <n v="0"/>
    <n v="0"/>
    <n v="0"/>
    <n v="0"/>
    <n v="0"/>
    <n v="0"/>
    <n v="-1"/>
    <n v="0"/>
    <n v="0"/>
    <n v="0"/>
    <n v="0"/>
    <n v="0"/>
    <n v="0"/>
    <n v="0"/>
    <s v="West"/>
    <x v="0"/>
    <x v="0"/>
    <x v="1"/>
    <x v="0"/>
    <x v="0"/>
    <x v="0"/>
    <m/>
    <x v="0"/>
    <s v="Y"/>
    <s v="2B"/>
    <m/>
    <n v="0"/>
    <n v="2.5"/>
    <n v="2.5"/>
    <n v="0"/>
    <n v="0"/>
    <n v="0"/>
    <n v="0"/>
    <n v="0"/>
    <n v="0"/>
    <n v="0"/>
    <n v="0"/>
    <n v="0"/>
    <n v="0"/>
    <n v="0"/>
    <n v="0"/>
    <n v="0"/>
    <n v="0"/>
    <n v="0"/>
    <n v="0"/>
    <n v="0"/>
    <n v="0"/>
    <n v="5"/>
    <n v="5"/>
  </r>
  <r>
    <n v="6485"/>
    <x v="2"/>
    <s v="2017/1163"/>
    <m/>
    <s v="312 Garratt Lane"/>
    <m/>
    <n v="525849"/>
    <n v="173219"/>
    <x v="18"/>
    <d v="2018-03-31T00:00:00"/>
    <m/>
    <n v="2"/>
    <n v="3"/>
    <n v="1"/>
    <n v="3"/>
    <n v="1"/>
    <m/>
    <s v="Erection of single-storey rear extension and creation of a studio flat (Class C3) at second floor level."/>
    <s v="PF"/>
    <d v="2017-02-24T00:00:00"/>
    <d v="2017-04-21T00:00:00"/>
    <x v="1"/>
    <s v="Nil"/>
    <m/>
    <s v="BF"/>
    <x v="4"/>
    <x v="0"/>
    <x v="10"/>
    <n v="8.9999996125698107E-3"/>
    <d v="2018-03-31T00:00:00"/>
    <x v="0"/>
    <m/>
    <x v="0"/>
    <s v="P"/>
    <m/>
    <m/>
    <n v="0"/>
    <m/>
    <n v="0"/>
    <m/>
    <n v="1"/>
    <n v="0"/>
    <n v="1"/>
    <n v="-1"/>
    <n v="0"/>
    <n v="0"/>
    <n v="0"/>
    <n v="1"/>
    <n v="0"/>
    <n v="1"/>
    <n v="-1"/>
    <n v="0"/>
    <n v="0"/>
    <n v="0"/>
    <n v="0"/>
    <n v="0"/>
    <n v="0"/>
    <n v="0"/>
    <n v="0"/>
    <n v="0"/>
    <n v="0"/>
    <n v="0"/>
    <n v="0"/>
    <n v="0"/>
    <n v="0"/>
    <n v="0"/>
    <n v="0"/>
    <n v="0"/>
    <s v="West"/>
    <x v="0"/>
    <x v="0"/>
    <x v="1"/>
    <x v="0"/>
    <x v="0"/>
    <x v="0"/>
    <m/>
    <x v="1"/>
    <s v="Y"/>
    <s v="8B"/>
    <m/>
    <n v="0"/>
    <n v="0.5"/>
    <n v="0.5"/>
    <n v="0"/>
    <n v="0"/>
    <n v="0"/>
    <n v="0"/>
    <n v="0"/>
    <n v="0"/>
    <n v="0"/>
    <n v="0"/>
    <n v="0"/>
    <n v="0"/>
    <n v="0"/>
    <n v="0"/>
    <n v="0"/>
    <n v="0"/>
    <n v="0"/>
    <n v="0"/>
    <n v="0"/>
    <n v="0"/>
    <n v="1"/>
    <n v="1"/>
  </r>
  <r>
    <n v="6486"/>
    <x v="2"/>
    <s v="2017/0926"/>
    <m/>
    <s v="Basement &amp; Ground Floor, 155 Battersea Park road"/>
    <m/>
    <n v="528829"/>
    <n v="176973"/>
    <x v="6"/>
    <d v="2017-05-04T00:00:00"/>
    <m/>
    <n v="0"/>
    <n v="3"/>
    <n v="3"/>
    <n v="3"/>
    <n v="3"/>
    <m/>
    <s v="Determination as to whether prior approval is required for change of use from financial and professional services (Class A2) to three flats (Class C3) with associated external alterations to front elevation."/>
    <s v="PANR"/>
    <d v="2017-03-03T00:00:00"/>
    <d v="2017-05-04T00:00:00"/>
    <x v="1"/>
    <s v="Nil"/>
    <m/>
    <s v="BF"/>
    <x v="3"/>
    <x v="0"/>
    <x v="9"/>
    <n v="4.0000001899898104E-3"/>
    <d v="2017-05-04T00:00:00"/>
    <x v="1"/>
    <m/>
    <x v="0"/>
    <s v="P"/>
    <m/>
    <m/>
    <n v="0"/>
    <m/>
    <n v="0"/>
    <m/>
    <n v="0"/>
    <n v="1"/>
    <n v="2"/>
    <n v="0"/>
    <n v="0"/>
    <n v="0"/>
    <n v="0"/>
    <n v="0"/>
    <n v="1"/>
    <n v="2"/>
    <n v="0"/>
    <n v="0"/>
    <n v="0"/>
    <n v="0"/>
    <n v="0"/>
    <n v="0"/>
    <n v="0"/>
    <n v="0"/>
    <n v="0"/>
    <n v="0"/>
    <n v="0"/>
    <n v="0"/>
    <n v="0"/>
    <n v="0"/>
    <n v="0"/>
    <n v="0"/>
    <n v="0"/>
    <n v="0"/>
    <s v="Strategic Planning/Nine Elms"/>
    <x v="0"/>
    <x v="1"/>
    <x v="1"/>
    <x v="0"/>
    <x v="0"/>
    <x v="0"/>
    <m/>
    <x v="0"/>
    <s v="Y"/>
    <s v="8A"/>
    <m/>
    <n v="0"/>
    <n v="3"/>
    <n v="0"/>
    <n v="0"/>
    <n v="0"/>
    <n v="0"/>
    <n v="0"/>
    <n v="0"/>
    <n v="0"/>
    <n v="0"/>
    <n v="0"/>
    <n v="0"/>
    <n v="0"/>
    <n v="0"/>
    <n v="0"/>
    <n v="0"/>
    <n v="0"/>
    <n v="0"/>
    <n v="0"/>
    <n v="0"/>
    <n v="0"/>
    <n v="3"/>
    <n v="3"/>
  </r>
  <r>
    <n v="6486"/>
    <x v="2"/>
    <s v="2017/2885"/>
    <m/>
    <s v="Basement &amp; Ground Floor, 155 Battersea Park road"/>
    <m/>
    <n v="528829"/>
    <n v="176973"/>
    <x v="6"/>
    <d v="2017-10-27T00:00:00"/>
    <m/>
    <n v="0"/>
    <n v="1"/>
    <n v="1"/>
    <n v="1"/>
    <n v="1"/>
    <m/>
    <s v="Erection of two-storey rear extension to enable formation of 1 x studio flat."/>
    <s v="PF"/>
    <d v="2017-06-05T00:00:00"/>
    <d v="2017-10-27T00:00:00"/>
    <x v="1"/>
    <s v="Nil"/>
    <m/>
    <s v="BF"/>
    <x v="2"/>
    <x v="0"/>
    <x v="3"/>
    <n v="3.0000000260770299E-3"/>
    <d v="2017-10-27T00:00:00"/>
    <x v="1"/>
    <m/>
    <x v="0"/>
    <s v="P"/>
    <m/>
    <m/>
    <n v="0"/>
    <m/>
    <n v="0"/>
    <m/>
    <n v="1"/>
    <n v="0"/>
    <n v="0"/>
    <n v="0"/>
    <n v="0"/>
    <n v="0"/>
    <n v="0"/>
    <n v="1"/>
    <n v="0"/>
    <n v="0"/>
    <n v="0"/>
    <n v="0"/>
    <n v="0"/>
    <n v="0"/>
    <n v="0"/>
    <n v="0"/>
    <n v="0"/>
    <n v="0"/>
    <n v="0"/>
    <n v="0"/>
    <n v="0"/>
    <n v="0"/>
    <n v="0"/>
    <n v="0"/>
    <n v="0"/>
    <n v="0"/>
    <n v="0"/>
    <n v="0"/>
    <s v="Strategic Planning/Nine Elms"/>
    <x v="0"/>
    <x v="1"/>
    <x v="1"/>
    <x v="0"/>
    <x v="0"/>
    <x v="0"/>
    <m/>
    <x v="0"/>
    <s v="Y"/>
    <s v="8B"/>
    <m/>
    <n v="0"/>
    <n v="0.5"/>
    <n v="0.5"/>
    <n v="0"/>
    <n v="0"/>
    <n v="0"/>
    <n v="0"/>
    <n v="0"/>
    <n v="0"/>
    <n v="0"/>
    <n v="0"/>
    <n v="0"/>
    <n v="0"/>
    <n v="0"/>
    <n v="0"/>
    <n v="0"/>
    <n v="0"/>
    <n v="0"/>
    <n v="0"/>
    <n v="0"/>
    <n v="0"/>
    <n v="1"/>
    <n v="1"/>
  </r>
  <r>
    <n v="6496"/>
    <x v="2"/>
    <s v="2017/0248"/>
    <m/>
    <s v="298 Cavendish Road"/>
    <m/>
    <n v="529005"/>
    <n v="173304"/>
    <x v="9"/>
    <d v="2018-03-31T00:00:00"/>
    <m/>
    <n v="0"/>
    <n v="2"/>
    <n v="2"/>
    <n v="2"/>
    <n v="2"/>
    <m/>
    <s v="Change of use from surgery (Class D1) to 2 x 2 bedroom flats (Class C3). Alterations including erection of mansard roof extension to main rear roof  and extension above part of two-storey back addition (with French doors and safety railings); formation of roof terrace above two-storey back addition with screen surround, erection of single-storey rear/side extension and new shopfront."/>
    <s v="PF"/>
    <d v="2017-01-24T00:00:00"/>
    <d v="2017-04-27T00:00:00"/>
    <x v="1"/>
    <s v="Nil"/>
    <m/>
    <s v="BF"/>
    <x v="4"/>
    <x v="0"/>
    <x v="9"/>
    <n v="9.9999997764825804E-3"/>
    <d v="2018-03-31T00:00:00"/>
    <x v="1"/>
    <m/>
    <x v="0"/>
    <s v="P"/>
    <m/>
    <m/>
    <n v="0"/>
    <m/>
    <n v="0"/>
    <m/>
    <n v="0"/>
    <n v="0"/>
    <n v="2"/>
    <n v="0"/>
    <n v="0"/>
    <n v="0"/>
    <n v="0"/>
    <n v="0"/>
    <n v="0"/>
    <n v="2"/>
    <n v="0"/>
    <n v="0"/>
    <n v="0"/>
    <n v="0"/>
    <n v="0"/>
    <n v="0"/>
    <n v="0"/>
    <n v="0"/>
    <n v="0"/>
    <n v="0"/>
    <n v="0"/>
    <n v="0"/>
    <n v="0"/>
    <n v="0"/>
    <n v="0"/>
    <n v="0"/>
    <n v="0"/>
    <n v="0"/>
    <s v="East"/>
    <x v="0"/>
    <x v="0"/>
    <x v="1"/>
    <x v="0"/>
    <x v="0"/>
    <x v="0"/>
    <m/>
    <x v="0"/>
    <s v="Y"/>
    <s v="8B"/>
    <m/>
    <n v="0"/>
    <n v="1"/>
    <n v="1"/>
    <n v="0"/>
    <n v="0"/>
    <n v="0"/>
    <n v="0"/>
    <n v="0"/>
    <n v="0"/>
    <n v="0"/>
    <n v="0"/>
    <n v="0"/>
    <n v="0"/>
    <n v="0"/>
    <n v="0"/>
    <n v="0"/>
    <n v="0"/>
    <n v="0"/>
    <n v="0"/>
    <n v="0"/>
    <n v="0"/>
    <n v="2"/>
    <n v="2"/>
  </r>
  <r>
    <n v="6511"/>
    <x v="2"/>
    <s v="2016/6473"/>
    <m/>
    <s v="521 Old York Road"/>
    <m/>
    <n v="525953"/>
    <n v="175002"/>
    <x v="0"/>
    <d v="2018-03-31T00:00:00"/>
    <m/>
    <n v="2"/>
    <n v="4"/>
    <n v="2"/>
    <n v="4"/>
    <n v="2"/>
    <m/>
    <s v="Erection of replacement two-storey rear extension; erection of mansard roof extension to main rear roof, insertion of front dormer and formation of rear roof terrace with screen surround; excavation to enlarge basement including formation of rear lightwell with grille over; alterations to rear and above retail unit to provide 3 x 2-bedroom and 1 x 1-bedroom flats."/>
    <s v="PF"/>
    <d v="2016-11-09T00:00:00"/>
    <d v="2017-06-02T00:00:00"/>
    <x v="1"/>
    <s v="Nil"/>
    <m/>
    <s v="BF"/>
    <x v="4"/>
    <x v="0"/>
    <x v="9"/>
    <n v="9.9999997764825804E-3"/>
    <d v="2018-03-31T00:00:00"/>
    <x v="1"/>
    <m/>
    <x v="0"/>
    <s v="P"/>
    <m/>
    <m/>
    <n v="0"/>
    <m/>
    <n v="0"/>
    <m/>
    <n v="0"/>
    <n v="1"/>
    <n v="3"/>
    <n v="0"/>
    <n v="0"/>
    <n v="0"/>
    <n v="-2"/>
    <n v="0"/>
    <n v="1"/>
    <n v="3"/>
    <n v="0"/>
    <n v="0"/>
    <n v="0"/>
    <n v="-2"/>
    <n v="0"/>
    <n v="0"/>
    <n v="0"/>
    <n v="0"/>
    <n v="0"/>
    <n v="0"/>
    <n v="0"/>
    <n v="0"/>
    <n v="0"/>
    <n v="0"/>
    <n v="0"/>
    <n v="0"/>
    <n v="0"/>
    <n v="0"/>
    <s v="West"/>
    <x v="0"/>
    <x v="0"/>
    <x v="1"/>
    <x v="0"/>
    <x v="0"/>
    <x v="0"/>
    <m/>
    <x v="0"/>
    <s v="Y"/>
    <s v="8B"/>
    <m/>
    <n v="0"/>
    <n v="1"/>
    <n v="1"/>
    <n v="0"/>
    <n v="0"/>
    <n v="0"/>
    <n v="0"/>
    <n v="0"/>
    <n v="0"/>
    <n v="0"/>
    <n v="0"/>
    <n v="0"/>
    <n v="0"/>
    <n v="0"/>
    <n v="0"/>
    <n v="0"/>
    <n v="0"/>
    <n v="0"/>
    <n v="0"/>
    <n v="0"/>
    <n v="0"/>
    <n v="2"/>
    <n v="2"/>
  </r>
  <r>
    <n v="6517"/>
    <x v="2"/>
    <s v="2017/0090"/>
    <m/>
    <s v="Land at Wandsworth Riverside Quarter Phase 3 (Building 6B), Point Pleasant/Osiers Road"/>
    <m/>
    <n v="525437"/>
    <n v="175256"/>
    <x v="13"/>
    <d v="2018-01-10T00:00:00"/>
    <m/>
    <n v="0"/>
    <n v="93"/>
    <n v="93"/>
    <n v="172"/>
    <n v="172"/>
    <s v="Y"/>
    <s v="Erection of a mixed use development in a building ranging between 11 storeys (ground plus mezzanine and 10 upper storeys) on the southern part of the site, rising up to 15 storeys (ground plus mezzanine and 14 upper storeys) at the northern end of the site adjacent to the river Thames frontage (the proposed development is on the site of the previously consented 9 storey building 6B, approved under application ref. 2009/3372). The development is to provide 918sq.m. (GIA) of commercial use on the ground floor, comprising 322 sq.m. of flexible B1 (business)/A1 (retail)/A3 (food and drink) floorspace, 174sqm of A3/A4 (food and drink) floorspace, and 422sq.m. of D2 (assembly and leisure) floorspace, with 172 residential units (of private and affordable tenure) on the upper floors, together with basement levels with 72 car and 340 cycle parking spaces, and associated amenity space provision including roof terraces and balconies, together with landscaping/areas of public realm, including space for outside seating and a riverside promenade. An Environmental Statement has been submitted with the application under the Town and Country Planning (Environmental Impact Assessment) Regulations 2011 (as amended)."/>
    <s v="PFLA"/>
    <d v="2017-01-09T00:00:00"/>
    <d v="2017-12-21T00:00:00"/>
    <x v="1"/>
    <s v="Nil"/>
    <m/>
    <s v="BF"/>
    <x v="0"/>
    <x v="1"/>
    <x v="1"/>
    <n v="2.1600000560283699E-2"/>
    <d v="2018-01-10T00:00:00"/>
    <x v="1"/>
    <m/>
    <x v="1"/>
    <s v="HAIS"/>
    <s v="3.3.1"/>
    <m/>
    <n v="0"/>
    <n v="84"/>
    <n v="0"/>
    <n v="9"/>
    <n v="1"/>
    <n v="21"/>
    <n v="71"/>
    <n v="0"/>
    <n v="0"/>
    <n v="0"/>
    <n v="0"/>
    <n v="1"/>
    <n v="21"/>
    <n v="71"/>
    <n v="0"/>
    <n v="0"/>
    <n v="0"/>
    <n v="0"/>
    <n v="0"/>
    <n v="0"/>
    <n v="0"/>
    <n v="0"/>
    <n v="0"/>
    <n v="0"/>
    <n v="0"/>
    <n v="0"/>
    <n v="0"/>
    <n v="0"/>
    <n v="0"/>
    <n v="0"/>
    <n v="0"/>
    <n v="0"/>
    <s v="West"/>
    <x v="0"/>
    <x v="0"/>
    <x v="0"/>
    <x v="0"/>
    <x v="0"/>
    <x v="0"/>
    <m/>
    <x v="0"/>
    <s v="Y"/>
    <s v="3A"/>
    <m/>
    <n v="0"/>
    <n v="0"/>
    <n v="93"/>
    <n v="0"/>
    <n v="0"/>
    <n v="0"/>
    <n v="0"/>
    <n v="0"/>
    <n v="0"/>
    <n v="0"/>
    <n v="0"/>
    <n v="0"/>
    <n v="0"/>
    <n v="0"/>
    <n v="0"/>
    <n v="0"/>
    <n v="0"/>
    <n v="0"/>
    <n v="0"/>
    <n v="0"/>
    <n v="0"/>
    <n v="93"/>
    <n v="93"/>
  </r>
  <r>
    <n v="6517"/>
    <x v="2"/>
    <s v="2017/0090"/>
    <m/>
    <s v="Land at Wandsworth Riverside Quarter Phase 3 (Building 6B), Point Pleasant/Osiers Road"/>
    <m/>
    <n v="525437"/>
    <n v="175256"/>
    <x v="13"/>
    <d v="2018-01-10T00:00:00"/>
    <m/>
    <n v="0"/>
    <n v="79"/>
    <n v="79"/>
    <n v="172"/>
    <n v="172"/>
    <s v="Y"/>
    <s v="Erection of a mixed use development in a building ranging between 11 storeys (ground plus mezzanine and 10 upper storeys) on the southern part of the site, rising up to 15 storeys (ground plus mezzanine and 14 upper storeys) at the northern end of the site adjacent to the river Thames frontage (the proposed development is on the site of the previously consented 9 storey building 6B, approved under application ref. 2009/3372). The development is to provide 918sq.m. (GIA) of commercial use on the ground floor, comprising 322 sq.m. of flexible B1 (business)/A1 (retail)/A3 (food and drink) floorspace, 174sqm of A3/A4 (food and drink) floorspace, and 422sq.m. of D2 (assembly and leisure) floorspace, with 172 residential units (of private and affordable tenure) on the upper floors, together with basement levels with 72 car and 340 cycle parking spaces, and associated amenity space provision including roof terraces and balconies, together with landscaping/areas of public realm, including space for outside seating and a riverside promenade. An Environmental Statement has been submitted with the application under the Town and Country Planning (Environmental Impact Assessment) Regulations 2011 (as amended)."/>
    <s v="PFLA"/>
    <d v="2017-01-09T00:00:00"/>
    <d v="2017-12-21T00:00:00"/>
    <x v="1"/>
    <s v="Nil"/>
    <m/>
    <s v="BF"/>
    <x v="0"/>
    <x v="1"/>
    <x v="1"/>
    <n v="0.222000002861023"/>
    <d v="2018-01-10T00:00:00"/>
    <x v="1"/>
    <m/>
    <x v="0"/>
    <s v="P"/>
    <s v="3.3.1"/>
    <m/>
    <n v="0"/>
    <n v="71"/>
    <n v="0"/>
    <n v="8"/>
    <n v="0"/>
    <n v="6"/>
    <n v="73"/>
    <n v="0"/>
    <n v="0"/>
    <n v="0"/>
    <n v="0"/>
    <n v="0"/>
    <n v="6"/>
    <n v="73"/>
    <n v="0"/>
    <n v="0"/>
    <n v="0"/>
    <n v="0"/>
    <n v="0"/>
    <n v="0"/>
    <n v="0"/>
    <n v="0"/>
    <n v="0"/>
    <n v="0"/>
    <n v="0"/>
    <n v="0"/>
    <n v="0"/>
    <n v="0"/>
    <n v="0"/>
    <n v="0"/>
    <n v="0"/>
    <n v="0"/>
    <s v="West"/>
    <x v="0"/>
    <x v="0"/>
    <x v="0"/>
    <x v="0"/>
    <x v="0"/>
    <x v="0"/>
    <m/>
    <x v="0"/>
    <s v="Y"/>
    <s v="3A"/>
    <m/>
    <n v="0"/>
    <n v="0"/>
    <n v="79"/>
    <n v="0"/>
    <n v="0"/>
    <n v="0"/>
    <n v="0"/>
    <n v="0"/>
    <n v="0"/>
    <n v="0"/>
    <n v="0"/>
    <n v="0"/>
    <n v="0"/>
    <n v="0"/>
    <n v="0"/>
    <n v="0"/>
    <n v="0"/>
    <n v="0"/>
    <n v="0"/>
    <n v="0"/>
    <n v="0"/>
    <n v="79"/>
    <n v="79"/>
  </r>
  <r>
    <n v="6530"/>
    <x v="2"/>
    <s v="2017/1196"/>
    <m/>
    <s v="2 Langside Avenue"/>
    <m/>
    <n v="522247"/>
    <n v="175326"/>
    <x v="7"/>
    <d v="2018-03-08T00:00:00"/>
    <m/>
    <n v="2"/>
    <n v="1"/>
    <n v="-1"/>
    <n v="1"/>
    <n v="-1"/>
    <m/>
    <s v="Alterations including re-profiling the existing main roof and back addition roof; erection of mansard roof extension to the rear roof slope; Insertion of dormer windows in the roof of the back addition; erection of front dormer and formation of roof terrace above main roof;  erection of balcony at rear first floor level; erection of single-storey rear/side extension; excavation to create basement including formation of front lightwell; use as a 5-bedroom house."/>
    <s v="PF"/>
    <d v="2017-03-17T00:00:00"/>
    <d v="2017-06-23T00:00:00"/>
    <x v="1"/>
    <s v="Nil"/>
    <m/>
    <s v="BF"/>
    <x v="1"/>
    <x v="0"/>
    <x v="7"/>
    <n v="3.8400001823902102E-2"/>
    <d v="2018-03-08T00:00:00"/>
    <x v="1"/>
    <m/>
    <x v="0"/>
    <s v="P"/>
    <m/>
    <m/>
    <n v="0"/>
    <m/>
    <n v="0"/>
    <m/>
    <n v="0"/>
    <n v="0"/>
    <n v="-1"/>
    <n v="-1"/>
    <n v="0"/>
    <n v="1"/>
    <n v="0"/>
    <n v="0"/>
    <n v="0"/>
    <n v="-1"/>
    <n v="-1"/>
    <n v="0"/>
    <n v="0"/>
    <n v="0"/>
    <n v="0"/>
    <n v="0"/>
    <n v="0"/>
    <n v="0"/>
    <n v="0"/>
    <n v="1"/>
    <n v="0"/>
    <n v="0"/>
    <n v="0"/>
    <n v="0"/>
    <n v="0"/>
    <n v="0"/>
    <n v="0"/>
    <n v="0"/>
    <s v="West"/>
    <x v="0"/>
    <x v="0"/>
    <x v="1"/>
    <x v="0"/>
    <x v="0"/>
    <x v="0"/>
    <m/>
    <x v="0"/>
    <s v="Y"/>
    <s v="8B"/>
    <m/>
    <n v="0"/>
    <n v="-0.5"/>
    <n v="-0.5"/>
    <n v="0"/>
    <n v="0"/>
    <n v="0"/>
    <n v="0"/>
    <n v="0"/>
    <n v="0"/>
    <n v="0"/>
    <n v="0"/>
    <n v="0"/>
    <n v="0"/>
    <n v="0"/>
    <n v="0"/>
    <n v="0"/>
    <n v="0"/>
    <n v="0"/>
    <n v="0"/>
    <n v="0"/>
    <n v="0"/>
    <n v="-1"/>
    <n v="-1"/>
  </r>
  <r>
    <n v="6532"/>
    <x v="2"/>
    <s v="2017/1461"/>
    <m/>
    <s v="10 Roehampton Vale"/>
    <m/>
    <n v="522110"/>
    <n v="172801"/>
    <x v="15"/>
    <d v="2017-06-02T00:00:00"/>
    <m/>
    <n v="1"/>
    <n v="3"/>
    <n v="2"/>
    <n v="3"/>
    <n v="2"/>
    <m/>
    <s v="Alterations including formation of first floor terrace and erection of front porch in connection with conversion of building into 1 x 4-bedroom, 1 x 3-bedroom and 1 x 1-bedroom flats."/>
    <s v="PF"/>
    <d v="2017-03-09T00:00:00"/>
    <d v="2017-05-04T00:00:00"/>
    <x v="1"/>
    <s v="Nil"/>
    <m/>
    <s v="BF"/>
    <x v="1"/>
    <x v="0"/>
    <x v="8"/>
    <n v="3.29999998211861E-2"/>
    <d v="2017-06-02T00:00:00"/>
    <x v="1"/>
    <m/>
    <x v="0"/>
    <s v="P"/>
    <m/>
    <m/>
    <n v="0"/>
    <m/>
    <n v="0"/>
    <m/>
    <n v="0"/>
    <n v="1"/>
    <n v="0"/>
    <n v="1"/>
    <n v="1"/>
    <n v="-1"/>
    <n v="0"/>
    <n v="0"/>
    <n v="1"/>
    <n v="0"/>
    <n v="1"/>
    <n v="1"/>
    <n v="0"/>
    <n v="0"/>
    <n v="0"/>
    <n v="0"/>
    <n v="0"/>
    <n v="0"/>
    <n v="0"/>
    <n v="-1"/>
    <n v="0"/>
    <n v="0"/>
    <n v="0"/>
    <n v="0"/>
    <n v="0"/>
    <n v="0"/>
    <n v="0"/>
    <n v="0"/>
    <s v="West"/>
    <x v="0"/>
    <x v="0"/>
    <x v="1"/>
    <x v="0"/>
    <x v="0"/>
    <x v="0"/>
    <m/>
    <x v="0"/>
    <s v="Y"/>
    <s v="8A"/>
    <m/>
    <n v="0"/>
    <n v="2"/>
    <n v="0"/>
    <n v="0"/>
    <n v="0"/>
    <n v="0"/>
    <n v="0"/>
    <n v="0"/>
    <n v="0"/>
    <n v="0"/>
    <n v="0"/>
    <n v="0"/>
    <n v="0"/>
    <n v="0"/>
    <n v="0"/>
    <n v="0"/>
    <n v="0"/>
    <n v="0"/>
    <n v="0"/>
    <n v="0"/>
    <n v="0"/>
    <n v="2"/>
    <n v="2"/>
  </r>
  <r>
    <n v="6548"/>
    <x v="2"/>
    <s v="2017/1589"/>
    <m/>
    <s v="19-21, 19-21 St Andrews Court"/>
    <m/>
    <n v="526176"/>
    <n v="172864"/>
    <x v="18"/>
    <d v="2018-03-31T00:00:00"/>
    <m/>
    <n v="3"/>
    <n v="9"/>
    <n v="6"/>
    <n v="9"/>
    <n v="6"/>
    <m/>
    <s v="Demolition of existing building and erection of a three-storey (plus basement and roof accomodation) building to provide 3 x 1-bedroom, 5 x 2-bedroom and 1 x 3-bedroom flats. Provision of cycle parking and refuse storage. Associated landscaping."/>
    <s v="PF"/>
    <d v="2017-03-16T00:00:00"/>
    <d v="2017-07-26T00:00:00"/>
    <x v="1"/>
    <s v="Nil"/>
    <m/>
    <s v="BF"/>
    <x v="0"/>
    <x v="0"/>
    <x v="0"/>
    <n v="4.39999997615814E-2"/>
    <d v="2018-03-31T00:00:00"/>
    <x v="1"/>
    <m/>
    <x v="0"/>
    <s v="P"/>
    <m/>
    <m/>
    <n v="0"/>
    <m/>
    <n v="0"/>
    <m/>
    <n v="1"/>
    <n v="2"/>
    <n v="5"/>
    <n v="1"/>
    <n v="-3"/>
    <n v="0"/>
    <n v="0"/>
    <n v="1"/>
    <n v="2"/>
    <n v="5"/>
    <n v="1"/>
    <n v="-3"/>
    <n v="0"/>
    <n v="0"/>
    <n v="0"/>
    <n v="0"/>
    <n v="0"/>
    <n v="0"/>
    <n v="0"/>
    <n v="0"/>
    <n v="0"/>
    <n v="0"/>
    <n v="0"/>
    <n v="0"/>
    <n v="0"/>
    <n v="0"/>
    <n v="0"/>
    <n v="0"/>
    <s v="West"/>
    <x v="0"/>
    <x v="0"/>
    <x v="1"/>
    <x v="0"/>
    <x v="0"/>
    <x v="0"/>
    <m/>
    <x v="0"/>
    <s v="Y"/>
    <s v="2B"/>
    <m/>
    <n v="0"/>
    <n v="3"/>
    <n v="3"/>
    <n v="0"/>
    <n v="0"/>
    <n v="0"/>
    <n v="0"/>
    <n v="0"/>
    <n v="0"/>
    <n v="0"/>
    <n v="0"/>
    <n v="0"/>
    <n v="0"/>
    <n v="0"/>
    <n v="0"/>
    <n v="0"/>
    <n v="0"/>
    <n v="0"/>
    <n v="0"/>
    <n v="0"/>
    <n v="0"/>
    <n v="6"/>
    <n v="6"/>
  </r>
  <r>
    <n v="6581"/>
    <x v="2"/>
    <s v="2017/1868"/>
    <m/>
    <s v="11 Winthorpe Road"/>
    <m/>
    <n v="524402"/>
    <n v="175210"/>
    <x v="13"/>
    <d v="2017-10-13T00:00:00"/>
    <m/>
    <n v="2"/>
    <n v="1"/>
    <n v="-1"/>
    <n v="1"/>
    <n v="-1"/>
    <m/>
    <s v="Alterations including erection of dormer roof extension to main rear roof, erection of single storey rear/side extension and formation of rear roof terrace at first floor level in connection with conversion of property into single dwelling house."/>
    <s v="PF"/>
    <d v="2017-04-13T00:00:00"/>
    <d v="2017-06-20T00:00:00"/>
    <x v="1"/>
    <s v="Nil"/>
    <m/>
    <s v="BF"/>
    <x v="4"/>
    <x v="0"/>
    <x v="7"/>
    <n v="1.4000000432133701E-2"/>
    <d v="2017-10-13T00:00:00"/>
    <x v="1"/>
    <m/>
    <x v="0"/>
    <s v="P"/>
    <m/>
    <m/>
    <n v="0"/>
    <m/>
    <n v="0"/>
    <m/>
    <n v="0"/>
    <n v="-2"/>
    <n v="0"/>
    <n v="1"/>
    <n v="0"/>
    <n v="0"/>
    <n v="0"/>
    <n v="0"/>
    <n v="-2"/>
    <n v="0"/>
    <n v="0"/>
    <n v="0"/>
    <n v="0"/>
    <n v="0"/>
    <n v="0"/>
    <n v="0"/>
    <n v="0"/>
    <n v="1"/>
    <n v="0"/>
    <n v="0"/>
    <n v="0"/>
    <n v="0"/>
    <n v="0"/>
    <n v="0"/>
    <n v="0"/>
    <n v="0"/>
    <n v="0"/>
    <n v="0"/>
    <s v="West"/>
    <x v="0"/>
    <x v="0"/>
    <x v="1"/>
    <x v="0"/>
    <x v="0"/>
    <x v="0"/>
    <m/>
    <x v="0"/>
    <s v="Y"/>
    <s v="8B"/>
    <m/>
    <n v="0"/>
    <n v="-0.5"/>
    <n v="-0.5"/>
    <n v="0"/>
    <n v="0"/>
    <n v="0"/>
    <n v="0"/>
    <n v="0"/>
    <n v="0"/>
    <n v="0"/>
    <n v="0"/>
    <n v="0"/>
    <n v="0"/>
    <n v="0"/>
    <n v="0"/>
    <n v="0"/>
    <n v="0"/>
    <n v="0"/>
    <n v="0"/>
    <n v="0"/>
    <n v="0"/>
    <n v="-1"/>
    <n v="-1"/>
  </r>
  <r>
    <n v="6582"/>
    <x v="2"/>
    <s v="2017/2047"/>
    <m/>
    <s v="78 Gilbey Road"/>
    <m/>
    <n v="527193"/>
    <n v="171540"/>
    <x v="4"/>
    <d v="2018-03-31T00:00:00"/>
    <m/>
    <n v="2"/>
    <n v="3"/>
    <n v="1"/>
    <n v="3"/>
    <n v="1"/>
    <m/>
    <s v="Erection of single-storey rear/side extension in connection with conversion of property from 2x two-bedroom units to 1 x 3-bedroom flat 1 x 2-bedroom flat 1 x 1-bedroom flat ."/>
    <s v="PF"/>
    <d v="2017-04-20T00:00:00"/>
    <d v="2017-07-31T00:00:00"/>
    <x v="1"/>
    <s v="Nil"/>
    <m/>
    <s v="BF"/>
    <x v="4"/>
    <x v="0"/>
    <x v="10"/>
    <n v="1.30000002682209E-2"/>
    <d v="2018-03-31T00:00:00"/>
    <x v="1"/>
    <m/>
    <x v="0"/>
    <s v="P"/>
    <m/>
    <m/>
    <n v="0"/>
    <m/>
    <n v="0"/>
    <m/>
    <n v="0"/>
    <n v="1"/>
    <n v="-1"/>
    <n v="1"/>
    <n v="0"/>
    <n v="0"/>
    <n v="0"/>
    <n v="0"/>
    <n v="1"/>
    <n v="-1"/>
    <n v="1"/>
    <n v="0"/>
    <n v="0"/>
    <n v="0"/>
    <n v="0"/>
    <n v="0"/>
    <n v="0"/>
    <n v="0"/>
    <n v="0"/>
    <n v="0"/>
    <n v="0"/>
    <n v="0"/>
    <n v="0"/>
    <n v="0"/>
    <n v="0"/>
    <n v="0"/>
    <n v="0"/>
    <n v="0"/>
    <s v="East"/>
    <x v="0"/>
    <x v="0"/>
    <x v="1"/>
    <x v="0"/>
    <x v="0"/>
    <x v="0"/>
    <m/>
    <x v="0"/>
    <s v="Y"/>
    <s v="8B"/>
    <m/>
    <n v="0"/>
    <n v="0.5"/>
    <n v="0.5"/>
    <n v="0"/>
    <n v="0"/>
    <n v="0"/>
    <n v="0"/>
    <n v="0"/>
    <n v="0"/>
    <n v="0"/>
    <n v="0"/>
    <n v="0"/>
    <n v="0"/>
    <n v="0"/>
    <n v="0"/>
    <n v="0"/>
    <n v="0"/>
    <n v="0"/>
    <n v="0"/>
    <n v="0"/>
    <n v="0"/>
    <n v="1"/>
    <n v="1"/>
  </r>
  <r>
    <n v="6590"/>
    <x v="2"/>
    <s v="2017/4681"/>
    <m/>
    <s v="127 Northcote Road"/>
    <m/>
    <n v="527583"/>
    <n v="174634"/>
    <x v="14"/>
    <d v="2018-03-31T00:00:00"/>
    <m/>
    <n v="1"/>
    <n v="2"/>
    <n v="1"/>
    <n v="2"/>
    <n v="1"/>
    <m/>
    <s v="Erection of a single-storey side/rear extension to commercial unit at ground floor level. Erection of a mansard style roof extension to main rear roof with formation of roof terrace and 1.8m balustrade at second floor level over the back addition. Erection of a roof terrace and 1.8m screening at first floor level. Extensions and alterations in connection with the conversion of one residential unit to form two self-contained units ( 1 x 1-bedroom and 1 x 2-bedroom)."/>
    <s v="PF"/>
    <d v="2017-08-18T00:00:00"/>
    <d v="2017-10-13T00:00:00"/>
    <x v="1"/>
    <s v="Nil"/>
    <m/>
    <s v="BF"/>
    <x v="4"/>
    <x v="0"/>
    <x v="10"/>
    <n v="1.09999999403954E-2"/>
    <d v="2018-03-31T00:00:00"/>
    <x v="1"/>
    <m/>
    <x v="0"/>
    <s v="P"/>
    <m/>
    <m/>
    <n v="0"/>
    <m/>
    <n v="0"/>
    <m/>
    <n v="0"/>
    <n v="1"/>
    <n v="1"/>
    <n v="-1"/>
    <n v="0"/>
    <n v="0"/>
    <n v="0"/>
    <n v="0"/>
    <n v="1"/>
    <n v="1"/>
    <n v="-1"/>
    <n v="0"/>
    <n v="0"/>
    <n v="0"/>
    <n v="0"/>
    <n v="0"/>
    <n v="0"/>
    <n v="0"/>
    <n v="0"/>
    <n v="0"/>
    <n v="0"/>
    <n v="0"/>
    <n v="0"/>
    <n v="0"/>
    <n v="0"/>
    <n v="0"/>
    <n v="0"/>
    <n v="0"/>
    <s v="East"/>
    <x v="0"/>
    <x v="0"/>
    <x v="1"/>
    <x v="0"/>
    <x v="0"/>
    <x v="0"/>
    <m/>
    <x v="0"/>
    <s v="Y"/>
    <s v="8B"/>
    <m/>
    <n v="0"/>
    <n v="0.5"/>
    <n v="0.5"/>
    <n v="0"/>
    <n v="0"/>
    <n v="0"/>
    <n v="0"/>
    <n v="0"/>
    <n v="0"/>
    <n v="0"/>
    <n v="0"/>
    <n v="0"/>
    <n v="0"/>
    <n v="0"/>
    <n v="0"/>
    <n v="0"/>
    <n v="0"/>
    <n v="0"/>
    <n v="0"/>
    <n v="0"/>
    <n v="0"/>
    <n v="1"/>
    <n v="1"/>
  </r>
  <r>
    <n v="6598"/>
    <x v="2"/>
    <s v="2017/2871"/>
    <m/>
    <s v="100 Pirbright Road"/>
    <m/>
    <n v="525154"/>
    <n v="173412"/>
    <x v="5"/>
    <d v="2018-03-31T00:00:00"/>
    <m/>
    <n v="0"/>
    <n v="1"/>
    <n v="1"/>
    <n v="1"/>
    <n v="1"/>
    <m/>
    <s v="Demolition of existing building and erection of a three-storey (including basement level) two-bedroom detached house."/>
    <s v="PF"/>
    <d v="2017-05-30T00:00:00"/>
    <d v="2017-07-25T00:00:00"/>
    <x v="1"/>
    <s v="Nil"/>
    <m/>
    <s v="BF"/>
    <x v="0"/>
    <x v="0"/>
    <x v="0"/>
    <n v="7.0000002160668399E-3"/>
    <d v="2018-03-31T00:00:00"/>
    <x v="1"/>
    <m/>
    <x v="0"/>
    <s v="P"/>
    <m/>
    <m/>
    <n v="0"/>
    <m/>
    <n v="0"/>
    <m/>
    <n v="0"/>
    <n v="0"/>
    <n v="1"/>
    <n v="0"/>
    <n v="0"/>
    <n v="0"/>
    <n v="0"/>
    <n v="0"/>
    <n v="0"/>
    <n v="0"/>
    <n v="0"/>
    <n v="0"/>
    <n v="0"/>
    <n v="0"/>
    <n v="0"/>
    <n v="0"/>
    <n v="1"/>
    <n v="0"/>
    <n v="0"/>
    <n v="0"/>
    <n v="0"/>
    <n v="0"/>
    <n v="0"/>
    <n v="0"/>
    <n v="0"/>
    <n v="0"/>
    <n v="0"/>
    <n v="0"/>
    <s v="West"/>
    <x v="0"/>
    <x v="0"/>
    <x v="1"/>
    <x v="0"/>
    <x v="0"/>
    <x v="0"/>
    <m/>
    <x v="0"/>
    <s v="Y"/>
    <s v="2B"/>
    <m/>
    <n v="0"/>
    <n v="0.5"/>
    <n v="0.5"/>
    <n v="0"/>
    <n v="0"/>
    <n v="0"/>
    <n v="0"/>
    <n v="0"/>
    <n v="0"/>
    <n v="0"/>
    <n v="0"/>
    <n v="0"/>
    <n v="0"/>
    <n v="0"/>
    <n v="0"/>
    <n v="0"/>
    <n v="0"/>
    <n v="0"/>
    <n v="0"/>
    <n v="0"/>
    <n v="0"/>
    <n v="1"/>
    <n v="1"/>
  </r>
  <r>
    <n v="6615"/>
    <x v="2"/>
    <s v="2017/2691"/>
    <m/>
    <s v="31 Cathles Road"/>
    <m/>
    <n v="528918"/>
    <n v="174074"/>
    <x v="9"/>
    <d v="2018-03-31T00:00:00"/>
    <m/>
    <n v="1"/>
    <n v="2"/>
    <n v="1"/>
    <n v="2"/>
    <n v="1"/>
    <m/>
    <s v="Alterations including erection of mansard extension to main rear roof and extension above part of two-storey back addition; single storey rear/side extension and excavation to create an enlarged basement including formation of side and rear lightwells with glass over in connection with conversion of property into 2 x 3-bedroom flats."/>
    <s v="PF"/>
    <d v="2017-06-06T00:00:00"/>
    <d v="2017-08-15T00:00:00"/>
    <x v="1"/>
    <s v="Nil"/>
    <m/>
    <s v="BF"/>
    <x v="4"/>
    <x v="0"/>
    <x v="8"/>
    <n v="1.09999999403954E-2"/>
    <d v="2018-03-31T00:00:00"/>
    <x v="1"/>
    <m/>
    <x v="0"/>
    <s v="P"/>
    <m/>
    <m/>
    <n v="0"/>
    <m/>
    <n v="0"/>
    <m/>
    <n v="0"/>
    <n v="0"/>
    <n v="0"/>
    <n v="1"/>
    <n v="0"/>
    <n v="0"/>
    <n v="0"/>
    <n v="0"/>
    <n v="0"/>
    <n v="0"/>
    <n v="2"/>
    <n v="0"/>
    <n v="0"/>
    <n v="0"/>
    <n v="0"/>
    <n v="0"/>
    <n v="0"/>
    <n v="-1"/>
    <n v="0"/>
    <n v="0"/>
    <n v="0"/>
    <n v="0"/>
    <n v="0"/>
    <n v="0"/>
    <n v="0"/>
    <n v="0"/>
    <n v="0"/>
    <n v="0"/>
    <s v="East"/>
    <x v="0"/>
    <x v="0"/>
    <x v="1"/>
    <x v="0"/>
    <x v="0"/>
    <x v="0"/>
    <m/>
    <x v="0"/>
    <s v="Y"/>
    <s v="8B"/>
    <m/>
    <n v="0"/>
    <n v="0.5"/>
    <n v="0.5"/>
    <n v="0"/>
    <n v="0"/>
    <n v="0"/>
    <n v="0"/>
    <n v="0"/>
    <n v="0"/>
    <n v="0"/>
    <n v="0"/>
    <n v="0"/>
    <n v="0"/>
    <n v="0"/>
    <n v="0"/>
    <n v="0"/>
    <n v="0"/>
    <n v="0"/>
    <n v="0"/>
    <n v="0"/>
    <n v="0"/>
    <n v="1"/>
    <n v="1"/>
  </r>
  <r>
    <n v="6621"/>
    <x v="2"/>
    <s v="2017/3002"/>
    <m/>
    <s v="37 Fanthorpe Street"/>
    <m/>
    <n v="523351"/>
    <n v="175746"/>
    <x v="13"/>
    <d v="2018-03-31T00:00:00"/>
    <m/>
    <n v="2"/>
    <n v="1"/>
    <n v="-1"/>
    <n v="1"/>
    <n v="-1"/>
    <m/>
    <s v="Alterations including erection of hip to gable and rear mansard roof extension (with French doors and safety railings) and erection of extension above two-storey rear addition.  Erection of single-storey rear/side extension in connection with the use of the property as a 5-bedroom house."/>
    <s v="PF"/>
    <d v="2017-06-09T00:00:00"/>
    <d v="2017-08-04T00:00:00"/>
    <x v="1"/>
    <s v="Nil"/>
    <m/>
    <s v="BF"/>
    <x v="4"/>
    <x v="0"/>
    <x v="7"/>
    <n v="1.2000000104308101E-2"/>
    <d v="2018-03-31T00:00:00"/>
    <x v="1"/>
    <m/>
    <x v="0"/>
    <s v="P"/>
    <m/>
    <m/>
    <n v="0"/>
    <m/>
    <n v="0"/>
    <m/>
    <n v="0"/>
    <n v="-1"/>
    <n v="0"/>
    <n v="-1"/>
    <n v="0"/>
    <n v="1"/>
    <n v="0"/>
    <n v="0"/>
    <n v="-1"/>
    <n v="0"/>
    <n v="-1"/>
    <n v="0"/>
    <n v="0"/>
    <n v="0"/>
    <n v="0"/>
    <n v="0"/>
    <n v="0"/>
    <n v="0"/>
    <n v="0"/>
    <n v="1"/>
    <n v="0"/>
    <n v="0"/>
    <n v="0"/>
    <n v="0"/>
    <n v="0"/>
    <n v="0"/>
    <n v="0"/>
    <n v="0"/>
    <s v="West"/>
    <x v="0"/>
    <x v="0"/>
    <x v="1"/>
    <x v="0"/>
    <x v="0"/>
    <x v="0"/>
    <m/>
    <x v="0"/>
    <s v="Y"/>
    <s v="8B"/>
    <m/>
    <n v="0"/>
    <n v="-0.5"/>
    <n v="-0.5"/>
    <n v="0"/>
    <n v="0"/>
    <n v="0"/>
    <n v="0"/>
    <n v="0"/>
    <n v="0"/>
    <n v="0"/>
    <n v="0"/>
    <n v="0"/>
    <n v="0"/>
    <n v="0"/>
    <n v="0"/>
    <n v="0"/>
    <n v="0"/>
    <n v="0"/>
    <n v="0"/>
    <n v="0"/>
    <n v="0"/>
    <n v="-1"/>
    <n v="-1"/>
  </r>
  <r>
    <n v="6630"/>
    <x v="2"/>
    <s v="2017/5717"/>
    <m/>
    <s v="143 Disraeli Road"/>
    <m/>
    <n v="524488"/>
    <n v="175048"/>
    <x v="13"/>
    <d v="2018-03-31T00:00:00"/>
    <m/>
    <n v="0"/>
    <n v="1"/>
    <n v="1"/>
    <n v="1"/>
    <n v="1"/>
    <m/>
    <s v="Alterations including the erection of part single, part two, part three-storey side/rear extension with roof terrace at second floor level; erection of a mansard roof extension to main rear roof; installation of associated bike and bins stores in front garden;  in connection with use as 1 x 1-bedroom, 1 x 2-bedroom and 1 x 3 bedroom flats."/>
    <s v="PF"/>
    <d v="2017-10-18T00:00:00"/>
    <d v="2018-02-02T00:00:00"/>
    <x v="1"/>
    <s v="Nil"/>
    <m/>
    <s v="BF"/>
    <x v="4"/>
    <x v="0"/>
    <x v="0"/>
    <n v="6.0000000521540598E-3"/>
    <d v="2018-03-31T00:00:00"/>
    <x v="1"/>
    <m/>
    <x v="0"/>
    <s v="P"/>
    <m/>
    <m/>
    <n v="0"/>
    <m/>
    <n v="0"/>
    <m/>
    <n v="0"/>
    <n v="0"/>
    <n v="0"/>
    <n v="1"/>
    <n v="0"/>
    <n v="0"/>
    <n v="0"/>
    <n v="0"/>
    <n v="0"/>
    <n v="0"/>
    <n v="1"/>
    <n v="0"/>
    <n v="0"/>
    <n v="0"/>
    <n v="0"/>
    <n v="0"/>
    <n v="0"/>
    <n v="0"/>
    <n v="0"/>
    <n v="0"/>
    <n v="0"/>
    <n v="0"/>
    <n v="0"/>
    <n v="0"/>
    <n v="0"/>
    <n v="0"/>
    <n v="0"/>
    <n v="0"/>
    <s v="West"/>
    <x v="0"/>
    <x v="0"/>
    <x v="1"/>
    <x v="0"/>
    <x v="0"/>
    <x v="0"/>
    <m/>
    <x v="0"/>
    <s v="Y"/>
    <s v="8B"/>
    <m/>
    <n v="0"/>
    <n v="0.5"/>
    <n v="0.5"/>
    <n v="0"/>
    <n v="0"/>
    <n v="0"/>
    <n v="0"/>
    <n v="0"/>
    <n v="0"/>
    <n v="0"/>
    <n v="0"/>
    <n v="0"/>
    <n v="0"/>
    <n v="0"/>
    <n v="0"/>
    <n v="0"/>
    <n v="0"/>
    <n v="0"/>
    <n v="0"/>
    <n v="0"/>
    <n v="0"/>
    <n v="1"/>
    <n v="1"/>
  </r>
  <r>
    <n v="6636"/>
    <x v="2"/>
    <s v="2017/3276"/>
    <m/>
    <s v="27 Almeric Road"/>
    <m/>
    <n v="527555"/>
    <n v="175030"/>
    <x v="14"/>
    <d v="2018-03-31T00:00:00"/>
    <m/>
    <n v="1"/>
    <n v="3"/>
    <n v="2"/>
    <n v="3"/>
    <n v="2"/>
    <m/>
    <s v="Alterations including erection of mansard roof extension to main rear roof (with French doors and safety railings) and extension above part of two-storey back addition; formation of roof terrace above  with 1.7m high screen surround; erection of single-storey rear/side extension; excavation to create an enlarge basement including formation of front and side lightwells with grille over and conversion of property to 1 x 1-bedroom, 1 x 2-bedroom and 1 x 3-bedroom flats."/>
    <s v="PF"/>
    <d v="2017-06-20T00:00:00"/>
    <d v="2017-09-25T00:00:00"/>
    <x v="1"/>
    <s v="Nil"/>
    <m/>
    <s v="BF"/>
    <x v="1"/>
    <x v="0"/>
    <x v="8"/>
    <n v="1.2000000104308101E-2"/>
    <d v="2018-03-31T00:00:00"/>
    <x v="1"/>
    <m/>
    <x v="0"/>
    <s v="P"/>
    <m/>
    <m/>
    <n v="0"/>
    <m/>
    <n v="0"/>
    <m/>
    <n v="0"/>
    <n v="1"/>
    <n v="1"/>
    <n v="1"/>
    <n v="-1"/>
    <n v="0"/>
    <n v="0"/>
    <n v="0"/>
    <n v="1"/>
    <n v="1"/>
    <n v="1"/>
    <n v="0"/>
    <n v="0"/>
    <n v="0"/>
    <n v="0"/>
    <n v="0"/>
    <n v="0"/>
    <n v="0"/>
    <n v="-1"/>
    <n v="0"/>
    <n v="0"/>
    <n v="0"/>
    <n v="0"/>
    <n v="0"/>
    <n v="0"/>
    <n v="0"/>
    <n v="0"/>
    <n v="0"/>
    <s v="East"/>
    <x v="0"/>
    <x v="0"/>
    <x v="1"/>
    <x v="0"/>
    <x v="0"/>
    <x v="0"/>
    <m/>
    <x v="0"/>
    <s v="Y"/>
    <s v="8B"/>
    <m/>
    <n v="0"/>
    <n v="1"/>
    <n v="1"/>
    <n v="0"/>
    <n v="0"/>
    <n v="0"/>
    <n v="0"/>
    <n v="0"/>
    <n v="0"/>
    <n v="0"/>
    <n v="0"/>
    <n v="0"/>
    <n v="0"/>
    <n v="0"/>
    <n v="0"/>
    <n v="0"/>
    <n v="0"/>
    <n v="0"/>
    <n v="0"/>
    <n v="0"/>
    <n v="0"/>
    <n v="2"/>
    <n v="2"/>
  </r>
  <r>
    <n v="6638"/>
    <x v="2"/>
    <s v="2016/6879"/>
    <m/>
    <s v="80a, 80a Eardley Road"/>
    <m/>
    <n v="529477"/>
    <n v="170860"/>
    <x v="12"/>
    <d v="2018-03-31T00:00:00"/>
    <m/>
    <n v="0"/>
    <n v="1"/>
    <n v="1"/>
    <n v="1"/>
    <n v="1"/>
    <m/>
    <s v="Formation of mansard roof comprising a new self-contained one bedroom flat"/>
    <s v="PF"/>
    <d v="2017-09-28T00:00:00"/>
    <d v="2017-10-20T00:00:00"/>
    <x v="1"/>
    <s v="Nil"/>
    <m/>
    <s v="BF"/>
    <x v="2"/>
    <x v="0"/>
    <x v="3"/>
    <n v="1.00000004749745E-3"/>
    <d v="2018-03-31T00:00:00"/>
    <x v="1"/>
    <m/>
    <x v="0"/>
    <s v="P"/>
    <m/>
    <m/>
    <n v="0"/>
    <m/>
    <n v="0"/>
    <m/>
    <n v="0"/>
    <n v="1"/>
    <n v="0"/>
    <n v="0"/>
    <n v="0"/>
    <n v="0"/>
    <n v="0"/>
    <n v="0"/>
    <n v="1"/>
    <n v="0"/>
    <n v="0"/>
    <n v="0"/>
    <n v="0"/>
    <n v="0"/>
    <n v="0"/>
    <n v="0"/>
    <n v="0"/>
    <n v="0"/>
    <n v="0"/>
    <n v="0"/>
    <n v="0"/>
    <n v="0"/>
    <n v="0"/>
    <n v="0"/>
    <n v="0"/>
    <n v="0"/>
    <n v="0"/>
    <n v="0"/>
    <s v="East"/>
    <x v="0"/>
    <x v="0"/>
    <x v="1"/>
    <x v="0"/>
    <x v="0"/>
    <x v="0"/>
    <m/>
    <x v="0"/>
    <s v="Y"/>
    <s v="8B"/>
    <m/>
    <n v="0"/>
    <n v="0.5"/>
    <n v="0.5"/>
    <n v="0"/>
    <n v="0"/>
    <n v="0"/>
    <n v="0"/>
    <n v="0"/>
    <n v="0"/>
    <n v="0"/>
    <n v="0"/>
    <n v="0"/>
    <n v="0"/>
    <n v="0"/>
    <n v="0"/>
    <n v="0"/>
    <n v="0"/>
    <n v="0"/>
    <n v="0"/>
    <n v="0"/>
    <n v="0"/>
    <n v="1"/>
    <n v="1"/>
  </r>
  <r>
    <n v="6650"/>
    <x v="2"/>
    <s v="2017/3801"/>
    <m/>
    <s v="29 Lindore Road"/>
    <m/>
    <n v="527614"/>
    <n v="175033"/>
    <x v="14"/>
    <d v="2018-03-31T00:00:00"/>
    <m/>
    <n v="1"/>
    <n v="3"/>
    <n v="2"/>
    <n v="3"/>
    <n v="2"/>
    <m/>
    <s v="Alterations including erection of mansard rear roof extension to main rear roof (with French doors and safety railings) including raising the ridge by 150mm and extension above part of three-storey back additon; formation of roof terrace above three-storey back addition with screen surround. Erection of single-storey rear/side extension in connection with the conversion of the property into 1x1, 1x2 and 1x3 bedroom flats, with associated cycle and refuse storage. Erection of new front boundary wall."/>
    <s v="PF"/>
    <d v="2017-07-07T00:00:00"/>
    <d v="2017-09-01T00:00:00"/>
    <x v="1"/>
    <s v="Nil"/>
    <m/>
    <s v="BF"/>
    <x v="4"/>
    <x v="0"/>
    <x v="8"/>
    <n v="1.09999999403954E-2"/>
    <d v="2018-03-31T00:00:00"/>
    <x v="1"/>
    <m/>
    <x v="0"/>
    <s v="P"/>
    <m/>
    <m/>
    <n v="0"/>
    <m/>
    <n v="0"/>
    <m/>
    <n v="1"/>
    <n v="0"/>
    <n v="1"/>
    <n v="1"/>
    <n v="-1"/>
    <n v="0"/>
    <n v="0"/>
    <n v="1"/>
    <n v="0"/>
    <n v="1"/>
    <n v="1"/>
    <n v="0"/>
    <n v="0"/>
    <n v="0"/>
    <n v="0"/>
    <n v="0"/>
    <n v="0"/>
    <n v="0"/>
    <n v="-1"/>
    <n v="0"/>
    <n v="0"/>
    <n v="0"/>
    <n v="0"/>
    <n v="0"/>
    <n v="0"/>
    <n v="0"/>
    <n v="0"/>
    <n v="0"/>
    <s v="East"/>
    <x v="0"/>
    <x v="0"/>
    <x v="1"/>
    <x v="0"/>
    <x v="0"/>
    <x v="0"/>
    <m/>
    <x v="0"/>
    <s v="Y"/>
    <s v="8B"/>
    <m/>
    <n v="0"/>
    <n v="1"/>
    <n v="1"/>
    <n v="0"/>
    <n v="0"/>
    <n v="0"/>
    <n v="0"/>
    <n v="0"/>
    <n v="0"/>
    <n v="0"/>
    <n v="0"/>
    <n v="0"/>
    <n v="0"/>
    <n v="0"/>
    <n v="0"/>
    <n v="0"/>
    <n v="0"/>
    <n v="0"/>
    <n v="0"/>
    <n v="0"/>
    <n v="0"/>
    <n v="2"/>
    <n v="2"/>
  </r>
  <r>
    <n v="6677"/>
    <x v="2"/>
    <s v="2017/3856"/>
    <m/>
    <s v="123a Falcon Road"/>
    <m/>
    <n v="527272"/>
    <n v="175730"/>
    <x v="2"/>
    <d v="2018-03-31T00:00:00"/>
    <m/>
    <n v="1"/>
    <n v="2"/>
    <n v="1"/>
    <n v="2"/>
    <n v="1"/>
    <m/>
    <s v="Alterations including mansard extension to main rear roof and extension over back-addition in connection with conversion of existing flat into 1 x 1-bedroom and 1 x 2-bedroom flats."/>
    <s v="PF"/>
    <d v="2017-07-25T00:00:00"/>
    <d v="2017-09-19T00:00:00"/>
    <x v="1"/>
    <s v="Nil"/>
    <m/>
    <s v="BF"/>
    <x v="4"/>
    <x v="0"/>
    <x v="10"/>
    <n v="6.0000000521540598E-3"/>
    <d v="2018-03-31T00:00:00"/>
    <x v="1"/>
    <m/>
    <x v="0"/>
    <s v="P"/>
    <m/>
    <m/>
    <n v="0"/>
    <m/>
    <n v="0"/>
    <m/>
    <n v="0"/>
    <n v="1"/>
    <n v="1"/>
    <n v="-1"/>
    <n v="0"/>
    <n v="0"/>
    <n v="0"/>
    <n v="0"/>
    <n v="1"/>
    <n v="1"/>
    <n v="-1"/>
    <n v="0"/>
    <n v="0"/>
    <n v="0"/>
    <n v="0"/>
    <n v="0"/>
    <n v="0"/>
    <n v="0"/>
    <n v="0"/>
    <n v="0"/>
    <n v="0"/>
    <n v="0"/>
    <n v="0"/>
    <n v="0"/>
    <n v="0"/>
    <n v="0"/>
    <n v="0"/>
    <n v="0"/>
    <s v="East"/>
    <x v="0"/>
    <x v="0"/>
    <x v="1"/>
    <x v="0"/>
    <x v="0"/>
    <x v="0"/>
    <m/>
    <x v="0"/>
    <s v="Y"/>
    <s v="8B"/>
    <m/>
    <n v="0"/>
    <n v="0.5"/>
    <n v="0.5"/>
    <n v="0"/>
    <n v="0"/>
    <n v="0"/>
    <n v="0"/>
    <n v="0"/>
    <n v="0"/>
    <n v="0"/>
    <n v="0"/>
    <n v="0"/>
    <n v="0"/>
    <n v="0"/>
    <n v="0"/>
    <n v="0"/>
    <n v="0"/>
    <n v="0"/>
    <n v="0"/>
    <n v="0"/>
    <n v="0"/>
    <n v="1"/>
    <n v="1"/>
  </r>
  <r>
    <n v="6693"/>
    <x v="2"/>
    <s v="2017/4493"/>
    <m/>
    <s v="14 Cornford Grove"/>
    <m/>
    <n v="528847"/>
    <n v="172948"/>
    <x v="3"/>
    <d v="2018-03-31T00:00:00"/>
    <m/>
    <n v="0"/>
    <n v="3"/>
    <n v="3"/>
    <n v="3"/>
    <n v="3"/>
    <m/>
    <s v="Alterations including erection of a hip to gable side roof extension; the erection of a mansard roof extension to main rear roof (with french doors), erection of single storey rear extension with terrace and railings surround above in connection with the change of use of property into 2 x 2-bedroom and 1 x 3-bedroom flats."/>
    <s v="PF"/>
    <d v="2017-08-08T00:00:00"/>
    <d v="2017-12-13T00:00:00"/>
    <x v="1"/>
    <s v="Nil"/>
    <m/>
    <s v="BF"/>
    <x v="4"/>
    <x v="0"/>
    <x v="5"/>
    <n v="2.8999999165535001E-2"/>
    <d v="2018-03-31T00:00:00"/>
    <x v="1"/>
    <m/>
    <x v="0"/>
    <s v="P"/>
    <m/>
    <m/>
    <n v="0"/>
    <m/>
    <n v="0"/>
    <m/>
    <n v="0"/>
    <n v="0"/>
    <n v="2"/>
    <n v="1"/>
    <n v="0"/>
    <n v="0"/>
    <n v="0"/>
    <n v="0"/>
    <n v="0"/>
    <n v="2"/>
    <n v="1"/>
    <n v="0"/>
    <n v="0"/>
    <n v="0"/>
    <n v="0"/>
    <n v="0"/>
    <n v="0"/>
    <n v="0"/>
    <n v="0"/>
    <n v="0"/>
    <n v="0"/>
    <n v="0"/>
    <n v="0"/>
    <n v="0"/>
    <n v="0"/>
    <n v="0"/>
    <n v="0"/>
    <n v="0"/>
    <s v="East"/>
    <x v="0"/>
    <x v="0"/>
    <x v="1"/>
    <x v="0"/>
    <x v="0"/>
    <x v="0"/>
    <m/>
    <x v="0"/>
    <s v="Y"/>
    <s v="8B"/>
    <m/>
    <n v="0"/>
    <n v="1.5"/>
    <n v="1.5"/>
    <n v="0"/>
    <n v="0"/>
    <n v="0"/>
    <n v="0"/>
    <n v="0"/>
    <n v="0"/>
    <n v="0"/>
    <n v="0"/>
    <n v="0"/>
    <n v="0"/>
    <n v="0"/>
    <n v="0"/>
    <n v="0"/>
    <n v="0"/>
    <n v="0"/>
    <n v="0"/>
    <n v="0"/>
    <n v="0"/>
    <n v="3"/>
    <n v="3"/>
  </r>
  <r>
    <n v="6703"/>
    <x v="2"/>
    <s v="2017/4170"/>
    <m/>
    <s v="155 Trevelyan Road"/>
    <m/>
    <n v="527632"/>
    <n v="170817"/>
    <x v="8"/>
    <d v="2017-11-27T00:00:00"/>
    <m/>
    <n v="2"/>
    <n v="1"/>
    <n v="-1"/>
    <n v="1"/>
    <n v="-1"/>
    <m/>
    <s v="Alterations including erection of mansard roof extension to main rear roof (with French doors and safety railings) and extension above part of two-storey back addition. Erection of single-storey rear/side extensions in connection with conversion of property into 5 bedroom single dwelling."/>
    <s v="PF"/>
    <d v="2017-08-04T00:00:00"/>
    <d v="2017-09-28T00:00:00"/>
    <x v="1"/>
    <s v="Nil"/>
    <m/>
    <s v="BF"/>
    <x v="1"/>
    <x v="0"/>
    <x v="7"/>
    <n v="1.7000000923872001E-2"/>
    <d v="2017-11-27T00:00:00"/>
    <x v="1"/>
    <m/>
    <x v="0"/>
    <s v="P"/>
    <m/>
    <m/>
    <n v="0"/>
    <m/>
    <n v="0"/>
    <m/>
    <n v="0"/>
    <n v="-2"/>
    <n v="0"/>
    <n v="0"/>
    <n v="0"/>
    <n v="1"/>
    <n v="0"/>
    <n v="0"/>
    <n v="-2"/>
    <n v="0"/>
    <n v="0"/>
    <n v="0"/>
    <n v="0"/>
    <n v="0"/>
    <n v="0"/>
    <n v="0"/>
    <n v="0"/>
    <n v="0"/>
    <n v="0"/>
    <n v="1"/>
    <n v="0"/>
    <n v="0"/>
    <n v="0"/>
    <n v="0"/>
    <n v="0"/>
    <n v="0"/>
    <n v="0"/>
    <n v="0"/>
    <s v="East"/>
    <x v="0"/>
    <x v="0"/>
    <x v="1"/>
    <x v="0"/>
    <x v="0"/>
    <x v="0"/>
    <m/>
    <x v="0"/>
    <s v="Y"/>
    <s v="8B"/>
    <m/>
    <n v="0"/>
    <n v="-0.5"/>
    <n v="-0.5"/>
    <n v="0"/>
    <n v="0"/>
    <n v="0"/>
    <n v="0"/>
    <n v="0"/>
    <n v="0"/>
    <n v="0"/>
    <n v="0"/>
    <n v="0"/>
    <n v="0"/>
    <n v="0"/>
    <n v="0"/>
    <n v="0"/>
    <n v="0"/>
    <n v="0"/>
    <n v="0"/>
    <n v="0"/>
    <n v="0"/>
    <n v="-1"/>
    <n v="-1"/>
  </r>
  <r>
    <n v="6722"/>
    <x v="2"/>
    <s v="2017/5589"/>
    <m/>
    <s v="32/32a, 32/32a Hoyle Road"/>
    <m/>
    <n v="527248"/>
    <n v="171364"/>
    <x v="4"/>
    <d v="2018-03-31T00:00:00"/>
    <m/>
    <n v="2"/>
    <n v="3"/>
    <n v="1"/>
    <n v="3"/>
    <n v="1"/>
    <m/>
    <s v="Alterations and extensions including the enlargement of the three-storey back addition, enlargement of the existing two storey extension and erection of a single storey ground floor extension in connection with conversion of property into 1 x 1 bedroom, 1 x 2 bedroom and 1 x 3 bedroom flats with associated landscaping and cycle/bin storage."/>
    <s v="PF"/>
    <d v="2017-10-13T00:00:00"/>
    <d v="2018-01-18T00:00:00"/>
    <x v="1"/>
    <s v="Nil"/>
    <m/>
    <s v="BF"/>
    <x v="4"/>
    <x v="0"/>
    <x v="10"/>
    <n v="9.9999997764825804E-3"/>
    <d v="2018-03-31T00:00:00"/>
    <x v="1"/>
    <m/>
    <x v="0"/>
    <s v="P"/>
    <m/>
    <m/>
    <n v="0"/>
    <m/>
    <n v="0"/>
    <m/>
    <n v="0"/>
    <n v="1"/>
    <n v="0"/>
    <n v="1"/>
    <n v="-1"/>
    <n v="0"/>
    <n v="0"/>
    <n v="0"/>
    <n v="1"/>
    <n v="0"/>
    <n v="1"/>
    <n v="-1"/>
    <n v="0"/>
    <n v="0"/>
    <n v="0"/>
    <n v="0"/>
    <n v="0"/>
    <n v="0"/>
    <n v="0"/>
    <n v="0"/>
    <n v="0"/>
    <n v="0"/>
    <n v="0"/>
    <n v="0"/>
    <n v="0"/>
    <n v="0"/>
    <n v="0"/>
    <n v="0"/>
    <s v="East"/>
    <x v="0"/>
    <x v="0"/>
    <x v="1"/>
    <x v="0"/>
    <x v="0"/>
    <x v="0"/>
    <m/>
    <x v="0"/>
    <s v="Y"/>
    <s v="8B"/>
    <m/>
    <n v="0"/>
    <n v="0.5"/>
    <n v="0.5"/>
    <n v="0"/>
    <n v="0"/>
    <n v="0"/>
    <n v="0"/>
    <n v="0"/>
    <n v="0"/>
    <n v="0"/>
    <n v="0"/>
    <n v="0"/>
    <n v="0"/>
    <n v="0"/>
    <n v="0"/>
    <n v="0"/>
    <n v="0"/>
    <n v="0"/>
    <n v="0"/>
    <n v="0"/>
    <n v="0"/>
    <n v="1"/>
    <n v="1"/>
  </r>
  <r>
    <n v="6740"/>
    <x v="2"/>
    <s v="2017/6236"/>
    <m/>
    <s v="Du Cane Court Shop Du Cane Court, Balham High Road"/>
    <m/>
    <n v="528278"/>
    <n v="173009"/>
    <x v="11"/>
    <d v="2018-03-31T00:00:00"/>
    <m/>
    <n v="0"/>
    <n v="1"/>
    <n v="1"/>
    <n v="1"/>
    <n v="1"/>
    <m/>
    <s v="Determination as to whether prior approval is required for change of use from retail (Class A1) to 1 x 2-bedroom flat (Class C3)."/>
    <s v="PANR"/>
    <d v="2017-11-13T00:00:00"/>
    <d v="2018-01-08T00:00:00"/>
    <x v="1"/>
    <s v="Nil"/>
    <m/>
    <s v="BF"/>
    <x v="3"/>
    <x v="0"/>
    <x v="4"/>
    <n v="8.0000003799796104E-3"/>
    <d v="2018-03-31T00:00:00"/>
    <x v="1"/>
    <m/>
    <x v="0"/>
    <s v="P"/>
    <m/>
    <m/>
    <n v="0"/>
    <m/>
    <n v="0"/>
    <m/>
    <n v="0"/>
    <n v="0"/>
    <n v="1"/>
    <n v="0"/>
    <n v="0"/>
    <n v="0"/>
    <n v="0"/>
    <n v="0"/>
    <n v="0"/>
    <n v="1"/>
    <n v="0"/>
    <n v="0"/>
    <n v="0"/>
    <n v="0"/>
    <n v="0"/>
    <n v="0"/>
    <n v="0"/>
    <n v="0"/>
    <n v="0"/>
    <n v="0"/>
    <n v="0"/>
    <n v="0"/>
    <n v="0"/>
    <n v="0"/>
    <n v="0"/>
    <n v="0"/>
    <n v="0"/>
    <n v="0"/>
    <s v="East"/>
    <x v="0"/>
    <x v="0"/>
    <x v="1"/>
    <x v="0"/>
    <x v="0"/>
    <x v="0"/>
    <m/>
    <x v="0"/>
    <s v="Y"/>
    <s v="8B"/>
    <m/>
    <n v="0"/>
    <n v="0.5"/>
    <n v="0.5"/>
    <n v="0"/>
    <n v="0"/>
    <n v="0"/>
    <n v="0"/>
    <n v="0"/>
    <n v="0"/>
    <n v="0"/>
    <n v="0"/>
    <n v="0"/>
    <n v="0"/>
    <n v="0"/>
    <n v="0"/>
    <n v="0"/>
    <n v="0"/>
    <n v="0"/>
    <n v="0"/>
    <n v="0"/>
    <n v="0"/>
    <n v="1"/>
    <n v="1"/>
  </r>
  <r>
    <n v="6741"/>
    <x v="2"/>
    <s v="2017/6256"/>
    <m/>
    <s v="ground floor, 185 Replingham Road"/>
    <m/>
    <n v="525163"/>
    <n v="173398"/>
    <x v="5"/>
    <d v="2018-03-31T00:00:00"/>
    <m/>
    <n v="0"/>
    <n v="1"/>
    <n v="1"/>
    <n v="1"/>
    <n v="1"/>
    <m/>
    <s v="Alterations including replacement fenestration to front and side elevations in connection with change of use from physiotherapy practice (Class D1) to a 1-bedroom flat (Class C3)."/>
    <s v="PF"/>
    <d v="2017-11-10T00:00:00"/>
    <d v="2018-02-22T00:00:00"/>
    <x v="1"/>
    <s v="Nil"/>
    <m/>
    <s v="BF"/>
    <x v="3"/>
    <x v="0"/>
    <x v="5"/>
    <n v="4.0000001899898104E-3"/>
    <d v="2018-03-31T00:00:00"/>
    <x v="1"/>
    <m/>
    <x v="0"/>
    <s v="P"/>
    <m/>
    <m/>
    <n v="0"/>
    <m/>
    <n v="0"/>
    <m/>
    <n v="0"/>
    <n v="1"/>
    <n v="0"/>
    <n v="0"/>
    <n v="0"/>
    <n v="0"/>
    <n v="0"/>
    <n v="0"/>
    <n v="1"/>
    <n v="0"/>
    <n v="0"/>
    <n v="0"/>
    <n v="0"/>
    <n v="0"/>
    <n v="0"/>
    <n v="0"/>
    <n v="0"/>
    <n v="0"/>
    <n v="0"/>
    <n v="0"/>
    <n v="0"/>
    <n v="0"/>
    <n v="0"/>
    <n v="0"/>
    <n v="0"/>
    <n v="0"/>
    <n v="0"/>
    <n v="0"/>
    <s v="West"/>
    <x v="0"/>
    <x v="0"/>
    <x v="1"/>
    <x v="0"/>
    <x v="0"/>
    <x v="0"/>
    <m/>
    <x v="0"/>
    <s v="Y"/>
    <s v="8B"/>
    <m/>
    <n v="0"/>
    <n v="0.5"/>
    <n v="0.5"/>
    <n v="0"/>
    <n v="0"/>
    <n v="0"/>
    <n v="0"/>
    <n v="0"/>
    <n v="0"/>
    <n v="0"/>
    <n v="0"/>
    <n v="0"/>
    <n v="0"/>
    <n v="0"/>
    <n v="0"/>
    <n v="0"/>
    <n v="0"/>
    <n v="0"/>
    <n v="0"/>
    <n v="0"/>
    <n v="0"/>
    <n v="1"/>
    <n v="1"/>
  </r>
  <r>
    <n v="6760"/>
    <x v="2"/>
    <s v="2017/6649"/>
    <m/>
    <s v="42 Parma Crescent"/>
    <m/>
    <n v="527635"/>
    <n v="175238"/>
    <x v="10"/>
    <d v="2018-03-31T00:00:00"/>
    <m/>
    <n v="1"/>
    <n v="3"/>
    <n v="2"/>
    <n v="3"/>
    <n v="2"/>
    <m/>
    <s v="Alterations including erection of mansard roof extension (with French doors and safety railings); erection of single-storey side extension; French doors and safety railings at rear first floor level and excavation to enlarge basement including formation of front and side/rear lightwells in connection with conversion of property into 1 x 1-bedroom, 1 x 2-bedroom and 1 x 3 bedroom flats."/>
    <s v="PF"/>
    <d v="2017-12-07T00:00:00"/>
    <d v="2018-02-01T00:00:00"/>
    <x v="1"/>
    <s v="Nil"/>
    <m/>
    <s v="BF"/>
    <x v="4"/>
    <x v="0"/>
    <x v="8"/>
    <n v="1.2000000104308101E-2"/>
    <d v="2018-03-31T00:00:00"/>
    <x v="1"/>
    <m/>
    <x v="0"/>
    <s v="P"/>
    <m/>
    <m/>
    <n v="0"/>
    <m/>
    <n v="0"/>
    <m/>
    <n v="0"/>
    <n v="1"/>
    <n v="1"/>
    <n v="1"/>
    <n v="-1"/>
    <n v="0"/>
    <n v="0"/>
    <n v="0"/>
    <n v="1"/>
    <n v="1"/>
    <n v="1"/>
    <n v="0"/>
    <n v="0"/>
    <n v="0"/>
    <n v="0"/>
    <n v="0"/>
    <n v="0"/>
    <n v="0"/>
    <n v="-1"/>
    <n v="0"/>
    <n v="0"/>
    <n v="0"/>
    <n v="0"/>
    <n v="0"/>
    <n v="0"/>
    <n v="0"/>
    <n v="0"/>
    <n v="0"/>
    <s v="East"/>
    <x v="0"/>
    <x v="0"/>
    <x v="1"/>
    <x v="0"/>
    <x v="0"/>
    <x v="0"/>
    <m/>
    <x v="0"/>
    <s v="Y"/>
    <s v="8B"/>
    <m/>
    <n v="0"/>
    <n v="1"/>
    <n v="1"/>
    <n v="0"/>
    <n v="0"/>
    <n v="0"/>
    <n v="0"/>
    <n v="0"/>
    <n v="0"/>
    <n v="0"/>
    <n v="0"/>
    <n v="0"/>
    <n v="0"/>
    <n v="0"/>
    <n v="0"/>
    <n v="0"/>
    <n v="0"/>
    <n v="0"/>
    <n v="0"/>
    <n v="0"/>
    <n v="0"/>
    <n v="2"/>
    <n v="2"/>
  </r>
  <r>
    <n v="35"/>
    <x v="1"/>
    <s v="2016/4028"/>
    <s v="16"/>
    <s v="Land adjoining 14, Cairns Road"/>
    <m/>
    <n v="527443"/>
    <n v="175002"/>
    <x v="14"/>
    <m/>
    <m/>
    <n v="0"/>
    <n v="2"/>
    <n v="2"/>
    <n v="2"/>
    <n v="2"/>
    <m/>
    <s v="Erection of a four-storey building to provide 2 x 2-bedroom flats and formation of roof terrace to rear."/>
    <s v="PF"/>
    <d v="2016-07-27T00:00:00"/>
    <d v="2016-10-21T00:00:00"/>
    <x v="0"/>
    <s v="Nil"/>
    <m/>
    <s v="BF"/>
    <x v="0"/>
    <x v="0"/>
    <x v="0"/>
    <n v="6.0000000521540598E-3"/>
    <m/>
    <x v="0"/>
    <m/>
    <x v="0"/>
    <s v="P"/>
    <m/>
    <m/>
    <n v="2"/>
    <m/>
    <n v="0"/>
    <m/>
    <n v="0"/>
    <n v="0"/>
    <n v="2"/>
    <n v="0"/>
    <n v="0"/>
    <n v="0"/>
    <n v="0"/>
    <n v="0"/>
    <n v="0"/>
    <n v="2"/>
    <n v="0"/>
    <n v="0"/>
    <n v="0"/>
    <n v="0"/>
    <n v="0"/>
    <n v="0"/>
    <n v="0"/>
    <n v="0"/>
    <n v="0"/>
    <n v="0"/>
    <n v="0"/>
    <n v="0"/>
    <n v="0"/>
    <n v="0"/>
    <n v="0"/>
    <n v="0"/>
    <n v="0"/>
    <n v="0"/>
    <s v="East"/>
    <x v="5"/>
    <x v="0"/>
    <x v="1"/>
    <x v="0"/>
    <x v="0"/>
    <x v="0"/>
    <m/>
    <x v="0"/>
    <s v="Y"/>
    <n v="4"/>
    <m/>
    <n v="0"/>
    <n v="0"/>
    <n v="0.5"/>
    <n v="0.5"/>
    <n v="0.5"/>
    <n v="0.5"/>
    <n v="0"/>
    <n v="0"/>
    <n v="0"/>
    <n v="0"/>
    <n v="0"/>
    <n v="0"/>
    <n v="0"/>
    <n v="0"/>
    <n v="0"/>
    <n v="0"/>
    <n v="0"/>
    <n v="0"/>
    <n v="0"/>
    <n v="0"/>
    <n v="0"/>
    <n v="2"/>
    <n v="2"/>
  </r>
  <r>
    <n v="54"/>
    <x v="1"/>
    <s v="2017/0125"/>
    <s v="Ransomes Dock Business Centre"/>
    <s v="Ransomes Dock, 35-37 Parkgate Road"/>
    <m/>
    <n v="527320"/>
    <n v="177144"/>
    <x v="1"/>
    <m/>
    <m/>
    <n v="0"/>
    <n v="5"/>
    <n v="5"/>
    <n v="5"/>
    <n v="5"/>
    <m/>
    <s v="Erection of five two-storey flats with roof terraces above the existing business units of the Ransomes Dock Business Centre at third floor level."/>
    <s v="PF"/>
    <d v="2017-01-30T00:00:00"/>
    <d v="2017-12-18T00:00:00"/>
    <x v="1"/>
    <s v="Nil"/>
    <m/>
    <s v="BF"/>
    <x v="2"/>
    <x v="0"/>
    <x v="3"/>
    <n v="2.70000007003546E-2"/>
    <m/>
    <x v="0"/>
    <m/>
    <x v="0"/>
    <s v="P"/>
    <m/>
    <m/>
    <n v="0"/>
    <m/>
    <n v="0"/>
    <m/>
    <n v="0"/>
    <n v="1"/>
    <n v="0"/>
    <n v="4"/>
    <n v="0"/>
    <n v="0"/>
    <n v="0"/>
    <n v="0"/>
    <n v="1"/>
    <n v="0"/>
    <n v="4"/>
    <n v="0"/>
    <n v="0"/>
    <n v="0"/>
    <n v="0"/>
    <n v="0"/>
    <n v="0"/>
    <n v="0"/>
    <n v="0"/>
    <n v="0"/>
    <n v="0"/>
    <n v="0"/>
    <n v="0"/>
    <n v="0"/>
    <n v="0"/>
    <n v="0"/>
    <n v="0"/>
    <n v="0"/>
    <s v="East"/>
    <x v="0"/>
    <x v="0"/>
    <x v="1"/>
    <x v="0"/>
    <x v="0"/>
    <x v="0"/>
    <s v="Y"/>
    <x v="0"/>
    <s v="Y"/>
    <s v="9A"/>
    <m/>
    <n v="0"/>
    <n v="1.25"/>
    <n v="1.25"/>
    <n v="1.25"/>
    <n v="1.25"/>
    <n v="0"/>
    <n v="0"/>
    <n v="0"/>
    <n v="0"/>
    <n v="0"/>
    <n v="0"/>
    <n v="0"/>
    <n v="0"/>
    <n v="0"/>
    <n v="0"/>
    <n v="0"/>
    <n v="0"/>
    <n v="0"/>
    <n v="0"/>
    <n v="0"/>
    <n v="0"/>
    <n v="5"/>
    <n v="5"/>
  </r>
  <r>
    <n v="170"/>
    <x v="1"/>
    <s v="2015/1352"/>
    <m/>
    <s v="Newcombe House, 319-323 Battersea Park Road"/>
    <m/>
    <n v="528164"/>
    <n v="176634"/>
    <x v="6"/>
    <m/>
    <m/>
    <n v="0"/>
    <n v="5"/>
    <n v="5"/>
    <n v="5"/>
    <n v="5"/>
    <m/>
    <s v="Demolition of upper floors of existing (B1a Use Class) building and erection of three additional storeys to provide five self contained (C3 Use Class) flats (4 x 2 bedroom, 1 x 3 bedroom), including roof terraces, cycle and refuse storage."/>
    <s v="PF"/>
    <d v="2015-04-27T00:00:00"/>
    <d v="2015-08-14T00:00:00"/>
    <x v="0"/>
    <s v="Nil"/>
    <m/>
    <s v="BF"/>
    <x v="4"/>
    <x v="0"/>
    <x v="0"/>
    <n v="1.2000000104308101E-2"/>
    <m/>
    <x v="0"/>
    <m/>
    <x v="0"/>
    <s v="P"/>
    <m/>
    <m/>
    <n v="5"/>
    <m/>
    <n v="0"/>
    <m/>
    <n v="0"/>
    <n v="0"/>
    <n v="4"/>
    <n v="1"/>
    <n v="0"/>
    <n v="0"/>
    <n v="0"/>
    <n v="0"/>
    <n v="0"/>
    <n v="4"/>
    <n v="1"/>
    <n v="0"/>
    <n v="0"/>
    <n v="0"/>
    <n v="0"/>
    <n v="0"/>
    <n v="0"/>
    <n v="0"/>
    <n v="0"/>
    <n v="0"/>
    <n v="0"/>
    <n v="0"/>
    <n v="0"/>
    <n v="0"/>
    <n v="0"/>
    <n v="0"/>
    <n v="0"/>
    <n v="0"/>
    <s v="East"/>
    <x v="0"/>
    <x v="0"/>
    <x v="1"/>
    <x v="0"/>
    <x v="0"/>
    <x v="0"/>
    <m/>
    <x v="0"/>
    <s v="Y"/>
    <s v="9A"/>
    <m/>
    <n v="0"/>
    <n v="1.25"/>
    <n v="1.25"/>
    <n v="1.25"/>
    <n v="1.25"/>
    <n v="0"/>
    <n v="0"/>
    <n v="0"/>
    <n v="0"/>
    <n v="0"/>
    <n v="0"/>
    <n v="0"/>
    <n v="0"/>
    <n v="0"/>
    <n v="0"/>
    <n v="0"/>
    <n v="0"/>
    <n v="0"/>
    <n v="0"/>
    <n v="0"/>
    <n v="0"/>
    <n v="5"/>
    <n v="5"/>
  </r>
  <r>
    <n v="180"/>
    <x v="1"/>
    <s v="2016/4188"/>
    <s v="Harris Academy"/>
    <s v="Battersea Technology College and 3 Culovert Road, 401 Battersea Park Road"/>
    <m/>
    <n v="527950"/>
    <n v="176519"/>
    <x v="2"/>
    <m/>
    <m/>
    <n v="1"/>
    <n v="31"/>
    <n v="30"/>
    <n v="39"/>
    <n v="38"/>
    <s v="Y"/>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d__x000a_ _x000d__x000a_The main revisions to the original scheme are summarised as:_x000d__x000a_ _x000d__x000a_- Resiting the 14-storey tower building further to the east by 1 metre._x000d__x000a_- Modifications to the cladding materials: Introducing a brick cladding material and reducing the level of the glazing on the 14 storey tower building._x000d__x000a_- Revised landscaping strategy: To include new trees at the junction of Culvert Road and Battersea Park Road and within the Harris Academy fronting onto Battersea Park Road._x000d__x000a_- Resiting the 14-storey tower building further to the east by 1 metre._x000d__x000a_- Modifications to the cladding materials: Introducing a brick cladding material and reducing the level of the glazing on the 14 storey tower building._x000d__x000a_- Revised landscaping strategy: To include new trees at the junction of Culvert Road and Battersea Park Road and within the Harris Academy fronting onto Battersea Park Road"/>
    <s v="PFLA"/>
    <d v="2016-08-01T00:00:00"/>
    <d v="2017-09-11T00:00:00"/>
    <x v="1"/>
    <s v="Nil"/>
    <m/>
    <s v="BF"/>
    <x v="0"/>
    <x v="1"/>
    <x v="1"/>
    <n v="0.104000002145767"/>
    <m/>
    <x v="0"/>
    <m/>
    <x v="0"/>
    <s v="P"/>
    <m/>
    <m/>
    <n v="31"/>
    <m/>
    <n v="0"/>
    <m/>
    <n v="0"/>
    <n v="14"/>
    <n v="15"/>
    <n v="1"/>
    <n v="0"/>
    <n v="0"/>
    <n v="0"/>
    <n v="0"/>
    <n v="14"/>
    <n v="15"/>
    <n v="2"/>
    <n v="0"/>
    <n v="0"/>
    <n v="0"/>
    <n v="0"/>
    <n v="0"/>
    <n v="0"/>
    <n v="-1"/>
    <n v="0"/>
    <n v="0"/>
    <n v="0"/>
    <n v="0"/>
    <n v="0"/>
    <n v="0"/>
    <n v="0"/>
    <n v="0"/>
    <n v="0"/>
    <n v="0"/>
    <s v="East"/>
    <x v="0"/>
    <x v="0"/>
    <x v="1"/>
    <x v="0"/>
    <x v="0"/>
    <x v="0"/>
    <m/>
    <x v="0"/>
    <s v="Y"/>
    <s v="5A"/>
    <m/>
    <n v="0"/>
    <n v="0"/>
    <n v="0"/>
    <n v="30"/>
    <n v="0"/>
    <n v="0"/>
    <n v="0"/>
    <n v="0"/>
    <n v="0"/>
    <n v="0"/>
    <n v="0"/>
    <n v="0"/>
    <n v="0"/>
    <n v="0"/>
    <n v="0"/>
    <n v="0"/>
    <n v="0"/>
    <n v="0"/>
    <n v="0"/>
    <n v="0"/>
    <n v="0"/>
    <n v="30"/>
    <n v="30"/>
  </r>
  <r>
    <n v="180"/>
    <x v="1"/>
    <s v="2016/4188"/>
    <s v="Harris Academy"/>
    <s v="Battersea Technology College and 3 Culovert Road, 401 Battersea Park Road"/>
    <m/>
    <n v="527950"/>
    <n v="176519"/>
    <x v="2"/>
    <m/>
    <m/>
    <n v="0"/>
    <n v="4"/>
    <n v="4"/>
    <n v="39"/>
    <n v="38"/>
    <s v="Y"/>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d__x000a_ _x000d__x000a_The main revisions to the original scheme are summarised as:_x000d__x000a_ _x000d__x000a_- Resiting the 14-storey tower building further to the east by 1 metre._x000d__x000a_- Modifications to the cladding materials: Introducing a brick cladding material and reducing the level of the glazing on the 14 storey tower building._x000d__x000a_- Revised landscaping strategy: To include new trees at the junction of Culvert Road and Battersea Park Road and within the Harris Academy fronting onto Battersea Park Road._x000d__x000a_- Resiting the 14-storey tower building further to the east by 1 metre._x000d__x000a_- Modifications to the cladding materials: Introducing a brick cladding material and reducing the level of the glazing on the 14 storey tower building._x000d__x000a_- Revised landscaping strategy: To include new trees at the junction of Culvert Road and Battersea Park Road and within the Harris Academy fronting onto Battersea Park Road"/>
    <s v="PFLA"/>
    <d v="2016-08-01T00:00:00"/>
    <d v="2017-09-11T00:00:00"/>
    <x v="1"/>
    <s v="Nil"/>
    <m/>
    <s v="BF"/>
    <x v="0"/>
    <x v="1"/>
    <x v="1"/>
    <n v="1.4000000432133701E-2"/>
    <m/>
    <x v="0"/>
    <m/>
    <x v="1"/>
    <s v="HAIS"/>
    <m/>
    <m/>
    <n v="4"/>
    <n v="4"/>
    <n v="0"/>
    <n v="0"/>
    <n v="0"/>
    <n v="2"/>
    <n v="2"/>
    <n v="0"/>
    <n v="0"/>
    <n v="0"/>
    <n v="0"/>
    <n v="0"/>
    <n v="2"/>
    <n v="2"/>
    <n v="0"/>
    <n v="0"/>
    <n v="0"/>
    <n v="0"/>
    <n v="0"/>
    <n v="0"/>
    <n v="0"/>
    <n v="0"/>
    <n v="0"/>
    <n v="0"/>
    <n v="0"/>
    <n v="0"/>
    <n v="0"/>
    <n v="0"/>
    <n v="0"/>
    <n v="0"/>
    <n v="0"/>
    <n v="0"/>
    <s v="East"/>
    <x v="0"/>
    <x v="0"/>
    <x v="1"/>
    <x v="0"/>
    <x v="0"/>
    <x v="0"/>
    <m/>
    <x v="0"/>
    <s v="Y"/>
    <s v="5A"/>
    <m/>
    <n v="0"/>
    <n v="0"/>
    <n v="0"/>
    <n v="4"/>
    <n v="0"/>
    <n v="0"/>
    <n v="0"/>
    <n v="0"/>
    <n v="0"/>
    <n v="0"/>
    <n v="0"/>
    <n v="0"/>
    <n v="0"/>
    <n v="0"/>
    <n v="0"/>
    <n v="0"/>
    <n v="0"/>
    <n v="0"/>
    <n v="0"/>
    <n v="0"/>
    <n v="0"/>
    <n v="4"/>
    <n v="4"/>
  </r>
  <r>
    <n v="180"/>
    <x v="1"/>
    <s v="2016/4188"/>
    <s v="Harris Academy"/>
    <s v="Battersea Technology College and 3 Culovert Road, 401 Battersea Park Road"/>
    <m/>
    <n v="527950"/>
    <n v="176519"/>
    <x v="2"/>
    <m/>
    <m/>
    <n v="0"/>
    <n v="4"/>
    <n v="4"/>
    <n v="39"/>
    <n v="38"/>
    <s v="Y"/>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d__x000a_ _x000d__x000a_The main revisions to the original scheme are summarised as:_x000d__x000a_ _x000d__x000a_- Resiting the 14-storey tower building further to the east by 1 metre._x000d__x000a_- Modifications to the cladding materials: Introducing a brick cladding material and reducing the level of the glazing on the 14 storey tower building._x000d__x000a_- Revised landscaping strategy: To include new trees at the junction of Culvert Road and Battersea Park Road and within the Harris Academy fronting onto Battersea Park Road._x000d__x000a_- Resiting the 14-storey tower building further to the east by 1 metre._x000d__x000a_- Modifications to the cladding materials: Introducing a brick cladding material and reducing the level of the glazing on the 14 storey tower building._x000d__x000a_- Revised landscaping strategy: To include new trees at the junction of Culvert Road and Battersea Park Road and within the Harris Academy fronting onto Battersea Park Road"/>
    <s v="PFLA"/>
    <d v="2016-08-01T00:00:00"/>
    <d v="2017-09-11T00:00:00"/>
    <x v="1"/>
    <s v="Nil"/>
    <m/>
    <s v="BF"/>
    <x v="0"/>
    <x v="1"/>
    <x v="1"/>
    <n v="1.4000000432133701E-2"/>
    <m/>
    <x v="0"/>
    <m/>
    <x v="1"/>
    <s v="HAIR"/>
    <m/>
    <m/>
    <n v="4"/>
    <n v="4"/>
    <n v="1"/>
    <n v="1"/>
    <n v="0"/>
    <n v="2"/>
    <n v="2"/>
    <n v="0"/>
    <n v="0"/>
    <n v="0"/>
    <n v="0"/>
    <n v="0"/>
    <n v="2"/>
    <n v="2"/>
    <n v="0"/>
    <n v="0"/>
    <n v="0"/>
    <n v="0"/>
    <n v="0"/>
    <n v="0"/>
    <n v="0"/>
    <n v="0"/>
    <n v="0"/>
    <n v="0"/>
    <n v="0"/>
    <n v="0"/>
    <n v="0"/>
    <n v="0"/>
    <n v="0"/>
    <n v="0"/>
    <n v="0"/>
    <n v="0"/>
    <s v="East"/>
    <x v="0"/>
    <x v="0"/>
    <x v="1"/>
    <x v="0"/>
    <x v="0"/>
    <x v="0"/>
    <m/>
    <x v="0"/>
    <s v="Y"/>
    <s v="5A"/>
    <m/>
    <n v="0"/>
    <n v="0"/>
    <n v="0"/>
    <n v="4"/>
    <n v="0"/>
    <n v="0"/>
    <n v="0"/>
    <n v="0"/>
    <n v="0"/>
    <n v="0"/>
    <n v="0"/>
    <n v="0"/>
    <n v="0"/>
    <n v="0"/>
    <n v="0"/>
    <n v="0"/>
    <n v="0"/>
    <n v="0"/>
    <n v="0"/>
    <n v="0"/>
    <n v="0"/>
    <n v="4"/>
    <n v="4"/>
  </r>
  <r>
    <n v="213"/>
    <x v="1"/>
    <s v="2017/1804"/>
    <m/>
    <s v="Estate House, 225-231 Upper Richmond Road"/>
    <m/>
    <n v="523620"/>
    <n v="175154"/>
    <x v="16"/>
    <m/>
    <m/>
    <n v="0"/>
    <n v="1"/>
    <n v="1"/>
    <n v="1"/>
    <n v="1"/>
    <m/>
    <s v="Conversion of storage area at first floor level into a 2-bedroom self contained flat."/>
    <s v="PF"/>
    <d v="2017-05-17T00:00:00"/>
    <d v="2017-07-13T00:00:00"/>
    <x v="1"/>
    <s v="Nil"/>
    <m/>
    <s v="BF"/>
    <x v="3"/>
    <x v="0"/>
    <x v="5"/>
    <n v="2.8000000864267301E-2"/>
    <m/>
    <x v="0"/>
    <m/>
    <x v="0"/>
    <s v="P"/>
    <m/>
    <m/>
    <n v="0"/>
    <m/>
    <n v="0"/>
    <m/>
    <n v="0"/>
    <n v="0"/>
    <n v="1"/>
    <n v="0"/>
    <n v="0"/>
    <n v="0"/>
    <n v="0"/>
    <n v="0"/>
    <n v="0"/>
    <n v="1"/>
    <n v="0"/>
    <n v="0"/>
    <n v="0"/>
    <n v="0"/>
    <n v="0"/>
    <n v="0"/>
    <n v="0"/>
    <n v="0"/>
    <n v="0"/>
    <n v="0"/>
    <n v="0"/>
    <n v="0"/>
    <n v="0"/>
    <n v="0"/>
    <n v="0"/>
    <n v="0"/>
    <n v="0"/>
    <n v="0"/>
    <s v="West"/>
    <x v="3"/>
    <x v="0"/>
    <x v="1"/>
    <x v="0"/>
    <x v="0"/>
    <x v="0"/>
    <m/>
    <x v="0"/>
    <s v="Y"/>
    <s v="9A"/>
    <m/>
    <n v="0"/>
    <n v="0.25"/>
    <n v="0.25"/>
    <n v="0.25"/>
    <n v="0.25"/>
    <n v="0"/>
    <n v="0"/>
    <n v="0"/>
    <n v="0"/>
    <n v="0"/>
    <n v="0"/>
    <n v="0"/>
    <n v="0"/>
    <n v="0"/>
    <n v="0"/>
    <n v="0"/>
    <n v="0"/>
    <n v="0"/>
    <n v="0"/>
    <n v="0"/>
    <n v="0"/>
    <n v="1"/>
    <n v="1"/>
  </r>
  <r>
    <n v="244"/>
    <x v="1"/>
    <s v="2016/3452"/>
    <s v="Plantation Wharf"/>
    <s v="Trade Tower, Plantation Wharf, Coral Row"/>
    <m/>
    <n v="526455"/>
    <n v="175748"/>
    <x v="1"/>
    <m/>
    <m/>
    <n v="0"/>
    <n v="4"/>
    <n v="4"/>
    <n v="4"/>
    <n v="4"/>
    <m/>
    <s v="Determination as to whether prior approval is required for change of use from office (Class B1a) to 4 x 1-bedroom residential units (Class C3) at ground level"/>
    <s v="PAG"/>
    <d v="2016-06-27T00:00:00"/>
    <d v="2016-08-22T00:00:00"/>
    <x v="0"/>
    <s v="Nil"/>
    <m/>
    <s v="BF"/>
    <x v="3"/>
    <x v="0"/>
    <x v="9"/>
    <n v="1.4999999664723899E-2"/>
    <m/>
    <x v="0"/>
    <m/>
    <x v="0"/>
    <s v="P"/>
    <s v="10.15"/>
    <m/>
    <n v="0"/>
    <m/>
    <n v="0"/>
    <m/>
    <n v="0"/>
    <n v="4"/>
    <n v="0"/>
    <n v="0"/>
    <n v="0"/>
    <n v="0"/>
    <n v="0"/>
    <n v="0"/>
    <n v="4"/>
    <n v="0"/>
    <n v="0"/>
    <n v="0"/>
    <n v="0"/>
    <n v="0"/>
    <n v="0"/>
    <n v="0"/>
    <n v="0"/>
    <n v="0"/>
    <n v="0"/>
    <n v="0"/>
    <n v="0"/>
    <n v="0"/>
    <n v="0"/>
    <n v="0"/>
    <n v="0"/>
    <n v="0"/>
    <n v="0"/>
    <n v="0"/>
    <s v="East"/>
    <x v="0"/>
    <x v="0"/>
    <x v="1"/>
    <x v="0"/>
    <x v="0"/>
    <x v="0"/>
    <s v="Y"/>
    <x v="0"/>
    <s v="Y"/>
    <s v="9C"/>
    <m/>
    <n v="0"/>
    <n v="1"/>
    <n v="1"/>
    <n v="1"/>
    <n v="1"/>
    <n v="0"/>
    <n v="0"/>
    <n v="0"/>
    <n v="0"/>
    <n v="0"/>
    <n v="0"/>
    <n v="0"/>
    <n v="0"/>
    <n v="0"/>
    <n v="0"/>
    <n v="0"/>
    <n v="0"/>
    <n v="0"/>
    <n v="0"/>
    <n v="0"/>
    <n v="0"/>
    <n v="4"/>
    <n v="4"/>
  </r>
  <r>
    <n v="280"/>
    <x v="1"/>
    <s v="2016/4426"/>
    <m/>
    <s v="2a Sistova Road"/>
    <m/>
    <n v="528689"/>
    <n v="173240"/>
    <x v="9"/>
    <m/>
    <m/>
    <n v="1"/>
    <n v="3"/>
    <n v="2"/>
    <n v="3"/>
    <n v="2"/>
    <m/>
    <s v="Alterations including erection of mansard extension to main roof (with French doors and safety railings to rear) and excavation to create basement including formation of front lightwell, in connection with conversion of property into 1 x 1-bedroom and 1 x 2-bedroom and 1 x 3 bedroom flats."/>
    <s v="PF"/>
    <d v="2016-07-28T00:00:00"/>
    <d v="2016-09-22T00:00:00"/>
    <x v="0"/>
    <s v="Nil"/>
    <m/>
    <s v="BF"/>
    <x v="4"/>
    <x v="0"/>
    <x v="8"/>
    <n v="1.09999999403954E-2"/>
    <m/>
    <x v="0"/>
    <m/>
    <x v="0"/>
    <s v="P"/>
    <m/>
    <m/>
    <n v="0"/>
    <m/>
    <n v="0"/>
    <m/>
    <n v="0"/>
    <n v="1"/>
    <n v="1"/>
    <n v="0"/>
    <n v="0"/>
    <n v="0"/>
    <n v="0"/>
    <n v="0"/>
    <n v="1"/>
    <n v="1"/>
    <n v="1"/>
    <n v="0"/>
    <n v="0"/>
    <n v="0"/>
    <n v="0"/>
    <n v="0"/>
    <n v="0"/>
    <n v="-1"/>
    <n v="0"/>
    <n v="0"/>
    <n v="0"/>
    <n v="0"/>
    <n v="0"/>
    <n v="0"/>
    <n v="0"/>
    <n v="0"/>
    <n v="0"/>
    <n v="0"/>
    <s v="East"/>
    <x v="0"/>
    <x v="0"/>
    <x v="1"/>
    <x v="0"/>
    <x v="0"/>
    <x v="0"/>
    <m/>
    <x v="0"/>
    <s v="Y"/>
    <s v="9A"/>
    <m/>
    <n v="0"/>
    <n v="0.5"/>
    <n v="0.5"/>
    <n v="0.5"/>
    <n v="0.5"/>
    <n v="0"/>
    <n v="0"/>
    <n v="0"/>
    <n v="0"/>
    <n v="0"/>
    <n v="0"/>
    <n v="0"/>
    <n v="0"/>
    <n v="0"/>
    <n v="0"/>
    <n v="0"/>
    <n v="0"/>
    <n v="0"/>
    <n v="0"/>
    <n v="0"/>
    <n v="0"/>
    <n v="2"/>
    <n v="2"/>
  </r>
  <r>
    <n v="411"/>
    <x v="1"/>
    <s v="2015/1591"/>
    <m/>
    <s v="220A Queenstown Road"/>
    <m/>
    <n v="528848"/>
    <n v="176719"/>
    <x v="6"/>
    <m/>
    <m/>
    <n v="0"/>
    <n v="4"/>
    <n v="4"/>
    <n v="4"/>
    <n v="4"/>
    <m/>
    <s v="Application for prior approval for change of use of property from B1(a) offices to residential (use class C3)."/>
    <s v="PAG"/>
    <d v="2015-03-24T00:00:00"/>
    <d v="2015-06-10T00:00:00"/>
    <x v="0"/>
    <s v="Nil"/>
    <m/>
    <s v="BF"/>
    <x v="3"/>
    <x v="0"/>
    <x v="9"/>
    <n v="5.9999998658895499E-2"/>
    <m/>
    <x v="0"/>
    <m/>
    <x v="0"/>
    <s v="P"/>
    <m/>
    <m/>
    <n v="0"/>
    <m/>
    <n v="0"/>
    <m/>
    <n v="0"/>
    <n v="4"/>
    <n v="0"/>
    <n v="0"/>
    <n v="0"/>
    <n v="0"/>
    <n v="0"/>
    <n v="0"/>
    <n v="4"/>
    <n v="0"/>
    <n v="0"/>
    <n v="0"/>
    <n v="0"/>
    <n v="0"/>
    <n v="0"/>
    <n v="0"/>
    <n v="0"/>
    <n v="0"/>
    <n v="0"/>
    <n v="0"/>
    <n v="0"/>
    <n v="0"/>
    <n v="0"/>
    <n v="0"/>
    <n v="0"/>
    <n v="0"/>
    <n v="0"/>
    <n v="0"/>
    <s v="Strategic Planning/Nine Elms"/>
    <x v="0"/>
    <x v="1"/>
    <x v="1"/>
    <x v="0"/>
    <x v="0"/>
    <x v="0"/>
    <m/>
    <x v="0"/>
    <s v="Y"/>
    <s v="9A"/>
    <m/>
    <n v="0"/>
    <n v="1"/>
    <n v="1"/>
    <n v="1"/>
    <n v="1"/>
    <n v="0"/>
    <n v="0"/>
    <n v="0"/>
    <n v="0"/>
    <n v="0"/>
    <n v="0"/>
    <n v="0"/>
    <n v="0"/>
    <n v="0"/>
    <n v="0"/>
    <n v="0"/>
    <n v="0"/>
    <n v="0"/>
    <n v="0"/>
    <n v="0"/>
    <n v="0"/>
    <n v="4"/>
    <n v="4"/>
  </r>
  <r>
    <n v="419"/>
    <x v="1"/>
    <s v="2017/4958"/>
    <m/>
    <s v="5 Beechcroft Road"/>
    <m/>
    <n v="527797"/>
    <n v="172208"/>
    <x v="4"/>
    <m/>
    <m/>
    <n v="0"/>
    <n v="4"/>
    <n v="4"/>
    <n v="4"/>
    <n v="4"/>
    <m/>
    <s v="Demolition of existing building and erection of a three-storey building to provide 1 x 1-bedroom, 2 x 2-bedroom and 1 x 3-bedroom flats with private amenity area and the use of the ground floor as a community Class D1."/>
    <s v="PF"/>
    <d v="2017-09-05T00:00:00"/>
    <d v="2017-12-18T00:00:00"/>
    <x v="1"/>
    <s v="Nil"/>
    <m/>
    <s v="BF"/>
    <x v="0"/>
    <x v="0"/>
    <x v="0"/>
    <n v="2.3000000044703501E-2"/>
    <m/>
    <x v="0"/>
    <m/>
    <x v="0"/>
    <s v="P"/>
    <m/>
    <m/>
    <n v="0"/>
    <m/>
    <n v="0"/>
    <m/>
    <n v="0"/>
    <n v="1"/>
    <n v="2"/>
    <n v="1"/>
    <n v="0"/>
    <n v="0"/>
    <n v="0"/>
    <n v="0"/>
    <n v="1"/>
    <n v="2"/>
    <n v="1"/>
    <n v="0"/>
    <n v="0"/>
    <n v="0"/>
    <n v="0"/>
    <n v="0"/>
    <n v="0"/>
    <n v="0"/>
    <n v="0"/>
    <n v="0"/>
    <n v="0"/>
    <n v="0"/>
    <n v="0"/>
    <n v="0"/>
    <n v="0"/>
    <n v="0"/>
    <n v="0"/>
    <n v="0"/>
    <s v="East"/>
    <x v="0"/>
    <x v="0"/>
    <x v="1"/>
    <x v="0"/>
    <x v="0"/>
    <x v="0"/>
    <m/>
    <x v="0"/>
    <s v="Y"/>
    <n v="4"/>
    <m/>
    <n v="0"/>
    <n v="0"/>
    <n v="1"/>
    <n v="1"/>
    <n v="1"/>
    <n v="1"/>
    <n v="0"/>
    <n v="0"/>
    <n v="0"/>
    <n v="0"/>
    <n v="0"/>
    <n v="0"/>
    <n v="0"/>
    <n v="0"/>
    <n v="0"/>
    <n v="0"/>
    <n v="0"/>
    <n v="0"/>
    <n v="0"/>
    <n v="0"/>
    <n v="0"/>
    <n v="4"/>
    <n v="4"/>
  </r>
  <r>
    <n v="457"/>
    <x v="1"/>
    <s v="2017/3054"/>
    <m/>
    <s v="(rear of 2), 2B Credenhill Street"/>
    <m/>
    <n v="529185"/>
    <n v="170570"/>
    <x v="12"/>
    <m/>
    <m/>
    <n v="0"/>
    <n v="1"/>
    <n v="1"/>
    <n v="1"/>
    <n v="1"/>
    <m/>
    <s v="Demolition of existing workshop building and erection of a two-storey 1-bedroom house (fronting Fallsbrook Road) with associated landscaping, cycle and refuse storage."/>
    <s v="PF"/>
    <d v="2017-06-14T00:00:00"/>
    <d v="2017-10-24T00:00:00"/>
    <x v="1"/>
    <s v="Nil"/>
    <m/>
    <s v="BF"/>
    <x v="0"/>
    <x v="0"/>
    <x v="0"/>
    <n v="1.60000007599592E-2"/>
    <m/>
    <x v="0"/>
    <m/>
    <x v="0"/>
    <s v="P"/>
    <m/>
    <m/>
    <n v="0"/>
    <m/>
    <n v="0"/>
    <m/>
    <n v="0"/>
    <n v="1"/>
    <n v="0"/>
    <n v="0"/>
    <n v="0"/>
    <n v="0"/>
    <n v="0"/>
    <n v="0"/>
    <n v="0"/>
    <n v="0"/>
    <n v="0"/>
    <n v="0"/>
    <n v="0"/>
    <n v="0"/>
    <n v="0"/>
    <n v="1"/>
    <n v="0"/>
    <n v="0"/>
    <n v="0"/>
    <n v="0"/>
    <n v="0"/>
    <n v="0"/>
    <n v="0"/>
    <n v="0"/>
    <n v="0"/>
    <n v="0"/>
    <n v="0"/>
    <n v="0"/>
    <s v="East"/>
    <x v="0"/>
    <x v="0"/>
    <x v="1"/>
    <x v="0"/>
    <x v="0"/>
    <x v="0"/>
    <m/>
    <x v="0"/>
    <s v="Y"/>
    <n v="4"/>
    <m/>
    <n v="0"/>
    <n v="0"/>
    <n v="0.25"/>
    <n v="0.25"/>
    <n v="0.25"/>
    <n v="0.25"/>
    <n v="0"/>
    <n v="0"/>
    <n v="0"/>
    <n v="0"/>
    <n v="0"/>
    <n v="0"/>
    <n v="0"/>
    <n v="0"/>
    <n v="0"/>
    <n v="0"/>
    <n v="0"/>
    <n v="0"/>
    <n v="0"/>
    <n v="0"/>
    <n v="0"/>
    <n v="1"/>
    <n v="1"/>
  </r>
  <r>
    <n v="466"/>
    <x v="1"/>
    <s v="2018/0378"/>
    <m/>
    <s v="153 Balham Hill"/>
    <m/>
    <n v="528790"/>
    <n v="173785"/>
    <x v="9"/>
    <m/>
    <m/>
    <n v="1"/>
    <n v="2"/>
    <n v="1"/>
    <n v="2"/>
    <n v="1"/>
    <m/>
    <s v="Conversion of second and third floor flat to 2 x 1-bedroom flats."/>
    <s v="PF"/>
    <d v="2018-01-24T00:00:00"/>
    <d v="2018-03-21T00:00:00"/>
    <x v="1"/>
    <s v="Nil"/>
    <m/>
    <s v="BF"/>
    <x v="1"/>
    <x v="0"/>
    <x v="10"/>
    <n v="6.0000000521540598E-3"/>
    <m/>
    <x v="0"/>
    <m/>
    <x v="0"/>
    <s v="P"/>
    <m/>
    <m/>
    <n v="0"/>
    <m/>
    <n v="0"/>
    <m/>
    <n v="0"/>
    <n v="2"/>
    <n v="0"/>
    <n v="0"/>
    <n v="-1"/>
    <n v="0"/>
    <n v="0"/>
    <n v="0"/>
    <n v="2"/>
    <n v="0"/>
    <n v="0"/>
    <n v="-1"/>
    <n v="0"/>
    <n v="0"/>
    <n v="0"/>
    <n v="0"/>
    <n v="0"/>
    <n v="0"/>
    <n v="0"/>
    <n v="0"/>
    <n v="0"/>
    <n v="0"/>
    <n v="0"/>
    <n v="0"/>
    <n v="0"/>
    <n v="0"/>
    <n v="0"/>
    <n v="0"/>
    <s v="East"/>
    <x v="0"/>
    <x v="0"/>
    <x v="1"/>
    <x v="0"/>
    <x v="0"/>
    <x v="0"/>
    <m/>
    <x v="0"/>
    <s v="Y"/>
    <s v="9A"/>
    <m/>
    <n v="0"/>
    <n v="0.25"/>
    <n v="0.25"/>
    <n v="0.25"/>
    <n v="0.25"/>
    <n v="0"/>
    <n v="0"/>
    <n v="0"/>
    <n v="0"/>
    <n v="0"/>
    <n v="0"/>
    <n v="0"/>
    <n v="0"/>
    <n v="0"/>
    <n v="0"/>
    <n v="0"/>
    <n v="0"/>
    <n v="0"/>
    <n v="0"/>
    <n v="0"/>
    <n v="0"/>
    <n v="1"/>
    <n v="1"/>
  </r>
  <r>
    <n v="470"/>
    <x v="1"/>
    <s v="2017/6089"/>
    <m/>
    <s v="Rear of 76, Tooting High Street"/>
    <m/>
    <n v="527370"/>
    <n v="171395"/>
    <x v="4"/>
    <m/>
    <m/>
    <n v="0"/>
    <n v="1"/>
    <n v="1"/>
    <n v="1"/>
    <n v="1"/>
    <m/>
    <s v="Demolition of existing garages and erection of a 2-storey, 3-bedroom dwellinghouse with basement and habitable roofspace including a rear mansard roof."/>
    <s v="PF"/>
    <d v="2017-11-02T00:00:00"/>
    <d v="2018-03-08T00:00:00"/>
    <x v="1"/>
    <s v="Nil"/>
    <m/>
    <s v="BF"/>
    <x v="0"/>
    <x v="0"/>
    <x v="0"/>
    <n v="4.9999998882412902E-3"/>
    <m/>
    <x v="0"/>
    <m/>
    <x v="0"/>
    <s v="P"/>
    <m/>
    <m/>
    <n v="0"/>
    <m/>
    <n v="0"/>
    <m/>
    <n v="0"/>
    <n v="0"/>
    <n v="0"/>
    <n v="1"/>
    <n v="0"/>
    <n v="0"/>
    <n v="0"/>
    <n v="0"/>
    <n v="0"/>
    <n v="0"/>
    <n v="0"/>
    <n v="0"/>
    <n v="0"/>
    <n v="0"/>
    <n v="0"/>
    <n v="0"/>
    <n v="0"/>
    <n v="1"/>
    <n v="0"/>
    <n v="0"/>
    <n v="0"/>
    <n v="0"/>
    <n v="0"/>
    <n v="0"/>
    <n v="0"/>
    <n v="0"/>
    <n v="0"/>
    <n v="0"/>
    <s v="East"/>
    <x v="1"/>
    <x v="0"/>
    <x v="1"/>
    <x v="0"/>
    <x v="0"/>
    <x v="0"/>
    <m/>
    <x v="0"/>
    <s v="Y"/>
    <n v="4"/>
    <m/>
    <n v="0"/>
    <n v="0"/>
    <n v="0.25"/>
    <n v="0.25"/>
    <n v="0.25"/>
    <n v="0.25"/>
    <n v="0"/>
    <n v="0"/>
    <n v="0"/>
    <n v="0"/>
    <n v="0"/>
    <n v="0"/>
    <n v="0"/>
    <n v="0"/>
    <n v="0"/>
    <n v="0"/>
    <n v="0"/>
    <n v="0"/>
    <n v="0"/>
    <n v="0"/>
    <n v="0"/>
    <n v="1"/>
    <n v="1"/>
  </r>
  <r>
    <n v="501"/>
    <x v="1"/>
    <s v="2017/3124"/>
    <m/>
    <s v="252 Upper Richmond Road"/>
    <m/>
    <n v="523779"/>
    <n v="175125"/>
    <x v="13"/>
    <m/>
    <m/>
    <n v="0"/>
    <n v="1"/>
    <n v="1"/>
    <n v="1"/>
    <n v="1"/>
    <m/>
    <s v="Alterations to the rear elevation to allow change of part of the ground and basement levels from a shop (Class A1) to a 1 x 2-bedroom flat (Class C3) with rear terrace and external steps."/>
    <s v="PF"/>
    <d v="2017-06-15T00:00:00"/>
    <d v="2017-08-24T00:00:00"/>
    <x v="1"/>
    <s v="Nil"/>
    <m/>
    <s v="BF"/>
    <x v="3"/>
    <x v="0"/>
    <x v="4"/>
    <n v="8.9999996125698107E-3"/>
    <m/>
    <x v="0"/>
    <m/>
    <x v="0"/>
    <s v="P"/>
    <m/>
    <m/>
    <n v="0"/>
    <m/>
    <n v="0"/>
    <m/>
    <n v="0"/>
    <n v="0"/>
    <n v="1"/>
    <n v="0"/>
    <n v="0"/>
    <n v="0"/>
    <n v="0"/>
    <n v="0"/>
    <n v="0"/>
    <n v="1"/>
    <n v="0"/>
    <n v="0"/>
    <n v="0"/>
    <n v="0"/>
    <n v="0"/>
    <n v="0"/>
    <n v="0"/>
    <n v="0"/>
    <n v="0"/>
    <n v="0"/>
    <n v="0"/>
    <n v="0"/>
    <n v="0"/>
    <n v="0"/>
    <n v="0"/>
    <n v="0"/>
    <n v="0"/>
    <n v="0"/>
    <s v="West"/>
    <x v="3"/>
    <x v="0"/>
    <x v="1"/>
    <x v="0"/>
    <x v="0"/>
    <x v="0"/>
    <m/>
    <x v="0"/>
    <s v="Y"/>
    <s v="9A"/>
    <m/>
    <n v="0"/>
    <n v="0.25"/>
    <n v="0.25"/>
    <n v="0.25"/>
    <n v="0.25"/>
    <n v="0"/>
    <n v="0"/>
    <n v="0"/>
    <n v="0"/>
    <n v="0"/>
    <n v="0"/>
    <n v="0"/>
    <n v="0"/>
    <n v="0"/>
    <n v="0"/>
    <n v="0"/>
    <n v="0"/>
    <n v="0"/>
    <n v="0"/>
    <n v="0"/>
    <n v="0"/>
    <n v="1"/>
    <n v="1"/>
  </r>
  <r>
    <n v="518"/>
    <x v="1"/>
    <s v="2015/1855"/>
    <m/>
    <s v="6-10 Mitcham Road"/>
    <s v="BLOCK A - third floor"/>
    <n v="527485"/>
    <n v="171424"/>
    <x v="8"/>
    <m/>
    <m/>
    <n v="0"/>
    <n v="1"/>
    <n v="1"/>
    <n v="5"/>
    <n v="5"/>
    <m/>
    <s v="Extension of the ground floor area for retail use. Extension of existing residential block of 4 dwelling units at the front of the site to create additional storey (for 1 x 3-bedroom flat), with alterations to frontage and replacement shopfront.  Construction of 4 x 2-bedroom flats to the rear of the site in a two storey extension set above the extended ground floor retail unit, with associated roof terraces/balconies, communal courtyard, cycle storage and refuse storage."/>
    <s v="PF"/>
    <d v="2015-05-11T00:00:00"/>
    <d v="2015-10-27T00:00:00"/>
    <x v="0"/>
    <s v="Nil"/>
    <m/>
    <s v="BF"/>
    <x v="4"/>
    <x v="0"/>
    <x v="0"/>
    <n v="0"/>
    <m/>
    <x v="0"/>
    <m/>
    <x v="0"/>
    <s v="P"/>
    <m/>
    <m/>
    <n v="0"/>
    <m/>
    <n v="0"/>
    <m/>
    <n v="0"/>
    <n v="0"/>
    <n v="0"/>
    <n v="1"/>
    <n v="0"/>
    <n v="0"/>
    <n v="0"/>
    <n v="0"/>
    <n v="0"/>
    <n v="0"/>
    <n v="1"/>
    <n v="0"/>
    <n v="0"/>
    <n v="0"/>
    <n v="0"/>
    <n v="0"/>
    <n v="0"/>
    <n v="0"/>
    <n v="0"/>
    <n v="0"/>
    <n v="0"/>
    <n v="0"/>
    <n v="0"/>
    <n v="0"/>
    <n v="0"/>
    <n v="0"/>
    <n v="0"/>
    <n v="0"/>
    <s v="East"/>
    <x v="1"/>
    <x v="0"/>
    <x v="1"/>
    <x v="0"/>
    <x v="0"/>
    <x v="0"/>
    <m/>
    <x v="0"/>
    <s v="Y"/>
    <s v="9A"/>
    <m/>
    <n v="0"/>
    <n v="0.25"/>
    <n v="0.25"/>
    <n v="0.25"/>
    <n v="0.25"/>
    <n v="0"/>
    <n v="0"/>
    <n v="0"/>
    <n v="0"/>
    <n v="0"/>
    <n v="0"/>
    <n v="0"/>
    <n v="0"/>
    <n v="0"/>
    <n v="0"/>
    <n v="0"/>
    <n v="0"/>
    <n v="0"/>
    <n v="0"/>
    <n v="0"/>
    <n v="0"/>
    <n v="1"/>
    <n v="1"/>
  </r>
  <r>
    <n v="518"/>
    <x v="1"/>
    <s v="2015/1855"/>
    <m/>
    <s v="6-10 Mitcham Road"/>
    <s v="BLOCK B - first and second floor"/>
    <n v="527485"/>
    <n v="171424"/>
    <x v="8"/>
    <m/>
    <m/>
    <n v="0"/>
    <n v="4"/>
    <n v="4"/>
    <n v="5"/>
    <n v="5"/>
    <m/>
    <s v="Extension of the ground floor area for retail use. Extension of existing residential block of 4 dwelling units at the front of the site to create additional storey (for 1 x 3-bedroom flat), with alterations to frontage and replacement shopfront.  Construction of 4 x 2-bedroom flats to the rear of the site in a two storey extension set above the extended ground floor retail unit, with associated roof terraces/balconies, communal courtyard, cycle storage and refuse storage."/>
    <s v="PF"/>
    <d v="2015-05-11T00:00:00"/>
    <d v="2015-10-27T00:00:00"/>
    <x v="0"/>
    <s v="Nil"/>
    <m/>
    <s v="BF"/>
    <x v="4"/>
    <x v="0"/>
    <x v="0"/>
    <n v="1.9999999552965199E-2"/>
    <m/>
    <x v="0"/>
    <m/>
    <x v="0"/>
    <s v="P"/>
    <m/>
    <m/>
    <n v="0"/>
    <m/>
    <n v="0"/>
    <m/>
    <n v="0"/>
    <n v="0"/>
    <n v="4"/>
    <n v="0"/>
    <n v="0"/>
    <n v="0"/>
    <n v="0"/>
    <n v="0"/>
    <n v="0"/>
    <n v="4"/>
    <n v="0"/>
    <n v="0"/>
    <n v="0"/>
    <n v="0"/>
    <n v="0"/>
    <n v="0"/>
    <n v="0"/>
    <n v="0"/>
    <n v="0"/>
    <n v="0"/>
    <n v="0"/>
    <n v="0"/>
    <n v="0"/>
    <n v="0"/>
    <n v="0"/>
    <n v="0"/>
    <n v="0"/>
    <n v="0"/>
    <s v="East"/>
    <x v="1"/>
    <x v="0"/>
    <x v="1"/>
    <x v="0"/>
    <x v="0"/>
    <x v="0"/>
    <m/>
    <x v="0"/>
    <s v="Y"/>
    <s v="9A"/>
    <m/>
    <n v="0"/>
    <n v="1"/>
    <n v="1"/>
    <n v="1"/>
    <n v="1"/>
    <n v="0"/>
    <n v="0"/>
    <n v="0"/>
    <n v="0"/>
    <n v="0"/>
    <n v="0"/>
    <n v="0"/>
    <n v="0"/>
    <n v="0"/>
    <n v="0"/>
    <n v="0"/>
    <n v="0"/>
    <n v="0"/>
    <n v="0"/>
    <n v="0"/>
    <n v="0"/>
    <n v="4"/>
    <n v="4"/>
  </r>
  <r>
    <n v="530"/>
    <x v="1"/>
    <s v="2016/0848"/>
    <m/>
    <s v="Flats 5 to 8, 184 Balham High Road"/>
    <m/>
    <n v="528474"/>
    <n v="173296"/>
    <x v="11"/>
    <m/>
    <m/>
    <n v="1"/>
    <n v="2"/>
    <n v="1"/>
    <n v="2"/>
    <n v="1"/>
    <m/>
    <s v="Alterations including conversion of a maisonette flat into 1 x 1-bedroom and 1 x 2-bedroom flats, erection of roof extension (with French doors) over part of the roof terrace and alterations including installation of second floor window to rear (Old Dairy Mews) elevation."/>
    <s v="RP"/>
    <d v="2016-03-31T00:00:00"/>
    <d v="2016-05-26T00:00:00"/>
    <x v="0"/>
    <s v="APG"/>
    <d v="2016-11-03T00:00:00"/>
    <s v="BF"/>
    <x v="4"/>
    <x v="0"/>
    <x v="10"/>
    <n v="6.0000000521540598E-3"/>
    <m/>
    <x v="0"/>
    <m/>
    <x v="0"/>
    <s v="P"/>
    <m/>
    <m/>
    <n v="0"/>
    <m/>
    <n v="0"/>
    <m/>
    <n v="0"/>
    <n v="1"/>
    <n v="1"/>
    <n v="0"/>
    <n v="-1"/>
    <n v="0"/>
    <n v="0"/>
    <n v="0"/>
    <n v="1"/>
    <n v="1"/>
    <n v="0"/>
    <n v="-1"/>
    <n v="0"/>
    <n v="0"/>
    <n v="0"/>
    <n v="0"/>
    <n v="0"/>
    <n v="0"/>
    <n v="0"/>
    <n v="0"/>
    <n v="0"/>
    <n v="0"/>
    <n v="0"/>
    <n v="0"/>
    <n v="0"/>
    <n v="0"/>
    <n v="0"/>
    <n v="0"/>
    <s v="East"/>
    <x v="2"/>
    <x v="0"/>
    <x v="1"/>
    <x v="0"/>
    <x v="0"/>
    <x v="0"/>
    <m/>
    <x v="0"/>
    <s v="Y"/>
    <s v="9A"/>
    <m/>
    <n v="0"/>
    <n v="0.25"/>
    <n v="0.25"/>
    <n v="0.25"/>
    <n v="0.25"/>
    <n v="0"/>
    <n v="0"/>
    <n v="0"/>
    <n v="0"/>
    <n v="0"/>
    <n v="0"/>
    <n v="0"/>
    <n v="0"/>
    <n v="0"/>
    <n v="0"/>
    <n v="0"/>
    <n v="0"/>
    <n v="0"/>
    <n v="0"/>
    <n v="0"/>
    <n v="0"/>
    <n v="1"/>
    <n v="1"/>
  </r>
  <r>
    <n v="536"/>
    <x v="1"/>
    <s v="2016/3733"/>
    <m/>
    <s v="Argylle House, 1a All Saints Passage"/>
    <m/>
    <n v="525441"/>
    <n v="174750"/>
    <x v="0"/>
    <m/>
    <m/>
    <n v="0"/>
    <n v="9"/>
    <n v="9"/>
    <n v="9"/>
    <n v="9"/>
    <m/>
    <s v="Determination as to whether prior approval is required for change of use from office use (Class B1a) to residential use (Class C3) to provide 10 residential units."/>
    <s v="PAG"/>
    <d v="2016-06-24T00:00:00"/>
    <d v="2016-08-19T00:00:00"/>
    <x v="0"/>
    <s v="Nil"/>
    <m/>
    <s v="BF"/>
    <x v="3"/>
    <x v="0"/>
    <x v="9"/>
    <n v="5.0000000745058101E-2"/>
    <m/>
    <x v="0"/>
    <m/>
    <x v="0"/>
    <s v="P"/>
    <m/>
    <m/>
    <n v="0"/>
    <m/>
    <n v="0"/>
    <m/>
    <n v="1"/>
    <n v="5"/>
    <n v="3"/>
    <n v="0"/>
    <n v="0"/>
    <n v="0"/>
    <n v="0"/>
    <n v="1"/>
    <n v="5"/>
    <n v="3"/>
    <n v="0"/>
    <n v="0"/>
    <n v="0"/>
    <n v="0"/>
    <n v="0"/>
    <n v="0"/>
    <n v="0"/>
    <n v="0"/>
    <n v="0"/>
    <n v="0"/>
    <n v="0"/>
    <n v="0"/>
    <n v="0"/>
    <n v="0"/>
    <n v="0"/>
    <n v="0"/>
    <n v="0"/>
    <n v="0"/>
    <s v="West"/>
    <x v="4"/>
    <x v="0"/>
    <x v="0"/>
    <x v="0"/>
    <x v="0"/>
    <x v="0"/>
    <m/>
    <x v="0"/>
    <s v="Y"/>
    <s v="9C"/>
    <m/>
    <n v="0"/>
    <n v="2.25"/>
    <n v="2.25"/>
    <n v="2.25"/>
    <n v="2.25"/>
    <n v="0"/>
    <n v="0"/>
    <n v="0"/>
    <n v="0"/>
    <n v="0"/>
    <n v="0"/>
    <n v="0"/>
    <n v="0"/>
    <n v="0"/>
    <n v="0"/>
    <n v="0"/>
    <n v="0"/>
    <n v="0"/>
    <n v="0"/>
    <n v="0"/>
    <n v="0"/>
    <n v="9"/>
    <n v="9"/>
  </r>
  <r>
    <n v="615"/>
    <x v="1"/>
    <s v="2017/2547"/>
    <m/>
    <s v="Marius Mansions, Marius Road"/>
    <m/>
    <n v="528241"/>
    <n v="172875"/>
    <x v="11"/>
    <m/>
    <m/>
    <n v="0"/>
    <n v="1"/>
    <n v="1"/>
    <n v="1"/>
    <n v="1"/>
    <m/>
    <s v="Erection of three-storey side extension to create a 1 x 2 bedroom flat with roof level balcony."/>
    <s v="PF"/>
    <d v="2017-04-26T00:00:00"/>
    <d v="2017-09-25T00:00:00"/>
    <x v="1"/>
    <s v="Nil"/>
    <m/>
    <s v="BF"/>
    <x v="2"/>
    <x v="0"/>
    <x v="3"/>
    <n v="7.0000002160668399E-3"/>
    <m/>
    <x v="0"/>
    <m/>
    <x v="0"/>
    <s v="P"/>
    <m/>
    <m/>
    <n v="0"/>
    <m/>
    <n v="0"/>
    <m/>
    <n v="0"/>
    <n v="0"/>
    <n v="1"/>
    <n v="0"/>
    <n v="0"/>
    <n v="0"/>
    <n v="0"/>
    <n v="0"/>
    <n v="0"/>
    <n v="1"/>
    <n v="0"/>
    <n v="0"/>
    <n v="0"/>
    <n v="0"/>
    <n v="0"/>
    <n v="0"/>
    <n v="0"/>
    <n v="0"/>
    <n v="0"/>
    <n v="0"/>
    <n v="0"/>
    <n v="0"/>
    <n v="0"/>
    <n v="0"/>
    <n v="0"/>
    <n v="0"/>
    <n v="0"/>
    <n v="0"/>
    <s v="East"/>
    <x v="0"/>
    <x v="0"/>
    <x v="1"/>
    <x v="0"/>
    <x v="0"/>
    <x v="0"/>
    <m/>
    <x v="0"/>
    <s v="Y"/>
    <s v="9A"/>
    <m/>
    <n v="0"/>
    <n v="0.25"/>
    <n v="0.25"/>
    <n v="0.25"/>
    <n v="0.25"/>
    <n v="0"/>
    <n v="0"/>
    <n v="0"/>
    <n v="0"/>
    <n v="0"/>
    <n v="0"/>
    <n v="0"/>
    <n v="0"/>
    <n v="0"/>
    <n v="0"/>
    <n v="0"/>
    <n v="0"/>
    <n v="0"/>
    <n v="0"/>
    <n v="0"/>
    <n v="0"/>
    <n v="1"/>
    <n v="1"/>
  </r>
  <r>
    <n v="730"/>
    <x v="1"/>
    <s v="2014/6590"/>
    <m/>
    <s v="180 Northcote Road"/>
    <m/>
    <n v="527663"/>
    <n v="174345"/>
    <x v="14"/>
    <m/>
    <m/>
    <n v="0"/>
    <n v="1"/>
    <n v="1"/>
    <n v="1"/>
    <n v="1"/>
    <m/>
    <s v="Change of use of existing warehouse (Use Class B8) including partial demolition of existing structure and replacement of existing flat roof with a multi pitched roof to create a 1 bedroom dwelling (Use Class C3) with associated excavation and external changes."/>
    <s v="PF"/>
    <d v="2014-12-15T00:00:00"/>
    <d v="2015-03-31T00:00:00"/>
    <x v="0"/>
    <s v="Nil"/>
    <m/>
    <s v="BF"/>
    <x v="4"/>
    <x v="0"/>
    <x v="0"/>
    <n v="7.0000002160668399E-3"/>
    <m/>
    <x v="0"/>
    <m/>
    <x v="0"/>
    <s v="P"/>
    <m/>
    <m/>
    <n v="0"/>
    <m/>
    <n v="0"/>
    <m/>
    <n v="0"/>
    <n v="1"/>
    <n v="0"/>
    <n v="0"/>
    <n v="0"/>
    <n v="0"/>
    <n v="0"/>
    <n v="0"/>
    <n v="0"/>
    <n v="0"/>
    <n v="0"/>
    <n v="0"/>
    <n v="0"/>
    <n v="0"/>
    <n v="0"/>
    <n v="1"/>
    <n v="0"/>
    <n v="0"/>
    <n v="0"/>
    <n v="0"/>
    <n v="0"/>
    <n v="0"/>
    <n v="0"/>
    <n v="0"/>
    <n v="0"/>
    <n v="0"/>
    <n v="0"/>
    <n v="0"/>
    <s v="East"/>
    <x v="0"/>
    <x v="0"/>
    <x v="1"/>
    <x v="0"/>
    <x v="0"/>
    <x v="0"/>
    <m/>
    <x v="0"/>
    <s v="Y"/>
    <s v="9A"/>
    <m/>
    <n v="0"/>
    <n v="0.25"/>
    <n v="0.25"/>
    <n v="0.25"/>
    <n v="0.25"/>
    <n v="0"/>
    <n v="0"/>
    <n v="0"/>
    <n v="0"/>
    <n v="0"/>
    <n v="0"/>
    <n v="0"/>
    <n v="0"/>
    <n v="0"/>
    <n v="0"/>
    <n v="0"/>
    <n v="0"/>
    <n v="0"/>
    <n v="0"/>
    <n v="0"/>
    <n v="0"/>
    <n v="1"/>
    <n v="1"/>
  </r>
  <r>
    <n v="751"/>
    <x v="1"/>
    <s v="2016/0375"/>
    <m/>
    <s v="40-42 Lavender Hill"/>
    <m/>
    <n v="528410"/>
    <n v="175764"/>
    <x v="10"/>
    <m/>
    <m/>
    <n v="1"/>
    <n v="2"/>
    <n v="1"/>
    <n v="2"/>
    <n v="1"/>
    <m/>
    <s v="Alterations in connection with the use of the upper floors as 2 flats (1 x three-bedroom and 1 x 1-bedroom) including erection of front and rear roof extension to provide an additional floor of accommodation."/>
    <s v="PF"/>
    <d v="2016-01-25T00:00:00"/>
    <d v="2016-03-21T00:00:00"/>
    <x v="0"/>
    <s v="Nil"/>
    <m/>
    <s v="BF"/>
    <x v="4"/>
    <x v="0"/>
    <x v="10"/>
    <n v="8.9999996125698107E-3"/>
    <m/>
    <x v="0"/>
    <m/>
    <x v="0"/>
    <s v="P"/>
    <m/>
    <m/>
    <n v="0"/>
    <m/>
    <n v="0"/>
    <m/>
    <n v="1"/>
    <n v="0"/>
    <n v="0"/>
    <n v="0"/>
    <n v="0"/>
    <n v="0"/>
    <n v="0"/>
    <n v="1"/>
    <n v="0"/>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751"/>
    <x v="1"/>
    <s v="2016/0376"/>
    <m/>
    <s v="40-42 Lavender Hill"/>
    <m/>
    <n v="528410"/>
    <n v="175764"/>
    <x v="10"/>
    <m/>
    <m/>
    <n v="1"/>
    <n v="1"/>
    <n v="0"/>
    <n v="1"/>
    <n v="0"/>
    <m/>
    <s v="Alterations in connection with the use of the upper floors as 2 flats (1 x three-bedroom and 1 x 1-bedroom) including erection of front and rear roof extension to provide an additional floor of accommodation."/>
    <s v="PF"/>
    <d v="2016-01-20T00:00:00"/>
    <d v="2016-03-16T00:00:00"/>
    <x v="0"/>
    <s v="Nil"/>
    <m/>
    <s v="BF"/>
    <x v="4"/>
    <x v="0"/>
    <x v="10"/>
    <n v="1.09999999403954E-2"/>
    <m/>
    <x v="0"/>
    <m/>
    <x v="0"/>
    <s v="P"/>
    <m/>
    <m/>
    <n v="0"/>
    <m/>
    <n v="0"/>
    <m/>
    <n v="1"/>
    <n v="0"/>
    <n v="0"/>
    <n v="-1"/>
    <n v="0"/>
    <n v="0"/>
    <n v="0"/>
    <n v="1"/>
    <n v="0"/>
    <n v="0"/>
    <n v="-1"/>
    <n v="0"/>
    <n v="0"/>
    <n v="0"/>
    <n v="0"/>
    <n v="0"/>
    <n v="0"/>
    <n v="0"/>
    <n v="0"/>
    <n v="0"/>
    <n v="0"/>
    <n v="0"/>
    <n v="0"/>
    <n v="0"/>
    <n v="0"/>
    <n v="0"/>
    <n v="0"/>
    <n v="0"/>
    <s v="East"/>
    <x v="0"/>
    <x v="0"/>
    <x v="1"/>
    <x v="0"/>
    <x v="0"/>
    <x v="0"/>
    <m/>
    <x v="0"/>
    <s v="Y"/>
    <s v="9A"/>
    <m/>
    <n v="0"/>
    <n v="0"/>
    <n v="0"/>
    <n v="0"/>
    <n v="0"/>
    <n v="0"/>
    <n v="0"/>
    <n v="0"/>
    <n v="0"/>
    <n v="0"/>
    <n v="0"/>
    <n v="0"/>
    <n v="0"/>
    <n v="0"/>
    <n v="0"/>
    <n v="0"/>
    <n v="0"/>
    <n v="0"/>
    <n v="0"/>
    <n v="0"/>
    <n v="0"/>
    <n v="0"/>
    <n v="0"/>
  </r>
  <r>
    <n v="805"/>
    <x v="1"/>
    <s v="2017/4558"/>
    <m/>
    <s v="99-101 Putney High Street"/>
    <m/>
    <n v="524046"/>
    <n v="175290"/>
    <x v="13"/>
    <m/>
    <m/>
    <n v="0"/>
    <n v="4"/>
    <n v="4"/>
    <n v="5"/>
    <n v="5"/>
    <m/>
    <s v="Alterations including erection of rear extensions at second floor and third floor levels in connection with conversion of upper floors from retail (Class A1) to residential (Class C3) to create 4 x 2-bedroom and 1 x 1-bedroom flats;  roof terraces at first and third floor levels; refuse and cycle storage."/>
    <s v="PF"/>
    <d v="2017-08-11T00:00:00"/>
    <d v="2017-10-03T00:00:00"/>
    <x v="1"/>
    <s v="Nil"/>
    <m/>
    <s v="BF"/>
    <x v="4"/>
    <x v="0"/>
    <x v="4"/>
    <n v="1.4000000432133701E-2"/>
    <m/>
    <x v="0"/>
    <m/>
    <x v="0"/>
    <s v="P"/>
    <m/>
    <m/>
    <n v="0"/>
    <m/>
    <n v="0"/>
    <m/>
    <n v="0"/>
    <n v="1"/>
    <n v="3"/>
    <n v="0"/>
    <n v="0"/>
    <n v="0"/>
    <n v="0"/>
    <n v="0"/>
    <n v="1"/>
    <n v="3"/>
    <n v="0"/>
    <n v="0"/>
    <n v="0"/>
    <n v="0"/>
    <n v="0"/>
    <n v="0"/>
    <n v="0"/>
    <n v="0"/>
    <n v="0"/>
    <n v="0"/>
    <n v="0"/>
    <n v="0"/>
    <n v="0"/>
    <n v="0"/>
    <n v="0"/>
    <n v="0"/>
    <n v="0"/>
    <n v="0"/>
    <s v="West"/>
    <x v="3"/>
    <x v="0"/>
    <x v="1"/>
    <x v="0"/>
    <x v="0"/>
    <x v="0"/>
    <m/>
    <x v="0"/>
    <s v="Y"/>
    <s v="9A"/>
    <m/>
    <n v="0"/>
    <n v="1"/>
    <n v="1"/>
    <n v="1"/>
    <n v="1"/>
    <n v="0"/>
    <n v="0"/>
    <n v="0"/>
    <n v="0"/>
    <n v="0"/>
    <n v="0"/>
    <n v="0"/>
    <n v="0"/>
    <n v="0"/>
    <n v="0"/>
    <n v="0"/>
    <n v="0"/>
    <n v="0"/>
    <n v="0"/>
    <n v="0"/>
    <n v="0"/>
    <n v="4"/>
    <n v="4"/>
  </r>
  <r>
    <n v="805"/>
    <x v="1"/>
    <s v="2017/4558"/>
    <m/>
    <s v="99-101 Putney High Street"/>
    <m/>
    <n v="524046"/>
    <n v="175290"/>
    <x v="13"/>
    <m/>
    <m/>
    <n v="0"/>
    <n v="1"/>
    <n v="1"/>
    <n v="5"/>
    <n v="5"/>
    <m/>
    <s v="Alterations including erection of rear extensions at second floor and third floor levels in connection with conversion of upper floors from retail (Class A1) to residential (Class C3) to create 4 x 2-bedroom and 1 x 1-bedroom flats;  roof terraces at first and third floor levels; refuse and cycle storage."/>
    <s v="PF"/>
    <d v="2017-08-11T00:00:00"/>
    <d v="2017-10-03T00:00:00"/>
    <x v="1"/>
    <s v="Nil"/>
    <m/>
    <s v="BF"/>
    <x v="4"/>
    <x v="0"/>
    <x v="0"/>
    <n v="4.0000001899898104E-3"/>
    <m/>
    <x v="0"/>
    <m/>
    <x v="0"/>
    <s v="P"/>
    <m/>
    <m/>
    <n v="0"/>
    <m/>
    <n v="0"/>
    <m/>
    <n v="0"/>
    <n v="0"/>
    <n v="1"/>
    <n v="0"/>
    <n v="0"/>
    <n v="0"/>
    <n v="0"/>
    <n v="0"/>
    <n v="0"/>
    <n v="1"/>
    <n v="0"/>
    <n v="0"/>
    <n v="0"/>
    <n v="0"/>
    <n v="0"/>
    <n v="0"/>
    <n v="0"/>
    <n v="0"/>
    <n v="0"/>
    <n v="0"/>
    <n v="0"/>
    <n v="0"/>
    <n v="0"/>
    <n v="0"/>
    <n v="0"/>
    <n v="0"/>
    <n v="0"/>
    <n v="0"/>
    <s v="West"/>
    <x v="3"/>
    <x v="0"/>
    <x v="1"/>
    <x v="0"/>
    <x v="0"/>
    <x v="0"/>
    <m/>
    <x v="0"/>
    <s v="Y"/>
    <s v="9A"/>
    <m/>
    <n v="0"/>
    <n v="0.25"/>
    <n v="0.25"/>
    <n v="0.25"/>
    <n v="0.25"/>
    <n v="0"/>
    <n v="0"/>
    <n v="0"/>
    <n v="0"/>
    <n v="0"/>
    <n v="0"/>
    <n v="0"/>
    <n v="0"/>
    <n v="0"/>
    <n v="0"/>
    <n v="0"/>
    <n v="0"/>
    <n v="0"/>
    <n v="0"/>
    <n v="0"/>
    <n v="0"/>
    <n v="1"/>
    <n v="1"/>
  </r>
  <r>
    <n v="983"/>
    <x v="1"/>
    <s v="2014/2278"/>
    <m/>
    <s v="174 Battersea Park Road"/>
    <m/>
    <n v="527864"/>
    <n v="176587"/>
    <x v="2"/>
    <m/>
    <m/>
    <n v="0"/>
    <n v="1"/>
    <n v="1"/>
    <n v="1"/>
    <n v="1"/>
    <m/>
    <s v="Conversion of existing office (Use Class B1a) into a one bedroom flat (Use Class C3)."/>
    <s v="PANR"/>
    <d v="2014-04-30T00:00:00"/>
    <d v="2014-06-25T00:00:00"/>
    <x v="0"/>
    <s v="Nil"/>
    <m/>
    <s v="BF"/>
    <x v="3"/>
    <x v="0"/>
    <x v="9"/>
    <n v="3.0000000260770299E-3"/>
    <m/>
    <x v="0"/>
    <m/>
    <x v="0"/>
    <s v="P"/>
    <m/>
    <m/>
    <n v="0"/>
    <m/>
    <n v="0"/>
    <m/>
    <n v="1"/>
    <n v="0"/>
    <n v="0"/>
    <n v="0"/>
    <n v="0"/>
    <n v="0"/>
    <n v="0"/>
    <n v="1"/>
    <n v="0"/>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999"/>
    <x v="1"/>
    <s v="2015/1205"/>
    <m/>
    <s v="Upper floors, 182 Balham High Road"/>
    <m/>
    <n v="528491"/>
    <n v="173293"/>
    <x v="11"/>
    <m/>
    <m/>
    <n v="1"/>
    <n v="5"/>
    <n v="4"/>
    <n v="5"/>
    <n v="4"/>
    <m/>
    <s v="Part demolition of existing building and erection of a 4-storey building accommodating retail (A1 use class) at ground floor and basement level, and 5 self-contained residential units (C3 use class) (3 x 1 bed, 2 x 2 bed) above, together with associated alterations."/>
    <s v="PF"/>
    <d v="2015-03-10T00:00:00"/>
    <d v="2015-07-10T00:00:00"/>
    <x v="0"/>
    <s v="Nil"/>
    <m/>
    <s v="BF"/>
    <x v="2"/>
    <x v="0"/>
    <x v="3"/>
    <n v="1.09999999403954E-2"/>
    <m/>
    <x v="0"/>
    <m/>
    <x v="0"/>
    <s v="P"/>
    <m/>
    <m/>
    <n v="5"/>
    <m/>
    <n v="0"/>
    <m/>
    <n v="0"/>
    <n v="3"/>
    <n v="1"/>
    <n v="0"/>
    <n v="0"/>
    <n v="0"/>
    <n v="0"/>
    <n v="0"/>
    <n v="3"/>
    <n v="1"/>
    <n v="0"/>
    <n v="0"/>
    <n v="0"/>
    <n v="0"/>
    <n v="0"/>
    <n v="0"/>
    <n v="0"/>
    <n v="0"/>
    <n v="0"/>
    <n v="0"/>
    <n v="0"/>
    <n v="0"/>
    <n v="0"/>
    <n v="0"/>
    <n v="0"/>
    <n v="0"/>
    <n v="0"/>
    <n v="0"/>
    <s v="East"/>
    <x v="2"/>
    <x v="0"/>
    <x v="1"/>
    <x v="0"/>
    <x v="0"/>
    <x v="0"/>
    <m/>
    <x v="0"/>
    <s v="Y"/>
    <s v="9A"/>
    <m/>
    <n v="0"/>
    <n v="1"/>
    <n v="1"/>
    <n v="1"/>
    <n v="1"/>
    <n v="0"/>
    <n v="0"/>
    <n v="0"/>
    <n v="0"/>
    <n v="0"/>
    <n v="0"/>
    <n v="0"/>
    <n v="0"/>
    <n v="0"/>
    <n v="0"/>
    <n v="0"/>
    <n v="0"/>
    <n v="0"/>
    <n v="0"/>
    <n v="0"/>
    <n v="0"/>
    <n v="4"/>
    <n v="4"/>
  </r>
  <r>
    <n v="1090"/>
    <x v="1"/>
    <s v="2016/7335"/>
    <m/>
    <s v="Upper floors, 256-258 Upper Tooting Road"/>
    <m/>
    <n v="527564"/>
    <n v="171696"/>
    <x v="4"/>
    <m/>
    <m/>
    <n v="0"/>
    <n v="1"/>
    <n v="1"/>
    <n v="2"/>
    <n v="1"/>
    <m/>
    <s v="Alterations including erection of first floor extension, and second floor rear extension to provide 1 x 1-bedroom flat."/>
    <s v="RP"/>
    <d v="2016-12-20T00:00:00"/>
    <d v="2017-05-15T00:00:00"/>
    <x v="1"/>
    <s v="APG"/>
    <d v="2017-10-16T00:00:00"/>
    <s v="BF"/>
    <x v="2"/>
    <x v="0"/>
    <x v="3"/>
    <n v="7.0000002160668399E-3"/>
    <m/>
    <x v="0"/>
    <m/>
    <x v="0"/>
    <s v="P"/>
    <m/>
    <m/>
    <n v="0"/>
    <m/>
    <n v="0"/>
    <m/>
    <n v="0"/>
    <n v="1"/>
    <n v="0"/>
    <n v="0"/>
    <n v="0"/>
    <n v="0"/>
    <n v="0"/>
    <n v="0"/>
    <n v="1"/>
    <n v="0"/>
    <n v="0"/>
    <n v="0"/>
    <n v="0"/>
    <n v="0"/>
    <n v="0"/>
    <n v="0"/>
    <n v="0"/>
    <n v="0"/>
    <n v="0"/>
    <n v="0"/>
    <n v="0"/>
    <n v="0"/>
    <n v="0"/>
    <n v="0"/>
    <n v="0"/>
    <n v="0"/>
    <n v="0"/>
    <n v="0"/>
    <s v="East"/>
    <x v="1"/>
    <x v="0"/>
    <x v="1"/>
    <x v="0"/>
    <x v="0"/>
    <x v="0"/>
    <m/>
    <x v="0"/>
    <s v="Y"/>
    <s v="9A"/>
    <m/>
    <n v="0"/>
    <n v="0.25"/>
    <n v="0.25"/>
    <n v="0.25"/>
    <n v="0.25"/>
    <n v="0"/>
    <n v="0"/>
    <n v="0"/>
    <n v="0"/>
    <n v="0"/>
    <n v="0"/>
    <n v="0"/>
    <n v="0"/>
    <n v="0"/>
    <n v="0"/>
    <n v="0"/>
    <n v="0"/>
    <n v="0"/>
    <n v="0"/>
    <n v="0"/>
    <n v="0"/>
    <n v="1"/>
    <n v="1"/>
  </r>
  <r>
    <n v="1090"/>
    <x v="1"/>
    <s v="2016/7335"/>
    <m/>
    <s v="Upper floors, 256-258 Upper Tooting Road"/>
    <m/>
    <n v="527564"/>
    <n v="171696"/>
    <x v="4"/>
    <m/>
    <m/>
    <n v="1"/>
    <n v="1"/>
    <n v="0"/>
    <n v="2"/>
    <n v="1"/>
    <m/>
    <s v="Alterations including erection of first floor extension, and second floor rear extension to provide 1 x 1-bedroom flat."/>
    <s v="RP"/>
    <d v="2016-12-20T00:00:00"/>
    <d v="2017-05-15T00:00:00"/>
    <x v="1"/>
    <s v="APG"/>
    <d v="2017-10-16T00:00:00"/>
    <s v="BF"/>
    <x v="2"/>
    <x v="0"/>
    <x v="10"/>
    <n v="8.9999996125698107E-3"/>
    <m/>
    <x v="0"/>
    <m/>
    <x v="0"/>
    <s v="P"/>
    <m/>
    <m/>
    <n v="0"/>
    <m/>
    <n v="0"/>
    <m/>
    <n v="0"/>
    <n v="-1"/>
    <n v="1"/>
    <n v="0"/>
    <n v="0"/>
    <n v="0"/>
    <n v="0"/>
    <n v="0"/>
    <n v="-1"/>
    <n v="1"/>
    <n v="0"/>
    <n v="0"/>
    <n v="0"/>
    <n v="0"/>
    <n v="0"/>
    <n v="0"/>
    <n v="0"/>
    <n v="0"/>
    <n v="0"/>
    <n v="0"/>
    <n v="0"/>
    <n v="0"/>
    <n v="0"/>
    <n v="0"/>
    <n v="0"/>
    <n v="0"/>
    <n v="0"/>
    <n v="0"/>
    <s v="East"/>
    <x v="1"/>
    <x v="0"/>
    <x v="1"/>
    <x v="0"/>
    <x v="0"/>
    <x v="0"/>
    <m/>
    <x v="0"/>
    <s v="Y"/>
    <s v="9A"/>
    <m/>
    <n v="0"/>
    <n v="0"/>
    <n v="0"/>
    <n v="0"/>
    <n v="0"/>
    <n v="0"/>
    <n v="0"/>
    <n v="0"/>
    <n v="0"/>
    <n v="0"/>
    <n v="0"/>
    <n v="0"/>
    <n v="0"/>
    <n v="0"/>
    <n v="0"/>
    <n v="0"/>
    <n v="0"/>
    <n v="0"/>
    <n v="0"/>
    <n v="0"/>
    <n v="0"/>
    <n v="0"/>
    <n v="0"/>
  </r>
  <r>
    <n v="1426"/>
    <x v="1"/>
    <s v="2017/0811"/>
    <m/>
    <s v="65 Tooting High Street"/>
    <m/>
    <n v="527486"/>
    <n v="171495"/>
    <x v="8"/>
    <m/>
    <m/>
    <n v="2"/>
    <n v="5"/>
    <n v="3"/>
    <n v="5"/>
    <n v="3"/>
    <m/>
    <s v="Alterations including erection of roof extension including three dormer windows to front roof slope and balcony and safety railings to the rear in conjunction with the erection of a three-storey rear extension at first, second and third floor levels. Works in conjunction with the conversion of upper floors into 4 x 1-bedroom and 1 x 3-bedroom flats."/>
    <s v="PF"/>
    <d v="2017-07-19T00:00:00"/>
    <d v="2017-12-08T00:00:00"/>
    <x v="1"/>
    <s v="Nil"/>
    <m/>
    <s v="BF"/>
    <x v="4"/>
    <x v="0"/>
    <x v="10"/>
    <n v="8.0000003799796104E-3"/>
    <m/>
    <x v="0"/>
    <m/>
    <x v="0"/>
    <s v="P"/>
    <s v="5.2"/>
    <m/>
    <n v="0"/>
    <m/>
    <n v="0"/>
    <m/>
    <n v="0"/>
    <n v="4"/>
    <n v="-2"/>
    <n v="1"/>
    <n v="0"/>
    <n v="0"/>
    <n v="0"/>
    <n v="0"/>
    <n v="4"/>
    <n v="-2"/>
    <n v="1"/>
    <n v="0"/>
    <n v="0"/>
    <n v="0"/>
    <n v="0"/>
    <n v="0"/>
    <n v="0"/>
    <n v="0"/>
    <n v="0"/>
    <n v="0"/>
    <n v="0"/>
    <n v="0"/>
    <n v="0"/>
    <n v="0"/>
    <n v="0"/>
    <n v="0"/>
    <n v="0"/>
    <n v="0"/>
    <s v="East"/>
    <x v="1"/>
    <x v="0"/>
    <x v="1"/>
    <x v="0"/>
    <x v="0"/>
    <x v="0"/>
    <m/>
    <x v="0"/>
    <s v="Y"/>
    <s v="9A"/>
    <m/>
    <n v="0"/>
    <n v="0.75"/>
    <n v="0.75"/>
    <n v="0.75"/>
    <n v="0.75"/>
    <n v="0"/>
    <n v="0"/>
    <n v="0"/>
    <n v="0"/>
    <n v="0"/>
    <n v="0"/>
    <n v="0"/>
    <n v="0"/>
    <n v="0"/>
    <n v="0"/>
    <n v="0"/>
    <n v="0"/>
    <n v="0"/>
    <n v="0"/>
    <n v="0"/>
    <n v="0"/>
    <n v="3"/>
    <n v="3"/>
  </r>
  <r>
    <n v="1433"/>
    <x v="1"/>
    <s v="2018/0080"/>
    <m/>
    <s v="Ford House, 126-128 Wandsworth High Street"/>
    <m/>
    <n v="525363"/>
    <n v="174695"/>
    <x v="0"/>
    <m/>
    <m/>
    <n v="0"/>
    <n v="2"/>
    <n v="2"/>
    <n v="2"/>
    <n v="2"/>
    <m/>
    <s v="Alterations, including erection of two-storey extension on top of the existing four-storey building, in connection with the provision of 2 additional two-bedroom flats, including roof terraces."/>
    <s v="PF"/>
    <d v="2018-01-08T00:00:00"/>
    <d v="2018-03-05T00:00:00"/>
    <x v="1"/>
    <s v="Nil"/>
    <m/>
    <s v="BF"/>
    <x v="2"/>
    <x v="0"/>
    <x v="3"/>
    <n v="4.9999998882412902E-3"/>
    <m/>
    <x v="0"/>
    <m/>
    <x v="0"/>
    <s v="P"/>
    <m/>
    <m/>
    <n v="0"/>
    <m/>
    <n v="0"/>
    <m/>
    <n v="0"/>
    <n v="0"/>
    <n v="2"/>
    <n v="0"/>
    <n v="0"/>
    <n v="0"/>
    <n v="0"/>
    <n v="0"/>
    <n v="0"/>
    <n v="2"/>
    <n v="0"/>
    <n v="0"/>
    <n v="0"/>
    <n v="0"/>
    <n v="0"/>
    <n v="0"/>
    <n v="0"/>
    <n v="0"/>
    <n v="0"/>
    <n v="0"/>
    <n v="0"/>
    <n v="0"/>
    <n v="0"/>
    <n v="0"/>
    <n v="0"/>
    <n v="0"/>
    <n v="0"/>
    <n v="0"/>
    <s v="West"/>
    <x v="4"/>
    <x v="0"/>
    <x v="0"/>
    <x v="0"/>
    <x v="0"/>
    <x v="0"/>
    <m/>
    <x v="0"/>
    <s v="Y"/>
    <s v="9A"/>
    <m/>
    <n v="0"/>
    <n v="0.5"/>
    <n v="0.5"/>
    <n v="0.5"/>
    <n v="0.5"/>
    <n v="0"/>
    <n v="0"/>
    <n v="0"/>
    <n v="0"/>
    <n v="0"/>
    <n v="0"/>
    <n v="0"/>
    <n v="0"/>
    <n v="0"/>
    <n v="0"/>
    <n v="0"/>
    <n v="0"/>
    <n v="0"/>
    <n v="0"/>
    <n v="0"/>
    <n v="0"/>
    <n v="2"/>
    <n v="2"/>
  </r>
  <r>
    <n v="1623"/>
    <x v="1"/>
    <s v="2016/7332"/>
    <s v="30b &amp; 30c"/>
    <s v="30 Putney Hill"/>
    <m/>
    <n v="523905"/>
    <n v="174935"/>
    <x v="16"/>
    <m/>
    <m/>
    <n v="1"/>
    <n v="2"/>
    <n v="1"/>
    <n v="2"/>
    <n v="1"/>
    <m/>
    <s v="Alterations including demolition of existing single-storey rear extension, erection of part single, part two-storey rear extension in connection with the retention of dental surgery at basement level and provision of 2 x 1-bedroom flats; erection of replacement front boundary treatment. Internal re-arrangement and reduction in size of two existing flats (one x 1-bedroom and one x 2-bedroom)."/>
    <s v="RP"/>
    <d v="2017-01-24T00:00:00"/>
    <d v="2017-03-21T00:00:00"/>
    <x v="1"/>
    <s v="APG"/>
    <d v="2017-08-15T00:00:00"/>
    <s v="BF"/>
    <x v="0"/>
    <x v="0"/>
    <x v="0"/>
    <n v="9.9999997764825804E-3"/>
    <m/>
    <x v="0"/>
    <m/>
    <x v="0"/>
    <s v="P"/>
    <m/>
    <m/>
    <n v="0"/>
    <m/>
    <n v="1"/>
    <m/>
    <n v="-1"/>
    <n v="2"/>
    <n v="0"/>
    <n v="0"/>
    <n v="0"/>
    <n v="0"/>
    <n v="0"/>
    <n v="-1"/>
    <n v="2"/>
    <n v="0"/>
    <n v="0"/>
    <n v="0"/>
    <n v="0"/>
    <n v="0"/>
    <n v="0"/>
    <n v="0"/>
    <n v="0"/>
    <n v="0"/>
    <n v="0"/>
    <n v="0"/>
    <n v="0"/>
    <n v="0"/>
    <n v="0"/>
    <n v="0"/>
    <n v="0"/>
    <n v="0"/>
    <n v="0"/>
    <n v="0"/>
    <s v="West"/>
    <x v="0"/>
    <x v="0"/>
    <x v="1"/>
    <x v="0"/>
    <x v="0"/>
    <x v="0"/>
    <m/>
    <x v="0"/>
    <s v="Y"/>
    <n v="4"/>
    <m/>
    <n v="0"/>
    <n v="0"/>
    <n v="0.25"/>
    <n v="0.25"/>
    <n v="0.25"/>
    <n v="0.25"/>
    <n v="0"/>
    <n v="0"/>
    <n v="0"/>
    <n v="0"/>
    <n v="0"/>
    <n v="0"/>
    <n v="0"/>
    <n v="0"/>
    <n v="0"/>
    <n v="0"/>
    <n v="0"/>
    <n v="0"/>
    <n v="0"/>
    <n v="0"/>
    <n v="0"/>
    <n v="1"/>
    <n v="1"/>
  </r>
  <r>
    <n v="1877"/>
    <x v="1"/>
    <s v="2015/6034"/>
    <s v="JSS Pinnacle House (35)"/>
    <s v="Ship House, 34-35 Battersea Square"/>
    <m/>
    <n v="526819"/>
    <n v="176644"/>
    <x v="1"/>
    <m/>
    <m/>
    <n v="0"/>
    <n v="3"/>
    <n v="3"/>
    <n v="3"/>
    <n v="3"/>
    <m/>
    <s v="Determination as to whether prior approval is required for change of use from office (Class B1a) at second floor level to residential (Class C3) to provide three flats (2 x 1-bedroom and 1 x 2-bedroom)."/>
    <s v="PANR"/>
    <d v="2015-10-16T00:00:00"/>
    <d v="2015-12-10T00:00:00"/>
    <x v="0"/>
    <s v="Nil"/>
    <m/>
    <s v="BF"/>
    <x v="3"/>
    <x v="0"/>
    <x v="9"/>
    <n v="3.70000004768372E-2"/>
    <m/>
    <x v="0"/>
    <m/>
    <x v="0"/>
    <s v="P"/>
    <m/>
    <m/>
    <n v="0"/>
    <m/>
    <n v="0"/>
    <m/>
    <n v="0"/>
    <n v="2"/>
    <n v="1"/>
    <n v="0"/>
    <n v="0"/>
    <n v="0"/>
    <n v="0"/>
    <n v="0"/>
    <n v="2"/>
    <n v="1"/>
    <n v="0"/>
    <n v="0"/>
    <n v="0"/>
    <n v="0"/>
    <n v="0"/>
    <n v="0"/>
    <n v="0"/>
    <n v="0"/>
    <n v="0"/>
    <n v="0"/>
    <n v="0"/>
    <n v="0"/>
    <n v="0"/>
    <n v="0"/>
    <n v="0"/>
    <n v="0"/>
    <n v="0"/>
    <n v="0"/>
    <s v="East"/>
    <x v="0"/>
    <x v="0"/>
    <x v="1"/>
    <x v="0"/>
    <x v="0"/>
    <x v="0"/>
    <m/>
    <x v="0"/>
    <s v="Y"/>
    <s v="9A"/>
    <m/>
    <n v="0"/>
    <n v="0.75"/>
    <n v="0.75"/>
    <n v="0.75"/>
    <n v="0.75"/>
    <n v="0"/>
    <n v="0"/>
    <n v="0"/>
    <n v="0"/>
    <n v="0"/>
    <n v="0"/>
    <n v="0"/>
    <n v="0"/>
    <n v="0"/>
    <n v="0"/>
    <n v="0"/>
    <n v="0"/>
    <n v="0"/>
    <n v="0"/>
    <n v="0"/>
    <n v="0"/>
    <n v="3"/>
    <n v="3"/>
  </r>
  <r>
    <n v="1886"/>
    <x v="1"/>
    <s v="2016/4593"/>
    <m/>
    <s v="303-307 Balham High Road"/>
    <m/>
    <n v="528075"/>
    <n v="172371"/>
    <x v="3"/>
    <m/>
    <m/>
    <n v="0"/>
    <n v="2"/>
    <n v="2"/>
    <n v="2"/>
    <n v="2"/>
    <m/>
    <s v="Erection of front and rear second floor extensions and addition of roof extension to create third floor, addition of balconies with safety railings and side privacy screens and internal alterations to create 2 additional flats (total of 6 flats, 4 x 1-bed and 2 x 2-bed flats)."/>
    <s v="PF"/>
    <d v="2016-08-31T00:00:00"/>
    <d v="2016-11-25T00:00:00"/>
    <x v="0"/>
    <s v="Nil"/>
    <m/>
    <s v="BF"/>
    <x v="2"/>
    <x v="0"/>
    <x v="3"/>
    <n v="8.9999996125698107E-3"/>
    <m/>
    <x v="0"/>
    <m/>
    <x v="0"/>
    <s v="P"/>
    <m/>
    <m/>
    <n v="0"/>
    <m/>
    <n v="0"/>
    <m/>
    <n v="0"/>
    <n v="2"/>
    <n v="0"/>
    <n v="0"/>
    <n v="0"/>
    <n v="0"/>
    <n v="0"/>
    <n v="0"/>
    <n v="2"/>
    <n v="0"/>
    <n v="0"/>
    <n v="0"/>
    <n v="0"/>
    <n v="0"/>
    <n v="0"/>
    <n v="0"/>
    <n v="0"/>
    <n v="0"/>
    <n v="0"/>
    <n v="0"/>
    <n v="0"/>
    <n v="0"/>
    <n v="0"/>
    <n v="0"/>
    <n v="0"/>
    <n v="0"/>
    <n v="0"/>
    <n v="0"/>
    <s v="East"/>
    <x v="0"/>
    <x v="0"/>
    <x v="1"/>
    <x v="0"/>
    <x v="0"/>
    <x v="0"/>
    <m/>
    <x v="0"/>
    <s v="Y"/>
    <s v="9A"/>
    <m/>
    <n v="0"/>
    <n v="0.5"/>
    <n v="0.5"/>
    <n v="0.5"/>
    <n v="0.5"/>
    <n v="0"/>
    <n v="0"/>
    <n v="0"/>
    <n v="0"/>
    <n v="0"/>
    <n v="0"/>
    <n v="0"/>
    <n v="0"/>
    <n v="0"/>
    <n v="0"/>
    <n v="0"/>
    <n v="0"/>
    <n v="0"/>
    <n v="0"/>
    <n v="0"/>
    <n v="0"/>
    <n v="2"/>
    <n v="2"/>
  </r>
  <r>
    <n v="1912"/>
    <x v="1"/>
    <s v="2017/2817"/>
    <m/>
    <s v="Lock up garages, 26-40 Balham New Road"/>
    <m/>
    <n v="528924"/>
    <n v="173571"/>
    <x v="9"/>
    <m/>
    <m/>
    <n v="0"/>
    <n v="8"/>
    <n v="8"/>
    <n v="8"/>
    <n v="8"/>
    <m/>
    <s v="Erection of 8 x 4-bedroom three-storey (plus basement) houses."/>
    <s v="PF"/>
    <d v="2017-05-24T00:00:00"/>
    <d v="2017-09-25T00:00:00"/>
    <x v="1"/>
    <s v="Nil"/>
    <m/>
    <s v="BF"/>
    <x v="0"/>
    <x v="0"/>
    <x v="0"/>
    <n v="6.8999998271465302E-2"/>
    <m/>
    <x v="0"/>
    <m/>
    <x v="0"/>
    <s v="P"/>
    <m/>
    <m/>
    <n v="8"/>
    <m/>
    <n v="0"/>
    <m/>
    <n v="0"/>
    <n v="0"/>
    <n v="0"/>
    <n v="0"/>
    <n v="8"/>
    <n v="0"/>
    <n v="0"/>
    <n v="0"/>
    <n v="0"/>
    <n v="0"/>
    <n v="0"/>
    <n v="0"/>
    <n v="0"/>
    <n v="0"/>
    <n v="0"/>
    <n v="0"/>
    <n v="0"/>
    <n v="0"/>
    <n v="8"/>
    <n v="0"/>
    <n v="0"/>
    <n v="0"/>
    <n v="0"/>
    <n v="0"/>
    <n v="0"/>
    <n v="0"/>
    <n v="0"/>
    <n v="0"/>
    <s v="East"/>
    <x v="0"/>
    <x v="0"/>
    <x v="1"/>
    <x v="0"/>
    <x v="0"/>
    <x v="0"/>
    <m/>
    <x v="0"/>
    <s v="Y"/>
    <s v="5B"/>
    <m/>
    <n v="0"/>
    <n v="0"/>
    <n v="0"/>
    <n v="0"/>
    <n v="2.6666666666666665"/>
    <n v="2.6666666666666665"/>
    <n v="2.6666666666666665"/>
    <n v="0"/>
    <n v="0"/>
    <n v="0"/>
    <n v="0"/>
    <n v="0"/>
    <n v="0"/>
    <n v="0"/>
    <n v="0"/>
    <n v="0"/>
    <n v="0"/>
    <n v="0"/>
    <n v="0"/>
    <n v="0"/>
    <n v="0"/>
    <n v="5.333333333333333"/>
    <n v="8"/>
  </r>
  <r>
    <n v="1950"/>
    <x v="1"/>
    <s v="2016/6276"/>
    <s v="Rear of 2-14 &amp; 28-36"/>
    <s v="Garage at, 2a Amies Street"/>
    <m/>
    <n v="527686"/>
    <n v="175796"/>
    <x v="10"/>
    <m/>
    <m/>
    <n v="0"/>
    <n v="1"/>
    <n v="1"/>
    <n v="1"/>
    <n v="1"/>
    <m/>
    <s v="Alterations including the erection of a hip-to-gable side roof extension; dormer extension to main rear roof (with french doors and safety railings); and internal alterations in connection with creation of 1 x 1-bedroom flat."/>
    <s v="PF"/>
    <d v="2016-11-04T00:00:00"/>
    <d v="2017-01-24T00:00:00"/>
    <x v="0"/>
    <s v="Nil"/>
    <m/>
    <s v="BF"/>
    <x v="4"/>
    <x v="0"/>
    <x v="0"/>
    <n v="8.0000003799796104E-3"/>
    <m/>
    <x v="0"/>
    <m/>
    <x v="0"/>
    <s v="P"/>
    <m/>
    <m/>
    <n v="0"/>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1971"/>
    <x v="1"/>
    <s v="2016/5443"/>
    <m/>
    <s v="81-87 Upper Tooting Road"/>
    <s v="INTERMEDIATE S/O"/>
    <n v="527831"/>
    <n v="172116"/>
    <x v="4"/>
    <m/>
    <m/>
    <n v="0"/>
    <n v="6"/>
    <n v="6"/>
    <n v="18"/>
    <n v="18"/>
    <s v="Y"/>
    <s v="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
    <s v="PFLA"/>
    <d v="2016-09-22T00:00:00"/>
    <d v="2017-12-20T00:00:00"/>
    <x v="1"/>
    <s v="Nil"/>
    <m/>
    <s v="BF"/>
    <x v="0"/>
    <x v="1"/>
    <x v="1"/>
    <n v="4.1999999433755902E-2"/>
    <m/>
    <x v="0"/>
    <m/>
    <x v="1"/>
    <s v="HAIS"/>
    <m/>
    <m/>
    <n v="0"/>
    <n v="6"/>
    <n v="0"/>
    <m/>
    <n v="0"/>
    <n v="2"/>
    <n v="4"/>
    <n v="0"/>
    <n v="0"/>
    <n v="0"/>
    <n v="0"/>
    <n v="0"/>
    <n v="2"/>
    <n v="4"/>
    <n v="0"/>
    <n v="0"/>
    <n v="0"/>
    <n v="0"/>
    <n v="0"/>
    <n v="0"/>
    <n v="0"/>
    <n v="0"/>
    <n v="0"/>
    <n v="0"/>
    <n v="0"/>
    <n v="0"/>
    <n v="0"/>
    <n v="0"/>
    <n v="0"/>
    <n v="0"/>
    <n v="0"/>
    <n v="0"/>
    <s v="East"/>
    <x v="0"/>
    <x v="0"/>
    <x v="1"/>
    <x v="0"/>
    <x v="0"/>
    <x v="0"/>
    <m/>
    <x v="0"/>
    <s v="Y"/>
    <s v="5B"/>
    <m/>
    <n v="0"/>
    <n v="0"/>
    <n v="0"/>
    <n v="0"/>
    <n v="2"/>
    <n v="2"/>
    <n v="2"/>
    <n v="0"/>
    <n v="0"/>
    <n v="0"/>
    <n v="0"/>
    <n v="0"/>
    <n v="0"/>
    <n v="0"/>
    <n v="0"/>
    <n v="0"/>
    <n v="0"/>
    <n v="0"/>
    <n v="0"/>
    <n v="0"/>
    <n v="0"/>
    <n v="4"/>
    <n v="6"/>
  </r>
  <r>
    <n v="1971"/>
    <x v="1"/>
    <s v="2016/5443"/>
    <m/>
    <s v="81-87 Upper Tooting Road"/>
    <s v="PRIVATE"/>
    <n v="527831"/>
    <n v="172116"/>
    <x v="4"/>
    <m/>
    <m/>
    <n v="0"/>
    <n v="12"/>
    <n v="12"/>
    <n v="18"/>
    <n v="18"/>
    <s v="Y"/>
    <s v="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
    <s v="PFLA"/>
    <d v="2016-09-22T00:00:00"/>
    <d v="2017-12-20T00:00:00"/>
    <x v="1"/>
    <s v="Nil"/>
    <m/>
    <s v="BF"/>
    <x v="0"/>
    <x v="1"/>
    <x v="1"/>
    <n v="4.5000001788139302E-2"/>
    <m/>
    <x v="0"/>
    <m/>
    <x v="0"/>
    <s v="P"/>
    <m/>
    <m/>
    <n v="0"/>
    <n v="9"/>
    <n v="0"/>
    <n v="3"/>
    <n v="0"/>
    <n v="5"/>
    <n v="6"/>
    <n v="1"/>
    <n v="0"/>
    <n v="0"/>
    <n v="0"/>
    <n v="0"/>
    <n v="5"/>
    <n v="6"/>
    <n v="0"/>
    <n v="0"/>
    <n v="0"/>
    <n v="0"/>
    <n v="0"/>
    <n v="0"/>
    <n v="0"/>
    <n v="1"/>
    <n v="0"/>
    <n v="0"/>
    <n v="0"/>
    <n v="0"/>
    <n v="0"/>
    <n v="0"/>
    <n v="0"/>
    <n v="0"/>
    <n v="0"/>
    <n v="0"/>
    <s v="East"/>
    <x v="0"/>
    <x v="0"/>
    <x v="1"/>
    <x v="0"/>
    <x v="0"/>
    <x v="0"/>
    <m/>
    <x v="0"/>
    <s v="Y"/>
    <s v="5B"/>
    <m/>
    <n v="0"/>
    <n v="0"/>
    <n v="0"/>
    <n v="0"/>
    <n v="4"/>
    <n v="4"/>
    <n v="4"/>
    <n v="0"/>
    <n v="0"/>
    <n v="0"/>
    <n v="0"/>
    <n v="0"/>
    <n v="0"/>
    <n v="0"/>
    <n v="0"/>
    <n v="0"/>
    <n v="0"/>
    <n v="0"/>
    <n v="0"/>
    <n v="0"/>
    <n v="0"/>
    <n v="8"/>
    <n v="12"/>
  </r>
  <r>
    <n v="1998"/>
    <x v="1"/>
    <s v="2017/1604"/>
    <m/>
    <s v="Land rear of 6-8a, Fontenoy Road"/>
    <m/>
    <n v="529304"/>
    <n v="172598"/>
    <x v="3"/>
    <m/>
    <m/>
    <n v="0"/>
    <n v="1"/>
    <n v="1"/>
    <n v="1"/>
    <n v="1"/>
    <m/>
    <s v="Demolition of existing garages and erection of single-storey (plus basement) 4-bedroom house; erection of single storey outbuilding; associated landscaping, parking and cycle provision."/>
    <s v="PF"/>
    <d v="2017-03-20T00:00:00"/>
    <d v="2017-07-03T00:00:00"/>
    <x v="1"/>
    <s v="Nil"/>
    <m/>
    <s v="BF"/>
    <x v="0"/>
    <x v="0"/>
    <x v="0"/>
    <n v="6.5999999642372104E-2"/>
    <m/>
    <x v="0"/>
    <m/>
    <x v="0"/>
    <s v="P"/>
    <m/>
    <m/>
    <n v="0"/>
    <m/>
    <n v="0"/>
    <m/>
    <n v="0"/>
    <n v="0"/>
    <n v="0"/>
    <n v="0"/>
    <n v="1"/>
    <n v="0"/>
    <n v="0"/>
    <n v="0"/>
    <n v="0"/>
    <n v="0"/>
    <n v="0"/>
    <n v="0"/>
    <n v="0"/>
    <n v="0"/>
    <n v="0"/>
    <n v="0"/>
    <n v="0"/>
    <n v="0"/>
    <n v="1"/>
    <n v="0"/>
    <n v="0"/>
    <n v="0"/>
    <n v="0"/>
    <n v="0"/>
    <n v="0"/>
    <n v="0"/>
    <n v="0"/>
    <n v="0"/>
    <s v="East"/>
    <x v="0"/>
    <x v="0"/>
    <x v="1"/>
    <x v="0"/>
    <x v="0"/>
    <x v="0"/>
    <m/>
    <x v="0"/>
    <s v="Y"/>
    <n v="4"/>
    <m/>
    <n v="0"/>
    <n v="0"/>
    <n v="0.25"/>
    <n v="0.25"/>
    <n v="0.25"/>
    <n v="0.25"/>
    <n v="0"/>
    <n v="0"/>
    <n v="0"/>
    <n v="0"/>
    <n v="0"/>
    <n v="0"/>
    <n v="0"/>
    <n v="0"/>
    <n v="0"/>
    <n v="0"/>
    <n v="0"/>
    <n v="0"/>
    <n v="0"/>
    <n v="0"/>
    <n v="0"/>
    <n v="1"/>
    <n v="1"/>
  </r>
  <r>
    <n v="2034"/>
    <x v="1"/>
    <s v="2016/1648"/>
    <m/>
    <s v="1-159 Howard Building, 368 Queenstown Road"/>
    <m/>
    <n v="528686"/>
    <n v="177627"/>
    <x v="6"/>
    <m/>
    <m/>
    <n v="2"/>
    <n v="1"/>
    <n v="-1"/>
    <n v="1"/>
    <n v="-1"/>
    <m/>
    <s v="Conversion of 2 apartments to form one self contained dwelling."/>
    <s v="PF"/>
    <d v="2016-05-12T00:00:00"/>
    <d v="2016-06-07T00:00:00"/>
    <x v="0"/>
    <s v="Nil"/>
    <m/>
    <s v="BF"/>
    <x v="1"/>
    <x v="0"/>
    <x v="2"/>
    <n v="1.60000007599592E-2"/>
    <m/>
    <x v="0"/>
    <m/>
    <x v="0"/>
    <s v="P"/>
    <m/>
    <m/>
    <n v="0"/>
    <m/>
    <n v="0"/>
    <m/>
    <n v="0"/>
    <n v="-1"/>
    <n v="-1"/>
    <n v="1"/>
    <n v="0"/>
    <n v="0"/>
    <n v="0"/>
    <n v="0"/>
    <n v="-1"/>
    <n v="-1"/>
    <n v="1"/>
    <n v="0"/>
    <n v="0"/>
    <n v="0"/>
    <n v="0"/>
    <n v="0"/>
    <n v="0"/>
    <n v="0"/>
    <n v="0"/>
    <n v="0"/>
    <n v="0"/>
    <n v="0"/>
    <n v="0"/>
    <n v="0"/>
    <n v="0"/>
    <n v="0"/>
    <n v="0"/>
    <n v="0"/>
    <s v="Strategic Planning/Nine Elms"/>
    <x v="0"/>
    <x v="1"/>
    <x v="1"/>
    <x v="0"/>
    <x v="0"/>
    <x v="0"/>
    <m/>
    <x v="0"/>
    <s v="Y"/>
    <s v="9A"/>
    <m/>
    <n v="0"/>
    <n v="-0.25"/>
    <n v="-0.25"/>
    <n v="-0.25"/>
    <n v="-0.25"/>
    <n v="0"/>
    <n v="0"/>
    <n v="0"/>
    <n v="0"/>
    <n v="0"/>
    <n v="0"/>
    <n v="0"/>
    <n v="0"/>
    <n v="0"/>
    <n v="0"/>
    <n v="0"/>
    <n v="0"/>
    <n v="0"/>
    <n v="0"/>
    <n v="0"/>
    <n v="0"/>
    <n v="-1"/>
    <n v="-1"/>
  </r>
  <r>
    <n v="2059"/>
    <x v="1"/>
    <s v="2017/1041"/>
    <m/>
    <s v="3-5 Queensmere Road"/>
    <m/>
    <n v="523779"/>
    <n v="172570"/>
    <x v="19"/>
    <m/>
    <m/>
    <n v="0"/>
    <n v="2"/>
    <n v="2"/>
    <n v="2"/>
    <n v="2"/>
    <m/>
    <s v="Demolition of garages and erection of 2 x semi-detached houses including provision of 6 car parking spaces; removal of existing vehicular crossover and provision of new crossover from Queensmere Road (Outline application for consideration of access, site layout and scale)."/>
    <s v="PO"/>
    <d v="2017-03-03T00:00:00"/>
    <d v="2017-08-24T00:00:00"/>
    <x v="1"/>
    <s v="Nil"/>
    <m/>
    <s v="Gdn"/>
    <x v="0"/>
    <x v="0"/>
    <x v="0"/>
    <n v="0.119999997317791"/>
    <m/>
    <x v="0"/>
    <m/>
    <x v="0"/>
    <s v="P"/>
    <m/>
    <m/>
    <n v="2"/>
    <m/>
    <n v="0"/>
    <m/>
    <n v="0"/>
    <n v="0"/>
    <n v="0"/>
    <n v="0"/>
    <n v="2"/>
    <n v="0"/>
    <n v="0"/>
    <n v="0"/>
    <n v="0"/>
    <n v="0"/>
    <n v="0"/>
    <n v="0"/>
    <n v="0"/>
    <n v="0"/>
    <n v="0"/>
    <n v="0"/>
    <n v="0"/>
    <n v="0"/>
    <n v="2"/>
    <n v="0"/>
    <n v="0"/>
    <n v="0"/>
    <n v="0"/>
    <n v="0"/>
    <n v="0"/>
    <n v="0"/>
    <n v="0"/>
    <n v="0"/>
    <s v="West"/>
    <x v="0"/>
    <x v="0"/>
    <x v="1"/>
    <x v="0"/>
    <x v="0"/>
    <x v="0"/>
    <m/>
    <x v="0"/>
    <s v="Y"/>
    <n v="4"/>
    <m/>
    <n v="0"/>
    <n v="0"/>
    <n v="0.5"/>
    <n v="0.5"/>
    <n v="0.5"/>
    <n v="0.5"/>
    <n v="0"/>
    <n v="0"/>
    <n v="0"/>
    <n v="0"/>
    <n v="0"/>
    <n v="0"/>
    <n v="0"/>
    <n v="0"/>
    <n v="0"/>
    <n v="0"/>
    <n v="0"/>
    <n v="0"/>
    <n v="0"/>
    <n v="0"/>
    <n v="0"/>
    <n v="2"/>
    <n v="2"/>
  </r>
  <r>
    <n v="2088"/>
    <x v="1"/>
    <s v="2017/3823"/>
    <m/>
    <s v="94-94a Longley Road"/>
    <s v="BLOCK A"/>
    <n v="527545"/>
    <n v="170687"/>
    <x v="8"/>
    <m/>
    <m/>
    <n v="0"/>
    <n v="5"/>
    <n v="5"/>
    <n v="9"/>
    <n v="9"/>
    <m/>
    <s v="Demolition of existing buildings and erection of two residential buildings:- Block A (front) amended/reduced 02.10.2017 to comprise 5 x 2 bedroom flats (with balconies/terraces on upper floors) ; Block B (rear) amended/reduced 02.10.2017 to comprise 3 x 2 bedroom flats and 1 x 1 bedroom flat (with first floor balconies); associated landscaping/bins and cycle storage.."/>
    <s v="PF"/>
    <d v="2017-07-11T00:00:00"/>
    <d v="2017-11-24T00:00:00"/>
    <x v="1"/>
    <s v="Nil"/>
    <m/>
    <s v="BF"/>
    <x v="0"/>
    <x v="0"/>
    <x v="0"/>
    <n v="3.9000000804662698E-2"/>
    <m/>
    <x v="0"/>
    <m/>
    <x v="0"/>
    <s v="P"/>
    <m/>
    <m/>
    <n v="0"/>
    <m/>
    <n v="0"/>
    <m/>
    <n v="0"/>
    <n v="0"/>
    <n v="5"/>
    <n v="0"/>
    <n v="0"/>
    <n v="0"/>
    <n v="0"/>
    <n v="0"/>
    <n v="0"/>
    <n v="5"/>
    <n v="0"/>
    <n v="0"/>
    <n v="0"/>
    <n v="0"/>
    <n v="0"/>
    <n v="0"/>
    <n v="0"/>
    <n v="0"/>
    <n v="0"/>
    <n v="0"/>
    <n v="0"/>
    <n v="0"/>
    <n v="0"/>
    <n v="0"/>
    <n v="0"/>
    <n v="0"/>
    <n v="0"/>
    <n v="0"/>
    <s v="East"/>
    <x v="0"/>
    <x v="0"/>
    <x v="1"/>
    <x v="0"/>
    <x v="0"/>
    <x v="0"/>
    <m/>
    <x v="0"/>
    <s v="Y"/>
    <s v="5B"/>
    <m/>
    <n v="0"/>
    <n v="0"/>
    <n v="0"/>
    <n v="0"/>
    <n v="1.6666666666666667"/>
    <n v="1.6666666666666667"/>
    <n v="1.6666666666666667"/>
    <n v="0"/>
    <n v="0"/>
    <n v="0"/>
    <n v="0"/>
    <n v="0"/>
    <n v="0"/>
    <n v="0"/>
    <n v="0"/>
    <n v="0"/>
    <n v="0"/>
    <n v="0"/>
    <n v="0"/>
    <n v="0"/>
    <n v="0"/>
    <n v="3.3333333333333335"/>
    <n v="5"/>
  </r>
  <r>
    <n v="2088"/>
    <x v="1"/>
    <s v="2017/3823"/>
    <m/>
    <s v="94-94a Longley Road"/>
    <s v="BLOCK B"/>
    <n v="527545"/>
    <n v="170687"/>
    <x v="8"/>
    <m/>
    <m/>
    <n v="0"/>
    <n v="4"/>
    <n v="4"/>
    <n v="9"/>
    <n v="9"/>
    <m/>
    <s v="Demolition of existing buildings and erection of two residential buildings:- Block A (front) amended/reduced 02.10.2017 to comprise 5 x 2 bedroom flats (with balconies/terraces on upper floors) ; Block B (rear) amended/reduced 02.10.2017 to comprise 3 x 2 bedroom flats and 1 x 1 bedroom flat (with first floor balconies); associated landscaping/bins and cycle storage.."/>
    <s v="PF"/>
    <d v="2017-07-11T00:00:00"/>
    <d v="2017-11-24T00:00:00"/>
    <x v="1"/>
    <s v="Nil"/>
    <m/>
    <s v="BF"/>
    <x v="0"/>
    <x v="0"/>
    <x v="0"/>
    <n v="3.0999999493360499E-2"/>
    <m/>
    <x v="0"/>
    <m/>
    <x v="0"/>
    <s v="P"/>
    <m/>
    <m/>
    <n v="0"/>
    <m/>
    <n v="0"/>
    <m/>
    <n v="0"/>
    <n v="1"/>
    <n v="3"/>
    <n v="0"/>
    <n v="0"/>
    <n v="0"/>
    <n v="0"/>
    <n v="0"/>
    <n v="1"/>
    <n v="3"/>
    <n v="0"/>
    <n v="0"/>
    <n v="0"/>
    <n v="0"/>
    <n v="0"/>
    <n v="0"/>
    <n v="0"/>
    <n v="0"/>
    <n v="0"/>
    <n v="0"/>
    <n v="0"/>
    <n v="0"/>
    <n v="0"/>
    <n v="0"/>
    <n v="0"/>
    <n v="0"/>
    <n v="0"/>
    <n v="0"/>
    <s v="East"/>
    <x v="0"/>
    <x v="0"/>
    <x v="1"/>
    <x v="0"/>
    <x v="0"/>
    <x v="0"/>
    <m/>
    <x v="0"/>
    <s v="Y"/>
    <s v="5B"/>
    <m/>
    <n v="0"/>
    <n v="0"/>
    <n v="0"/>
    <n v="0"/>
    <n v="1.3333333333333333"/>
    <n v="1.3333333333333333"/>
    <n v="1.3333333333333333"/>
    <n v="0"/>
    <n v="0"/>
    <n v="0"/>
    <n v="0"/>
    <n v="0"/>
    <n v="0"/>
    <n v="0"/>
    <n v="0"/>
    <n v="0"/>
    <n v="0"/>
    <n v="0"/>
    <n v="0"/>
    <n v="0"/>
    <n v="0"/>
    <n v="2.6666666666666665"/>
    <n v="4"/>
  </r>
  <r>
    <n v="2202"/>
    <x v="1"/>
    <s v="2016/7167"/>
    <m/>
    <s v="Land adjoining 23, Boundaries Road"/>
    <m/>
    <n v="528351"/>
    <n v="173235"/>
    <x v="11"/>
    <m/>
    <m/>
    <n v="0"/>
    <n v="1"/>
    <n v="1"/>
    <n v="1"/>
    <n v="1"/>
    <m/>
    <s v="Erection of a three-storey (plus basement) 2-bedroom detached house with roof terrace with associated landscaping and refuse storage."/>
    <s v="PF"/>
    <d v="2016-12-12T00:00:00"/>
    <d v="2017-03-28T00:00:00"/>
    <x v="0"/>
    <s v="Nil"/>
    <m/>
    <s v="BF"/>
    <x v="0"/>
    <x v="0"/>
    <x v="0"/>
    <n v="8.0000003799796104E-3"/>
    <m/>
    <x v="0"/>
    <m/>
    <x v="0"/>
    <s v="P"/>
    <m/>
    <m/>
    <n v="1"/>
    <m/>
    <n v="0"/>
    <m/>
    <n v="0"/>
    <n v="0"/>
    <n v="1"/>
    <n v="0"/>
    <n v="0"/>
    <n v="0"/>
    <n v="0"/>
    <n v="0"/>
    <n v="0"/>
    <n v="0"/>
    <n v="0"/>
    <n v="0"/>
    <n v="0"/>
    <n v="0"/>
    <n v="0"/>
    <n v="0"/>
    <n v="1"/>
    <n v="0"/>
    <n v="0"/>
    <n v="0"/>
    <n v="0"/>
    <n v="0"/>
    <n v="0"/>
    <n v="0"/>
    <n v="0"/>
    <n v="0"/>
    <n v="0"/>
    <n v="0"/>
    <s v="East"/>
    <x v="0"/>
    <x v="0"/>
    <x v="1"/>
    <x v="0"/>
    <x v="0"/>
    <x v="0"/>
    <m/>
    <x v="0"/>
    <s v="Y"/>
    <n v="4"/>
    <m/>
    <n v="0"/>
    <n v="0"/>
    <n v="0.25"/>
    <n v="0.25"/>
    <n v="0.25"/>
    <n v="0.25"/>
    <n v="0"/>
    <n v="0"/>
    <n v="0"/>
    <n v="0"/>
    <n v="0"/>
    <n v="0"/>
    <n v="0"/>
    <n v="0"/>
    <n v="0"/>
    <n v="0"/>
    <n v="0"/>
    <n v="0"/>
    <n v="0"/>
    <n v="0"/>
    <n v="0"/>
    <n v="1"/>
    <n v="1"/>
  </r>
  <r>
    <n v="2258"/>
    <x v="1"/>
    <s v="2017/0437"/>
    <s v="39b"/>
    <s v="Land rear of 39, Himley Road"/>
    <m/>
    <n v="527574"/>
    <n v="171046"/>
    <x v="8"/>
    <m/>
    <m/>
    <n v="0"/>
    <n v="1"/>
    <n v="1"/>
    <n v="1"/>
    <n v="1"/>
    <m/>
    <s v="Demolition of existing office building and erection of a two-storey building to provide 1x1 bedroom flat."/>
    <s v="PF"/>
    <d v="2017-01-25T00:00:00"/>
    <d v="2017-04-06T00:00:00"/>
    <x v="1"/>
    <s v="Nil"/>
    <m/>
    <s v="BF"/>
    <x v="3"/>
    <x v="0"/>
    <x v="9"/>
    <n v="6.0000000521540598E-3"/>
    <m/>
    <x v="0"/>
    <m/>
    <x v="0"/>
    <s v="P"/>
    <m/>
    <m/>
    <n v="0"/>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2304"/>
    <x v="1"/>
    <s v="2015/5875"/>
    <s v="Phase 5, Residential Blocks F &amp; G (Lanson House &amp; Burnelli House)"/>
    <s v="Chelsea Bridge Wharf (southern site), Queenstown Road"/>
    <m/>
    <n v="528666"/>
    <n v="177450"/>
    <x v="6"/>
    <m/>
    <m/>
    <n v="0"/>
    <n v="7"/>
    <n v="7"/>
    <n v="7"/>
    <n v="7"/>
    <m/>
    <s v="Change of use from &quot;flexible commercial space&quot; to provide 7 residential apartments with associated screening and landscaping"/>
    <s v="PFLA"/>
    <d v="2015-10-19T00:00:00"/>
    <d v="2016-04-05T00:00:00"/>
    <x v="0"/>
    <s v="Nil"/>
    <m/>
    <s v="BF"/>
    <x v="3"/>
    <x v="0"/>
    <x v="9"/>
    <n v="5.9000000357627903E-2"/>
    <m/>
    <x v="0"/>
    <m/>
    <x v="0"/>
    <s v="P"/>
    <m/>
    <m/>
    <n v="7"/>
    <m/>
    <n v="0"/>
    <m/>
    <n v="0"/>
    <n v="3"/>
    <n v="4"/>
    <n v="0"/>
    <n v="0"/>
    <n v="0"/>
    <n v="0"/>
    <n v="0"/>
    <n v="3"/>
    <n v="4"/>
    <n v="0"/>
    <n v="0"/>
    <n v="0"/>
    <n v="0"/>
    <n v="0"/>
    <n v="0"/>
    <n v="0"/>
    <n v="0"/>
    <n v="0"/>
    <n v="0"/>
    <n v="0"/>
    <n v="0"/>
    <n v="0"/>
    <n v="0"/>
    <n v="0"/>
    <n v="0"/>
    <n v="0"/>
    <n v="0"/>
    <s v="Strategic Planning/Nine Elms"/>
    <x v="0"/>
    <x v="1"/>
    <x v="1"/>
    <x v="0"/>
    <x v="0"/>
    <x v="0"/>
    <m/>
    <x v="0"/>
    <s v="Y"/>
    <s v="9C"/>
    <m/>
    <n v="0"/>
    <n v="1.75"/>
    <n v="1.75"/>
    <n v="1.75"/>
    <n v="1.75"/>
    <n v="0"/>
    <n v="0"/>
    <n v="0"/>
    <n v="0"/>
    <n v="0"/>
    <n v="0"/>
    <n v="0"/>
    <n v="0"/>
    <n v="0"/>
    <n v="0"/>
    <n v="0"/>
    <n v="0"/>
    <n v="0"/>
    <n v="0"/>
    <n v="0"/>
    <n v="0"/>
    <n v="7"/>
    <n v="7"/>
  </r>
  <r>
    <n v="2356"/>
    <x v="1"/>
    <s v="2016/0954"/>
    <m/>
    <s v="The Forester, 114 Allfarthing Lane"/>
    <m/>
    <n v="525955"/>
    <n v="174077"/>
    <x v="0"/>
    <m/>
    <m/>
    <n v="0"/>
    <n v="4"/>
    <n v="4"/>
    <n v="4"/>
    <n v="4"/>
    <m/>
    <s v="Change of use of property from day centre (Class D1) to 3 x 2 bedroom and 1 x 1 bedroom residential units (Class C3); formation of side lightwells and alterations to fenestration to all elevations."/>
    <s v="PF"/>
    <d v="2016-03-10T00:00:00"/>
    <d v="2016-05-05T00:00:00"/>
    <x v="0"/>
    <s v="Nil"/>
    <m/>
    <s v="BF"/>
    <x v="3"/>
    <x v="0"/>
    <x v="5"/>
    <n v="2.19999998807907E-2"/>
    <m/>
    <x v="0"/>
    <m/>
    <x v="0"/>
    <s v="P"/>
    <m/>
    <m/>
    <n v="0"/>
    <m/>
    <n v="0"/>
    <m/>
    <n v="0"/>
    <n v="1"/>
    <n v="3"/>
    <n v="0"/>
    <n v="0"/>
    <n v="0"/>
    <n v="0"/>
    <n v="0"/>
    <n v="1"/>
    <n v="3"/>
    <n v="0"/>
    <n v="0"/>
    <n v="0"/>
    <n v="0"/>
    <n v="0"/>
    <n v="0"/>
    <n v="0"/>
    <n v="0"/>
    <n v="0"/>
    <n v="0"/>
    <n v="0"/>
    <n v="0"/>
    <n v="0"/>
    <n v="0"/>
    <n v="0"/>
    <n v="0"/>
    <n v="0"/>
    <n v="0"/>
    <s v="West"/>
    <x v="0"/>
    <x v="0"/>
    <x v="1"/>
    <x v="0"/>
    <x v="0"/>
    <x v="0"/>
    <m/>
    <x v="0"/>
    <s v="Y"/>
    <s v="9A"/>
    <m/>
    <n v="0"/>
    <n v="1"/>
    <n v="1"/>
    <n v="1"/>
    <n v="1"/>
    <n v="0"/>
    <n v="0"/>
    <n v="0"/>
    <n v="0"/>
    <n v="0"/>
    <n v="0"/>
    <n v="0"/>
    <n v="0"/>
    <n v="0"/>
    <n v="0"/>
    <n v="0"/>
    <n v="0"/>
    <n v="0"/>
    <n v="0"/>
    <n v="0"/>
    <n v="0"/>
    <n v="4"/>
    <n v="4"/>
  </r>
  <r>
    <n v="2410"/>
    <x v="1"/>
    <s v="2017/3534"/>
    <m/>
    <s v="Coach House adjoining 83, Mallinson Road"/>
    <m/>
    <n v="527525"/>
    <n v="174930"/>
    <x v="14"/>
    <m/>
    <m/>
    <n v="0"/>
    <n v="1"/>
    <n v="1"/>
    <n v="1"/>
    <n v="1"/>
    <m/>
    <s v="Erection of a three-storey (plus basement) 4-bedroom detached house."/>
    <s v="PF"/>
    <d v="2017-06-28T00:00:00"/>
    <d v="2017-11-01T00:00:00"/>
    <x v="1"/>
    <s v="Nil"/>
    <m/>
    <s v="BF"/>
    <x v="0"/>
    <x v="0"/>
    <x v="0"/>
    <n v="9.9999997764825804E-3"/>
    <m/>
    <x v="0"/>
    <m/>
    <x v="0"/>
    <s v="P"/>
    <m/>
    <m/>
    <n v="0"/>
    <m/>
    <n v="0"/>
    <m/>
    <n v="0"/>
    <n v="0"/>
    <n v="0"/>
    <n v="0"/>
    <n v="1"/>
    <n v="0"/>
    <n v="0"/>
    <n v="0"/>
    <n v="0"/>
    <n v="0"/>
    <n v="0"/>
    <n v="0"/>
    <n v="0"/>
    <n v="0"/>
    <n v="0"/>
    <n v="0"/>
    <n v="0"/>
    <n v="0"/>
    <n v="1"/>
    <n v="0"/>
    <n v="0"/>
    <n v="0"/>
    <n v="0"/>
    <n v="0"/>
    <n v="0"/>
    <n v="0"/>
    <n v="0"/>
    <n v="0"/>
    <s v="East"/>
    <x v="5"/>
    <x v="0"/>
    <x v="1"/>
    <x v="0"/>
    <x v="0"/>
    <x v="0"/>
    <m/>
    <x v="0"/>
    <s v="Y"/>
    <n v="4"/>
    <m/>
    <n v="0"/>
    <n v="0"/>
    <n v="0.25"/>
    <n v="0.25"/>
    <n v="0.25"/>
    <n v="0.25"/>
    <n v="0"/>
    <n v="0"/>
    <n v="0"/>
    <n v="0"/>
    <n v="0"/>
    <n v="0"/>
    <n v="0"/>
    <n v="0"/>
    <n v="0"/>
    <n v="0"/>
    <n v="0"/>
    <n v="0"/>
    <n v="0"/>
    <n v="0"/>
    <n v="0"/>
    <n v="1"/>
    <n v="1"/>
  </r>
  <r>
    <n v="2411"/>
    <x v="1"/>
    <s v="2016/1119"/>
    <s v="Battersea Power Station"/>
    <s v="South Lambeth Goods Depot, Cringle St./Battersea Park Rd., Kirtling Street"/>
    <s v="Phase 4 (RS-5)"/>
    <n v="528934"/>
    <n v="177496"/>
    <x v="6"/>
    <m/>
    <m/>
    <n v="0"/>
    <n v="664"/>
    <n v="664"/>
    <n v="2735"/>
    <n v="2735"/>
    <s v="Y"/>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x v="0"/>
    <s v="Nil"/>
    <m/>
    <s v="BF"/>
    <x v="0"/>
    <x v="1"/>
    <x v="1"/>
    <n v="0.83799999999999997"/>
    <m/>
    <x v="0"/>
    <m/>
    <x v="0"/>
    <s v="P"/>
    <s v="2.1.1"/>
    <m/>
    <n v="664"/>
    <m/>
    <n v="66"/>
    <m/>
    <n v="0"/>
    <n v="275"/>
    <n v="267"/>
    <n v="95"/>
    <n v="8"/>
    <n v="19"/>
    <n v="0"/>
    <n v="0"/>
    <n v="275"/>
    <n v="267"/>
    <n v="95"/>
    <n v="8"/>
    <n v="19"/>
    <n v="0"/>
    <n v="0"/>
    <n v="0"/>
    <n v="0"/>
    <n v="0"/>
    <n v="0"/>
    <n v="0"/>
    <n v="0"/>
    <n v="0"/>
    <n v="0"/>
    <n v="0"/>
    <n v="0"/>
    <n v="0"/>
    <n v="0"/>
    <n v="0"/>
    <s v="Strategic Planning/Nine Elms"/>
    <x v="0"/>
    <x v="1"/>
    <x v="1"/>
    <x v="0"/>
    <x v="0"/>
    <x v="0"/>
    <m/>
    <x v="0"/>
    <s v="Y"/>
    <n v="12"/>
    <m/>
    <n v="0"/>
    <n v="0"/>
    <n v="0"/>
    <n v="0"/>
    <n v="0"/>
    <n v="664"/>
    <n v="0"/>
    <n v="0"/>
    <n v="0"/>
    <n v="0"/>
    <n v="0"/>
    <n v="0"/>
    <n v="0"/>
    <n v="0"/>
    <n v="0"/>
    <n v="0"/>
    <n v="0"/>
    <n v="0"/>
    <n v="0"/>
    <n v="0"/>
    <n v="0"/>
    <n v="664"/>
    <n v="664"/>
  </r>
  <r>
    <n v="2411"/>
    <x v="1"/>
    <s v="2016/1119"/>
    <s v="Battersea Power Station"/>
    <s v="South Lambeth Goods Depot, Cringle St./Battersea Park Rd., Kirtling Street"/>
    <s v="Phase 7 (RS-WF)"/>
    <n v="528934"/>
    <n v="177496"/>
    <x v="6"/>
    <m/>
    <m/>
    <n v="0"/>
    <n v="152"/>
    <n v="152"/>
    <n v="2735"/>
    <n v="2735"/>
    <s v="Y"/>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x v="0"/>
    <s v="Nil"/>
    <m/>
    <s v="BF"/>
    <x v="0"/>
    <x v="1"/>
    <x v="1"/>
    <n v="0.21"/>
    <m/>
    <x v="0"/>
    <m/>
    <x v="0"/>
    <s v="P"/>
    <s v="2.1.1"/>
    <m/>
    <n v="152"/>
    <m/>
    <n v="15"/>
    <m/>
    <n v="26"/>
    <n v="1"/>
    <n v="31"/>
    <n v="55"/>
    <n v="14"/>
    <n v="25"/>
    <n v="0"/>
    <n v="26"/>
    <n v="1"/>
    <n v="31"/>
    <n v="55"/>
    <n v="14"/>
    <n v="25"/>
    <n v="0"/>
    <n v="0"/>
    <n v="0"/>
    <n v="0"/>
    <n v="0"/>
    <n v="0"/>
    <n v="0"/>
    <n v="0"/>
    <n v="0"/>
    <n v="0"/>
    <n v="0"/>
    <n v="0"/>
    <n v="0"/>
    <n v="0"/>
    <n v="0"/>
    <s v="Strategic Planning/Nine Elms"/>
    <x v="0"/>
    <x v="1"/>
    <x v="1"/>
    <x v="0"/>
    <x v="0"/>
    <x v="0"/>
    <m/>
    <x v="0"/>
    <s v="Y"/>
    <n v="12"/>
    <m/>
    <n v="0"/>
    <n v="0"/>
    <n v="0"/>
    <n v="0"/>
    <n v="0"/>
    <n v="0"/>
    <n v="0"/>
    <n v="0"/>
    <n v="152"/>
    <n v="0"/>
    <n v="0"/>
    <n v="0"/>
    <n v="0"/>
    <n v="0"/>
    <n v="0"/>
    <n v="0"/>
    <n v="0"/>
    <n v="0"/>
    <n v="0"/>
    <n v="0"/>
    <n v="0"/>
    <n v="0"/>
    <n v="152"/>
  </r>
  <r>
    <n v="4509"/>
    <x v="1"/>
    <s v="2017/0319"/>
    <s v="Cringle Dock"/>
    <s v="Cringle Street"/>
    <m/>
    <n v="529156"/>
    <n v="177572"/>
    <x v="6"/>
    <m/>
    <m/>
    <n v="0"/>
    <n v="422"/>
    <n v="422"/>
    <n v="422"/>
    <n v="422"/>
    <s v="Y"/>
    <s v="Application under Section 73 of the Town and Country Planning Act (as amended) for amendments to planning permission (ref:2015/6357) dated 4th July 2016 for demolition of the existing waste transfer station and associated structures; retention of the existing dock and redevelopment of the site to provide a new enclosed waste transfer station and associated facilities (use class Sui Generis) with new buildings located above the transfer station containing residential and ancillary residential facilities (Use Class C3); provision of areas of hard and soft landscaping and a new riverfront path; works to provide vehicular accesses on Cringle Street; provision of basement car parking, related works to integrate the development with the adjoining  Battersea Power Station Masterplan development and other associated works (application for outline planning permission with detailed elements provided in relation to the new waste transfer station). (The Amendments include the introduction of flexible A1/A3/D2 uses in place of the ancillary wharf use)."/>
    <s v="S73"/>
    <d v="2017-01-20T00:00:00"/>
    <d v="2017-06-14T00:00:00"/>
    <x v="1"/>
    <s v="Nil"/>
    <m/>
    <s v="BF"/>
    <x v="0"/>
    <x v="1"/>
    <x v="1"/>
    <n v="0.56999999284744296"/>
    <m/>
    <x v="0"/>
    <m/>
    <x v="0"/>
    <s v="P"/>
    <s v="2.1.1"/>
    <m/>
    <n v="422"/>
    <m/>
    <n v="42"/>
    <m/>
    <n v="20"/>
    <n v="64"/>
    <n v="250"/>
    <n v="88"/>
    <n v="0"/>
    <n v="0"/>
    <n v="0"/>
    <n v="20"/>
    <n v="64"/>
    <n v="240"/>
    <n v="53"/>
    <n v="0"/>
    <n v="0"/>
    <n v="0"/>
    <n v="0"/>
    <n v="0"/>
    <n v="10"/>
    <n v="35"/>
    <n v="0"/>
    <n v="0"/>
    <n v="0"/>
    <n v="0"/>
    <n v="0"/>
    <n v="0"/>
    <n v="0"/>
    <n v="0"/>
    <n v="0"/>
    <n v="0"/>
    <s v="Strategic Planning/Nine Elms"/>
    <x v="0"/>
    <x v="1"/>
    <x v="1"/>
    <x v="0"/>
    <x v="0"/>
    <x v="0"/>
    <m/>
    <x v="0"/>
    <s v="Y"/>
    <n v="12"/>
    <m/>
    <n v="0"/>
    <n v="0"/>
    <n v="0"/>
    <n v="0"/>
    <n v="0"/>
    <n v="0"/>
    <n v="0"/>
    <n v="0"/>
    <n v="422"/>
    <n v="0"/>
    <n v="0"/>
    <n v="0"/>
    <n v="0"/>
    <n v="0"/>
    <n v="0"/>
    <n v="0"/>
    <n v="0"/>
    <n v="0"/>
    <n v="0"/>
    <n v="0"/>
    <n v="0"/>
    <n v="0"/>
    <n v="422"/>
  </r>
  <r>
    <n v="2427"/>
    <x v="1"/>
    <s v="2017/6883"/>
    <s v="86a and 86b"/>
    <s v="Land rear of 86-90, Chatham Road"/>
    <s v="conversion"/>
    <n v="527695"/>
    <n v="174450"/>
    <x v="14"/>
    <m/>
    <m/>
    <n v="2"/>
    <n v="6"/>
    <n v="4"/>
    <n v="7"/>
    <n v="5"/>
    <m/>
    <s v="Alterations including removal of existing mansard roof, raising front and rear elevation walls to second floor level, erection of roof extension to create additional floor of accommodation at third floor level, extension on front elevation to accommodate reconfigured stair and lift core, replacement of 2 front doors with windows, single-storey ground floor rear extensions, second floor rear extension, addition of rear balconies at first, second and third floor levels, existing external metal staircase extended to third floor, addition of secure cycle storage and refuse/recycling storage on forecourt, in connection with conversion of properties to 3 x 3-bedroom and 4 x 2-bedroom flats."/>
    <s v="PF"/>
    <d v="2017-12-18T00:00:00"/>
    <d v="2018-03-27T00:00:00"/>
    <x v="1"/>
    <s v="Nil"/>
    <m/>
    <s v="BF"/>
    <x v="4"/>
    <x v="0"/>
    <x v="8"/>
    <n v="5.0000000745058101E-2"/>
    <m/>
    <x v="0"/>
    <m/>
    <x v="0"/>
    <s v="P"/>
    <m/>
    <m/>
    <n v="0"/>
    <n v="5"/>
    <n v="0"/>
    <n v="2"/>
    <n v="0"/>
    <n v="0"/>
    <n v="3"/>
    <n v="3"/>
    <n v="-1"/>
    <n v="-1"/>
    <n v="0"/>
    <n v="0"/>
    <n v="0"/>
    <n v="3"/>
    <n v="3"/>
    <n v="0"/>
    <n v="0"/>
    <n v="0"/>
    <n v="0"/>
    <n v="0"/>
    <n v="0"/>
    <n v="0"/>
    <n v="-1"/>
    <n v="-1"/>
    <n v="0"/>
    <n v="0"/>
    <n v="0"/>
    <n v="0"/>
    <n v="0"/>
    <n v="0"/>
    <n v="0"/>
    <n v="0"/>
    <s v="East"/>
    <x v="0"/>
    <x v="0"/>
    <x v="1"/>
    <x v="0"/>
    <x v="0"/>
    <x v="0"/>
    <m/>
    <x v="0"/>
    <s v="Y"/>
    <s v="9B"/>
    <m/>
    <n v="0"/>
    <n v="4"/>
    <n v="0"/>
    <n v="0"/>
    <n v="0"/>
    <n v="0"/>
    <n v="0"/>
    <n v="0"/>
    <n v="0"/>
    <n v="0"/>
    <n v="0"/>
    <n v="0"/>
    <n v="0"/>
    <n v="0"/>
    <n v="0"/>
    <n v="0"/>
    <n v="0"/>
    <n v="0"/>
    <n v="0"/>
    <n v="0"/>
    <n v="0"/>
    <n v="4"/>
    <n v="4"/>
  </r>
  <r>
    <n v="2427"/>
    <x v="1"/>
    <s v="2017/6883"/>
    <s v="86a and 86b"/>
    <s v="Land rear of 86-90, Chatham Road"/>
    <s v="extn to ex"/>
    <n v="527695"/>
    <n v="174450"/>
    <x v="14"/>
    <m/>
    <m/>
    <n v="0"/>
    <n v="1"/>
    <n v="1"/>
    <n v="7"/>
    <n v="5"/>
    <m/>
    <s v="Alterations including removal of existing mansard roof, raising front and rear elevation walls to second floor level, erection of roof extension to create additional floor of accommodation at third floor level, extension on front elevation to accommodate reconfigured stair and lift core, replacement of 2 front doors with windows, single-storey ground floor rear extensions, second floor rear extension, addition of rear balconies at first, second and third floor levels, existing external metal staircase extended to third floor, addition of secure cycle storage and refuse/recycling storage on forecourt, in connection with conversion of properties to 3 x 3-bedroom and 4 x 2-bedroom flats."/>
    <s v="PF"/>
    <d v="2017-12-18T00:00:00"/>
    <d v="2018-03-27T00:00:00"/>
    <x v="1"/>
    <s v="Nil"/>
    <m/>
    <s v="BF"/>
    <x v="4"/>
    <x v="0"/>
    <x v="0"/>
    <n v="9.9999997764825804E-3"/>
    <m/>
    <x v="0"/>
    <m/>
    <x v="0"/>
    <s v="P"/>
    <m/>
    <m/>
    <n v="0"/>
    <m/>
    <n v="0"/>
    <m/>
    <n v="0"/>
    <n v="0"/>
    <n v="1"/>
    <n v="0"/>
    <n v="0"/>
    <n v="0"/>
    <n v="0"/>
    <n v="0"/>
    <n v="0"/>
    <n v="1"/>
    <n v="0"/>
    <n v="0"/>
    <n v="0"/>
    <n v="0"/>
    <n v="0"/>
    <n v="0"/>
    <n v="0"/>
    <n v="0"/>
    <n v="0"/>
    <n v="0"/>
    <n v="0"/>
    <n v="0"/>
    <n v="0"/>
    <n v="0"/>
    <n v="0"/>
    <n v="0"/>
    <n v="0"/>
    <n v="0"/>
    <s v="East"/>
    <x v="0"/>
    <x v="0"/>
    <x v="1"/>
    <x v="0"/>
    <x v="0"/>
    <x v="0"/>
    <m/>
    <x v="0"/>
    <s v="Y"/>
    <s v="9B"/>
    <m/>
    <n v="0"/>
    <n v="1"/>
    <n v="0"/>
    <n v="0"/>
    <n v="0"/>
    <n v="0"/>
    <n v="0"/>
    <n v="0"/>
    <n v="0"/>
    <n v="0"/>
    <n v="0"/>
    <n v="0"/>
    <n v="0"/>
    <n v="0"/>
    <n v="0"/>
    <n v="0"/>
    <n v="0"/>
    <n v="0"/>
    <n v="0"/>
    <n v="0"/>
    <n v="0"/>
    <n v="1"/>
    <n v="1"/>
  </r>
  <r>
    <n v="2530"/>
    <x v="1"/>
    <s v="2017/5940"/>
    <m/>
    <s v="193-197 Upper Tooting Road"/>
    <m/>
    <n v="527684"/>
    <n v="171814"/>
    <x v="4"/>
    <m/>
    <m/>
    <n v="3"/>
    <n v="3"/>
    <n v="0"/>
    <n v="4"/>
    <n v="1"/>
    <m/>
    <s v="Alterations to the ground floor rear elevation; Erection of a first floor rear extension to nos. 193 and 195; Mansard roof extension to main rear roof and above part of two-storey back addition to nos. 193 - 197; and general alterations in connection with the conversion of the property from 3 x 2 bedroom flats to 1 x 2 bedroom, 1 x 3 bedroom and 2 x 2 bedroom flats."/>
    <s v="PF"/>
    <d v="2017-11-01T00:00:00"/>
    <d v="2018-01-12T00:00:00"/>
    <x v="1"/>
    <s v="Nil"/>
    <m/>
    <s v="BF"/>
    <x v="4"/>
    <x v="0"/>
    <x v="10"/>
    <n v="2.70000007003546E-2"/>
    <m/>
    <x v="0"/>
    <m/>
    <x v="0"/>
    <s v="P"/>
    <m/>
    <m/>
    <n v="0"/>
    <m/>
    <n v="0"/>
    <m/>
    <n v="0"/>
    <n v="0"/>
    <n v="-1"/>
    <n v="1"/>
    <n v="0"/>
    <n v="0"/>
    <n v="0"/>
    <n v="0"/>
    <n v="0"/>
    <n v="-1"/>
    <n v="1"/>
    <n v="0"/>
    <n v="0"/>
    <n v="0"/>
    <n v="0"/>
    <n v="0"/>
    <n v="0"/>
    <n v="0"/>
    <n v="0"/>
    <n v="0"/>
    <n v="0"/>
    <n v="0"/>
    <n v="0"/>
    <n v="0"/>
    <n v="0"/>
    <n v="0"/>
    <n v="0"/>
    <n v="0"/>
    <s v="East"/>
    <x v="1"/>
    <x v="0"/>
    <x v="1"/>
    <x v="0"/>
    <x v="0"/>
    <x v="0"/>
    <m/>
    <x v="0"/>
    <s v="Y"/>
    <s v="9A"/>
    <m/>
    <n v="0"/>
    <n v="0"/>
    <n v="0"/>
    <n v="0"/>
    <n v="0"/>
    <n v="0"/>
    <n v="0"/>
    <n v="0"/>
    <n v="0"/>
    <n v="0"/>
    <n v="0"/>
    <n v="0"/>
    <n v="0"/>
    <n v="0"/>
    <n v="0"/>
    <n v="0"/>
    <n v="0"/>
    <n v="0"/>
    <n v="0"/>
    <n v="0"/>
    <n v="0"/>
    <n v="0"/>
    <n v="0"/>
  </r>
  <r>
    <n v="2530"/>
    <x v="1"/>
    <s v="2017/5940"/>
    <m/>
    <s v="193-197 Upper Tooting Road"/>
    <m/>
    <n v="527684"/>
    <n v="171814"/>
    <x v="4"/>
    <m/>
    <m/>
    <n v="0"/>
    <n v="1"/>
    <n v="1"/>
    <n v="4"/>
    <n v="1"/>
    <m/>
    <s v="Alterations to the ground floor rear elevation; Erection of a first floor rear extension to nos. 193 and 195; Mansard roof extension to main rear roof and above part of two-storey back addition to nos. 193 - 197; and general alterations in connection with the conversion of the property from 3 x 2 bedroom flats to 1 x 2 bedroom, 1 x 3 bedroom and 2 x 2 bedroom flats."/>
    <s v="PF"/>
    <d v="2017-11-01T00:00:00"/>
    <d v="2018-01-12T00:00:00"/>
    <x v="1"/>
    <s v="Nil"/>
    <m/>
    <s v="BF"/>
    <x v="4"/>
    <x v="0"/>
    <x v="0"/>
    <n v="4.9999998882412902E-3"/>
    <m/>
    <x v="0"/>
    <m/>
    <x v="0"/>
    <s v="P"/>
    <m/>
    <m/>
    <n v="0"/>
    <m/>
    <n v="0"/>
    <m/>
    <n v="0"/>
    <n v="0"/>
    <n v="1"/>
    <n v="0"/>
    <n v="0"/>
    <n v="0"/>
    <n v="0"/>
    <n v="0"/>
    <n v="0"/>
    <n v="1"/>
    <n v="0"/>
    <n v="0"/>
    <n v="0"/>
    <n v="0"/>
    <n v="0"/>
    <n v="0"/>
    <n v="0"/>
    <n v="0"/>
    <n v="0"/>
    <n v="0"/>
    <n v="0"/>
    <n v="0"/>
    <n v="0"/>
    <n v="0"/>
    <n v="0"/>
    <n v="0"/>
    <n v="0"/>
    <n v="0"/>
    <s v="East"/>
    <x v="1"/>
    <x v="0"/>
    <x v="1"/>
    <x v="0"/>
    <x v="0"/>
    <x v="0"/>
    <m/>
    <x v="0"/>
    <s v="Y"/>
    <s v="9A"/>
    <m/>
    <n v="0"/>
    <n v="0.25"/>
    <n v="0.25"/>
    <n v="0.25"/>
    <n v="0.25"/>
    <n v="0"/>
    <n v="0"/>
    <n v="0"/>
    <n v="0"/>
    <n v="0"/>
    <n v="0"/>
    <n v="0"/>
    <n v="0"/>
    <n v="0"/>
    <n v="0"/>
    <n v="0"/>
    <n v="0"/>
    <n v="0"/>
    <n v="0"/>
    <n v="0"/>
    <n v="0"/>
    <n v="1"/>
    <n v="1"/>
  </r>
  <r>
    <n v="2566"/>
    <x v="1"/>
    <s v="2017/5336"/>
    <s v="Flats 1-10"/>
    <s v="Upper floors, 33-37 St Johns Hill"/>
    <m/>
    <n v="527216"/>
    <n v="175354"/>
    <x v="14"/>
    <m/>
    <m/>
    <n v="0"/>
    <n v="2"/>
    <n v="2"/>
    <n v="2"/>
    <n v="2"/>
    <m/>
    <s v="Alterations including change of use of the commercial tenancy at 35 St Johns Hill from Sui Generis to D1 involving alterations to shop front; Change of use of the rear part of the site from D1/A2 to C3; Erection of single-storey rear extension to provide 2 x 2 bedroom units; provision of cycle and bin storage."/>
    <s v="PF"/>
    <d v="2017-11-03T00:00:00"/>
    <d v="2018-02-16T00:00:00"/>
    <x v="1"/>
    <s v="Nil"/>
    <m/>
    <s v="BF"/>
    <x v="4"/>
    <x v="0"/>
    <x v="0"/>
    <n v="7.0000002160668399E-3"/>
    <m/>
    <x v="0"/>
    <m/>
    <x v="0"/>
    <s v="P"/>
    <m/>
    <m/>
    <n v="0"/>
    <m/>
    <n v="0"/>
    <m/>
    <n v="0"/>
    <n v="0"/>
    <n v="2"/>
    <n v="0"/>
    <n v="0"/>
    <n v="0"/>
    <n v="0"/>
    <n v="0"/>
    <n v="0"/>
    <n v="2"/>
    <n v="0"/>
    <n v="0"/>
    <n v="0"/>
    <n v="0"/>
    <n v="0"/>
    <n v="0"/>
    <n v="0"/>
    <n v="0"/>
    <n v="0"/>
    <n v="0"/>
    <n v="0"/>
    <n v="0"/>
    <n v="0"/>
    <n v="0"/>
    <n v="0"/>
    <n v="0"/>
    <n v="0"/>
    <n v="0"/>
    <s v="East"/>
    <x v="5"/>
    <x v="0"/>
    <x v="1"/>
    <x v="0"/>
    <x v="0"/>
    <x v="0"/>
    <m/>
    <x v="0"/>
    <s v="Y"/>
    <s v="9A"/>
    <m/>
    <n v="0"/>
    <n v="0.5"/>
    <n v="0.5"/>
    <n v="0.5"/>
    <n v="0.5"/>
    <n v="0"/>
    <n v="0"/>
    <n v="0"/>
    <n v="0"/>
    <n v="0"/>
    <n v="0"/>
    <n v="0"/>
    <n v="0"/>
    <n v="0"/>
    <n v="0"/>
    <n v="0"/>
    <n v="0"/>
    <n v="0"/>
    <n v="0"/>
    <n v="0"/>
    <n v="0"/>
    <n v="2"/>
    <n v="2"/>
  </r>
  <r>
    <n v="2634"/>
    <x v="1"/>
    <s v="2018/0079"/>
    <m/>
    <s v="130-132 Wandsworth High Street"/>
    <m/>
    <n v="525348"/>
    <n v="174690"/>
    <x v="0"/>
    <m/>
    <m/>
    <n v="2"/>
    <n v="8"/>
    <n v="6"/>
    <n v="8"/>
    <n v="6"/>
    <m/>
    <s v="Demolition of existing two-storey building and erection of a six-storey building to provide a commercial unit (for either A1-A5 or D2 use) on the ground floor, and one studio, 6 x 1-bedroom flats; 1 x 2-bedroom flat, with associated roof terraces, on the upper floors."/>
    <s v="PF"/>
    <d v="2018-01-08T00:00:00"/>
    <d v="2018-03-23T00:00:00"/>
    <x v="1"/>
    <s v="Nil"/>
    <m/>
    <s v="BF"/>
    <x v="0"/>
    <x v="0"/>
    <x v="0"/>
    <n v="1.4000000432133701E-2"/>
    <m/>
    <x v="0"/>
    <m/>
    <x v="0"/>
    <s v="P"/>
    <m/>
    <m/>
    <n v="0"/>
    <n v="7"/>
    <n v="0"/>
    <n v="1"/>
    <n v="1"/>
    <n v="4"/>
    <n v="1"/>
    <n v="0"/>
    <n v="0"/>
    <n v="0"/>
    <n v="0"/>
    <n v="1"/>
    <n v="4"/>
    <n v="1"/>
    <n v="0"/>
    <n v="0"/>
    <n v="0"/>
    <n v="0"/>
    <n v="0"/>
    <n v="0"/>
    <n v="0"/>
    <n v="0"/>
    <n v="0"/>
    <n v="0"/>
    <n v="0"/>
    <n v="0"/>
    <n v="0"/>
    <n v="0"/>
    <n v="0"/>
    <n v="0"/>
    <n v="0"/>
    <n v="0"/>
    <s v="West"/>
    <x v="4"/>
    <x v="0"/>
    <x v="0"/>
    <x v="0"/>
    <x v="0"/>
    <x v="0"/>
    <m/>
    <x v="0"/>
    <s v="Y"/>
    <s v="5B"/>
    <m/>
    <n v="0"/>
    <n v="0"/>
    <n v="0"/>
    <n v="0"/>
    <n v="2"/>
    <n v="2"/>
    <n v="2"/>
    <n v="0"/>
    <n v="0"/>
    <n v="0"/>
    <n v="0"/>
    <n v="0"/>
    <n v="0"/>
    <n v="0"/>
    <n v="0"/>
    <n v="0"/>
    <n v="0"/>
    <n v="0"/>
    <n v="0"/>
    <n v="0"/>
    <n v="0"/>
    <n v="4"/>
    <n v="6"/>
  </r>
  <r>
    <n v="2707"/>
    <x v="1"/>
    <s v="2016/5007"/>
    <m/>
    <s v="Garages rear of 168, Bedford Hill"/>
    <m/>
    <n v="528836"/>
    <n v="172626"/>
    <x v="3"/>
    <m/>
    <m/>
    <n v="0"/>
    <n v="1"/>
    <n v="1"/>
    <n v="1"/>
    <n v="1"/>
    <m/>
    <s v="Demolition of existing garage and erection of a single-storey (plus basement) 1-bedroom house. Replacement of existing boundary wall fronting Ritherdon Road."/>
    <s v="PF"/>
    <d v="2016-08-22T00:00:00"/>
    <d v="2016-10-17T00:00:00"/>
    <x v="0"/>
    <s v="Nil"/>
    <m/>
    <s v="BF"/>
    <x v="0"/>
    <x v="0"/>
    <x v="0"/>
    <n v="4.9999998882412902E-3"/>
    <m/>
    <x v="0"/>
    <m/>
    <x v="0"/>
    <s v="P"/>
    <m/>
    <m/>
    <n v="0"/>
    <m/>
    <n v="0"/>
    <m/>
    <n v="0"/>
    <n v="1"/>
    <n v="0"/>
    <n v="0"/>
    <n v="0"/>
    <n v="0"/>
    <n v="0"/>
    <n v="0"/>
    <n v="0"/>
    <n v="0"/>
    <n v="0"/>
    <n v="0"/>
    <n v="0"/>
    <n v="0"/>
    <n v="0"/>
    <n v="1"/>
    <n v="0"/>
    <n v="0"/>
    <n v="0"/>
    <n v="0"/>
    <n v="0"/>
    <n v="0"/>
    <n v="0"/>
    <n v="0"/>
    <n v="0"/>
    <n v="0"/>
    <n v="0"/>
    <n v="0"/>
    <s v="East"/>
    <x v="0"/>
    <x v="0"/>
    <x v="1"/>
    <x v="0"/>
    <x v="0"/>
    <x v="0"/>
    <m/>
    <x v="0"/>
    <s v="Y"/>
    <n v="4"/>
    <m/>
    <n v="0"/>
    <n v="0"/>
    <n v="0.25"/>
    <n v="0.25"/>
    <n v="0.25"/>
    <n v="0.25"/>
    <n v="0"/>
    <n v="0"/>
    <n v="0"/>
    <n v="0"/>
    <n v="0"/>
    <n v="0"/>
    <n v="0"/>
    <n v="0"/>
    <n v="0"/>
    <n v="0"/>
    <n v="0"/>
    <n v="0"/>
    <n v="0"/>
    <n v="0"/>
    <n v="0"/>
    <n v="1"/>
    <n v="1"/>
  </r>
  <r>
    <n v="2793"/>
    <x v="1"/>
    <s v="2016/3337"/>
    <m/>
    <s v="241 Wimbledon Park Road"/>
    <m/>
    <n v="524772"/>
    <n v="173313"/>
    <x v="5"/>
    <m/>
    <m/>
    <n v="0"/>
    <n v="1"/>
    <n v="1"/>
    <n v="1"/>
    <n v="1"/>
    <m/>
    <s v="Determination as to whether prior approval is required for change of use from financial and professional services (Class A2) to residential (Class C3) to provide 1x studio flat at basement level."/>
    <s v="PAG"/>
    <d v="2016-06-14T00:00:00"/>
    <d v="2016-08-04T00:00:00"/>
    <x v="0"/>
    <s v="Nil"/>
    <m/>
    <s v="BF"/>
    <x v="3"/>
    <x v="0"/>
    <x v="9"/>
    <n v="3.0000000260770299E-3"/>
    <m/>
    <x v="0"/>
    <m/>
    <x v="0"/>
    <s v="P"/>
    <m/>
    <m/>
    <n v="0"/>
    <m/>
    <n v="0"/>
    <m/>
    <n v="1"/>
    <n v="0"/>
    <n v="0"/>
    <n v="0"/>
    <n v="0"/>
    <n v="0"/>
    <n v="0"/>
    <n v="1"/>
    <n v="0"/>
    <n v="0"/>
    <n v="0"/>
    <n v="0"/>
    <n v="0"/>
    <n v="0"/>
    <n v="0"/>
    <n v="0"/>
    <n v="0"/>
    <n v="0"/>
    <n v="0"/>
    <n v="0"/>
    <n v="0"/>
    <n v="0"/>
    <n v="0"/>
    <n v="0"/>
    <n v="0"/>
    <n v="0"/>
    <n v="0"/>
    <n v="0"/>
    <s v="West"/>
    <x v="0"/>
    <x v="0"/>
    <x v="1"/>
    <x v="0"/>
    <x v="0"/>
    <x v="0"/>
    <m/>
    <x v="0"/>
    <s v="Y"/>
    <s v="9A"/>
    <m/>
    <n v="0"/>
    <n v="0.25"/>
    <n v="0.25"/>
    <n v="0.25"/>
    <n v="0.25"/>
    <n v="0"/>
    <n v="0"/>
    <n v="0"/>
    <n v="0"/>
    <n v="0"/>
    <n v="0"/>
    <n v="0"/>
    <n v="0"/>
    <n v="0"/>
    <n v="0"/>
    <n v="0"/>
    <n v="0"/>
    <n v="0"/>
    <n v="0"/>
    <n v="0"/>
    <n v="0"/>
    <n v="1"/>
    <n v="1"/>
  </r>
  <r>
    <n v="2798"/>
    <x v="1"/>
    <s v="2017/0280"/>
    <m/>
    <s v="209 Upper Tooting Road"/>
    <m/>
    <n v="527655"/>
    <n v="171773"/>
    <x v="4"/>
    <m/>
    <m/>
    <n v="0"/>
    <n v="1"/>
    <n v="1"/>
    <n v="1"/>
    <n v="1"/>
    <m/>
    <s v="Alterations including erection of a mansard extension to main rear roof and extension over part of two-storey rear addition, installation of 2x rooflights to the front roof slope and formation of roof terrace with obscured surround in connection with conversion of first floor flat into two self contained flats (1 x 2-bedroom and 1 x studio)"/>
    <s v="PF"/>
    <d v="2017-01-24T00:00:00"/>
    <d v="2017-05-02T00:00:00"/>
    <x v="1"/>
    <s v="Nil"/>
    <m/>
    <s v="BF"/>
    <x v="4"/>
    <x v="0"/>
    <x v="0"/>
    <n v="3.0000000260770299E-3"/>
    <m/>
    <x v="0"/>
    <m/>
    <x v="0"/>
    <s v="P"/>
    <m/>
    <m/>
    <n v="0"/>
    <m/>
    <n v="0"/>
    <m/>
    <n v="1"/>
    <n v="0"/>
    <n v="0"/>
    <n v="0"/>
    <n v="0"/>
    <n v="0"/>
    <n v="0"/>
    <n v="1"/>
    <n v="0"/>
    <n v="0"/>
    <n v="0"/>
    <n v="0"/>
    <n v="0"/>
    <n v="0"/>
    <n v="0"/>
    <n v="0"/>
    <n v="0"/>
    <n v="0"/>
    <n v="0"/>
    <n v="0"/>
    <n v="0"/>
    <n v="0"/>
    <n v="0"/>
    <n v="0"/>
    <n v="0"/>
    <n v="0"/>
    <n v="0"/>
    <n v="0"/>
    <s v="East"/>
    <x v="1"/>
    <x v="0"/>
    <x v="1"/>
    <x v="0"/>
    <x v="0"/>
    <x v="0"/>
    <m/>
    <x v="0"/>
    <s v="Y"/>
    <s v="9A"/>
    <m/>
    <n v="0"/>
    <n v="0.25"/>
    <n v="0.25"/>
    <n v="0.25"/>
    <n v="0.25"/>
    <n v="0"/>
    <n v="0"/>
    <n v="0"/>
    <n v="0"/>
    <n v="0"/>
    <n v="0"/>
    <n v="0"/>
    <n v="0"/>
    <n v="0"/>
    <n v="0"/>
    <n v="0"/>
    <n v="0"/>
    <n v="0"/>
    <n v="0"/>
    <n v="0"/>
    <n v="0"/>
    <n v="1"/>
    <n v="1"/>
  </r>
  <r>
    <n v="2978"/>
    <x v="1"/>
    <s v="2017/0927"/>
    <m/>
    <s v="Garden Flat, 127 Trinity Road"/>
    <m/>
    <n v="527727"/>
    <n v="172703"/>
    <x v="11"/>
    <m/>
    <m/>
    <n v="1"/>
    <n v="1"/>
    <n v="0"/>
    <n v="1"/>
    <n v="0"/>
    <m/>
    <s v="Demolition of existing bungalow and erection of a two-storey plus basement 3-bedroom house with associated refuse, recycling and cycle storage."/>
    <s v="PF"/>
    <d v="2017-02-24T00:00:00"/>
    <d v="2017-04-21T00:00:00"/>
    <x v="1"/>
    <s v="Nil"/>
    <m/>
    <s v="BF"/>
    <x v="0"/>
    <x v="0"/>
    <x v="0"/>
    <n v="3.70000004768372E-2"/>
    <m/>
    <x v="0"/>
    <m/>
    <x v="0"/>
    <s v="P"/>
    <m/>
    <m/>
    <n v="0"/>
    <m/>
    <n v="0"/>
    <m/>
    <n v="0"/>
    <n v="-1"/>
    <n v="0"/>
    <n v="1"/>
    <n v="0"/>
    <n v="0"/>
    <n v="0"/>
    <n v="0"/>
    <n v="0"/>
    <n v="0"/>
    <n v="0"/>
    <n v="0"/>
    <n v="0"/>
    <n v="0"/>
    <n v="0"/>
    <n v="-1"/>
    <n v="0"/>
    <n v="1"/>
    <n v="0"/>
    <n v="0"/>
    <n v="0"/>
    <n v="0"/>
    <n v="0"/>
    <n v="0"/>
    <n v="0"/>
    <n v="0"/>
    <n v="0"/>
    <n v="0"/>
    <s v="East"/>
    <x v="0"/>
    <x v="0"/>
    <x v="1"/>
    <x v="0"/>
    <x v="0"/>
    <x v="0"/>
    <m/>
    <x v="0"/>
    <s v="Y"/>
    <n v="4"/>
    <m/>
    <n v="0"/>
    <n v="0"/>
    <n v="0"/>
    <n v="0"/>
    <n v="0"/>
    <n v="0"/>
    <n v="0"/>
    <n v="0"/>
    <n v="0"/>
    <n v="0"/>
    <n v="0"/>
    <n v="0"/>
    <n v="0"/>
    <n v="0"/>
    <n v="0"/>
    <n v="0"/>
    <n v="0"/>
    <n v="0"/>
    <n v="0"/>
    <n v="0"/>
    <n v="0"/>
    <n v="0"/>
    <n v="0"/>
  </r>
  <r>
    <n v="3351"/>
    <x v="1"/>
    <s v="2017/0340"/>
    <m/>
    <s v="Former Caretaker House, Boyce House, Aldrington Road"/>
    <m/>
    <n v="529324"/>
    <n v="171420"/>
    <x v="12"/>
    <m/>
    <m/>
    <n v="0"/>
    <n v="1"/>
    <n v="1"/>
    <n v="1"/>
    <n v="1"/>
    <m/>
    <s v="Demolition of existing structure, and the erection of 1 x 2-bedroom bungalow with private parking and garden, including works to surrounding trees."/>
    <s v="PF"/>
    <d v="2017-05-09T00:00:00"/>
    <d v="2017-07-04T00:00:00"/>
    <x v="1"/>
    <s v="Nil"/>
    <m/>
    <s v="BF"/>
    <x v="0"/>
    <x v="0"/>
    <x v="0"/>
    <n v="4.9999998882412902E-3"/>
    <m/>
    <x v="0"/>
    <m/>
    <x v="2"/>
    <s v="C"/>
    <m/>
    <m/>
    <n v="0"/>
    <m/>
    <n v="0"/>
    <m/>
    <n v="0"/>
    <n v="0"/>
    <n v="1"/>
    <n v="0"/>
    <n v="0"/>
    <n v="0"/>
    <n v="0"/>
    <n v="0"/>
    <n v="0"/>
    <n v="0"/>
    <n v="0"/>
    <n v="0"/>
    <n v="0"/>
    <n v="0"/>
    <n v="0"/>
    <n v="0"/>
    <n v="1"/>
    <n v="0"/>
    <n v="0"/>
    <n v="0"/>
    <n v="0"/>
    <n v="0"/>
    <n v="0"/>
    <n v="0"/>
    <n v="0"/>
    <n v="0"/>
    <n v="0"/>
    <n v="0"/>
    <s v="East"/>
    <x v="0"/>
    <x v="0"/>
    <x v="1"/>
    <x v="0"/>
    <x v="0"/>
    <x v="0"/>
    <m/>
    <x v="0"/>
    <s v="Y"/>
    <n v="4"/>
    <m/>
    <n v="0"/>
    <n v="0"/>
    <n v="0.25"/>
    <n v="0.25"/>
    <n v="0.25"/>
    <n v="0.25"/>
    <n v="0"/>
    <n v="0"/>
    <n v="0"/>
    <n v="0"/>
    <n v="0"/>
    <n v="0"/>
    <n v="0"/>
    <n v="0"/>
    <n v="0"/>
    <n v="0"/>
    <n v="0"/>
    <n v="0"/>
    <n v="0"/>
    <n v="0"/>
    <n v="0"/>
    <n v="1"/>
    <n v="1"/>
  </r>
  <r>
    <n v="3510"/>
    <x v="1"/>
    <s v="2016/1069"/>
    <s v="Riverlight"/>
    <s v="Tideway Industrial Estate, 87 Kirtling Street"/>
    <m/>
    <n v="529424"/>
    <n v="177541"/>
    <x v="6"/>
    <m/>
    <m/>
    <n v="2"/>
    <n v="1"/>
    <n v="-1"/>
    <n v="1"/>
    <n v="-1"/>
    <m/>
    <s v="Conversion of two 3-bedroom units (flat nos. 233 and 240) into one 5-bedroom unit on the 11th floor of 4 Riverlight Quay. No external alterations are proposed."/>
    <s v="PF"/>
    <d v="2016-03-14T00:00:00"/>
    <d v="2016-03-14T00:00:00"/>
    <x v="0"/>
    <s v="Nil"/>
    <m/>
    <s v="BF"/>
    <x v="1"/>
    <x v="0"/>
    <x v="10"/>
    <n v="2.60000005364418E-2"/>
    <m/>
    <x v="0"/>
    <m/>
    <x v="0"/>
    <s v="P"/>
    <s v="2.1.9"/>
    <m/>
    <n v="0"/>
    <m/>
    <n v="0"/>
    <m/>
    <n v="0"/>
    <n v="0"/>
    <n v="0"/>
    <n v="-2"/>
    <n v="0"/>
    <n v="1"/>
    <n v="0"/>
    <n v="0"/>
    <n v="0"/>
    <n v="0"/>
    <n v="-2"/>
    <n v="0"/>
    <n v="1"/>
    <n v="0"/>
    <n v="0"/>
    <n v="0"/>
    <n v="0"/>
    <n v="0"/>
    <n v="0"/>
    <n v="0"/>
    <n v="0"/>
    <n v="0"/>
    <n v="0"/>
    <n v="0"/>
    <n v="0"/>
    <n v="0"/>
    <n v="0"/>
    <n v="0"/>
    <s v="Strategic Planning/Nine Elms"/>
    <x v="0"/>
    <x v="1"/>
    <x v="1"/>
    <x v="0"/>
    <x v="0"/>
    <x v="0"/>
    <m/>
    <x v="0"/>
    <s v="Y"/>
    <s v="9A"/>
    <m/>
    <n v="0"/>
    <n v="-0.25"/>
    <n v="-0.25"/>
    <n v="-0.25"/>
    <n v="-0.25"/>
    <n v="0"/>
    <n v="0"/>
    <n v="0"/>
    <n v="0"/>
    <n v="0"/>
    <n v="0"/>
    <n v="0"/>
    <n v="0"/>
    <n v="0"/>
    <n v="0"/>
    <n v="0"/>
    <n v="0"/>
    <n v="0"/>
    <n v="0"/>
    <n v="0"/>
    <n v="0"/>
    <n v="-1"/>
    <n v="-1"/>
  </r>
  <r>
    <n v="3516"/>
    <x v="1"/>
    <s v="2017/1171"/>
    <s v="Vista, Chelsea Bridge"/>
    <s v="Marco Polo House, 346 Queenstown Road"/>
    <s v="Block L"/>
    <n v="528672"/>
    <n v="177315"/>
    <x v="6"/>
    <m/>
    <m/>
    <n v="2"/>
    <n v="1"/>
    <n v="-1"/>
    <n v="1"/>
    <n v="-1"/>
    <s v="Y"/>
    <s v="Non-material amendment to planning permission 2011/2089 dated 30th March 2012 (demolition of existing building. Erection of two new buildings of up to 17 storeys and 15 storeys high to provide 456 residential units and 1,257 sq.m. of commercial floor area comprising of office (B1&amp;A2), retail (A1) and cafe/restaurant (A3) uses, together with new pedestrian link and vehicular access, basement car and cycle parking, landscaping, excavation works and servicing) to allow the amalgamation of units 5.9.1 and 5.9.2 located on the ninth floor of Block L."/>
    <s v="S96A"/>
    <d v="2017-02-27T00:00:00"/>
    <d v="2017-03-31T00:00:00"/>
    <x v="0"/>
    <s v="Nil"/>
    <m/>
    <s v="BF"/>
    <x v="0"/>
    <x v="1"/>
    <x v="1"/>
    <n v="2.0000000949949E-3"/>
    <m/>
    <x v="0"/>
    <m/>
    <x v="0"/>
    <s v="P"/>
    <s v="2.1.5"/>
    <m/>
    <n v="0"/>
    <m/>
    <n v="0"/>
    <m/>
    <n v="0"/>
    <n v="0"/>
    <n v="-2"/>
    <n v="0"/>
    <n v="1"/>
    <n v="0"/>
    <n v="0"/>
    <n v="0"/>
    <n v="0"/>
    <n v="-2"/>
    <n v="0"/>
    <n v="1"/>
    <n v="0"/>
    <n v="0"/>
    <n v="0"/>
    <n v="0"/>
    <n v="0"/>
    <n v="0"/>
    <n v="0"/>
    <n v="0"/>
    <n v="0"/>
    <n v="0"/>
    <n v="0"/>
    <n v="0"/>
    <n v="0"/>
    <n v="0"/>
    <n v="0"/>
    <n v="0"/>
    <s v="Strategic Planning/Nine Elms"/>
    <x v="0"/>
    <x v="1"/>
    <x v="1"/>
    <x v="0"/>
    <x v="0"/>
    <x v="0"/>
    <m/>
    <x v="0"/>
    <s v="Y"/>
    <s v="5B"/>
    <m/>
    <n v="0"/>
    <n v="0"/>
    <n v="0"/>
    <n v="0"/>
    <n v="-0.33333333333333331"/>
    <n v="-0.33333333333333331"/>
    <n v="-0.33333333333333331"/>
    <n v="0"/>
    <n v="0"/>
    <n v="0"/>
    <n v="0"/>
    <n v="0"/>
    <n v="0"/>
    <n v="0"/>
    <n v="0"/>
    <n v="0"/>
    <n v="0"/>
    <n v="0"/>
    <n v="0"/>
    <n v="0"/>
    <n v="0"/>
    <n v="-0.66666666666666663"/>
    <n v="-1"/>
  </r>
  <r>
    <n v="3521"/>
    <x v="1"/>
    <s v="2015/6393"/>
    <m/>
    <s v="Peabody Estate, St Johns Hill"/>
    <s v="PHASE 2 - PRIVATE"/>
    <n v="527156"/>
    <n v="175243"/>
    <x v="14"/>
    <m/>
    <m/>
    <n v="0"/>
    <n v="43"/>
    <n v="43"/>
    <n v="151"/>
    <n v="151"/>
    <s v="Y"/>
    <s v="Variation of condition 15 (development in accordance with the approved drawings) of planning permission ref. 2012/1258 dated 18/10/12 (which approved the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he proposed amendments to the approved scheme include: _x000d__x000a_- Plot 2 (near the centre of the site) - alterations to the internal layout and first floor fenestration detailing of the community use. Replacement of 2 x 4-bed maisonettes with 4 x 2-bed flats at ground and first floors (increasing the total units within this building from 31 to 33)._x000d__x000a_- Plot 9 (fronting Comyn Road and Eckstein Road) - addition of 8 units (increasing the total units within this building from 63 to 71 units), alterations to the mix of units proposed (including an increase of 21 x 1-bed units, 3 x 2-bed units, 4 x 4-bed units and a decrease of 20 x 3-bed units from the approved scheme), and to the tenure by including 8 intermediate tenure units. Relocation of the exterior deck to the courtyard/ interior elevation with associated alterations to the elevations. Extensions to each end of the top floor. Creation of recessed balconies and amendments to materials on the Comyn Road/Eckstein Road frontages."/>
    <s v="S73"/>
    <d v="2015-12-07T00:00:00"/>
    <d v="2016-07-07T00:00:00"/>
    <x v="0"/>
    <s v="Nil"/>
    <m/>
    <s v="BF"/>
    <x v="0"/>
    <x v="1"/>
    <x v="1"/>
    <n v="0.168999999761581"/>
    <m/>
    <x v="0"/>
    <m/>
    <x v="0"/>
    <s v="P"/>
    <s v="4.1.5"/>
    <m/>
    <n v="43"/>
    <m/>
    <n v="0"/>
    <m/>
    <n v="0"/>
    <n v="6"/>
    <n v="28"/>
    <n v="9"/>
    <n v="0"/>
    <n v="0"/>
    <n v="0"/>
    <n v="0"/>
    <n v="6"/>
    <n v="28"/>
    <n v="9"/>
    <n v="0"/>
    <n v="0"/>
    <n v="0"/>
    <n v="0"/>
    <n v="0"/>
    <n v="0"/>
    <n v="0"/>
    <n v="0"/>
    <n v="0"/>
    <n v="0"/>
    <n v="0"/>
    <n v="0"/>
    <n v="0"/>
    <n v="0"/>
    <n v="0"/>
    <n v="0"/>
    <n v="0"/>
    <s v="East"/>
    <x v="0"/>
    <x v="0"/>
    <x v="1"/>
    <x v="1"/>
    <x v="0"/>
    <x v="0"/>
    <m/>
    <x v="0"/>
    <s v="Y"/>
    <s v="5A"/>
    <m/>
    <n v="0"/>
    <n v="0"/>
    <n v="14.333333333333334"/>
    <n v="14.333333333333334"/>
    <n v="14.333333333333334"/>
    <n v="0"/>
    <n v="0"/>
    <n v="0"/>
    <n v="0"/>
    <n v="0"/>
    <n v="0"/>
    <n v="0"/>
    <n v="0"/>
    <n v="0"/>
    <n v="0"/>
    <n v="0"/>
    <n v="0"/>
    <n v="0"/>
    <n v="0"/>
    <n v="0"/>
    <n v="0"/>
    <n v="43"/>
    <n v="43"/>
  </r>
  <r>
    <n v="3521"/>
    <x v="1"/>
    <s v="2015/6393"/>
    <m/>
    <s v="Peabody Estate, St Johns Hill"/>
    <s v="PHASE 2 - SHARED OWNERSHIP (intermediate)"/>
    <n v="527156"/>
    <n v="175243"/>
    <x v="14"/>
    <m/>
    <m/>
    <n v="0"/>
    <n v="8"/>
    <n v="8"/>
    <n v="151"/>
    <n v="151"/>
    <s v="Y"/>
    <s v="Variation of condition 15 (development in accordance with the approved drawings) of planning permission ref. 2012/1258 dated 18/10/12 (which approved the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he proposed amendments to the approved scheme include: _x000d__x000a_- Plot 2 (near the centre of the site) - alterations to the internal layout and first floor fenestration detailing of the community use. Replacement of 2 x 4-bed maisonettes with 4 x 2-bed flats at ground and first floors (increasing the total units within this building from 31 to 33)._x000d__x000a_- Plot 9 (fronting Comyn Road and Eckstein Road) - addition of 8 units (increasing the total units within this building from 63 to 71 units), alterations to the mix of units proposed (including an increase of 21 x 1-bed units, 3 x 2-bed units, 4 x 4-bed units and a decrease of 20 x 3-bed units from the approved scheme), and to the tenure by including 8 intermediate tenure units. Relocation of the exterior deck to the courtyard/ interior elevation with associated alterations to the elevations. Extensions to each end of the top floor. Creation of recessed balconies and amendments to materials on the Comyn Road/Eckstein Road frontages."/>
    <s v="S73"/>
    <d v="2015-12-07T00:00:00"/>
    <d v="2016-07-07T00:00:00"/>
    <x v="0"/>
    <s v="Nil"/>
    <m/>
    <s v="BF"/>
    <x v="0"/>
    <x v="1"/>
    <x v="1"/>
    <n v="3.5999998450279201E-2"/>
    <m/>
    <x v="0"/>
    <m/>
    <x v="1"/>
    <s v="HASO"/>
    <s v="4.1.5"/>
    <m/>
    <n v="8"/>
    <m/>
    <n v="0"/>
    <m/>
    <n v="0"/>
    <n v="6"/>
    <n v="2"/>
    <n v="0"/>
    <n v="0"/>
    <n v="0"/>
    <n v="0"/>
    <n v="0"/>
    <n v="6"/>
    <n v="2"/>
    <n v="0"/>
    <n v="0"/>
    <n v="0"/>
    <n v="0"/>
    <n v="0"/>
    <n v="0"/>
    <n v="0"/>
    <n v="0"/>
    <n v="0"/>
    <n v="0"/>
    <n v="0"/>
    <n v="0"/>
    <n v="0"/>
    <n v="0"/>
    <n v="0"/>
    <n v="0"/>
    <n v="0"/>
    <n v="0"/>
    <s v="East"/>
    <x v="0"/>
    <x v="0"/>
    <x v="1"/>
    <x v="1"/>
    <x v="0"/>
    <x v="0"/>
    <m/>
    <x v="0"/>
    <s v="Y"/>
    <s v="5A"/>
    <m/>
    <n v="0"/>
    <n v="0"/>
    <n v="2.6666666666666665"/>
    <n v="2.6666666666666665"/>
    <n v="2.6666666666666665"/>
    <n v="0"/>
    <n v="0"/>
    <n v="0"/>
    <n v="0"/>
    <n v="0"/>
    <n v="0"/>
    <n v="0"/>
    <n v="0"/>
    <n v="0"/>
    <n v="0"/>
    <n v="0"/>
    <n v="0"/>
    <n v="0"/>
    <n v="0"/>
    <n v="0"/>
    <n v="0"/>
    <n v="8"/>
    <n v="8"/>
  </r>
  <r>
    <n v="3521"/>
    <x v="1"/>
    <s v="2015/6393"/>
    <m/>
    <s v="Peabody Estate, St Johns Hill"/>
    <s v="PHASE 2 - SOCIAL RENTED"/>
    <n v="527156"/>
    <n v="175243"/>
    <x v="14"/>
    <m/>
    <m/>
    <n v="0"/>
    <n v="100"/>
    <n v="100"/>
    <n v="151"/>
    <n v="151"/>
    <s v="Y"/>
    <s v="Variation of condition 15 (development in accordance with the approved drawings) of planning permission ref. 2012/1258 dated 18/10/12 (which approved the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he proposed amendments to the approved scheme include: _x000d__x000a_- Plot 2 (near the centre of the site) - alterations to the internal layout and first floor fenestration detailing of the community use. Replacement of 2 x 4-bed maisonettes with 4 x 2-bed flats at ground and first floors (increasing the total units within this building from 31 to 33)._x000d__x000a_- Plot 9 (fronting Comyn Road and Eckstein Road) - addition of 8 units (increasing the total units within this building from 63 to 71 units), alterations to the mix of units proposed (including an increase of 21 x 1-bed units, 3 x 2-bed units, 4 x 4-bed units and a decrease of 20 x 3-bed units from the approved scheme), and to the tenure by including 8 intermediate tenure units. Relocation of the exterior deck to the courtyard/ interior elevation with associated alterations to the elevations. Extensions to each end of the top floor. Creation of recessed balconies and amendments to materials on the Comyn Road/Eckstein Road frontages."/>
    <s v="S73"/>
    <d v="2015-12-07T00:00:00"/>
    <d v="2016-07-07T00:00:00"/>
    <x v="0"/>
    <s v="Nil"/>
    <m/>
    <s v="BF"/>
    <x v="0"/>
    <x v="1"/>
    <x v="1"/>
    <n v="0.30500000715255698"/>
    <m/>
    <x v="0"/>
    <m/>
    <x v="2"/>
    <s v="HASR"/>
    <s v="4.1.5"/>
    <m/>
    <n v="100"/>
    <m/>
    <n v="0"/>
    <m/>
    <n v="0"/>
    <n v="30"/>
    <n v="31"/>
    <n v="29"/>
    <n v="10"/>
    <n v="0"/>
    <n v="0"/>
    <n v="0"/>
    <n v="30"/>
    <n v="31"/>
    <n v="29"/>
    <n v="10"/>
    <n v="0"/>
    <n v="0"/>
    <n v="0"/>
    <n v="0"/>
    <n v="0"/>
    <n v="0"/>
    <n v="0"/>
    <n v="0"/>
    <n v="0"/>
    <n v="0"/>
    <n v="0"/>
    <n v="0"/>
    <n v="0"/>
    <n v="0"/>
    <n v="0"/>
    <n v="0"/>
    <s v="East"/>
    <x v="0"/>
    <x v="0"/>
    <x v="1"/>
    <x v="1"/>
    <x v="0"/>
    <x v="0"/>
    <m/>
    <x v="0"/>
    <s v="Y"/>
    <s v="5A"/>
    <m/>
    <n v="0"/>
    <n v="0"/>
    <n v="33.333333333333336"/>
    <n v="33.333333333333336"/>
    <n v="33.333333333333336"/>
    <n v="0"/>
    <n v="0"/>
    <n v="0"/>
    <n v="0"/>
    <n v="0"/>
    <n v="0"/>
    <n v="0"/>
    <n v="0"/>
    <n v="0"/>
    <n v="0"/>
    <n v="0"/>
    <n v="0"/>
    <n v="0"/>
    <n v="0"/>
    <n v="0"/>
    <n v="0"/>
    <n v="100"/>
    <n v="100"/>
  </r>
  <r>
    <n v="3652"/>
    <x v="1"/>
    <s v="2016/0654"/>
    <m/>
    <s v="9-15 Elcho Street"/>
    <m/>
    <n v="527224"/>
    <n v="177200"/>
    <x v="1"/>
    <m/>
    <m/>
    <n v="0"/>
    <n v="4"/>
    <n v="4"/>
    <n v="4"/>
    <n v="4"/>
    <m/>
    <s v="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
    <s v="PF"/>
    <d v="2016-02-12T00:00:00"/>
    <d v="2016-05-27T00:00:00"/>
    <x v="0"/>
    <s v="Nil"/>
    <m/>
    <s v="BF"/>
    <x v="0"/>
    <x v="0"/>
    <x v="0"/>
    <n v="4.1999999433755902E-2"/>
    <m/>
    <x v="0"/>
    <m/>
    <x v="0"/>
    <s v="P"/>
    <m/>
    <m/>
    <n v="0"/>
    <m/>
    <n v="0"/>
    <m/>
    <n v="0"/>
    <n v="0"/>
    <n v="4"/>
    <n v="0"/>
    <n v="0"/>
    <n v="0"/>
    <n v="0"/>
    <n v="0"/>
    <n v="0"/>
    <n v="4"/>
    <n v="0"/>
    <n v="0"/>
    <n v="0"/>
    <n v="0"/>
    <n v="0"/>
    <n v="0"/>
    <n v="0"/>
    <n v="0"/>
    <n v="0"/>
    <n v="0"/>
    <n v="0"/>
    <n v="0"/>
    <n v="0"/>
    <n v="0"/>
    <n v="0"/>
    <n v="0"/>
    <n v="0"/>
    <n v="0"/>
    <s v="East"/>
    <x v="0"/>
    <x v="0"/>
    <x v="1"/>
    <x v="0"/>
    <x v="0"/>
    <x v="0"/>
    <s v="Y"/>
    <x v="0"/>
    <s v="Y"/>
    <n v="4"/>
    <m/>
    <n v="0"/>
    <n v="0"/>
    <n v="1"/>
    <n v="1"/>
    <n v="1"/>
    <n v="1"/>
    <n v="0"/>
    <n v="0"/>
    <n v="0"/>
    <n v="0"/>
    <n v="0"/>
    <n v="0"/>
    <n v="0"/>
    <n v="0"/>
    <n v="0"/>
    <n v="0"/>
    <n v="0"/>
    <n v="0"/>
    <n v="0"/>
    <n v="0"/>
    <n v="0"/>
    <n v="4"/>
    <n v="4"/>
  </r>
  <r>
    <n v="3660"/>
    <x v="1"/>
    <s v="2017/3405"/>
    <m/>
    <s v="Workshop rear of 7-9, Aldis Street"/>
    <m/>
    <n v="527153"/>
    <n v="171082"/>
    <x v="4"/>
    <m/>
    <m/>
    <n v="0"/>
    <n v="2"/>
    <n v="2"/>
    <n v="2"/>
    <n v="2"/>
    <m/>
    <s v="Demolition of existing and erection of 2 x 3-bedroom houses (single-storey with basements) with associated cycle and refuse storage, car parking and landscaping."/>
    <s v="PF"/>
    <d v="2017-06-12T00:00:00"/>
    <d v="2017-08-07T00:00:00"/>
    <x v="1"/>
    <s v="Nil"/>
    <m/>
    <s v="BF"/>
    <x v="0"/>
    <x v="0"/>
    <x v="0"/>
    <n v="2.8000000864267301E-2"/>
    <m/>
    <x v="0"/>
    <m/>
    <x v="0"/>
    <s v="P"/>
    <m/>
    <m/>
    <n v="0"/>
    <m/>
    <n v="0"/>
    <m/>
    <n v="0"/>
    <n v="0"/>
    <n v="0"/>
    <n v="2"/>
    <n v="0"/>
    <n v="0"/>
    <n v="0"/>
    <n v="0"/>
    <n v="0"/>
    <n v="0"/>
    <n v="0"/>
    <n v="0"/>
    <n v="0"/>
    <n v="0"/>
    <n v="0"/>
    <n v="0"/>
    <n v="0"/>
    <n v="2"/>
    <n v="0"/>
    <n v="0"/>
    <n v="0"/>
    <n v="0"/>
    <n v="0"/>
    <n v="0"/>
    <n v="0"/>
    <n v="0"/>
    <n v="0"/>
    <n v="0"/>
    <s v="East"/>
    <x v="0"/>
    <x v="0"/>
    <x v="1"/>
    <x v="0"/>
    <x v="0"/>
    <x v="0"/>
    <m/>
    <x v="0"/>
    <s v="Y"/>
    <n v="4"/>
    <m/>
    <n v="0"/>
    <n v="0"/>
    <n v="0.5"/>
    <n v="0.5"/>
    <n v="0.5"/>
    <n v="0.5"/>
    <n v="0"/>
    <n v="0"/>
    <n v="0"/>
    <n v="0"/>
    <n v="0"/>
    <n v="0"/>
    <n v="0"/>
    <n v="0"/>
    <n v="0"/>
    <n v="0"/>
    <n v="0"/>
    <n v="0"/>
    <n v="0"/>
    <n v="0"/>
    <n v="0"/>
    <n v="2"/>
    <n v="2"/>
  </r>
  <r>
    <n v="3716"/>
    <x v="1"/>
    <s v="2016/6670"/>
    <m/>
    <s v="211 Garratt Lane"/>
    <m/>
    <n v="525905"/>
    <n v="173871"/>
    <x v="18"/>
    <m/>
    <m/>
    <n v="1"/>
    <n v="2"/>
    <n v="1"/>
    <n v="2"/>
    <n v="1"/>
    <m/>
    <s v="Alterations including erection of mansard roof extension to main rear roof and extension above part of two-storey back addition; formation of roof terrace at third floor level above proposed extension above back addition with 1.5m high screen surround. Conversion of property to 1 x 2 bedroom flat and 1 x 1 bedroom flat."/>
    <s v="PF"/>
    <d v="2016-11-16T00:00:00"/>
    <d v="2017-01-10T00:00:00"/>
    <x v="0"/>
    <s v="Nil"/>
    <m/>
    <s v="BF"/>
    <x v="1"/>
    <x v="0"/>
    <x v="10"/>
    <n v="8.0000003799796104E-3"/>
    <m/>
    <x v="0"/>
    <m/>
    <x v="0"/>
    <s v="P"/>
    <m/>
    <m/>
    <n v="0"/>
    <m/>
    <n v="0"/>
    <m/>
    <n v="0"/>
    <n v="1"/>
    <n v="1"/>
    <n v="-1"/>
    <n v="0"/>
    <n v="0"/>
    <n v="0"/>
    <n v="0"/>
    <n v="1"/>
    <n v="1"/>
    <n v="-1"/>
    <n v="0"/>
    <n v="0"/>
    <n v="0"/>
    <n v="0"/>
    <n v="0"/>
    <n v="0"/>
    <n v="0"/>
    <n v="0"/>
    <n v="0"/>
    <n v="0"/>
    <n v="0"/>
    <n v="0"/>
    <n v="0"/>
    <n v="0"/>
    <n v="0"/>
    <n v="0"/>
    <n v="0"/>
    <s v="West"/>
    <x v="0"/>
    <x v="0"/>
    <x v="1"/>
    <x v="0"/>
    <x v="0"/>
    <x v="0"/>
    <m/>
    <x v="0"/>
    <s v="Y"/>
    <s v="9A"/>
    <m/>
    <n v="0"/>
    <n v="0.25"/>
    <n v="0.25"/>
    <n v="0.25"/>
    <n v="0.25"/>
    <n v="0"/>
    <n v="0"/>
    <n v="0"/>
    <n v="0"/>
    <n v="0"/>
    <n v="0"/>
    <n v="0"/>
    <n v="0"/>
    <n v="0"/>
    <n v="0"/>
    <n v="0"/>
    <n v="0"/>
    <n v="0"/>
    <n v="0"/>
    <n v="0"/>
    <n v="0"/>
    <n v="1"/>
    <n v="1"/>
  </r>
  <r>
    <n v="3726"/>
    <x v="1"/>
    <s v="2017/3453"/>
    <m/>
    <s v="51 Lydden Grove"/>
    <m/>
    <n v="525701"/>
    <n v="173658"/>
    <x v="18"/>
    <m/>
    <m/>
    <n v="0"/>
    <n v="1"/>
    <n v="1"/>
    <n v="1"/>
    <n v="1"/>
    <m/>
    <s v="Erection of a two-storey detached house with associated landscaping and parking."/>
    <s v="PF"/>
    <d v="2017-06-30T00:00:00"/>
    <d v="2018-02-27T00:00:00"/>
    <x v="1"/>
    <s v="Nil"/>
    <m/>
    <s v="BF"/>
    <x v="0"/>
    <x v="0"/>
    <x v="0"/>
    <n v="1.7000000923872001E-2"/>
    <m/>
    <x v="0"/>
    <m/>
    <x v="0"/>
    <s v="P"/>
    <m/>
    <m/>
    <n v="0"/>
    <m/>
    <n v="0"/>
    <m/>
    <n v="0"/>
    <n v="0"/>
    <n v="0"/>
    <n v="1"/>
    <n v="0"/>
    <n v="0"/>
    <n v="0"/>
    <n v="0"/>
    <n v="0"/>
    <n v="0"/>
    <n v="0"/>
    <n v="0"/>
    <n v="0"/>
    <n v="0"/>
    <n v="0"/>
    <n v="0"/>
    <n v="0"/>
    <n v="1"/>
    <n v="0"/>
    <n v="0"/>
    <n v="0"/>
    <n v="0"/>
    <n v="0"/>
    <n v="0"/>
    <n v="0"/>
    <n v="0"/>
    <n v="0"/>
    <n v="0"/>
    <s v="West"/>
    <x v="0"/>
    <x v="0"/>
    <x v="1"/>
    <x v="0"/>
    <x v="0"/>
    <x v="0"/>
    <m/>
    <x v="1"/>
    <s v="Y"/>
    <n v="4"/>
    <m/>
    <n v="0"/>
    <n v="0"/>
    <n v="0.25"/>
    <n v="0.25"/>
    <n v="0.25"/>
    <n v="0.25"/>
    <n v="0"/>
    <n v="0"/>
    <n v="0"/>
    <n v="0"/>
    <n v="0"/>
    <n v="0"/>
    <n v="0"/>
    <n v="0"/>
    <n v="0"/>
    <n v="0"/>
    <n v="0"/>
    <n v="0"/>
    <n v="0"/>
    <n v="0"/>
    <n v="0"/>
    <n v="1"/>
    <n v="1"/>
  </r>
  <r>
    <n v="3792"/>
    <x v="1"/>
    <s v="2017/2585"/>
    <m/>
    <s v="30 Trinity Road"/>
    <m/>
    <n v="527949"/>
    <n v="172431"/>
    <x v="11"/>
    <m/>
    <m/>
    <n v="2"/>
    <n v="2"/>
    <n v="0"/>
    <n v="2"/>
    <n v="0"/>
    <m/>
    <s v="Erection of front and rear roof extension to provide an addtional floor accommodation and extension above part of two-storey back addition and conversion of upper floors from 1 x 2 bedroom flats into 2 x 2-bedroom flats."/>
    <s v="PF"/>
    <d v="2017-05-23T00:00:00"/>
    <d v="2017-07-18T00:00:00"/>
    <x v="1"/>
    <s v="Nil"/>
    <m/>
    <s v="BF"/>
    <x v="4"/>
    <x v="0"/>
    <x v="10"/>
    <n v="6.0000000521540598E-3"/>
    <m/>
    <x v="0"/>
    <m/>
    <x v="0"/>
    <s v="P"/>
    <m/>
    <m/>
    <n v="0"/>
    <m/>
    <n v="0"/>
    <m/>
    <n v="-1"/>
    <n v="-1"/>
    <n v="2"/>
    <n v="0"/>
    <n v="0"/>
    <n v="0"/>
    <n v="0"/>
    <n v="-1"/>
    <n v="-1"/>
    <n v="2"/>
    <n v="0"/>
    <n v="0"/>
    <n v="0"/>
    <n v="0"/>
    <n v="0"/>
    <n v="0"/>
    <n v="0"/>
    <n v="0"/>
    <n v="0"/>
    <n v="0"/>
    <n v="0"/>
    <n v="0"/>
    <n v="0"/>
    <n v="0"/>
    <n v="0"/>
    <n v="0"/>
    <n v="0"/>
    <n v="0"/>
    <s v="East"/>
    <x v="0"/>
    <x v="0"/>
    <x v="1"/>
    <x v="0"/>
    <x v="0"/>
    <x v="0"/>
    <m/>
    <x v="0"/>
    <s v="Y"/>
    <s v="9A"/>
    <m/>
    <n v="0"/>
    <n v="0"/>
    <n v="0"/>
    <n v="0"/>
    <n v="0"/>
    <n v="0"/>
    <n v="0"/>
    <n v="0"/>
    <n v="0"/>
    <n v="0"/>
    <n v="0"/>
    <n v="0"/>
    <n v="0"/>
    <n v="0"/>
    <n v="0"/>
    <n v="0"/>
    <n v="0"/>
    <n v="0"/>
    <n v="0"/>
    <n v="0"/>
    <n v="0"/>
    <n v="0"/>
    <n v="0"/>
  </r>
  <r>
    <n v="3860"/>
    <x v="1"/>
    <s v="2017/3254"/>
    <m/>
    <s v="Unit 4 Triangle House, 2 Broomhill Road"/>
    <m/>
    <n v="525273"/>
    <n v="174622"/>
    <x v="5"/>
    <m/>
    <m/>
    <n v="0"/>
    <n v="3"/>
    <n v="3"/>
    <n v="3"/>
    <n v="3"/>
    <m/>
    <s v="Determination as to whether prior approval is required for change of use of office at ground, first and second floor floor levels from (Class B1a) to residential (Class C3) to provide 1 x 2-bedroom flat and 2 x 1-bedroom flats."/>
    <s v="PANR"/>
    <d v="2017-06-14T00:00:00"/>
    <d v="2017-08-01T00:00:00"/>
    <x v="1"/>
    <s v="Nil"/>
    <m/>
    <s v="BF"/>
    <x v="3"/>
    <x v="0"/>
    <x v="9"/>
    <n v="4.6000000089407002E-2"/>
    <m/>
    <x v="0"/>
    <m/>
    <x v="0"/>
    <s v="P"/>
    <m/>
    <m/>
    <n v="0"/>
    <m/>
    <n v="0"/>
    <m/>
    <n v="0"/>
    <n v="2"/>
    <n v="1"/>
    <n v="0"/>
    <n v="0"/>
    <n v="0"/>
    <n v="0"/>
    <n v="0"/>
    <n v="2"/>
    <n v="1"/>
    <n v="0"/>
    <n v="0"/>
    <n v="0"/>
    <n v="0"/>
    <n v="0"/>
    <n v="0"/>
    <n v="0"/>
    <n v="0"/>
    <n v="0"/>
    <n v="0"/>
    <n v="0"/>
    <n v="0"/>
    <n v="0"/>
    <n v="0"/>
    <n v="0"/>
    <n v="0"/>
    <n v="0"/>
    <n v="0"/>
    <s v="West"/>
    <x v="0"/>
    <x v="0"/>
    <x v="1"/>
    <x v="0"/>
    <x v="0"/>
    <x v="0"/>
    <m/>
    <x v="0"/>
    <s v="Y"/>
    <s v="9A"/>
    <m/>
    <n v="0"/>
    <n v="0.75"/>
    <n v="0.75"/>
    <n v="0.75"/>
    <n v="0.75"/>
    <n v="0"/>
    <n v="0"/>
    <n v="0"/>
    <n v="0"/>
    <n v="0"/>
    <n v="0"/>
    <n v="0"/>
    <n v="0"/>
    <n v="0"/>
    <n v="0"/>
    <n v="0"/>
    <n v="0"/>
    <n v="0"/>
    <n v="0"/>
    <n v="0"/>
    <n v="0"/>
    <n v="3"/>
    <n v="3"/>
  </r>
  <r>
    <n v="3938"/>
    <x v="1"/>
    <s v="2016/3778"/>
    <s v="Sleaford Street Industrial Estate &amp; Dairy Crest Distribution Depot"/>
    <s v="BPS Phase 4a, Sleaford Street"/>
    <s v="Phase 4A (A1.1, A1.2 and A1.3)"/>
    <n v="529318"/>
    <n v="177190"/>
    <x v="6"/>
    <m/>
    <m/>
    <n v="0"/>
    <n v="82"/>
    <n v="82"/>
    <n v="386"/>
    <n v="386"/>
    <s v="Y"/>
    <s v="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
    <s v="PFLA"/>
    <d v="2016-06-30T00:00:00"/>
    <d v="2016-11-21T00:00:00"/>
    <x v="0"/>
    <s v="Nil"/>
    <m/>
    <s v="BF"/>
    <x v="0"/>
    <x v="1"/>
    <x v="1"/>
    <n v="0.309"/>
    <m/>
    <x v="0"/>
    <m/>
    <x v="1"/>
    <s v="HAIR"/>
    <s v="2.1.14"/>
    <m/>
    <n v="168"/>
    <m/>
    <n v="17"/>
    <m/>
    <n v="0"/>
    <n v="62"/>
    <n v="44"/>
    <n v="30"/>
    <n v="32"/>
    <n v="0"/>
    <n v="0"/>
    <n v="0"/>
    <n v="62"/>
    <n v="44"/>
    <n v="30"/>
    <n v="32"/>
    <n v="0"/>
    <n v="0"/>
    <n v="0"/>
    <n v="0"/>
    <n v="0"/>
    <n v="0"/>
    <n v="0"/>
    <n v="0"/>
    <n v="0"/>
    <n v="0"/>
    <n v="0"/>
    <n v="0"/>
    <n v="0"/>
    <n v="0"/>
    <n v="0"/>
    <n v="0"/>
    <s v="Strategic Planning/Nine Elms"/>
    <x v="0"/>
    <x v="1"/>
    <x v="1"/>
    <x v="0"/>
    <x v="0"/>
    <x v="0"/>
    <m/>
    <x v="0"/>
    <s v="Y"/>
    <n v="12"/>
    <m/>
    <n v="0"/>
    <n v="0"/>
    <n v="82"/>
    <n v="0"/>
    <n v="0"/>
    <n v="0"/>
    <n v="0"/>
    <n v="0"/>
    <n v="0"/>
    <n v="0"/>
    <n v="0"/>
    <n v="0"/>
    <n v="0"/>
    <n v="0"/>
    <n v="0"/>
    <n v="0"/>
    <n v="0"/>
    <n v="0"/>
    <n v="0"/>
    <n v="0"/>
    <n v="0"/>
    <n v="82"/>
    <n v="82"/>
  </r>
  <r>
    <n v="3938"/>
    <x v="1"/>
    <s v="2016/3778"/>
    <s v="Sleaford Street Industrial Estate &amp; Dairy Crest Distribution Depot"/>
    <s v="BPS Phase 4a, Sleaford Street"/>
    <s v="Phase 4A (A1.4 and A1.5)"/>
    <n v="529318"/>
    <n v="177190"/>
    <x v="6"/>
    <m/>
    <m/>
    <n v="0"/>
    <n v="168"/>
    <n v="168"/>
    <n v="386"/>
    <n v="386"/>
    <s v="Y"/>
    <s v="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
    <s v="PFLA"/>
    <d v="2016-06-30T00:00:00"/>
    <d v="2016-11-21T00:00:00"/>
    <x v="0"/>
    <s v="Nil"/>
    <m/>
    <s v="BF"/>
    <x v="0"/>
    <x v="1"/>
    <x v="1"/>
    <n v="0.25"/>
    <m/>
    <x v="0"/>
    <m/>
    <x v="1"/>
    <s v="HAIS"/>
    <s v="2.1.14"/>
    <m/>
    <n v="136"/>
    <m/>
    <n v="14"/>
    <m/>
    <n v="0"/>
    <n v="78"/>
    <n v="52"/>
    <n v="0"/>
    <n v="0"/>
    <n v="0"/>
    <n v="0"/>
    <n v="0"/>
    <n v="78"/>
    <n v="52"/>
    <n v="0"/>
    <n v="0"/>
    <n v="0"/>
    <n v="0"/>
    <n v="0"/>
    <n v="0"/>
    <n v="0"/>
    <n v="0"/>
    <n v="0"/>
    <n v="0"/>
    <n v="0"/>
    <n v="0"/>
    <n v="0"/>
    <n v="0"/>
    <n v="0"/>
    <n v="0"/>
    <n v="0"/>
    <n v="0"/>
    <s v="Strategic Planning/Nine Elms"/>
    <x v="0"/>
    <x v="1"/>
    <x v="1"/>
    <x v="0"/>
    <x v="0"/>
    <x v="0"/>
    <m/>
    <x v="0"/>
    <s v="Y"/>
    <n v="12"/>
    <m/>
    <n v="0"/>
    <n v="0"/>
    <n v="168"/>
    <n v="0"/>
    <n v="0"/>
    <n v="0"/>
    <n v="0"/>
    <n v="0"/>
    <n v="0"/>
    <n v="0"/>
    <n v="0"/>
    <n v="0"/>
    <n v="0"/>
    <n v="0"/>
    <n v="0"/>
    <n v="0"/>
    <n v="0"/>
    <n v="0"/>
    <n v="0"/>
    <n v="0"/>
    <n v="0"/>
    <n v="168"/>
    <n v="168"/>
  </r>
  <r>
    <n v="3938"/>
    <x v="1"/>
    <s v="2016/3778"/>
    <s v="Sleaford Street Industrial Estate &amp; Dairy Crest Distribution Depot"/>
    <s v="BPS Phase 4a, Sleaford Street"/>
    <s v="Phase 4A (A2 and A3)"/>
    <n v="529318"/>
    <n v="177190"/>
    <x v="6"/>
    <m/>
    <m/>
    <n v="0"/>
    <n v="136"/>
    <n v="136"/>
    <n v="386"/>
    <n v="386"/>
    <s v="Y"/>
    <s v="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
    <s v="PFLA"/>
    <d v="2016-06-30T00:00:00"/>
    <d v="2016-11-21T00:00:00"/>
    <x v="0"/>
    <s v="Nil"/>
    <m/>
    <s v="BF"/>
    <x v="0"/>
    <x v="1"/>
    <x v="1"/>
    <n v="0.151"/>
    <m/>
    <x v="0"/>
    <m/>
    <x v="1"/>
    <s v="HAIR"/>
    <s v="2.1.14"/>
    <m/>
    <n v="82"/>
    <m/>
    <n v="8"/>
    <m/>
    <n v="0"/>
    <n v="0"/>
    <n v="40"/>
    <n v="39"/>
    <n v="3"/>
    <n v="0"/>
    <n v="0"/>
    <n v="0"/>
    <n v="0"/>
    <n v="40"/>
    <n v="39"/>
    <n v="3"/>
    <n v="0"/>
    <n v="0"/>
    <n v="0"/>
    <n v="0"/>
    <n v="0"/>
    <n v="0"/>
    <n v="0"/>
    <n v="0"/>
    <n v="0"/>
    <n v="0"/>
    <n v="0"/>
    <n v="0"/>
    <n v="0"/>
    <n v="0"/>
    <n v="0"/>
    <n v="0"/>
    <s v="Strategic Planning/Nine Elms"/>
    <x v="0"/>
    <x v="1"/>
    <x v="1"/>
    <x v="0"/>
    <x v="0"/>
    <x v="0"/>
    <m/>
    <x v="0"/>
    <s v="Y"/>
    <n v="12"/>
    <m/>
    <n v="0"/>
    <n v="0"/>
    <n v="136"/>
    <n v="0"/>
    <n v="0"/>
    <n v="0"/>
    <n v="0"/>
    <n v="0"/>
    <n v="0"/>
    <n v="0"/>
    <n v="0"/>
    <n v="0"/>
    <n v="0"/>
    <n v="0"/>
    <n v="0"/>
    <n v="0"/>
    <n v="0"/>
    <n v="0"/>
    <n v="0"/>
    <n v="0"/>
    <n v="0"/>
    <n v="136"/>
    <n v="136"/>
  </r>
  <r>
    <n v="3975"/>
    <x v="1"/>
    <s v="2015/5711"/>
    <s v="The Regent"/>
    <s v="6-28 Gwynne Road"/>
    <m/>
    <n v="526857"/>
    <n v="176315"/>
    <x v="1"/>
    <m/>
    <m/>
    <n v="0"/>
    <n v="1"/>
    <n v="1"/>
    <n v="1"/>
    <n v="1"/>
    <m/>
    <s v="Determination as to whether prior approval is required for change of use from office (Class B1a) to 1 x 1-bedroom residential unit (Class C3)."/>
    <s v="PANR"/>
    <d v="2015-10-07T00:00:00"/>
    <d v="2015-12-02T00:00:00"/>
    <x v="0"/>
    <s v="Nil"/>
    <m/>
    <s v="BF"/>
    <x v="3"/>
    <x v="0"/>
    <x v="9"/>
    <n v="4.9999998882412902E-3"/>
    <m/>
    <x v="0"/>
    <m/>
    <x v="0"/>
    <s v="P"/>
    <m/>
    <m/>
    <n v="0"/>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4056"/>
    <x v="1"/>
    <s v="2017/0015"/>
    <m/>
    <s v="11 Webbs Road"/>
    <m/>
    <n v="527655"/>
    <n v="174876"/>
    <x v="14"/>
    <m/>
    <m/>
    <n v="0"/>
    <n v="1"/>
    <n v="1"/>
    <n v="1"/>
    <n v="1"/>
    <m/>
    <s v="Determination as to whether prior approval is required for change of use from financial and professional services (Class A2) to residential (Class C3) to provide 1x1 studio flat at ground floor level."/>
    <s v="PANR"/>
    <d v="2017-01-13T00:00:00"/>
    <d v="2017-03-10T00:00:00"/>
    <x v="0"/>
    <s v="Nil"/>
    <m/>
    <s v="BF"/>
    <x v="3"/>
    <x v="0"/>
    <x v="9"/>
    <n v="2.0000000949949E-3"/>
    <m/>
    <x v="0"/>
    <m/>
    <x v="0"/>
    <s v="P"/>
    <m/>
    <m/>
    <n v="0"/>
    <m/>
    <n v="0"/>
    <m/>
    <n v="1"/>
    <n v="0"/>
    <n v="0"/>
    <n v="0"/>
    <n v="0"/>
    <n v="0"/>
    <n v="0"/>
    <n v="1"/>
    <n v="0"/>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4084"/>
    <x v="1"/>
    <s v="2016/4647"/>
    <m/>
    <s v="22 Trinity Road"/>
    <m/>
    <n v="527971"/>
    <n v="172408"/>
    <x v="11"/>
    <m/>
    <m/>
    <n v="0"/>
    <n v="1"/>
    <n v="1"/>
    <n v="2"/>
    <n v="2"/>
    <m/>
    <s v="Alterations including demolition of rear elevation, mansard roof extension to create an additional storey of residential accommodation, erection of part single, part two storey rear extension, excavation of basement and  conversion of ground floor shop from Sui Generis (mini-cab office) to part Class A2 (financial and professional services) and part Class C3 (residential) to create 2 x 2-bedroom flats."/>
    <s v="PF"/>
    <d v="2016-08-12T00:00:00"/>
    <d v="2016-11-25T00:00:00"/>
    <x v="0"/>
    <s v="Nil"/>
    <m/>
    <s v="BF"/>
    <x v="4"/>
    <x v="0"/>
    <x v="0"/>
    <n v="3.0000000260770299E-3"/>
    <m/>
    <x v="0"/>
    <m/>
    <x v="0"/>
    <s v="P"/>
    <m/>
    <m/>
    <n v="1"/>
    <m/>
    <n v="1"/>
    <m/>
    <n v="0"/>
    <n v="0"/>
    <n v="1"/>
    <n v="0"/>
    <n v="0"/>
    <n v="0"/>
    <n v="0"/>
    <n v="0"/>
    <n v="0"/>
    <n v="1"/>
    <n v="0"/>
    <n v="0"/>
    <n v="0"/>
    <n v="0"/>
    <n v="0"/>
    <n v="0"/>
    <n v="0"/>
    <n v="0"/>
    <n v="0"/>
    <n v="0"/>
    <n v="0"/>
    <n v="0"/>
    <n v="0"/>
    <n v="0"/>
    <n v="0"/>
    <n v="0"/>
    <n v="0"/>
    <n v="0"/>
    <s v="East"/>
    <x v="0"/>
    <x v="0"/>
    <x v="1"/>
    <x v="0"/>
    <x v="0"/>
    <x v="0"/>
    <m/>
    <x v="0"/>
    <s v="Y"/>
    <s v="9A"/>
    <m/>
    <n v="0"/>
    <n v="0.25"/>
    <n v="0.25"/>
    <n v="0.25"/>
    <n v="0.25"/>
    <n v="0"/>
    <n v="0"/>
    <n v="0"/>
    <n v="0"/>
    <n v="0"/>
    <n v="0"/>
    <n v="0"/>
    <n v="0"/>
    <n v="0"/>
    <n v="0"/>
    <n v="0"/>
    <n v="0"/>
    <n v="0"/>
    <n v="0"/>
    <n v="0"/>
    <n v="0"/>
    <n v="1"/>
    <n v="1"/>
  </r>
  <r>
    <n v="4084"/>
    <x v="1"/>
    <s v="2016/4647"/>
    <m/>
    <s v="22 Trinity Road"/>
    <m/>
    <n v="527971"/>
    <n v="172408"/>
    <x v="11"/>
    <m/>
    <m/>
    <n v="0"/>
    <n v="1"/>
    <n v="1"/>
    <n v="2"/>
    <n v="2"/>
    <m/>
    <s v="Alterations including demolition of rear elevation, mansard roof extension to create an additional storey of residential accommodation, erection of part single, part two storey rear extension, excavation of basement and  conversion of ground floor shop from Sui Generis (mini-cab office) to part Class A2 (financial and professional services) and part Class C3 (residential) to create 2 x 2-bedroom flats."/>
    <s v="PF"/>
    <d v="2016-08-12T00:00:00"/>
    <d v="2016-11-25T00:00:00"/>
    <x v="0"/>
    <s v="Nil"/>
    <m/>
    <s v="BF"/>
    <x v="4"/>
    <x v="0"/>
    <x v="5"/>
    <n v="3.0000000260770299E-3"/>
    <m/>
    <x v="0"/>
    <m/>
    <x v="0"/>
    <s v="P"/>
    <m/>
    <m/>
    <n v="1"/>
    <m/>
    <n v="0"/>
    <m/>
    <n v="0"/>
    <n v="0"/>
    <n v="1"/>
    <n v="0"/>
    <n v="0"/>
    <n v="0"/>
    <n v="0"/>
    <n v="0"/>
    <n v="0"/>
    <n v="1"/>
    <n v="0"/>
    <n v="0"/>
    <n v="0"/>
    <n v="0"/>
    <n v="0"/>
    <n v="0"/>
    <n v="0"/>
    <n v="0"/>
    <n v="0"/>
    <n v="0"/>
    <n v="0"/>
    <n v="0"/>
    <n v="0"/>
    <n v="0"/>
    <n v="0"/>
    <n v="0"/>
    <n v="0"/>
    <n v="0"/>
    <s v="East"/>
    <x v="0"/>
    <x v="0"/>
    <x v="1"/>
    <x v="0"/>
    <x v="0"/>
    <x v="0"/>
    <m/>
    <x v="0"/>
    <s v="Y"/>
    <s v="9A"/>
    <m/>
    <n v="0"/>
    <n v="0.25"/>
    <n v="0.25"/>
    <n v="0.25"/>
    <n v="0.25"/>
    <n v="0"/>
    <n v="0"/>
    <n v="0"/>
    <n v="0"/>
    <n v="0"/>
    <n v="0"/>
    <n v="0"/>
    <n v="0"/>
    <n v="0"/>
    <n v="0"/>
    <n v="0"/>
    <n v="0"/>
    <n v="0"/>
    <n v="0"/>
    <n v="0"/>
    <n v="0"/>
    <n v="1"/>
    <n v="1"/>
  </r>
  <r>
    <n v="4089"/>
    <x v="1"/>
    <s v="2017/4159"/>
    <s v="Flats a, b &amp; c"/>
    <s v="294 Upper Richmond Road"/>
    <m/>
    <n v="523671"/>
    <n v="175184"/>
    <x v="13"/>
    <m/>
    <m/>
    <n v="0"/>
    <n v="1"/>
    <n v="1"/>
    <n v="1"/>
    <n v="1"/>
    <m/>
    <s v="Alterations including excavation to enlarge basement with formation of front lightwell and single-storey rear extension in connection with change of use of rear part of ground floor from restaurant (Class A3) to a 2-bedroom flat (Class C3)."/>
    <s v="PF"/>
    <d v="2017-07-25T00:00:00"/>
    <d v="2017-10-11T00:00:00"/>
    <x v="1"/>
    <s v="Nil"/>
    <m/>
    <s v="BF"/>
    <x v="4"/>
    <x v="0"/>
    <x v="5"/>
    <n v="4.9999998882412902E-3"/>
    <m/>
    <x v="0"/>
    <m/>
    <x v="0"/>
    <s v="P"/>
    <m/>
    <m/>
    <n v="0"/>
    <m/>
    <n v="0"/>
    <m/>
    <n v="0"/>
    <n v="0"/>
    <n v="1"/>
    <n v="0"/>
    <n v="0"/>
    <n v="0"/>
    <n v="0"/>
    <n v="0"/>
    <n v="0"/>
    <n v="1"/>
    <n v="0"/>
    <n v="0"/>
    <n v="0"/>
    <n v="0"/>
    <n v="0"/>
    <n v="0"/>
    <n v="0"/>
    <n v="0"/>
    <n v="0"/>
    <n v="0"/>
    <n v="0"/>
    <n v="0"/>
    <n v="0"/>
    <n v="0"/>
    <n v="0"/>
    <n v="0"/>
    <n v="0"/>
    <n v="0"/>
    <s v="West"/>
    <x v="3"/>
    <x v="0"/>
    <x v="1"/>
    <x v="0"/>
    <x v="0"/>
    <x v="0"/>
    <m/>
    <x v="0"/>
    <s v="Y"/>
    <s v="9A"/>
    <m/>
    <n v="0"/>
    <n v="0.25"/>
    <n v="0.25"/>
    <n v="0.25"/>
    <n v="0.25"/>
    <n v="0"/>
    <n v="0"/>
    <n v="0"/>
    <n v="0"/>
    <n v="0"/>
    <n v="0"/>
    <n v="0"/>
    <n v="0"/>
    <n v="0"/>
    <n v="0"/>
    <n v="0"/>
    <n v="0"/>
    <n v="0"/>
    <n v="0"/>
    <n v="0"/>
    <n v="0"/>
    <n v="1"/>
    <n v="1"/>
  </r>
  <r>
    <n v="4116"/>
    <x v="1"/>
    <s v="2015/0639"/>
    <m/>
    <s v="99 Mitcham Lane"/>
    <m/>
    <n v="529336"/>
    <n v="171126"/>
    <x v="12"/>
    <m/>
    <m/>
    <n v="0"/>
    <n v="1"/>
    <n v="1"/>
    <n v="1"/>
    <n v="1"/>
    <m/>
    <s v="Conversion of rear part of ground floor shop to provide a self-contained one-bedroomed flat;  erection of single-storey rear extension and alterations including an additional door to the front elevation."/>
    <s v="PF"/>
    <d v="2015-02-16T00:00:00"/>
    <d v="2015-10-27T00:00:00"/>
    <x v="0"/>
    <s v="Nil"/>
    <m/>
    <s v="BF"/>
    <x v="4"/>
    <x v="0"/>
    <x v="4"/>
    <n v="6.0000000521540598E-3"/>
    <m/>
    <x v="0"/>
    <m/>
    <x v="0"/>
    <s v="P"/>
    <m/>
    <m/>
    <n v="0"/>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4122"/>
    <x v="1"/>
    <s v="2017/1096"/>
    <m/>
    <s v="Land rear of 134, Cavendish Road"/>
    <m/>
    <n v="529138"/>
    <n v="174076"/>
    <x v="9"/>
    <m/>
    <m/>
    <n v="0"/>
    <n v="1"/>
    <n v="1"/>
    <n v="1"/>
    <n v="1"/>
    <m/>
    <s v="Erection of two-storey 3-bedroom house (with loft level accommodation provided via a rear dormer) to the end of the Hazelbourne Road terrace."/>
    <s v="PF"/>
    <d v="2017-02-24T00:00:00"/>
    <d v="2017-04-21T00:00:00"/>
    <x v="1"/>
    <s v="Nil"/>
    <m/>
    <s v="BF"/>
    <x v="0"/>
    <x v="0"/>
    <x v="0"/>
    <n v="7.0000002160668399E-3"/>
    <m/>
    <x v="0"/>
    <m/>
    <x v="0"/>
    <s v="P"/>
    <m/>
    <m/>
    <n v="0"/>
    <m/>
    <n v="0"/>
    <m/>
    <n v="0"/>
    <n v="0"/>
    <n v="0"/>
    <n v="1"/>
    <n v="0"/>
    <n v="0"/>
    <n v="0"/>
    <n v="0"/>
    <n v="0"/>
    <n v="0"/>
    <n v="0"/>
    <n v="0"/>
    <n v="0"/>
    <n v="0"/>
    <n v="0"/>
    <n v="0"/>
    <n v="0"/>
    <n v="1"/>
    <n v="0"/>
    <n v="0"/>
    <n v="0"/>
    <n v="0"/>
    <n v="0"/>
    <n v="0"/>
    <n v="0"/>
    <n v="0"/>
    <n v="0"/>
    <n v="0"/>
    <s v="East"/>
    <x v="0"/>
    <x v="0"/>
    <x v="1"/>
    <x v="0"/>
    <x v="0"/>
    <x v="0"/>
    <m/>
    <x v="0"/>
    <s v="Y"/>
    <n v="4"/>
    <m/>
    <n v="0"/>
    <n v="0"/>
    <n v="0.25"/>
    <n v="0.25"/>
    <n v="0.25"/>
    <n v="0.25"/>
    <n v="0"/>
    <n v="0"/>
    <n v="0"/>
    <n v="0"/>
    <n v="0"/>
    <n v="0"/>
    <n v="0"/>
    <n v="0"/>
    <n v="0"/>
    <n v="0"/>
    <n v="0"/>
    <n v="0"/>
    <n v="0"/>
    <n v="0"/>
    <n v="0"/>
    <n v="1"/>
    <n v="1"/>
  </r>
  <r>
    <n v="4173"/>
    <x v="1"/>
    <s v="2017/4246"/>
    <m/>
    <s v="149-151 Wandsworth High Street"/>
    <m/>
    <n v="525437"/>
    <n v="174675"/>
    <x v="5"/>
    <m/>
    <m/>
    <n v="1"/>
    <n v="4"/>
    <n v="3"/>
    <n v="4"/>
    <n v="3"/>
    <m/>
    <s v="Demolition of building behind a retained facade. Erection of a four-storey building to provide two ground floor retail units with 2 x1-bedroom flats and 2 x 2-bedroom flat above. Formation of two roof terraces."/>
    <s v="PF"/>
    <d v="2017-08-08T00:00:00"/>
    <d v="2017-10-25T00:00:00"/>
    <x v="1"/>
    <s v="Nil"/>
    <m/>
    <s v="BF"/>
    <x v="0"/>
    <x v="0"/>
    <x v="0"/>
    <n v="1.4000000432133701E-2"/>
    <m/>
    <x v="0"/>
    <m/>
    <x v="0"/>
    <s v="P"/>
    <m/>
    <m/>
    <n v="0"/>
    <m/>
    <n v="0"/>
    <m/>
    <n v="0"/>
    <n v="2"/>
    <n v="2"/>
    <n v="-1"/>
    <n v="0"/>
    <n v="0"/>
    <n v="0"/>
    <n v="0"/>
    <n v="2"/>
    <n v="2"/>
    <n v="-1"/>
    <n v="0"/>
    <n v="0"/>
    <n v="0"/>
    <n v="0"/>
    <n v="0"/>
    <n v="0"/>
    <n v="0"/>
    <n v="0"/>
    <n v="0"/>
    <n v="0"/>
    <n v="0"/>
    <n v="0"/>
    <n v="0"/>
    <n v="0"/>
    <n v="0"/>
    <n v="0"/>
    <n v="0"/>
    <s v="West"/>
    <x v="4"/>
    <x v="0"/>
    <x v="0"/>
    <x v="0"/>
    <x v="0"/>
    <x v="0"/>
    <m/>
    <x v="0"/>
    <s v="Y"/>
    <n v="4"/>
    <m/>
    <n v="0"/>
    <n v="0"/>
    <n v="0.75"/>
    <n v="0.75"/>
    <n v="0.75"/>
    <n v="0.75"/>
    <n v="0"/>
    <n v="0"/>
    <n v="0"/>
    <n v="0"/>
    <n v="0"/>
    <n v="0"/>
    <n v="0"/>
    <n v="0"/>
    <n v="0"/>
    <n v="0"/>
    <n v="0"/>
    <n v="0"/>
    <n v="0"/>
    <n v="0"/>
    <n v="0"/>
    <n v="3"/>
    <n v="3"/>
  </r>
  <r>
    <n v="4207"/>
    <x v="1"/>
    <s v="2016/3494"/>
    <m/>
    <s v="55a Byrne Road"/>
    <m/>
    <n v="528913"/>
    <n v="173014"/>
    <x v="3"/>
    <m/>
    <m/>
    <n v="0"/>
    <n v="1"/>
    <n v="1"/>
    <n v="1"/>
    <n v="1"/>
    <m/>
    <s v="Erection of single-storey side extension in connection with conversion of garage into 1 x studio flat, alterations to front boundary and provision of cycle and bin store in front garden."/>
    <s v="PF"/>
    <d v="2016-06-14T00:00:00"/>
    <d v="2017-11-30T00:00:00"/>
    <x v="1"/>
    <s v="Nil"/>
    <m/>
    <s v="BF"/>
    <x v="4"/>
    <x v="0"/>
    <x v="11"/>
    <n v="4.9999998882412902E-3"/>
    <m/>
    <x v="0"/>
    <m/>
    <x v="0"/>
    <s v="P"/>
    <m/>
    <m/>
    <n v="0"/>
    <m/>
    <n v="0"/>
    <m/>
    <n v="1"/>
    <n v="0"/>
    <n v="0"/>
    <n v="0"/>
    <n v="0"/>
    <n v="0"/>
    <n v="0"/>
    <n v="1"/>
    <n v="0"/>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4229"/>
    <x v="1"/>
    <s v="2016/0326"/>
    <m/>
    <s v="66 Fairfield Street"/>
    <m/>
    <n v="525819"/>
    <n v="174910"/>
    <x v="0"/>
    <m/>
    <m/>
    <n v="1"/>
    <n v="0"/>
    <n v="-1"/>
    <n v="0"/>
    <n v="-1"/>
    <m/>
    <s v="Demolition of building and garage (Class A1 and C3 use). Erection of two-storey building and single storey rear extension, together with enlargement of existing basement, in connection with use of building as an office/professional services (class B1/A2)."/>
    <s v="PF"/>
    <d v="2016-03-15T00:00:00"/>
    <d v="2016-03-17T00:00:00"/>
    <x v="0"/>
    <s v="Nil"/>
    <m/>
    <s v="BF"/>
    <x v="4"/>
    <x v="0"/>
    <x v="6"/>
    <n v="0"/>
    <m/>
    <x v="0"/>
    <m/>
    <x v="0"/>
    <s v="P"/>
    <m/>
    <m/>
    <n v="0"/>
    <m/>
    <n v="0"/>
    <m/>
    <n v="0"/>
    <n v="-1"/>
    <n v="0"/>
    <n v="0"/>
    <n v="0"/>
    <n v="0"/>
    <n v="0"/>
    <n v="0"/>
    <n v="0"/>
    <n v="0"/>
    <n v="0"/>
    <n v="0"/>
    <n v="0"/>
    <n v="0"/>
    <n v="0"/>
    <n v="0"/>
    <n v="0"/>
    <n v="0"/>
    <n v="0"/>
    <n v="0"/>
    <n v="0"/>
    <n v="0"/>
    <n v="-1"/>
    <n v="0"/>
    <n v="0"/>
    <n v="0"/>
    <n v="0"/>
    <n v="0"/>
    <s v="West"/>
    <x v="0"/>
    <x v="0"/>
    <x v="1"/>
    <x v="0"/>
    <x v="0"/>
    <x v="0"/>
    <m/>
    <x v="0"/>
    <s v="Y"/>
    <s v="9A"/>
    <m/>
    <n v="0"/>
    <n v="-0.25"/>
    <n v="-0.25"/>
    <n v="-0.25"/>
    <n v="-0.25"/>
    <n v="0"/>
    <n v="0"/>
    <n v="0"/>
    <n v="0"/>
    <n v="0"/>
    <n v="0"/>
    <n v="0"/>
    <n v="0"/>
    <n v="0"/>
    <n v="0"/>
    <n v="0"/>
    <n v="0"/>
    <n v="0"/>
    <n v="0"/>
    <n v="0"/>
    <n v="0"/>
    <n v="-1"/>
    <n v="-1"/>
  </r>
  <r>
    <n v="4252"/>
    <x v="1"/>
    <s v="2015/0170"/>
    <m/>
    <s v="Lanterns Lodge, The Lanterns, Bridge Lane"/>
    <m/>
    <n v="527344"/>
    <n v="176643"/>
    <x v="1"/>
    <m/>
    <m/>
    <n v="0"/>
    <n v="1"/>
    <n v="1"/>
    <n v="1"/>
    <n v="1"/>
    <m/>
    <s v="Erection of roof extension over existing single-storey addition to create an additional storey and change of use from offices (Use Class B1a) to a 2-bedroom dwellinghouse (Use Class C3)."/>
    <s v="PF"/>
    <d v="2015-01-19T00:00:00"/>
    <d v="2015-05-29T00:00:00"/>
    <x v="0"/>
    <s v="Nil"/>
    <m/>
    <s v="BF"/>
    <x v="4"/>
    <x v="0"/>
    <x v="9"/>
    <n v="6.0000000521540598E-3"/>
    <m/>
    <x v="0"/>
    <m/>
    <x v="0"/>
    <s v="P"/>
    <m/>
    <m/>
    <n v="0"/>
    <m/>
    <n v="0"/>
    <m/>
    <n v="0"/>
    <n v="0"/>
    <n v="1"/>
    <n v="0"/>
    <n v="0"/>
    <n v="0"/>
    <n v="0"/>
    <n v="0"/>
    <n v="0"/>
    <n v="0"/>
    <n v="0"/>
    <n v="0"/>
    <n v="0"/>
    <n v="0"/>
    <n v="0"/>
    <n v="0"/>
    <n v="1"/>
    <n v="0"/>
    <n v="0"/>
    <n v="0"/>
    <n v="0"/>
    <n v="0"/>
    <n v="0"/>
    <n v="0"/>
    <n v="0"/>
    <n v="0"/>
    <n v="0"/>
    <n v="0"/>
    <s v="East"/>
    <x v="0"/>
    <x v="0"/>
    <x v="1"/>
    <x v="0"/>
    <x v="0"/>
    <x v="0"/>
    <m/>
    <x v="0"/>
    <s v="Y"/>
    <s v="9A"/>
    <m/>
    <n v="0"/>
    <n v="0.25"/>
    <n v="0.25"/>
    <n v="0.25"/>
    <n v="0.25"/>
    <n v="0"/>
    <n v="0"/>
    <n v="0"/>
    <n v="0"/>
    <n v="0"/>
    <n v="0"/>
    <n v="0"/>
    <n v="0"/>
    <n v="0"/>
    <n v="0"/>
    <n v="0"/>
    <n v="0"/>
    <n v="0"/>
    <n v="0"/>
    <n v="0"/>
    <n v="0"/>
    <n v="1"/>
    <n v="1"/>
  </r>
  <r>
    <n v="4314"/>
    <x v="1"/>
    <s v="2016/0711"/>
    <m/>
    <s v="1A, 1 Winders Road"/>
    <m/>
    <n v="527097"/>
    <n v="176190"/>
    <x v="1"/>
    <m/>
    <m/>
    <n v="0"/>
    <n v="1"/>
    <n v="1"/>
    <n v="1"/>
    <n v="1"/>
    <m/>
    <s v="Determination as to whether prior approval is required for change of use from office (Class B1a) to one residential unit (Class C3)."/>
    <s v="PAG"/>
    <d v="2016-02-04T00:00:00"/>
    <d v="2016-03-31T00:00:00"/>
    <x v="0"/>
    <s v="Nil"/>
    <m/>
    <s v="BF"/>
    <x v="3"/>
    <x v="0"/>
    <x v="9"/>
    <n v="4.9999998882412902E-3"/>
    <m/>
    <x v="0"/>
    <m/>
    <x v="0"/>
    <s v="P"/>
    <m/>
    <m/>
    <n v="0"/>
    <m/>
    <n v="0"/>
    <m/>
    <n v="0"/>
    <n v="1"/>
    <n v="0"/>
    <n v="0"/>
    <n v="0"/>
    <n v="0"/>
    <n v="0"/>
    <n v="0"/>
    <n v="0"/>
    <n v="0"/>
    <n v="0"/>
    <n v="0"/>
    <n v="0"/>
    <n v="0"/>
    <n v="0"/>
    <n v="1"/>
    <n v="0"/>
    <n v="0"/>
    <n v="0"/>
    <n v="0"/>
    <n v="0"/>
    <n v="0"/>
    <n v="0"/>
    <n v="0"/>
    <n v="0"/>
    <n v="0"/>
    <n v="0"/>
    <n v="0"/>
    <s v="East"/>
    <x v="0"/>
    <x v="0"/>
    <x v="1"/>
    <x v="0"/>
    <x v="0"/>
    <x v="0"/>
    <m/>
    <x v="0"/>
    <s v="Y"/>
    <s v="9A"/>
    <m/>
    <n v="0"/>
    <n v="0.25"/>
    <n v="0.25"/>
    <n v="0.25"/>
    <n v="0.25"/>
    <n v="0"/>
    <n v="0"/>
    <n v="0"/>
    <n v="0"/>
    <n v="0"/>
    <n v="0"/>
    <n v="0"/>
    <n v="0"/>
    <n v="0"/>
    <n v="0"/>
    <n v="0"/>
    <n v="0"/>
    <n v="0"/>
    <n v="0"/>
    <n v="0"/>
    <n v="0"/>
    <n v="1"/>
    <n v="1"/>
  </r>
  <r>
    <n v="4316"/>
    <x v="1"/>
    <s v="2014/6050"/>
    <m/>
    <s v="25-29 Tooting High Street"/>
    <s v="1ST FLOOR"/>
    <n v="527567"/>
    <n v="171576"/>
    <x v="8"/>
    <m/>
    <m/>
    <n v="0"/>
    <n v="3"/>
    <n v="3"/>
    <n v="14"/>
    <n v="14"/>
    <s v="Y"/>
    <s v="Construction of extenstion to front and side of building at first, second floor levels  with the creation of additional third floor level; erection of a rear four storey extension allowing for mix use build, to retain ground floor (Class Use A1) and first floor offices (Class Use A2) and provide 14 residential units with balconies, terraces and roof garden and 5 parking spaces to rear."/>
    <s v="PFLA"/>
    <d v="2014-11-20T00:00:00"/>
    <d v="2016-04-22T00:00:00"/>
    <x v="0"/>
    <s v="Nil"/>
    <m/>
    <s v="BF"/>
    <x v="0"/>
    <x v="1"/>
    <x v="1"/>
    <n v="1.4999999664723899E-2"/>
    <m/>
    <x v="0"/>
    <m/>
    <x v="0"/>
    <s v="P"/>
    <s v="5.2"/>
    <m/>
    <n v="14"/>
    <m/>
    <n v="0"/>
    <m/>
    <n v="0"/>
    <n v="1"/>
    <n v="2"/>
    <n v="0"/>
    <n v="0"/>
    <n v="0"/>
    <n v="0"/>
    <n v="0"/>
    <n v="1"/>
    <n v="2"/>
    <n v="0"/>
    <n v="0"/>
    <n v="0"/>
    <n v="0"/>
    <n v="0"/>
    <n v="0"/>
    <n v="0"/>
    <n v="0"/>
    <n v="0"/>
    <n v="0"/>
    <n v="0"/>
    <n v="0"/>
    <n v="0"/>
    <n v="0"/>
    <n v="0"/>
    <n v="0"/>
    <n v="0"/>
    <n v="0"/>
    <s v="East"/>
    <x v="1"/>
    <x v="0"/>
    <x v="1"/>
    <x v="0"/>
    <x v="0"/>
    <x v="0"/>
    <m/>
    <x v="0"/>
    <s v="Y"/>
    <s v="5A"/>
    <m/>
    <n v="0"/>
    <n v="0"/>
    <n v="3"/>
    <n v="0"/>
    <n v="0"/>
    <n v="0"/>
    <n v="0"/>
    <n v="0"/>
    <n v="0"/>
    <n v="0"/>
    <n v="0"/>
    <n v="0"/>
    <n v="0"/>
    <n v="0"/>
    <n v="0"/>
    <n v="0"/>
    <n v="0"/>
    <n v="0"/>
    <n v="0"/>
    <n v="0"/>
    <n v="0"/>
    <n v="3"/>
    <n v="3"/>
  </r>
  <r>
    <n v="4316"/>
    <x v="1"/>
    <s v="2014/6050"/>
    <m/>
    <s v="25-29 Tooting High Street"/>
    <s v="2ND FLOOR"/>
    <n v="527567"/>
    <n v="171576"/>
    <x v="8"/>
    <m/>
    <m/>
    <n v="0"/>
    <n v="6"/>
    <n v="6"/>
    <n v="14"/>
    <n v="14"/>
    <s v="Y"/>
    <s v="Construction of extenstion to front and side of building at first, second floor levels  with the creation of additional third floor level; erection of a rear four storey extension allowing for mix use build, to retain ground floor (Class Use A1) and first floor offices (Class Use A2) and provide 14 residential units with balconies, terraces and roof garden and 5 parking spaces to rear."/>
    <s v="PFLA"/>
    <d v="2014-11-20T00:00:00"/>
    <d v="2016-04-22T00:00:00"/>
    <x v="0"/>
    <s v="Nil"/>
    <m/>
    <s v="BF"/>
    <x v="0"/>
    <x v="1"/>
    <x v="1"/>
    <n v="2.9999999329447701E-2"/>
    <m/>
    <x v="0"/>
    <m/>
    <x v="0"/>
    <s v="P"/>
    <s v="5.2"/>
    <m/>
    <n v="0"/>
    <m/>
    <n v="0"/>
    <m/>
    <n v="0"/>
    <n v="1"/>
    <n v="3"/>
    <n v="2"/>
    <n v="0"/>
    <n v="0"/>
    <n v="0"/>
    <n v="0"/>
    <n v="1"/>
    <n v="3"/>
    <n v="2"/>
    <n v="0"/>
    <n v="0"/>
    <n v="0"/>
    <n v="0"/>
    <n v="0"/>
    <n v="0"/>
    <n v="0"/>
    <n v="0"/>
    <n v="0"/>
    <n v="0"/>
    <n v="0"/>
    <n v="0"/>
    <n v="0"/>
    <n v="0"/>
    <n v="0"/>
    <n v="0"/>
    <n v="0"/>
    <s v="East"/>
    <x v="1"/>
    <x v="0"/>
    <x v="1"/>
    <x v="0"/>
    <x v="0"/>
    <x v="0"/>
    <m/>
    <x v="0"/>
    <s v="Y"/>
    <s v="5A"/>
    <m/>
    <n v="0"/>
    <n v="0"/>
    <n v="6"/>
    <n v="0"/>
    <n v="0"/>
    <n v="0"/>
    <n v="0"/>
    <n v="0"/>
    <n v="0"/>
    <n v="0"/>
    <n v="0"/>
    <n v="0"/>
    <n v="0"/>
    <n v="0"/>
    <n v="0"/>
    <n v="0"/>
    <n v="0"/>
    <n v="0"/>
    <n v="0"/>
    <n v="0"/>
    <n v="0"/>
    <n v="6"/>
    <n v="6"/>
  </r>
  <r>
    <n v="4316"/>
    <x v="1"/>
    <s v="2014/6050"/>
    <m/>
    <s v="25-29 Tooting High Street"/>
    <s v="3RD FLOOR"/>
    <n v="527567"/>
    <n v="171576"/>
    <x v="8"/>
    <m/>
    <m/>
    <n v="0"/>
    <n v="5"/>
    <n v="5"/>
    <n v="14"/>
    <n v="14"/>
    <s v="Y"/>
    <s v="Construction of extenstion to front and side of building at first, second floor levels  with the creation of additional third floor level; erection of a rear four storey extension allowing for mix use build, to retain ground floor (Class Use A1) and first floor offices (Class Use A2) and provide 14 residential units with balconies, terraces and roof garden and 5 parking spaces to rear."/>
    <s v="PFLA"/>
    <d v="2014-11-20T00:00:00"/>
    <d v="2016-04-22T00:00:00"/>
    <x v="0"/>
    <s v="Nil"/>
    <m/>
    <s v="BF"/>
    <x v="0"/>
    <x v="1"/>
    <x v="1"/>
    <n v="2.5000000372528999E-2"/>
    <m/>
    <x v="0"/>
    <m/>
    <x v="0"/>
    <s v="P"/>
    <s v="5.2"/>
    <m/>
    <n v="0"/>
    <m/>
    <n v="0"/>
    <m/>
    <n v="0"/>
    <n v="1"/>
    <n v="3"/>
    <n v="1"/>
    <n v="0"/>
    <n v="0"/>
    <n v="0"/>
    <n v="0"/>
    <n v="1"/>
    <n v="3"/>
    <n v="1"/>
    <n v="0"/>
    <n v="0"/>
    <n v="0"/>
    <n v="0"/>
    <n v="0"/>
    <n v="0"/>
    <n v="0"/>
    <n v="0"/>
    <n v="0"/>
    <n v="0"/>
    <n v="0"/>
    <n v="0"/>
    <n v="0"/>
    <n v="0"/>
    <n v="0"/>
    <n v="0"/>
    <n v="0"/>
    <s v="East"/>
    <x v="1"/>
    <x v="0"/>
    <x v="1"/>
    <x v="0"/>
    <x v="0"/>
    <x v="0"/>
    <m/>
    <x v="0"/>
    <s v="Y"/>
    <s v="5A"/>
    <m/>
    <n v="0"/>
    <n v="0"/>
    <n v="5"/>
    <n v="0"/>
    <n v="0"/>
    <n v="0"/>
    <n v="0"/>
    <n v="0"/>
    <n v="0"/>
    <n v="0"/>
    <n v="0"/>
    <n v="0"/>
    <n v="0"/>
    <n v="0"/>
    <n v="0"/>
    <n v="0"/>
    <n v="0"/>
    <n v="0"/>
    <n v="0"/>
    <n v="0"/>
    <n v="0"/>
    <n v="5"/>
    <n v="5"/>
  </r>
  <r>
    <n v="4438"/>
    <x v="1"/>
    <s v="2017/1456"/>
    <m/>
    <s v="120 Upper Richmond Road"/>
    <m/>
    <n v="524309"/>
    <n v="174961"/>
    <x v="13"/>
    <m/>
    <m/>
    <n v="1"/>
    <n v="2"/>
    <n v="1"/>
    <n v="3"/>
    <n v="2"/>
    <m/>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x v="1"/>
    <s v="Nil"/>
    <m/>
    <s v="BF"/>
    <x v="2"/>
    <x v="0"/>
    <x v="10"/>
    <n v="4.9999998882412902E-3"/>
    <m/>
    <x v="0"/>
    <m/>
    <x v="0"/>
    <s v="P"/>
    <m/>
    <m/>
    <n v="0"/>
    <m/>
    <n v="0"/>
    <m/>
    <n v="0"/>
    <n v="2"/>
    <n v="-1"/>
    <n v="0"/>
    <n v="0"/>
    <n v="0"/>
    <n v="0"/>
    <n v="0"/>
    <n v="2"/>
    <n v="-1"/>
    <n v="0"/>
    <n v="0"/>
    <n v="0"/>
    <n v="0"/>
    <n v="0"/>
    <n v="0"/>
    <n v="0"/>
    <n v="0"/>
    <n v="0"/>
    <n v="0"/>
    <n v="0"/>
    <n v="0"/>
    <n v="0"/>
    <n v="0"/>
    <n v="0"/>
    <n v="0"/>
    <n v="0"/>
    <n v="0"/>
    <s v="West"/>
    <x v="3"/>
    <x v="0"/>
    <x v="1"/>
    <x v="0"/>
    <x v="1"/>
    <x v="0"/>
    <m/>
    <x v="0"/>
    <s v="Y"/>
    <s v="9A"/>
    <m/>
    <n v="0"/>
    <n v="0.25"/>
    <n v="0.25"/>
    <n v="0.25"/>
    <n v="0.25"/>
    <n v="0"/>
    <n v="0"/>
    <n v="0"/>
    <n v="0"/>
    <n v="0"/>
    <n v="0"/>
    <n v="0"/>
    <n v="0"/>
    <n v="0"/>
    <n v="0"/>
    <n v="0"/>
    <n v="0"/>
    <n v="0"/>
    <n v="0"/>
    <n v="0"/>
    <n v="0"/>
    <n v="1"/>
    <n v="1"/>
  </r>
  <r>
    <n v="4438"/>
    <x v="1"/>
    <s v="2017/1456"/>
    <m/>
    <s v="120 Upper Richmond Road"/>
    <m/>
    <n v="524309"/>
    <n v="174961"/>
    <x v="13"/>
    <m/>
    <m/>
    <n v="0"/>
    <n v="1"/>
    <n v="1"/>
    <n v="3"/>
    <n v="2"/>
    <m/>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x v="1"/>
    <s v="Nil"/>
    <m/>
    <s v="BF"/>
    <x v="2"/>
    <x v="0"/>
    <x v="3"/>
    <n v="6.0000000521540598E-3"/>
    <m/>
    <x v="0"/>
    <m/>
    <x v="0"/>
    <s v="P"/>
    <m/>
    <m/>
    <n v="0"/>
    <m/>
    <n v="0"/>
    <m/>
    <n v="0"/>
    <n v="0"/>
    <n v="1"/>
    <n v="0"/>
    <n v="0"/>
    <n v="0"/>
    <n v="0"/>
    <n v="0"/>
    <n v="0"/>
    <n v="1"/>
    <n v="0"/>
    <n v="0"/>
    <n v="0"/>
    <n v="0"/>
    <n v="0"/>
    <n v="0"/>
    <n v="0"/>
    <n v="0"/>
    <n v="0"/>
    <n v="0"/>
    <n v="0"/>
    <n v="0"/>
    <n v="0"/>
    <n v="0"/>
    <n v="0"/>
    <n v="0"/>
    <n v="0"/>
    <n v="0"/>
    <s v="West"/>
    <x v="3"/>
    <x v="0"/>
    <x v="1"/>
    <x v="0"/>
    <x v="1"/>
    <x v="0"/>
    <m/>
    <x v="0"/>
    <s v="Y"/>
    <s v="9A"/>
    <m/>
    <n v="0"/>
    <n v="0.25"/>
    <n v="0.25"/>
    <n v="0.25"/>
    <n v="0.25"/>
    <n v="0"/>
    <n v="0"/>
    <n v="0"/>
    <n v="0"/>
    <n v="0"/>
    <n v="0"/>
    <n v="0"/>
    <n v="0"/>
    <n v="0"/>
    <n v="0"/>
    <n v="0"/>
    <n v="0"/>
    <n v="0"/>
    <n v="0"/>
    <n v="0"/>
    <n v="0"/>
    <n v="1"/>
    <n v="1"/>
  </r>
  <r>
    <n v="4474"/>
    <x v="1"/>
    <s v="2014/5383"/>
    <m/>
    <s v="19-21 Mitcham Road"/>
    <s v="PRIVATE MARKET- BUILD TO RENT"/>
    <n v="527533"/>
    <n v="171477"/>
    <x v="8"/>
    <m/>
    <m/>
    <n v="0"/>
    <n v="6"/>
    <n v="6"/>
    <n v="19"/>
    <n v="19"/>
    <s v="Y"/>
    <s v="Conversion of existing building at first, second, and third floor levels into 19 self contained apartments."/>
    <s v="PFLA"/>
    <d v="2014-09-09T00:00:00"/>
    <d v="2016-08-12T00:00:00"/>
    <x v="0"/>
    <s v="Nil"/>
    <m/>
    <s v="BF"/>
    <x v="3"/>
    <x v="0"/>
    <x v="4"/>
    <n v="4.3000001460313797E-2"/>
    <m/>
    <x v="0"/>
    <m/>
    <x v="0"/>
    <s v="PB"/>
    <s v="5.2"/>
    <m/>
    <n v="0"/>
    <m/>
    <n v="0"/>
    <m/>
    <n v="0"/>
    <n v="3"/>
    <n v="3"/>
    <n v="0"/>
    <n v="0"/>
    <n v="0"/>
    <n v="0"/>
    <n v="0"/>
    <n v="3"/>
    <n v="3"/>
    <n v="0"/>
    <n v="0"/>
    <n v="0"/>
    <n v="0"/>
    <n v="0"/>
    <n v="0"/>
    <n v="0"/>
    <n v="0"/>
    <n v="0"/>
    <n v="0"/>
    <n v="0"/>
    <n v="0"/>
    <n v="0"/>
    <n v="0"/>
    <n v="0"/>
    <n v="0"/>
    <n v="0"/>
    <n v="0"/>
    <s v="East"/>
    <x v="1"/>
    <x v="0"/>
    <x v="1"/>
    <x v="0"/>
    <x v="0"/>
    <x v="0"/>
    <m/>
    <x v="0"/>
    <s v="Y"/>
    <s v="9B"/>
    <m/>
    <n v="0"/>
    <n v="0"/>
    <n v="6"/>
    <n v="0"/>
    <n v="0"/>
    <n v="0"/>
    <n v="0"/>
    <n v="0"/>
    <n v="0"/>
    <n v="0"/>
    <n v="0"/>
    <n v="0"/>
    <n v="0"/>
    <n v="0"/>
    <n v="0"/>
    <n v="0"/>
    <n v="0"/>
    <n v="0"/>
    <n v="0"/>
    <n v="0"/>
    <n v="0"/>
    <n v="6"/>
    <n v="6"/>
  </r>
  <r>
    <n v="4474"/>
    <x v="1"/>
    <s v="2014/5383"/>
    <m/>
    <s v="19-21 Mitcham Road"/>
    <s v="PRIVATE RENTED FOR 10 YEARS"/>
    <n v="527533"/>
    <n v="171477"/>
    <x v="8"/>
    <m/>
    <m/>
    <n v="0"/>
    <n v="13"/>
    <n v="13"/>
    <n v="19"/>
    <n v="19"/>
    <s v="Y"/>
    <s v="Conversion of existing building at first, second, and third floor levels into 19 self contained apartments."/>
    <s v="PFLA"/>
    <d v="2014-09-09T00:00:00"/>
    <d v="2016-08-12T00:00:00"/>
    <x v="0"/>
    <s v="Nil"/>
    <m/>
    <s v="BF"/>
    <x v="3"/>
    <x v="0"/>
    <x v="4"/>
    <n v="0.10000000149011599"/>
    <m/>
    <x v="0"/>
    <m/>
    <x v="0"/>
    <s v="PB"/>
    <s v="5.2"/>
    <m/>
    <n v="9"/>
    <m/>
    <n v="2"/>
    <m/>
    <n v="1"/>
    <n v="1"/>
    <n v="11"/>
    <n v="0"/>
    <n v="0"/>
    <n v="0"/>
    <n v="0"/>
    <n v="1"/>
    <n v="1"/>
    <n v="11"/>
    <n v="0"/>
    <n v="0"/>
    <n v="0"/>
    <n v="0"/>
    <n v="0"/>
    <n v="0"/>
    <n v="0"/>
    <n v="0"/>
    <n v="0"/>
    <n v="0"/>
    <n v="0"/>
    <n v="0"/>
    <n v="0"/>
    <n v="0"/>
    <n v="0"/>
    <n v="0"/>
    <n v="0"/>
    <n v="0"/>
    <s v="East"/>
    <x v="1"/>
    <x v="0"/>
    <x v="1"/>
    <x v="0"/>
    <x v="0"/>
    <x v="0"/>
    <m/>
    <x v="0"/>
    <s v="Y"/>
    <s v="9B"/>
    <m/>
    <n v="0"/>
    <n v="0"/>
    <n v="13"/>
    <n v="0"/>
    <n v="0"/>
    <n v="0"/>
    <n v="0"/>
    <n v="0"/>
    <n v="0"/>
    <n v="0"/>
    <n v="0"/>
    <n v="0"/>
    <n v="0"/>
    <n v="0"/>
    <n v="0"/>
    <n v="0"/>
    <n v="0"/>
    <n v="0"/>
    <n v="0"/>
    <n v="0"/>
    <n v="0"/>
    <n v="13"/>
    <n v="13"/>
  </r>
  <r>
    <n v="4506"/>
    <x v="1"/>
    <s v="2017/1530"/>
    <m/>
    <s v="Unit 118 Prospect Quay, 98 Point Pleasant"/>
    <m/>
    <n v="525112"/>
    <n v="175239"/>
    <x v="13"/>
    <m/>
    <m/>
    <n v="0"/>
    <n v="1"/>
    <n v="1"/>
    <n v="1"/>
    <n v="1"/>
    <m/>
    <s v="Determination as to whether prior approval is required for change of use of offices (Class B1a) to residential (class C3) to provide 1 dwelling house"/>
    <s v="PANR"/>
    <d v="2017-03-20T00:00:00"/>
    <d v="2017-04-26T00:00:00"/>
    <x v="1"/>
    <s v="Nil"/>
    <m/>
    <s v="BF"/>
    <x v="3"/>
    <x v="0"/>
    <x v="9"/>
    <n v="1.00000004749745E-3"/>
    <m/>
    <x v="0"/>
    <m/>
    <x v="0"/>
    <s v="P"/>
    <m/>
    <m/>
    <n v="0"/>
    <m/>
    <n v="0"/>
    <m/>
    <n v="0"/>
    <n v="1"/>
    <n v="0"/>
    <n v="0"/>
    <n v="0"/>
    <n v="0"/>
    <n v="0"/>
    <n v="0"/>
    <n v="1"/>
    <n v="0"/>
    <n v="0"/>
    <n v="0"/>
    <n v="0"/>
    <n v="0"/>
    <n v="0"/>
    <n v="0"/>
    <n v="0"/>
    <n v="0"/>
    <n v="0"/>
    <n v="0"/>
    <n v="0"/>
    <n v="0"/>
    <n v="0"/>
    <n v="0"/>
    <n v="0"/>
    <n v="0"/>
    <n v="0"/>
    <n v="0"/>
    <s v="West"/>
    <x v="0"/>
    <x v="0"/>
    <x v="0"/>
    <x v="0"/>
    <x v="0"/>
    <x v="0"/>
    <m/>
    <x v="0"/>
    <s v="Y"/>
    <s v="9A"/>
    <m/>
    <n v="0"/>
    <n v="0.25"/>
    <n v="0.25"/>
    <n v="0.25"/>
    <n v="0.25"/>
    <n v="0"/>
    <n v="0"/>
    <n v="0"/>
    <n v="0"/>
    <n v="0"/>
    <n v="0"/>
    <n v="0"/>
    <n v="0"/>
    <n v="0"/>
    <n v="0"/>
    <n v="0"/>
    <n v="0"/>
    <n v="0"/>
    <n v="0"/>
    <n v="0"/>
    <n v="0"/>
    <n v="1"/>
    <n v="1"/>
  </r>
  <r>
    <n v="4673"/>
    <x v="1"/>
    <s v="2016/2970"/>
    <m/>
    <s v="140 Priory Lane"/>
    <m/>
    <n v="521248"/>
    <n v="174264"/>
    <x v="15"/>
    <m/>
    <m/>
    <n v="1"/>
    <n v="1"/>
    <n v="0"/>
    <n v="1"/>
    <n v="0"/>
    <m/>
    <s v="Demolition of existing building and erection of a three storey 5-bedroom detached house and front boundary wall and associated landscaping."/>
    <s v="PF"/>
    <d v="2016-05-25T00:00:00"/>
    <d v="2016-07-20T00:00:00"/>
    <x v="0"/>
    <s v="Nil"/>
    <m/>
    <s v="BF"/>
    <x v="0"/>
    <x v="0"/>
    <x v="0"/>
    <n v="7.9999998211860698E-2"/>
    <m/>
    <x v="0"/>
    <m/>
    <x v="0"/>
    <s v="P"/>
    <m/>
    <m/>
    <n v="1"/>
    <m/>
    <n v="0"/>
    <m/>
    <n v="0"/>
    <n v="0"/>
    <n v="0"/>
    <n v="0"/>
    <n v="-1"/>
    <n v="1"/>
    <n v="0"/>
    <n v="0"/>
    <n v="0"/>
    <n v="0"/>
    <n v="0"/>
    <n v="0"/>
    <n v="0"/>
    <n v="0"/>
    <n v="0"/>
    <n v="0"/>
    <n v="0"/>
    <n v="0"/>
    <n v="-1"/>
    <n v="1"/>
    <n v="0"/>
    <n v="0"/>
    <n v="0"/>
    <n v="0"/>
    <n v="0"/>
    <n v="0"/>
    <n v="0"/>
    <n v="0"/>
    <s v="West"/>
    <x v="0"/>
    <x v="0"/>
    <x v="1"/>
    <x v="0"/>
    <x v="0"/>
    <x v="0"/>
    <m/>
    <x v="0"/>
    <s v="Y"/>
    <n v="4"/>
    <m/>
    <n v="0"/>
    <n v="0"/>
    <n v="0"/>
    <n v="0"/>
    <n v="0"/>
    <n v="0"/>
    <n v="0"/>
    <n v="0"/>
    <n v="0"/>
    <n v="0"/>
    <n v="0"/>
    <n v="0"/>
    <n v="0"/>
    <n v="0"/>
    <n v="0"/>
    <n v="0"/>
    <n v="0"/>
    <n v="0"/>
    <n v="0"/>
    <n v="0"/>
    <n v="0"/>
    <n v="0"/>
    <n v="0"/>
  </r>
  <r>
    <n v="4677"/>
    <x v="1"/>
    <s v="2017/5639"/>
    <m/>
    <s v="272 Mitcham Road"/>
    <m/>
    <n v="527943"/>
    <n v="170717"/>
    <x v="8"/>
    <m/>
    <m/>
    <n v="0"/>
    <n v="1"/>
    <n v="1"/>
    <n v="1"/>
    <n v="1"/>
    <m/>
    <s v="Alterations including erection of mansard roof extension to main rear roof, erection of rear extension at first floor (with French doors and safety railings) and erection of single storey rear/side extension in connection with creation of 1 x studio flat."/>
    <s v="PF"/>
    <d v="2017-10-11T00:00:00"/>
    <d v="2017-12-06T00:00:00"/>
    <x v="1"/>
    <s v="Nil"/>
    <m/>
    <s v="BF"/>
    <x v="0"/>
    <x v="0"/>
    <x v="0"/>
    <n v="4.0000001899898104E-3"/>
    <m/>
    <x v="0"/>
    <m/>
    <x v="0"/>
    <s v="P"/>
    <m/>
    <m/>
    <n v="0"/>
    <m/>
    <n v="0"/>
    <m/>
    <n v="1"/>
    <n v="0"/>
    <n v="0"/>
    <n v="0"/>
    <n v="0"/>
    <n v="0"/>
    <n v="0"/>
    <n v="1"/>
    <n v="0"/>
    <n v="0"/>
    <n v="0"/>
    <n v="0"/>
    <n v="0"/>
    <n v="0"/>
    <n v="0"/>
    <n v="0"/>
    <n v="0"/>
    <n v="0"/>
    <n v="0"/>
    <n v="0"/>
    <n v="0"/>
    <n v="0"/>
    <n v="0"/>
    <n v="0"/>
    <n v="0"/>
    <n v="0"/>
    <n v="0"/>
    <n v="0"/>
    <s v="East"/>
    <x v="0"/>
    <x v="0"/>
    <x v="1"/>
    <x v="0"/>
    <x v="0"/>
    <x v="0"/>
    <m/>
    <x v="0"/>
    <s v="Y"/>
    <n v="4"/>
    <m/>
    <n v="0"/>
    <n v="0"/>
    <n v="0.25"/>
    <n v="0.25"/>
    <n v="0.25"/>
    <n v="0.25"/>
    <n v="0"/>
    <n v="0"/>
    <n v="0"/>
    <n v="0"/>
    <n v="0"/>
    <n v="0"/>
    <n v="0"/>
    <n v="0"/>
    <n v="0"/>
    <n v="0"/>
    <n v="0"/>
    <n v="0"/>
    <n v="0"/>
    <n v="0"/>
    <n v="0"/>
    <n v="1"/>
    <n v="1"/>
  </r>
  <r>
    <n v="4704"/>
    <x v="1"/>
    <s v="2015/2828"/>
    <m/>
    <s v="5-7 Tooting High Street"/>
    <m/>
    <n v="527580"/>
    <n v="171643"/>
    <x v="8"/>
    <m/>
    <m/>
    <n v="0"/>
    <n v="2"/>
    <n v="2"/>
    <n v="2"/>
    <n v="2"/>
    <m/>
    <s v="Erection of mansard roof extension to main front roof and external alterations to front elevation; erection of two-storey rear extension (with french doors and safety railings at second floor); formation of roof terrace at rear first floor level in conjunction with the conversion of the upper floors into two self-contained flats (2 x 2 bedroom units)."/>
    <s v="PF"/>
    <d v="2015-06-22T00:00:00"/>
    <d v="2015-08-17T00:00:00"/>
    <x v="0"/>
    <s v="Nil"/>
    <m/>
    <s v="BF"/>
    <x v="4"/>
    <x v="0"/>
    <x v="5"/>
    <n v="8.0000003799796104E-3"/>
    <m/>
    <x v="0"/>
    <m/>
    <x v="0"/>
    <s v="P"/>
    <s v="5.2"/>
    <m/>
    <n v="0"/>
    <m/>
    <n v="0"/>
    <m/>
    <n v="0"/>
    <n v="0"/>
    <n v="2"/>
    <n v="0"/>
    <n v="0"/>
    <n v="0"/>
    <n v="0"/>
    <n v="0"/>
    <n v="0"/>
    <n v="2"/>
    <n v="0"/>
    <n v="0"/>
    <n v="0"/>
    <n v="0"/>
    <n v="0"/>
    <n v="0"/>
    <n v="0"/>
    <n v="0"/>
    <n v="0"/>
    <n v="0"/>
    <n v="0"/>
    <n v="0"/>
    <n v="0"/>
    <n v="0"/>
    <n v="0"/>
    <n v="0"/>
    <n v="0"/>
    <n v="0"/>
    <s v="East"/>
    <x v="1"/>
    <x v="0"/>
    <x v="1"/>
    <x v="0"/>
    <x v="0"/>
    <x v="0"/>
    <m/>
    <x v="0"/>
    <s v="Y"/>
    <s v="9A"/>
    <m/>
    <n v="0"/>
    <n v="0.5"/>
    <n v="0.5"/>
    <n v="0.5"/>
    <n v="0.5"/>
    <n v="0"/>
    <n v="0"/>
    <n v="0"/>
    <n v="0"/>
    <n v="0"/>
    <n v="0"/>
    <n v="0"/>
    <n v="0"/>
    <n v="0"/>
    <n v="0"/>
    <n v="0"/>
    <n v="0"/>
    <n v="0"/>
    <n v="0"/>
    <n v="0"/>
    <n v="0"/>
    <n v="2"/>
    <n v="2"/>
  </r>
  <r>
    <n v="4855"/>
    <x v="1"/>
    <s v="2017/3661"/>
    <m/>
    <s v="111-113 Upper Toooting Road"/>
    <m/>
    <n v="527775"/>
    <n v="172038"/>
    <x v="4"/>
    <m/>
    <m/>
    <n v="2"/>
    <n v="6"/>
    <n v="4"/>
    <n v="6"/>
    <n v="4"/>
    <m/>
    <s v="Alterations including erection of a first floor extension and second floor of accommodation in connection with the conversion of the property from 2 x 3-bedroom flats into 5 x 1-bedroom flats and 1 x 2-bedroom flats."/>
    <s v="PF"/>
    <d v="2017-06-30T00:00:00"/>
    <d v="2017-09-22T00:00:00"/>
    <x v="1"/>
    <s v="Nil"/>
    <m/>
    <s v="BF"/>
    <x v="4"/>
    <x v="0"/>
    <x v="10"/>
    <n v="2.8000000864267301E-2"/>
    <m/>
    <x v="0"/>
    <m/>
    <x v="0"/>
    <s v="P"/>
    <m/>
    <m/>
    <n v="0"/>
    <m/>
    <n v="0"/>
    <m/>
    <n v="0"/>
    <n v="5"/>
    <n v="1"/>
    <n v="-2"/>
    <n v="0"/>
    <n v="0"/>
    <n v="0"/>
    <n v="0"/>
    <n v="5"/>
    <n v="1"/>
    <n v="-2"/>
    <n v="0"/>
    <n v="0"/>
    <n v="0"/>
    <n v="0"/>
    <n v="0"/>
    <n v="0"/>
    <n v="0"/>
    <n v="0"/>
    <n v="0"/>
    <n v="0"/>
    <n v="0"/>
    <n v="0"/>
    <n v="0"/>
    <n v="0"/>
    <n v="0"/>
    <n v="0"/>
    <n v="0"/>
    <s v="East"/>
    <x v="0"/>
    <x v="0"/>
    <x v="1"/>
    <x v="0"/>
    <x v="0"/>
    <x v="0"/>
    <m/>
    <x v="0"/>
    <s v="Y"/>
    <s v="9C"/>
    <m/>
    <n v="0"/>
    <n v="1"/>
    <n v="1"/>
    <n v="1"/>
    <n v="1"/>
    <n v="0"/>
    <n v="0"/>
    <n v="0"/>
    <n v="0"/>
    <n v="0"/>
    <n v="0"/>
    <n v="0"/>
    <n v="0"/>
    <n v="0"/>
    <n v="0"/>
    <n v="0"/>
    <n v="0"/>
    <n v="0"/>
    <n v="0"/>
    <n v="0"/>
    <n v="0"/>
    <n v="4"/>
    <n v="4"/>
  </r>
  <r>
    <n v="4864"/>
    <x v="1"/>
    <s v="2017/5758"/>
    <m/>
    <s v="1 Lavender Sweep"/>
    <m/>
    <n v="527602"/>
    <n v="175480"/>
    <x v="10"/>
    <m/>
    <m/>
    <n v="0"/>
    <n v="4"/>
    <n v="4"/>
    <n v="4"/>
    <n v="4"/>
    <m/>
    <s v="Determination as to whether prior approval is required for change of use of offices (Class B1a) to residential (Class C3) to provide 4 x 1-bedroom flats."/>
    <s v="PANR"/>
    <d v="2017-10-18T00:00:00"/>
    <d v="2017-12-06T00:00:00"/>
    <x v="1"/>
    <s v="Nil"/>
    <m/>
    <s v="BF"/>
    <x v="3"/>
    <x v="0"/>
    <x v="9"/>
    <n v="1.09999999403954E-2"/>
    <m/>
    <x v="0"/>
    <m/>
    <x v="0"/>
    <s v="P"/>
    <m/>
    <m/>
    <n v="0"/>
    <m/>
    <n v="0"/>
    <m/>
    <n v="0"/>
    <n v="4"/>
    <n v="0"/>
    <n v="0"/>
    <n v="0"/>
    <n v="0"/>
    <n v="0"/>
    <n v="0"/>
    <n v="4"/>
    <n v="0"/>
    <n v="0"/>
    <n v="0"/>
    <n v="0"/>
    <n v="0"/>
    <n v="0"/>
    <n v="0"/>
    <n v="0"/>
    <n v="0"/>
    <n v="0"/>
    <n v="0"/>
    <n v="0"/>
    <n v="0"/>
    <n v="0"/>
    <n v="0"/>
    <n v="0"/>
    <n v="0"/>
    <n v="0"/>
    <n v="0"/>
    <s v="East"/>
    <x v="5"/>
    <x v="0"/>
    <x v="1"/>
    <x v="0"/>
    <x v="0"/>
    <x v="0"/>
    <m/>
    <x v="0"/>
    <s v="Y"/>
    <s v="9A"/>
    <m/>
    <n v="0"/>
    <n v="1"/>
    <n v="1"/>
    <n v="1"/>
    <n v="1"/>
    <n v="0"/>
    <n v="0"/>
    <n v="0"/>
    <n v="0"/>
    <n v="0"/>
    <n v="0"/>
    <n v="0"/>
    <n v="0"/>
    <n v="0"/>
    <n v="0"/>
    <n v="0"/>
    <n v="0"/>
    <n v="0"/>
    <n v="0"/>
    <n v="0"/>
    <n v="0"/>
    <n v="4"/>
    <n v="4"/>
  </r>
  <r>
    <n v="4865"/>
    <x v="1"/>
    <s v="2016/5341"/>
    <m/>
    <s v="1 Withycombe Road"/>
    <m/>
    <n v="523686"/>
    <n v="173656"/>
    <x v="19"/>
    <m/>
    <m/>
    <n v="1"/>
    <n v="2"/>
    <n v="1"/>
    <n v="2"/>
    <n v="1"/>
    <m/>
    <s v="Demolition of existing house and erection of two, two-storey (plus basement) 3 -bedroom semi-detached houses including new boundary treatment."/>
    <s v="PF"/>
    <d v="2016-09-13T00:00:00"/>
    <d v="2016-11-08T00:00:00"/>
    <x v="0"/>
    <s v="Nil"/>
    <m/>
    <s v="BF"/>
    <x v="0"/>
    <x v="0"/>
    <x v="0"/>
    <n v="2.4000000208616298E-2"/>
    <m/>
    <x v="0"/>
    <m/>
    <x v="0"/>
    <s v="P"/>
    <m/>
    <m/>
    <n v="2"/>
    <m/>
    <n v="0"/>
    <m/>
    <n v="0"/>
    <n v="0"/>
    <n v="-1"/>
    <n v="2"/>
    <n v="0"/>
    <n v="0"/>
    <n v="0"/>
    <n v="0"/>
    <n v="0"/>
    <n v="0"/>
    <n v="0"/>
    <n v="0"/>
    <n v="0"/>
    <n v="0"/>
    <n v="0"/>
    <n v="0"/>
    <n v="-1"/>
    <n v="2"/>
    <n v="0"/>
    <n v="0"/>
    <n v="0"/>
    <n v="0"/>
    <n v="0"/>
    <n v="0"/>
    <n v="0"/>
    <n v="0"/>
    <n v="0"/>
    <n v="0"/>
    <s v="West"/>
    <x v="0"/>
    <x v="0"/>
    <x v="1"/>
    <x v="0"/>
    <x v="0"/>
    <x v="0"/>
    <m/>
    <x v="0"/>
    <s v="Y"/>
    <n v="4"/>
    <m/>
    <n v="0"/>
    <n v="0"/>
    <n v="0.25"/>
    <n v="0.25"/>
    <n v="0.25"/>
    <n v="0.25"/>
    <n v="0"/>
    <n v="0"/>
    <n v="0"/>
    <n v="0"/>
    <n v="0"/>
    <n v="0"/>
    <n v="0"/>
    <n v="0"/>
    <n v="0"/>
    <n v="0"/>
    <n v="0"/>
    <n v="0"/>
    <n v="0"/>
    <n v="0"/>
    <n v="0"/>
    <n v="1"/>
    <n v="1"/>
  </r>
  <r>
    <n v="4886"/>
    <x v="1"/>
    <s v="2015/2602"/>
    <m/>
    <s v="The Crown Hotel, 102 Lavender Hill"/>
    <m/>
    <n v="528185"/>
    <n v="175700"/>
    <x v="10"/>
    <m/>
    <m/>
    <n v="0"/>
    <n v="5"/>
    <n v="5"/>
    <n v="6"/>
    <n v="6"/>
    <m/>
    <s v="Change of use of the upper floors and rear yard area from public house (Use Class A4) to six residential units (Use Class C3).  Erection of additional storey and formation of roof terrace with balustrade to rear.  Erection part-four storey part-two storey extension to rear and side addition, including formation of roof terraces on 1st and 2nd floors with safety balustrade. Alterations to lower ground level including cycle storage and refuse storage."/>
    <s v="PF"/>
    <d v="2015-05-18T00:00:00"/>
    <d v="2015-11-16T00:00:00"/>
    <x v="0"/>
    <s v="Nil"/>
    <m/>
    <s v="BF"/>
    <x v="4"/>
    <x v="0"/>
    <x v="0"/>
    <n v="6.0000000521540598E-3"/>
    <m/>
    <x v="0"/>
    <m/>
    <x v="0"/>
    <s v="P"/>
    <m/>
    <m/>
    <n v="0"/>
    <m/>
    <n v="0"/>
    <m/>
    <n v="0"/>
    <n v="1"/>
    <n v="3"/>
    <n v="1"/>
    <n v="0"/>
    <n v="0"/>
    <n v="0"/>
    <n v="0"/>
    <n v="1"/>
    <n v="3"/>
    <n v="1"/>
    <n v="0"/>
    <n v="0"/>
    <n v="0"/>
    <n v="0"/>
    <n v="0"/>
    <n v="0"/>
    <n v="0"/>
    <n v="0"/>
    <n v="0"/>
    <n v="0"/>
    <n v="0"/>
    <n v="0"/>
    <n v="0"/>
    <n v="0"/>
    <n v="0"/>
    <n v="0"/>
    <n v="0"/>
    <s v="East"/>
    <x v="0"/>
    <x v="0"/>
    <x v="1"/>
    <x v="0"/>
    <x v="0"/>
    <x v="0"/>
    <m/>
    <x v="0"/>
    <s v="Y"/>
    <s v="9C"/>
    <m/>
    <n v="0"/>
    <n v="1.25"/>
    <n v="1.25"/>
    <n v="1.25"/>
    <n v="1.25"/>
    <n v="0"/>
    <n v="0"/>
    <n v="0"/>
    <n v="0"/>
    <n v="0"/>
    <n v="0"/>
    <n v="0"/>
    <n v="0"/>
    <n v="0"/>
    <n v="0"/>
    <n v="0"/>
    <n v="0"/>
    <n v="0"/>
    <n v="0"/>
    <n v="0"/>
    <n v="0"/>
    <n v="5"/>
    <n v="5"/>
  </r>
  <r>
    <n v="4886"/>
    <x v="1"/>
    <s v="2015/2602"/>
    <m/>
    <s v="The Crown Hotel, 102 Lavender Hill"/>
    <m/>
    <n v="528185"/>
    <n v="175700"/>
    <x v="10"/>
    <m/>
    <m/>
    <n v="0"/>
    <n v="1"/>
    <n v="1"/>
    <n v="6"/>
    <n v="6"/>
    <m/>
    <s v="Change of use of the upper floors and rear yard area from public house (Use Class A4) to six residential units (Use Class C3).  Erection of additional storey and formation of roof terrace with balustrade to rear.  Erection part-four storey part-two storey extension to rear and side addition, including formation of roof terraces on 1st and 2nd floors with safety balustrade. Alterations to lower ground level including cycle storage and refuse storage."/>
    <s v="PF"/>
    <d v="2015-05-18T00:00:00"/>
    <d v="2015-11-16T00:00:00"/>
    <x v="0"/>
    <s v="Nil"/>
    <m/>
    <s v="BF"/>
    <x v="4"/>
    <x v="0"/>
    <x v="5"/>
    <n v="2.0000000949949E-3"/>
    <m/>
    <x v="0"/>
    <m/>
    <x v="0"/>
    <s v="P"/>
    <m/>
    <m/>
    <n v="0"/>
    <m/>
    <n v="0"/>
    <m/>
    <n v="0"/>
    <n v="0"/>
    <n v="0"/>
    <n v="1"/>
    <n v="0"/>
    <n v="0"/>
    <n v="0"/>
    <n v="0"/>
    <n v="0"/>
    <n v="0"/>
    <n v="0"/>
    <n v="0"/>
    <n v="0"/>
    <n v="0"/>
    <n v="0"/>
    <n v="0"/>
    <n v="0"/>
    <n v="1"/>
    <n v="0"/>
    <n v="0"/>
    <n v="0"/>
    <n v="0"/>
    <n v="0"/>
    <n v="0"/>
    <n v="0"/>
    <n v="0"/>
    <n v="0"/>
    <n v="0"/>
    <s v="East"/>
    <x v="0"/>
    <x v="0"/>
    <x v="1"/>
    <x v="0"/>
    <x v="0"/>
    <x v="0"/>
    <m/>
    <x v="0"/>
    <s v="Y"/>
    <s v="9C"/>
    <m/>
    <n v="0"/>
    <n v="0.25"/>
    <n v="0.25"/>
    <n v="0.25"/>
    <n v="0.25"/>
    <n v="0"/>
    <n v="0"/>
    <n v="0"/>
    <n v="0"/>
    <n v="0"/>
    <n v="0"/>
    <n v="0"/>
    <n v="0"/>
    <n v="0"/>
    <n v="0"/>
    <n v="0"/>
    <n v="0"/>
    <n v="0"/>
    <n v="0"/>
    <n v="0"/>
    <n v="0"/>
    <n v="1"/>
    <n v="1"/>
  </r>
  <r>
    <n v="4936"/>
    <x v="1"/>
    <s v="2016/2444"/>
    <s v="Plantation Wharf"/>
    <s v="Reef House, Coral Row"/>
    <m/>
    <n v="526431"/>
    <n v="175730"/>
    <x v="1"/>
    <m/>
    <m/>
    <n v="0"/>
    <n v="2"/>
    <n v="2"/>
    <n v="2"/>
    <n v="2"/>
    <m/>
    <s v="Determination as to whether prior approval is required for change of use from office (Class B1a) to 2 x 2-bedroom residential units (Class C3) at first floor."/>
    <s v="PAG"/>
    <d v="2016-05-03T00:00:00"/>
    <d v="2016-06-28T00:00:00"/>
    <x v="0"/>
    <s v="Nil"/>
    <m/>
    <s v="BF"/>
    <x v="3"/>
    <x v="0"/>
    <x v="9"/>
    <n v="4.0000001899898104E-3"/>
    <m/>
    <x v="0"/>
    <m/>
    <x v="0"/>
    <s v="P"/>
    <s v="10.15"/>
    <m/>
    <n v="0"/>
    <m/>
    <n v="0"/>
    <m/>
    <n v="0"/>
    <n v="0"/>
    <n v="2"/>
    <n v="0"/>
    <n v="0"/>
    <n v="0"/>
    <n v="0"/>
    <n v="0"/>
    <n v="0"/>
    <n v="2"/>
    <n v="0"/>
    <n v="0"/>
    <n v="0"/>
    <n v="0"/>
    <n v="0"/>
    <n v="0"/>
    <n v="0"/>
    <n v="0"/>
    <n v="0"/>
    <n v="0"/>
    <n v="0"/>
    <n v="0"/>
    <n v="0"/>
    <n v="0"/>
    <n v="0"/>
    <n v="0"/>
    <n v="0"/>
    <n v="0"/>
    <s v="East"/>
    <x v="0"/>
    <x v="0"/>
    <x v="1"/>
    <x v="0"/>
    <x v="0"/>
    <x v="0"/>
    <s v="Y"/>
    <x v="0"/>
    <s v="Y"/>
    <s v="9C"/>
    <m/>
    <n v="0"/>
    <n v="0.5"/>
    <n v="0.5"/>
    <n v="0.5"/>
    <n v="0.5"/>
    <n v="0"/>
    <n v="0"/>
    <n v="0"/>
    <n v="0"/>
    <n v="0"/>
    <n v="0"/>
    <n v="0"/>
    <n v="0"/>
    <n v="0"/>
    <n v="0"/>
    <n v="0"/>
    <n v="0"/>
    <n v="0"/>
    <n v="0"/>
    <n v="0"/>
    <n v="0"/>
    <n v="2"/>
    <n v="2"/>
  </r>
  <r>
    <n v="4936"/>
    <x v="1"/>
    <s v="2016/3441"/>
    <s v="Plantation Wharf"/>
    <s v="Reef House, Coral Row"/>
    <m/>
    <n v="526431"/>
    <n v="175730"/>
    <x v="1"/>
    <m/>
    <m/>
    <n v="0"/>
    <n v="4"/>
    <n v="4"/>
    <n v="4"/>
    <n v="4"/>
    <m/>
    <s v="Determination as to whether prior approval is required for change of use from office (Class B1a) to 4 x 2-bedroom residential units (Class C3) at second and third floors."/>
    <s v="PAG"/>
    <d v="2016-06-15T00:00:00"/>
    <d v="2016-08-10T00:00:00"/>
    <x v="0"/>
    <s v="Nil"/>
    <m/>
    <s v="BF"/>
    <x v="3"/>
    <x v="0"/>
    <x v="9"/>
    <n v="8.9999996125698107E-3"/>
    <m/>
    <x v="0"/>
    <m/>
    <x v="0"/>
    <s v="P"/>
    <s v="10.15"/>
    <m/>
    <n v="0"/>
    <m/>
    <n v="0"/>
    <m/>
    <n v="0"/>
    <n v="0"/>
    <n v="4"/>
    <n v="0"/>
    <n v="0"/>
    <n v="0"/>
    <n v="0"/>
    <n v="0"/>
    <n v="0"/>
    <n v="4"/>
    <n v="0"/>
    <n v="0"/>
    <n v="0"/>
    <n v="0"/>
    <n v="0"/>
    <n v="0"/>
    <n v="0"/>
    <n v="0"/>
    <n v="0"/>
    <n v="0"/>
    <n v="0"/>
    <n v="0"/>
    <n v="0"/>
    <n v="0"/>
    <n v="0"/>
    <n v="0"/>
    <n v="0"/>
    <n v="0"/>
    <s v="East"/>
    <x v="0"/>
    <x v="0"/>
    <x v="1"/>
    <x v="0"/>
    <x v="0"/>
    <x v="0"/>
    <s v="Y"/>
    <x v="0"/>
    <s v="Y"/>
    <s v="9C"/>
    <m/>
    <n v="0"/>
    <n v="1"/>
    <n v="1"/>
    <n v="1"/>
    <n v="1"/>
    <n v="0"/>
    <n v="0"/>
    <n v="0"/>
    <n v="0"/>
    <n v="0"/>
    <n v="0"/>
    <n v="0"/>
    <n v="0"/>
    <n v="0"/>
    <n v="0"/>
    <n v="0"/>
    <n v="0"/>
    <n v="0"/>
    <n v="0"/>
    <n v="0"/>
    <n v="0"/>
    <n v="4"/>
    <n v="4"/>
  </r>
  <r>
    <n v="4936"/>
    <x v="1"/>
    <s v="2016/3873"/>
    <s v="Plantation Wharf"/>
    <s v="Reef House, Coral Row"/>
    <m/>
    <n v="526431"/>
    <n v="175730"/>
    <x v="1"/>
    <m/>
    <m/>
    <n v="0"/>
    <n v="2"/>
    <n v="2"/>
    <n v="2"/>
    <n v="2"/>
    <m/>
    <s v="Determination as to whether prior approval is required for change of use from office at ground floor level (Class B1a) to residential (Class C3) to provide 2 x 2-bedroom flats."/>
    <s v="PAG"/>
    <d v="2016-06-30T00:00:00"/>
    <d v="2016-08-25T00:00:00"/>
    <x v="0"/>
    <s v="Nil"/>
    <m/>
    <s v="BF"/>
    <x v="3"/>
    <x v="0"/>
    <x v="9"/>
    <n v="6.0000000521540598E-3"/>
    <m/>
    <x v="0"/>
    <m/>
    <x v="0"/>
    <s v="P"/>
    <s v="10.15"/>
    <m/>
    <n v="0"/>
    <m/>
    <n v="0"/>
    <m/>
    <n v="0"/>
    <n v="0"/>
    <n v="2"/>
    <n v="0"/>
    <n v="0"/>
    <n v="0"/>
    <n v="0"/>
    <n v="0"/>
    <n v="0"/>
    <n v="2"/>
    <n v="0"/>
    <n v="0"/>
    <n v="0"/>
    <n v="0"/>
    <n v="0"/>
    <n v="0"/>
    <n v="0"/>
    <n v="0"/>
    <n v="0"/>
    <n v="0"/>
    <n v="0"/>
    <n v="0"/>
    <n v="0"/>
    <n v="0"/>
    <n v="0"/>
    <n v="0"/>
    <n v="0"/>
    <n v="0"/>
    <s v="East"/>
    <x v="0"/>
    <x v="0"/>
    <x v="1"/>
    <x v="0"/>
    <x v="0"/>
    <x v="0"/>
    <s v="Y"/>
    <x v="0"/>
    <s v="Y"/>
    <s v="9C"/>
    <m/>
    <n v="0"/>
    <n v="0.5"/>
    <n v="0.5"/>
    <n v="0.5"/>
    <n v="0.5"/>
    <n v="0"/>
    <n v="0"/>
    <n v="0"/>
    <n v="0"/>
    <n v="0"/>
    <n v="0"/>
    <n v="0"/>
    <n v="0"/>
    <n v="0"/>
    <n v="0"/>
    <n v="0"/>
    <n v="0"/>
    <n v="0"/>
    <n v="0"/>
    <n v="0"/>
    <n v="0"/>
    <n v="2"/>
    <n v="2"/>
  </r>
  <r>
    <n v="4944"/>
    <x v="1"/>
    <s v="2015/3531"/>
    <m/>
    <s v="1A Dinsmore Road"/>
    <m/>
    <n v="528817"/>
    <n v="173818"/>
    <x v="9"/>
    <m/>
    <m/>
    <n v="1"/>
    <n v="1"/>
    <n v="0"/>
    <n v="1"/>
    <n v="0"/>
    <m/>
    <s v="Change of use of ground floor retail (Class A1) and upper floor flat (Class C3) to a 2-bedroom house (Class C3) including changes to the front elevation."/>
    <s v="PF"/>
    <d v="2015-06-29T00:00:00"/>
    <d v="2015-08-24T00:00:00"/>
    <x v="0"/>
    <s v="Nil"/>
    <m/>
    <s v="BF"/>
    <x v="3"/>
    <x v="0"/>
    <x v="4"/>
    <n v="4.0000001899898104E-3"/>
    <m/>
    <x v="0"/>
    <m/>
    <x v="0"/>
    <s v="P"/>
    <m/>
    <m/>
    <n v="0"/>
    <m/>
    <n v="0"/>
    <m/>
    <n v="0"/>
    <n v="-1"/>
    <n v="1"/>
    <n v="0"/>
    <n v="0"/>
    <n v="0"/>
    <n v="0"/>
    <n v="0"/>
    <n v="-1"/>
    <n v="0"/>
    <n v="0"/>
    <n v="0"/>
    <n v="0"/>
    <n v="0"/>
    <n v="0"/>
    <n v="0"/>
    <n v="1"/>
    <n v="0"/>
    <n v="0"/>
    <n v="0"/>
    <n v="0"/>
    <n v="0"/>
    <n v="0"/>
    <n v="0"/>
    <n v="0"/>
    <n v="0"/>
    <n v="0"/>
    <n v="0"/>
    <s v="East"/>
    <x v="0"/>
    <x v="0"/>
    <x v="1"/>
    <x v="0"/>
    <x v="0"/>
    <x v="0"/>
    <m/>
    <x v="0"/>
    <s v="Y"/>
    <s v="9A"/>
    <m/>
    <n v="0"/>
    <n v="0"/>
    <n v="0"/>
    <n v="0"/>
    <n v="0"/>
    <n v="0"/>
    <n v="0"/>
    <n v="0"/>
    <n v="0"/>
    <n v="0"/>
    <n v="0"/>
    <n v="0"/>
    <n v="0"/>
    <n v="0"/>
    <n v="0"/>
    <n v="0"/>
    <n v="0"/>
    <n v="0"/>
    <n v="0"/>
    <n v="0"/>
    <n v="0"/>
    <n v="0"/>
    <n v="0"/>
  </r>
  <r>
    <n v="4945"/>
    <x v="1"/>
    <s v="2015/4019"/>
    <m/>
    <s v="3 &amp; 4 The Boulevard, Balham High Road"/>
    <m/>
    <n v="528361"/>
    <n v="172945"/>
    <x v="3"/>
    <m/>
    <m/>
    <n v="0"/>
    <n v="2"/>
    <n v="2"/>
    <n v="2"/>
    <n v="2"/>
    <m/>
    <s v="Change of use of the rear ground floor from retail (Class A1) to two residential units (Class C3)."/>
    <s v="PANR"/>
    <d v="2015-08-05T00:00:00"/>
    <d v="2015-09-30T00:00:00"/>
    <x v="0"/>
    <s v="Nil"/>
    <m/>
    <s v="BF"/>
    <x v="3"/>
    <x v="0"/>
    <x v="4"/>
    <n v="8.0000003799796104E-3"/>
    <m/>
    <x v="0"/>
    <m/>
    <x v="0"/>
    <s v="P"/>
    <m/>
    <m/>
    <n v="0"/>
    <m/>
    <n v="0"/>
    <m/>
    <n v="2"/>
    <n v="0"/>
    <n v="0"/>
    <n v="0"/>
    <n v="0"/>
    <n v="0"/>
    <n v="0"/>
    <n v="2"/>
    <n v="0"/>
    <n v="0"/>
    <n v="0"/>
    <n v="0"/>
    <n v="0"/>
    <n v="0"/>
    <n v="0"/>
    <n v="0"/>
    <n v="0"/>
    <n v="0"/>
    <n v="0"/>
    <n v="0"/>
    <n v="0"/>
    <n v="0"/>
    <n v="0"/>
    <n v="0"/>
    <n v="0"/>
    <n v="0"/>
    <n v="0"/>
    <n v="0"/>
    <s v="East"/>
    <x v="0"/>
    <x v="0"/>
    <x v="1"/>
    <x v="0"/>
    <x v="0"/>
    <x v="0"/>
    <m/>
    <x v="0"/>
    <s v="Y"/>
    <s v="9A"/>
    <m/>
    <n v="0"/>
    <n v="0.5"/>
    <n v="0.5"/>
    <n v="0.5"/>
    <n v="0.5"/>
    <n v="0"/>
    <n v="0"/>
    <n v="0"/>
    <n v="0"/>
    <n v="0"/>
    <n v="0"/>
    <n v="0"/>
    <n v="0"/>
    <n v="0"/>
    <n v="0"/>
    <n v="0"/>
    <n v="0"/>
    <n v="0"/>
    <n v="0"/>
    <n v="0"/>
    <n v="0"/>
    <n v="2"/>
    <n v="2"/>
  </r>
  <r>
    <n v="4953"/>
    <x v="1"/>
    <s v="2015/1078"/>
    <m/>
    <s v="36 Lavender Hill"/>
    <m/>
    <n v="528420"/>
    <n v="175774"/>
    <x v="10"/>
    <m/>
    <m/>
    <n v="1"/>
    <n v="2"/>
    <n v="1"/>
    <n v="2"/>
    <n v="1"/>
    <m/>
    <s v="Erection of rear extensions at first and second floor levels including formation of balconies/roof terraces at roof level and second floor level in connection with conversion of a two bedroom flat into 2 x one bedroom flats."/>
    <s v="PF"/>
    <d v="2015-03-13T00:00:00"/>
    <d v="2015-05-08T00:00:00"/>
    <x v="0"/>
    <s v="Nil"/>
    <m/>
    <s v="BF"/>
    <x v="1"/>
    <x v="0"/>
    <x v="10"/>
    <n v="1.2000000104308101E-2"/>
    <m/>
    <x v="0"/>
    <m/>
    <x v="0"/>
    <s v="P"/>
    <m/>
    <m/>
    <n v="0"/>
    <m/>
    <n v="0"/>
    <m/>
    <n v="0"/>
    <n v="2"/>
    <n v="-1"/>
    <n v="0"/>
    <n v="0"/>
    <n v="0"/>
    <n v="0"/>
    <n v="0"/>
    <n v="2"/>
    <n v="-1"/>
    <n v="0"/>
    <n v="0"/>
    <n v="0"/>
    <n v="0"/>
    <n v="0"/>
    <n v="0"/>
    <n v="0"/>
    <n v="0"/>
    <n v="0"/>
    <n v="0"/>
    <n v="0"/>
    <n v="0"/>
    <n v="0"/>
    <n v="0"/>
    <n v="0"/>
    <n v="0"/>
    <n v="0"/>
    <n v="0"/>
    <s v="East"/>
    <x v="0"/>
    <x v="0"/>
    <x v="1"/>
    <x v="0"/>
    <x v="0"/>
    <x v="0"/>
    <m/>
    <x v="0"/>
    <s v="Y"/>
    <s v="9A"/>
    <m/>
    <n v="0"/>
    <n v="0.25"/>
    <n v="0.25"/>
    <n v="0.25"/>
    <n v="0.25"/>
    <n v="0"/>
    <n v="0"/>
    <n v="0"/>
    <n v="0"/>
    <n v="0"/>
    <n v="0"/>
    <n v="0"/>
    <n v="0"/>
    <n v="0"/>
    <n v="0"/>
    <n v="0"/>
    <n v="0"/>
    <n v="0"/>
    <n v="0"/>
    <n v="0"/>
    <n v="0"/>
    <n v="1"/>
    <n v="1"/>
  </r>
  <r>
    <n v="4953"/>
    <x v="1"/>
    <s v="2016/4435"/>
    <m/>
    <s v="36 Lavender Hill"/>
    <m/>
    <n v="528420"/>
    <n v="175774"/>
    <x v="10"/>
    <m/>
    <m/>
    <n v="0"/>
    <n v="1"/>
    <n v="1"/>
    <n v="1"/>
    <n v="1"/>
    <m/>
    <s v="Change of use of basement and ground floor restaurant (Class A3) to retail shop (Class A1) in the front half and residential flat (Class C3) at basement level and lower ground level to the rear. Alterations including erection of single-storey rear extension at lower ground floor and enlargement of the lower ground floor with front ligthwell. Access to be provided from rear path leading from Ashley Crescent and emergency access from Basnett Road."/>
    <s v="PF"/>
    <d v="2016-08-31T00:00:00"/>
    <d v="2016-10-26T00:00:00"/>
    <x v="0"/>
    <s v="Nil"/>
    <m/>
    <s v="BF"/>
    <x v="4"/>
    <x v="0"/>
    <x v="5"/>
    <n v="9.9999997764825804E-3"/>
    <m/>
    <x v="0"/>
    <m/>
    <x v="0"/>
    <s v="P"/>
    <m/>
    <m/>
    <n v="0"/>
    <m/>
    <n v="0"/>
    <m/>
    <n v="0"/>
    <n v="0"/>
    <n v="0"/>
    <n v="1"/>
    <n v="0"/>
    <n v="0"/>
    <n v="0"/>
    <n v="0"/>
    <n v="0"/>
    <n v="0"/>
    <n v="1"/>
    <n v="0"/>
    <n v="0"/>
    <n v="0"/>
    <n v="0"/>
    <n v="0"/>
    <n v="0"/>
    <n v="0"/>
    <n v="0"/>
    <n v="0"/>
    <n v="0"/>
    <n v="0"/>
    <n v="0"/>
    <n v="0"/>
    <n v="0"/>
    <n v="0"/>
    <n v="0"/>
    <n v="0"/>
    <s v="East"/>
    <x v="0"/>
    <x v="0"/>
    <x v="1"/>
    <x v="0"/>
    <x v="0"/>
    <x v="0"/>
    <m/>
    <x v="0"/>
    <s v="Y"/>
    <s v="9A"/>
    <m/>
    <n v="0"/>
    <n v="0.25"/>
    <n v="0.25"/>
    <n v="0.25"/>
    <n v="0.25"/>
    <n v="0"/>
    <n v="0"/>
    <n v="0"/>
    <n v="0"/>
    <n v="0"/>
    <n v="0"/>
    <n v="0"/>
    <n v="0"/>
    <n v="0"/>
    <n v="0"/>
    <n v="0"/>
    <n v="0"/>
    <n v="0"/>
    <n v="0"/>
    <n v="0"/>
    <n v="0"/>
    <n v="1"/>
    <n v="1"/>
  </r>
  <r>
    <n v="4968"/>
    <x v="1"/>
    <s v="2017/0126"/>
    <m/>
    <s v="100 Trinity Road"/>
    <m/>
    <n v="527773"/>
    <n v="172716"/>
    <x v="11"/>
    <m/>
    <m/>
    <n v="1"/>
    <n v="2"/>
    <n v="1"/>
    <n v="2"/>
    <n v="1"/>
    <m/>
    <s v="Alterations including erection of mansard roof extension to main rear roof with 2x rooflights in the front roofslope and erection of single-storey rear/side extension in connection with the conversion of the property into 2 x 3-bedroom flats. Installation of bin stores in front garden."/>
    <s v="PF"/>
    <d v="2017-01-20T00:00:00"/>
    <d v="2017-03-16T00:00:00"/>
    <x v="0"/>
    <s v="Nil"/>
    <m/>
    <s v="BF"/>
    <x v="1"/>
    <x v="0"/>
    <x v="8"/>
    <n v="1.7000000923872001E-2"/>
    <m/>
    <x v="0"/>
    <m/>
    <x v="0"/>
    <s v="P"/>
    <m/>
    <m/>
    <n v="0"/>
    <m/>
    <n v="0"/>
    <m/>
    <n v="0"/>
    <n v="0"/>
    <n v="0"/>
    <n v="2"/>
    <n v="-1"/>
    <n v="0"/>
    <n v="0"/>
    <n v="0"/>
    <n v="0"/>
    <n v="0"/>
    <n v="2"/>
    <n v="0"/>
    <n v="0"/>
    <n v="0"/>
    <n v="0"/>
    <n v="0"/>
    <n v="0"/>
    <n v="0"/>
    <n v="-1"/>
    <n v="0"/>
    <n v="0"/>
    <n v="0"/>
    <n v="0"/>
    <n v="0"/>
    <n v="0"/>
    <n v="0"/>
    <n v="0"/>
    <n v="0"/>
    <s v="East"/>
    <x v="0"/>
    <x v="0"/>
    <x v="1"/>
    <x v="0"/>
    <x v="0"/>
    <x v="0"/>
    <m/>
    <x v="0"/>
    <s v="Y"/>
    <s v="9A"/>
    <m/>
    <n v="0"/>
    <n v="0.25"/>
    <n v="0.25"/>
    <n v="0.25"/>
    <n v="0.25"/>
    <n v="0"/>
    <n v="0"/>
    <n v="0"/>
    <n v="0"/>
    <n v="0"/>
    <n v="0"/>
    <n v="0"/>
    <n v="0"/>
    <n v="0"/>
    <n v="0"/>
    <n v="0"/>
    <n v="0"/>
    <n v="0"/>
    <n v="0"/>
    <n v="0"/>
    <n v="0"/>
    <n v="1"/>
    <n v="1"/>
  </r>
  <r>
    <n v="5029"/>
    <x v="1"/>
    <s v="2017/2169"/>
    <m/>
    <s v="272-274 Battersea Park road"/>
    <m/>
    <n v="527404"/>
    <n v="176366"/>
    <x v="1"/>
    <m/>
    <m/>
    <n v="0"/>
    <n v="1"/>
    <n v="1"/>
    <n v="1"/>
    <n v="1"/>
    <m/>
    <s v="Alterations including erection of dormer roof extension to the rear and creation of roof terrace at third floor level with 1.7m glazed safety screen surround in connection with formation of new 1 x 2-bedroom flat; and insertion of rooflights into the front roofslope."/>
    <s v="PF"/>
    <d v="2017-04-18T00:00:00"/>
    <d v="2017-06-28T00:00:00"/>
    <x v="1"/>
    <s v="Nil"/>
    <m/>
    <s v="BF"/>
    <x v="2"/>
    <x v="0"/>
    <x v="3"/>
    <n v="7.0000002160668399E-3"/>
    <m/>
    <x v="0"/>
    <m/>
    <x v="0"/>
    <s v="P"/>
    <m/>
    <m/>
    <n v="0"/>
    <m/>
    <n v="0"/>
    <m/>
    <n v="0"/>
    <n v="0"/>
    <n v="1"/>
    <n v="0"/>
    <n v="0"/>
    <n v="0"/>
    <n v="0"/>
    <n v="0"/>
    <n v="0"/>
    <n v="1"/>
    <n v="0"/>
    <n v="0"/>
    <n v="0"/>
    <n v="0"/>
    <n v="0"/>
    <n v="0"/>
    <n v="0"/>
    <n v="0"/>
    <n v="0"/>
    <n v="0"/>
    <n v="0"/>
    <n v="0"/>
    <n v="0"/>
    <n v="0"/>
    <n v="0"/>
    <n v="0"/>
    <n v="0"/>
    <n v="0"/>
    <s v="East"/>
    <x v="0"/>
    <x v="0"/>
    <x v="1"/>
    <x v="0"/>
    <x v="0"/>
    <x v="0"/>
    <m/>
    <x v="0"/>
    <s v="Y"/>
    <s v="9A"/>
    <m/>
    <n v="0"/>
    <n v="0.25"/>
    <n v="0.25"/>
    <n v="0.25"/>
    <n v="0.25"/>
    <n v="0"/>
    <n v="0"/>
    <n v="0"/>
    <n v="0"/>
    <n v="0"/>
    <n v="0"/>
    <n v="0"/>
    <n v="0"/>
    <n v="0"/>
    <n v="0"/>
    <n v="0"/>
    <n v="0"/>
    <n v="0"/>
    <n v="0"/>
    <n v="0"/>
    <n v="0"/>
    <n v="1"/>
    <n v="1"/>
  </r>
  <r>
    <n v="5096"/>
    <x v="1"/>
    <s v="2015/4768"/>
    <m/>
    <s v="3-4 Podmore Road"/>
    <m/>
    <n v="526041"/>
    <n v="175095"/>
    <x v="0"/>
    <m/>
    <m/>
    <n v="0"/>
    <n v="2"/>
    <n v="2"/>
    <n v="2"/>
    <n v="2"/>
    <m/>
    <s v="Change of use from Class B1(c) into 2x 2 bedroom flats (Class C3); alterations to fenestration to front and rear elevations (Revised Application)."/>
    <s v="PF"/>
    <d v="2015-12-07T00:00:00"/>
    <d v="2016-01-27T00:00:00"/>
    <x v="0"/>
    <s v="Nil"/>
    <m/>
    <s v="BF"/>
    <x v="3"/>
    <x v="0"/>
    <x v="9"/>
    <n v="9.9999997764825804E-3"/>
    <m/>
    <x v="0"/>
    <m/>
    <x v="0"/>
    <s v="P"/>
    <m/>
    <m/>
    <n v="0"/>
    <m/>
    <n v="0"/>
    <m/>
    <n v="0"/>
    <n v="0"/>
    <n v="2"/>
    <n v="0"/>
    <n v="0"/>
    <n v="0"/>
    <n v="0"/>
    <n v="0"/>
    <n v="0"/>
    <n v="2"/>
    <n v="0"/>
    <n v="0"/>
    <n v="0"/>
    <n v="0"/>
    <n v="0"/>
    <n v="0"/>
    <n v="0"/>
    <n v="0"/>
    <n v="0"/>
    <n v="0"/>
    <n v="0"/>
    <n v="0"/>
    <n v="0"/>
    <n v="0"/>
    <n v="0"/>
    <n v="0"/>
    <n v="0"/>
    <n v="0"/>
    <s v="West"/>
    <x v="0"/>
    <x v="0"/>
    <x v="1"/>
    <x v="0"/>
    <x v="0"/>
    <x v="0"/>
    <m/>
    <x v="0"/>
    <s v="Y"/>
    <s v="9A"/>
    <m/>
    <n v="0"/>
    <n v="0.5"/>
    <n v="0.5"/>
    <n v="0.5"/>
    <n v="0.5"/>
    <n v="0"/>
    <n v="0"/>
    <n v="0"/>
    <n v="0"/>
    <n v="0"/>
    <n v="0"/>
    <n v="0"/>
    <n v="0"/>
    <n v="0"/>
    <n v="0"/>
    <n v="0"/>
    <n v="0"/>
    <n v="0"/>
    <n v="0"/>
    <n v="0"/>
    <n v="0"/>
    <n v="2"/>
    <n v="2"/>
  </r>
  <r>
    <n v="5119"/>
    <x v="1"/>
    <s v="2017/0847"/>
    <m/>
    <s v="Land west of, 17 Broadwater Road"/>
    <m/>
    <n v="527391"/>
    <n v="171805"/>
    <x v="4"/>
    <m/>
    <m/>
    <n v="0"/>
    <n v="6"/>
    <n v="6"/>
    <n v="6"/>
    <n v="6"/>
    <m/>
    <s v="Erection of a three-storey building (plus basement level with front and rear lightwells) to provide 6 residential flats (1 x 3-bedroom, 2 x 2-bedroom and 3 x 1-bedrooms units) with balconies to the rear and roof terraces to front/side/rear, and associated cycling and refuse storage."/>
    <s v="PF"/>
    <d v="2017-02-14T00:00:00"/>
    <d v="2017-09-25T00:00:00"/>
    <x v="1"/>
    <s v="Nil"/>
    <m/>
    <s v="BF"/>
    <x v="0"/>
    <x v="0"/>
    <x v="0"/>
    <n v="2.5000000372528999E-2"/>
    <m/>
    <x v="0"/>
    <m/>
    <x v="0"/>
    <s v="P"/>
    <m/>
    <m/>
    <n v="0"/>
    <m/>
    <n v="0"/>
    <m/>
    <n v="0"/>
    <n v="3"/>
    <n v="2"/>
    <n v="1"/>
    <n v="0"/>
    <n v="0"/>
    <n v="0"/>
    <n v="0"/>
    <n v="3"/>
    <n v="2"/>
    <n v="1"/>
    <n v="0"/>
    <n v="0"/>
    <n v="0"/>
    <n v="0"/>
    <n v="0"/>
    <n v="0"/>
    <n v="0"/>
    <n v="0"/>
    <n v="0"/>
    <n v="0"/>
    <n v="0"/>
    <n v="0"/>
    <n v="0"/>
    <n v="0"/>
    <n v="0"/>
    <n v="0"/>
    <n v="0"/>
    <s v="East"/>
    <x v="0"/>
    <x v="0"/>
    <x v="1"/>
    <x v="0"/>
    <x v="0"/>
    <x v="0"/>
    <m/>
    <x v="0"/>
    <s v="Y"/>
    <s v="5A"/>
    <m/>
    <n v="0"/>
    <n v="0"/>
    <n v="0"/>
    <n v="0"/>
    <n v="0"/>
    <n v="0"/>
    <n v="2"/>
    <n v="2"/>
    <n v="2"/>
    <n v="0"/>
    <n v="0"/>
    <n v="0"/>
    <n v="0"/>
    <n v="0"/>
    <n v="0"/>
    <n v="0"/>
    <n v="0"/>
    <n v="0"/>
    <n v="0"/>
    <n v="0"/>
    <n v="0"/>
    <n v="0"/>
    <n v="6"/>
  </r>
  <r>
    <n v="5122"/>
    <x v="1"/>
    <s v="2016/2586"/>
    <m/>
    <s v="206-208 &amp; 2A Stella Road, Mitcham Road"/>
    <m/>
    <n v="527968"/>
    <n v="170921"/>
    <x v="8"/>
    <m/>
    <m/>
    <n v="4"/>
    <n v="9"/>
    <n v="5"/>
    <n v="9"/>
    <n v="5"/>
    <m/>
    <s v="Demolition of 206 Mitcham Road, and construction of a four-storey building (plus basement level) to provide 1 x 3-bedroom, 2 x 1-bedroom and 4 x 2-bedroom flats with roof terraces and rear balconies, and basement office accommodation with front lightwell (Use Class B1a).  Construction of an additional storey of accommodation to  208 Mitcham Road (to provide 2 x 1-bedroom flats), extension and provision of roof terraces to 2no. existing flats at first and second floor.  Alterations to existing light industrial units (2A Stella Road - Use Class B1c) to provide office space (Class B1a).  Associated landscaping including ground floor communal garden, parking and refuse storage."/>
    <s v="PF"/>
    <d v="2016-05-17T00:00:00"/>
    <d v="2016-09-21T00:00:00"/>
    <x v="0"/>
    <s v="Nil"/>
    <m/>
    <s v="BF"/>
    <x v="0"/>
    <x v="0"/>
    <x v="0"/>
    <n v="9.8999999463558197E-2"/>
    <m/>
    <x v="0"/>
    <m/>
    <x v="0"/>
    <s v="P"/>
    <m/>
    <m/>
    <n v="0"/>
    <m/>
    <n v="0"/>
    <m/>
    <n v="-4"/>
    <n v="4"/>
    <n v="4"/>
    <n v="1"/>
    <n v="0"/>
    <n v="0"/>
    <n v="0"/>
    <n v="-4"/>
    <n v="4"/>
    <n v="4"/>
    <n v="1"/>
    <n v="0"/>
    <n v="0"/>
    <n v="0"/>
    <n v="0"/>
    <n v="0"/>
    <n v="0"/>
    <n v="0"/>
    <n v="0"/>
    <n v="0"/>
    <n v="0"/>
    <n v="0"/>
    <n v="0"/>
    <n v="0"/>
    <n v="0"/>
    <n v="0"/>
    <n v="0"/>
    <n v="0"/>
    <s v="East"/>
    <x v="0"/>
    <x v="0"/>
    <x v="1"/>
    <x v="0"/>
    <x v="0"/>
    <x v="0"/>
    <m/>
    <x v="0"/>
    <s v="Y"/>
    <s v="5B"/>
    <m/>
    <n v="0"/>
    <n v="0"/>
    <n v="0"/>
    <n v="0"/>
    <n v="1.6666666666666667"/>
    <n v="1.6666666666666667"/>
    <n v="1.6666666666666667"/>
    <n v="0"/>
    <n v="0"/>
    <n v="0"/>
    <n v="0"/>
    <n v="0"/>
    <n v="0"/>
    <n v="0"/>
    <n v="0"/>
    <n v="0"/>
    <n v="0"/>
    <n v="0"/>
    <n v="0"/>
    <n v="0"/>
    <n v="0"/>
    <n v="3.3333333333333335"/>
    <n v="5"/>
  </r>
  <r>
    <n v="5142"/>
    <x v="1"/>
    <s v="2017/6879"/>
    <m/>
    <s v="5 Laitwood Road"/>
    <m/>
    <n v="528703"/>
    <n v="173473"/>
    <x v="9"/>
    <m/>
    <m/>
    <n v="1"/>
    <n v="5"/>
    <n v="4"/>
    <n v="5"/>
    <n v="4"/>
    <m/>
    <s v="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
    <s v="PF"/>
    <d v="2017-12-15T00:00:00"/>
    <d v="2018-02-09T00:00:00"/>
    <x v="1"/>
    <s v="Nil"/>
    <m/>
    <s v="BF"/>
    <x v="4"/>
    <x v="0"/>
    <x v="8"/>
    <n v="3.70000004768372E-2"/>
    <m/>
    <x v="0"/>
    <m/>
    <x v="0"/>
    <s v="P"/>
    <m/>
    <m/>
    <n v="0"/>
    <m/>
    <n v="0"/>
    <m/>
    <n v="0"/>
    <n v="1"/>
    <n v="2"/>
    <n v="2"/>
    <n v="0"/>
    <n v="-1"/>
    <n v="0"/>
    <n v="0"/>
    <n v="1"/>
    <n v="2"/>
    <n v="2"/>
    <n v="0"/>
    <n v="0"/>
    <n v="0"/>
    <n v="0"/>
    <n v="0"/>
    <n v="0"/>
    <n v="0"/>
    <n v="0"/>
    <n v="-1"/>
    <n v="0"/>
    <n v="0"/>
    <n v="0"/>
    <n v="0"/>
    <n v="0"/>
    <n v="0"/>
    <n v="0"/>
    <n v="0"/>
    <s v="East"/>
    <x v="0"/>
    <x v="0"/>
    <x v="1"/>
    <x v="0"/>
    <x v="0"/>
    <x v="0"/>
    <m/>
    <x v="0"/>
    <s v="Y"/>
    <s v="9A"/>
    <m/>
    <n v="0"/>
    <n v="1"/>
    <n v="1"/>
    <n v="1"/>
    <n v="1"/>
    <n v="0"/>
    <n v="0"/>
    <n v="0"/>
    <n v="0"/>
    <n v="0"/>
    <n v="0"/>
    <n v="0"/>
    <n v="0"/>
    <n v="0"/>
    <n v="0"/>
    <n v="0"/>
    <n v="0"/>
    <n v="0"/>
    <n v="0"/>
    <n v="0"/>
    <n v="0"/>
    <n v="4"/>
    <n v="4"/>
  </r>
  <r>
    <n v="5162"/>
    <x v="1"/>
    <s v="2016/4807"/>
    <m/>
    <s v="58a Selkirk Road"/>
    <m/>
    <n v="527391"/>
    <n v="171717"/>
    <x v="4"/>
    <m/>
    <m/>
    <n v="0"/>
    <n v="1"/>
    <n v="1"/>
    <n v="1"/>
    <n v="1"/>
    <m/>
    <s v="Alterations in connection with conversion of garage into a 2-bedroom one storey dwelling plus basement level."/>
    <s v="PF"/>
    <d v="2016-11-17T00:00:00"/>
    <d v="2017-05-18T00:00:00"/>
    <x v="1"/>
    <s v="Nil"/>
    <m/>
    <s v="BF"/>
    <x v="3"/>
    <x v="0"/>
    <x v="9"/>
    <n v="1.9999999552965199E-2"/>
    <m/>
    <x v="0"/>
    <m/>
    <x v="0"/>
    <s v="P"/>
    <m/>
    <m/>
    <n v="0"/>
    <m/>
    <n v="0"/>
    <m/>
    <n v="0"/>
    <n v="0"/>
    <n v="1"/>
    <n v="0"/>
    <n v="0"/>
    <n v="0"/>
    <n v="0"/>
    <n v="0"/>
    <n v="0"/>
    <n v="0"/>
    <n v="0"/>
    <n v="0"/>
    <n v="0"/>
    <n v="0"/>
    <n v="0"/>
    <n v="0"/>
    <n v="1"/>
    <n v="0"/>
    <n v="0"/>
    <n v="0"/>
    <n v="0"/>
    <n v="0"/>
    <n v="0"/>
    <n v="0"/>
    <n v="0"/>
    <n v="0"/>
    <n v="0"/>
    <n v="0"/>
    <s v="East"/>
    <x v="0"/>
    <x v="0"/>
    <x v="1"/>
    <x v="0"/>
    <x v="0"/>
    <x v="0"/>
    <m/>
    <x v="0"/>
    <s v="Y"/>
    <s v="9A"/>
    <m/>
    <n v="0"/>
    <n v="0.25"/>
    <n v="0.25"/>
    <n v="0.25"/>
    <n v="0.25"/>
    <n v="0"/>
    <n v="0"/>
    <n v="0"/>
    <n v="0"/>
    <n v="0"/>
    <n v="0"/>
    <n v="0"/>
    <n v="0"/>
    <n v="0"/>
    <n v="0"/>
    <n v="0"/>
    <n v="0"/>
    <n v="0"/>
    <n v="0"/>
    <n v="0"/>
    <n v="0"/>
    <n v="1"/>
    <n v="1"/>
  </r>
  <r>
    <n v="5188"/>
    <x v="1"/>
    <s v="2015/2571"/>
    <m/>
    <s v="26 Woodborough Road"/>
    <m/>
    <n v="522735"/>
    <n v="175024"/>
    <x v="7"/>
    <m/>
    <m/>
    <n v="1"/>
    <n v="1"/>
    <n v="0"/>
    <n v="1"/>
    <n v="0"/>
    <m/>
    <s v="Demolition of existing building and erection of a two-storey dwelling house with accommodation at basement and roof level; alterations to front boundary wall including new piers and gates. Removal of eight trees."/>
    <s v="PF"/>
    <d v="2015-06-08T00:00:00"/>
    <d v="2015-09-17T00:00:00"/>
    <x v="0"/>
    <s v="Nil"/>
    <m/>
    <s v="BF"/>
    <x v="0"/>
    <x v="0"/>
    <x v="0"/>
    <n v="0.12800000607967399"/>
    <m/>
    <x v="0"/>
    <m/>
    <x v="0"/>
    <s v="P"/>
    <m/>
    <m/>
    <n v="1"/>
    <m/>
    <n v="0"/>
    <m/>
    <n v="0"/>
    <n v="0"/>
    <n v="0"/>
    <n v="0"/>
    <n v="-1"/>
    <n v="1"/>
    <n v="0"/>
    <n v="0"/>
    <n v="0"/>
    <n v="0"/>
    <n v="0"/>
    <n v="0"/>
    <n v="0"/>
    <n v="0"/>
    <n v="0"/>
    <n v="0"/>
    <n v="0"/>
    <n v="0"/>
    <n v="-1"/>
    <n v="1"/>
    <n v="0"/>
    <n v="0"/>
    <n v="0"/>
    <n v="0"/>
    <n v="0"/>
    <n v="0"/>
    <n v="0"/>
    <n v="0"/>
    <s v="West"/>
    <x v="0"/>
    <x v="0"/>
    <x v="1"/>
    <x v="0"/>
    <x v="0"/>
    <x v="0"/>
    <m/>
    <x v="0"/>
    <s v="Y"/>
    <n v="4"/>
    <m/>
    <n v="0"/>
    <n v="0"/>
    <n v="0"/>
    <n v="0"/>
    <n v="0"/>
    <n v="0"/>
    <n v="0"/>
    <n v="0"/>
    <n v="0"/>
    <n v="0"/>
    <n v="0"/>
    <n v="0"/>
    <n v="0"/>
    <n v="0"/>
    <n v="0"/>
    <n v="0"/>
    <n v="0"/>
    <n v="0"/>
    <n v="0"/>
    <n v="0"/>
    <n v="0"/>
    <n v="0"/>
    <n v="0"/>
  </r>
  <r>
    <n v="5234"/>
    <x v="1"/>
    <s v="2015/4902"/>
    <m/>
    <s v="Land south of 75, 75 Alston Road"/>
    <m/>
    <n v="526770"/>
    <n v="171464"/>
    <x v="4"/>
    <m/>
    <m/>
    <n v="0"/>
    <n v="1"/>
    <n v="1"/>
    <n v="1"/>
    <n v="1"/>
    <m/>
    <s v="Demolition of existing garages and erection of a part single/part two-storey dwelling (re-submission of approved planning application ref: 2013/0850)"/>
    <s v="PF"/>
    <d v="2015-09-16T00:00:00"/>
    <d v="2015-11-11T00:00:00"/>
    <x v="0"/>
    <s v="Nil"/>
    <m/>
    <s v="BF"/>
    <x v="0"/>
    <x v="0"/>
    <x v="0"/>
    <n v="1.4999999664723899E-2"/>
    <m/>
    <x v="0"/>
    <m/>
    <x v="0"/>
    <s v="P"/>
    <m/>
    <m/>
    <n v="1"/>
    <m/>
    <n v="0"/>
    <m/>
    <n v="0"/>
    <n v="1"/>
    <n v="0"/>
    <n v="0"/>
    <n v="0"/>
    <n v="0"/>
    <n v="0"/>
    <n v="0"/>
    <n v="0"/>
    <n v="0"/>
    <n v="0"/>
    <n v="0"/>
    <n v="0"/>
    <n v="0"/>
    <n v="0"/>
    <n v="1"/>
    <n v="0"/>
    <n v="0"/>
    <n v="0"/>
    <n v="0"/>
    <n v="0"/>
    <n v="0"/>
    <n v="0"/>
    <n v="0"/>
    <n v="0"/>
    <n v="0"/>
    <n v="0"/>
    <n v="0"/>
    <s v="East"/>
    <x v="0"/>
    <x v="0"/>
    <x v="1"/>
    <x v="0"/>
    <x v="0"/>
    <x v="0"/>
    <m/>
    <x v="0"/>
    <s v="Y"/>
    <n v="4"/>
    <m/>
    <n v="0"/>
    <n v="0"/>
    <n v="0.25"/>
    <n v="0.25"/>
    <n v="0.25"/>
    <n v="0.25"/>
    <n v="0"/>
    <n v="0"/>
    <n v="0"/>
    <n v="0"/>
    <n v="0"/>
    <n v="0"/>
    <n v="0"/>
    <n v="0"/>
    <n v="0"/>
    <n v="0"/>
    <n v="0"/>
    <n v="0"/>
    <n v="0"/>
    <n v="0"/>
    <n v="0"/>
    <n v="1"/>
    <n v="1"/>
  </r>
  <r>
    <n v="5278"/>
    <x v="1"/>
    <s v="2016/0914"/>
    <m/>
    <s v="76 Queenstown Road"/>
    <m/>
    <n v="528623"/>
    <n v="176042"/>
    <x v="6"/>
    <m/>
    <m/>
    <n v="0"/>
    <n v="4"/>
    <n v="4"/>
    <n v="4"/>
    <n v="4"/>
    <m/>
    <s v="Demolition of existing building. Erection of part single part two-storey back land building with associated change of use from business (Use Class B1) to dwellings (Use Class C3) to provide 4 x 2-bedroom houses, accessed through the passageway off Queenstown Road.  Associated landscaping, cycle and refuse storage, gate and railings and alterations to the Queenstown Road frontage."/>
    <s v="PF"/>
    <d v="2016-02-17T00:00:00"/>
    <d v="2016-09-01T00:00:00"/>
    <x v="0"/>
    <s v="Nil"/>
    <m/>
    <s v="BF"/>
    <x v="0"/>
    <x v="0"/>
    <x v="0"/>
    <n v="1.9999999552965199E-2"/>
    <m/>
    <x v="0"/>
    <m/>
    <x v="0"/>
    <s v="P"/>
    <m/>
    <m/>
    <n v="0"/>
    <m/>
    <n v="0"/>
    <m/>
    <n v="0"/>
    <n v="0"/>
    <n v="4"/>
    <n v="0"/>
    <n v="0"/>
    <n v="0"/>
    <n v="0"/>
    <n v="0"/>
    <n v="0"/>
    <n v="0"/>
    <n v="0"/>
    <n v="0"/>
    <n v="0"/>
    <n v="0"/>
    <n v="0"/>
    <n v="0"/>
    <n v="4"/>
    <n v="0"/>
    <n v="0"/>
    <n v="0"/>
    <n v="0"/>
    <n v="0"/>
    <n v="0"/>
    <n v="0"/>
    <n v="0"/>
    <n v="0"/>
    <n v="0"/>
    <n v="0"/>
    <s v="East"/>
    <x v="0"/>
    <x v="0"/>
    <x v="1"/>
    <x v="0"/>
    <x v="0"/>
    <x v="0"/>
    <m/>
    <x v="0"/>
    <s v="Y"/>
    <n v="4"/>
    <m/>
    <n v="0"/>
    <n v="0"/>
    <n v="1"/>
    <n v="1"/>
    <n v="1"/>
    <n v="1"/>
    <n v="0"/>
    <n v="0"/>
    <n v="0"/>
    <n v="0"/>
    <n v="0"/>
    <n v="0"/>
    <n v="0"/>
    <n v="0"/>
    <n v="0"/>
    <n v="0"/>
    <n v="0"/>
    <n v="0"/>
    <n v="0"/>
    <n v="0"/>
    <n v="0"/>
    <n v="4"/>
    <n v="4"/>
  </r>
  <r>
    <n v="5281"/>
    <x v="1"/>
    <s v="2017/5094"/>
    <m/>
    <s v="915 Garratt Lane"/>
    <m/>
    <n v="526909"/>
    <n v="171864"/>
    <x v="4"/>
    <m/>
    <m/>
    <n v="0"/>
    <n v="1"/>
    <n v="1"/>
    <n v="1"/>
    <n v="1"/>
    <m/>
    <s v="Alterations including the demolition of the existing ground floor rear garage and the erection of a single storey rear extension and a single storey rear extension at first floor level in connection with change of use of rear of ground floor from retail (Class A1) to residential (Class C3) to provide one bedroom flat and internal alterations to the first floor flat."/>
    <s v="PF"/>
    <d v="2017-09-13T00:00:00"/>
    <d v="2017-12-08T00:00:00"/>
    <x v="1"/>
    <s v="Nil"/>
    <m/>
    <s v="BF"/>
    <x v="4"/>
    <x v="0"/>
    <x v="4"/>
    <n v="4.0000001899898104E-3"/>
    <m/>
    <x v="0"/>
    <m/>
    <x v="0"/>
    <s v="P"/>
    <m/>
    <m/>
    <n v="0"/>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5284"/>
    <x v="1"/>
    <s v="2016/6854"/>
    <m/>
    <s v="507 Battersea Park Road"/>
    <m/>
    <n v="527494"/>
    <n v="176369"/>
    <x v="2"/>
    <m/>
    <m/>
    <n v="0"/>
    <n v="1"/>
    <n v="1"/>
    <n v="1"/>
    <n v="1"/>
    <m/>
    <s v="Alterations including erection of single storey side/rear extension and extension to basement in connection with change of use to the rear of property from betting shop (Use Class sui generis) to 1 x 2-bedroom flat (Use Class C3), accessed using rear path from Atherton Street, and alterations to the shopfront including a new door."/>
    <s v="PF"/>
    <d v="2016-12-14T00:00:00"/>
    <d v="2017-03-28T00:00:00"/>
    <x v="0"/>
    <s v="Nil"/>
    <m/>
    <s v="BF"/>
    <x v="4"/>
    <x v="0"/>
    <x v="9"/>
    <n v="6.0000000521540598E-3"/>
    <m/>
    <x v="0"/>
    <m/>
    <x v="0"/>
    <s v="P"/>
    <m/>
    <m/>
    <n v="0"/>
    <m/>
    <n v="0"/>
    <m/>
    <n v="0"/>
    <n v="0"/>
    <n v="1"/>
    <n v="0"/>
    <n v="0"/>
    <n v="0"/>
    <n v="0"/>
    <n v="0"/>
    <n v="0"/>
    <n v="1"/>
    <n v="0"/>
    <n v="0"/>
    <n v="0"/>
    <n v="0"/>
    <n v="0"/>
    <n v="0"/>
    <n v="0"/>
    <n v="0"/>
    <n v="0"/>
    <n v="0"/>
    <n v="0"/>
    <n v="0"/>
    <n v="0"/>
    <n v="0"/>
    <n v="0"/>
    <n v="0"/>
    <n v="0"/>
    <n v="0"/>
    <s v="East"/>
    <x v="0"/>
    <x v="0"/>
    <x v="1"/>
    <x v="0"/>
    <x v="0"/>
    <x v="0"/>
    <m/>
    <x v="0"/>
    <s v="Y"/>
    <s v="9A"/>
    <m/>
    <n v="0"/>
    <n v="0.25"/>
    <n v="0.25"/>
    <n v="0.25"/>
    <n v="0.25"/>
    <n v="0"/>
    <n v="0"/>
    <n v="0"/>
    <n v="0"/>
    <n v="0"/>
    <n v="0"/>
    <n v="0"/>
    <n v="0"/>
    <n v="0"/>
    <n v="0"/>
    <n v="0"/>
    <n v="0"/>
    <n v="0"/>
    <n v="0"/>
    <n v="0"/>
    <n v="0"/>
    <n v="1"/>
    <n v="1"/>
  </r>
  <r>
    <n v="5298"/>
    <x v="1"/>
    <s v="2016/4655"/>
    <m/>
    <s v="16 Roehampton Gate"/>
    <m/>
    <n v="521254"/>
    <n v="174526"/>
    <x v="15"/>
    <m/>
    <m/>
    <n v="0"/>
    <n v="1"/>
    <n v="1"/>
    <n v="1"/>
    <n v="1"/>
    <m/>
    <s v="Demolition of existing building and erection of a two-storey (plus basement and roof levels) house."/>
    <s v="PF"/>
    <d v="2016-08-08T00:00:00"/>
    <d v="2016-11-17T00:00:00"/>
    <x v="0"/>
    <s v="Nil"/>
    <m/>
    <s v="BF"/>
    <x v="0"/>
    <x v="0"/>
    <x v="0"/>
    <n v="0.108000002801418"/>
    <m/>
    <x v="0"/>
    <m/>
    <x v="0"/>
    <s v="P"/>
    <m/>
    <m/>
    <n v="1"/>
    <m/>
    <n v="1"/>
    <m/>
    <n v="0"/>
    <n v="0"/>
    <n v="0"/>
    <n v="0"/>
    <n v="0"/>
    <n v="1"/>
    <n v="0"/>
    <n v="0"/>
    <n v="0"/>
    <n v="0"/>
    <n v="0"/>
    <n v="0"/>
    <n v="0"/>
    <n v="0"/>
    <n v="0"/>
    <n v="0"/>
    <n v="0"/>
    <n v="0"/>
    <n v="0"/>
    <n v="1"/>
    <n v="0"/>
    <n v="0"/>
    <n v="0"/>
    <n v="0"/>
    <n v="0"/>
    <n v="0"/>
    <n v="0"/>
    <n v="0"/>
    <s v="West"/>
    <x v="0"/>
    <x v="0"/>
    <x v="1"/>
    <x v="0"/>
    <x v="0"/>
    <x v="0"/>
    <m/>
    <x v="0"/>
    <s v="Y"/>
    <n v="4"/>
    <m/>
    <n v="0"/>
    <n v="0"/>
    <n v="0.25"/>
    <n v="0.25"/>
    <n v="0.25"/>
    <n v="0.25"/>
    <n v="0"/>
    <n v="0"/>
    <n v="0"/>
    <n v="0"/>
    <n v="0"/>
    <n v="0"/>
    <n v="0"/>
    <n v="0"/>
    <n v="0"/>
    <n v="0"/>
    <n v="0"/>
    <n v="0"/>
    <n v="0"/>
    <n v="0"/>
    <n v="0"/>
    <n v="1"/>
    <n v="1"/>
  </r>
  <r>
    <n v="5359"/>
    <x v="1"/>
    <s v="2017/0593"/>
    <m/>
    <s v="19 Elm Quay Court, Nine Elms Lane"/>
    <m/>
    <n v="529690"/>
    <n v="177683"/>
    <x v="6"/>
    <m/>
    <m/>
    <n v="1"/>
    <n v="2"/>
    <n v="1"/>
    <n v="2"/>
    <n v="1"/>
    <m/>
    <s v="Sub-division of existing two bedroom duplex, to form 1 no. one bedroom apartment, and a studio flat (as approved under previous appeal ref: APP/H5960/A/13/2205524)"/>
    <s v="PF"/>
    <d v="2017-02-01T00:00:00"/>
    <d v="2017-03-10T00:00:00"/>
    <x v="0"/>
    <s v="Nil"/>
    <m/>
    <s v="BF"/>
    <x v="1"/>
    <x v="0"/>
    <x v="10"/>
    <n v="8.0000003799796104E-3"/>
    <m/>
    <x v="0"/>
    <m/>
    <x v="0"/>
    <s v="P"/>
    <m/>
    <m/>
    <n v="0"/>
    <m/>
    <n v="0"/>
    <m/>
    <n v="1"/>
    <n v="1"/>
    <n v="-1"/>
    <n v="0"/>
    <n v="0"/>
    <n v="0"/>
    <n v="0"/>
    <n v="1"/>
    <n v="1"/>
    <n v="0"/>
    <n v="0"/>
    <n v="0"/>
    <n v="0"/>
    <n v="0"/>
    <n v="0"/>
    <n v="0"/>
    <n v="-1"/>
    <n v="0"/>
    <n v="0"/>
    <n v="0"/>
    <n v="0"/>
    <n v="0"/>
    <n v="0"/>
    <n v="0"/>
    <n v="0"/>
    <n v="0"/>
    <n v="0"/>
    <n v="0"/>
    <s v="Strategic Planning/Nine Elms"/>
    <x v="0"/>
    <x v="1"/>
    <x v="1"/>
    <x v="0"/>
    <x v="0"/>
    <x v="0"/>
    <m/>
    <x v="0"/>
    <s v="Y"/>
    <s v="9A"/>
    <m/>
    <n v="0"/>
    <n v="0.25"/>
    <n v="0.25"/>
    <n v="0.25"/>
    <n v="0.25"/>
    <n v="0"/>
    <n v="0"/>
    <n v="0"/>
    <n v="0"/>
    <n v="0"/>
    <n v="0"/>
    <n v="0"/>
    <n v="0"/>
    <n v="0"/>
    <n v="0"/>
    <n v="0"/>
    <n v="0"/>
    <n v="0"/>
    <n v="0"/>
    <n v="0"/>
    <n v="0"/>
    <n v="1"/>
    <n v="1"/>
  </r>
  <r>
    <n v="5363"/>
    <x v="1"/>
    <s v="2016/0280"/>
    <m/>
    <s v="Centre Square 1-9, 1 Hardwicks Square"/>
    <m/>
    <n v="525417"/>
    <n v="174604"/>
    <x v="5"/>
    <m/>
    <m/>
    <n v="1"/>
    <n v="1"/>
    <n v="0"/>
    <n v="1"/>
    <n v="0"/>
    <m/>
    <s v="Change of use of the basement and a portion of the ground floor from C3 (residential) to D2 (Assembly and Leisure) and minor alterations to ground floor entrance."/>
    <s v="PF"/>
    <d v="2016-01-25T00:00:00"/>
    <d v="2016-03-21T00:00:00"/>
    <x v="0"/>
    <s v="Nil"/>
    <m/>
    <s v="BF"/>
    <x v="3"/>
    <x v="0"/>
    <x v="6"/>
    <n v="6.0000000521540598E-3"/>
    <m/>
    <x v="0"/>
    <m/>
    <x v="0"/>
    <s v="P"/>
    <m/>
    <m/>
    <n v="0"/>
    <m/>
    <n v="0"/>
    <m/>
    <n v="0"/>
    <n v="1"/>
    <n v="-1"/>
    <n v="0"/>
    <n v="0"/>
    <n v="0"/>
    <n v="0"/>
    <n v="0"/>
    <n v="1"/>
    <n v="-1"/>
    <n v="0"/>
    <n v="0"/>
    <n v="0"/>
    <n v="0"/>
    <n v="0"/>
    <n v="0"/>
    <n v="0"/>
    <n v="0"/>
    <n v="0"/>
    <n v="0"/>
    <n v="0"/>
    <n v="0"/>
    <n v="0"/>
    <n v="0"/>
    <n v="0"/>
    <n v="0"/>
    <n v="0"/>
    <n v="0"/>
    <s v="West"/>
    <x v="4"/>
    <x v="0"/>
    <x v="0"/>
    <x v="0"/>
    <x v="0"/>
    <x v="0"/>
    <m/>
    <x v="0"/>
    <s v="Y"/>
    <s v="9A"/>
    <m/>
    <n v="0"/>
    <n v="0"/>
    <n v="0"/>
    <n v="0"/>
    <n v="0"/>
    <n v="0"/>
    <n v="0"/>
    <n v="0"/>
    <n v="0"/>
    <n v="0"/>
    <n v="0"/>
    <n v="0"/>
    <n v="0"/>
    <n v="0"/>
    <n v="0"/>
    <n v="0"/>
    <n v="0"/>
    <n v="0"/>
    <n v="0"/>
    <n v="0"/>
    <n v="0"/>
    <n v="0"/>
    <n v="0"/>
  </r>
  <r>
    <n v="5454"/>
    <x v="1"/>
    <s v="2015/0039"/>
    <m/>
    <s v="Carlson Court, 116 Putney Bridge Road"/>
    <m/>
    <n v="524592"/>
    <n v="175268"/>
    <x v="13"/>
    <m/>
    <m/>
    <n v="0"/>
    <n v="53"/>
    <n v="53"/>
    <n v="53"/>
    <n v="53"/>
    <s v="Y"/>
    <s v="Alterations and extensions to the existing building including erection of part single, part two storey roof extension; erection of ground, first and second floor extensions into part of the internal courtyard area; removal of part of the façade facing Wandsworth Park; creation of portal gateway entrance off Deodar Road and other reconfiguration works. Proposed alterations and extensions in connection with provision of a total of 2,225 sq.m.  commercial floorspace at basement and ground floor levels, and 53 residential units (all private tenure) on the first to fourth floors, (10 x one-bedroom, 40 x two-bedroom and 3 x three-bedroom), with balconies, terraces and winter gardens,  with 10 basement car parking spaces accessed via car lift, and associated cycle parking provision and landscaping works."/>
    <s v="PFLA"/>
    <d v="2015-01-07T00:00:00"/>
    <d v="2015-10-14T00:00:00"/>
    <x v="0"/>
    <s v="Nil"/>
    <m/>
    <s v="BF"/>
    <x v="0"/>
    <x v="1"/>
    <x v="1"/>
    <n v="0.19599999487400099"/>
    <m/>
    <x v="0"/>
    <m/>
    <x v="0"/>
    <s v="P"/>
    <m/>
    <m/>
    <n v="53"/>
    <m/>
    <n v="6"/>
    <m/>
    <n v="0"/>
    <n v="10"/>
    <n v="40"/>
    <n v="3"/>
    <n v="0"/>
    <n v="0"/>
    <n v="0"/>
    <n v="0"/>
    <n v="10"/>
    <n v="40"/>
    <n v="3"/>
    <n v="0"/>
    <n v="0"/>
    <n v="0"/>
    <n v="0"/>
    <n v="0"/>
    <n v="0"/>
    <n v="0"/>
    <n v="0"/>
    <n v="0"/>
    <n v="0"/>
    <n v="0"/>
    <n v="0"/>
    <n v="0"/>
    <n v="0"/>
    <n v="0"/>
    <n v="0"/>
    <n v="0"/>
    <s v="West"/>
    <x v="0"/>
    <x v="0"/>
    <x v="1"/>
    <x v="0"/>
    <x v="0"/>
    <x v="0"/>
    <s v="Y"/>
    <x v="0"/>
    <s v="Y"/>
    <s v="5B"/>
    <m/>
    <n v="0"/>
    <n v="0"/>
    <n v="0"/>
    <n v="0"/>
    <n v="17.666666666666668"/>
    <n v="17.666666666666668"/>
    <n v="17.666666666666668"/>
    <n v="0"/>
    <n v="0"/>
    <n v="0"/>
    <n v="0"/>
    <n v="0"/>
    <n v="0"/>
    <n v="0"/>
    <n v="0"/>
    <n v="0"/>
    <n v="0"/>
    <n v="0"/>
    <n v="0"/>
    <n v="0"/>
    <n v="0"/>
    <n v="35.333333333333336"/>
    <n v="53"/>
  </r>
  <r>
    <n v="5479"/>
    <x v="1"/>
    <s v="2016/4033"/>
    <s v="Land adjacent to 76a Stanley Grove"/>
    <s v="Land rear of, 76-77 Stanley Grove"/>
    <m/>
    <n v="528475"/>
    <n v="176217"/>
    <x v="6"/>
    <m/>
    <m/>
    <n v="0"/>
    <n v="2"/>
    <n v="2"/>
    <n v="2"/>
    <n v="2"/>
    <m/>
    <s v="Erection of 1 x two-storey (plus roof and basement levels, and first floor roof terrace) 3-bedroom house adjoining no. 76A Stanley Grove, and erection of 1 x two-storey (plus basement level) 4-bedroom house to rear.  Erection of replacement electricity substation, cycle store and refuse store to Stanley Road frontage."/>
    <s v="PF"/>
    <d v="2016-07-08T00:00:00"/>
    <d v="2016-11-28T00:00:00"/>
    <x v="0"/>
    <s v="Nil"/>
    <m/>
    <s v="BF"/>
    <x v="0"/>
    <x v="0"/>
    <x v="0"/>
    <n v="3.29999998211861E-2"/>
    <m/>
    <x v="0"/>
    <m/>
    <x v="0"/>
    <s v="P"/>
    <m/>
    <m/>
    <n v="2"/>
    <m/>
    <n v="0"/>
    <m/>
    <n v="0"/>
    <n v="0"/>
    <n v="0"/>
    <n v="2"/>
    <n v="0"/>
    <n v="0"/>
    <n v="0"/>
    <n v="0"/>
    <n v="0"/>
    <n v="0"/>
    <n v="0"/>
    <n v="0"/>
    <n v="0"/>
    <n v="0"/>
    <n v="0"/>
    <n v="0"/>
    <n v="0"/>
    <n v="2"/>
    <n v="0"/>
    <n v="0"/>
    <n v="0"/>
    <n v="0"/>
    <n v="0"/>
    <n v="0"/>
    <n v="0"/>
    <n v="0"/>
    <n v="0"/>
    <n v="0"/>
    <s v="East"/>
    <x v="0"/>
    <x v="0"/>
    <x v="1"/>
    <x v="0"/>
    <x v="0"/>
    <x v="0"/>
    <m/>
    <x v="0"/>
    <s v="Y"/>
    <n v="4"/>
    <m/>
    <n v="0"/>
    <n v="0"/>
    <n v="0.5"/>
    <n v="0.5"/>
    <n v="0.5"/>
    <n v="0.5"/>
    <n v="0"/>
    <n v="0"/>
    <n v="0"/>
    <n v="0"/>
    <n v="0"/>
    <n v="0"/>
    <n v="0"/>
    <n v="0"/>
    <n v="0"/>
    <n v="0"/>
    <n v="0"/>
    <n v="0"/>
    <n v="0"/>
    <n v="0"/>
    <n v="0"/>
    <n v="2"/>
    <n v="2"/>
  </r>
  <r>
    <n v="5499"/>
    <x v="1"/>
    <s v="2017/0014"/>
    <m/>
    <s v="Heliport House, 38 Lombard Road"/>
    <m/>
    <n v="526630"/>
    <n v="176073"/>
    <x v="1"/>
    <m/>
    <m/>
    <n v="0"/>
    <n v="4"/>
    <n v="4"/>
    <n v="4"/>
    <n v="4"/>
    <m/>
    <s v="Determination as to whether prior approval is required for change of use of first and second floors from office (Class B1a) to residential (Class C3) to provide 3 x 2-bedroom and 1 x 1-bedroom flats."/>
    <s v="PAG"/>
    <d v="2017-01-12T00:00:00"/>
    <d v="2017-03-09T00:00:00"/>
    <x v="0"/>
    <s v="Nil"/>
    <m/>
    <s v="BF"/>
    <x v="3"/>
    <x v="0"/>
    <x v="9"/>
    <n v="1.39999995008111E-3"/>
    <m/>
    <x v="0"/>
    <m/>
    <x v="0"/>
    <s v="P"/>
    <s v="10.3"/>
    <m/>
    <n v="0"/>
    <m/>
    <n v="0"/>
    <m/>
    <n v="0"/>
    <n v="1"/>
    <n v="3"/>
    <n v="0"/>
    <n v="0"/>
    <n v="0"/>
    <n v="0"/>
    <n v="0"/>
    <n v="1"/>
    <n v="3"/>
    <n v="0"/>
    <n v="0"/>
    <n v="0"/>
    <n v="0"/>
    <n v="0"/>
    <n v="0"/>
    <n v="0"/>
    <n v="0"/>
    <n v="0"/>
    <n v="0"/>
    <n v="0"/>
    <n v="0"/>
    <n v="0"/>
    <n v="0"/>
    <n v="0"/>
    <n v="0"/>
    <n v="0"/>
    <n v="0"/>
    <s v="East"/>
    <x v="0"/>
    <x v="0"/>
    <x v="1"/>
    <x v="0"/>
    <x v="0"/>
    <x v="0"/>
    <s v="Y"/>
    <x v="0"/>
    <s v="Y"/>
    <s v="9A"/>
    <m/>
    <n v="0"/>
    <n v="1"/>
    <n v="1"/>
    <n v="1"/>
    <n v="1"/>
    <n v="0"/>
    <n v="0"/>
    <n v="0"/>
    <n v="0"/>
    <n v="0"/>
    <n v="0"/>
    <n v="0"/>
    <n v="0"/>
    <n v="0"/>
    <n v="0"/>
    <n v="0"/>
    <n v="0"/>
    <n v="0"/>
    <n v="0"/>
    <n v="0"/>
    <n v="0"/>
    <n v="4"/>
    <n v="4"/>
  </r>
  <r>
    <n v="5518"/>
    <x v="1"/>
    <s v="2015/4453"/>
    <m/>
    <s v="11 Thrale Road"/>
    <m/>
    <n v="529242"/>
    <n v="171102"/>
    <x v="12"/>
    <m/>
    <m/>
    <n v="1"/>
    <n v="3"/>
    <n v="2"/>
    <n v="3"/>
    <n v="2"/>
    <m/>
    <s v="Conversion of dwelling house into 3 flats (1x3 bedroom, 1x1 bedroom and 1x2 bedroom). Alterations and extensions including replacement of shopfront, rear extensions at ground floor level; roof terrace at first and second floor levels; erection of a roof extension to main rear roof (with french doors and safety railings); formation of rear lightwell."/>
    <s v="PF"/>
    <d v="2015-08-11T00:00:00"/>
    <d v="2015-10-06T00:00:00"/>
    <x v="0"/>
    <s v="Nil"/>
    <m/>
    <s v="BF"/>
    <x v="4"/>
    <x v="0"/>
    <x v="8"/>
    <n v="1.4999999664723899E-2"/>
    <m/>
    <x v="0"/>
    <m/>
    <x v="0"/>
    <s v="P"/>
    <m/>
    <m/>
    <n v="0"/>
    <m/>
    <n v="0"/>
    <m/>
    <n v="0"/>
    <n v="1"/>
    <n v="1"/>
    <n v="1"/>
    <n v="-1"/>
    <n v="0"/>
    <n v="0"/>
    <n v="0"/>
    <n v="1"/>
    <n v="1"/>
    <n v="1"/>
    <n v="0"/>
    <n v="0"/>
    <n v="0"/>
    <n v="0"/>
    <n v="0"/>
    <n v="0"/>
    <n v="0"/>
    <n v="-1"/>
    <n v="0"/>
    <n v="0"/>
    <n v="0"/>
    <n v="0"/>
    <n v="0"/>
    <n v="0"/>
    <n v="0"/>
    <n v="0"/>
    <n v="0"/>
    <s v="East"/>
    <x v="0"/>
    <x v="0"/>
    <x v="1"/>
    <x v="0"/>
    <x v="0"/>
    <x v="0"/>
    <m/>
    <x v="0"/>
    <s v="Y"/>
    <s v="9A"/>
    <m/>
    <n v="0"/>
    <n v="0.5"/>
    <n v="0.5"/>
    <n v="0.5"/>
    <n v="0.5"/>
    <n v="0"/>
    <n v="0"/>
    <n v="0"/>
    <n v="0"/>
    <n v="0"/>
    <n v="0"/>
    <n v="0"/>
    <n v="0"/>
    <n v="0"/>
    <n v="0"/>
    <n v="0"/>
    <n v="0"/>
    <n v="0"/>
    <n v="0"/>
    <n v="0"/>
    <n v="0"/>
    <n v="2"/>
    <n v="2"/>
  </r>
  <r>
    <n v="5539"/>
    <x v="1"/>
    <s v="2015/0995"/>
    <m/>
    <s v="Vacant land r/o, 14 Chivalry Road"/>
    <m/>
    <n v="527142"/>
    <n v="174906"/>
    <x v="14"/>
    <m/>
    <m/>
    <n v="0"/>
    <n v="1"/>
    <n v="1"/>
    <n v="1"/>
    <n v="1"/>
    <m/>
    <s v="Erection of a 3-storey house to the rear of 14 Chivalry Road, and adjacent to 118 Bolingbroke Grove."/>
    <s v="PF"/>
    <d v="2015-03-23T00:00:00"/>
    <d v="2015-08-13T00:00:00"/>
    <x v="0"/>
    <s v="Nil"/>
    <m/>
    <s v="BF"/>
    <x v="0"/>
    <x v="0"/>
    <x v="0"/>
    <n v="9.9999997764825804E-3"/>
    <m/>
    <x v="0"/>
    <m/>
    <x v="0"/>
    <s v="P"/>
    <m/>
    <m/>
    <n v="1"/>
    <m/>
    <n v="0"/>
    <m/>
    <n v="0"/>
    <n v="0"/>
    <n v="0"/>
    <n v="0"/>
    <n v="1"/>
    <n v="0"/>
    <n v="0"/>
    <n v="0"/>
    <n v="0"/>
    <n v="0"/>
    <n v="0"/>
    <n v="0"/>
    <n v="0"/>
    <n v="0"/>
    <n v="0"/>
    <n v="0"/>
    <n v="0"/>
    <n v="0"/>
    <n v="1"/>
    <n v="0"/>
    <n v="0"/>
    <n v="0"/>
    <n v="0"/>
    <n v="0"/>
    <n v="0"/>
    <n v="0"/>
    <n v="0"/>
    <n v="0"/>
    <s v="East"/>
    <x v="0"/>
    <x v="0"/>
    <x v="1"/>
    <x v="0"/>
    <x v="0"/>
    <x v="0"/>
    <m/>
    <x v="0"/>
    <s v="Y"/>
    <n v="4"/>
    <m/>
    <n v="0"/>
    <n v="0"/>
    <n v="0.25"/>
    <n v="0.25"/>
    <n v="0.25"/>
    <n v="0.25"/>
    <n v="0"/>
    <n v="0"/>
    <n v="0"/>
    <n v="0"/>
    <n v="0"/>
    <n v="0"/>
    <n v="0"/>
    <n v="0"/>
    <n v="0"/>
    <n v="0"/>
    <n v="0"/>
    <n v="0"/>
    <n v="0"/>
    <n v="0"/>
    <n v="0"/>
    <n v="1"/>
    <n v="1"/>
  </r>
  <r>
    <n v="5552"/>
    <x v="1"/>
    <s v="2017/3067"/>
    <m/>
    <s v="148-150 Penwith Road"/>
    <m/>
    <n v="525905"/>
    <n v="173024"/>
    <x v="18"/>
    <m/>
    <m/>
    <n v="0"/>
    <n v="7"/>
    <n v="7"/>
    <n v="7"/>
    <n v="7"/>
    <m/>
    <s v="Determination as to whether prior approval is required for change of use of offices on part first and second floor levels from (Class B1a)  to residential (Class C3) to provide 3 x 2-bedroom, 3 x 1-bedroom and 1 x studio flats."/>
    <s v="PAG"/>
    <d v="2017-06-02T00:00:00"/>
    <d v="2017-07-28T00:00:00"/>
    <x v="1"/>
    <s v="Nil"/>
    <m/>
    <s v="BF"/>
    <x v="3"/>
    <x v="0"/>
    <x v="9"/>
    <n v="5.7000000029802302E-2"/>
    <m/>
    <x v="0"/>
    <m/>
    <x v="0"/>
    <s v="P"/>
    <m/>
    <m/>
    <n v="0"/>
    <m/>
    <n v="0"/>
    <m/>
    <n v="1"/>
    <n v="3"/>
    <n v="3"/>
    <n v="0"/>
    <n v="0"/>
    <n v="0"/>
    <n v="0"/>
    <n v="1"/>
    <n v="3"/>
    <n v="3"/>
    <n v="0"/>
    <n v="0"/>
    <n v="0"/>
    <n v="0"/>
    <n v="0"/>
    <n v="0"/>
    <n v="0"/>
    <n v="0"/>
    <n v="0"/>
    <n v="0"/>
    <n v="0"/>
    <n v="0"/>
    <n v="0"/>
    <n v="0"/>
    <n v="0"/>
    <n v="0"/>
    <n v="0"/>
    <n v="0"/>
    <s v="West"/>
    <x v="0"/>
    <x v="0"/>
    <x v="1"/>
    <x v="0"/>
    <x v="0"/>
    <x v="0"/>
    <m/>
    <x v="1"/>
    <s v="Y"/>
    <s v="9C"/>
    <m/>
    <n v="0"/>
    <n v="1.75"/>
    <n v="1.75"/>
    <n v="1.75"/>
    <n v="1.75"/>
    <n v="0"/>
    <n v="0"/>
    <n v="0"/>
    <n v="0"/>
    <n v="0"/>
    <n v="0"/>
    <n v="0"/>
    <n v="0"/>
    <n v="0"/>
    <n v="0"/>
    <n v="0"/>
    <n v="0"/>
    <n v="0"/>
    <n v="0"/>
    <n v="0"/>
    <n v="0"/>
    <n v="7"/>
    <n v="7"/>
  </r>
  <r>
    <n v="5561"/>
    <x v="1"/>
    <s v="2018/0001"/>
    <m/>
    <s v="27 Sainfoin Road"/>
    <m/>
    <n v="528467"/>
    <n v="172710"/>
    <x v="3"/>
    <m/>
    <m/>
    <n v="1"/>
    <n v="3"/>
    <n v="2"/>
    <n v="3"/>
    <n v="2"/>
    <m/>
    <s v="Erection of mansard extension to main rear roof (with French doors and safety railings) and single storey rear/side extension, in connection with conversion of property into 1 x 3-bedroom and 2 x 2-bedroom flats."/>
    <s v="PF"/>
    <d v="2018-01-02T00:00:00"/>
    <d v="2018-02-27T00:00:00"/>
    <x v="1"/>
    <s v="Nil"/>
    <m/>
    <s v="BF"/>
    <x v="4"/>
    <x v="0"/>
    <x v="8"/>
    <n v="1.7000000923872001E-2"/>
    <m/>
    <x v="0"/>
    <m/>
    <x v="0"/>
    <s v="P"/>
    <m/>
    <m/>
    <n v="0"/>
    <m/>
    <n v="0"/>
    <m/>
    <n v="0"/>
    <n v="0"/>
    <n v="2"/>
    <n v="1"/>
    <n v="-1"/>
    <n v="0"/>
    <n v="0"/>
    <n v="0"/>
    <n v="0"/>
    <n v="2"/>
    <n v="1"/>
    <n v="0"/>
    <n v="0"/>
    <n v="0"/>
    <n v="0"/>
    <n v="0"/>
    <n v="0"/>
    <n v="0"/>
    <n v="-1"/>
    <n v="0"/>
    <n v="0"/>
    <n v="0"/>
    <n v="0"/>
    <n v="0"/>
    <n v="0"/>
    <n v="0"/>
    <n v="0"/>
    <n v="0"/>
    <s v="East"/>
    <x v="0"/>
    <x v="0"/>
    <x v="1"/>
    <x v="0"/>
    <x v="0"/>
    <x v="0"/>
    <m/>
    <x v="0"/>
    <s v="Y"/>
    <s v="9A"/>
    <m/>
    <n v="0"/>
    <n v="0.5"/>
    <n v="0.5"/>
    <n v="0.5"/>
    <n v="0.5"/>
    <n v="0"/>
    <n v="0"/>
    <n v="0"/>
    <n v="0"/>
    <n v="0"/>
    <n v="0"/>
    <n v="0"/>
    <n v="0"/>
    <n v="0"/>
    <n v="0"/>
    <n v="0"/>
    <n v="0"/>
    <n v="0"/>
    <n v="0"/>
    <n v="0"/>
    <n v="0"/>
    <n v="2"/>
    <n v="2"/>
  </r>
  <r>
    <n v="5589"/>
    <x v="1"/>
    <s v="2015/6848"/>
    <m/>
    <s v="Chatfield Court, 56 Chatfield Road"/>
    <m/>
    <n v="526329"/>
    <n v="175625"/>
    <x v="1"/>
    <m/>
    <m/>
    <n v="0"/>
    <n v="11"/>
    <n v="11"/>
    <n v="11"/>
    <n v="11"/>
    <s v="Y"/>
    <s v="Determination as to whether prior approval is required for change of use from office (Class B1a) to one residential unit (Class C3) to provide eleven flats (3 x 1-bedroom, 6 x 2-bedroom, and 2 x 3-bedroom)."/>
    <s v="PAG"/>
    <d v="2015-12-09T00:00:00"/>
    <d v="2016-02-03T00:00:00"/>
    <x v="0"/>
    <s v="Nil"/>
    <m/>
    <s v="BF"/>
    <x v="3"/>
    <x v="0"/>
    <x v="9"/>
    <n v="5.2999999374151202E-2"/>
    <m/>
    <x v="0"/>
    <m/>
    <x v="0"/>
    <s v="P"/>
    <m/>
    <m/>
    <n v="0"/>
    <m/>
    <n v="0"/>
    <m/>
    <n v="0"/>
    <n v="3"/>
    <n v="6"/>
    <n v="2"/>
    <n v="0"/>
    <n v="0"/>
    <n v="0"/>
    <n v="0"/>
    <n v="3"/>
    <n v="6"/>
    <n v="2"/>
    <n v="0"/>
    <n v="0"/>
    <n v="0"/>
    <n v="0"/>
    <n v="0"/>
    <n v="0"/>
    <n v="0"/>
    <n v="0"/>
    <n v="0"/>
    <n v="0"/>
    <n v="0"/>
    <n v="0"/>
    <n v="0"/>
    <n v="0"/>
    <n v="0"/>
    <n v="0"/>
    <n v="0"/>
    <s v="East"/>
    <x v="0"/>
    <x v="0"/>
    <x v="1"/>
    <x v="0"/>
    <x v="0"/>
    <x v="0"/>
    <s v="Y"/>
    <x v="0"/>
    <s v="Y"/>
    <s v="9C"/>
    <m/>
    <n v="0"/>
    <n v="2.75"/>
    <n v="2.75"/>
    <n v="2.75"/>
    <n v="2.75"/>
    <n v="0"/>
    <n v="0"/>
    <n v="0"/>
    <n v="0"/>
    <n v="0"/>
    <n v="0"/>
    <n v="0"/>
    <n v="0"/>
    <n v="0"/>
    <n v="0"/>
    <n v="0"/>
    <n v="0"/>
    <n v="0"/>
    <n v="0"/>
    <n v="0"/>
    <n v="0"/>
    <n v="11"/>
    <n v="11"/>
  </r>
  <r>
    <n v="5589"/>
    <x v="1"/>
    <s v="2016/3838"/>
    <m/>
    <s v="Chatfield Court, 56 Chatfield Road"/>
    <m/>
    <n v="526329"/>
    <n v="175625"/>
    <x v="1"/>
    <m/>
    <m/>
    <n v="0"/>
    <n v="9"/>
    <n v="9"/>
    <n v="9"/>
    <n v="9"/>
    <m/>
    <s v="Demolition of existing roof structure and erection of four-storey extension (to create fourth, fifth, sixth and seventh floors) to provide 2 x 1-bedroom, 5 x 2-bedroom and  2 x 3-bedroom residential units, creation of balconies and roof terraces, and external alterations."/>
    <s v="PF"/>
    <d v="2016-06-30T00:00:00"/>
    <d v="2016-11-28T00:00:00"/>
    <x v="0"/>
    <s v="Nil"/>
    <m/>
    <s v="BF"/>
    <x v="2"/>
    <x v="0"/>
    <x v="3"/>
    <n v="2.70000007003546E-2"/>
    <m/>
    <x v="0"/>
    <m/>
    <x v="0"/>
    <s v="P"/>
    <m/>
    <m/>
    <n v="9"/>
    <m/>
    <n v="0"/>
    <m/>
    <n v="0"/>
    <n v="2"/>
    <n v="5"/>
    <n v="2"/>
    <n v="0"/>
    <n v="0"/>
    <n v="0"/>
    <n v="0"/>
    <n v="2"/>
    <n v="5"/>
    <n v="2"/>
    <n v="0"/>
    <n v="0"/>
    <n v="0"/>
    <n v="0"/>
    <n v="0"/>
    <n v="0"/>
    <n v="0"/>
    <n v="0"/>
    <n v="0"/>
    <n v="0"/>
    <n v="0"/>
    <n v="0"/>
    <n v="0"/>
    <n v="0"/>
    <n v="0"/>
    <n v="0"/>
    <n v="0"/>
    <s v="East"/>
    <x v="0"/>
    <x v="0"/>
    <x v="1"/>
    <x v="0"/>
    <x v="0"/>
    <x v="0"/>
    <s v="Y"/>
    <x v="0"/>
    <s v="Y"/>
    <s v="9C"/>
    <m/>
    <n v="0"/>
    <n v="2.25"/>
    <n v="2.25"/>
    <n v="2.25"/>
    <n v="2.25"/>
    <n v="0"/>
    <n v="0"/>
    <n v="0"/>
    <n v="0"/>
    <n v="0"/>
    <n v="0"/>
    <n v="0"/>
    <n v="0"/>
    <n v="0"/>
    <n v="0"/>
    <n v="0"/>
    <n v="0"/>
    <n v="0"/>
    <n v="0"/>
    <n v="0"/>
    <n v="0"/>
    <n v="9"/>
    <n v="9"/>
  </r>
  <r>
    <n v="5597"/>
    <x v="1"/>
    <s v="2014/6740"/>
    <m/>
    <s v="C85 &amp; C86 Albion Riverside Building, 8 Hester Road"/>
    <m/>
    <n v="527204"/>
    <n v="177286"/>
    <x v="1"/>
    <m/>
    <m/>
    <n v="2"/>
    <n v="1"/>
    <n v="-1"/>
    <n v="1"/>
    <n v="-1"/>
    <m/>
    <s v="Alterations involving the amalgamation to two apartments (C85 and C86) on the 8th floor to create one apartment."/>
    <s v="PF"/>
    <d v="2014-12-10T00:00:00"/>
    <d v="2015-03-11T00:00:00"/>
    <x v="0"/>
    <s v="Nil"/>
    <m/>
    <s v="BF"/>
    <x v="1"/>
    <x v="0"/>
    <x v="2"/>
    <n v="5.4000001400709201E-2"/>
    <m/>
    <x v="0"/>
    <m/>
    <x v="0"/>
    <s v="P"/>
    <m/>
    <m/>
    <n v="0"/>
    <m/>
    <n v="0"/>
    <m/>
    <n v="0"/>
    <n v="0"/>
    <n v="-1"/>
    <n v="-1"/>
    <n v="0"/>
    <n v="1"/>
    <n v="0"/>
    <n v="0"/>
    <n v="0"/>
    <n v="-1"/>
    <n v="-1"/>
    <n v="0"/>
    <n v="1"/>
    <n v="0"/>
    <n v="0"/>
    <n v="0"/>
    <n v="0"/>
    <n v="0"/>
    <n v="0"/>
    <n v="0"/>
    <n v="0"/>
    <n v="0"/>
    <n v="0"/>
    <n v="0"/>
    <n v="0"/>
    <n v="0"/>
    <n v="0"/>
    <n v="0"/>
    <s v="East"/>
    <x v="0"/>
    <x v="0"/>
    <x v="1"/>
    <x v="0"/>
    <x v="0"/>
    <x v="0"/>
    <s v="Y"/>
    <x v="0"/>
    <s v="Y"/>
    <s v="9A"/>
    <m/>
    <n v="0"/>
    <n v="-0.25"/>
    <n v="-0.25"/>
    <n v="-0.25"/>
    <n v="-0.25"/>
    <n v="0"/>
    <n v="0"/>
    <n v="0"/>
    <n v="0"/>
    <n v="0"/>
    <n v="0"/>
    <n v="0"/>
    <n v="0"/>
    <n v="0"/>
    <n v="0"/>
    <n v="0"/>
    <n v="0"/>
    <n v="0"/>
    <n v="0"/>
    <n v="0"/>
    <n v="0"/>
    <n v="-1"/>
    <n v="-1"/>
  </r>
  <r>
    <n v="5605"/>
    <x v="1"/>
    <s v="2016/3444"/>
    <m/>
    <s v="Unit 2 Windward House, Square Rigger Row"/>
    <m/>
    <n v="526468"/>
    <n v="175725"/>
    <x v="1"/>
    <m/>
    <m/>
    <n v="0"/>
    <n v="1"/>
    <n v="1"/>
    <n v="1"/>
    <n v="1"/>
    <m/>
    <s v="Determination as to whether prior approval is required for change of use of office at ground floor level (class B1a) to residential (Class C3) to provide  1 x 2-bedroom residential flat."/>
    <s v="PAG"/>
    <d v="2016-06-27T00:00:00"/>
    <d v="2016-08-22T00:00:00"/>
    <x v="0"/>
    <s v="Nil"/>
    <m/>
    <s v="BF"/>
    <x v="3"/>
    <x v="0"/>
    <x v="9"/>
    <n v="4.0000001899898104E-3"/>
    <m/>
    <x v="0"/>
    <m/>
    <x v="0"/>
    <s v="P"/>
    <s v="10.15"/>
    <m/>
    <n v="0"/>
    <m/>
    <n v="0"/>
    <m/>
    <n v="0"/>
    <n v="0"/>
    <n v="1"/>
    <n v="0"/>
    <n v="0"/>
    <n v="0"/>
    <n v="0"/>
    <n v="0"/>
    <n v="0"/>
    <n v="1"/>
    <n v="0"/>
    <n v="0"/>
    <n v="0"/>
    <n v="0"/>
    <n v="0"/>
    <n v="0"/>
    <n v="0"/>
    <n v="0"/>
    <n v="0"/>
    <n v="0"/>
    <n v="0"/>
    <n v="0"/>
    <n v="0"/>
    <n v="0"/>
    <n v="0"/>
    <n v="0"/>
    <n v="0"/>
    <n v="0"/>
    <s v="East"/>
    <x v="0"/>
    <x v="0"/>
    <x v="1"/>
    <x v="0"/>
    <x v="0"/>
    <x v="0"/>
    <s v="Y"/>
    <x v="0"/>
    <s v="Y"/>
    <s v="9A"/>
    <m/>
    <n v="0"/>
    <n v="0.25"/>
    <n v="0.25"/>
    <n v="0.25"/>
    <n v="0.25"/>
    <n v="0"/>
    <n v="0"/>
    <n v="0"/>
    <n v="0"/>
    <n v="0"/>
    <n v="0"/>
    <n v="0"/>
    <n v="0"/>
    <n v="0"/>
    <n v="0"/>
    <n v="0"/>
    <n v="0"/>
    <n v="0"/>
    <n v="0"/>
    <n v="0"/>
    <n v="0"/>
    <n v="1"/>
    <n v="1"/>
  </r>
  <r>
    <n v="5634"/>
    <x v="1"/>
    <s v="2017/3103"/>
    <s v="Ransomes Dock Business Centre"/>
    <s v="Units 21,22 &amp; 23 Ransomes Dock, 35-37 Parkgate Road"/>
    <m/>
    <n v="527292"/>
    <n v="177189"/>
    <x v="1"/>
    <m/>
    <m/>
    <n v="0"/>
    <n v="2"/>
    <n v="2"/>
    <n v="2"/>
    <n v="2"/>
    <m/>
    <s v="Determination as to whether prior approval is required for change of use of office at first floor level from (Class B1a) to residential (Class C3) to provide 1 x 2-bedroom and 1 x 1-bedroom flats."/>
    <s v="PANR"/>
    <d v="2017-06-02T00:00:00"/>
    <d v="2017-07-14T00:00:00"/>
    <x v="1"/>
    <s v="Nil"/>
    <m/>
    <s v="BF"/>
    <x v="3"/>
    <x v="0"/>
    <x v="9"/>
    <n v="2.60000005364418E-2"/>
    <m/>
    <x v="0"/>
    <m/>
    <x v="0"/>
    <s v="P"/>
    <m/>
    <m/>
    <n v="0"/>
    <m/>
    <n v="0"/>
    <m/>
    <n v="0"/>
    <n v="1"/>
    <n v="1"/>
    <n v="0"/>
    <n v="0"/>
    <n v="0"/>
    <n v="0"/>
    <n v="0"/>
    <n v="1"/>
    <n v="1"/>
    <n v="0"/>
    <n v="0"/>
    <n v="0"/>
    <n v="0"/>
    <n v="0"/>
    <n v="0"/>
    <n v="0"/>
    <n v="0"/>
    <n v="0"/>
    <n v="0"/>
    <n v="0"/>
    <n v="0"/>
    <n v="0"/>
    <n v="0"/>
    <n v="0"/>
    <n v="0"/>
    <n v="0"/>
    <n v="0"/>
    <s v="East"/>
    <x v="0"/>
    <x v="0"/>
    <x v="1"/>
    <x v="0"/>
    <x v="0"/>
    <x v="0"/>
    <s v="Y"/>
    <x v="0"/>
    <s v="Y"/>
    <s v="9C"/>
    <m/>
    <n v="0"/>
    <n v="0.5"/>
    <n v="0.5"/>
    <n v="0.5"/>
    <n v="0.5"/>
    <n v="0"/>
    <n v="0"/>
    <n v="0"/>
    <n v="0"/>
    <n v="0"/>
    <n v="0"/>
    <n v="0"/>
    <n v="0"/>
    <n v="0"/>
    <n v="0"/>
    <n v="0"/>
    <n v="0"/>
    <n v="0"/>
    <n v="0"/>
    <n v="0"/>
    <n v="0"/>
    <n v="2"/>
    <n v="2"/>
  </r>
  <r>
    <n v="5653"/>
    <x v="1"/>
    <s v="2017/3565"/>
    <m/>
    <s v="135 Wandsworth High Street"/>
    <m/>
    <n v="525465"/>
    <n v="174675"/>
    <x v="5"/>
    <m/>
    <m/>
    <n v="2"/>
    <n v="2"/>
    <n v="0"/>
    <n v="3"/>
    <n v="1"/>
    <m/>
    <s v="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
    <s v="PF"/>
    <d v="2017-07-04T00:00:00"/>
    <d v="2017-11-02T00:00:00"/>
    <x v="1"/>
    <s v="Nil"/>
    <m/>
    <s v="BF"/>
    <x v="4"/>
    <x v="0"/>
    <x v="10"/>
    <n v="6.0000000521540598E-3"/>
    <m/>
    <x v="0"/>
    <m/>
    <x v="0"/>
    <s v="P"/>
    <m/>
    <m/>
    <n v="0"/>
    <m/>
    <n v="0"/>
    <m/>
    <n v="0"/>
    <n v="0"/>
    <n v="-2"/>
    <n v="2"/>
    <n v="0"/>
    <n v="0"/>
    <n v="0"/>
    <n v="0"/>
    <n v="0"/>
    <n v="-2"/>
    <n v="2"/>
    <n v="0"/>
    <n v="0"/>
    <n v="0"/>
    <n v="0"/>
    <n v="0"/>
    <n v="0"/>
    <n v="0"/>
    <n v="0"/>
    <n v="0"/>
    <n v="0"/>
    <n v="0"/>
    <n v="0"/>
    <n v="0"/>
    <n v="0"/>
    <n v="0"/>
    <n v="0"/>
    <n v="0"/>
    <s v="West"/>
    <x v="4"/>
    <x v="0"/>
    <x v="0"/>
    <x v="0"/>
    <x v="0"/>
    <x v="0"/>
    <m/>
    <x v="0"/>
    <s v="Y"/>
    <s v="9A"/>
    <m/>
    <n v="0"/>
    <n v="0"/>
    <n v="0"/>
    <n v="0"/>
    <n v="0"/>
    <n v="0"/>
    <n v="0"/>
    <n v="0"/>
    <n v="0"/>
    <n v="0"/>
    <n v="0"/>
    <n v="0"/>
    <n v="0"/>
    <n v="0"/>
    <n v="0"/>
    <n v="0"/>
    <n v="0"/>
    <n v="0"/>
    <n v="0"/>
    <n v="0"/>
    <n v="0"/>
    <n v="0"/>
    <n v="0"/>
  </r>
  <r>
    <n v="5653"/>
    <x v="1"/>
    <s v="2017/3565"/>
    <m/>
    <s v="135 Wandsworth High Street"/>
    <m/>
    <n v="525465"/>
    <n v="174675"/>
    <x v="5"/>
    <m/>
    <m/>
    <n v="0"/>
    <n v="1"/>
    <n v="1"/>
    <n v="3"/>
    <n v="1"/>
    <m/>
    <s v="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
    <s v="PF"/>
    <d v="2017-07-04T00:00:00"/>
    <d v="2017-11-02T00:00:00"/>
    <x v="1"/>
    <s v="Nil"/>
    <m/>
    <s v="BF"/>
    <x v="4"/>
    <x v="0"/>
    <x v="0"/>
    <n v="3.0000000260770299E-3"/>
    <m/>
    <x v="0"/>
    <m/>
    <x v="0"/>
    <s v="P"/>
    <m/>
    <m/>
    <n v="0"/>
    <m/>
    <n v="0"/>
    <m/>
    <n v="0"/>
    <n v="0"/>
    <n v="1"/>
    <n v="0"/>
    <n v="0"/>
    <n v="0"/>
    <n v="0"/>
    <n v="0"/>
    <n v="0"/>
    <n v="1"/>
    <n v="0"/>
    <n v="0"/>
    <n v="0"/>
    <n v="0"/>
    <n v="0"/>
    <n v="0"/>
    <n v="0"/>
    <n v="0"/>
    <n v="0"/>
    <n v="0"/>
    <n v="0"/>
    <n v="0"/>
    <n v="0"/>
    <n v="0"/>
    <n v="0"/>
    <n v="0"/>
    <n v="0"/>
    <n v="0"/>
    <s v="West"/>
    <x v="4"/>
    <x v="0"/>
    <x v="0"/>
    <x v="0"/>
    <x v="0"/>
    <x v="0"/>
    <m/>
    <x v="0"/>
    <s v="Y"/>
    <s v="9A"/>
    <m/>
    <n v="0"/>
    <n v="0.25"/>
    <n v="0.25"/>
    <n v="0.25"/>
    <n v="0.25"/>
    <n v="0"/>
    <n v="0"/>
    <n v="0"/>
    <n v="0"/>
    <n v="0"/>
    <n v="0"/>
    <n v="0"/>
    <n v="0"/>
    <n v="0"/>
    <n v="0"/>
    <n v="0"/>
    <n v="0"/>
    <n v="0"/>
    <n v="0"/>
    <n v="0"/>
    <n v="0"/>
    <n v="1"/>
    <n v="1"/>
  </r>
  <r>
    <n v="5666"/>
    <x v="1"/>
    <s v="2015/4797"/>
    <m/>
    <s v="Neals Farm Cottage and The Lodge, Dorlcote Road"/>
    <m/>
    <n v="527230"/>
    <n v="174138"/>
    <x v="17"/>
    <m/>
    <m/>
    <n v="2"/>
    <n v="0"/>
    <n v="-2"/>
    <n v="0"/>
    <n v="-2"/>
    <m/>
    <s v="Change of use from residential (C3) to nursery and preschool (Class D1) catering for up to 62 children (0-5 years old). Replacement timber fence (1.9m high) to include a one-way glass panel and new signage to north elevation"/>
    <s v="PF"/>
    <d v="2016-01-06T00:00:00"/>
    <d v="2016-02-24T00:00:00"/>
    <x v="0"/>
    <s v="Nil"/>
    <m/>
    <s v="BF"/>
    <x v="3"/>
    <x v="0"/>
    <x v="6"/>
    <n v="3.20000015199184E-2"/>
    <m/>
    <x v="0"/>
    <m/>
    <x v="0"/>
    <s v="P"/>
    <m/>
    <m/>
    <n v="0"/>
    <m/>
    <n v="0"/>
    <m/>
    <n v="0"/>
    <n v="0"/>
    <n v="-1"/>
    <n v="-1"/>
    <n v="0"/>
    <n v="0"/>
    <n v="0"/>
    <n v="0"/>
    <n v="0"/>
    <n v="-1"/>
    <n v="0"/>
    <n v="0"/>
    <n v="0"/>
    <n v="0"/>
    <n v="0"/>
    <n v="0"/>
    <n v="0"/>
    <n v="-1"/>
    <n v="0"/>
    <n v="0"/>
    <n v="0"/>
    <n v="0"/>
    <n v="0"/>
    <n v="0"/>
    <n v="0"/>
    <n v="0"/>
    <n v="0"/>
    <n v="0"/>
    <s v="West"/>
    <x v="0"/>
    <x v="0"/>
    <x v="1"/>
    <x v="0"/>
    <x v="0"/>
    <x v="0"/>
    <m/>
    <x v="0"/>
    <s v="Y"/>
    <s v="9A"/>
    <m/>
    <n v="0"/>
    <n v="-0.5"/>
    <n v="-0.5"/>
    <n v="-0.5"/>
    <n v="-0.5"/>
    <n v="0"/>
    <n v="0"/>
    <n v="0"/>
    <n v="0"/>
    <n v="0"/>
    <n v="0"/>
    <n v="0"/>
    <n v="0"/>
    <n v="0"/>
    <n v="0"/>
    <n v="0"/>
    <n v="0"/>
    <n v="0"/>
    <n v="0"/>
    <n v="0"/>
    <n v="0"/>
    <n v="-2"/>
    <n v="-2"/>
  </r>
  <r>
    <n v="5682"/>
    <x v="1"/>
    <s v="2016/1252"/>
    <m/>
    <s v="7 Lavender Hill"/>
    <m/>
    <n v="528537"/>
    <n v="175740"/>
    <x v="10"/>
    <m/>
    <m/>
    <n v="0"/>
    <n v="1"/>
    <n v="1"/>
    <n v="1"/>
    <n v="1"/>
    <m/>
    <s v="Erection of single-storey rear extension at first floor level in connection with change of use of rear basement and ground floors from retail (Use Class A1) to 1 x 1-bedroom residential unit (Use Class C3) accessed from Abberley Mews."/>
    <s v="PF"/>
    <d v="2016-05-03T00:00:00"/>
    <d v="2016-06-28T00:00:00"/>
    <x v="0"/>
    <s v="Nil"/>
    <m/>
    <s v="BF"/>
    <x v="4"/>
    <x v="0"/>
    <x v="4"/>
    <n v="4.0000001899898104E-3"/>
    <m/>
    <x v="0"/>
    <m/>
    <x v="0"/>
    <s v="P"/>
    <m/>
    <m/>
    <n v="0"/>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5682"/>
    <x v="1"/>
    <s v="2017/1395"/>
    <m/>
    <s v="7 Lavender Hill"/>
    <m/>
    <n v="528537"/>
    <n v="175740"/>
    <x v="10"/>
    <m/>
    <m/>
    <n v="1"/>
    <n v="2"/>
    <n v="1"/>
    <n v="3"/>
    <n v="2"/>
    <m/>
    <s v="Alterations including erection of roof extension to create additional floor of accommodation in connection with conversion of property into 3 x 1-bedroom flats."/>
    <s v="PF"/>
    <d v="2017-04-13T00:00:00"/>
    <d v="2017-09-19T00:00:00"/>
    <x v="1"/>
    <s v="Nil"/>
    <m/>
    <s v="BF"/>
    <x v="4"/>
    <x v="0"/>
    <x v="10"/>
    <n v="4.0000001899898104E-3"/>
    <m/>
    <x v="0"/>
    <m/>
    <x v="0"/>
    <s v="P"/>
    <m/>
    <m/>
    <n v="0"/>
    <m/>
    <n v="0"/>
    <m/>
    <n v="0"/>
    <n v="2"/>
    <n v="0"/>
    <n v="0"/>
    <n v="-1"/>
    <n v="0"/>
    <n v="0"/>
    <n v="0"/>
    <n v="2"/>
    <n v="0"/>
    <n v="0"/>
    <n v="-1"/>
    <n v="0"/>
    <n v="0"/>
    <n v="0"/>
    <n v="0"/>
    <n v="0"/>
    <n v="0"/>
    <n v="0"/>
    <n v="0"/>
    <n v="0"/>
    <n v="0"/>
    <n v="0"/>
    <n v="0"/>
    <n v="0"/>
    <n v="0"/>
    <n v="0"/>
    <n v="0"/>
    <s v="East"/>
    <x v="0"/>
    <x v="0"/>
    <x v="1"/>
    <x v="0"/>
    <x v="0"/>
    <x v="0"/>
    <m/>
    <x v="0"/>
    <s v="Y"/>
    <s v="9A"/>
    <m/>
    <n v="0"/>
    <n v="0.25"/>
    <n v="0.25"/>
    <n v="0.25"/>
    <n v="0.25"/>
    <n v="0"/>
    <n v="0"/>
    <n v="0"/>
    <n v="0"/>
    <n v="0"/>
    <n v="0"/>
    <n v="0"/>
    <n v="0"/>
    <n v="0"/>
    <n v="0"/>
    <n v="0"/>
    <n v="0"/>
    <n v="0"/>
    <n v="0"/>
    <n v="0"/>
    <n v="0"/>
    <n v="1"/>
    <n v="1"/>
  </r>
  <r>
    <n v="5682"/>
    <x v="1"/>
    <s v="2017/1395"/>
    <m/>
    <s v="7 Lavender Hill"/>
    <m/>
    <n v="528537"/>
    <n v="175740"/>
    <x v="10"/>
    <m/>
    <m/>
    <n v="0"/>
    <n v="1"/>
    <n v="1"/>
    <n v="3"/>
    <n v="2"/>
    <m/>
    <s v="Alterations including erection of roof extension to create additional floor of accommodation in connection with conversion of property into 3 x 1-bedroom flats."/>
    <s v="PF"/>
    <d v="2017-04-13T00:00:00"/>
    <d v="2017-09-19T00:00:00"/>
    <x v="1"/>
    <s v="Nil"/>
    <m/>
    <s v="BF"/>
    <x v="4"/>
    <x v="0"/>
    <x v="0"/>
    <n v="3.0000000260770299E-3"/>
    <m/>
    <x v="0"/>
    <m/>
    <x v="0"/>
    <s v="P"/>
    <m/>
    <m/>
    <n v="0"/>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5706"/>
    <x v="1"/>
    <s v="2014/2847"/>
    <m/>
    <s v="330-336 Southcroft Road"/>
    <m/>
    <n v="528634"/>
    <n v="170655"/>
    <x v="12"/>
    <m/>
    <m/>
    <n v="0"/>
    <n v="2"/>
    <n v="2"/>
    <n v="2"/>
    <n v="2"/>
    <m/>
    <s v="Erection of roof extension (including raising the ridge level, front dormers and rear french doors with railings) to create an additional storey of accommodation to form additional 2 x one-bedroom flats."/>
    <s v="PF"/>
    <d v="2014-07-25T00:00:00"/>
    <d v="2015-05-21T00:00:00"/>
    <x v="0"/>
    <s v="Nil"/>
    <m/>
    <s v="BF"/>
    <x v="2"/>
    <x v="0"/>
    <x v="3"/>
    <n v="8.0000003799796104E-3"/>
    <m/>
    <x v="0"/>
    <m/>
    <x v="0"/>
    <s v="P"/>
    <m/>
    <m/>
    <n v="0"/>
    <m/>
    <n v="0"/>
    <m/>
    <n v="0"/>
    <n v="2"/>
    <n v="0"/>
    <n v="0"/>
    <n v="0"/>
    <n v="0"/>
    <n v="0"/>
    <n v="0"/>
    <n v="2"/>
    <n v="0"/>
    <n v="0"/>
    <n v="0"/>
    <n v="0"/>
    <n v="0"/>
    <n v="0"/>
    <n v="0"/>
    <n v="0"/>
    <n v="0"/>
    <n v="0"/>
    <n v="0"/>
    <n v="0"/>
    <n v="0"/>
    <n v="0"/>
    <n v="0"/>
    <n v="0"/>
    <n v="0"/>
    <n v="0"/>
    <n v="0"/>
    <s v="East"/>
    <x v="0"/>
    <x v="0"/>
    <x v="1"/>
    <x v="0"/>
    <x v="0"/>
    <x v="0"/>
    <m/>
    <x v="0"/>
    <s v="Y"/>
    <s v="9A"/>
    <m/>
    <n v="0"/>
    <n v="0.5"/>
    <n v="0.5"/>
    <n v="0.5"/>
    <n v="0.5"/>
    <n v="0"/>
    <n v="0"/>
    <n v="0"/>
    <n v="0"/>
    <n v="0"/>
    <n v="0"/>
    <n v="0"/>
    <n v="0"/>
    <n v="0"/>
    <n v="0"/>
    <n v="0"/>
    <n v="0"/>
    <n v="0"/>
    <n v="0"/>
    <n v="0"/>
    <n v="0"/>
    <n v="2"/>
    <n v="2"/>
  </r>
  <r>
    <n v="5729"/>
    <x v="1"/>
    <s v="2014/4978"/>
    <m/>
    <s v="49 Gilbey Road"/>
    <m/>
    <n v="527242"/>
    <n v="171469"/>
    <x v="4"/>
    <m/>
    <m/>
    <n v="2"/>
    <n v="1"/>
    <n v="-1"/>
    <n v="1"/>
    <n v="-1"/>
    <m/>
    <s v="Amalgamation of two residential flats at first and second floor levels into one maisonette."/>
    <s v="PF"/>
    <d v="2014-09-17T00:00:00"/>
    <d v="2014-11-12T00:00:00"/>
    <x v="0"/>
    <s v="Nil"/>
    <m/>
    <s v="BF"/>
    <x v="1"/>
    <x v="0"/>
    <x v="2"/>
    <n v="1.4000000432133701E-2"/>
    <m/>
    <x v="0"/>
    <m/>
    <x v="0"/>
    <s v="P"/>
    <m/>
    <m/>
    <n v="0"/>
    <m/>
    <n v="0"/>
    <m/>
    <n v="0"/>
    <n v="-1"/>
    <n v="-1"/>
    <n v="1"/>
    <n v="0"/>
    <n v="0"/>
    <n v="0"/>
    <n v="0"/>
    <n v="-1"/>
    <n v="-1"/>
    <n v="1"/>
    <n v="0"/>
    <n v="0"/>
    <n v="0"/>
    <n v="0"/>
    <n v="0"/>
    <n v="0"/>
    <n v="0"/>
    <n v="0"/>
    <n v="0"/>
    <n v="0"/>
    <n v="0"/>
    <n v="0"/>
    <n v="0"/>
    <n v="0"/>
    <n v="0"/>
    <n v="0"/>
    <n v="0"/>
    <s v="East"/>
    <x v="0"/>
    <x v="0"/>
    <x v="1"/>
    <x v="0"/>
    <x v="0"/>
    <x v="0"/>
    <m/>
    <x v="0"/>
    <s v="Y"/>
    <s v="9A"/>
    <m/>
    <n v="0"/>
    <n v="-0.25"/>
    <n v="-0.25"/>
    <n v="-0.25"/>
    <n v="-0.25"/>
    <n v="0"/>
    <n v="0"/>
    <n v="0"/>
    <n v="0"/>
    <n v="0"/>
    <n v="0"/>
    <n v="0"/>
    <n v="0"/>
    <n v="0"/>
    <n v="0"/>
    <n v="0"/>
    <n v="0"/>
    <n v="0"/>
    <n v="0"/>
    <n v="0"/>
    <n v="0"/>
    <n v="-1"/>
    <n v="-1"/>
  </r>
  <r>
    <n v="5734"/>
    <x v="1"/>
    <s v="2016/1500"/>
    <m/>
    <s v="1 Effort Street"/>
    <m/>
    <n v="527231"/>
    <n v="171411"/>
    <x v="4"/>
    <m/>
    <m/>
    <n v="2"/>
    <n v="3"/>
    <n v="1"/>
    <n v="3"/>
    <n v="1"/>
    <m/>
    <s v="Demolition of the two-storey building and the erection of 3 x three-storey, three-bedroom houses and associated amenity space, cycle storage and refuse storage."/>
    <s v="PF"/>
    <d v="2016-04-05T00:00:00"/>
    <d v="2016-05-31T00:00:00"/>
    <x v="0"/>
    <s v="Nil"/>
    <m/>
    <s v="BF"/>
    <x v="0"/>
    <x v="0"/>
    <x v="0"/>
    <n v="2.4000000208616298E-2"/>
    <m/>
    <x v="0"/>
    <m/>
    <x v="0"/>
    <s v="P"/>
    <m/>
    <m/>
    <n v="3"/>
    <m/>
    <n v="0"/>
    <m/>
    <n v="0"/>
    <n v="0"/>
    <n v="-2"/>
    <n v="3"/>
    <n v="0"/>
    <n v="0"/>
    <n v="0"/>
    <n v="0"/>
    <n v="0"/>
    <n v="-2"/>
    <n v="0"/>
    <n v="0"/>
    <n v="0"/>
    <n v="0"/>
    <n v="0"/>
    <n v="0"/>
    <n v="0"/>
    <n v="3"/>
    <n v="0"/>
    <n v="0"/>
    <n v="0"/>
    <n v="0"/>
    <n v="0"/>
    <n v="0"/>
    <n v="0"/>
    <n v="0"/>
    <n v="0"/>
    <n v="0"/>
    <s v="East"/>
    <x v="0"/>
    <x v="0"/>
    <x v="1"/>
    <x v="0"/>
    <x v="0"/>
    <x v="0"/>
    <m/>
    <x v="0"/>
    <s v="Y"/>
    <n v="4"/>
    <m/>
    <n v="0"/>
    <n v="0"/>
    <n v="0.25"/>
    <n v="0.25"/>
    <n v="0.25"/>
    <n v="0.25"/>
    <n v="0"/>
    <n v="0"/>
    <n v="0"/>
    <n v="0"/>
    <n v="0"/>
    <n v="0"/>
    <n v="0"/>
    <n v="0"/>
    <n v="0"/>
    <n v="0"/>
    <n v="0"/>
    <n v="0"/>
    <n v="0"/>
    <n v="0"/>
    <n v="0"/>
    <n v="1"/>
    <n v="1"/>
  </r>
  <r>
    <n v="5749"/>
    <x v="1"/>
    <s v="2014/5806"/>
    <m/>
    <s v="Unit F The Mews, 6 Putney Common"/>
    <m/>
    <n v="523192"/>
    <n v="175813"/>
    <x v="13"/>
    <m/>
    <m/>
    <n v="0"/>
    <n v="2"/>
    <n v="2"/>
    <n v="2"/>
    <n v="2"/>
    <m/>
    <s v="Change of use of the ground and first floors of the building to form one residential dwelling (two storey) from its permittred Class B1(a) office."/>
    <s v="PANR"/>
    <d v="2014-10-09T00:00:00"/>
    <d v="2014-12-04T00:00:00"/>
    <x v="0"/>
    <s v="Nil"/>
    <m/>
    <s v="BF"/>
    <x v="3"/>
    <x v="0"/>
    <x v="9"/>
    <n v="4.9999998882412902E-3"/>
    <m/>
    <x v="0"/>
    <m/>
    <x v="0"/>
    <s v="P"/>
    <m/>
    <m/>
    <n v="0"/>
    <m/>
    <n v="0"/>
    <m/>
    <n v="0"/>
    <n v="0"/>
    <n v="2"/>
    <n v="0"/>
    <n v="0"/>
    <n v="0"/>
    <n v="0"/>
    <n v="0"/>
    <n v="0"/>
    <n v="2"/>
    <n v="0"/>
    <n v="0"/>
    <n v="0"/>
    <n v="0"/>
    <n v="0"/>
    <n v="0"/>
    <n v="0"/>
    <n v="0"/>
    <n v="0"/>
    <n v="0"/>
    <n v="0"/>
    <n v="0"/>
    <n v="0"/>
    <n v="0"/>
    <n v="0"/>
    <n v="0"/>
    <n v="0"/>
    <n v="0"/>
    <s v="West"/>
    <x v="0"/>
    <x v="0"/>
    <x v="1"/>
    <x v="0"/>
    <x v="0"/>
    <x v="0"/>
    <m/>
    <x v="0"/>
    <s v="Y"/>
    <s v="9A"/>
    <m/>
    <n v="0"/>
    <n v="0.5"/>
    <n v="0.5"/>
    <n v="0.5"/>
    <n v="0.5"/>
    <n v="0"/>
    <n v="0"/>
    <n v="0"/>
    <n v="0"/>
    <n v="0"/>
    <n v="0"/>
    <n v="0"/>
    <n v="0"/>
    <n v="0"/>
    <n v="0"/>
    <n v="0"/>
    <n v="0"/>
    <n v="0"/>
    <n v="0"/>
    <n v="0"/>
    <n v="0"/>
    <n v="2"/>
    <n v="2"/>
  </r>
  <r>
    <n v="5758"/>
    <x v="1"/>
    <s v="2014/6851"/>
    <m/>
    <s v="1 Putney Wharf Tower, Brewhouse Lane"/>
    <m/>
    <n v="524187"/>
    <n v="175554"/>
    <x v="13"/>
    <m/>
    <m/>
    <n v="0"/>
    <n v="3"/>
    <n v="3"/>
    <n v="3"/>
    <n v="3"/>
    <m/>
    <s v="Change of use from B1 (office) to C3 (dwellinghouse) comprising 3 x apartments."/>
    <s v="PAG"/>
    <d v="2014-12-11T00:00:00"/>
    <d v="2015-02-05T00:00:00"/>
    <x v="0"/>
    <s v="Nil"/>
    <m/>
    <s v="BF"/>
    <x v="3"/>
    <x v="0"/>
    <x v="9"/>
    <n v="3.9000000804662698E-2"/>
    <m/>
    <x v="0"/>
    <m/>
    <x v="0"/>
    <s v="P"/>
    <m/>
    <m/>
    <n v="0"/>
    <m/>
    <n v="0"/>
    <m/>
    <n v="0"/>
    <n v="0"/>
    <n v="0"/>
    <n v="3"/>
    <n v="0"/>
    <n v="0"/>
    <n v="0"/>
    <n v="0"/>
    <n v="0"/>
    <n v="0"/>
    <n v="3"/>
    <n v="0"/>
    <n v="0"/>
    <n v="0"/>
    <n v="0"/>
    <n v="0"/>
    <n v="0"/>
    <n v="0"/>
    <n v="0"/>
    <n v="0"/>
    <n v="0"/>
    <n v="0"/>
    <n v="0"/>
    <n v="0"/>
    <n v="0"/>
    <n v="0"/>
    <n v="0"/>
    <n v="0"/>
    <s v="West"/>
    <x v="3"/>
    <x v="0"/>
    <x v="1"/>
    <x v="0"/>
    <x v="0"/>
    <x v="0"/>
    <s v="Y"/>
    <x v="0"/>
    <s v="Y"/>
    <s v="9A"/>
    <m/>
    <n v="0"/>
    <n v="0.75"/>
    <n v="0.75"/>
    <n v="0.75"/>
    <n v="0.75"/>
    <n v="0"/>
    <n v="0"/>
    <n v="0"/>
    <n v="0"/>
    <n v="0"/>
    <n v="0"/>
    <n v="0"/>
    <n v="0"/>
    <n v="0"/>
    <n v="0"/>
    <n v="0"/>
    <n v="0"/>
    <n v="0"/>
    <n v="0"/>
    <n v="0"/>
    <n v="0"/>
    <n v="3"/>
    <n v="3"/>
  </r>
  <r>
    <n v="5770"/>
    <x v="1"/>
    <s v="2015/2071"/>
    <m/>
    <s v="116 Upper Richmond Road"/>
    <m/>
    <n v="524319"/>
    <n v="174957"/>
    <x v="13"/>
    <m/>
    <m/>
    <n v="0"/>
    <n v="2"/>
    <n v="2"/>
    <n v="2"/>
    <n v="2"/>
    <m/>
    <s v="Demolition of rear workshop. Alterations including erection of rear two-storey extension, internal layout change to incorporate two additional dwellings, conversion of two small shops into one shop and formation of a roof terrace above no. 116. Creation of new shared entrance within the shop front to proposed flats."/>
    <s v="PF"/>
    <d v="2015-05-20T00:00:00"/>
    <d v="2015-08-20T00:00:00"/>
    <x v="0"/>
    <s v="Nil"/>
    <m/>
    <s v="BF"/>
    <x v="4"/>
    <x v="0"/>
    <x v="0"/>
    <n v="7.0000002160668399E-3"/>
    <m/>
    <x v="0"/>
    <m/>
    <x v="0"/>
    <s v="P"/>
    <m/>
    <m/>
    <n v="0"/>
    <m/>
    <n v="0"/>
    <m/>
    <n v="0"/>
    <n v="2"/>
    <n v="0"/>
    <n v="0"/>
    <n v="0"/>
    <n v="0"/>
    <n v="0"/>
    <n v="0"/>
    <n v="2"/>
    <n v="0"/>
    <n v="0"/>
    <n v="0"/>
    <n v="0"/>
    <n v="0"/>
    <n v="0"/>
    <n v="0"/>
    <n v="0"/>
    <n v="0"/>
    <n v="0"/>
    <n v="0"/>
    <n v="0"/>
    <n v="0"/>
    <n v="0"/>
    <n v="0"/>
    <n v="0"/>
    <n v="0"/>
    <n v="0"/>
    <n v="0"/>
    <s v="West"/>
    <x v="3"/>
    <x v="0"/>
    <x v="1"/>
    <x v="0"/>
    <x v="1"/>
    <x v="0"/>
    <m/>
    <x v="0"/>
    <s v="Y"/>
    <s v="9A"/>
    <m/>
    <n v="0"/>
    <n v="0.5"/>
    <n v="0.5"/>
    <n v="0.5"/>
    <n v="0.5"/>
    <n v="0"/>
    <n v="0"/>
    <n v="0"/>
    <n v="0"/>
    <n v="0"/>
    <n v="0"/>
    <n v="0"/>
    <n v="0"/>
    <n v="0"/>
    <n v="0"/>
    <n v="0"/>
    <n v="0"/>
    <n v="0"/>
    <n v="0"/>
    <n v="0"/>
    <n v="0"/>
    <n v="2"/>
    <n v="2"/>
  </r>
  <r>
    <n v="5774"/>
    <x v="1"/>
    <s v="2016/4163"/>
    <m/>
    <s v="166 Battersea Park Road"/>
    <m/>
    <n v="527884"/>
    <n v="176593"/>
    <x v="2"/>
    <m/>
    <m/>
    <n v="1"/>
    <n v="3"/>
    <n v="2"/>
    <n v="3"/>
    <n v="2"/>
    <m/>
    <s v="Alterations including erection of mansard extension to main rear roof (with French doors and safety railings) and erection of part single, part two-storey rear/side extension; formation of roof terrace at first and second  floor levels with 1.7m high screening surround.  Change of use of rear part of ground floor takeway to residential (Class C3) in connection with conversion of property to 2 x 1-bedroom and 1 x 2-bedroom flats."/>
    <s v="PF"/>
    <d v="2016-08-18T00:00:00"/>
    <d v="2016-12-19T00:00:00"/>
    <x v="0"/>
    <s v="Nil"/>
    <m/>
    <s v="BF"/>
    <x v="4"/>
    <x v="0"/>
    <x v="10"/>
    <n v="6.0000000521540598E-3"/>
    <m/>
    <x v="0"/>
    <m/>
    <x v="0"/>
    <s v="P"/>
    <m/>
    <m/>
    <n v="0"/>
    <m/>
    <n v="0"/>
    <m/>
    <n v="0"/>
    <n v="2"/>
    <n v="1"/>
    <n v="0"/>
    <n v="-1"/>
    <n v="0"/>
    <n v="0"/>
    <n v="0"/>
    <n v="2"/>
    <n v="1"/>
    <n v="0"/>
    <n v="-1"/>
    <n v="0"/>
    <n v="0"/>
    <n v="0"/>
    <n v="0"/>
    <n v="0"/>
    <n v="0"/>
    <n v="0"/>
    <n v="0"/>
    <n v="0"/>
    <n v="0"/>
    <n v="0"/>
    <n v="0"/>
    <n v="0"/>
    <n v="0"/>
    <n v="0"/>
    <n v="0"/>
    <s v="East"/>
    <x v="0"/>
    <x v="0"/>
    <x v="1"/>
    <x v="0"/>
    <x v="0"/>
    <x v="0"/>
    <m/>
    <x v="0"/>
    <s v="Y"/>
    <s v="9A"/>
    <m/>
    <n v="0"/>
    <n v="0.5"/>
    <n v="0.5"/>
    <n v="0.5"/>
    <n v="0.5"/>
    <n v="0"/>
    <n v="0"/>
    <n v="0"/>
    <n v="0"/>
    <n v="0"/>
    <n v="0"/>
    <n v="0"/>
    <n v="0"/>
    <n v="0"/>
    <n v="0"/>
    <n v="0"/>
    <n v="0"/>
    <n v="0"/>
    <n v="0"/>
    <n v="0"/>
    <n v="0"/>
    <n v="2"/>
    <n v="2"/>
  </r>
  <r>
    <n v="5780"/>
    <x v="1"/>
    <s v="2016/7407"/>
    <m/>
    <s v="Land south of and west of 5 St James Drive, 124 Trinity Road"/>
    <m/>
    <n v="527671"/>
    <n v="172854"/>
    <x v="11"/>
    <m/>
    <m/>
    <n v="0"/>
    <n v="1"/>
    <n v="1"/>
    <n v="1"/>
    <n v="1"/>
    <m/>
    <s v="Erection of single-storey (plus roof level and basement level accommodation) dwellinghouse (1 x 2-bedroom) with associated alterations to Trinity Road boundary treatment and cycle and refuse storage."/>
    <s v="PF"/>
    <d v="2017-01-11T00:00:00"/>
    <d v="2017-05-19T00:00:00"/>
    <x v="1"/>
    <s v="Nil"/>
    <m/>
    <s v="BF"/>
    <x v="0"/>
    <x v="0"/>
    <x v="0"/>
    <n v="8.0000003799796104E-3"/>
    <m/>
    <x v="0"/>
    <m/>
    <x v="0"/>
    <s v="P"/>
    <m/>
    <m/>
    <n v="1"/>
    <m/>
    <n v="0"/>
    <m/>
    <n v="0"/>
    <n v="0"/>
    <n v="1"/>
    <n v="0"/>
    <n v="0"/>
    <n v="0"/>
    <n v="0"/>
    <n v="0"/>
    <n v="0"/>
    <n v="0"/>
    <n v="0"/>
    <n v="0"/>
    <n v="0"/>
    <n v="0"/>
    <n v="0"/>
    <n v="0"/>
    <n v="1"/>
    <n v="0"/>
    <n v="0"/>
    <n v="0"/>
    <n v="0"/>
    <n v="0"/>
    <n v="0"/>
    <n v="0"/>
    <n v="0"/>
    <n v="0"/>
    <n v="0"/>
    <n v="0"/>
    <s v="East"/>
    <x v="0"/>
    <x v="0"/>
    <x v="1"/>
    <x v="0"/>
    <x v="0"/>
    <x v="0"/>
    <m/>
    <x v="0"/>
    <s v="Y"/>
    <n v="4"/>
    <m/>
    <n v="0"/>
    <n v="0"/>
    <n v="0.25"/>
    <n v="0.25"/>
    <n v="0.25"/>
    <n v="0.25"/>
    <n v="0"/>
    <n v="0"/>
    <n v="0"/>
    <n v="0"/>
    <n v="0"/>
    <n v="0"/>
    <n v="0"/>
    <n v="0"/>
    <n v="0"/>
    <n v="0"/>
    <n v="0"/>
    <n v="0"/>
    <n v="0"/>
    <n v="0"/>
    <n v="0"/>
    <n v="1"/>
    <n v="1"/>
  </r>
  <r>
    <n v="5781"/>
    <x v="1"/>
    <s v="2014/4301"/>
    <m/>
    <s v="and 2-24 Mendip Road, 1-9 Chatfield Road"/>
    <m/>
    <n v="526418"/>
    <n v="175586"/>
    <x v="1"/>
    <m/>
    <m/>
    <n v="0"/>
    <n v="3"/>
    <n v="3"/>
    <n v="3"/>
    <n v="3"/>
    <m/>
    <s v="Demolition of existing building, excavation to form two floors of basement accommodation and construction of four floors above ground to create new six storey building, to be used for vehicle storage, including kitchen facility on Chatfield Road frontage and three split level ancillary residential units."/>
    <s v="PFLA"/>
    <d v="2014-08-04T00:00:00"/>
    <d v="2017-01-05T00:00:00"/>
    <x v="0"/>
    <s v="Nil"/>
    <m/>
    <s v="BF"/>
    <x v="0"/>
    <x v="0"/>
    <x v="0"/>
    <n v="3.0999999493360499E-2"/>
    <m/>
    <x v="0"/>
    <m/>
    <x v="0"/>
    <s v="P"/>
    <s v="10.6"/>
    <m/>
    <n v="0"/>
    <m/>
    <n v="0"/>
    <m/>
    <n v="0"/>
    <n v="0"/>
    <n v="0"/>
    <n v="3"/>
    <n v="0"/>
    <n v="0"/>
    <n v="0"/>
    <n v="0"/>
    <n v="0"/>
    <n v="0"/>
    <n v="3"/>
    <n v="0"/>
    <n v="0"/>
    <n v="0"/>
    <n v="0"/>
    <n v="0"/>
    <n v="0"/>
    <n v="0"/>
    <n v="0"/>
    <n v="0"/>
    <n v="0"/>
    <n v="0"/>
    <n v="0"/>
    <n v="0"/>
    <n v="0"/>
    <n v="0"/>
    <n v="0"/>
    <n v="0"/>
    <s v="East"/>
    <x v="0"/>
    <x v="0"/>
    <x v="1"/>
    <x v="0"/>
    <x v="0"/>
    <x v="0"/>
    <s v="Y"/>
    <x v="0"/>
    <s v="Y"/>
    <n v="4"/>
    <m/>
    <n v="0"/>
    <n v="0"/>
    <n v="0.75"/>
    <n v="0.75"/>
    <n v="0.75"/>
    <n v="0.75"/>
    <n v="0"/>
    <n v="0"/>
    <n v="0"/>
    <n v="0"/>
    <n v="0"/>
    <n v="0"/>
    <n v="0"/>
    <n v="0"/>
    <n v="0"/>
    <n v="0"/>
    <n v="0"/>
    <n v="0"/>
    <n v="0"/>
    <n v="0"/>
    <n v="0"/>
    <n v="3"/>
    <n v="3"/>
  </r>
  <r>
    <n v="5790"/>
    <x v="1"/>
    <s v="2016/5408"/>
    <m/>
    <s v="Tooting Constitutional Club, 111-113 Tooting High Street"/>
    <m/>
    <n v="527359"/>
    <n v="171269"/>
    <x v="8"/>
    <m/>
    <m/>
    <n v="0"/>
    <n v="36"/>
    <n v="36"/>
    <n v="45"/>
    <n v="45"/>
    <s v="Y"/>
    <s v="Demolition of the existing buildings and redevelopment of the site for a part 3-/4-/5-storey scheme comprising 45 (Class C3) residential units, 362 sqm (GIA) (Class D2) community floorspace, 161 sqm (GIA) flexible office floorspace; refurbishment of the existing club house to provide 169 sqm (GIA) (Class D2) community floorspace and associated landscaped outdoor space."/>
    <s v="PFLA"/>
    <d v="2016-10-18T00:00:00"/>
    <d v="2017-03-30T00:00:00"/>
    <x v="0"/>
    <s v="Nil"/>
    <m/>
    <s v="BF"/>
    <x v="0"/>
    <x v="1"/>
    <x v="1"/>
    <n v="7.1999996900558499E-2"/>
    <m/>
    <x v="0"/>
    <m/>
    <x v="0"/>
    <s v="P"/>
    <m/>
    <m/>
    <n v="36"/>
    <m/>
    <n v="2"/>
    <m/>
    <n v="0"/>
    <n v="12"/>
    <n v="19"/>
    <n v="5"/>
    <n v="0"/>
    <n v="0"/>
    <n v="0"/>
    <n v="0"/>
    <n v="12"/>
    <n v="19"/>
    <n v="5"/>
    <n v="0"/>
    <n v="0"/>
    <n v="0"/>
    <n v="0"/>
    <n v="0"/>
    <n v="0"/>
    <n v="0"/>
    <n v="0"/>
    <n v="0"/>
    <n v="0"/>
    <n v="0"/>
    <n v="0"/>
    <n v="0"/>
    <n v="0"/>
    <n v="0"/>
    <n v="0"/>
    <n v="0"/>
    <s v="East"/>
    <x v="0"/>
    <x v="0"/>
    <x v="1"/>
    <x v="0"/>
    <x v="0"/>
    <x v="0"/>
    <m/>
    <x v="0"/>
    <s v="Y"/>
    <s v="5A"/>
    <m/>
    <n v="0"/>
    <n v="0"/>
    <n v="0"/>
    <n v="0"/>
    <n v="0"/>
    <n v="0"/>
    <n v="12"/>
    <n v="12"/>
    <n v="12"/>
    <n v="0"/>
    <n v="0"/>
    <n v="0"/>
    <n v="0"/>
    <n v="0"/>
    <n v="0"/>
    <n v="0"/>
    <n v="0"/>
    <n v="0"/>
    <n v="0"/>
    <n v="0"/>
    <n v="0"/>
    <n v="0"/>
    <n v="36"/>
  </r>
  <r>
    <n v="5790"/>
    <x v="1"/>
    <s v="2016/5408"/>
    <m/>
    <s v="Tooting Constitutional Club, 111-113 Tooting High Street"/>
    <m/>
    <n v="527359"/>
    <n v="171269"/>
    <x v="8"/>
    <m/>
    <m/>
    <n v="0"/>
    <n v="9"/>
    <n v="9"/>
    <n v="45"/>
    <n v="45"/>
    <s v="Y"/>
    <s v="Demolition of the existing buildings and redevelopment of the site for a part 3-/4-/5-storey scheme comprising 45 (Class C3) residential units, 362 sqm (GIA) (Class D2) community floorspace, 161 sqm (GIA) flexible office floorspace; refurbishment of the existing club house to provide 169 sqm (GIA) (Class D2) community floorspace and associated landscaped outdoor space."/>
    <s v="PFLA"/>
    <d v="2016-10-18T00:00:00"/>
    <d v="2017-03-30T00:00:00"/>
    <x v="0"/>
    <s v="Nil"/>
    <m/>
    <s v="BF"/>
    <x v="0"/>
    <x v="1"/>
    <x v="1"/>
    <n v="3.4000001847744002E-2"/>
    <m/>
    <x v="0"/>
    <m/>
    <x v="1"/>
    <s v="HASO"/>
    <m/>
    <m/>
    <n v="9"/>
    <m/>
    <n v="5"/>
    <m/>
    <n v="0"/>
    <n v="5"/>
    <n v="4"/>
    <n v="0"/>
    <n v="0"/>
    <n v="0"/>
    <n v="0"/>
    <n v="0"/>
    <n v="5"/>
    <n v="4"/>
    <n v="0"/>
    <n v="0"/>
    <n v="0"/>
    <n v="0"/>
    <n v="0"/>
    <n v="0"/>
    <n v="0"/>
    <n v="0"/>
    <n v="0"/>
    <n v="0"/>
    <n v="0"/>
    <n v="0"/>
    <n v="0"/>
    <n v="0"/>
    <n v="0"/>
    <n v="0"/>
    <n v="0"/>
    <n v="0"/>
    <s v="East"/>
    <x v="0"/>
    <x v="0"/>
    <x v="1"/>
    <x v="0"/>
    <x v="0"/>
    <x v="0"/>
    <m/>
    <x v="0"/>
    <s v="Y"/>
    <s v="5A"/>
    <m/>
    <n v="0"/>
    <n v="0"/>
    <n v="0"/>
    <n v="0"/>
    <n v="0"/>
    <n v="0"/>
    <n v="3"/>
    <n v="3"/>
    <n v="3"/>
    <n v="0"/>
    <n v="0"/>
    <n v="0"/>
    <n v="0"/>
    <n v="0"/>
    <n v="0"/>
    <n v="0"/>
    <n v="0"/>
    <n v="0"/>
    <n v="0"/>
    <n v="0"/>
    <n v="0"/>
    <n v="0"/>
    <n v="9"/>
  </r>
  <r>
    <n v="5801"/>
    <x v="1"/>
    <s v="2016/3450"/>
    <m/>
    <s v="1 Leeward House, Square Rigger Row"/>
    <m/>
    <n v="526534"/>
    <n v="175822"/>
    <x v="1"/>
    <m/>
    <m/>
    <n v="0"/>
    <n v="1"/>
    <n v="1"/>
    <n v="1"/>
    <n v="1"/>
    <m/>
    <s v="Determination as to whether prior approval is required for change of use of office at ground floor level (Class B1a) to residential (Class C3) to provide 1 x 1-bedroom residential flat at ground floor level."/>
    <s v="PAG"/>
    <d v="2016-06-27T00:00:00"/>
    <d v="2016-08-22T00:00:00"/>
    <x v="0"/>
    <s v="Nil"/>
    <m/>
    <s v="BF"/>
    <x v="3"/>
    <x v="0"/>
    <x v="9"/>
    <n v="4.9999998882412902E-3"/>
    <m/>
    <x v="0"/>
    <m/>
    <x v="0"/>
    <s v="P"/>
    <s v="10.15"/>
    <m/>
    <n v="0"/>
    <m/>
    <n v="0"/>
    <m/>
    <n v="0"/>
    <n v="1"/>
    <n v="0"/>
    <n v="0"/>
    <n v="0"/>
    <n v="0"/>
    <n v="0"/>
    <n v="0"/>
    <n v="1"/>
    <n v="0"/>
    <n v="0"/>
    <n v="0"/>
    <n v="0"/>
    <n v="0"/>
    <n v="0"/>
    <n v="0"/>
    <n v="0"/>
    <n v="0"/>
    <n v="0"/>
    <n v="0"/>
    <n v="0"/>
    <n v="0"/>
    <n v="0"/>
    <n v="0"/>
    <n v="0"/>
    <n v="0"/>
    <n v="0"/>
    <n v="0"/>
    <s v="East"/>
    <x v="0"/>
    <x v="0"/>
    <x v="1"/>
    <x v="0"/>
    <x v="0"/>
    <x v="0"/>
    <s v="Y"/>
    <x v="0"/>
    <s v="Y"/>
    <s v="9A"/>
    <m/>
    <n v="0"/>
    <n v="0.25"/>
    <n v="0.25"/>
    <n v="0.25"/>
    <n v="0.25"/>
    <n v="0"/>
    <n v="0"/>
    <n v="0"/>
    <n v="0"/>
    <n v="0"/>
    <n v="0"/>
    <n v="0"/>
    <n v="0"/>
    <n v="0"/>
    <n v="0"/>
    <n v="0"/>
    <n v="0"/>
    <n v="0"/>
    <n v="0"/>
    <n v="0"/>
    <n v="0"/>
    <n v="1"/>
    <n v="1"/>
  </r>
  <r>
    <n v="5803"/>
    <x v="1"/>
    <s v="2016/2265"/>
    <m/>
    <s v="Units 2, 3, 4, 5, 6, &amp; 7 Leeward House, Square Rigger Row"/>
    <m/>
    <n v="526534"/>
    <n v="175822"/>
    <x v="1"/>
    <m/>
    <m/>
    <n v="0"/>
    <n v="6"/>
    <n v="6"/>
    <n v="6"/>
    <n v="6"/>
    <m/>
    <s v="Determination as to whether prior approval is required for change of use from office (Class B1a) to 6 x 1-bedroom residential unit (Class C3) on first, second and third floors."/>
    <s v="PAG"/>
    <d v="2016-04-28T00:00:00"/>
    <d v="2016-06-23T00:00:00"/>
    <x v="0"/>
    <s v="Nil"/>
    <m/>
    <s v="BF"/>
    <x v="3"/>
    <x v="0"/>
    <x v="9"/>
    <n v="8.0000003799796104E-3"/>
    <m/>
    <x v="0"/>
    <m/>
    <x v="0"/>
    <s v="P"/>
    <s v="10.15"/>
    <m/>
    <n v="0"/>
    <m/>
    <n v="0"/>
    <m/>
    <n v="0"/>
    <n v="6"/>
    <n v="0"/>
    <n v="0"/>
    <n v="0"/>
    <n v="0"/>
    <n v="0"/>
    <n v="0"/>
    <n v="6"/>
    <n v="0"/>
    <n v="0"/>
    <n v="0"/>
    <n v="0"/>
    <n v="0"/>
    <n v="0"/>
    <n v="0"/>
    <n v="0"/>
    <n v="0"/>
    <n v="0"/>
    <n v="0"/>
    <n v="0"/>
    <n v="0"/>
    <n v="0"/>
    <n v="0"/>
    <n v="0"/>
    <n v="0"/>
    <n v="0"/>
    <n v="0"/>
    <s v="East"/>
    <x v="0"/>
    <x v="0"/>
    <x v="1"/>
    <x v="0"/>
    <x v="0"/>
    <x v="0"/>
    <s v="Y"/>
    <x v="0"/>
    <s v="Y"/>
    <s v="9C"/>
    <m/>
    <n v="0"/>
    <n v="1.5"/>
    <n v="1.5"/>
    <n v="1.5"/>
    <n v="1.5"/>
    <n v="0"/>
    <n v="0"/>
    <n v="0"/>
    <n v="0"/>
    <n v="0"/>
    <n v="0"/>
    <n v="0"/>
    <n v="0"/>
    <n v="0"/>
    <n v="0"/>
    <n v="0"/>
    <n v="0"/>
    <n v="0"/>
    <n v="0"/>
    <n v="0"/>
    <n v="0"/>
    <n v="6"/>
    <n v="6"/>
  </r>
  <r>
    <n v="5804"/>
    <x v="1"/>
    <s v="2016/3707"/>
    <s v="Plantation Wharf"/>
    <s v="East &amp; West 1,2,3,4, &amp; 8, Square Rigger Row"/>
    <m/>
    <n v="526485"/>
    <n v="175743"/>
    <x v="1"/>
    <m/>
    <m/>
    <n v="0"/>
    <n v="5"/>
    <n v="5"/>
    <n v="5"/>
    <n v="5"/>
    <m/>
    <s v="Determination as to whether prior approval is required for change of use from office (Class B1a) to 5 x 3-bedroom residential units (Class C3) at first, second and third floor levels."/>
    <s v="PAG"/>
    <d v="2016-06-17T00:00:00"/>
    <d v="2016-08-12T00:00:00"/>
    <x v="0"/>
    <s v="Nil"/>
    <m/>
    <s v="BF"/>
    <x v="3"/>
    <x v="0"/>
    <x v="9"/>
    <n v="3.5999998450279201E-2"/>
    <m/>
    <x v="0"/>
    <m/>
    <x v="0"/>
    <s v="P"/>
    <s v="10.15"/>
    <m/>
    <n v="0"/>
    <m/>
    <n v="0"/>
    <m/>
    <n v="0"/>
    <n v="0"/>
    <n v="0"/>
    <n v="5"/>
    <n v="0"/>
    <n v="0"/>
    <n v="0"/>
    <n v="0"/>
    <n v="0"/>
    <n v="0"/>
    <n v="5"/>
    <n v="0"/>
    <n v="0"/>
    <n v="0"/>
    <n v="0"/>
    <n v="0"/>
    <n v="0"/>
    <n v="0"/>
    <n v="0"/>
    <n v="0"/>
    <n v="0"/>
    <n v="0"/>
    <n v="0"/>
    <n v="0"/>
    <n v="0"/>
    <n v="0"/>
    <n v="0"/>
    <n v="0"/>
    <s v="East"/>
    <x v="0"/>
    <x v="0"/>
    <x v="1"/>
    <x v="0"/>
    <x v="0"/>
    <x v="0"/>
    <s v="Y"/>
    <x v="0"/>
    <s v="Y"/>
    <s v="9A"/>
    <m/>
    <n v="0"/>
    <n v="1.25"/>
    <n v="1.25"/>
    <n v="1.25"/>
    <n v="1.25"/>
    <n v="0"/>
    <n v="0"/>
    <n v="0"/>
    <n v="0"/>
    <n v="0"/>
    <n v="0"/>
    <n v="0"/>
    <n v="0"/>
    <n v="0"/>
    <n v="0"/>
    <n v="0"/>
    <n v="0"/>
    <n v="0"/>
    <n v="0"/>
    <n v="0"/>
    <n v="0"/>
    <n v="5"/>
    <n v="5"/>
  </r>
  <r>
    <n v="5805"/>
    <x v="1"/>
    <s v="2016/2392"/>
    <s v="Plantation Wharf"/>
    <s v="Units 3,4,5,6,7, &amp; 8 Windward House, Square Rigger Row"/>
    <m/>
    <n v="526469"/>
    <n v="175725"/>
    <x v="1"/>
    <m/>
    <m/>
    <n v="0"/>
    <n v="6"/>
    <n v="6"/>
    <n v="6"/>
    <n v="6"/>
    <m/>
    <s v="Determination as to whether prior approval is required for change of use from office (Class B1a) to 3 x 2-bedroom and 3 x 1-bedroom residential units (Class C3) at first, second and third floors."/>
    <s v="PAG"/>
    <d v="2016-04-27T00:00:00"/>
    <d v="2016-06-22T00:00:00"/>
    <x v="0"/>
    <s v="Nil"/>
    <m/>
    <s v="BF"/>
    <x v="3"/>
    <x v="0"/>
    <x v="9"/>
    <n v="1.8999999389052401E-2"/>
    <m/>
    <x v="0"/>
    <m/>
    <x v="0"/>
    <s v="P"/>
    <s v="10.15"/>
    <m/>
    <n v="0"/>
    <m/>
    <n v="0"/>
    <m/>
    <n v="0"/>
    <n v="3"/>
    <n v="3"/>
    <n v="0"/>
    <n v="0"/>
    <n v="0"/>
    <n v="0"/>
    <n v="0"/>
    <n v="3"/>
    <n v="3"/>
    <n v="0"/>
    <n v="0"/>
    <n v="0"/>
    <n v="0"/>
    <n v="0"/>
    <n v="0"/>
    <n v="0"/>
    <n v="0"/>
    <n v="0"/>
    <n v="0"/>
    <n v="0"/>
    <n v="0"/>
    <n v="0"/>
    <n v="0"/>
    <n v="0"/>
    <n v="0"/>
    <n v="0"/>
    <n v="0"/>
    <s v="East"/>
    <x v="0"/>
    <x v="0"/>
    <x v="1"/>
    <x v="0"/>
    <x v="0"/>
    <x v="0"/>
    <s v="Y"/>
    <x v="0"/>
    <s v="Y"/>
    <s v="9C"/>
    <m/>
    <n v="0"/>
    <n v="1.5"/>
    <n v="1.5"/>
    <n v="1.5"/>
    <n v="1.5"/>
    <n v="0"/>
    <n v="0"/>
    <n v="0"/>
    <n v="0"/>
    <n v="0"/>
    <n v="0"/>
    <n v="0"/>
    <n v="0"/>
    <n v="0"/>
    <n v="0"/>
    <n v="0"/>
    <n v="0"/>
    <n v="0"/>
    <n v="0"/>
    <n v="0"/>
    <n v="0"/>
    <n v="6"/>
    <n v="6"/>
  </r>
  <r>
    <n v="5807"/>
    <x v="1"/>
    <s v="2014/6619"/>
    <m/>
    <s v="13 &amp; 14, Battersea Square"/>
    <m/>
    <n v="526857"/>
    <n v="176702"/>
    <x v="1"/>
    <m/>
    <m/>
    <n v="1"/>
    <n v="2"/>
    <n v="1"/>
    <n v="2"/>
    <n v="1"/>
    <m/>
    <s v="Conversion of flat on third floor into 2 no. one bedroom flats."/>
    <s v="PF"/>
    <d v="2014-12-01T00:00:00"/>
    <d v="2015-01-26T00:00:00"/>
    <x v="0"/>
    <s v="Nil"/>
    <m/>
    <s v="BF"/>
    <x v="1"/>
    <x v="0"/>
    <x v="10"/>
    <n v="3.0000000260770299E-3"/>
    <m/>
    <x v="0"/>
    <m/>
    <x v="0"/>
    <s v="P"/>
    <m/>
    <m/>
    <n v="0"/>
    <m/>
    <n v="0"/>
    <m/>
    <n v="0"/>
    <n v="2"/>
    <n v="-1"/>
    <n v="0"/>
    <n v="0"/>
    <n v="0"/>
    <n v="0"/>
    <n v="0"/>
    <n v="2"/>
    <n v="-1"/>
    <n v="0"/>
    <n v="0"/>
    <n v="0"/>
    <n v="0"/>
    <n v="0"/>
    <n v="0"/>
    <n v="0"/>
    <n v="0"/>
    <n v="0"/>
    <n v="0"/>
    <n v="0"/>
    <n v="0"/>
    <n v="0"/>
    <n v="0"/>
    <n v="0"/>
    <n v="0"/>
    <n v="0"/>
    <n v="0"/>
    <s v="East"/>
    <x v="0"/>
    <x v="0"/>
    <x v="1"/>
    <x v="0"/>
    <x v="0"/>
    <x v="0"/>
    <m/>
    <x v="0"/>
    <s v="Y"/>
    <s v="9A"/>
    <m/>
    <n v="0"/>
    <n v="0.25"/>
    <n v="0.25"/>
    <n v="0.25"/>
    <n v="0.25"/>
    <n v="0"/>
    <n v="0"/>
    <n v="0"/>
    <n v="0"/>
    <n v="0"/>
    <n v="0"/>
    <n v="0"/>
    <n v="0"/>
    <n v="0"/>
    <n v="0"/>
    <n v="0"/>
    <n v="0"/>
    <n v="0"/>
    <n v="0"/>
    <n v="0"/>
    <n v="0"/>
    <n v="1"/>
    <n v="1"/>
  </r>
  <r>
    <n v="5828"/>
    <x v="1"/>
    <s v="2014/6863"/>
    <m/>
    <s v="593 Garratt Lane"/>
    <m/>
    <n v="526141"/>
    <n v="172702"/>
    <x v="18"/>
    <m/>
    <m/>
    <n v="0"/>
    <n v="1"/>
    <n v="1"/>
    <n v="1"/>
    <n v="1"/>
    <m/>
    <s v="Erection of hip to gable, main roof extension, increase in height of back addition and extension above part of back addition to provide 1x 2-bedroom flat and 1x 1-bedroom flat with roof terrace at third floor level."/>
    <s v="PF"/>
    <d v="2015-01-07T00:00:00"/>
    <d v="2015-04-07T00:00:00"/>
    <x v="0"/>
    <s v="Nil"/>
    <m/>
    <s v="BF"/>
    <x v="2"/>
    <x v="0"/>
    <x v="3"/>
    <n v="3.0000000260770299E-3"/>
    <m/>
    <x v="0"/>
    <m/>
    <x v="0"/>
    <s v="P"/>
    <m/>
    <m/>
    <n v="0"/>
    <m/>
    <n v="0"/>
    <m/>
    <n v="0"/>
    <n v="0"/>
    <n v="1"/>
    <n v="0"/>
    <n v="0"/>
    <n v="0"/>
    <n v="0"/>
    <n v="0"/>
    <n v="0"/>
    <n v="1"/>
    <n v="0"/>
    <n v="0"/>
    <n v="0"/>
    <n v="0"/>
    <n v="0"/>
    <n v="0"/>
    <n v="0"/>
    <n v="0"/>
    <n v="0"/>
    <n v="0"/>
    <n v="0"/>
    <n v="0"/>
    <n v="0"/>
    <n v="0"/>
    <n v="0"/>
    <n v="0"/>
    <n v="0"/>
    <n v="0"/>
    <s v="West"/>
    <x v="0"/>
    <x v="0"/>
    <x v="1"/>
    <x v="0"/>
    <x v="0"/>
    <x v="0"/>
    <m/>
    <x v="0"/>
    <s v="Y"/>
    <s v="9A"/>
    <m/>
    <n v="0"/>
    <n v="0.25"/>
    <n v="0.25"/>
    <n v="0.25"/>
    <n v="0.25"/>
    <n v="0"/>
    <n v="0"/>
    <n v="0"/>
    <n v="0"/>
    <n v="0"/>
    <n v="0"/>
    <n v="0"/>
    <n v="0"/>
    <n v="0"/>
    <n v="0"/>
    <n v="0"/>
    <n v="0"/>
    <n v="0"/>
    <n v="0"/>
    <n v="0"/>
    <n v="0"/>
    <n v="1"/>
    <n v="1"/>
  </r>
  <r>
    <n v="5832"/>
    <x v="1"/>
    <s v="2014/7233"/>
    <m/>
    <s v="Garages in, Heathwall Street"/>
    <m/>
    <n v="527798"/>
    <n v="175779"/>
    <x v="10"/>
    <m/>
    <m/>
    <n v="0"/>
    <n v="1"/>
    <n v="1"/>
    <n v="1"/>
    <n v="1"/>
    <m/>
    <s v="Demolition and excavation of 5 garages to form a two-bedroom residential dwelling with at basement level and off street parking for a single car."/>
    <s v="PF"/>
    <d v="2014-12-19T00:00:00"/>
    <d v="2015-06-09T00:00:00"/>
    <x v="0"/>
    <s v="Nil"/>
    <m/>
    <s v="BF"/>
    <x v="0"/>
    <x v="0"/>
    <x v="0"/>
    <n v="8.0000003799796104E-3"/>
    <m/>
    <x v="0"/>
    <m/>
    <x v="0"/>
    <s v="P"/>
    <m/>
    <m/>
    <n v="1"/>
    <m/>
    <n v="0"/>
    <m/>
    <n v="0"/>
    <n v="0"/>
    <n v="1"/>
    <n v="0"/>
    <n v="0"/>
    <n v="0"/>
    <n v="0"/>
    <n v="0"/>
    <n v="0"/>
    <n v="0"/>
    <n v="0"/>
    <n v="0"/>
    <n v="0"/>
    <n v="0"/>
    <n v="0"/>
    <n v="0"/>
    <n v="1"/>
    <n v="0"/>
    <n v="0"/>
    <n v="0"/>
    <n v="0"/>
    <n v="0"/>
    <n v="0"/>
    <n v="0"/>
    <n v="0"/>
    <n v="0"/>
    <n v="0"/>
    <n v="0"/>
    <s v="East"/>
    <x v="0"/>
    <x v="0"/>
    <x v="1"/>
    <x v="0"/>
    <x v="0"/>
    <x v="0"/>
    <m/>
    <x v="0"/>
    <s v="Y"/>
    <n v="4"/>
    <m/>
    <n v="0"/>
    <n v="0"/>
    <n v="0.25"/>
    <n v="0.25"/>
    <n v="0.25"/>
    <n v="0.25"/>
    <n v="0"/>
    <n v="0"/>
    <n v="0"/>
    <n v="0"/>
    <n v="0"/>
    <n v="0"/>
    <n v="0"/>
    <n v="0"/>
    <n v="0"/>
    <n v="0"/>
    <n v="0"/>
    <n v="0"/>
    <n v="0"/>
    <n v="0"/>
    <n v="0"/>
    <n v="1"/>
    <n v="1"/>
  </r>
  <r>
    <n v="5833"/>
    <x v="1"/>
    <s v="2015/3861"/>
    <m/>
    <s v="26 Lavender Hill"/>
    <m/>
    <n v="528459"/>
    <n v="175776"/>
    <x v="10"/>
    <m/>
    <m/>
    <n v="0"/>
    <n v="1"/>
    <n v="1"/>
    <n v="2"/>
    <n v="2"/>
    <m/>
    <s v="Alterations including excavation to enlarge basement; erection of part single/part two-storey rear/side extensions with formation of balconies at ground and first floor levels in connection with the creation of 2x1 bedroom self-contained flats."/>
    <s v="PF"/>
    <d v="2015-08-05T00:00:00"/>
    <d v="2015-09-30T00:00:00"/>
    <x v="0"/>
    <s v="Nil"/>
    <m/>
    <s v="BF"/>
    <x v="4"/>
    <x v="0"/>
    <x v="4"/>
    <n v="3.0000000260770299E-3"/>
    <m/>
    <x v="0"/>
    <m/>
    <x v="0"/>
    <s v="P"/>
    <m/>
    <m/>
    <n v="0"/>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5833"/>
    <x v="1"/>
    <s v="2015/3861"/>
    <m/>
    <s v="26 Lavender Hill"/>
    <m/>
    <n v="528459"/>
    <n v="175776"/>
    <x v="10"/>
    <m/>
    <m/>
    <n v="0"/>
    <n v="1"/>
    <n v="1"/>
    <n v="2"/>
    <n v="2"/>
    <m/>
    <s v="Alterations including excavation to enlarge basement; erection of part single/part two-storey rear/side extensions with formation of balconies at ground and first floor levels in connection with the creation of 2x1 bedroom self-contained flats."/>
    <s v="PF"/>
    <d v="2015-08-05T00:00:00"/>
    <d v="2015-09-30T00:00:00"/>
    <x v="0"/>
    <s v="Nil"/>
    <m/>
    <s v="BF"/>
    <x v="4"/>
    <x v="0"/>
    <x v="0"/>
    <n v="2.0000000949949E-3"/>
    <m/>
    <x v="0"/>
    <m/>
    <x v="0"/>
    <s v="P"/>
    <m/>
    <m/>
    <n v="0"/>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5844"/>
    <x v="1"/>
    <s v="2017/6710"/>
    <m/>
    <s v="21A Upper Tooting Road"/>
    <m/>
    <n v="527957"/>
    <n v="172279"/>
    <x v="3"/>
    <m/>
    <m/>
    <n v="1"/>
    <n v="3"/>
    <n v="2"/>
    <n v="3"/>
    <n v="2"/>
    <m/>
    <s v="Alterations including erection of first floor rear extension, mansard roof extension to main rear roof and extension above part of two-storey back addition to form 2 x 1-bedroom flats and 1 studio flat."/>
    <s v="PF"/>
    <d v="2017-12-11T00:00:00"/>
    <d v="2018-02-05T00:00:00"/>
    <x v="1"/>
    <s v="Nil"/>
    <m/>
    <s v="BF"/>
    <x v="4"/>
    <x v="0"/>
    <x v="10"/>
    <n v="7.0000002160668399E-3"/>
    <m/>
    <x v="0"/>
    <m/>
    <x v="0"/>
    <s v="P"/>
    <m/>
    <m/>
    <n v="0"/>
    <m/>
    <n v="0"/>
    <m/>
    <n v="1"/>
    <n v="2"/>
    <n v="0"/>
    <n v="-1"/>
    <n v="0"/>
    <n v="0"/>
    <n v="0"/>
    <n v="1"/>
    <n v="2"/>
    <n v="0"/>
    <n v="-1"/>
    <n v="0"/>
    <n v="0"/>
    <n v="0"/>
    <n v="0"/>
    <n v="0"/>
    <n v="0"/>
    <n v="0"/>
    <n v="0"/>
    <n v="0"/>
    <n v="0"/>
    <n v="0"/>
    <n v="0"/>
    <n v="0"/>
    <n v="0"/>
    <n v="0"/>
    <n v="0"/>
    <n v="0"/>
    <s v="East"/>
    <x v="0"/>
    <x v="0"/>
    <x v="1"/>
    <x v="0"/>
    <x v="0"/>
    <x v="0"/>
    <m/>
    <x v="0"/>
    <s v="Y"/>
    <s v="9A"/>
    <m/>
    <n v="0"/>
    <n v="0.5"/>
    <n v="0.5"/>
    <n v="0.5"/>
    <n v="0.5"/>
    <n v="0"/>
    <n v="0"/>
    <n v="0"/>
    <n v="0"/>
    <n v="0"/>
    <n v="0"/>
    <n v="0"/>
    <n v="0"/>
    <n v="0"/>
    <n v="0"/>
    <n v="0"/>
    <n v="0"/>
    <n v="0"/>
    <n v="0"/>
    <n v="0"/>
    <n v="0"/>
    <n v="2"/>
    <n v="2"/>
  </r>
  <r>
    <n v="5845"/>
    <x v="1"/>
    <s v="2015/1927"/>
    <m/>
    <s v="6A Bank Buildings, Mitcham Lane"/>
    <m/>
    <n v="529279"/>
    <n v="171031"/>
    <x v="12"/>
    <m/>
    <m/>
    <n v="1"/>
    <n v="2"/>
    <n v="1"/>
    <n v="2"/>
    <n v="1"/>
    <m/>
    <s v="Conversion of the upper floor flat into 2 self-contained flats (1 x Studio, 1 x 2 bed)."/>
    <s v="PF"/>
    <d v="2015-05-11T00:00:00"/>
    <d v="2015-07-06T00:00:00"/>
    <x v="0"/>
    <s v="Nil"/>
    <m/>
    <s v="BF"/>
    <x v="1"/>
    <x v="0"/>
    <x v="10"/>
    <n v="9.9999997764825804E-3"/>
    <m/>
    <x v="0"/>
    <m/>
    <x v="0"/>
    <s v="P"/>
    <m/>
    <m/>
    <n v="0"/>
    <m/>
    <n v="0"/>
    <m/>
    <n v="1"/>
    <n v="0"/>
    <n v="1"/>
    <n v="-1"/>
    <n v="0"/>
    <n v="0"/>
    <n v="0"/>
    <n v="1"/>
    <n v="0"/>
    <n v="1"/>
    <n v="-1"/>
    <n v="0"/>
    <n v="0"/>
    <n v="0"/>
    <n v="0"/>
    <n v="0"/>
    <n v="0"/>
    <n v="0"/>
    <n v="0"/>
    <n v="0"/>
    <n v="0"/>
    <n v="0"/>
    <n v="0"/>
    <n v="0"/>
    <n v="0"/>
    <n v="0"/>
    <n v="0"/>
    <n v="0"/>
    <s v="East"/>
    <x v="0"/>
    <x v="0"/>
    <x v="1"/>
    <x v="0"/>
    <x v="0"/>
    <x v="0"/>
    <m/>
    <x v="0"/>
    <s v="Y"/>
    <s v="9A"/>
    <m/>
    <n v="0"/>
    <n v="0.25"/>
    <n v="0.25"/>
    <n v="0.25"/>
    <n v="0.25"/>
    <n v="0"/>
    <n v="0"/>
    <n v="0"/>
    <n v="0"/>
    <n v="0"/>
    <n v="0"/>
    <n v="0"/>
    <n v="0"/>
    <n v="0"/>
    <n v="0"/>
    <n v="0"/>
    <n v="0"/>
    <n v="0"/>
    <n v="0"/>
    <n v="0"/>
    <n v="0"/>
    <n v="1"/>
    <n v="1"/>
  </r>
  <r>
    <n v="5855"/>
    <x v="1"/>
    <s v="2017/0406"/>
    <m/>
    <s v="rear of, 135 Mitcham Road"/>
    <m/>
    <n v="527771"/>
    <n v="171157"/>
    <x v="8"/>
    <m/>
    <m/>
    <n v="0"/>
    <n v="1"/>
    <n v="1"/>
    <n v="1"/>
    <n v="1"/>
    <m/>
    <s v="Change of use from office (Class B1) to 1 x 1-bedroom dwelling (Class C3) and alterations including erection of first floor extension.."/>
    <s v="PF"/>
    <d v="2017-04-11T00:00:00"/>
    <d v="2017-06-06T00:00:00"/>
    <x v="1"/>
    <s v="Nil"/>
    <m/>
    <s v="BF"/>
    <x v="4"/>
    <x v="0"/>
    <x v="9"/>
    <n v="8.0000003799796104E-3"/>
    <m/>
    <x v="0"/>
    <m/>
    <x v="0"/>
    <s v="P"/>
    <m/>
    <m/>
    <n v="0"/>
    <m/>
    <n v="0"/>
    <m/>
    <n v="0"/>
    <n v="1"/>
    <n v="0"/>
    <n v="0"/>
    <n v="0"/>
    <n v="0"/>
    <n v="0"/>
    <n v="0"/>
    <n v="1"/>
    <n v="0"/>
    <n v="0"/>
    <n v="0"/>
    <n v="0"/>
    <n v="0"/>
    <n v="0"/>
    <n v="0"/>
    <n v="0"/>
    <n v="0"/>
    <n v="0"/>
    <n v="0"/>
    <n v="0"/>
    <n v="0"/>
    <n v="0"/>
    <n v="0"/>
    <n v="0"/>
    <n v="0"/>
    <n v="0"/>
    <n v="0"/>
    <s v="East"/>
    <x v="1"/>
    <x v="0"/>
    <x v="1"/>
    <x v="0"/>
    <x v="0"/>
    <x v="0"/>
    <m/>
    <x v="0"/>
    <s v="Y"/>
    <s v="9A"/>
    <m/>
    <n v="0"/>
    <n v="0.25"/>
    <n v="0.25"/>
    <n v="0.25"/>
    <n v="0.25"/>
    <n v="0"/>
    <n v="0"/>
    <n v="0"/>
    <n v="0"/>
    <n v="0"/>
    <n v="0"/>
    <n v="0"/>
    <n v="0"/>
    <n v="0"/>
    <n v="0"/>
    <n v="0"/>
    <n v="0"/>
    <n v="0"/>
    <n v="0"/>
    <n v="0"/>
    <n v="0"/>
    <n v="1"/>
    <n v="1"/>
  </r>
  <r>
    <n v="5864"/>
    <x v="1"/>
    <s v="2015/4658"/>
    <m/>
    <s v="152 Cavendish Road"/>
    <m/>
    <n v="529134"/>
    <n v="173993"/>
    <x v="9"/>
    <m/>
    <m/>
    <n v="1"/>
    <n v="2"/>
    <n v="1"/>
    <n v="2"/>
    <n v="1"/>
    <m/>
    <s v="Alterations including erection of a replacement single-storey rear extension in connection with conversion of dwelling into two self-contained flats (1 x 3 bed, 1 x 2 bed)."/>
    <s v="PF"/>
    <d v="2015-08-19T00:00:00"/>
    <d v="2015-10-14T00:00:00"/>
    <x v="0"/>
    <s v="Nil"/>
    <m/>
    <s v="BF"/>
    <x v="1"/>
    <x v="0"/>
    <x v="8"/>
    <n v="1.30000002682209E-2"/>
    <m/>
    <x v="0"/>
    <m/>
    <x v="0"/>
    <s v="P"/>
    <m/>
    <m/>
    <n v="0"/>
    <m/>
    <n v="0"/>
    <m/>
    <n v="0"/>
    <n v="0"/>
    <n v="1"/>
    <n v="1"/>
    <n v="-1"/>
    <n v="0"/>
    <n v="0"/>
    <n v="0"/>
    <n v="0"/>
    <n v="1"/>
    <n v="1"/>
    <n v="0"/>
    <n v="0"/>
    <n v="0"/>
    <n v="0"/>
    <n v="0"/>
    <n v="0"/>
    <n v="0"/>
    <n v="-1"/>
    <n v="0"/>
    <n v="0"/>
    <n v="0"/>
    <n v="0"/>
    <n v="0"/>
    <n v="0"/>
    <n v="0"/>
    <n v="0"/>
    <n v="0"/>
    <s v="East"/>
    <x v="0"/>
    <x v="0"/>
    <x v="1"/>
    <x v="0"/>
    <x v="0"/>
    <x v="0"/>
    <m/>
    <x v="0"/>
    <s v="Y"/>
    <s v="9A"/>
    <m/>
    <n v="0"/>
    <n v="0.25"/>
    <n v="0.25"/>
    <n v="0.25"/>
    <n v="0.25"/>
    <n v="0"/>
    <n v="0"/>
    <n v="0"/>
    <n v="0"/>
    <n v="0"/>
    <n v="0"/>
    <n v="0"/>
    <n v="0"/>
    <n v="0"/>
    <n v="0"/>
    <n v="0"/>
    <n v="0"/>
    <n v="0"/>
    <n v="0"/>
    <n v="0"/>
    <n v="0"/>
    <n v="1"/>
    <n v="1"/>
  </r>
  <r>
    <n v="5870"/>
    <x v="1"/>
    <s v="2015/2888"/>
    <m/>
    <s v="Land rear of 286, 286 Upper Richmond Road"/>
    <m/>
    <n v="523693"/>
    <n v="175176"/>
    <x v="13"/>
    <m/>
    <m/>
    <n v="1"/>
    <n v="2"/>
    <n v="1"/>
    <n v="2"/>
    <n v="1"/>
    <m/>
    <s v="Conversion of first and second floor flat into 2 x one-bedroom flats."/>
    <s v="PF"/>
    <d v="2015-06-22T00:00:00"/>
    <d v="2015-09-17T00:00:00"/>
    <x v="0"/>
    <s v="Nil"/>
    <m/>
    <s v="BF"/>
    <x v="1"/>
    <x v="0"/>
    <x v="10"/>
    <n v="2.19999998807907E-2"/>
    <m/>
    <x v="0"/>
    <m/>
    <x v="0"/>
    <s v="P"/>
    <m/>
    <m/>
    <n v="0"/>
    <m/>
    <n v="0"/>
    <m/>
    <n v="0"/>
    <n v="2"/>
    <n v="0"/>
    <n v="0"/>
    <n v="-1"/>
    <n v="0"/>
    <n v="0"/>
    <n v="0"/>
    <n v="2"/>
    <n v="0"/>
    <n v="0"/>
    <n v="-1"/>
    <n v="0"/>
    <n v="0"/>
    <n v="0"/>
    <n v="0"/>
    <n v="0"/>
    <n v="0"/>
    <n v="0"/>
    <n v="0"/>
    <n v="0"/>
    <n v="0"/>
    <n v="0"/>
    <n v="0"/>
    <n v="0"/>
    <n v="0"/>
    <n v="0"/>
    <n v="0"/>
    <s v="West"/>
    <x v="3"/>
    <x v="0"/>
    <x v="1"/>
    <x v="0"/>
    <x v="0"/>
    <x v="0"/>
    <m/>
    <x v="0"/>
    <s v="Y"/>
    <s v="9A"/>
    <m/>
    <n v="0"/>
    <n v="0.25"/>
    <n v="0.25"/>
    <n v="0.25"/>
    <n v="0.25"/>
    <n v="0"/>
    <n v="0"/>
    <n v="0"/>
    <n v="0"/>
    <n v="0"/>
    <n v="0"/>
    <n v="0"/>
    <n v="0"/>
    <n v="0"/>
    <n v="0"/>
    <n v="0"/>
    <n v="0"/>
    <n v="0"/>
    <n v="0"/>
    <n v="0"/>
    <n v="0"/>
    <n v="1"/>
    <n v="1"/>
  </r>
  <r>
    <n v="5875"/>
    <x v="1"/>
    <s v="2015/0599"/>
    <s v="Chelsea Bridge Wharf"/>
    <s v="31 &amp; 32 Centurion Building, 376 Queenstown Road"/>
    <m/>
    <n v="528631"/>
    <n v="177662"/>
    <x v="6"/>
    <m/>
    <m/>
    <n v="2"/>
    <n v="1"/>
    <n v="-1"/>
    <n v="1"/>
    <n v="-1"/>
    <m/>
    <s v="Internal alterations to convert apartments 31 and 32 into one self contained unit (Class Use C3)."/>
    <s v="PF"/>
    <d v="2015-02-18T00:00:00"/>
    <d v="2015-03-25T00:00:00"/>
    <x v="0"/>
    <s v="Nil"/>
    <m/>
    <s v="BF"/>
    <x v="1"/>
    <x v="0"/>
    <x v="2"/>
    <n v="1.60000007599592E-2"/>
    <m/>
    <x v="0"/>
    <m/>
    <x v="0"/>
    <s v="P"/>
    <m/>
    <m/>
    <n v="0"/>
    <m/>
    <n v="0"/>
    <m/>
    <n v="0"/>
    <n v="0"/>
    <n v="-2"/>
    <n v="1"/>
    <n v="0"/>
    <n v="0"/>
    <n v="0"/>
    <n v="0"/>
    <n v="0"/>
    <n v="-2"/>
    <n v="1"/>
    <n v="0"/>
    <n v="0"/>
    <n v="0"/>
    <n v="0"/>
    <n v="0"/>
    <n v="0"/>
    <n v="0"/>
    <n v="0"/>
    <n v="0"/>
    <n v="0"/>
    <n v="0"/>
    <n v="0"/>
    <n v="0"/>
    <n v="0"/>
    <n v="0"/>
    <n v="0"/>
    <n v="0"/>
    <s v="Strategic Planning/Nine Elms"/>
    <x v="0"/>
    <x v="1"/>
    <x v="1"/>
    <x v="0"/>
    <x v="0"/>
    <x v="0"/>
    <m/>
    <x v="0"/>
    <s v="Y"/>
    <s v="9A"/>
    <m/>
    <n v="0"/>
    <n v="-0.25"/>
    <n v="-0.25"/>
    <n v="-0.25"/>
    <n v="-0.25"/>
    <n v="0"/>
    <n v="0"/>
    <n v="0"/>
    <n v="0"/>
    <n v="0"/>
    <n v="0"/>
    <n v="0"/>
    <n v="0"/>
    <n v="0"/>
    <n v="0"/>
    <n v="0"/>
    <n v="0"/>
    <n v="0"/>
    <n v="0"/>
    <n v="0"/>
    <n v="0"/>
    <n v="-1"/>
    <n v="-1"/>
  </r>
  <r>
    <n v="5883"/>
    <x v="1"/>
    <s v="2015/0684"/>
    <m/>
    <s v="26 Roedean Crescent"/>
    <m/>
    <n v="521107"/>
    <n v="174480"/>
    <x v="15"/>
    <m/>
    <m/>
    <n v="1"/>
    <n v="1"/>
    <n v="0"/>
    <n v="1"/>
    <n v="0"/>
    <m/>
    <s v="Demolition of existing building and erection of a three-storey (including accommodation within the roofspace) 8-bedroom detached house. [The main changes include alterations to the siting, scale and floorplans of the proposed house, with changes to elevational treatment including to roof form and chimneys; fenestration (including some new windows) and rear first floor balconies. NOTE: Identical changes have also been made to concurrent planning application ref. number 2014/6722 such that both applications are now for identical proposals."/>
    <s v="PF"/>
    <d v="2015-02-10T00:00:00"/>
    <d v="2015-08-17T00:00:00"/>
    <x v="0"/>
    <s v="Nil"/>
    <m/>
    <s v="BF"/>
    <x v="0"/>
    <x v="0"/>
    <x v="0"/>
    <n v="0.125"/>
    <m/>
    <x v="0"/>
    <m/>
    <x v="0"/>
    <s v="P"/>
    <m/>
    <m/>
    <n v="1"/>
    <m/>
    <n v="0"/>
    <m/>
    <n v="0"/>
    <n v="0"/>
    <n v="0"/>
    <n v="0"/>
    <n v="-1"/>
    <n v="1"/>
    <n v="0"/>
    <n v="0"/>
    <n v="0"/>
    <n v="0"/>
    <n v="0"/>
    <n v="0"/>
    <n v="0"/>
    <n v="0"/>
    <n v="0"/>
    <n v="0"/>
    <n v="0"/>
    <n v="0"/>
    <n v="-1"/>
    <n v="1"/>
    <n v="0"/>
    <n v="0"/>
    <n v="0"/>
    <n v="0"/>
    <n v="0"/>
    <n v="0"/>
    <n v="0"/>
    <n v="0"/>
    <s v="West"/>
    <x v="0"/>
    <x v="0"/>
    <x v="1"/>
    <x v="0"/>
    <x v="0"/>
    <x v="0"/>
    <m/>
    <x v="0"/>
    <s v="Y"/>
    <n v="4"/>
    <m/>
    <n v="0"/>
    <n v="0"/>
    <n v="0"/>
    <n v="0"/>
    <n v="0"/>
    <n v="0"/>
    <n v="0"/>
    <n v="0"/>
    <n v="0"/>
    <n v="0"/>
    <n v="0"/>
    <n v="0"/>
    <n v="0"/>
    <n v="0"/>
    <n v="0"/>
    <n v="0"/>
    <n v="0"/>
    <n v="0"/>
    <n v="0"/>
    <n v="0"/>
    <n v="0"/>
    <n v="0"/>
    <n v="0"/>
  </r>
  <r>
    <n v="5887"/>
    <x v="1"/>
    <s v="2015/4259"/>
    <m/>
    <s v="2 Balham Grove"/>
    <m/>
    <n v="528584"/>
    <n v="173489"/>
    <x v="9"/>
    <m/>
    <m/>
    <n v="0"/>
    <n v="1"/>
    <n v="1"/>
    <n v="1"/>
    <n v="1"/>
    <m/>
    <s v="Erection of three storey, 3-bedroom dwelling unit (Use Class C3) with rear glazed balcony at first floor level."/>
    <s v="PF"/>
    <d v="2015-08-03T00:00:00"/>
    <d v="2016-02-19T00:00:00"/>
    <x v="0"/>
    <s v="Nil"/>
    <m/>
    <s v="BF"/>
    <x v="0"/>
    <x v="0"/>
    <x v="0"/>
    <n v="1.4999999664723899E-2"/>
    <m/>
    <x v="0"/>
    <m/>
    <x v="0"/>
    <s v="P"/>
    <m/>
    <m/>
    <n v="1"/>
    <m/>
    <n v="0"/>
    <m/>
    <n v="0"/>
    <n v="0"/>
    <n v="0"/>
    <n v="1"/>
    <n v="0"/>
    <n v="0"/>
    <n v="0"/>
    <n v="0"/>
    <n v="0"/>
    <n v="0"/>
    <n v="0"/>
    <n v="0"/>
    <n v="0"/>
    <n v="0"/>
    <n v="0"/>
    <n v="0"/>
    <n v="0"/>
    <n v="1"/>
    <n v="0"/>
    <n v="0"/>
    <n v="0"/>
    <n v="0"/>
    <n v="0"/>
    <n v="0"/>
    <n v="0"/>
    <n v="0"/>
    <n v="0"/>
    <n v="0"/>
    <s v="East"/>
    <x v="0"/>
    <x v="0"/>
    <x v="1"/>
    <x v="0"/>
    <x v="0"/>
    <x v="0"/>
    <m/>
    <x v="0"/>
    <s v="Y"/>
    <n v="4"/>
    <m/>
    <n v="0"/>
    <n v="0"/>
    <n v="0.25"/>
    <n v="0.25"/>
    <n v="0.25"/>
    <n v="0.25"/>
    <n v="0"/>
    <n v="0"/>
    <n v="0"/>
    <n v="0"/>
    <n v="0"/>
    <n v="0"/>
    <n v="0"/>
    <n v="0"/>
    <n v="0"/>
    <n v="0"/>
    <n v="0"/>
    <n v="0"/>
    <n v="0"/>
    <n v="0"/>
    <n v="0"/>
    <n v="1"/>
    <n v="1"/>
  </r>
  <r>
    <n v="5890"/>
    <x v="1"/>
    <s v="2015/0771"/>
    <m/>
    <s v="St Goar Cottage, Manfred Road"/>
    <m/>
    <n v="524758"/>
    <n v="174759"/>
    <x v="16"/>
    <m/>
    <m/>
    <n v="0"/>
    <n v="1"/>
    <n v="1"/>
    <n v="1"/>
    <n v="1"/>
    <m/>
    <s v="Demolition of existing garages and erection of detached two-storey 4 bedroom dwelling."/>
    <s v="PF"/>
    <d v="2015-03-06T00:00:00"/>
    <d v="2015-05-01T00:00:00"/>
    <x v="0"/>
    <s v="Nil"/>
    <m/>
    <s v="BF"/>
    <x v="0"/>
    <x v="0"/>
    <x v="0"/>
    <n v="1.8999999389052401E-2"/>
    <m/>
    <x v="0"/>
    <m/>
    <x v="0"/>
    <s v="P"/>
    <m/>
    <m/>
    <n v="1"/>
    <m/>
    <n v="1"/>
    <m/>
    <n v="0"/>
    <n v="0"/>
    <n v="0"/>
    <n v="0"/>
    <n v="1"/>
    <n v="0"/>
    <n v="0"/>
    <n v="0"/>
    <n v="0"/>
    <n v="0"/>
    <n v="0"/>
    <n v="0"/>
    <n v="0"/>
    <n v="0"/>
    <n v="0"/>
    <n v="0"/>
    <n v="0"/>
    <n v="0"/>
    <n v="1"/>
    <n v="0"/>
    <n v="0"/>
    <n v="0"/>
    <n v="0"/>
    <n v="0"/>
    <n v="0"/>
    <n v="0"/>
    <n v="0"/>
    <n v="0"/>
    <s v="West"/>
    <x v="0"/>
    <x v="0"/>
    <x v="1"/>
    <x v="0"/>
    <x v="0"/>
    <x v="0"/>
    <m/>
    <x v="0"/>
    <s v="Y"/>
    <n v="4"/>
    <m/>
    <n v="0"/>
    <n v="0"/>
    <n v="0.25"/>
    <n v="0.25"/>
    <n v="0.25"/>
    <n v="0.25"/>
    <n v="0"/>
    <n v="0"/>
    <n v="0"/>
    <n v="0"/>
    <n v="0"/>
    <n v="0"/>
    <n v="0"/>
    <n v="0"/>
    <n v="0"/>
    <n v="0"/>
    <n v="0"/>
    <n v="0"/>
    <n v="0"/>
    <n v="0"/>
    <n v="0"/>
    <n v="1"/>
    <n v="1"/>
  </r>
  <r>
    <n v="5892"/>
    <x v="1"/>
    <s v="2015/0545"/>
    <m/>
    <s v="147 Northcote Road"/>
    <m/>
    <n v="527620"/>
    <n v="174551"/>
    <x v="14"/>
    <m/>
    <m/>
    <n v="0"/>
    <n v="1"/>
    <n v="1"/>
    <n v="1"/>
    <n v="1"/>
    <m/>
    <s v="Change of use office (Class B1) to residential (Class C3) to form a one bedroom house, with associated external alterations and front boundary wall on Bramfield Road frontage."/>
    <s v="PF"/>
    <d v="2015-03-04T00:00:00"/>
    <d v="2015-04-29T00:00:00"/>
    <x v="0"/>
    <s v="Nil"/>
    <m/>
    <s v="BF"/>
    <x v="3"/>
    <x v="0"/>
    <x v="9"/>
    <n v="1.09999999403954E-2"/>
    <m/>
    <x v="0"/>
    <m/>
    <x v="0"/>
    <s v="P"/>
    <m/>
    <m/>
    <n v="0"/>
    <m/>
    <n v="0"/>
    <m/>
    <n v="0"/>
    <n v="0"/>
    <n v="1"/>
    <n v="0"/>
    <n v="0"/>
    <n v="0"/>
    <n v="0"/>
    <n v="0"/>
    <n v="0"/>
    <n v="0"/>
    <n v="0"/>
    <n v="0"/>
    <n v="0"/>
    <n v="0"/>
    <n v="0"/>
    <n v="0"/>
    <n v="1"/>
    <n v="0"/>
    <n v="0"/>
    <n v="0"/>
    <n v="0"/>
    <n v="0"/>
    <n v="0"/>
    <n v="0"/>
    <n v="0"/>
    <n v="0"/>
    <n v="0"/>
    <n v="0"/>
    <s v="East"/>
    <x v="0"/>
    <x v="0"/>
    <x v="1"/>
    <x v="0"/>
    <x v="0"/>
    <x v="0"/>
    <m/>
    <x v="0"/>
    <s v="Y"/>
    <s v="9A"/>
    <m/>
    <n v="0"/>
    <n v="0.25"/>
    <n v="0.25"/>
    <n v="0.25"/>
    <n v="0.25"/>
    <n v="0"/>
    <n v="0"/>
    <n v="0"/>
    <n v="0"/>
    <n v="0"/>
    <n v="0"/>
    <n v="0"/>
    <n v="0"/>
    <n v="0"/>
    <n v="0"/>
    <n v="0"/>
    <n v="0"/>
    <n v="0"/>
    <n v="0"/>
    <n v="0"/>
    <n v="0"/>
    <n v="1"/>
    <n v="1"/>
  </r>
  <r>
    <n v="5894"/>
    <x v="1"/>
    <s v="2015/5289"/>
    <s v="163-199"/>
    <s v="173 Battersea Church Road"/>
    <m/>
    <n v="526821"/>
    <n v="176772"/>
    <x v="1"/>
    <m/>
    <m/>
    <n v="0"/>
    <n v="1"/>
    <n v="1"/>
    <n v="1"/>
    <n v="1"/>
    <m/>
    <s v="Demolition of existing boiler room at roof level; erection of roof extension to provide additional storey to create 2 bedroom flat and associated roof terrace."/>
    <s v="PF"/>
    <d v="2015-09-18T00:00:00"/>
    <d v="2016-01-25T00:00:00"/>
    <x v="0"/>
    <s v="Nil"/>
    <m/>
    <s v="BF"/>
    <x v="2"/>
    <x v="0"/>
    <x v="3"/>
    <n v="9.9999997764825804E-3"/>
    <m/>
    <x v="0"/>
    <m/>
    <x v="0"/>
    <s v="P"/>
    <m/>
    <m/>
    <n v="0"/>
    <m/>
    <n v="0"/>
    <m/>
    <n v="0"/>
    <n v="0"/>
    <n v="1"/>
    <n v="0"/>
    <n v="0"/>
    <n v="0"/>
    <n v="0"/>
    <n v="0"/>
    <n v="0"/>
    <n v="1"/>
    <n v="0"/>
    <n v="0"/>
    <n v="0"/>
    <n v="0"/>
    <n v="0"/>
    <n v="0"/>
    <n v="0"/>
    <n v="0"/>
    <n v="0"/>
    <n v="0"/>
    <n v="0"/>
    <n v="0"/>
    <n v="0"/>
    <n v="0"/>
    <n v="0"/>
    <n v="0"/>
    <n v="0"/>
    <n v="0"/>
    <s v="East"/>
    <x v="0"/>
    <x v="0"/>
    <x v="1"/>
    <x v="0"/>
    <x v="0"/>
    <x v="0"/>
    <m/>
    <x v="0"/>
    <s v="Y"/>
    <s v="9A"/>
    <m/>
    <n v="0"/>
    <n v="0.25"/>
    <n v="0.25"/>
    <n v="0.25"/>
    <n v="0.25"/>
    <n v="0"/>
    <n v="0"/>
    <n v="0"/>
    <n v="0"/>
    <n v="0"/>
    <n v="0"/>
    <n v="0"/>
    <n v="0"/>
    <n v="0"/>
    <n v="0"/>
    <n v="0"/>
    <n v="0"/>
    <n v="0"/>
    <n v="0"/>
    <n v="0"/>
    <n v="0"/>
    <n v="1"/>
    <n v="1"/>
  </r>
  <r>
    <n v="5903"/>
    <x v="1"/>
    <s v="2014/6020"/>
    <m/>
    <s v="493 Garratt Lane"/>
    <m/>
    <n v="525997"/>
    <n v="173088"/>
    <x v="18"/>
    <m/>
    <m/>
    <n v="1"/>
    <n v="2"/>
    <n v="1"/>
    <n v="2"/>
    <n v="1"/>
    <m/>
    <s v="Conversion of upper floors into 1 x studio flat and 1 x 2-bedroom flat; including extension to rear roof."/>
    <s v="PF"/>
    <d v="2015-01-30T00:00:00"/>
    <d v="2015-04-08T00:00:00"/>
    <x v="0"/>
    <s v="Nil"/>
    <m/>
    <s v="BF"/>
    <x v="4"/>
    <x v="0"/>
    <x v="10"/>
    <n v="8.9999996125698107E-3"/>
    <m/>
    <x v="0"/>
    <m/>
    <x v="0"/>
    <s v="P"/>
    <m/>
    <m/>
    <n v="0"/>
    <m/>
    <n v="0"/>
    <m/>
    <n v="1"/>
    <n v="0"/>
    <n v="1"/>
    <n v="-1"/>
    <n v="0"/>
    <n v="0"/>
    <n v="0"/>
    <n v="1"/>
    <n v="0"/>
    <n v="1"/>
    <n v="-1"/>
    <n v="0"/>
    <n v="0"/>
    <n v="0"/>
    <n v="0"/>
    <n v="0"/>
    <n v="0"/>
    <n v="0"/>
    <n v="0"/>
    <n v="0"/>
    <n v="0"/>
    <n v="0"/>
    <n v="0"/>
    <n v="0"/>
    <n v="0"/>
    <n v="0"/>
    <n v="0"/>
    <n v="0"/>
    <s v="West"/>
    <x v="0"/>
    <x v="0"/>
    <x v="1"/>
    <x v="0"/>
    <x v="0"/>
    <x v="0"/>
    <m/>
    <x v="1"/>
    <s v="Y"/>
    <s v="9A"/>
    <m/>
    <n v="0"/>
    <n v="0.25"/>
    <n v="0.25"/>
    <n v="0.25"/>
    <n v="0.25"/>
    <n v="0"/>
    <n v="0"/>
    <n v="0"/>
    <n v="0"/>
    <n v="0"/>
    <n v="0"/>
    <n v="0"/>
    <n v="0"/>
    <n v="0"/>
    <n v="0"/>
    <n v="0"/>
    <n v="0"/>
    <n v="0"/>
    <n v="0"/>
    <n v="0"/>
    <n v="0"/>
    <n v="1"/>
    <n v="1"/>
  </r>
  <r>
    <n v="5918"/>
    <x v="1"/>
    <s v="2015/1520"/>
    <m/>
    <s v="193 Lower Richmond Road"/>
    <m/>
    <n v="523322"/>
    <n v="175861"/>
    <x v="13"/>
    <m/>
    <m/>
    <n v="1"/>
    <n v="1"/>
    <n v="0"/>
    <n v="1"/>
    <n v="0"/>
    <m/>
    <s v="Alterations including increase in scale of rear extension and alterations to existing fenestration, in connection with change of use from Restaurant (A3) to a Live Work Unit (C3/A1/A2)."/>
    <s v="PF"/>
    <d v="2015-03-23T00:00:00"/>
    <d v="2015-05-22T00:00:00"/>
    <x v="0"/>
    <s v="Nil"/>
    <m/>
    <s v="BF"/>
    <x v="4"/>
    <x v="0"/>
    <x v="13"/>
    <n v="4.9999998882412902E-3"/>
    <m/>
    <x v="0"/>
    <m/>
    <x v="0"/>
    <s v="P"/>
    <m/>
    <m/>
    <n v="0"/>
    <m/>
    <n v="0"/>
    <m/>
    <n v="0"/>
    <n v="0"/>
    <n v="-1"/>
    <n v="0"/>
    <n v="1"/>
    <n v="0"/>
    <n v="0"/>
    <n v="0"/>
    <n v="0"/>
    <n v="-1"/>
    <n v="0"/>
    <n v="0"/>
    <n v="0"/>
    <n v="0"/>
    <n v="0"/>
    <n v="0"/>
    <n v="0"/>
    <n v="0"/>
    <n v="0"/>
    <n v="0"/>
    <n v="0"/>
    <n v="0"/>
    <n v="0"/>
    <n v="0"/>
    <n v="0"/>
    <n v="1"/>
    <n v="0"/>
    <n v="0"/>
    <s v="West"/>
    <x v="0"/>
    <x v="0"/>
    <x v="1"/>
    <x v="0"/>
    <x v="0"/>
    <x v="0"/>
    <m/>
    <x v="0"/>
    <s v="Y"/>
    <s v="9A"/>
    <m/>
    <n v="0"/>
    <n v="0"/>
    <n v="0"/>
    <n v="0"/>
    <n v="0"/>
    <n v="0"/>
    <n v="0"/>
    <n v="0"/>
    <n v="0"/>
    <n v="0"/>
    <n v="0"/>
    <n v="0"/>
    <n v="0"/>
    <n v="0"/>
    <n v="0"/>
    <n v="0"/>
    <n v="0"/>
    <n v="0"/>
    <n v="0"/>
    <n v="0"/>
    <n v="0"/>
    <n v="0"/>
    <n v="0"/>
  </r>
  <r>
    <n v="5920"/>
    <x v="1"/>
    <s v="2015/1777"/>
    <m/>
    <s v="139 Upper Richmond Road"/>
    <m/>
    <n v="524021"/>
    <n v="175002"/>
    <x v="16"/>
    <m/>
    <m/>
    <n v="0"/>
    <n v="3"/>
    <n v="3"/>
    <n v="3"/>
    <n v="3"/>
    <m/>
    <s v="Determination as to whether prior approval is required for change of use from office (Class B1a) to three residential units (Class C3)."/>
    <s v="PANR"/>
    <d v="2015-04-23T00:00:00"/>
    <d v="2015-06-22T00:00:00"/>
    <x v="0"/>
    <s v="Nil"/>
    <m/>
    <s v="BF"/>
    <x v="3"/>
    <x v="0"/>
    <x v="9"/>
    <n v="6.0000000521540598E-3"/>
    <m/>
    <x v="0"/>
    <m/>
    <x v="0"/>
    <s v="P"/>
    <m/>
    <m/>
    <n v="0"/>
    <m/>
    <n v="0"/>
    <m/>
    <n v="0"/>
    <n v="2"/>
    <n v="1"/>
    <n v="0"/>
    <n v="0"/>
    <n v="0"/>
    <n v="0"/>
    <n v="0"/>
    <n v="2"/>
    <n v="1"/>
    <n v="0"/>
    <n v="0"/>
    <n v="0"/>
    <n v="0"/>
    <n v="0"/>
    <n v="0"/>
    <n v="0"/>
    <n v="0"/>
    <n v="0"/>
    <n v="0"/>
    <n v="0"/>
    <n v="0"/>
    <n v="0"/>
    <n v="0"/>
    <n v="0"/>
    <n v="0"/>
    <n v="0"/>
    <n v="0"/>
    <s v="West"/>
    <x v="3"/>
    <x v="0"/>
    <x v="1"/>
    <x v="0"/>
    <x v="1"/>
    <x v="0"/>
    <m/>
    <x v="0"/>
    <s v="Y"/>
    <s v="9A"/>
    <m/>
    <n v="0"/>
    <n v="0.75"/>
    <n v="0.75"/>
    <n v="0.75"/>
    <n v="0.75"/>
    <n v="0"/>
    <n v="0"/>
    <n v="0"/>
    <n v="0"/>
    <n v="0"/>
    <n v="0"/>
    <n v="0"/>
    <n v="0"/>
    <n v="0"/>
    <n v="0"/>
    <n v="0"/>
    <n v="0"/>
    <n v="0"/>
    <n v="0"/>
    <n v="0"/>
    <n v="0"/>
    <n v="3"/>
    <n v="3"/>
  </r>
  <r>
    <n v="5935"/>
    <x v="1"/>
    <s v="2015/2110"/>
    <m/>
    <s v="Unit D The Mews, 6 Putney Common"/>
    <m/>
    <n v="523208"/>
    <n v="175814"/>
    <x v="13"/>
    <m/>
    <m/>
    <n v="0"/>
    <n v="1"/>
    <n v="1"/>
    <n v="1"/>
    <n v="1"/>
    <m/>
    <s v="Determination as to whether prior approval is required for change of use from office (Class B1a) to one residential unit (Class C3)."/>
    <s v="PANR"/>
    <d v="2015-04-27T00:00:00"/>
    <d v="2015-06-22T00:00:00"/>
    <x v="0"/>
    <s v="Nil"/>
    <m/>
    <s v="BF"/>
    <x v="3"/>
    <x v="0"/>
    <x v="9"/>
    <n v="7.0000002160668399E-3"/>
    <m/>
    <x v="0"/>
    <m/>
    <x v="0"/>
    <s v="P"/>
    <m/>
    <m/>
    <n v="0"/>
    <m/>
    <n v="0"/>
    <m/>
    <n v="0"/>
    <n v="0"/>
    <n v="1"/>
    <n v="0"/>
    <n v="0"/>
    <n v="0"/>
    <n v="0"/>
    <n v="0"/>
    <n v="0"/>
    <n v="1"/>
    <n v="0"/>
    <n v="0"/>
    <n v="0"/>
    <n v="0"/>
    <n v="0"/>
    <n v="0"/>
    <n v="0"/>
    <n v="0"/>
    <n v="0"/>
    <n v="0"/>
    <n v="0"/>
    <n v="0"/>
    <n v="0"/>
    <n v="0"/>
    <n v="0"/>
    <n v="0"/>
    <n v="0"/>
    <n v="0"/>
    <s v="West"/>
    <x v="0"/>
    <x v="0"/>
    <x v="1"/>
    <x v="0"/>
    <x v="0"/>
    <x v="0"/>
    <m/>
    <x v="0"/>
    <s v="Y"/>
    <s v="9A"/>
    <m/>
    <n v="0"/>
    <n v="0.25"/>
    <n v="0.25"/>
    <n v="0.25"/>
    <n v="0.25"/>
    <n v="0"/>
    <n v="0"/>
    <n v="0"/>
    <n v="0"/>
    <n v="0"/>
    <n v="0"/>
    <n v="0"/>
    <n v="0"/>
    <n v="0"/>
    <n v="0"/>
    <n v="0"/>
    <n v="0"/>
    <n v="0"/>
    <n v="0"/>
    <n v="0"/>
    <n v="0"/>
    <n v="1"/>
    <n v="1"/>
  </r>
  <r>
    <n v="5949"/>
    <x v="1"/>
    <s v="2015/5716"/>
    <m/>
    <s v="53 Cromford Road"/>
    <m/>
    <n v="524987"/>
    <n v="174835"/>
    <x v="0"/>
    <m/>
    <m/>
    <n v="2"/>
    <n v="3"/>
    <n v="1"/>
    <n v="3"/>
    <n v="1"/>
    <m/>
    <s v="Alterations including excavation to create basement including formation of front and rear lightwells; erection of part two, part three-storey (basement to first floor levels) rear/side extension to the property; alteration to rear dormer to install French doors (with Juliette balcony and safety railings); installation of French doors to rear first floor (with Juliette balcony and safety railings); installation of staircase to front and rear lightwells; in connection with use of property as three flats."/>
    <s v="PF"/>
    <d v="2015-10-12T00:00:00"/>
    <d v="2015-12-07T00:00:00"/>
    <x v="0"/>
    <s v="Nil"/>
    <m/>
    <s v="BF"/>
    <x v="4"/>
    <x v="0"/>
    <x v="10"/>
    <n v="1.8999999389052401E-2"/>
    <m/>
    <x v="0"/>
    <m/>
    <x v="0"/>
    <s v="P"/>
    <m/>
    <m/>
    <n v="0"/>
    <m/>
    <n v="0"/>
    <m/>
    <n v="0"/>
    <n v="1"/>
    <n v="-1"/>
    <n v="1"/>
    <n v="0"/>
    <n v="0"/>
    <n v="0"/>
    <n v="0"/>
    <n v="1"/>
    <n v="-1"/>
    <n v="1"/>
    <n v="0"/>
    <n v="0"/>
    <n v="0"/>
    <n v="0"/>
    <n v="0"/>
    <n v="0"/>
    <n v="0"/>
    <n v="0"/>
    <n v="0"/>
    <n v="0"/>
    <n v="0"/>
    <n v="0"/>
    <n v="0"/>
    <n v="0"/>
    <n v="0"/>
    <n v="0"/>
    <n v="0"/>
    <s v="West"/>
    <x v="0"/>
    <x v="0"/>
    <x v="1"/>
    <x v="0"/>
    <x v="0"/>
    <x v="0"/>
    <m/>
    <x v="0"/>
    <s v="Y"/>
    <s v="9A"/>
    <m/>
    <n v="0"/>
    <n v="0.25"/>
    <n v="0.25"/>
    <n v="0.25"/>
    <n v="0.25"/>
    <n v="0"/>
    <n v="0"/>
    <n v="0"/>
    <n v="0"/>
    <n v="0"/>
    <n v="0"/>
    <n v="0"/>
    <n v="0"/>
    <n v="0"/>
    <n v="0"/>
    <n v="0"/>
    <n v="0"/>
    <n v="0"/>
    <n v="0"/>
    <n v="0"/>
    <n v="0"/>
    <n v="1"/>
    <n v="1"/>
  </r>
  <r>
    <n v="5955"/>
    <x v="1"/>
    <s v="2017/6753"/>
    <m/>
    <s v="158 Battersea High Street"/>
    <m/>
    <n v="527059"/>
    <n v="176166"/>
    <x v="1"/>
    <m/>
    <m/>
    <n v="0"/>
    <n v="1"/>
    <n v="1"/>
    <n v="1"/>
    <n v="1"/>
    <m/>
    <s v="Alterations include the erection of a two-storey extension in connection with the formation of a 1 x2-bedroom duplex flat."/>
    <s v="PF"/>
    <d v="2017-12-13T00:00:00"/>
    <d v="2018-02-07T00:00:00"/>
    <x v="1"/>
    <s v="Nil"/>
    <m/>
    <s v="BF"/>
    <x v="2"/>
    <x v="0"/>
    <x v="3"/>
    <n v="3.0000000260770299E-3"/>
    <m/>
    <x v="0"/>
    <m/>
    <x v="0"/>
    <s v="P"/>
    <m/>
    <m/>
    <n v="0"/>
    <m/>
    <n v="0"/>
    <m/>
    <n v="0"/>
    <n v="0"/>
    <n v="1"/>
    <n v="0"/>
    <n v="0"/>
    <n v="0"/>
    <n v="0"/>
    <n v="0"/>
    <n v="0"/>
    <n v="1"/>
    <n v="0"/>
    <n v="0"/>
    <n v="0"/>
    <n v="0"/>
    <n v="0"/>
    <n v="0"/>
    <n v="0"/>
    <n v="0"/>
    <n v="0"/>
    <n v="0"/>
    <n v="0"/>
    <n v="0"/>
    <n v="0"/>
    <n v="0"/>
    <n v="0"/>
    <n v="0"/>
    <n v="0"/>
    <n v="0"/>
    <s v="East"/>
    <x v="0"/>
    <x v="0"/>
    <x v="1"/>
    <x v="0"/>
    <x v="0"/>
    <x v="0"/>
    <m/>
    <x v="0"/>
    <s v="Y"/>
    <s v="9A"/>
    <m/>
    <n v="0"/>
    <n v="0.25"/>
    <n v="0.25"/>
    <n v="0.25"/>
    <n v="0.25"/>
    <n v="0"/>
    <n v="0"/>
    <n v="0"/>
    <n v="0"/>
    <n v="0"/>
    <n v="0"/>
    <n v="0"/>
    <n v="0"/>
    <n v="0"/>
    <n v="0"/>
    <n v="0"/>
    <n v="0"/>
    <n v="0"/>
    <n v="0"/>
    <n v="0"/>
    <n v="0"/>
    <n v="1"/>
    <n v="1"/>
  </r>
  <r>
    <n v="5958"/>
    <x v="1"/>
    <s v="2016/1048"/>
    <m/>
    <s v="250 Upper Tooting Road"/>
    <m/>
    <n v="527576"/>
    <n v="171713"/>
    <x v="4"/>
    <m/>
    <m/>
    <n v="2"/>
    <n v="2"/>
    <n v="0"/>
    <n v="4"/>
    <n v="2"/>
    <m/>
    <s v="Erection of extensions at basement and ground floor levels for restaurant (Use Class A3), refuse and cycle storage.  Erection of extension to Broadwater Road frontage at first and second floor levels, and alterations to extend and convert 2 x existing residential units to 4 x residential units (3 x 1-bedroom and 1 x 2-bedroom)."/>
    <s v="PF"/>
    <d v="2016-02-23T00:00:00"/>
    <d v="2016-04-18T00:00:00"/>
    <x v="0"/>
    <s v="Nil"/>
    <m/>
    <s v="BF"/>
    <x v="4"/>
    <x v="0"/>
    <x v="10"/>
    <n v="4.9999998882412902E-3"/>
    <m/>
    <x v="0"/>
    <m/>
    <x v="0"/>
    <s v="P"/>
    <m/>
    <m/>
    <n v="0"/>
    <m/>
    <n v="0"/>
    <m/>
    <n v="0"/>
    <n v="1"/>
    <n v="-2"/>
    <n v="1"/>
    <n v="0"/>
    <n v="0"/>
    <n v="0"/>
    <n v="0"/>
    <n v="1"/>
    <n v="-2"/>
    <n v="1"/>
    <n v="0"/>
    <n v="0"/>
    <n v="0"/>
    <n v="0"/>
    <n v="0"/>
    <n v="0"/>
    <n v="0"/>
    <n v="0"/>
    <n v="0"/>
    <n v="0"/>
    <n v="0"/>
    <n v="0"/>
    <n v="0"/>
    <n v="0"/>
    <n v="0"/>
    <n v="0"/>
    <n v="0"/>
    <s v="East"/>
    <x v="1"/>
    <x v="0"/>
    <x v="1"/>
    <x v="0"/>
    <x v="0"/>
    <x v="0"/>
    <m/>
    <x v="0"/>
    <s v="Y"/>
    <s v="9A"/>
    <m/>
    <n v="0"/>
    <n v="0"/>
    <n v="0"/>
    <n v="0"/>
    <n v="0"/>
    <n v="0"/>
    <n v="0"/>
    <n v="0"/>
    <n v="0"/>
    <n v="0"/>
    <n v="0"/>
    <n v="0"/>
    <n v="0"/>
    <n v="0"/>
    <n v="0"/>
    <n v="0"/>
    <n v="0"/>
    <n v="0"/>
    <n v="0"/>
    <n v="0"/>
    <n v="0"/>
    <n v="0"/>
    <n v="0"/>
  </r>
  <r>
    <n v="5958"/>
    <x v="1"/>
    <s v="2016/1048"/>
    <m/>
    <s v="250 Upper Tooting Road"/>
    <m/>
    <n v="527576"/>
    <n v="171713"/>
    <x v="4"/>
    <m/>
    <m/>
    <n v="0"/>
    <n v="2"/>
    <n v="2"/>
    <n v="4"/>
    <n v="2"/>
    <m/>
    <s v="Erection of extensions at basement and ground floor levels for restaurant (Use Class A3), refuse and cycle storage.  Erection of extension to Broadwater Road frontage at first and second floor levels, and alterations to extend and convert 2 x existing residential units to 4 x residential units (3 x 1-bedroom and 1 x 2-bedroom)."/>
    <s v="PF"/>
    <d v="2016-02-23T00:00:00"/>
    <d v="2016-04-18T00:00:00"/>
    <x v="0"/>
    <s v="Nil"/>
    <m/>
    <s v="BF"/>
    <x v="4"/>
    <x v="0"/>
    <x v="0"/>
    <n v="4.9999998882412902E-3"/>
    <m/>
    <x v="0"/>
    <m/>
    <x v="0"/>
    <s v="P"/>
    <m/>
    <m/>
    <n v="0"/>
    <m/>
    <n v="0"/>
    <m/>
    <n v="0"/>
    <n v="2"/>
    <n v="0"/>
    <n v="0"/>
    <n v="0"/>
    <n v="0"/>
    <n v="0"/>
    <n v="0"/>
    <n v="2"/>
    <n v="0"/>
    <n v="0"/>
    <n v="0"/>
    <n v="0"/>
    <n v="0"/>
    <n v="0"/>
    <n v="0"/>
    <n v="0"/>
    <n v="0"/>
    <n v="0"/>
    <n v="0"/>
    <n v="0"/>
    <n v="0"/>
    <n v="0"/>
    <n v="0"/>
    <n v="0"/>
    <n v="0"/>
    <n v="0"/>
    <n v="0"/>
    <s v="East"/>
    <x v="1"/>
    <x v="0"/>
    <x v="1"/>
    <x v="0"/>
    <x v="0"/>
    <x v="0"/>
    <m/>
    <x v="0"/>
    <s v="Y"/>
    <s v="9A"/>
    <m/>
    <n v="0"/>
    <n v="0.5"/>
    <n v="0.5"/>
    <n v="0.5"/>
    <n v="0.5"/>
    <n v="0"/>
    <n v="0"/>
    <n v="0"/>
    <n v="0"/>
    <n v="0"/>
    <n v="0"/>
    <n v="0"/>
    <n v="0"/>
    <n v="0"/>
    <n v="0"/>
    <n v="0"/>
    <n v="0"/>
    <n v="0"/>
    <n v="0"/>
    <n v="0"/>
    <n v="0"/>
    <n v="2"/>
    <n v="2"/>
  </r>
  <r>
    <n v="5960"/>
    <x v="1"/>
    <s v="2015/4160"/>
    <m/>
    <s v="Unit 16 Mandeville Courtyard, 142 Battersea Park Road"/>
    <m/>
    <n v="528068"/>
    <n v="176644"/>
    <x v="6"/>
    <m/>
    <m/>
    <n v="0"/>
    <n v="2"/>
    <n v="2"/>
    <n v="2"/>
    <n v="2"/>
    <m/>
    <s v="Determination as to whether prior approval is required for change of use of second and third floors from office (Class B1a) to 2 x 2-bedroom residential units (Class C3)."/>
    <s v="PAG"/>
    <d v="2015-08-13T00:00:00"/>
    <d v="2015-10-08T00:00:00"/>
    <x v="0"/>
    <s v="Nil"/>
    <m/>
    <s v="BF"/>
    <x v="3"/>
    <x v="0"/>
    <x v="9"/>
    <n v="5.4999999701976797E-2"/>
    <m/>
    <x v="0"/>
    <m/>
    <x v="0"/>
    <s v="P"/>
    <m/>
    <m/>
    <n v="0"/>
    <m/>
    <n v="0"/>
    <m/>
    <n v="0"/>
    <n v="0"/>
    <n v="2"/>
    <n v="0"/>
    <n v="0"/>
    <n v="0"/>
    <n v="0"/>
    <n v="0"/>
    <n v="0"/>
    <n v="2"/>
    <n v="0"/>
    <n v="0"/>
    <n v="0"/>
    <n v="0"/>
    <n v="0"/>
    <n v="0"/>
    <n v="0"/>
    <n v="0"/>
    <n v="0"/>
    <n v="0"/>
    <n v="0"/>
    <n v="0"/>
    <n v="0"/>
    <n v="0"/>
    <n v="0"/>
    <n v="0"/>
    <n v="0"/>
    <n v="0"/>
    <s v="East"/>
    <x v="0"/>
    <x v="0"/>
    <x v="1"/>
    <x v="0"/>
    <x v="0"/>
    <x v="0"/>
    <m/>
    <x v="0"/>
    <s v="Y"/>
    <s v="9A"/>
    <m/>
    <n v="0"/>
    <n v="0.5"/>
    <n v="0.5"/>
    <n v="0.5"/>
    <n v="0.5"/>
    <n v="0"/>
    <n v="0"/>
    <n v="0"/>
    <n v="0"/>
    <n v="0"/>
    <n v="0"/>
    <n v="0"/>
    <n v="0"/>
    <n v="0"/>
    <n v="0"/>
    <n v="0"/>
    <n v="0"/>
    <n v="0"/>
    <n v="0"/>
    <n v="0"/>
    <n v="0"/>
    <n v="2"/>
    <n v="2"/>
  </r>
  <r>
    <n v="5961"/>
    <x v="1"/>
    <s v="2015/3191"/>
    <m/>
    <s v="Unit B The Mews, 6 Putney Common"/>
    <m/>
    <n v="523197"/>
    <n v="175814"/>
    <x v="13"/>
    <m/>
    <m/>
    <n v="0"/>
    <n v="1"/>
    <n v="1"/>
    <n v="1"/>
    <n v="1"/>
    <m/>
    <s v="Determination as to whether prior approval is required for change of use from office (Class B1a) to one residential unit (Class C3)."/>
    <s v="PANR"/>
    <d v="2015-07-01T00:00:00"/>
    <d v="2015-08-26T00:00:00"/>
    <x v="0"/>
    <s v="Nil"/>
    <m/>
    <s v="BF"/>
    <x v="3"/>
    <x v="0"/>
    <x v="9"/>
    <n v="6.0000000521540598E-3"/>
    <m/>
    <x v="0"/>
    <m/>
    <x v="0"/>
    <s v="P"/>
    <m/>
    <m/>
    <n v="0"/>
    <m/>
    <n v="0"/>
    <m/>
    <n v="0"/>
    <n v="0"/>
    <n v="1"/>
    <n v="0"/>
    <n v="0"/>
    <n v="0"/>
    <n v="0"/>
    <n v="0"/>
    <n v="0"/>
    <n v="1"/>
    <n v="0"/>
    <n v="0"/>
    <n v="0"/>
    <n v="0"/>
    <n v="0"/>
    <n v="0"/>
    <n v="0"/>
    <n v="0"/>
    <n v="0"/>
    <n v="0"/>
    <n v="0"/>
    <n v="0"/>
    <n v="0"/>
    <n v="0"/>
    <n v="0"/>
    <n v="0"/>
    <n v="0"/>
    <n v="0"/>
    <s v="West"/>
    <x v="0"/>
    <x v="0"/>
    <x v="1"/>
    <x v="0"/>
    <x v="0"/>
    <x v="0"/>
    <m/>
    <x v="0"/>
    <s v="Y"/>
    <s v="9A"/>
    <m/>
    <n v="0"/>
    <n v="0.25"/>
    <n v="0.25"/>
    <n v="0.25"/>
    <n v="0.25"/>
    <n v="0"/>
    <n v="0"/>
    <n v="0"/>
    <n v="0"/>
    <n v="0"/>
    <n v="0"/>
    <n v="0"/>
    <n v="0"/>
    <n v="0"/>
    <n v="0"/>
    <n v="0"/>
    <n v="0"/>
    <n v="0"/>
    <n v="0"/>
    <n v="0"/>
    <n v="0"/>
    <n v="1"/>
    <n v="1"/>
  </r>
  <r>
    <n v="5963"/>
    <x v="1"/>
    <s v="2015/3904"/>
    <m/>
    <s v="Unit C The Mews, 6 Putney Common"/>
    <m/>
    <n v="523225"/>
    <n v="175820"/>
    <x v="13"/>
    <m/>
    <m/>
    <n v="0"/>
    <n v="1"/>
    <n v="1"/>
    <n v="1"/>
    <n v="1"/>
    <m/>
    <s v="Determination as to whether prior approval is required for change of use from office (Class B1a) to one residential unit (Class C3)."/>
    <s v="PANR"/>
    <d v="2015-09-18T00:00:00"/>
    <d v="2015-11-13T00:00:00"/>
    <x v="0"/>
    <s v="Nil"/>
    <m/>
    <s v="BF"/>
    <x v="3"/>
    <x v="0"/>
    <x v="9"/>
    <n v="4.6999998390674598E-2"/>
    <m/>
    <x v="0"/>
    <m/>
    <x v="0"/>
    <s v="P"/>
    <m/>
    <m/>
    <n v="0"/>
    <m/>
    <n v="0"/>
    <m/>
    <n v="0"/>
    <n v="0"/>
    <n v="1"/>
    <n v="0"/>
    <n v="0"/>
    <n v="0"/>
    <n v="0"/>
    <n v="0"/>
    <n v="0"/>
    <n v="1"/>
    <n v="0"/>
    <n v="0"/>
    <n v="0"/>
    <n v="0"/>
    <n v="0"/>
    <n v="0"/>
    <n v="0"/>
    <n v="0"/>
    <n v="0"/>
    <n v="0"/>
    <n v="0"/>
    <n v="0"/>
    <n v="0"/>
    <n v="0"/>
    <n v="0"/>
    <n v="0"/>
    <n v="0"/>
    <n v="0"/>
    <s v="West"/>
    <x v="0"/>
    <x v="0"/>
    <x v="1"/>
    <x v="0"/>
    <x v="0"/>
    <x v="0"/>
    <m/>
    <x v="0"/>
    <s v="Y"/>
    <s v="9A"/>
    <m/>
    <n v="0"/>
    <n v="0.25"/>
    <n v="0.25"/>
    <n v="0.25"/>
    <n v="0.25"/>
    <n v="0"/>
    <n v="0"/>
    <n v="0"/>
    <n v="0"/>
    <n v="0"/>
    <n v="0"/>
    <n v="0"/>
    <n v="0"/>
    <n v="0"/>
    <n v="0"/>
    <n v="0"/>
    <n v="0"/>
    <n v="0"/>
    <n v="0"/>
    <n v="0"/>
    <n v="0"/>
    <n v="1"/>
    <n v="1"/>
  </r>
  <r>
    <n v="5967"/>
    <x v="1"/>
    <s v="2015/1286"/>
    <m/>
    <s v="22 Erpingham Road"/>
    <m/>
    <n v="523256"/>
    <n v="175751"/>
    <x v="13"/>
    <m/>
    <m/>
    <n v="2"/>
    <n v="1"/>
    <n v="-1"/>
    <n v="1"/>
    <n v="-1"/>
    <m/>
    <s v="Erection of single-storey rear/side extension and enlargement of existing first floor rear roof terrace with associated safety balustrade/screening in connection with the conversion of two flats into a single family dwellinghouse (Class Use C3)."/>
    <s v="PF"/>
    <d v="2015-04-13T00:00:00"/>
    <d v="2015-06-15T00:00:00"/>
    <x v="0"/>
    <s v="Nil"/>
    <m/>
    <s v="BF"/>
    <x v="1"/>
    <x v="0"/>
    <x v="7"/>
    <n v="1.7999999225139601E-2"/>
    <m/>
    <x v="0"/>
    <m/>
    <x v="0"/>
    <s v="P"/>
    <m/>
    <m/>
    <n v="0"/>
    <m/>
    <n v="0"/>
    <m/>
    <n v="0"/>
    <n v="-1"/>
    <n v="-1"/>
    <n v="0"/>
    <n v="1"/>
    <n v="0"/>
    <n v="0"/>
    <n v="0"/>
    <n v="-1"/>
    <n v="-1"/>
    <n v="0"/>
    <n v="0"/>
    <n v="0"/>
    <n v="0"/>
    <n v="0"/>
    <n v="0"/>
    <n v="0"/>
    <n v="0"/>
    <n v="1"/>
    <n v="0"/>
    <n v="0"/>
    <n v="0"/>
    <n v="0"/>
    <n v="0"/>
    <n v="0"/>
    <n v="0"/>
    <n v="0"/>
    <n v="0"/>
    <s v="West"/>
    <x v="0"/>
    <x v="0"/>
    <x v="1"/>
    <x v="0"/>
    <x v="0"/>
    <x v="0"/>
    <m/>
    <x v="0"/>
    <s v="Y"/>
    <s v="9A"/>
    <m/>
    <n v="0"/>
    <n v="-0.25"/>
    <n v="-0.25"/>
    <n v="-0.25"/>
    <n v="-0.25"/>
    <n v="0"/>
    <n v="0"/>
    <n v="0"/>
    <n v="0"/>
    <n v="0"/>
    <n v="0"/>
    <n v="0"/>
    <n v="0"/>
    <n v="0"/>
    <n v="0"/>
    <n v="0"/>
    <n v="0"/>
    <n v="0"/>
    <n v="0"/>
    <n v="0"/>
    <n v="0"/>
    <n v="-1"/>
    <n v="-1"/>
  </r>
  <r>
    <n v="5995"/>
    <x v="1"/>
    <s v="2015/2412"/>
    <m/>
    <s v="3 Roedean Crescent"/>
    <m/>
    <n v="521248"/>
    <n v="174669"/>
    <x v="15"/>
    <m/>
    <m/>
    <n v="1"/>
    <n v="1"/>
    <n v="0"/>
    <n v="1"/>
    <n v="0"/>
    <m/>
    <s v="Demolition of existing property and erection of a three-storey (including accommodation within the roofspace) 7- bedroom detached house, with additional accommodation within a proposed new basement level."/>
    <s v="PF"/>
    <d v="2015-06-04T00:00:00"/>
    <d v="2015-07-28T00:00:00"/>
    <x v="0"/>
    <s v="Nil"/>
    <m/>
    <s v="BF"/>
    <x v="0"/>
    <x v="0"/>
    <x v="0"/>
    <n v="0.123000003397465"/>
    <m/>
    <x v="0"/>
    <m/>
    <x v="0"/>
    <s v="P"/>
    <m/>
    <m/>
    <n v="1"/>
    <m/>
    <n v="0"/>
    <m/>
    <n v="0"/>
    <n v="0"/>
    <n v="0"/>
    <n v="0"/>
    <n v="0"/>
    <n v="0"/>
    <n v="0"/>
    <n v="0"/>
    <n v="0"/>
    <n v="0"/>
    <n v="0"/>
    <n v="0"/>
    <n v="0"/>
    <n v="0"/>
    <n v="0"/>
    <n v="0"/>
    <n v="0"/>
    <n v="0"/>
    <n v="0"/>
    <n v="0"/>
    <n v="0"/>
    <n v="0"/>
    <n v="0"/>
    <n v="0"/>
    <n v="0"/>
    <n v="0"/>
    <n v="0"/>
    <n v="0"/>
    <s v="West"/>
    <x v="0"/>
    <x v="0"/>
    <x v="1"/>
    <x v="0"/>
    <x v="0"/>
    <x v="0"/>
    <m/>
    <x v="0"/>
    <s v="Y"/>
    <n v="4"/>
    <m/>
    <n v="0"/>
    <n v="0"/>
    <n v="0"/>
    <n v="0"/>
    <n v="0"/>
    <n v="0"/>
    <n v="0"/>
    <n v="0"/>
    <n v="0"/>
    <n v="0"/>
    <n v="0"/>
    <n v="0"/>
    <n v="0"/>
    <n v="0"/>
    <n v="0"/>
    <n v="0"/>
    <n v="0"/>
    <n v="0"/>
    <n v="0"/>
    <n v="0"/>
    <n v="0"/>
    <n v="0"/>
    <n v="0"/>
  </r>
  <r>
    <n v="5996"/>
    <x v="1"/>
    <s v="2017/2748"/>
    <m/>
    <s v="6 Broadwater Road"/>
    <m/>
    <n v="527571"/>
    <n v="171743"/>
    <x v="4"/>
    <m/>
    <m/>
    <n v="0"/>
    <n v="3"/>
    <n v="3"/>
    <n v="3"/>
    <n v="3"/>
    <m/>
    <s v="Demolition of commercial properties and erection of three - storey building (plus roof terrace) to provide 1 x two bedroom &amp; 2 x one bedroom flats, with associated landscaping and refuse stores."/>
    <s v="PF"/>
    <d v="2017-05-18T00:00:00"/>
    <d v="2017-10-24T00:00:00"/>
    <x v="1"/>
    <s v="Nil"/>
    <m/>
    <s v="BF"/>
    <x v="0"/>
    <x v="0"/>
    <x v="0"/>
    <n v="1.2000000104308101E-2"/>
    <m/>
    <x v="0"/>
    <m/>
    <x v="0"/>
    <s v="P"/>
    <m/>
    <m/>
    <n v="3"/>
    <m/>
    <n v="0"/>
    <m/>
    <n v="0"/>
    <n v="2"/>
    <n v="1"/>
    <n v="0"/>
    <n v="0"/>
    <n v="0"/>
    <n v="0"/>
    <n v="0"/>
    <n v="2"/>
    <n v="1"/>
    <n v="0"/>
    <n v="0"/>
    <n v="0"/>
    <n v="0"/>
    <n v="0"/>
    <n v="0"/>
    <n v="0"/>
    <n v="0"/>
    <n v="0"/>
    <n v="0"/>
    <n v="0"/>
    <n v="0"/>
    <n v="0"/>
    <n v="0"/>
    <n v="0"/>
    <n v="0"/>
    <n v="0"/>
    <n v="0"/>
    <s v="East"/>
    <x v="0"/>
    <x v="0"/>
    <x v="1"/>
    <x v="0"/>
    <x v="0"/>
    <x v="0"/>
    <m/>
    <x v="0"/>
    <s v="Y"/>
    <n v="4"/>
    <m/>
    <n v="0"/>
    <n v="0"/>
    <n v="0.75"/>
    <n v="0.75"/>
    <n v="0.75"/>
    <n v="0.75"/>
    <n v="0"/>
    <n v="0"/>
    <n v="0"/>
    <n v="0"/>
    <n v="0"/>
    <n v="0"/>
    <n v="0"/>
    <n v="0"/>
    <n v="0"/>
    <n v="0"/>
    <n v="0"/>
    <n v="0"/>
    <n v="0"/>
    <n v="0"/>
    <n v="0"/>
    <n v="3"/>
    <n v="3"/>
  </r>
  <r>
    <n v="5999"/>
    <x v="1"/>
    <s v="2015/2790"/>
    <m/>
    <s v="Royal Victoria Patriotic Building, John Archer Way"/>
    <m/>
    <n v="526961"/>
    <n v="174225"/>
    <x v="17"/>
    <m/>
    <m/>
    <n v="0"/>
    <n v="1"/>
    <n v="1"/>
    <n v="1"/>
    <n v="1"/>
    <m/>
    <s v="Erection of a single-storey dwellinghouse."/>
    <s v="PF"/>
    <d v="2015-06-22T00:00:00"/>
    <d v="2015-10-19T00:00:00"/>
    <x v="0"/>
    <s v="Nil"/>
    <m/>
    <s v="BF"/>
    <x v="0"/>
    <x v="0"/>
    <x v="0"/>
    <n v="8.9999996125698107E-3"/>
    <m/>
    <x v="0"/>
    <m/>
    <x v="0"/>
    <s v="P"/>
    <m/>
    <m/>
    <n v="1"/>
    <m/>
    <n v="0"/>
    <m/>
    <n v="0"/>
    <n v="0"/>
    <n v="1"/>
    <n v="0"/>
    <n v="0"/>
    <n v="0"/>
    <n v="0"/>
    <n v="0"/>
    <n v="0"/>
    <n v="0"/>
    <n v="0"/>
    <n v="0"/>
    <n v="0"/>
    <n v="0"/>
    <n v="0"/>
    <n v="0"/>
    <n v="1"/>
    <n v="0"/>
    <n v="0"/>
    <n v="0"/>
    <n v="0"/>
    <n v="0"/>
    <n v="0"/>
    <n v="0"/>
    <n v="0"/>
    <n v="0"/>
    <n v="0"/>
    <n v="0"/>
    <s v="West"/>
    <x v="0"/>
    <x v="0"/>
    <x v="1"/>
    <x v="0"/>
    <x v="0"/>
    <x v="0"/>
    <m/>
    <x v="0"/>
    <s v="Y"/>
    <n v="4"/>
    <m/>
    <n v="0"/>
    <n v="0"/>
    <n v="0.25"/>
    <n v="0.25"/>
    <n v="0.25"/>
    <n v="0.25"/>
    <n v="0"/>
    <n v="0"/>
    <n v="0"/>
    <n v="0"/>
    <n v="0"/>
    <n v="0"/>
    <n v="0"/>
    <n v="0"/>
    <n v="0"/>
    <n v="0"/>
    <n v="0"/>
    <n v="0"/>
    <n v="0"/>
    <n v="0"/>
    <n v="0"/>
    <n v="1"/>
    <n v="1"/>
  </r>
  <r>
    <n v="6003"/>
    <x v="1"/>
    <s v="2015/2370"/>
    <m/>
    <s v="Redgarth &amp; Carrick Court 162 &amp; 164, 162-164 Longley Road"/>
    <m/>
    <n v="527825"/>
    <n v="170600"/>
    <x v="8"/>
    <m/>
    <m/>
    <n v="0"/>
    <n v="4"/>
    <n v="4"/>
    <n v="4"/>
    <n v="4"/>
    <m/>
    <s v="Erection of roof extension to form additional storey to both residential blocks(Redgarth Court &amp; Carrick Court) in order to provide four flats.  Alterations to front boundary and erection of cycle stores and bin stores."/>
    <s v="PF"/>
    <d v="2015-05-11T00:00:00"/>
    <d v="2015-09-29T00:00:00"/>
    <x v="0"/>
    <s v="Nil"/>
    <m/>
    <s v="BF"/>
    <x v="2"/>
    <x v="0"/>
    <x v="3"/>
    <n v="2.3000000044703501E-2"/>
    <m/>
    <x v="0"/>
    <m/>
    <x v="2"/>
    <s v="HASR"/>
    <m/>
    <m/>
    <n v="0"/>
    <m/>
    <n v="0"/>
    <m/>
    <n v="0"/>
    <n v="4"/>
    <n v="0"/>
    <n v="0"/>
    <n v="0"/>
    <n v="0"/>
    <n v="0"/>
    <n v="0"/>
    <n v="4"/>
    <n v="0"/>
    <n v="0"/>
    <n v="0"/>
    <n v="0"/>
    <n v="0"/>
    <n v="0"/>
    <n v="0"/>
    <n v="0"/>
    <n v="0"/>
    <n v="0"/>
    <n v="0"/>
    <n v="0"/>
    <n v="0"/>
    <n v="0"/>
    <n v="0"/>
    <n v="0"/>
    <n v="0"/>
    <n v="0"/>
    <n v="0"/>
    <s v="East"/>
    <x v="0"/>
    <x v="0"/>
    <x v="1"/>
    <x v="0"/>
    <x v="0"/>
    <x v="0"/>
    <m/>
    <x v="0"/>
    <s v="Y"/>
    <s v="9A"/>
    <m/>
    <n v="0"/>
    <n v="1"/>
    <n v="1"/>
    <n v="1"/>
    <n v="1"/>
    <n v="0"/>
    <n v="0"/>
    <n v="0"/>
    <n v="0"/>
    <n v="0"/>
    <n v="0"/>
    <n v="0"/>
    <n v="0"/>
    <n v="0"/>
    <n v="0"/>
    <n v="0"/>
    <n v="0"/>
    <n v="0"/>
    <n v="0"/>
    <n v="0"/>
    <n v="0"/>
    <n v="4"/>
    <n v="4"/>
  </r>
  <r>
    <n v="6008"/>
    <x v="1"/>
    <s v="2015/2742"/>
    <m/>
    <s v="184 Lavender Hill"/>
    <m/>
    <n v="527696"/>
    <n v="175547"/>
    <x v="10"/>
    <m/>
    <m/>
    <n v="1"/>
    <n v="3"/>
    <n v="2"/>
    <n v="3"/>
    <n v="2"/>
    <m/>
    <s v="Alterations in connections with the conversion of upper floor maisonette into 1 x two-bedroom, 1 x one- bedroom and 1 x studio self contained flats.  Extensions including erection of rear roof extension to main rear roof and extensions above three-storey back addition, formation of roof terrace above back addition with railing surround."/>
    <s v="PF"/>
    <d v="2015-06-22T00:00:00"/>
    <d v="2015-12-17T00:00:00"/>
    <x v="0"/>
    <s v="Nil"/>
    <m/>
    <s v="BF"/>
    <x v="4"/>
    <x v="0"/>
    <x v="10"/>
    <n v="8.9999996125698107E-3"/>
    <m/>
    <x v="0"/>
    <m/>
    <x v="0"/>
    <s v="P"/>
    <m/>
    <m/>
    <n v="0"/>
    <m/>
    <n v="0"/>
    <m/>
    <n v="1"/>
    <n v="1"/>
    <n v="1"/>
    <n v="0"/>
    <n v="-1"/>
    <n v="0"/>
    <n v="0"/>
    <n v="1"/>
    <n v="1"/>
    <n v="1"/>
    <n v="0"/>
    <n v="-1"/>
    <n v="0"/>
    <n v="0"/>
    <n v="0"/>
    <n v="0"/>
    <n v="0"/>
    <n v="0"/>
    <n v="0"/>
    <n v="0"/>
    <n v="0"/>
    <n v="0"/>
    <n v="0"/>
    <n v="0"/>
    <n v="0"/>
    <n v="0"/>
    <n v="0"/>
    <n v="0"/>
    <s v="East"/>
    <x v="5"/>
    <x v="0"/>
    <x v="1"/>
    <x v="0"/>
    <x v="0"/>
    <x v="0"/>
    <m/>
    <x v="0"/>
    <s v="Y"/>
    <s v="9A"/>
    <m/>
    <n v="0"/>
    <n v="0.5"/>
    <n v="0.5"/>
    <n v="0.5"/>
    <n v="0.5"/>
    <n v="0"/>
    <n v="0"/>
    <n v="0"/>
    <n v="0"/>
    <n v="0"/>
    <n v="0"/>
    <n v="0"/>
    <n v="0"/>
    <n v="0"/>
    <n v="0"/>
    <n v="0"/>
    <n v="0"/>
    <n v="0"/>
    <n v="0"/>
    <n v="0"/>
    <n v="0"/>
    <n v="2"/>
    <n v="2"/>
  </r>
  <r>
    <n v="6010"/>
    <x v="1"/>
    <s v="2016/0406"/>
    <s v="Former Greenside Social Club"/>
    <s v="Phoenix Members Bar Club, 37 Groom Crescent"/>
    <m/>
    <n v="526682"/>
    <n v="173711"/>
    <x v="17"/>
    <m/>
    <m/>
    <n v="0"/>
    <n v="2"/>
    <n v="2"/>
    <n v="2"/>
    <n v="2"/>
    <m/>
    <s v="Partial demolition of club house in connection with the part change of use of the building from D2 (assembly and leisure) to C3 (residential) with the erection of 2x3 storey 4 bedroom semi-detached dwellinghouses including creation of 4 x car parking spaces in roadway."/>
    <s v="PF"/>
    <d v="2016-01-20T00:00:00"/>
    <d v="2016-03-24T00:00:00"/>
    <x v="0"/>
    <s v="Nil"/>
    <m/>
    <s v="BF"/>
    <x v="4"/>
    <x v="0"/>
    <x v="0"/>
    <n v="3.7999998778104803E-2"/>
    <m/>
    <x v="0"/>
    <m/>
    <x v="0"/>
    <s v="P"/>
    <m/>
    <m/>
    <n v="2"/>
    <m/>
    <n v="0"/>
    <m/>
    <n v="0"/>
    <n v="0"/>
    <n v="0"/>
    <n v="0"/>
    <n v="2"/>
    <n v="0"/>
    <n v="0"/>
    <n v="0"/>
    <n v="0"/>
    <n v="0"/>
    <n v="0"/>
    <n v="0"/>
    <n v="0"/>
    <n v="0"/>
    <n v="0"/>
    <n v="0"/>
    <n v="0"/>
    <n v="0"/>
    <n v="2"/>
    <n v="0"/>
    <n v="0"/>
    <n v="0"/>
    <n v="0"/>
    <n v="0"/>
    <n v="0"/>
    <n v="0"/>
    <n v="0"/>
    <n v="0"/>
    <s v="West"/>
    <x v="0"/>
    <x v="0"/>
    <x v="1"/>
    <x v="0"/>
    <x v="0"/>
    <x v="0"/>
    <m/>
    <x v="0"/>
    <s v="Y"/>
    <s v="9A"/>
    <m/>
    <n v="0"/>
    <n v="0.5"/>
    <n v="0.5"/>
    <n v="0.5"/>
    <n v="0.5"/>
    <n v="0"/>
    <n v="0"/>
    <n v="0"/>
    <n v="0"/>
    <n v="0"/>
    <n v="0"/>
    <n v="0"/>
    <n v="0"/>
    <n v="0"/>
    <n v="0"/>
    <n v="0"/>
    <n v="0"/>
    <n v="0"/>
    <n v="0"/>
    <n v="0"/>
    <n v="0"/>
    <n v="2"/>
    <n v="2"/>
  </r>
  <r>
    <n v="6016"/>
    <x v="1"/>
    <s v="2016/7462"/>
    <m/>
    <s v="203 Replingham Road"/>
    <m/>
    <n v="525206"/>
    <n v="173428"/>
    <x v="5"/>
    <m/>
    <m/>
    <n v="0"/>
    <n v="2"/>
    <n v="2"/>
    <n v="2"/>
    <n v="2"/>
    <m/>
    <s v="Determination as to whether prior approval is required for change of use from retail (Class A1) to 2 x 1-bedroom flats (Class C3)."/>
    <s v="PANR"/>
    <d v="2017-01-11T00:00:00"/>
    <d v="2017-03-08T00:00:00"/>
    <x v="0"/>
    <s v="Nil"/>
    <m/>
    <s v="BF"/>
    <x v="3"/>
    <x v="0"/>
    <x v="4"/>
    <n v="3.0000000260770299E-3"/>
    <m/>
    <x v="0"/>
    <m/>
    <x v="0"/>
    <s v="P"/>
    <m/>
    <m/>
    <n v="0"/>
    <m/>
    <n v="0"/>
    <m/>
    <n v="0"/>
    <n v="2"/>
    <n v="0"/>
    <n v="0"/>
    <n v="0"/>
    <n v="0"/>
    <n v="0"/>
    <n v="0"/>
    <n v="2"/>
    <n v="0"/>
    <n v="0"/>
    <n v="0"/>
    <n v="0"/>
    <n v="0"/>
    <n v="0"/>
    <n v="0"/>
    <n v="0"/>
    <n v="0"/>
    <n v="0"/>
    <n v="0"/>
    <n v="0"/>
    <n v="0"/>
    <n v="0"/>
    <n v="0"/>
    <n v="0"/>
    <n v="0"/>
    <n v="0"/>
    <n v="0"/>
    <s v="West"/>
    <x v="0"/>
    <x v="0"/>
    <x v="1"/>
    <x v="0"/>
    <x v="0"/>
    <x v="0"/>
    <m/>
    <x v="0"/>
    <s v="Y"/>
    <s v="9A"/>
    <m/>
    <n v="0"/>
    <n v="0.5"/>
    <n v="0.5"/>
    <n v="0.5"/>
    <n v="0.5"/>
    <n v="0"/>
    <n v="0"/>
    <n v="0"/>
    <n v="0"/>
    <n v="0"/>
    <n v="0"/>
    <n v="0"/>
    <n v="0"/>
    <n v="0"/>
    <n v="0"/>
    <n v="0"/>
    <n v="0"/>
    <n v="0"/>
    <n v="0"/>
    <n v="0"/>
    <n v="0"/>
    <n v="2"/>
    <n v="2"/>
  </r>
  <r>
    <n v="6017"/>
    <x v="1"/>
    <s v="2016/5196"/>
    <m/>
    <s v="Land rear of 69-75, 69-75 Upper Tooting Road"/>
    <m/>
    <n v="527837"/>
    <n v="172151"/>
    <x v="4"/>
    <m/>
    <m/>
    <n v="0"/>
    <n v="1"/>
    <n v="1"/>
    <n v="1"/>
    <n v="1"/>
    <m/>
    <s v="Erection of a one bedroom self contained unit at the rear of 69-73 Upper Tooting Road."/>
    <s v="PF"/>
    <d v="2016-09-02T00:00:00"/>
    <d v="2016-11-28T00:00:00"/>
    <x v="0"/>
    <s v="Nil"/>
    <m/>
    <s v="BF"/>
    <x v="0"/>
    <x v="0"/>
    <x v="0"/>
    <n v="3.5999998450279201E-2"/>
    <m/>
    <x v="0"/>
    <m/>
    <x v="0"/>
    <s v="P"/>
    <m/>
    <m/>
    <n v="0"/>
    <m/>
    <n v="0"/>
    <m/>
    <n v="0"/>
    <n v="1"/>
    <n v="0"/>
    <n v="0"/>
    <n v="0"/>
    <n v="0"/>
    <n v="0"/>
    <n v="0"/>
    <n v="0"/>
    <n v="0"/>
    <n v="0"/>
    <n v="0"/>
    <n v="0"/>
    <n v="0"/>
    <n v="0"/>
    <n v="1"/>
    <n v="0"/>
    <n v="0"/>
    <n v="0"/>
    <n v="0"/>
    <n v="0"/>
    <n v="0"/>
    <n v="0"/>
    <n v="0"/>
    <n v="0"/>
    <n v="0"/>
    <n v="0"/>
    <n v="0"/>
    <s v="East"/>
    <x v="0"/>
    <x v="0"/>
    <x v="1"/>
    <x v="0"/>
    <x v="0"/>
    <x v="0"/>
    <m/>
    <x v="0"/>
    <s v="Y"/>
    <n v="4"/>
    <m/>
    <n v="0"/>
    <n v="0"/>
    <n v="0.25"/>
    <n v="0.25"/>
    <n v="0.25"/>
    <n v="0.25"/>
    <n v="0"/>
    <n v="0"/>
    <n v="0"/>
    <n v="0"/>
    <n v="0"/>
    <n v="0"/>
    <n v="0"/>
    <n v="0"/>
    <n v="0"/>
    <n v="0"/>
    <n v="0"/>
    <n v="0"/>
    <n v="0"/>
    <n v="0"/>
    <n v="0"/>
    <n v="1"/>
    <n v="1"/>
  </r>
  <r>
    <n v="6030"/>
    <x v="1"/>
    <s v="2015/4168"/>
    <m/>
    <s v="8 Akehurst Street"/>
    <m/>
    <n v="522262"/>
    <n v="173980"/>
    <x v="15"/>
    <m/>
    <m/>
    <n v="0"/>
    <n v="2"/>
    <n v="2"/>
    <n v="2"/>
    <n v="2"/>
    <m/>
    <s v="Erection of 2, three-storey detached houses (top floor in roof) with basement levels and associated landscaping."/>
    <s v="PF"/>
    <d v="2015-07-30T00:00:00"/>
    <d v="2015-11-12T00:00:00"/>
    <x v="0"/>
    <s v="Nil"/>
    <m/>
    <s v="BF"/>
    <x v="0"/>
    <x v="0"/>
    <x v="0"/>
    <n v="0.108999997377396"/>
    <m/>
    <x v="0"/>
    <m/>
    <x v="0"/>
    <s v="P"/>
    <m/>
    <m/>
    <n v="2"/>
    <m/>
    <n v="0"/>
    <m/>
    <n v="0"/>
    <n v="0"/>
    <n v="0"/>
    <n v="0"/>
    <n v="0"/>
    <n v="2"/>
    <n v="0"/>
    <n v="0"/>
    <n v="0"/>
    <n v="0"/>
    <n v="0"/>
    <n v="0"/>
    <n v="0"/>
    <n v="0"/>
    <n v="0"/>
    <n v="0"/>
    <n v="0"/>
    <n v="0"/>
    <n v="0"/>
    <n v="2"/>
    <n v="0"/>
    <n v="0"/>
    <n v="0"/>
    <n v="0"/>
    <n v="0"/>
    <n v="0"/>
    <n v="0"/>
    <n v="0"/>
    <s v="West"/>
    <x v="0"/>
    <x v="0"/>
    <x v="1"/>
    <x v="0"/>
    <x v="0"/>
    <x v="0"/>
    <m/>
    <x v="0"/>
    <s v="Y"/>
    <n v="4"/>
    <m/>
    <n v="0"/>
    <n v="0"/>
    <n v="0.5"/>
    <n v="0.5"/>
    <n v="0.5"/>
    <n v="0.5"/>
    <n v="0"/>
    <n v="0"/>
    <n v="0"/>
    <n v="0"/>
    <n v="0"/>
    <n v="0"/>
    <n v="0"/>
    <n v="0"/>
    <n v="0"/>
    <n v="0"/>
    <n v="0"/>
    <n v="0"/>
    <n v="0"/>
    <n v="0"/>
    <n v="0"/>
    <n v="2"/>
    <n v="2"/>
  </r>
  <r>
    <n v="6031"/>
    <x v="1"/>
    <s v="2015/5557"/>
    <m/>
    <s v="Unit E The Mews, 6 Putney Common"/>
    <m/>
    <n v="523225"/>
    <n v="175820"/>
    <x v="13"/>
    <m/>
    <m/>
    <n v="0"/>
    <n v="1"/>
    <n v="1"/>
    <n v="1"/>
    <n v="1"/>
    <m/>
    <s v="Determination as to whether prior approval is required for change of use from office (Class B1a) to one residential unit (Class C3)."/>
    <s v="PANR"/>
    <d v="2015-10-30T00:00:00"/>
    <d v="2015-12-22T00:00:00"/>
    <x v="0"/>
    <s v="Nil"/>
    <m/>
    <s v="BF"/>
    <x v="3"/>
    <x v="0"/>
    <x v="9"/>
    <n v="9.9999997764825804E-3"/>
    <m/>
    <x v="0"/>
    <m/>
    <x v="0"/>
    <s v="P"/>
    <m/>
    <m/>
    <n v="0"/>
    <m/>
    <n v="0"/>
    <m/>
    <n v="0"/>
    <n v="0"/>
    <n v="1"/>
    <n v="0"/>
    <n v="0"/>
    <n v="0"/>
    <n v="0"/>
    <n v="0"/>
    <n v="0"/>
    <n v="1"/>
    <n v="0"/>
    <n v="0"/>
    <n v="0"/>
    <n v="0"/>
    <n v="0"/>
    <n v="0"/>
    <n v="0"/>
    <n v="0"/>
    <n v="0"/>
    <n v="0"/>
    <n v="0"/>
    <n v="0"/>
    <n v="0"/>
    <n v="0"/>
    <n v="0"/>
    <n v="0"/>
    <n v="0"/>
    <n v="0"/>
    <s v="West"/>
    <x v="0"/>
    <x v="0"/>
    <x v="1"/>
    <x v="0"/>
    <x v="0"/>
    <x v="0"/>
    <m/>
    <x v="0"/>
    <s v="Y"/>
    <s v="9A"/>
    <m/>
    <n v="0"/>
    <n v="0.25"/>
    <n v="0.25"/>
    <n v="0.25"/>
    <n v="0.25"/>
    <n v="0"/>
    <n v="0"/>
    <n v="0"/>
    <n v="0"/>
    <n v="0"/>
    <n v="0"/>
    <n v="0"/>
    <n v="0"/>
    <n v="0"/>
    <n v="0"/>
    <n v="0"/>
    <n v="0"/>
    <n v="0"/>
    <n v="0"/>
    <n v="0"/>
    <n v="0"/>
    <n v="1"/>
    <n v="1"/>
  </r>
  <r>
    <n v="6032"/>
    <x v="1"/>
    <s v="2016/1735"/>
    <m/>
    <s v="259 Putney Bridge Road"/>
    <m/>
    <n v="524386"/>
    <n v="175298"/>
    <x v="13"/>
    <m/>
    <m/>
    <n v="0"/>
    <n v="1"/>
    <n v="1"/>
    <n v="1"/>
    <n v="1"/>
    <m/>
    <s v="Determination as to whether prior approval is required for change of use of lower ground and ground floors from retail (Class A1) to 1x2 bedroom unit (Class C3) with associated external alterations to front and rear."/>
    <s v="PAG"/>
    <d v="2016-04-01T00:00:00"/>
    <d v="2016-05-27T00:00:00"/>
    <x v="0"/>
    <s v="Nil"/>
    <m/>
    <s v="BF"/>
    <x v="3"/>
    <x v="0"/>
    <x v="4"/>
    <n v="6.0000000521540598E-3"/>
    <m/>
    <x v="0"/>
    <m/>
    <x v="0"/>
    <s v="P"/>
    <m/>
    <m/>
    <n v="0"/>
    <m/>
    <n v="0"/>
    <m/>
    <n v="0"/>
    <n v="1"/>
    <n v="0"/>
    <n v="0"/>
    <n v="0"/>
    <n v="0"/>
    <n v="0"/>
    <n v="0"/>
    <n v="1"/>
    <n v="0"/>
    <n v="0"/>
    <n v="0"/>
    <n v="0"/>
    <n v="0"/>
    <n v="0"/>
    <n v="0"/>
    <n v="0"/>
    <n v="0"/>
    <n v="0"/>
    <n v="0"/>
    <n v="0"/>
    <n v="0"/>
    <n v="0"/>
    <n v="0"/>
    <n v="0"/>
    <n v="0"/>
    <n v="0"/>
    <n v="0"/>
    <s v="West"/>
    <x v="0"/>
    <x v="0"/>
    <x v="1"/>
    <x v="0"/>
    <x v="0"/>
    <x v="0"/>
    <m/>
    <x v="0"/>
    <s v="Y"/>
    <s v="9A"/>
    <m/>
    <n v="0"/>
    <n v="0.25"/>
    <n v="0.25"/>
    <n v="0.25"/>
    <n v="0.25"/>
    <n v="0"/>
    <n v="0"/>
    <n v="0"/>
    <n v="0"/>
    <n v="0"/>
    <n v="0"/>
    <n v="0"/>
    <n v="0"/>
    <n v="0"/>
    <n v="0"/>
    <n v="0"/>
    <n v="0"/>
    <n v="0"/>
    <n v="0"/>
    <n v="0"/>
    <n v="0"/>
    <n v="1"/>
    <n v="1"/>
  </r>
  <r>
    <n v="6034"/>
    <x v="1"/>
    <s v="2016/6107"/>
    <m/>
    <s v="156 Putney High Street"/>
    <m/>
    <n v="523955"/>
    <n v="175134"/>
    <x v="13"/>
    <m/>
    <m/>
    <n v="1"/>
    <n v="1"/>
    <n v="0"/>
    <n v="2"/>
    <n v="1"/>
    <m/>
    <s v="Alterations including erection of two-storey rear extension at first and second floor levels; erection of a main roof extension to create additional floor of accommodation; formation of roof terrace at rear first floor level, in connection with conversion into 1 x 1-bedroom and 1 x 2-bedroom flats."/>
    <s v="PF"/>
    <d v="2016-10-19T00:00:00"/>
    <d v="2016-12-14T00:00:00"/>
    <x v="0"/>
    <s v="Nil"/>
    <m/>
    <s v="BF"/>
    <x v="4"/>
    <x v="0"/>
    <x v="10"/>
    <n v="3.0000000260770299E-3"/>
    <m/>
    <x v="0"/>
    <m/>
    <x v="0"/>
    <s v="P"/>
    <m/>
    <m/>
    <n v="0"/>
    <m/>
    <n v="0"/>
    <m/>
    <n v="0"/>
    <n v="1"/>
    <n v="-1"/>
    <n v="0"/>
    <n v="0"/>
    <n v="0"/>
    <n v="0"/>
    <n v="0"/>
    <n v="1"/>
    <n v="-1"/>
    <n v="0"/>
    <n v="0"/>
    <n v="0"/>
    <n v="0"/>
    <n v="0"/>
    <n v="0"/>
    <n v="0"/>
    <n v="0"/>
    <n v="0"/>
    <n v="0"/>
    <n v="0"/>
    <n v="0"/>
    <n v="0"/>
    <n v="0"/>
    <n v="0"/>
    <n v="0"/>
    <n v="0"/>
    <n v="0"/>
    <s v="West"/>
    <x v="3"/>
    <x v="0"/>
    <x v="1"/>
    <x v="0"/>
    <x v="0"/>
    <x v="0"/>
    <m/>
    <x v="0"/>
    <s v="Y"/>
    <s v="9A"/>
    <m/>
    <n v="0"/>
    <n v="0"/>
    <n v="0"/>
    <n v="0"/>
    <n v="0"/>
    <n v="0"/>
    <n v="0"/>
    <n v="0"/>
    <n v="0"/>
    <n v="0"/>
    <n v="0"/>
    <n v="0"/>
    <n v="0"/>
    <n v="0"/>
    <n v="0"/>
    <n v="0"/>
    <n v="0"/>
    <n v="0"/>
    <n v="0"/>
    <n v="0"/>
    <n v="0"/>
    <n v="0"/>
    <n v="0"/>
  </r>
  <r>
    <n v="6034"/>
    <x v="1"/>
    <s v="2016/6107"/>
    <m/>
    <s v="156 Putney High Street"/>
    <m/>
    <n v="523955"/>
    <n v="175134"/>
    <x v="13"/>
    <m/>
    <m/>
    <n v="0"/>
    <n v="1"/>
    <n v="1"/>
    <n v="2"/>
    <n v="1"/>
    <m/>
    <s v="Alterations including erection of two-storey rear extension at first and second floor levels; erection of a main roof extension to create additional floor of accommodation; formation of roof terrace at rear first floor level, in connection with conversion into 1 x 1-bedroom and 1 x 2-bedroom flats."/>
    <s v="PF"/>
    <d v="2016-10-19T00:00:00"/>
    <d v="2016-12-14T00:00:00"/>
    <x v="0"/>
    <s v="Nil"/>
    <m/>
    <s v="BF"/>
    <x v="4"/>
    <x v="0"/>
    <x v="10"/>
    <n v="4.9999998882412902E-3"/>
    <m/>
    <x v="0"/>
    <m/>
    <x v="0"/>
    <s v="P"/>
    <m/>
    <m/>
    <n v="0"/>
    <m/>
    <n v="0"/>
    <m/>
    <n v="0"/>
    <n v="0"/>
    <n v="1"/>
    <n v="0"/>
    <n v="0"/>
    <n v="0"/>
    <n v="0"/>
    <n v="0"/>
    <n v="0"/>
    <n v="1"/>
    <n v="0"/>
    <n v="0"/>
    <n v="0"/>
    <n v="0"/>
    <n v="0"/>
    <n v="0"/>
    <n v="0"/>
    <n v="0"/>
    <n v="0"/>
    <n v="0"/>
    <n v="0"/>
    <n v="0"/>
    <n v="0"/>
    <n v="0"/>
    <n v="0"/>
    <n v="0"/>
    <n v="0"/>
    <n v="0"/>
    <s v="West"/>
    <x v="3"/>
    <x v="0"/>
    <x v="1"/>
    <x v="0"/>
    <x v="0"/>
    <x v="0"/>
    <m/>
    <x v="0"/>
    <s v="Y"/>
    <s v="9A"/>
    <m/>
    <n v="0"/>
    <n v="0.25"/>
    <n v="0.25"/>
    <n v="0.25"/>
    <n v="0.25"/>
    <n v="0"/>
    <n v="0"/>
    <n v="0"/>
    <n v="0"/>
    <n v="0"/>
    <n v="0"/>
    <n v="0"/>
    <n v="0"/>
    <n v="0"/>
    <n v="0"/>
    <n v="0"/>
    <n v="0"/>
    <n v="0"/>
    <n v="0"/>
    <n v="0"/>
    <n v="0"/>
    <n v="1"/>
    <n v="1"/>
  </r>
  <r>
    <n v="6035"/>
    <x v="1"/>
    <s v="2016/2446"/>
    <m/>
    <s v="5 St Georges Court, 131 Putney Bridge Road"/>
    <m/>
    <n v="524786"/>
    <n v="175120"/>
    <x v="13"/>
    <m/>
    <m/>
    <n v="0"/>
    <n v="1"/>
    <n v="1"/>
    <n v="1"/>
    <n v="1"/>
    <m/>
    <s v="Change of Use from Office [class B1] to Residential [class C3] in connection with the provision of a one- bedroom flat."/>
    <s v="PF"/>
    <d v="2016-04-28T00:00:00"/>
    <d v="2016-06-22T00:00:00"/>
    <x v="0"/>
    <s v="Nil"/>
    <m/>
    <s v="BF"/>
    <x v="3"/>
    <x v="0"/>
    <x v="9"/>
    <n v="4.0000001899898104E-3"/>
    <m/>
    <x v="0"/>
    <m/>
    <x v="0"/>
    <s v="P"/>
    <m/>
    <m/>
    <n v="0"/>
    <m/>
    <n v="0"/>
    <m/>
    <n v="0"/>
    <n v="1"/>
    <n v="0"/>
    <n v="0"/>
    <n v="0"/>
    <n v="0"/>
    <n v="0"/>
    <n v="0"/>
    <n v="1"/>
    <n v="0"/>
    <n v="0"/>
    <n v="0"/>
    <n v="0"/>
    <n v="0"/>
    <n v="0"/>
    <n v="0"/>
    <n v="0"/>
    <n v="0"/>
    <n v="0"/>
    <n v="0"/>
    <n v="0"/>
    <n v="0"/>
    <n v="0"/>
    <n v="0"/>
    <n v="0"/>
    <n v="0"/>
    <n v="0"/>
    <n v="0"/>
    <s v="West"/>
    <x v="0"/>
    <x v="0"/>
    <x v="1"/>
    <x v="0"/>
    <x v="0"/>
    <x v="0"/>
    <m/>
    <x v="0"/>
    <s v="Y"/>
    <s v="9A"/>
    <m/>
    <n v="0"/>
    <n v="0.25"/>
    <n v="0.25"/>
    <n v="0.25"/>
    <n v="0.25"/>
    <n v="0"/>
    <n v="0"/>
    <n v="0"/>
    <n v="0"/>
    <n v="0"/>
    <n v="0"/>
    <n v="0"/>
    <n v="0"/>
    <n v="0"/>
    <n v="0"/>
    <n v="0"/>
    <n v="0"/>
    <n v="0"/>
    <n v="0"/>
    <n v="0"/>
    <n v="0"/>
    <n v="1"/>
    <n v="1"/>
  </r>
  <r>
    <n v="6035"/>
    <x v="1"/>
    <s v="2017/0261"/>
    <m/>
    <s v="5 St Georges Court, 131 Putney Bridge Road"/>
    <m/>
    <n v="524786"/>
    <n v="175120"/>
    <x v="13"/>
    <m/>
    <m/>
    <n v="0"/>
    <n v="1"/>
    <n v="1"/>
    <n v="1"/>
    <n v="1"/>
    <m/>
    <s v="Determination as to whether prior approval is required for change of use from office (Class B1a) to one residential unit (Class C3)."/>
    <s v="PAG"/>
    <d v="2017-01-17T00:00:00"/>
    <d v="2017-03-14T00:00:00"/>
    <x v="0"/>
    <s v="Nil"/>
    <m/>
    <s v="BF"/>
    <x v="3"/>
    <x v="0"/>
    <x v="9"/>
    <n v="4.0000001899898104E-3"/>
    <m/>
    <x v="0"/>
    <m/>
    <x v="0"/>
    <s v="P"/>
    <m/>
    <m/>
    <n v="0"/>
    <m/>
    <n v="0"/>
    <m/>
    <n v="0"/>
    <n v="1"/>
    <n v="0"/>
    <n v="0"/>
    <n v="0"/>
    <n v="0"/>
    <n v="0"/>
    <n v="0"/>
    <n v="1"/>
    <n v="0"/>
    <n v="0"/>
    <n v="0"/>
    <n v="0"/>
    <n v="0"/>
    <n v="0"/>
    <n v="0"/>
    <n v="0"/>
    <n v="0"/>
    <n v="0"/>
    <n v="0"/>
    <n v="0"/>
    <n v="0"/>
    <n v="0"/>
    <n v="0"/>
    <n v="0"/>
    <n v="0"/>
    <n v="0"/>
    <n v="0"/>
    <s v="West"/>
    <x v="0"/>
    <x v="0"/>
    <x v="1"/>
    <x v="0"/>
    <x v="0"/>
    <x v="0"/>
    <m/>
    <x v="0"/>
    <s v="Y"/>
    <s v="9A"/>
    <m/>
    <n v="0"/>
    <n v="0.25"/>
    <n v="0.25"/>
    <n v="0.25"/>
    <n v="0.25"/>
    <n v="0"/>
    <n v="0"/>
    <n v="0"/>
    <n v="0"/>
    <n v="0"/>
    <n v="0"/>
    <n v="0"/>
    <n v="0"/>
    <n v="0"/>
    <n v="0"/>
    <n v="0"/>
    <n v="0"/>
    <n v="0"/>
    <n v="0"/>
    <n v="0"/>
    <n v="0"/>
    <n v="1"/>
    <n v="1"/>
  </r>
  <r>
    <n v="6044"/>
    <x v="1"/>
    <s v="2016/1170"/>
    <m/>
    <s v="615 Garratt Lane"/>
    <m/>
    <n v="526143"/>
    <n v="172628"/>
    <x v="18"/>
    <m/>
    <m/>
    <n v="0"/>
    <n v="2"/>
    <n v="2"/>
    <n v="2"/>
    <n v="2"/>
    <m/>
    <s v="Excavation to enlarge basement including formation of front and rear lightwells; erection of single-storey rear extension in connection with change of use of basement and ground floors from retail (Class A1) to 1 x 1-bedroom and 1 x 2-bedroom flats (Class C3)."/>
    <s v="PF"/>
    <d v="2016-04-12T00:00:00"/>
    <d v="2016-06-07T00:00:00"/>
    <x v="0"/>
    <s v="Nil"/>
    <m/>
    <s v="BF"/>
    <x v="4"/>
    <x v="0"/>
    <x v="4"/>
    <n v="4.9999998882412902E-3"/>
    <m/>
    <x v="0"/>
    <m/>
    <x v="0"/>
    <s v="P"/>
    <m/>
    <m/>
    <n v="0"/>
    <m/>
    <n v="0"/>
    <m/>
    <n v="0"/>
    <n v="1"/>
    <n v="1"/>
    <n v="0"/>
    <n v="0"/>
    <n v="0"/>
    <n v="0"/>
    <n v="0"/>
    <n v="1"/>
    <n v="1"/>
    <n v="0"/>
    <n v="0"/>
    <n v="0"/>
    <n v="0"/>
    <n v="0"/>
    <n v="0"/>
    <n v="0"/>
    <n v="0"/>
    <n v="0"/>
    <n v="0"/>
    <n v="0"/>
    <n v="0"/>
    <n v="0"/>
    <n v="0"/>
    <n v="0"/>
    <n v="0"/>
    <n v="0"/>
    <n v="0"/>
    <s v="West"/>
    <x v="0"/>
    <x v="0"/>
    <x v="1"/>
    <x v="0"/>
    <x v="0"/>
    <x v="0"/>
    <m/>
    <x v="0"/>
    <s v="Y"/>
    <s v="9A"/>
    <m/>
    <n v="0"/>
    <n v="0.5"/>
    <n v="0.5"/>
    <n v="0.5"/>
    <n v="0.5"/>
    <n v="0"/>
    <n v="0"/>
    <n v="0"/>
    <n v="0"/>
    <n v="0"/>
    <n v="0"/>
    <n v="0"/>
    <n v="0"/>
    <n v="0"/>
    <n v="0"/>
    <n v="0"/>
    <n v="0"/>
    <n v="0"/>
    <n v="0"/>
    <n v="0"/>
    <n v="0"/>
    <n v="2"/>
    <n v="2"/>
  </r>
  <r>
    <n v="6058"/>
    <x v="1"/>
    <s v="2015/4817"/>
    <m/>
    <s v="The Bricklayers Arms, 32 Waterman Street"/>
    <m/>
    <n v="523963"/>
    <n v="175629"/>
    <x v="13"/>
    <m/>
    <m/>
    <n v="0"/>
    <n v="2"/>
    <n v="2"/>
    <n v="2"/>
    <n v="2"/>
    <m/>
    <s v="Demolition of existing ground floor rear back additions and erection of a two storey rear extension to re-provide accommodation to the public house at ground floor level (Use Class A4) and additional ancillary residential accommodation at first floor level; erection of a two-storey building with basement adjacent to the main public house to provide 1 x 1 bedroom flat and 1 x 2 bedroom flat with private amenity space"/>
    <s v="PF"/>
    <d v="2015-09-17T00:00:00"/>
    <d v="2016-03-30T00:00:00"/>
    <x v="0"/>
    <s v="Nil"/>
    <m/>
    <s v="BF"/>
    <x v="0"/>
    <x v="0"/>
    <x v="0"/>
    <n v="2.19999998807907E-2"/>
    <m/>
    <x v="0"/>
    <m/>
    <x v="0"/>
    <s v="P"/>
    <m/>
    <m/>
    <n v="2"/>
    <m/>
    <n v="0"/>
    <m/>
    <n v="0"/>
    <n v="1"/>
    <n v="1"/>
    <n v="0"/>
    <n v="0"/>
    <n v="0"/>
    <n v="0"/>
    <n v="0"/>
    <n v="1"/>
    <n v="1"/>
    <n v="0"/>
    <n v="0"/>
    <n v="0"/>
    <n v="0"/>
    <n v="0"/>
    <n v="0"/>
    <n v="0"/>
    <n v="0"/>
    <n v="0"/>
    <n v="0"/>
    <n v="0"/>
    <n v="0"/>
    <n v="0"/>
    <n v="0"/>
    <n v="0"/>
    <n v="0"/>
    <n v="0"/>
    <n v="0"/>
    <s v="West"/>
    <x v="0"/>
    <x v="0"/>
    <x v="1"/>
    <x v="0"/>
    <x v="0"/>
    <x v="0"/>
    <m/>
    <x v="0"/>
    <s v="Y"/>
    <n v="4"/>
    <m/>
    <n v="0"/>
    <n v="0"/>
    <n v="0.5"/>
    <n v="0.5"/>
    <n v="0.5"/>
    <n v="0.5"/>
    <n v="0"/>
    <n v="0"/>
    <n v="0"/>
    <n v="0"/>
    <n v="0"/>
    <n v="0"/>
    <n v="0"/>
    <n v="0"/>
    <n v="0"/>
    <n v="0"/>
    <n v="0"/>
    <n v="0"/>
    <n v="0"/>
    <n v="0"/>
    <n v="0"/>
    <n v="2"/>
    <n v="2"/>
  </r>
  <r>
    <n v="6063"/>
    <x v="1"/>
    <s v="2015/5072"/>
    <m/>
    <s v="Land east of 11-13 (11A), 11-13 Stanmer Street"/>
    <m/>
    <n v="527408"/>
    <n v="176440"/>
    <x v="1"/>
    <m/>
    <m/>
    <n v="0"/>
    <n v="1"/>
    <n v="1"/>
    <n v="1"/>
    <n v="1"/>
    <m/>
    <s v="Erection of two-storey 2-bedroom dwelling at basement and ground floor levels (accessed from passage between 11 and 13 Stanmer Street and entrance gate) with lightwell to Stanmer Street."/>
    <s v="PF"/>
    <d v="2015-09-10T00:00:00"/>
    <d v="2016-07-29T00:00:00"/>
    <x v="0"/>
    <s v="Nil"/>
    <m/>
    <s v="BF"/>
    <x v="0"/>
    <x v="0"/>
    <x v="0"/>
    <n v="1.7999999225139601E-2"/>
    <m/>
    <x v="0"/>
    <m/>
    <x v="0"/>
    <s v="P"/>
    <m/>
    <m/>
    <n v="1"/>
    <m/>
    <n v="0"/>
    <m/>
    <n v="0"/>
    <n v="0"/>
    <n v="1"/>
    <n v="0"/>
    <n v="0"/>
    <n v="0"/>
    <n v="0"/>
    <n v="0"/>
    <n v="0"/>
    <n v="0"/>
    <n v="0"/>
    <n v="0"/>
    <n v="0"/>
    <n v="0"/>
    <n v="0"/>
    <n v="0"/>
    <n v="1"/>
    <n v="0"/>
    <n v="0"/>
    <n v="0"/>
    <n v="0"/>
    <n v="0"/>
    <n v="0"/>
    <n v="0"/>
    <n v="0"/>
    <n v="0"/>
    <n v="0"/>
    <n v="0"/>
    <s v="East"/>
    <x v="0"/>
    <x v="0"/>
    <x v="1"/>
    <x v="0"/>
    <x v="0"/>
    <x v="0"/>
    <m/>
    <x v="0"/>
    <s v="Y"/>
    <n v="4"/>
    <m/>
    <n v="0"/>
    <n v="0"/>
    <n v="0.25"/>
    <n v="0.25"/>
    <n v="0.25"/>
    <n v="0.25"/>
    <n v="0"/>
    <n v="0"/>
    <n v="0"/>
    <n v="0"/>
    <n v="0"/>
    <n v="0"/>
    <n v="0"/>
    <n v="0"/>
    <n v="0"/>
    <n v="0"/>
    <n v="0"/>
    <n v="0"/>
    <n v="0"/>
    <n v="0"/>
    <n v="0"/>
    <n v="1"/>
    <n v="1"/>
  </r>
  <r>
    <n v="6072"/>
    <x v="1"/>
    <s v="2015/5318"/>
    <m/>
    <s v="7 The Boulevard, Balham High Road"/>
    <m/>
    <n v="528353"/>
    <n v="172928"/>
    <x v="3"/>
    <m/>
    <m/>
    <n v="0"/>
    <n v="1"/>
    <n v="1"/>
    <n v="1"/>
    <n v="1"/>
    <m/>
    <s v="Erection of a part single, part two-storey rear extension, installation of external metal staircase and additional windows in connection with the conversion of the first floor into a 1-bedroom residential unit."/>
    <s v="PF"/>
    <d v="2015-11-19T00:00:00"/>
    <d v="2016-01-12T00:00:00"/>
    <x v="0"/>
    <s v="Nil"/>
    <m/>
    <s v="BF"/>
    <x v="4"/>
    <x v="0"/>
    <x v="5"/>
    <n v="4.0000001899898104E-3"/>
    <m/>
    <x v="0"/>
    <m/>
    <x v="0"/>
    <s v="P"/>
    <m/>
    <m/>
    <n v="0"/>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078"/>
    <x v="1"/>
    <s v="2015/7417"/>
    <m/>
    <s v="46 Rowfant Road"/>
    <m/>
    <n v="528173"/>
    <n v="172946"/>
    <x v="11"/>
    <m/>
    <m/>
    <n v="1"/>
    <n v="2"/>
    <n v="1"/>
    <n v="2"/>
    <n v="1"/>
    <m/>
    <s v="Alterations in connection with the conversion of property into 1 x 2-bedroom and 1 x 4-bedroom flats including erection of rear roof extension above two-storey back addition, erection of single-storey rear extension and insertion of new window in the side elevation. Installation of external side staircase from first floor to rear garden."/>
    <s v="PF"/>
    <d v="2015-12-21T00:00:00"/>
    <d v="2016-02-15T00:00:00"/>
    <x v="0"/>
    <s v="Nil"/>
    <m/>
    <s v="BF"/>
    <x v="4"/>
    <x v="0"/>
    <x v="8"/>
    <n v="1.4000000432133701E-2"/>
    <m/>
    <x v="0"/>
    <m/>
    <x v="0"/>
    <s v="P"/>
    <m/>
    <m/>
    <n v="0"/>
    <m/>
    <n v="0"/>
    <m/>
    <n v="0"/>
    <n v="0"/>
    <n v="1"/>
    <n v="0"/>
    <n v="0"/>
    <n v="0"/>
    <n v="0"/>
    <n v="0"/>
    <n v="0"/>
    <n v="1"/>
    <n v="0"/>
    <n v="1"/>
    <n v="0"/>
    <n v="0"/>
    <n v="0"/>
    <n v="0"/>
    <n v="0"/>
    <n v="0"/>
    <n v="-1"/>
    <n v="0"/>
    <n v="0"/>
    <n v="0"/>
    <n v="0"/>
    <n v="0"/>
    <n v="0"/>
    <n v="0"/>
    <n v="0"/>
    <n v="0"/>
    <s v="East"/>
    <x v="0"/>
    <x v="0"/>
    <x v="1"/>
    <x v="0"/>
    <x v="0"/>
    <x v="0"/>
    <m/>
    <x v="0"/>
    <s v="Y"/>
    <s v="9A"/>
    <m/>
    <n v="0"/>
    <n v="0.25"/>
    <n v="0.25"/>
    <n v="0.25"/>
    <n v="0.25"/>
    <n v="0"/>
    <n v="0"/>
    <n v="0"/>
    <n v="0"/>
    <n v="0"/>
    <n v="0"/>
    <n v="0"/>
    <n v="0"/>
    <n v="0"/>
    <n v="0"/>
    <n v="0"/>
    <n v="0"/>
    <n v="0"/>
    <n v="0"/>
    <n v="0"/>
    <n v="0"/>
    <n v="1"/>
    <n v="1"/>
  </r>
  <r>
    <n v="6084"/>
    <x v="1"/>
    <s v="2015/5858"/>
    <m/>
    <s v="Rear of 66-68, 66-68 St Johns Road"/>
    <m/>
    <n v="527366"/>
    <n v="175230"/>
    <x v="14"/>
    <m/>
    <m/>
    <n v="0"/>
    <n v="4"/>
    <n v="4"/>
    <n v="4"/>
    <n v="4"/>
    <m/>
    <s v="Construction of a two-storey extension over existing single-storey structure to provide four residential flats (2 x 1 bedroom and 2 x 2 bedroom) and replacement of the facade at ground floor level."/>
    <s v="PF"/>
    <d v="2015-10-21T00:00:00"/>
    <d v="2016-03-10T00:00:00"/>
    <x v="0"/>
    <s v="Nil"/>
    <m/>
    <s v="BF"/>
    <x v="2"/>
    <x v="0"/>
    <x v="3"/>
    <n v="2.60000005364418E-2"/>
    <m/>
    <x v="0"/>
    <m/>
    <x v="0"/>
    <s v="P"/>
    <m/>
    <m/>
    <n v="0"/>
    <m/>
    <n v="0"/>
    <m/>
    <n v="0"/>
    <n v="2"/>
    <n v="2"/>
    <n v="0"/>
    <n v="0"/>
    <n v="0"/>
    <n v="0"/>
    <n v="0"/>
    <n v="2"/>
    <n v="2"/>
    <n v="0"/>
    <n v="0"/>
    <n v="0"/>
    <n v="0"/>
    <n v="0"/>
    <n v="0"/>
    <n v="0"/>
    <n v="0"/>
    <n v="0"/>
    <n v="0"/>
    <n v="0"/>
    <n v="0"/>
    <n v="0"/>
    <n v="0"/>
    <n v="0"/>
    <n v="0"/>
    <n v="0"/>
    <n v="0"/>
    <s v="East"/>
    <x v="5"/>
    <x v="0"/>
    <x v="1"/>
    <x v="0"/>
    <x v="0"/>
    <x v="0"/>
    <m/>
    <x v="0"/>
    <s v="Y"/>
    <s v="9A"/>
    <m/>
    <n v="0"/>
    <n v="1"/>
    <n v="1"/>
    <n v="1"/>
    <n v="1"/>
    <n v="0"/>
    <n v="0"/>
    <n v="0"/>
    <n v="0"/>
    <n v="0"/>
    <n v="0"/>
    <n v="0"/>
    <n v="0"/>
    <n v="0"/>
    <n v="0"/>
    <n v="0"/>
    <n v="0"/>
    <n v="0"/>
    <n v="0"/>
    <n v="0"/>
    <n v="0"/>
    <n v="4"/>
    <n v="4"/>
  </r>
  <r>
    <n v="6090"/>
    <x v="1"/>
    <s v="2015/5835"/>
    <m/>
    <s v="826 Garratt Lane"/>
    <m/>
    <n v="526934"/>
    <n v="171768"/>
    <x v="4"/>
    <m/>
    <m/>
    <n v="1"/>
    <n v="3"/>
    <n v="2"/>
    <n v="3"/>
    <n v="2"/>
    <m/>
    <s v="Alterations including erection of roof extensions to main rear/side roof with a terrace at second floor rear level; erection of a two storey rear/side extension with french doors and balustrade at first floor rear level and infilling gated entrance at street level all in connection with the conversion of the property to form 1 no. maisonette and 2 no. flats (2 x 1 bedroom units) and retaining a smaller office on ground floor level"/>
    <s v="PF"/>
    <d v="2015-10-27T00:00:00"/>
    <d v="2015-12-22T00:00:00"/>
    <x v="0"/>
    <s v="Nil"/>
    <m/>
    <s v="BF"/>
    <x v="4"/>
    <x v="0"/>
    <x v="10"/>
    <n v="7.0000002160668399E-3"/>
    <m/>
    <x v="0"/>
    <m/>
    <x v="0"/>
    <s v="P"/>
    <m/>
    <m/>
    <n v="0"/>
    <m/>
    <n v="0"/>
    <m/>
    <n v="0"/>
    <n v="3"/>
    <n v="-1"/>
    <n v="0"/>
    <n v="0"/>
    <n v="0"/>
    <n v="0"/>
    <n v="0"/>
    <n v="3"/>
    <n v="-1"/>
    <n v="0"/>
    <n v="0"/>
    <n v="0"/>
    <n v="0"/>
    <n v="0"/>
    <n v="0"/>
    <n v="0"/>
    <n v="0"/>
    <n v="0"/>
    <n v="0"/>
    <n v="0"/>
    <n v="0"/>
    <n v="0"/>
    <n v="0"/>
    <n v="0"/>
    <n v="0"/>
    <n v="0"/>
    <n v="0"/>
    <s v="East"/>
    <x v="0"/>
    <x v="0"/>
    <x v="1"/>
    <x v="0"/>
    <x v="0"/>
    <x v="0"/>
    <m/>
    <x v="0"/>
    <s v="Y"/>
    <s v="9A"/>
    <m/>
    <n v="0"/>
    <n v="0.5"/>
    <n v="0.5"/>
    <n v="0.5"/>
    <n v="0.5"/>
    <n v="0"/>
    <n v="0"/>
    <n v="0"/>
    <n v="0"/>
    <n v="0"/>
    <n v="0"/>
    <n v="0"/>
    <n v="0"/>
    <n v="0"/>
    <n v="0"/>
    <n v="0"/>
    <n v="0"/>
    <n v="0"/>
    <n v="0"/>
    <n v="0"/>
    <n v="0"/>
    <n v="2"/>
    <n v="2"/>
  </r>
  <r>
    <n v="6097"/>
    <x v="1"/>
    <s v="2015/6006"/>
    <m/>
    <s v="First &amp; Second Floors, 13a Northcote Road"/>
    <m/>
    <n v="527473"/>
    <n v="175071"/>
    <x v="14"/>
    <m/>
    <m/>
    <n v="1"/>
    <n v="2"/>
    <n v="1"/>
    <n v="2"/>
    <n v="1"/>
    <m/>
    <s v="Conversion of the upper floors from a 4 bedroom unit to 1x1 bedroom and 1x3 bedroom self-contained flats; erection of mansard roof extension to main roof with three front and two rear dormer windows; second floor rear extension above back addition; roof terraces at first and third floor levels; alterations to openings."/>
    <s v="RP"/>
    <d v="2015-11-03T00:00:00"/>
    <d v="2015-12-24T00:00:00"/>
    <x v="0"/>
    <s v="APG"/>
    <d v="2016-05-27T00:00:00"/>
    <s v="BF"/>
    <x v="4"/>
    <x v="0"/>
    <x v="10"/>
    <n v="7.0000002160668399E-3"/>
    <m/>
    <x v="0"/>
    <m/>
    <x v="0"/>
    <s v="P"/>
    <m/>
    <m/>
    <n v="0"/>
    <m/>
    <n v="0"/>
    <m/>
    <n v="0"/>
    <n v="1"/>
    <n v="0"/>
    <n v="1"/>
    <n v="-1"/>
    <n v="0"/>
    <n v="0"/>
    <n v="0"/>
    <n v="1"/>
    <n v="0"/>
    <n v="1"/>
    <n v="-1"/>
    <n v="0"/>
    <n v="0"/>
    <n v="0"/>
    <n v="0"/>
    <n v="0"/>
    <n v="0"/>
    <n v="0"/>
    <n v="0"/>
    <n v="0"/>
    <n v="0"/>
    <n v="0"/>
    <n v="0"/>
    <n v="0"/>
    <n v="0"/>
    <n v="0"/>
    <n v="0"/>
    <s v="East"/>
    <x v="5"/>
    <x v="0"/>
    <x v="1"/>
    <x v="0"/>
    <x v="0"/>
    <x v="0"/>
    <m/>
    <x v="0"/>
    <s v="Y"/>
    <s v="9A"/>
    <m/>
    <n v="0"/>
    <n v="0.25"/>
    <n v="0.25"/>
    <n v="0.25"/>
    <n v="0.25"/>
    <n v="0"/>
    <n v="0"/>
    <n v="0"/>
    <n v="0"/>
    <n v="0"/>
    <n v="0"/>
    <n v="0"/>
    <n v="0"/>
    <n v="0"/>
    <n v="0"/>
    <n v="0"/>
    <n v="0"/>
    <n v="0"/>
    <n v="0"/>
    <n v="0"/>
    <n v="0"/>
    <n v="1"/>
    <n v="1"/>
  </r>
  <r>
    <n v="6105"/>
    <x v="1"/>
    <s v="2015/6327"/>
    <m/>
    <s v="187 Battersea Bridge Road"/>
    <m/>
    <n v="527424"/>
    <n v="176731"/>
    <x v="1"/>
    <m/>
    <m/>
    <n v="1"/>
    <n v="2"/>
    <n v="1"/>
    <n v="2"/>
    <n v="1"/>
    <m/>
    <s v="Alterations in connection with the conversion of property from three units to four self-contained units; and replacement of ground floor side door with window."/>
    <s v="RP"/>
    <d v="2015-11-19T00:00:00"/>
    <d v="2016-01-14T00:00:00"/>
    <x v="0"/>
    <s v="APG"/>
    <d v="2016-07-28T00:00:00"/>
    <s v="BF"/>
    <x v="1"/>
    <x v="0"/>
    <x v="10"/>
    <n v="8.9999996125698107E-3"/>
    <m/>
    <x v="0"/>
    <m/>
    <x v="0"/>
    <s v="P"/>
    <m/>
    <m/>
    <n v="0"/>
    <m/>
    <n v="0"/>
    <m/>
    <n v="0"/>
    <n v="2"/>
    <n v="0"/>
    <n v="0"/>
    <n v="-1"/>
    <n v="0"/>
    <n v="0"/>
    <n v="0"/>
    <n v="2"/>
    <n v="0"/>
    <n v="0"/>
    <n v="-1"/>
    <n v="0"/>
    <n v="0"/>
    <n v="0"/>
    <n v="0"/>
    <n v="0"/>
    <n v="0"/>
    <n v="0"/>
    <n v="0"/>
    <n v="0"/>
    <n v="0"/>
    <n v="0"/>
    <n v="0"/>
    <n v="0"/>
    <n v="0"/>
    <n v="0"/>
    <n v="0"/>
    <s v="East"/>
    <x v="0"/>
    <x v="0"/>
    <x v="1"/>
    <x v="0"/>
    <x v="0"/>
    <x v="0"/>
    <m/>
    <x v="0"/>
    <s v="Y"/>
    <s v="9A"/>
    <m/>
    <n v="0"/>
    <n v="0.25"/>
    <n v="0.25"/>
    <n v="0.25"/>
    <n v="0.25"/>
    <n v="0"/>
    <n v="0"/>
    <n v="0"/>
    <n v="0"/>
    <n v="0"/>
    <n v="0"/>
    <n v="0"/>
    <n v="0"/>
    <n v="0"/>
    <n v="0"/>
    <n v="0"/>
    <n v="0"/>
    <n v="0"/>
    <n v="0"/>
    <n v="0"/>
    <n v="0"/>
    <n v="1"/>
    <n v="1"/>
  </r>
  <r>
    <n v="6117"/>
    <x v="1"/>
    <s v="2015/7254"/>
    <m/>
    <s v="213 Upper Richmond Road"/>
    <m/>
    <n v="523702"/>
    <n v="175127"/>
    <x v="16"/>
    <m/>
    <m/>
    <n v="0"/>
    <n v="1"/>
    <n v="1"/>
    <n v="1"/>
    <n v="1"/>
    <m/>
    <s v="Erection of a mansard roof extension to form living accommodation in connection with the conversion of part of the ground floor cafe, and first floor into a maisonette."/>
    <s v="PF"/>
    <d v="2015-12-17T00:00:00"/>
    <d v="2016-02-12T00:00:00"/>
    <x v="0"/>
    <s v="Nil"/>
    <m/>
    <s v="BF"/>
    <x v="4"/>
    <x v="0"/>
    <x v="5"/>
    <n v="3.0000000260770299E-3"/>
    <m/>
    <x v="0"/>
    <m/>
    <x v="0"/>
    <s v="P"/>
    <m/>
    <m/>
    <n v="0"/>
    <m/>
    <n v="0"/>
    <m/>
    <n v="0"/>
    <n v="1"/>
    <n v="0"/>
    <n v="0"/>
    <n v="0"/>
    <n v="0"/>
    <n v="0"/>
    <n v="0"/>
    <n v="1"/>
    <n v="0"/>
    <n v="0"/>
    <n v="0"/>
    <n v="0"/>
    <n v="0"/>
    <n v="0"/>
    <n v="0"/>
    <n v="0"/>
    <n v="0"/>
    <n v="0"/>
    <n v="0"/>
    <n v="0"/>
    <n v="0"/>
    <n v="0"/>
    <n v="0"/>
    <n v="0"/>
    <n v="0"/>
    <n v="0"/>
    <n v="0"/>
    <s v="West"/>
    <x v="3"/>
    <x v="0"/>
    <x v="1"/>
    <x v="0"/>
    <x v="0"/>
    <x v="0"/>
    <m/>
    <x v="0"/>
    <s v="Y"/>
    <s v="9A"/>
    <m/>
    <n v="0"/>
    <n v="0.25"/>
    <n v="0.25"/>
    <n v="0.25"/>
    <n v="0.25"/>
    <n v="0"/>
    <n v="0"/>
    <n v="0"/>
    <n v="0"/>
    <n v="0"/>
    <n v="0"/>
    <n v="0"/>
    <n v="0"/>
    <n v="0"/>
    <n v="0"/>
    <n v="0"/>
    <n v="0"/>
    <n v="0"/>
    <n v="0"/>
    <n v="0"/>
    <n v="0"/>
    <n v="1"/>
    <n v="1"/>
  </r>
  <r>
    <n v="6122"/>
    <x v="1"/>
    <s v="2017/6628"/>
    <m/>
    <s v="503 Garratt Lane"/>
    <m/>
    <n v="526012"/>
    <n v="173064"/>
    <x v="18"/>
    <m/>
    <m/>
    <n v="1"/>
    <n v="3"/>
    <n v="2"/>
    <n v="3"/>
    <n v="2"/>
    <m/>
    <s v="Alterations including erection of mansard roof extension (with french doors to access roof terrace); erection of two-storey rear extension (first and second floors) above basement and ground floor covered void area, including roof terrace at second floor level with 1.7m glazed surround in connection with provision of 1 x 2-bedroom and 2 x 1-bedroom flats."/>
    <s v="PF"/>
    <d v="2017-12-01T00:00:00"/>
    <d v="2018-02-09T00:00:00"/>
    <x v="1"/>
    <s v="Nil"/>
    <m/>
    <s v="BF"/>
    <x v="4"/>
    <x v="0"/>
    <x v="10"/>
    <n v="1.09999999403954E-2"/>
    <m/>
    <x v="0"/>
    <m/>
    <x v="0"/>
    <s v="P"/>
    <m/>
    <m/>
    <n v="0"/>
    <m/>
    <n v="0"/>
    <m/>
    <n v="0"/>
    <n v="2"/>
    <n v="1"/>
    <n v="-1"/>
    <n v="0"/>
    <n v="0"/>
    <n v="0"/>
    <n v="0"/>
    <n v="2"/>
    <n v="1"/>
    <n v="-1"/>
    <n v="0"/>
    <n v="0"/>
    <n v="0"/>
    <n v="0"/>
    <n v="0"/>
    <n v="0"/>
    <n v="0"/>
    <n v="0"/>
    <n v="0"/>
    <n v="0"/>
    <n v="0"/>
    <n v="0"/>
    <n v="0"/>
    <n v="0"/>
    <n v="0"/>
    <n v="0"/>
    <n v="0"/>
    <s v="West"/>
    <x v="0"/>
    <x v="0"/>
    <x v="1"/>
    <x v="0"/>
    <x v="0"/>
    <x v="0"/>
    <m/>
    <x v="1"/>
    <s v="Y"/>
    <s v="9A"/>
    <m/>
    <n v="0"/>
    <n v="0.5"/>
    <n v="0.5"/>
    <n v="0.5"/>
    <n v="0.5"/>
    <n v="0"/>
    <n v="0"/>
    <n v="0"/>
    <n v="0"/>
    <n v="0"/>
    <n v="0"/>
    <n v="0"/>
    <n v="0"/>
    <n v="0"/>
    <n v="0"/>
    <n v="0"/>
    <n v="0"/>
    <n v="0"/>
    <n v="0"/>
    <n v="0"/>
    <n v="0"/>
    <n v="2"/>
    <n v="2"/>
  </r>
  <r>
    <n v="6125"/>
    <x v="1"/>
    <s v="2015/6353"/>
    <m/>
    <s v="21 Roehampton Gate"/>
    <m/>
    <n v="521283"/>
    <n v="174446"/>
    <x v="15"/>
    <m/>
    <m/>
    <n v="1"/>
    <n v="1"/>
    <n v="0"/>
    <n v="1"/>
    <n v="0"/>
    <m/>
    <s v="Demolition of existing building and replacement with one 2 storey four bedroomed house with accommodation in loft space and basement levels and associated external works including front lightwells."/>
    <s v="PF"/>
    <d v="2015-11-12T00:00:00"/>
    <d v="2016-02-29T00:00:00"/>
    <x v="0"/>
    <s v="Nil"/>
    <m/>
    <s v="BF"/>
    <x v="0"/>
    <x v="0"/>
    <x v="0"/>
    <n v="7.1999996900558499E-2"/>
    <m/>
    <x v="0"/>
    <m/>
    <x v="0"/>
    <s v="P"/>
    <m/>
    <m/>
    <n v="1"/>
    <m/>
    <n v="0"/>
    <m/>
    <n v="0"/>
    <n v="0"/>
    <n v="0"/>
    <n v="-1"/>
    <n v="1"/>
    <n v="0"/>
    <n v="0"/>
    <n v="0"/>
    <n v="0"/>
    <n v="0"/>
    <n v="0"/>
    <n v="0"/>
    <n v="0"/>
    <n v="0"/>
    <n v="0"/>
    <n v="0"/>
    <n v="0"/>
    <n v="-1"/>
    <n v="1"/>
    <n v="0"/>
    <n v="0"/>
    <n v="0"/>
    <n v="0"/>
    <n v="0"/>
    <n v="0"/>
    <n v="0"/>
    <n v="0"/>
    <n v="0"/>
    <s v="West"/>
    <x v="0"/>
    <x v="0"/>
    <x v="1"/>
    <x v="0"/>
    <x v="0"/>
    <x v="0"/>
    <m/>
    <x v="0"/>
    <s v="Y"/>
    <n v="4"/>
    <m/>
    <n v="0"/>
    <n v="0"/>
    <n v="0"/>
    <n v="0"/>
    <n v="0"/>
    <n v="0"/>
    <n v="0"/>
    <n v="0"/>
    <n v="0"/>
    <n v="0"/>
    <n v="0"/>
    <n v="0"/>
    <n v="0"/>
    <n v="0"/>
    <n v="0"/>
    <n v="0"/>
    <n v="0"/>
    <n v="0"/>
    <n v="0"/>
    <n v="0"/>
    <n v="0"/>
    <n v="0"/>
    <n v="0"/>
  </r>
  <r>
    <n v="6130"/>
    <x v="1"/>
    <s v="2015/4509"/>
    <m/>
    <s v="63 Roehampton Lane"/>
    <m/>
    <n v="522154"/>
    <n v="175135"/>
    <x v="7"/>
    <m/>
    <m/>
    <n v="1"/>
    <n v="1"/>
    <n v="0"/>
    <n v="1"/>
    <n v="0"/>
    <m/>
    <s v="Demolition of existing house and erection of new two-storey house with additional  accommodation at roof level and at basement level (including excavation under part of front and rear garden areas), including first floor rear roof terraces and provision of a car lift within garage to access proposed basement car parking spaces."/>
    <s v="PF"/>
    <d v="2015-10-13T00:00:00"/>
    <d v="2016-02-29T00:00:00"/>
    <x v="0"/>
    <s v="Nil"/>
    <m/>
    <s v="BF"/>
    <x v="0"/>
    <x v="0"/>
    <x v="0"/>
    <n v="0.13099999725818601"/>
    <m/>
    <x v="0"/>
    <m/>
    <x v="0"/>
    <s v="P"/>
    <m/>
    <m/>
    <n v="1"/>
    <m/>
    <n v="0"/>
    <m/>
    <n v="0"/>
    <n v="0"/>
    <n v="0"/>
    <n v="0"/>
    <n v="-1"/>
    <n v="1"/>
    <n v="0"/>
    <n v="0"/>
    <n v="0"/>
    <n v="0"/>
    <n v="0"/>
    <n v="0"/>
    <n v="0"/>
    <n v="0"/>
    <n v="0"/>
    <n v="0"/>
    <n v="0"/>
    <n v="0"/>
    <n v="-1"/>
    <n v="1"/>
    <n v="0"/>
    <n v="0"/>
    <n v="0"/>
    <n v="0"/>
    <n v="0"/>
    <n v="0"/>
    <n v="0"/>
    <n v="0"/>
    <s v="West"/>
    <x v="0"/>
    <x v="0"/>
    <x v="1"/>
    <x v="0"/>
    <x v="0"/>
    <x v="0"/>
    <m/>
    <x v="0"/>
    <s v="Y"/>
    <n v="4"/>
    <m/>
    <n v="0"/>
    <n v="0"/>
    <n v="0"/>
    <n v="0"/>
    <n v="0"/>
    <n v="0"/>
    <n v="0"/>
    <n v="0"/>
    <n v="0"/>
    <n v="0"/>
    <n v="0"/>
    <n v="0"/>
    <n v="0"/>
    <n v="0"/>
    <n v="0"/>
    <n v="0"/>
    <n v="0"/>
    <n v="0"/>
    <n v="0"/>
    <n v="0"/>
    <n v="0"/>
    <n v="0"/>
    <n v="0"/>
  </r>
  <r>
    <n v="6135"/>
    <x v="1"/>
    <s v="2016/0079"/>
    <m/>
    <s v="Flat A, 94 Mitcham Road"/>
    <m/>
    <n v="527630"/>
    <n v="171231"/>
    <x v="8"/>
    <m/>
    <m/>
    <n v="1"/>
    <n v="2"/>
    <n v="1"/>
    <n v="2"/>
    <n v="1"/>
    <m/>
    <s v="Change of use of upper floors to provide two self contained flats (2x1-bedroom units) accessed from rear at first floor level, with associated refuse and cycle storage. Erection of rear extension above part of two-storey back addition and creation of roof terrace."/>
    <s v="PF"/>
    <d v="2016-01-18T00:00:00"/>
    <d v="2016-03-14T00:00:00"/>
    <x v="0"/>
    <s v="Nil"/>
    <m/>
    <s v="BF"/>
    <x v="4"/>
    <x v="0"/>
    <x v="10"/>
    <n v="1.09999999403954E-2"/>
    <m/>
    <x v="0"/>
    <m/>
    <x v="0"/>
    <s v="P"/>
    <m/>
    <m/>
    <n v="0"/>
    <m/>
    <n v="0"/>
    <m/>
    <n v="0"/>
    <n v="2"/>
    <n v="0"/>
    <n v="-1"/>
    <n v="0"/>
    <n v="0"/>
    <n v="0"/>
    <n v="0"/>
    <n v="2"/>
    <n v="0"/>
    <n v="-1"/>
    <n v="0"/>
    <n v="0"/>
    <n v="0"/>
    <n v="0"/>
    <n v="0"/>
    <n v="0"/>
    <n v="0"/>
    <n v="0"/>
    <n v="0"/>
    <n v="0"/>
    <n v="0"/>
    <n v="0"/>
    <n v="0"/>
    <n v="0"/>
    <n v="0"/>
    <n v="0"/>
    <n v="0"/>
    <s v="East"/>
    <x v="1"/>
    <x v="0"/>
    <x v="1"/>
    <x v="0"/>
    <x v="0"/>
    <x v="0"/>
    <m/>
    <x v="0"/>
    <s v="Y"/>
    <s v="9A"/>
    <m/>
    <n v="0"/>
    <n v="0.25"/>
    <n v="0.25"/>
    <n v="0.25"/>
    <n v="0.25"/>
    <n v="0"/>
    <n v="0"/>
    <n v="0"/>
    <n v="0"/>
    <n v="0"/>
    <n v="0"/>
    <n v="0"/>
    <n v="0"/>
    <n v="0"/>
    <n v="0"/>
    <n v="0"/>
    <n v="0"/>
    <n v="0"/>
    <n v="0"/>
    <n v="0"/>
    <n v="0"/>
    <n v="1"/>
    <n v="1"/>
  </r>
  <r>
    <n v="6142"/>
    <x v="1"/>
    <s v="2016/0432"/>
    <m/>
    <s v="74 Lightermans Walk"/>
    <m/>
    <n v="525109"/>
    <n v="175279"/>
    <x v="13"/>
    <m/>
    <m/>
    <n v="0"/>
    <n v="1"/>
    <n v="1"/>
    <n v="1"/>
    <n v="1"/>
    <m/>
    <s v="Determination as to whether prior approval is required for change of use from office (Class B1a) to one residential unit (Class C3)."/>
    <s v="PANR"/>
    <d v="2016-01-25T00:00:00"/>
    <d v="2016-03-21T00:00:00"/>
    <x v="0"/>
    <s v="Nil"/>
    <m/>
    <s v="BF"/>
    <x v="3"/>
    <x v="0"/>
    <x v="9"/>
    <n v="2.0999999716877899E-2"/>
    <m/>
    <x v="0"/>
    <m/>
    <x v="0"/>
    <s v="P"/>
    <m/>
    <m/>
    <n v="0"/>
    <m/>
    <n v="0"/>
    <m/>
    <n v="0"/>
    <n v="0"/>
    <n v="1"/>
    <n v="0"/>
    <n v="0"/>
    <n v="0"/>
    <n v="0"/>
    <n v="0"/>
    <n v="0"/>
    <n v="1"/>
    <n v="0"/>
    <n v="0"/>
    <n v="0"/>
    <n v="0"/>
    <n v="0"/>
    <n v="0"/>
    <n v="0"/>
    <n v="0"/>
    <n v="0"/>
    <n v="0"/>
    <n v="0"/>
    <n v="0"/>
    <n v="0"/>
    <n v="0"/>
    <n v="0"/>
    <n v="0"/>
    <n v="0"/>
    <n v="0"/>
    <s v="West"/>
    <x v="0"/>
    <x v="0"/>
    <x v="0"/>
    <x v="0"/>
    <x v="0"/>
    <x v="0"/>
    <m/>
    <x v="0"/>
    <s v="Y"/>
    <s v="9A"/>
    <m/>
    <n v="0"/>
    <n v="0.25"/>
    <n v="0.25"/>
    <n v="0.25"/>
    <n v="0.25"/>
    <n v="0"/>
    <n v="0"/>
    <n v="0"/>
    <n v="0"/>
    <n v="0"/>
    <n v="0"/>
    <n v="0"/>
    <n v="0"/>
    <n v="0"/>
    <n v="0"/>
    <n v="0"/>
    <n v="0"/>
    <n v="0"/>
    <n v="0"/>
    <n v="0"/>
    <n v="0"/>
    <n v="1"/>
    <n v="1"/>
  </r>
  <r>
    <n v="6151"/>
    <x v="1"/>
    <s v="2015/6444"/>
    <m/>
    <s v="219 Lower Richmond Road"/>
    <m/>
    <n v="523227"/>
    <n v="175844"/>
    <x v="13"/>
    <m/>
    <m/>
    <n v="0"/>
    <n v="1"/>
    <n v="1"/>
    <n v="1"/>
    <n v="1"/>
    <m/>
    <s v="Conversion of cafe (ground floor and basement) into a 3 x  bed Self Contained Flat"/>
    <s v="PF"/>
    <d v="2016-05-07T00:00:00"/>
    <d v="2016-11-11T00:00:00"/>
    <x v="0"/>
    <s v="Nil"/>
    <m/>
    <s v="BF"/>
    <x v="3"/>
    <x v="0"/>
    <x v="5"/>
    <n v="1.7999999225139601E-2"/>
    <m/>
    <x v="0"/>
    <m/>
    <x v="0"/>
    <s v="P"/>
    <m/>
    <m/>
    <n v="0"/>
    <m/>
    <n v="0"/>
    <m/>
    <n v="0"/>
    <n v="0"/>
    <n v="0"/>
    <n v="1"/>
    <n v="0"/>
    <n v="0"/>
    <n v="0"/>
    <n v="0"/>
    <n v="0"/>
    <n v="0"/>
    <n v="1"/>
    <n v="0"/>
    <n v="0"/>
    <n v="0"/>
    <n v="0"/>
    <n v="0"/>
    <n v="0"/>
    <n v="0"/>
    <n v="0"/>
    <n v="0"/>
    <n v="0"/>
    <n v="0"/>
    <n v="0"/>
    <n v="0"/>
    <n v="0"/>
    <n v="0"/>
    <n v="0"/>
    <n v="0"/>
    <s v="West"/>
    <x v="0"/>
    <x v="0"/>
    <x v="1"/>
    <x v="0"/>
    <x v="0"/>
    <x v="0"/>
    <m/>
    <x v="0"/>
    <s v="Y"/>
    <s v="9A"/>
    <m/>
    <n v="0"/>
    <n v="0.25"/>
    <n v="0.25"/>
    <n v="0.25"/>
    <n v="0.25"/>
    <n v="0"/>
    <n v="0"/>
    <n v="0"/>
    <n v="0"/>
    <n v="0"/>
    <n v="0"/>
    <n v="0"/>
    <n v="0"/>
    <n v="0"/>
    <n v="0"/>
    <n v="0"/>
    <n v="0"/>
    <n v="0"/>
    <n v="0"/>
    <n v="0"/>
    <n v="0"/>
    <n v="1"/>
    <n v="1"/>
  </r>
  <r>
    <n v="6159"/>
    <x v="1"/>
    <s v="2015/7275"/>
    <m/>
    <s v="36 Battersea Square"/>
    <s v="First Floor"/>
    <n v="526827"/>
    <n v="176609"/>
    <x v="1"/>
    <m/>
    <m/>
    <n v="0"/>
    <n v="8"/>
    <n v="8"/>
    <n v="39"/>
    <n v="39"/>
    <s v="Y"/>
    <s v="Part demolition and conversion of dance academy (Use Class D1) to residential (Use Class C3), erection of single-storey roof extension and erection of five-storey extension (to provide 34 residential units); erection of 5 x four-storey townhouses; associated landscaping and car parking."/>
    <s v="PFLA"/>
    <d v="2016-01-06T00:00:00"/>
    <d v="2016-11-25T00:00:00"/>
    <x v="0"/>
    <s v="Nil"/>
    <m/>
    <s v="BF"/>
    <x v="4"/>
    <x v="1"/>
    <x v="1"/>
    <n v="3.70000004768372E-2"/>
    <m/>
    <x v="0"/>
    <m/>
    <x v="0"/>
    <s v="P"/>
    <m/>
    <m/>
    <n v="8"/>
    <m/>
    <n v="1"/>
    <m/>
    <n v="0"/>
    <n v="2"/>
    <n v="5"/>
    <n v="1"/>
    <n v="0"/>
    <n v="0"/>
    <n v="0"/>
    <n v="0"/>
    <n v="2"/>
    <n v="5"/>
    <n v="1"/>
    <n v="0"/>
    <n v="0"/>
    <n v="0"/>
    <n v="0"/>
    <n v="0"/>
    <n v="0"/>
    <n v="0"/>
    <n v="0"/>
    <n v="0"/>
    <n v="0"/>
    <n v="0"/>
    <n v="0"/>
    <n v="0"/>
    <n v="0"/>
    <n v="0"/>
    <n v="0"/>
    <n v="0"/>
    <s v="East"/>
    <x v="0"/>
    <x v="0"/>
    <x v="1"/>
    <x v="0"/>
    <x v="0"/>
    <x v="0"/>
    <m/>
    <x v="0"/>
    <s v="Y"/>
    <s v="5A"/>
    <m/>
    <n v="0"/>
    <n v="0"/>
    <n v="0"/>
    <n v="0"/>
    <n v="0"/>
    <n v="8"/>
    <n v="0"/>
    <n v="0"/>
    <n v="0"/>
    <n v="0"/>
    <n v="0"/>
    <n v="0"/>
    <n v="0"/>
    <n v="0"/>
    <n v="0"/>
    <n v="0"/>
    <n v="0"/>
    <n v="0"/>
    <n v="0"/>
    <n v="0"/>
    <n v="0"/>
    <n v="8"/>
    <n v="8"/>
  </r>
  <r>
    <n v="6159"/>
    <x v="1"/>
    <s v="2015/7275"/>
    <m/>
    <s v="36 Battersea Square"/>
    <s v="Fourth Floor"/>
    <n v="526827"/>
    <n v="176609"/>
    <x v="1"/>
    <m/>
    <m/>
    <n v="0"/>
    <n v="3"/>
    <n v="3"/>
    <n v="39"/>
    <n v="39"/>
    <s v="Y"/>
    <s v="Part demolition and conversion of dance academy (Use Class D1) to residential (Use Class C3), erection of single-storey roof extension and erection of five-storey extension (to provide 34 residential units); erection of 5 x four-storey townhouses; associated landscaping and car parking."/>
    <s v="PFLA"/>
    <d v="2016-01-06T00:00:00"/>
    <d v="2016-11-25T00:00:00"/>
    <x v="0"/>
    <s v="Nil"/>
    <m/>
    <s v="BF"/>
    <x v="4"/>
    <x v="1"/>
    <x v="1"/>
    <n v="1.9999999552965199E-2"/>
    <m/>
    <x v="0"/>
    <m/>
    <x v="0"/>
    <s v="P"/>
    <m/>
    <m/>
    <n v="3"/>
    <m/>
    <n v="0"/>
    <m/>
    <n v="0"/>
    <n v="0"/>
    <n v="0"/>
    <n v="3"/>
    <n v="0"/>
    <n v="0"/>
    <n v="0"/>
    <n v="0"/>
    <n v="0"/>
    <n v="0"/>
    <n v="3"/>
    <n v="0"/>
    <n v="0"/>
    <n v="0"/>
    <n v="0"/>
    <n v="0"/>
    <n v="0"/>
    <n v="0"/>
    <n v="0"/>
    <n v="0"/>
    <n v="0"/>
    <n v="0"/>
    <n v="0"/>
    <n v="0"/>
    <n v="0"/>
    <n v="0"/>
    <n v="0"/>
    <n v="0"/>
    <s v="East"/>
    <x v="0"/>
    <x v="0"/>
    <x v="1"/>
    <x v="0"/>
    <x v="0"/>
    <x v="0"/>
    <m/>
    <x v="0"/>
    <s v="Y"/>
    <s v="5A"/>
    <m/>
    <n v="0"/>
    <n v="0"/>
    <n v="0"/>
    <n v="0"/>
    <n v="0"/>
    <n v="3"/>
    <n v="0"/>
    <n v="0"/>
    <n v="0"/>
    <n v="0"/>
    <n v="0"/>
    <n v="0"/>
    <n v="0"/>
    <n v="0"/>
    <n v="0"/>
    <n v="0"/>
    <n v="0"/>
    <n v="0"/>
    <n v="0"/>
    <n v="0"/>
    <n v="0"/>
    <n v="3"/>
    <n v="3"/>
  </r>
  <r>
    <n v="6159"/>
    <x v="1"/>
    <s v="2015/7275"/>
    <m/>
    <s v="36 Battersea Square"/>
    <s v="Ground Floor"/>
    <n v="526827"/>
    <n v="176609"/>
    <x v="1"/>
    <m/>
    <m/>
    <n v="0"/>
    <n v="7"/>
    <n v="7"/>
    <n v="39"/>
    <n v="39"/>
    <s v="Y"/>
    <s v="Part demolition and conversion of dance academy (Use Class D1) to residential (Use Class C3), erection of single-storey roof extension and erection of five-storey extension (to provide 34 residential units); erection of 5 x four-storey townhouses; associated landscaping and car parking."/>
    <s v="PFLA"/>
    <d v="2016-01-06T00:00:00"/>
    <d v="2016-11-25T00:00:00"/>
    <x v="0"/>
    <s v="Nil"/>
    <m/>
    <s v="BF"/>
    <x v="4"/>
    <x v="1"/>
    <x v="1"/>
    <n v="1.0099999606609299E-2"/>
    <m/>
    <x v="0"/>
    <m/>
    <x v="0"/>
    <s v="P"/>
    <m/>
    <m/>
    <n v="7"/>
    <m/>
    <n v="1"/>
    <m/>
    <n v="0"/>
    <n v="3"/>
    <n v="3"/>
    <n v="1"/>
    <n v="0"/>
    <n v="0"/>
    <n v="0"/>
    <n v="0"/>
    <n v="3"/>
    <n v="3"/>
    <n v="1"/>
    <n v="0"/>
    <n v="0"/>
    <n v="0"/>
    <n v="0"/>
    <n v="0"/>
    <n v="0"/>
    <n v="0"/>
    <n v="0"/>
    <n v="0"/>
    <n v="0"/>
    <n v="0"/>
    <n v="0"/>
    <n v="0"/>
    <n v="0"/>
    <n v="0"/>
    <n v="0"/>
    <n v="0"/>
    <s v="East"/>
    <x v="0"/>
    <x v="0"/>
    <x v="1"/>
    <x v="0"/>
    <x v="0"/>
    <x v="0"/>
    <m/>
    <x v="0"/>
    <s v="Y"/>
    <s v="5A"/>
    <m/>
    <n v="0"/>
    <n v="0"/>
    <n v="0"/>
    <n v="0"/>
    <n v="0"/>
    <n v="7"/>
    <n v="0"/>
    <n v="0"/>
    <n v="0"/>
    <n v="0"/>
    <n v="0"/>
    <n v="0"/>
    <n v="0"/>
    <n v="0"/>
    <n v="0"/>
    <n v="0"/>
    <n v="0"/>
    <n v="0"/>
    <n v="0"/>
    <n v="0"/>
    <n v="0"/>
    <n v="7"/>
    <n v="7"/>
  </r>
  <r>
    <n v="6159"/>
    <x v="1"/>
    <s v="2015/7275"/>
    <m/>
    <s v="36 Battersea Square"/>
    <s v="NEW BUILD HOUSES"/>
    <n v="526827"/>
    <n v="176609"/>
    <x v="1"/>
    <m/>
    <m/>
    <n v="0"/>
    <n v="5"/>
    <n v="5"/>
    <n v="39"/>
    <n v="39"/>
    <s v="Y"/>
    <s v="Part demolition and conversion of dance academy (Use Class D1) to residential (Use Class C3), erection of single-storey roof extension and erection of five-storey extension (to provide 34 residential units); erection of 5 x four-storey townhouses; associated landscaping and car parking."/>
    <s v="PFLA"/>
    <d v="2016-01-06T00:00:00"/>
    <d v="2016-11-25T00:00:00"/>
    <x v="0"/>
    <s v="Nil"/>
    <m/>
    <s v="BF"/>
    <x v="4"/>
    <x v="1"/>
    <x v="0"/>
    <n v="2.19999998807907E-2"/>
    <m/>
    <x v="0"/>
    <m/>
    <x v="0"/>
    <s v="P"/>
    <m/>
    <m/>
    <n v="5"/>
    <m/>
    <n v="1"/>
    <m/>
    <n v="0"/>
    <n v="0"/>
    <n v="0"/>
    <n v="0"/>
    <n v="5"/>
    <n v="0"/>
    <n v="0"/>
    <n v="0"/>
    <n v="0"/>
    <n v="0"/>
    <n v="0"/>
    <n v="0"/>
    <n v="0"/>
    <n v="0"/>
    <n v="0"/>
    <n v="0"/>
    <n v="0"/>
    <n v="0"/>
    <n v="5"/>
    <n v="0"/>
    <n v="0"/>
    <n v="0"/>
    <n v="0"/>
    <n v="0"/>
    <n v="0"/>
    <n v="0"/>
    <n v="0"/>
    <n v="0"/>
    <s v="East"/>
    <x v="0"/>
    <x v="0"/>
    <x v="1"/>
    <x v="0"/>
    <x v="0"/>
    <x v="0"/>
    <m/>
    <x v="0"/>
    <s v="Y"/>
    <s v="5A"/>
    <m/>
    <n v="0"/>
    <n v="0"/>
    <n v="0"/>
    <n v="0"/>
    <n v="0"/>
    <n v="5"/>
    <n v="0"/>
    <n v="0"/>
    <n v="0"/>
    <n v="0"/>
    <n v="0"/>
    <n v="0"/>
    <n v="0"/>
    <n v="0"/>
    <n v="0"/>
    <n v="0"/>
    <n v="0"/>
    <n v="0"/>
    <n v="0"/>
    <n v="0"/>
    <n v="0"/>
    <n v="5"/>
    <n v="5"/>
  </r>
  <r>
    <n v="6159"/>
    <x v="1"/>
    <s v="2015/7275"/>
    <m/>
    <s v="36 Battersea Square"/>
    <s v="Second Floor"/>
    <n v="526827"/>
    <n v="176609"/>
    <x v="1"/>
    <m/>
    <m/>
    <n v="0"/>
    <n v="8"/>
    <n v="8"/>
    <n v="39"/>
    <n v="39"/>
    <s v="Y"/>
    <s v="Part demolition and conversion of dance academy (Use Class D1) to residential (Use Class C3), erection of single-storey roof extension and erection of five-storey extension (to provide 34 residential units); erection of 5 x four-storey townhouses; associated landscaping and car parking."/>
    <s v="PFLA"/>
    <d v="2016-01-06T00:00:00"/>
    <d v="2016-11-25T00:00:00"/>
    <x v="0"/>
    <s v="Nil"/>
    <m/>
    <s v="BF"/>
    <x v="4"/>
    <x v="1"/>
    <x v="1"/>
    <n v="3.7999998778104803E-2"/>
    <m/>
    <x v="0"/>
    <m/>
    <x v="0"/>
    <s v="P"/>
    <m/>
    <m/>
    <n v="0"/>
    <m/>
    <n v="0"/>
    <m/>
    <n v="0"/>
    <n v="2"/>
    <n v="5"/>
    <n v="1"/>
    <n v="0"/>
    <n v="0"/>
    <n v="0"/>
    <n v="0"/>
    <n v="2"/>
    <n v="5"/>
    <n v="1"/>
    <n v="0"/>
    <n v="0"/>
    <n v="0"/>
    <n v="0"/>
    <n v="0"/>
    <n v="0"/>
    <n v="0"/>
    <n v="0"/>
    <n v="0"/>
    <n v="0"/>
    <n v="0"/>
    <n v="0"/>
    <n v="0"/>
    <n v="0"/>
    <n v="0"/>
    <n v="0"/>
    <n v="0"/>
    <s v="East"/>
    <x v="0"/>
    <x v="0"/>
    <x v="1"/>
    <x v="0"/>
    <x v="0"/>
    <x v="0"/>
    <m/>
    <x v="0"/>
    <s v="Y"/>
    <s v="5A"/>
    <m/>
    <n v="0"/>
    <n v="0"/>
    <n v="0"/>
    <n v="0"/>
    <n v="0"/>
    <n v="8"/>
    <n v="0"/>
    <n v="0"/>
    <n v="0"/>
    <n v="0"/>
    <n v="0"/>
    <n v="0"/>
    <n v="0"/>
    <n v="0"/>
    <n v="0"/>
    <n v="0"/>
    <n v="0"/>
    <n v="0"/>
    <n v="0"/>
    <n v="0"/>
    <n v="0"/>
    <n v="8"/>
    <n v="8"/>
  </r>
  <r>
    <n v="6159"/>
    <x v="1"/>
    <s v="2015/7275"/>
    <m/>
    <s v="36 Battersea Square"/>
    <s v="Third Floor"/>
    <n v="526827"/>
    <n v="176609"/>
    <x v="1"/>
    <m/>
    <m/>
    <n v="0"/>
    <n v="8"/>
    <n v="8"/>
    <n v="39"/>
    <n v="39"/>
    <s v="Y"/>
    <s v="Part demolition and conversion of dance academy (Use Class D1) to residential (Use Class C3), erection of single-storey roof extension and erection of five-storey extension (to provide 34 residential units); erection of 5 x four-storey townhouses; associated landscaping and car parking."/>
    <s v="PFLA"/>
    <d v="2016-01-06T00:00:00"/>
    <d v="2016-11-25T00:00:00"/>
    <x v="0"/>
    <s v="Nil"/>
    <m/>
    <s v="BF"/>
    <x v="4"/>
    <x v="1"/>
    <x v="1"/>
    <n v="3.9000000804662698E-2"/>
    <m/>
    <x v="0"/>
    <m/>
    <x v="0"/>
    <s v="P"/>
    <m/>
    <m/>
    <n v="8"/>
    <m/>
    <n v="0"/>
    <m/>
    <n v="0"/>
    <n v="2"/>
    <n v="4"/>
    <n v="2"/>
    <n v="0"/>
    <n v="0"/>
    <n v="0"/>
    <n v="0"/>
    <n v="2"/>
    <n v="4"/>
    <n v="2"/>
    <n v="0"/>
    <n v="0"/>
    <n v="0"/>
    <n v="0"/>
    <n v="0"/>
    <n v="0"/>
    <n v="0"/>
    <n v="0"/>
    <n v="0"/>
    <n v="0"/>
    <n v="0"/>
    <n v="0"/>
    <n v="0"/>
    <n v="0"/>
    <n v="0"/>
    <n v="0"/>
    <n v="0"/>
    <s v="East"/>
    <x v="0"/>
    <x v="0"/>
    <x v="1"/>
    <x v="0"/>
    <x v="0"/>
    <x v="0"/>
    <m/>
    <x v="0"/>
    <s v="Y"/>
    <s v="5A"/>
    <m/>
    <n v="0"/>
    <n v="0"/>
    <n v="0"/>
    <n v="0"/>
    <n v="0"/>
    <n v="8"/>
    <n v="0"/>
    <n v="0"/>
    <n v="0"/>
    <n v="0"/>
    <n v="0"/>
    <n v="0"/>
    <n v="0"/>
    <n v="0"/>
    <n v="0"/>
    <n v="0"/>
    <n v="0"/>
    <n v="0"/>
    <n v="0"/>
    <n v="0"/>
    <n v="0"/>
    <n v="8"/>
    <n v="8"/>
  </r>
  <r>
    <n v="6161"/>
    <x v="1"/>
    <s v="2015/6454"/>
    <m/>
    <s v="72 Girdwood Road"/>
    <m/>
    <n v="524221"/>
    <n v="173791"/>
    <x v="19"/>
    <m/>
    <m/>
    <n v="1"/>
    <n v="2"/>
    <n v="1"/>
    <n v="2"/>
    <n v="1"/>
    <m/>
    <s v="Conversion of property into two self-contained flats."/>
    <s v="PF"/>
    <d v="2016-01-06T00:00:00"/>
    <d v="2016-08-18T00:00:00"/>
    <x v="0"/>
    <s v="Nil"/>
    <m/>
    <s v="BF"/>
    <x v="1"/>
    <x v="0"/>
    <x v="8"/>
    <n v="4.6999998390674598E-2"/>
    <m/>
    <x v="0"/>
    <m/>
    <x v="0"/>
    <s v="P"/>
    <m/>
    <m/>
    <n v="0"/>
    <m/>
    <n v="0"/>
    <m/>
    <n v="0"/>
    <n v="1"/>
    <n v="0"/>
    <n v="0"/>
    <n v="0"/>
    <n v="0"/>
    <n v="0"/>
    <n v="0"/>
    <n v="1"/>
    <n v="0"/>
    <n v="0"/>
    <n v="0"/>
    <n v="1"/>
    <n v="0"/>
    <n v="0"/>
    <n v="0"/>
    <n v="0"/>
    <n v="0"/>
    <n v="0"/>
    <n v="-1"/>
    <n v="0"/>
    <n v="0"/>
    <n v="0"/>
    <n v="0"/>
    <n v="0"/>
    <n v="0"/>
    <n v="0"/>
    <n v="0"/>
    <s v="West"/>
    <x v="0"/>
    <x v="0"/>
    <x v="1"/>
    <x v="0"/>
    <x v="0"/>
    <x v="0"/>
    <m/>
    <x v="0"/>
    <s v="Y"/>
    <s v="9A"/>
    <m/>
    <n v="0"/>
    <n v="0.25"/>
    <n v="0.25"/>
    <n v="0.25"/>
    <n v="0.25"/>
    <n v="0"/>
    <n v="0"/>
    <n v="0"/>
    <n v="0"/>
    <n v="0"/>
    <n v="0"/>
    <n v="0"/>
    <n v="0"/>
    <n v="0"/>
    <n v="0"/>
    <n v="0"/>
    <n v="0"/>
    <n v="0"/>
    <n v="0"/>
    <n v="0"/>
    <n v="0"/>
    <n v="1"/>
    <n v="1"/>
  </r>
  <r>
    <n v="6168"/>
    <x v="1"/>
    <s v="2016/3087"/>
    <m/>
    <s v="63a, 63a West Hill"/>
    <m/>
    <n v="524806"/>
    <n v="174483"/>
    <x v="16"/>
    <m/>
    <m/>
    <n v="1"/>
    <n v="2"/>
    <n v="1"/>
    <n v="2"/>
    <n v="1"/>
    <m/>
    <s v="Demolition of existing dwelling. Erection of 2 x two-storey, 4-bedroom dwelling houses with accommodation at basement and roof level; excavation to form front and rear lightwells; alterations to front boundary wall including new piers and gates; erection of bin store in front garden; erection of bike stores and garden sheds in both rear gardens; associated landscaping; formation of one dropped kerb. Revised proposal to that refused 29/04/2016 ref: 2016/0308 to include alterations such as reduction in height and depth of dwellings and amendments to front elevation fenestration."/>
    <s v="PF"/>
    <d v="2016-06-13T00:00:00"/>
    <d v="2016-08-25T00:00:00"/>
    <x v="0"/>
    <s v="Nil"/>
    <m/>
    <s v="BF"/>
    <x v="0"/>
    <x v="0"/>
    <x v="0"/>
    <n v="4.1000001132488299E-2"/>
    <m/>
    <x v="0"/>
    <m/>
    <x v="0"/>
    <s v="P"/>
    <m/>
    <m/>
    <n v="0"/>
    <m/>
    <n v="0"/>
    <m/>
    <n v="0"/>
    <n v="0"/>
    <n v="0"/>
    <n v="0"/>
    <n v="1"/>
    <n v="0"/>
    <n v="0"/>
    <n v="0"/>
    <n v="0"/>
    <n v="0"/>
    <n v="0"/>
    <n v="0"/>
    <n v="0"/>
    <n v="0"/>
    <n v="0"/>
    <n v="0"/>
    <n v="0"/>
    <n v="0"/>
    <n v="1"/>
    <n v="0"/>
    <n v="0"/>
    <n v="0"/>
    <n v="0"/>
    <n v="0"/>
    <n v="0"/>
    <n v="0"/>
    <n v="0"/>
    <n v="0"/>
    <s v="West"/>
    <x v="0"/>
    <x v="0"/>
    <x v="1"/>
    <x v="0"/>
    <x v="0"/>
    <x v="0"/>
    <m/>
    <x v="0"/>
    <s v="Y"/>
    <n v="4"/>
    <m/>
    <n v="0"/>
    <n v="0"/>
    <n v="0.25"/>
    <n v="0.25"/>
    <n v="0.25"/>
    <n v="0.25"/>
    <n v="0"/>
    <n v="0"/>
    <n v="0"/>
    <n v="0"/>
    <n v="0"/>
    <n v="0"/>
    <n v="0"/>
    <n v="0"/>
    <n v="0"/>
    <n v="0"/>
    <n v="0"/>
    <n v="0"/>
    <n v="0"/>
    <n v="0"/>
    <n v="0"/>
    <n v="1"/>
    <n v="1"/>
  </r>
  <r>
    <n v="6171"/>
    <x v="1"/>
    <s v="2017/0689"/>
    <m/>
    <s v="maisonette first and second floors, 79 Thrale Road"/>
    <m/>
    <n v="529103"/>
    <n v="171425"/>
    <x v="12"/>
    <m/>
    <m/>
    <n v="2"/>
    <n v="3"/>
    <n v="1"/>
    <n v="3"/>
    <n v="1"/>
    <m/>
    <s v="Alterations including erection of single-storey rear extension to provide additional bedroom to ground floor flat.  Conversion of upper flat into 1 x studio and 1 x 2-bedroom flat."/>
    <s v="PF"/>
    <d v="2017-02-24T00:00:00"/>
    <d v="2017-04-21T00:00:00"/>
    <x v="1"/>
    <s v="Nil"/>
    <m/>
    <s v="BF"/>
    <x v="4"/>
    <x v="0"/>
    <x v="10"/>
    <n v="2.5000000372528999E-2"/>
    <m/>
    <x v="0"/>
    <m/>
    <x v="0"/>
    <s v="P"/>
    <m/>
    <m/>
    <n v="0"/>
    <m/>
    <n v="0"/>
    <m/>
    <n v="1"/>
    <n v="0"/>
    <n v="0"/>
    <n v="0"/>
    <n v="0"/>
    <n v="0"/>
    <n v="0"/>
    <n v="1"/>
    <n v="0"/>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176"/>
    <x v="1"/>
    <s v="2015/7497"/>
    <m/>
    <s v="31 Eckstein Road"/>
    <m/>
    <n v="527289"/>
    <n v="175257"/>
    <x v="14"/>
    <m/>
    <m/>
    <n v="1"/>
    <n v="3"/>
    <n v="2"/>
    <n v="3"/>
    <n v="2"/>
    <m/>
    <s v="Extensions and alterations in connection with the use of property as 1 x one-bedroom and 2 x three-bedroom flats. Erection of mansard roof extension to main rear roof (with French doors and safety railings) and above part of two-storey back addition, formation of roof terrace above two-storey back addition with 1.7m high screen surround, erection of single-storey rear/side extension."/>
    <s v="PF"/>
    <d v="2016-01-26T00:00:00"/>
    <d v="2016-07-19T00:00:00"/>
    <x v="0"/>
    <s v="Nil"/>
    <m/>
    <s v="BF"/>
    <x v="4"/>
    <x v="0"/>
    <x v="8"/>
    <n v="1.30000002682209E-2"/>
    <m/>
    <x v="0"/>
    <m/>
    <x v="0"/>
    <s v="P"/>
    <m/>
    <m/>
    <n v="0"/>
    <m/>
    <n v="0"/>
    <m/>
    <n v="0"/>
    <n v="1"/>
    <n v="0"/>
    <n v="2"/>
    <n v="0"/>
    <n v="-1"/>
    <n v="0"/>
    <n v="0"/>
    <n v="1"/>
    <n v="0"/>
    <n v="2"/>
    <n v="0"/>
    <n v="0"/>
    <n v="0"/>
    <n v="0"/>
    <n v="0"/>
    <n v="0"/>
    <n v="0"/>
    <n v="0"/>
    <n v="-1"/>
    <n v="0"/>
    <n v="0"/>
    <n v="0"/>
    <n v="0"/>
    <n v="0"/>
    <n v="0"/>
    <n v="0"/>
    <n v="0"/>
    <s v="East"/>
    <x v="0"/>
    <x v="0"/>
    <x v="1"/>
    <x v="0"/>
    <x v="0"/>
    <x v="0"/>
    <m/>
    <x v="0"/>
    <s v="Y"/>
    <s v="9A"/>
    <m/>
    <n v="0"/>
    <n v="0.5"/>
    <n v="0.5"/>
    <n v="0.5"/>
    <n v="0.5"/>
    <n v="0"/>
    <n v="0"/>
    <n v="0"/>
    <n v="0"/>
    <n v="0"/>
    <n v="0"/>
    <n v="0"/>
    <n v="0"/>
    <n v="0"/>
    <n v="0"/>
    <n v="0"/>
    <n v="0"/>
    <n v="0"/>
    <n v="0"/>
    <n v="0"/>
    <n v="0"/>
    <n v="2"/>
    <n v="2"/>
  </r>
  <r>
    <n v="6177"/>
    <x v="1"/>
    <s v="2018/0255"/>
    <m/>
    <s v="47 Yvon House, Alexandra Avenue"/>
    <m/>
    <n v="528158"/>
    <n v="176681"/>
    <x v="6"/>
    <m/>
    <m/>
    <n v="1"/>
    <n v="2"/>
    <n v="1"/>
    <n v="2"/>
    <n v="1"/>
    <m/>
    <s v="Alterations in connection with conversion of existing flat into 1 x  2-bedroom and 1 x 3-bedroom flats and the creation of a roof terrace at third floor level."/>
    <s v="PF"/>
    <d v="2018-01-26T00:00:00"/>
    <d v="2018-03-23T00:00:00"/>
    <x v="1"/>
    <s v="Nil"/>
    <m/>
    <s v="BF"/>
    <x v="1"/>
    <x v="0"/>
    <x v="10"/>
    <n v="1.30000002682209E-2"/>
    <m/>
    <x v="0"/>
    <m/>
    <x v="0"/>
    <s v="P"/>
    <m/>
    <m/>
    <n v="0"/>
    <m/>
    <n v="0"/>
    <m/>
    <n v="0"/>
    <n v="0"/>
    <n v="1"/>
    <n v="0"/>
    <n v="0"/>
    <n v="0"/>
    <n v="0"/>
    <n v="0"/>
    <n v="0"/>
    <n v="1"/>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180"/>
    <x v="1"/>
    <s v="2015/6929"/>
    <m/>
    <s v="Ground floor, 72 Upper Tooting Road"/>
    <m/>
    <n v="527804"/>
    <n v="172172"/>
    <x v="4"/>
    <m/>
    <m/>
    <n v="0"/>
    <n v="1"/>
    <n v="1"/>
    <n v="1"/>
    <n v="1"/>
    <m/>
    <s v="Erection of single-storey rear extension to create 1 x 2-bedroom flat (Corresponding Listed Building Reference Number 2016/0793)."/>
    <s v="PF"/>
    <d v="2016-02-09T00:00:00"/>
    <d v="2016-06-14T00:00:00"/>
    <x v="0"/>
    <s v="Nil"/>
    <m/>
    <s v="BF"/>
    <x v="4"/>
    <x v="0"/>
    <x v="4"/>
    <n v="6.0000000521540598E-3"/>
    <m/>
    <x v="0"/>
    <m/>
    <x v="0"/>
    <s v="P"/>
    <m/>
    <m/>
    <n v="0"/>
    <m/>
    <n v="0"/>
    <m/>
    <n v="0"/>
    <n v="0"/>
    <n v="1"/>
    <n v="0"/>
    <n v="0"/>
    <n v="0"/>
    <n v="0"/>
    <n v="0"/>
    <n v="0"/>
    <n v="1"/>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181"/>
    <x v="1"/>
    <s v="2016/0600"/>
    <m/>
    <s v="Ground floor, 41 West Hill"/>
    <m/>
    <n v="525098"/>
    <n v="174605"/>
    <x v="16"/>
    <m/>
    <m/>
    <n v="0"/>
    <n v="1"/>
    <n v="1"/>
    <n v="1"/>
    <n v="1"/>
    <m/>
    <s v="Alterations including change of use of ground floor from retail (Use Class A1) to 1x2-bedroom residential unit (Use Class C3); and associated external alterations to the front elevation (including removal of shopfront)."/>
    <s v="PF"/>
    <d v="2016-02-10T00:00:00"/>
    <d v="2016-06-21T00:00:00"/>
    <x v="0"/>
    <s v="Nil"/>
    <m/>
    <s v="BF"/>
    <x v="4"/>
    <x v="0"/>
    <x v="4"/>
    <n v="4.0000001899898104E-3"/>
    <m/>
    <x v="0"/>
    <m/>
    <x v="0"/>
    <s v="P"/>
    <m/>
    <m/>
    <n v="0"/>
    <m/>
    <n v="0"/>
    <m/>
    <n v="0"/>
    <n v="0"/>
    <n v="1"/>
    <n v="0"/>
    <n v="0"/>
    <n v="0"/>
    <n v="0"/>
    <n v="0"/>
    <n v="0"/>
    <n v="1"/>
    <n v="0"/>
    <n v="0"/>
    <n v="0"/>
    <n v="0"/>
    <n v="0"/>
    <n v="0"/>
    <n v="0"/>
    <n v="0"/>
    <n v="0"/>
    <n v="0"/>
    <n v="0"/>
    <n v="0"/>
    <n v="0"/>
    <n v="0"/>
    <n v="0"/>
    <n v="0"/>
    <n v="0"/>
    <n v="0"/>
    <s v="West"/>
    <x v="0"/>
    <x v="0"/>
    <x v="1"/>
    <x v="0"/>
    <x v="0"/>
    <x v="0"/>
    <m/>
    <x v="0"/>
    <s v="Y"/>
    <s v="9A"/>
    <m/>
    <n v="0"/>
    <n v="0.25"/>
    <n v="0.25"/>
    <n v="0.25"/>
    <n v="0.25"/>
    <n v="0"/>
    <n v="0"/>
    <n v="0"/>
    <n v="0"/>
    <n v="0"/>
    <n v="0"/>
    <n v="0"/>
    <n v="0"/>
    <n v="0"/>
    <n v="0"/>
    <n v="0"/>
    <n v="0"/>
    <n v="0"/>
    <n v="0"/>
    <n v="0"/>
    <n v="0"/>
    <n v="1"/>
    <n v="1"/>
  </r>
  <r>
    <n v="6182"/>
    <x v="1"/>
    <s v="2016/0601"/>
    <m/>
    <s v="Ground floor, 43 West Hill"/>
    <m/>
    <n v="525093"/>
    <n v="174604"/>
    <x v="16"/>
    <m/>
    <m/>
    <n v="0"/>
    <n v="1"/>
    <n v="1"/>
    <n v="1"/>
    <n v="1"/>
    <m/>
    <s v="Alterations including change of use of ground floor from retail (Use Class A1) to 1x1-bedroom residential unit (Use Class C3); and associated external alterations to front elevation (including removal of shopfront)."/>
    <s v="PF"/>
    <d v="2016-02-10T00:00:00"/>
    <d v="2016-04-06T00:00:00"/>
    <x v="0"/>
    <s v="Nil"/>
    <m/>
    <s v="BF"/>
    <x v="4"/>
    <x v="0"/>
    <x v="4"/>
    <n v="4.0000001899898104E-3"/>
    <m/>
    <x v="0"/>
    <m/>
    <x v="0"/>
    <s v="P"/>
    <m/>
    <m/>
    <n v="0"/>
    <m/>
    <n v="0"/>
    <m/>
    <n v="0"/>
    <n v="1"/>
    <n v="0"/>
    <n v="0"/>
    <n v="0"/>
    <n v="0"/>
    <n v="0"/>
    <n v="0"/>
    <n v="1"/>
    <n v="0"/>
    <n v="0"/>
    <n v="0"/>
    <n v="0"/>
    <n v="0"/>
    <n v="0"/>
    <n v="0"/>
    <n v="0"/>
    <n v="0"/>
    <n v="0"/>
    <n v="0"/>
    <n v="0"/>
    <n v="0"/>
    <n v="0"/>
    <n v="0"/>
    <n v="0"/>
    <n v="0"/>
    <n v="0"/>
    <n v="0"/>
    <s v="West"/>
    <x v="0"/>
    <x v="0"/>
    <x v="1"/>
    <x v="0"/>
    <x v="0"/>
    <x v="0"/>
    <m/>
    <x v="0"/>
    <s v="Y"/>
    <s v="9A"/>
    <m/>
    <n v="0"/>
    <n v="0.25"/>
    <n v="0.25"/>
    <n v="0.25"/>
    <n v="0.25"/>
    <n v="0"/>
    <n v="0"/>
    <n v="0"/>
    <n v="0"/>
    <n v="0"/>
    <n v="0"/>
    <n v="0"/>
    <n v="0"/>
    <n v="0"/>
    <n v="0"/>
    <n v="0"/>
    <n v="0"/>
    <n v="0"/>
    <n v="0"/>
    <n v="0"/>
    <n v="0"/>
    <n v="1"/>
    <n v="1"/>
  </r>
  <r>
    <n v="6183"/>
    <x v="1"/>
    <s v="2016/0602"/>
    <m/>
    <s v="Ground Floor, 39 West Hill"/>
    <m/>
    <n v="525104"/>
    <n v="174606"/>
    <x v="16"/>
    <m/>
    <m/>
    <n v="0"/>
    <n v="1"/>
    <n v="1"/>
    <n v="1"/>
    <n v="1"/>
    <m/>
    <s v="Alterations including change of use of ground floor from retail (Use Class A1) to 1x1 bedroom residential unit (Use Class C3); and associated external alterations to front elevation (including removal of shopfront)."/>
    <s v="PF"/>
    <d v="2016-02-01T00:00:00"/>
    <d v="2016-06-21T00:00:00"/>
    <x v="0"/>
    <s v="Nil"/>
    <m/>
    <s v="BF"/>
    <x v="4"/>
    <x v="0"/>
    <x v="4"/>
    <n v="4.0000001899898104E-3"/>
    <m/>
    <x v="0"/>
    <m/>
    <x v="0"/>
    <s v="P"/>
    <m/>
    <m/>
    <n v="0"/>
    <m/>
    <n v="0"/>
    <m/>
    <n v="0"/>
    <n v="1"/>
    <n v="0"/>
    <n v="0"/>
    <n v="0"/>
    <n v="0"/>
    <n v="0"/>
    <n v="0"/>
    <n v="1"/>
    <n v="0"/>
    <n v="0"/>
    <n v="0"/>
    <n v="0"/>
    <n v="0"/>
    <n v="0"/>
    <n v="0"/>
    <n v="0"/>
    <n v="0"/>
    <n v="0"/>
    <n v="0"/>
    <n v="0"/>
    <n v="0"/>
    <n v="0"/>
    <n v="0"/>
    <n v="0"/>
    <n v="0"/>
    <n v="0"/>
    <n v="0"/>
    <s v="West"/>
    <x v="0"/>
    <x v="0"/>
    <x v="1"/>
    <x v="0"/>
    <x v="0"/>
    <x v="0"/>
    <m/>
    <x v="0"/>
    <s v="Y"/>
    <s v="9A"/>
    <m/>
    <n v="0"/>
    <n v="0.25"/>
    <n v="0.25"/>
    <n v="0.25"/>
    <n v="0.25"/>
    <n v="0"/>
    <n v="0"/>
    <n v="0"/>
    <n v="0"/>
    <n v="0"/>
    <n v="0"/>
    <n v="0"/>
    <n v="0"/>
    <n v="0"/>
    <n v="0"/>
    <n v="0"/>
    <n v="0"/>
    <n v="0"/>
    <n v="0"/>
    <n v="0"/>
    <n v="0"/>
    <n v="1"/>
    <n v="1"/>
  </r>
  <r>
    <n v="6184"/>
    <x v="1"/>
    <s v="2016/0857"/>
    <m/>
    <s v="7 Rayners Road"/>
    <m/>
    <n v="524026"/>
    <n v="174714"/>
    <x v="16"/>
    <m/>
    <m/>
    <n v="0"/>
    <n v="1"/>
    <n v="1"/>
    <n v="1"/>
    <n v="1"/>
    <m/>
    <s v="Alterations in connection with the conversion of tenants stores into 1 x two-bedroom flat (Class C3). Installation of five windows and re-landscaping to provide additional four car parking space."/>
    <s v="PF"/>
    <d v="2016-02-18T00:00:00"/>
    <d v="2016-06-16T00:00:00"/>
    <x v="0"/>
    <s v="Nil"/>
    <m/>
    <s v="BF"/>
    <x v="3"/>
    <x v="0"/>
    <x v="5"/>
    <n v="3.0000000260770299E-3"/>
    <m/>
    <x v="0"/>
    <m/>
    <x v="2"/>
    <s v="C"/>
    <m/>
    <m/>
    <n v="0"/>
    <m/>
    <n v="0"/>
    <m/>
    <n v="0"/>
    <n v="0"/>
    <n v="1"/>
    <n v="0"/>
    <n v="0"/>
    <n v="0"/>
    <n v="0"/>
    <n v="0"/>
    <n v="0"/>
    <n v="1"/>
    <n v="0"/>
    <n v="0"/>
    <n v="0"/>
    <n v="0"/>
    <n v="0"/>
    <n v="0"/>
    <n v="0"/>
    <n v="0"/>
    <n v="0"/>
    <n v="0"/>
    <n v="0"/>
    <n v="0"/>
    <n v="0"/>
    <n v="0"/>
    <n v="0"/>
    <n v="0"/>
    <n v="0"/>
    <n v="0"/>
    <s v="West"/>
    <x v="0"/>
    <x v="0"/>
    <x v="1"/>
    <x v="0"/>
    <x v="0"/>
    <x v="0"/>
    <m/>
    <x v="0"/>
    <s v="Y"/>
    <s v="9A"/>
    <m/>
    <n v="0"/>
    <n v="0.25"/>
    <n v="0.25"/>
    <n v="0.25"/>
    <n v="0.25"/>
    <n v="0"/>
    <n v="0"/>
    <n v="0"/>
    <n v="0"/>
    <n v="0"/>
    <n v="0"/>
    <n v="0"/>
    <n v="0"/>
    <n v="0"/>
    <n v="0"/>
    <n v="0"/>
    <n v="0"/>
    <n v="0"/>
    <n v="0"/>
    <n v="0"/>
    <n v="0"/>
    <n v="1"/>
    <n v="1"/>
  </r>
  <r>
    <n v="6188"/>
    <x v="1"/>
    <s v="2017/4253"/>
    <m/>
    <s v="Earlsfield House, 1 Swaffield Road"/>
    <m/>
    <n v="525924"/>
    <n v="173800"/>
    <x v="18"/>
    <m/>
    <m/>
    <n v="0"/>
    <n v="4"/>
    <n v="4"/>
    <n v="5"/>
    <n v="5"/>
    <m/>
    <s v="Erection of a three-storey side extension to provide a 3-bedroom town house with alterations as part of change of use of Earlsfield House to provide 4 x 2-bedroom residential units."/>
    <s v="PF"/>
    <d v="2017-08-14T00:00:00"/>
    <d v="2017-10-19T00:00:00"/>
    <x v="1"/>
    <s v="Nil"/>
    <m/>
    <s v="BF"/>
    <x v="4"/>
    <x v="0"/>
    <x v="9"/>
    <n v="2.60000005364418E-2"/>
    <m/>
    <x v="0"/>
    <m/>
    <x v="0"/>
    <s v="P"/>
    <m/>
    <m/>
    <n v="0"/>
    <m/>
    <n v="0"/>
    <m/>
    <n v="0"/>
    <n v="0"/>
    <n v="4"/>
    <n v="0"/>
    <n v="0"/>
    <n v="0"/>
    <n v="0"/>
    <n v="0"/>
    <n v="0"/>
    <n v="4"/>
    <n v="0"/>
    <n v="0"/>
    <n v="0"/>
    <n v="0"/>
    <n v="0"/>
    <n v="0"/>
    <n v="0"/>
    <n v="0"/>
    <n v="0"/>
    <n v="0"/>
    <n v="0"/>
    <n v="0"/>
    <n v="0"/>
    <n v="0"/>
    <n v="0"/>
    <n v="0"/>
    <n v="0"/>
    <n v="0"/>
    <s v="West"/>
    <x v="0"/>
    <x v="0"/>
    <x v="1"/>
    <x v="0"/>
    <x v="0"/>
    <x v="0"/>
    <m/>
    <x v="1"/>
    <s v="Y"/>
    <s v="9A"/>
    <m/>
    <n v="0"/>
    <n v="1"/>
    <n v="1"/>
    <n v="1"/>
    <n v="1"/>
    <n v="0"/>
    <n v="0"/>
    <n v="0"/>
    <n v="0"/>
    <n v="0"/>
    <n v="0"/>
    <n v="0"/>
    <n v="0"/>
    <n v="0"/>
    <n v="0"/>
    <n v="0"/>
    <n v="0"/>
    <n v="0"/>
    <n v="0"/>
    <n v="0"/>
    <n v="0"/>
    <n v="4"/>
    <n v="4"/>
  </r>
  <r>
    <n v="6188"/>
    <x v="1"/>
    <s v="2017/4253"/>
    <m/>
    <s v="Earlsfield House, 1 Swaffield Road"/>
    <m/>
    <n v="525924"/>
    <n v="173800"/>
    <x v="18"/>
    <m/>
    <m/>
    <n v="0"/>
    <n v="1"/>
    <n v="1"/>
    <n v="5"/>
    <n v="5"/>
    <m/>
    <s v="Erection of a three-storey side extension to provide a 3-bedroom town house with alterations as part of change of use of Earlsfield House to provide 4 x 2-bedroom residential units."/>
    <s v="PF"/>
    <d v="2017-08-14T00:00:00"/>
    <d v="2017-10-19T00:00:00"/>
    <x v="1"/>
    <s v="Nil"/>
    <m/>
    <s v="BF"/>
    <x v="4"/>
    <x v="0"/>
    <x v="0"/>
    <n v="1.2000000104308101E-2"/>
    <m/>
    <x v="0"/>
    <m/>
    <x v="0"/>
    <s v="P"/>
    <m/>
    <m/>
    <n v="0"/>
    <m/>
    <n v="0"/>
    <m/>
    <n v="0"/>
    <n v="0"/>
    <n v="0"/>
    <n v="1"/>
    <n v="0"/>
    <n v="0"/>
    <n v="0"/>
    <n v="0"/>
    <n v="0"/>
    <n v="0"/>
    <n v="0"/>
    <n v="0"/>
    <n v="0"/>
    <n v="0"/>
    <n v="0"/>
    <n v="0"/>
    <n v="0"/>
    <n v="1"/>
    <n v="0"/>
    <n v="0"/>
    <n v="0"/>
    <n v="0"/>
    <n v="0"/>
    <n v="0"/>
    <n v="0"/>
    <n v="0"/>
    <n v="0"/>
    <n v="0"/>
    <s v="West"/>
    <x v="0"/>
    <x v="0"/>
    <x v="1"/>
    <x v="0"/>
    <x v="0"/>
    <x v="0"/>
    <m/>
    <x v="1"/>
    <s v="Y"/>
    <s v="9A"/>
    <m/>
    <n v="0"/>
    <n v="0.25"/>
    <n v="0.25"/>
    <n v="0.25"/>
    <n v="0.25"/>
    <n v="0"/>
    <n v="0"/>
    <n v="0"/>
    <n v="0"/>
    <n v="0"/>
    <n v="0"/>
    <n v="0"/>
    <n v="0"/>
    <n v="0"/>
    <n v="0"/>
    <n v="0"/>
    <n v="0"/>
    <n v="0"/>
    <n v="0"/>
    <n v="0"/>
    <n v="0"/>
    <n v="1"/>
    <n v="1"/>
  </r>
  <r>
    <n v="6191"/>
    <x v="1"/>
    <s v="2016/0686"/>
    <m/>
    <s v="68a, Kelmscott Road"/>
    <m/>
    <n v="527606"/>
    <n v="174610"/>
    <x v="14"/>
    <m/>
    <m/>
    <n v="0"/>
    <n v="1"/>
    <n v="1"/>
    <n v="1"/>
    <n v="1"/>
    <m/>
    <s v="Alterations in connection with the change of use from office (Class B1) to 1 x 1-bedroom house (Class C3) including erection of front and rear roof extension and ground floor side extension. (Amendments to design of roof extension)"/>
    <s v="PF"/>
    <d v="2016-02-15T00:00:00"/>
    <d v="2016-06-06T00:00:00"/>
    <x v="0"/>
    <s v="Nil"/>
    <m/>
    <s v="BF"/>
    <x v="4"/>
    <x v="0"/>
    <x v="9"/>
    <n v="4.0000001899898104E-3"/>
    <m/>
    <x v="0"/>
    <m/>
    <x v="0"/>
    <s v="P"/>
    <m/>
    <m/>
    <n v="0"/>
    <m/>
    <n v="0"/>
    <m/>
    <n v="0"/>
    <n v="1"/>
    <n v="0"/>
    <n v="0"/>
    <n v="0"/>
    <n v="0"/>
    <n v="0"/>
    <n v="0"/>
    <n v="0"/>
    <n v="0"/>
    <n v="0"/>
    <n v="0"/>
    <n v="0"/>
    <n v="0"/>
    <n v="0"/>
    <n v="1"/>
    <n v="0"/>
    <n v="0"/>
    <n v="0"/>
    <n v="0"/>
    <n v="0"/>
    <n v="0"/>
    <n v="0"/>
    <n v="0"/>
    <n v="0"/>
    <n v="0"/>
    <n v="0"/>
    <n v="0"/>
    <s v="East"/>
    <x v="0"/>
    <x v="0"/>
    <x v="1"/>
    <x v="0"/>
    <x v="0"/>
    <x v="0"/>
    <m/>
    <x v="0"/>
    <s v="Y"/>
    <s v="9A"/>
    <m/>
    <n v="0"/>
    <n v="0.25"/>
    <n v="0.25"/>
    <n v="0.25"/>
    <n v="0.25"/>
    <n v="0"/>
    <n v="0"/>
    <n v="0"/>
    <n v="0"/>
    <n v="0"/>
    <n v="0"/>
    <n v="0"/>
    <n v="0"/>
    <n v="0"/>
    <n v="0"/>
    <n v="0"/>
    <n v="0"/>
    <n v="0"/>
    <n v="0"/>
    <n v="0"/>
    <n v="0"/>
    <n v="1"/>
    <n v="1"/>
  </r>
  <r>
    <n v="6196"/>
    <x v="1"/>
    <s v="2016/5294"/>
    <m/>
    <s v="Land adjacent, 80 Manville Road"/>
    <m/>
    <n v="528701"/>
    <n v="172342"/>
    <x v="3"/>
    <m/>
    <m/>
    <n v="0"/>
    <n v="1"/>
    <n v="1"/>
    <n v="1"/>
    <n v="1"/>
    <m/>
    <s v="Demolition of existing garage and erection of a two-storey 1-bedroom detached house with associated landscaping, boundary treatment, cycle and refuse storage."/>
    <s v="PF"/>
    <d v="2016-09-12T00:00:00"/>
    <d v="2016-12-19T00:00:00"/>
    <x v="0"/>
    <s v="Nil"/>
    <m/>
    <s v="BF"/>
    <x v="0"/>
    <x v="0"/>
    <x v="0"/>
    <n v="8.9999996125698107E-3"/>
    <m/>
    <x v="0"/>
    <m/>
    <x v="0"/>
    <s v="P"/>
    <m/>
    <m/>
    <n v="1"/>
    <m/>
    <n v="0"/>
    <m/>
    <n v="0"/>
    <n v="1"/>
    <n v="0"/>
    <n v="0"/>
    <n v="0"/>
    <n v="0"/>
    <n v="0"/>
    <n v="0"/>
    <n v="0"/>
    <n v="0"/>
    <n v="0"/>
    <n v="0"/>
    <n v="0"/>
    <n v="0"/>
    <n v="0"/>
    <n v="1"/>
    <n v="0"/>
    <n v="0"/>
    <n v="0"/>
    <n v="0"/>
    <n v="0"/>
    <n v="0"/>
    <n v="0"/>
    <n v="0"/>
    <n v="0"/>
    <n v="0"/>
    <n v="0"/>
    <n v="0"/>
    <s v="East"/>
    <x v="0"/>
    <x v="0"/>
    <x v="1"/>
    <x v="0"/>
    <x v="0"/>
    <x v="0"/>
    <m/>
    <x v="0"/>
    <s v="Y"/>
    <n v="4"/>
    <m/>
    <n v="0"/>
    <n v="0"/>
    <n v="0.25"/>
    <n v="0.25"/>
    <n v="0.25"/>
    <n v="0.25"/>
    <n v="0"/>
    <n v="0"/>
    <n v="0"/>
    <n v="0"/>
    <n v="0"/>
    <n v="0"/>
    <n v="0"/>
    <n v="0"/>
    <n v="0"/>
    <n v="0"/>
    <n v="0"/>
    <n v="0"/>
    <n v="0"/>
    <n v="0"/>
    <n v="0"/>
    <n v="1"/>
    <n v="1"/>
  </r>
  <r>
    <n v="6198"/>
    <x v="1"/>
    <s v="2016/0651"/>
    <m/>
    <s v="34 Roehampton Gate"/>
    <m/>
    <n v="521202"/>
    <n v="174373"/>
    <x v="15"/>
    <m/>
    <m/>
    <n v="1"/>
    <n v="1"/>
    <n v="0"/>
    <n v="1"/>
    <n v="0"/>
    <m/>
    <s v="Demolition of existing dwelling and erection of a two-storey house with additional accommodation within the roofspace and at basement level."/>
    <s v="PF"/>
    <d v="2016-03-04T00:00:00"/>
    <d v="2016-04-28T00:00:00"/>
    <x v="0"/>
    <s v="Nil"/>
    <m/>
    <s v="BF"/>
    <x v="0"/>
    <x v="0"/>
    <x v="0"/>
    <n v="6.4999997615814195E-2"/>
    <m/>
    <x v="0"/>
    <m/>
    <x v="0"/>
    <s v="P"/>
    <m/>
    <m/>
    <n v="1"/>
    <m/>
    <n v="0"/>
    <m/>
    <n v="0"/>
    <n v="0"/>
    <n v="0"/>
    <n v="0"/>
    <n v="-1"/>
    <n v="1"/>
    <n v="0"/>
    <n v="0"/>
    <n v="0"/>
    <n v="0"/>
    <n v="0"/>
    <n v="0"/>
    <n v="0"/>
    <n v="0"/>
    <n v="0"/>
    <n v="0"/>
    <n v="0"/>
    <n v="0"/>
    <n v="-1"/>
    <n v="1"/>
    <n v="0"/>
    <n v="0"/>
    <n v="0"/>
    <n v="0"/>
    <n v="0"/>
    <n v="0"/>
    <n v="0"/>
    <n v="0"/>
    <s v="West"/>
    <x v="0"/>
    <x v="0"/>
    <x v="1"/>
    <x v="0"/>
    <x v="0"/>
    <x v="0"/>
    <m/>
    <x v="0"/>
    <s v="Y"/>
    <n v="4"/>
    <m/>
    <n v="0"/>
    <n v="0"/>
    <n v="0"/>
    <n v="0"/>
    <n v="0"/>
    <n v="0"/>
    <n v="0"/>
    <n v="0"/>
    <n v="0"/>
    <n v="0"/>
    <n v="0"/>
    <n v="0"/>
    <n v="0"/>
    <n v="0"/>
    <n v="0"/>
    <n v="0"/>
    <n v="0"/>
    <n v="0"/>
    <n v="0"/>
    <n v="0"/>
    <n v="0"/>
    <n v="0"/>
    <n v="0"/>
  </r>
  <r>
    <n v="6207"/>
    <x v="1"/>
    <s v="2015/6849"/>
    <s v="Petrol Station"/>
    <s v="256 &amp; 262, Wimbledon Park Road"/>
    <m/>
    <n v="524680"/>
    <n v="173245"/>
    <x v="19"/>
    <m/>
    <m/>
    <n v="0"/>
    <n v="6"/>
    <n v="6"/>
    <n v="6"/>
    <n v="6"/>
    <m/>
    <s v="Demolition of existing petrol filling station at no. 262 and redevelopment of the site to provide a four-storey building comprising retail use (Class A1) on the ground floor with 6 two-bedroom residential units with associated rear balconies/terraces above at 1st to 3rd floor levels. The proposed retail unit would be used in conjuction with part of the existing ground floor retail unit at no. 256 Wimbledon Park Road to provide a combined Class A1 unit of 657 sq.m. floorspace, with associated alterations to the front of no. 256 to create a new 117 sq.m. retail unit. Provision of associated cycle parking, refuse store and plant, and alterations to public footway to provide a bay in front of no. 262 Wimbledon Park Road."/>
    <s v="PF"/>
    <d v="2015-12-03T00:00:00"/>
    <d v="2016-05-11T00:00:00"/>
    <x v="0"/>
    <s v="Nil"/>
    <m/>
    <s v="BF"/>
    <x v="0"/>
    <x v="0"/>
    <x v="0"/>
    <n v="9.7999997437000302E-2"/>
    <m/>
    <x v="0"/>
    <m/>
    <x v="0"/>
    <s v="P"/>
    <m/>
    <m/>
    <n v="6"/>
    <m/>
    <n v="0"/>
    <m/>
    <n v="0"/>
    <n v="0"/>
    <n v="6"/>
    <n v="0"/>
    <n v="0"/>
    <n v="0"/>
    <n v="0"/>
    <n v="0"/>
    <n v="0"/>
    <n v="6"/>
    <n v="0"/>
    <n v="0"/>
    <n v="0"/>
    <n v="0"/>
    <n v="0"/>
    <n v="0"/>
    <n v="0"/>
    <n v="0"/>
    <n v="0"/>
    <n v="0"/>
    <n v="0"/>
    <n v="0"/>
    <n v="0"/>
    <n v="0"/>
    <n v="0"/>
    <n v="0"/>
    <n v="0"/>
    <n v="0"/>
    <s v="West"/>
    <x v="0"/>
    <x v="0"/>
    <x v="1"/>
    <x v="0"/>
    <x v="0"/>
    <x v="0"/>
    <m/>
    <x v="0"/>
    <s v="Y"/>
    <s v="5B"/>
    <m/>
    <n v="0"/>
    <n v="0"/>
    <n v="0"/>
    <n v="0"/>
    <n v="2"/>
    <n v="2"/>
    <n v="2"/>
    <n v="0"/>
    <n v="0"/>
    <n v="0"/>
    <n v="0"/>
    <n v="0"/>
    <n v="0"/>
    <n v="0"/>
    <n v="0"/>
    <n v="0"/>
    <n v="0"/>
    <n v="0"/>
    <n v="0"/>
    <n v="0"/>
    <n v="0"/>
    <n v="4"/>
    <n v="6"/>
  </r>
  <r>
    <n v="6208"/>
    <x v="1"/>
    <s v="2016/5329"/>
    <m/>
    <s v="Shell Savoy Filling Station, 262 York Road"/>
    <s v="PRIVATE MARKET _ BUILD TO RENT"/>
    <n v="526352"/>
    <n v="175489"/>
    <x v="1"/>
    <m/>
    <m/>
    <n v="0"/>
    <n v="18"/>
    <n v="18"/>
    <n v="89"/>
    <n v="89"/>
    <s v="Y"/>
    <s v="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
    <s v="PFLA"/>
    <d v="2016-09-14T00:00:00"/>
    <d v="2017-08-08T00:00:00"/>
    <x v="1"/>
    <s v="Nil"/>
    <m/>
    <s v="BF"/>
    <x v="0"/>
    <x v="1"/>
    <x v="1"/>
    <n v="2.19999998807907E-2"/>
    <m/>
    <x v="0"/>
    <m/>
    <x v="0"/>
    <s v="PB"/>
    <m/>
    <m/>
    <n v="0"/>
    <n v="16"/>
    <n v="9"/>
    <n v="2"/>
    <n v="0"/>
    <n v="12"/>
    <n v="6"/>
    <n v="0"/>
    <n v="0"/>
    <n v="0"/>
    <n v="0"/>
    <n v="0"/>
    <n v="12"/>
    <n v="6"/>
    <n v="0"/>
    <n v="0"/>
    <n v="0"/>
    <n v="0"/>
    <n v="0"/>
    <n v="0"/>
    <n v="0"/>
    <n v="0"/>
    <n v="0"/>
    <n v="0"/>
    <n v="0"/>
    <n v="0"/>
    <n v="0"/>
    <n v="0"/>
    <n v="0"/>
    <n v="0"/>
    <n v="0"/>
    <n v="0"/>
    <s v="East"/>
    <x v="0"/>
    <x v="0"/>
    <x v="1"/>
    <x v="0"/>
    <x v="0"/>
    <x v="0"/>
    <s v="Y"/>
    <x v="0"/>
    <s v="Y"/>
    <s v="5A"/>
    <m/>
    <n v="0"/>
    <n v="0"/>
    <n v="0"/>
    <n v="0"/>
    <n v="0"/>
    <n v="0"/>
    <n v="3.6"/>
    <n v="3.6"/>
    <n v="3.6"/>
    <n v="3.6"/>
    <n v="3.6"/>
    <n v="0"/>
    <n v="0"/>
    <n v="0"/>
    <n v="0"/>
    <n v="0"/>
    <n v="0"/>
    <n v="0"/>
    <n v="0"/>
    <n v="0"/>
    <n v="0"/>
    <n v="0"/>
    <n v="18"/>
  </r>
  <r>
    <n v="6208"/>
    <x v="1"/>
    <s v="2016/5329"/>
    <m/>
    <s v="Shell Savoy Filling Station, 262 York Road"/>
    <m/>
    <n v="526352"/>
    <n v="175489"/>
    <x v="1"/>
    <m/>
    <m/>
    <n v="0"/>
    <n v="71"/>
    <n v="71"/>
    <n v="89"/>
    <n v="89"/>
    <s v="Y"/>
    <s v="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
    <s v="PFLA"/>
    <d v="2016-09-14T00:00:00"/>
    <d v="2017-08-08T00:00:00"/>
    <x v="1"/>
    <s v="Nil"/>
    <m/>
    <s v="BF"/>
    <x v="0"/>
    <x v="1"/>
    <x v="1"/>
    <n v="0.104999996721745"/>
    <m/>
    <x v="0"/>
    <m/>
    <x v="0"/>
    <s v="P"/>
    <m/>
    <m/>
    <n v="0"/>
    <n v="64"/>
    <n v="0"/>
    <n v="7"/>
    <n v="0"/>
    <n v="24"/>
    <n v="42"/>
    <n v="5"/>
    <n v="0"/>
    <n v="0"/>
    <n v="0"/>
    <n v="0"/>
    <n v="24"/>
    <n v="42"/>
    <n v="5"/>
    <n v="0"/>
    <n v="0"/>
    <n v="0"/>
    <n v="0"/>
    <n v="0"/>
    <n v="0"/>
    <n v="0"/>
    <n v="0"/>
    <n v="0"/>
    <n v="0"/>
    <n v="0"/>
    <n v="0"/>
    <n v="0"/>
    <n v="0"/>
    <n v="0"/>
    <n v="0"/>
    <n v="0"/>
    <s v="East"/>
    <x v="0"/>
    <x v="0"/>
    <x v="1"/>
    <x v="0"/>
    <x v="0"/>
    <x v="0"/>
    <s v="Y"/>
    <x v="0"/>
    <s v="Y"/>
    <s v="5A"/>
    <m/>
    <n v="0"/>
    <n v="0"/>
    <n v="0"/>
    <n v="0"/>
    <n v="0"/>
    <n v="0"/>
    <n v="14.2"/>
    <n v="14.2"/>
    <n v="14.2"/>
    <n v="14.2"/>
    <n v="14.2"/>
    <n v="0"/>
    <n v="0"/>
    <n v="0"/>
    <n v="0"/>
    <n v="0"/>
    <n v="0"/>
    <n v="0"/>
    <n v="0"/>
    <n v="0"/>
    <n v="0"/>
    <n v="0"/>
    <n v="71"/>
  </r>
  <r>
    <n v="6211"/>
    <x v="1"/>
    <s v="2016/1499"/>
    <m/>
    <s v="7-12 Elmfield Mansions, Elmfield Road"/>
    <m/>
    <n v="528429"/>
    <n v="172911"/>
    <x v="3"/>
    <m/>
    <m/>
    <n v="0"/>
    <n v="2"/>
    <n v="2"/>
    <n v="2"/>
    <n v="2"/>
    <m/>
    <s v="Erection of mansard roof extensions to main rear roofs and above part of the three-storey back addition and formation of roof terraces at third floor level, in connection with the creation of 2 self-contained residential flats (2 x 1-bedroom)."/>
    <s v="PF"/>
    <d v="2016-05-11T00:00:00"/>
    <d v="2016-06-20T00:00:00"/>
    <x v="0"/>
    <s v="Nil"/>
    <m/>
    <s v="BF"/>
    <x v="2"/>
    <x v="0"/>
    <x v="3"/>
    <n v="1.2000000104308101E-2"/>
    <m/>
    <x v="0"/>
    <m/>
    <x v="0"/>
    <s v="P"/>
    <m/>
    <m/>
    <n v="0"/>
    <m/>
    <n v="0"/>
    <m/>
    <n v="0"/>
    <n v="2"/>
    <n v="0"/>
    <n v="0"/>
    <n v="0"/>
    <n v="0"/>
    <n v="0"/>
    <n v="0"/>
    <n v="2"/>
    <n v="0"/>
    <n v="0"/>
    <n v="0"/>
    <n v="0"/>
    <n v="0"/>
    <n v="0"/>
    <n v="0"/>
    <n v="0"/>
    <n v="0"/>
    <n v="0"/>
    <n v="0"/>
    <n v="0"/>
    <n v="0"/>
    <n v="0"/>
    <n v="0"/>
    <n v="0"/>
    <n v="0"/>
    <n v="0"/>
    <n v="0"/>
    <s v="East"/>
    <x v="0"/>
    <x v="0"/>
    <x v="1"/>
    <x v="0"/>
    <x v="0"/>
    <x v="0"/>
    <m/>
    <x v="0"/>
    <s v="Y"/>
    <s v="9A"/>
    <m/>
    <n v="0"/>
    <n v="0.5"/>
    <n v="0.5"/>
    <n v="0.5"/>
    <n v="0.5"/>
    <n v="0"/>
    <n v="0"/>
    <n v="0"/>
    <n v="0"/>
    <n v="0"/>
    <n v="0"/>
    <n v="0"/>
    <n v="0"/>
    <n v="0"/>
    <n v="0"/>
    <n v="0"/>
    <n v="0"/>
    <n v="0"/>
    <n v="0"/>
    <n v="0"/>
    <n v="0"/>
    <n v="2"/>
    <n v="2"/>
  </r>
  <r>
    <n v="6212"/>
    <x v="1"/>
    <s v="2016/2408"/>
    <m/>
    <s v="Land rear of, 117 Fernlea Road"/>
    <m/>
    <n v="529084"/>
    <n v="173102"/>
    <x v="9"/>
    <m/>
    <m/>
    <n v="1"/>
    <n v="3"/>
    <n v="2"/>
    <n v="3"/>
    <n v="2"/>
    <m/>
    <s v="Alterations including erection of dormer roof extension to main rear roof and formation of rear roof terrace above three storey back addition with 1.7m high screen surround; erection of two-storey rear extension; erection of single storey side/rear extension; alterations to front lightwell and rear lightwell; installation of side access staircase and conversion of property to 1 x 4-bedroom, 1 x 2-bedroom and 1 x 1-bedroom flats."/>
    <s v="PF"/>
    <d v="2016-04-26T00:00:00"/>
    <d v="2016-06-21T00:00:00"/>
    <x v="0"/>
    <s v="Nil"/>
    <m/>
    <s v="BF"/>
    <x v="4"/>
    <x v="0"/>
    <x v="8"/>
    <n v="2.5000000372528999E-2"/>
    <m/>
    <x v="0"/>
    <m/>
    <x v="0"/>
    <s v="P"/>
    <m/>
    <m/>
    <n v="0"/>
    <m/>
    <n v="0"/>
    <m/>
    <n v="0"/>
    <n v="1"/>
    <n v="1"/>
    <n v="1"/>
    <n v="-1"/>
    <n v="0"/>
    <n v="0"/>
    <n v="0"/>
    <n v="1"/>
    <n v="1"/>
    <n v="1"/>
    <n v="0"/>
    <n v="0"/>
    <n v="0"/>
    <n v="0"/>
    <n v="0"/>
    <n v="0"/>
    <n v="0"/>
    <n v="-1"/>
    <n v="0"/>
    <n v="0"/>
    <n v="0"/>
    <n v="0"/>
    <n v="0"/>
    <n v="0"/>
    <n v="0"/>
    <n v="0"/>
    <n v="0"/>
    <s v="East"/>
    <x v="0"/>
    <x v="0"/>
    <x v="1"/>
    <x v="0"/>
    <x v="0"/>
    <x v="0"/>
    <m/>
    <x v="0"/>
    <s v="Y"/>
    <s v="9A"/>
    <m/>
    <n v="0"/>
    <n v="0.5"/>
    <n v="0.5"/>
    <n v="0.5"/>
    <n v="0.5"/>
    <n v="0"/>
    <n v="0"/>
    <n v="0"/>
    <n v="0"/>
    <n v="0"/>
    <n v="0"/>
    <n v="0"/>
    <n v="0"/>
    <n v="0"/>
    <n v="0"/>
    <n v="0"/>
    <n v="0"/>
    <n v="0"/>
    <n v="0"/>
    <n v="0"/>
    <n v="0"/>
    <n v="2"/>
    <n v="2"/>
  </r>
  <r>
    <n v="6214"/>
    <x v="1"/>
    <s v="2016/1299"/>
    <m/>
    <s v="14 Roedean Crescent"/>
    <m/>
    <n v="521143"/>
    <n v="174601"/>
    <x v="15"/>
    <m/>
    <m/>
    <n v="1"/>
    <n v="1"/>
    <n v="0"/>
    <n v="1"/>
    <n v="0"/>
    <m/>
    <s v="Demolition of existing house and erection of a two-storey 6-bedroom detached house with accommodation at roof level. New front boundary treatment."/>
    <s v="PF"/>
    <d v="2016-04-28T00:00:00"/>
    <d v="2016-06-23T00:00:00"/>
    <x v="0"/>
    <s v="Nil"/>
    <m/>
    <s v="BF"/>
    <x v="0"/>
    <x v="0"/>
    <x v="0"/>
    <n v="0.125"/>
    <m/>
    <x v="0"/>
    <m/>
    <x v="0"/>
    <s v="P"/>
    <m/>
    <m/>
    <n v="1"/>
    <m/>
    <n v="0"/>
    <m/>
    <n v="0"/>
    <n v="0"/>
    <n v="0"/>
    <n v="0"/>
    <n v="0"/>
    <n v="0"/>
    <n v="0"/>
    <n v="0"/>
    <n v="0"/>
    <n v="0"/>
    <n v="0"/>
    <n v="0"/>
    <n v="0"/>
    <n v="0"/>
    <n v="0"/>
    <n v="0"/>
    <n v="0"/>
    <n v="0"/>
    <n v="0"/>
    <n v="0"/>
    <n v="0"/>
    <n v="0"/>
    <n v="0"/>
    <n v="0"/>
    <n v="0"/>
    <n v="0"/>
    <n v="0"/>
    <n v="0"/>
    <s v="West"/>
    <x v="0"/>
    <x v="0"/>
    <x v="1"/>
    <x v="0"/>
    <x v="0"/>
    <x v="0"/>
    <m/>
    <x v="0"/>
    <s v="Y"/>
    <n v="4"/>
    <m/>
    <n v="0"/>
    <n v="0"/>
    <n v="0"/>
    <n v="0"/>
    <n v="0"/>
    <n v="0"/>
    <n v="0"/>
    <n v="0"/>
    <n v="0"/>
    <n v="0"/>
    <n v="0"/>
    <n v="0"/>
    <n v="0"/>
    <n v="0"/>
    <n v="0"/>
    <n v="0"/>
    <n v="0"/>
    <n v="0"/>
    <n v="0"/>
    <n v="0"/>
    <n v="0"/>
    <n v="0"/>
    <n v="0"/>
  </r>
  <r>
    <n v="6221"/>
    <x v="1"/>
    <s v="2016/1393"/>
    <m/>
    <s v="67-85, Aslett Street"/>
    <m/>
    <n v="526099"/>
    <n v="173957"/>
    <x v="17"/>
    <m/>
    <m/>
    <n v="24"/>
    <n v="24"/>
    <n v="0"/>
    <n v="31"/>
    <n v="7"/>
    <s v="Y"/>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s v="PF"/>
    <d v="2016-04-07T00:00:00"/>
    <d v="2016-11-17T00:00:00"/>
    <x v="0"/>
    <s v="Nil"/>
    <m/>
    <s v="BF"/>
    <x v="4"/>
    <x v="0"/>
    <x v="2"/>
    <n v="9.2000000178813907E-2"/>
    <m/>
    <x v="0"/>
    <m/>
    <x v="0"/>
    <s v="P"/>
    <m/>
    <m/>
    <n v="0"/>
    <m/>
    <n v="0"/>
    <m/>
    <n v="4"/>
    <n v="-4"/>
    <n v="0"/>
    <n v="0"/>
    <n v="0"/>
    <n v="0"/>
    <n v="0"/>
    <n v="4"/>
    <n v="-4"/>
    <n v="0"/>
    <n v="0"/>
    <n v="0"/>
    <n v="0"/>
    <n v="0"/>
    <n v="0"/>
    <n v="0"/>
    <n v="0"/>
    <n v="0"/>
    <n v="0"/>
    <n v="0"/>
    <n v="0"/>
    <n v="0"/>
    <n v="0"/>
    <n v="0"/>
    <n v="0"/>
    <n v="0"/>
    <n v="0"/>
    <n v="0"/>
    <s v="West"/>
    <x v="0"/>
    <x v="0"/>
    <x v="1"/>
    <x v="0"/>
    <x v="0"/>
    <x v="0"/>
    <m/>
    <x v="0"/>
    <s v="Y"/>
    <s v="5A"/>
    <m/>
    <n v="0"/>
    <n v="0"/>
    <n v="0"/>
    <n v="0"/>
    <n v="0"/>
    <n v="0"/>
    <n v="0"/>
    <n v="0"/>
    <n v="0"/>
    <n v="0"/>
    <n v="0"/>
    <n v="0"/>
    <n v="0"/>
    <n v="0"/>
    <n v="0"/>
    <n v="0"/>
    <n v="0"/>
    <n v="0"/>
    <n v="0"/>
    <n v="0"/>
    <n v="0"/>
    <n v="0"/>
    <n v="0"/>
  </r>
  <r>
    <n v="6221"/>
    <x v="1"/>
    <s v="2016/1393"/>
    <m/>
    <s v="67-85, Aslett Street"/>
    <m/>
    <n v="526099"/>
    <n v="173957"/>
    <x v="17"/>
    <m/>
    <m/>
    <n v="0"/>
    <n v="7"/>
    <n v="7"/>
    <n v="31"/>
    <n v="7"/>
    <s v="Y"/>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s v="PF"/>
    <d v="2016-04-07T00:00:00"/>
    <d v="2016-11-17T00:00:00"/>
    <x v="0"/>
    <s v="Nil"/>
    <m/>
    <s v="BF"/>
    <x v="4"/>
    <x v="0"/>
    <x v="0"/>
    <n v="5.2000001072883599E-2"/>
    <m/>
    <x v="0"/>
    <m/>
    <x v="0"/>
    <s v="P"/>
    <m/>
    <m/>
    <n v="0"/>
    <m/>
    <n v="0"/>
    <m/>
    <n v="0"/>
    <n v="0"/>
    <n v="7"/>
    <n v="0"/>
    <n v="0"/>
    <n v="0"/>
    <n v="0"/>
    <n v="0"/>
    <n v="0"/>
    <n v="7"/>
    <n v="0"/>
    <n v="0"/>
    <n v="0"/>
    <n v="0"/>
    <n v="0"/>
    <n v="0"/>
    <n v="0"/>
    <n v="0"/>
    <n v="0"/>
    <n v="0"/>
    <n v="0"/>
    <n v="0"/>
    <n v="0"/>
    <n v="0"/>
    <n v="0"/>
    <n v="0"/>
    <n v="0"/>
    <n v="0"/>
    <s v="West"/>
    <x v="0"/>
    <x v="0"/>
    <x v="1"/>
    <x v="0"/>
    <x v="0"/>
    <x v="0"/>
    <m/>
    <x v="0"/>
    <s v="Y"/>
    <s v="5A"/>
    <m/>
    <n v="0"/>
    <n v="0"/>
    <n v="0"/>
    <n v="0"/>
    <n v="0"/>
    <n v="0"/>
    <n v="2.3333333333333335"/>
    <n v="2.3333333333333335"/>
    <n v="2.3333333333333335"/>
    <n v="0"/>
    <n v="0"/>
    <n v="0"/>
    <n v="0"/>
    <n v="0"/>
    <n v="0"/>
    <n v="0"/>
    <n v="0"/>
    <n v="0"/>
    <n v="0"/>
    <n v="0"/>
    <n v="0"/>
    <n v="0"/>
    <n v="7"/>
  </r>
  <r>
    <n v="6223"/>
    <x v="1"/>
    <s v="2016/4839"/>
    <s v="Ransomes Dock Business Centre"/>
    <s v="Units 5, 6 and 14 Ransomes Dock Business Centre, 35-37 Parkgate Road"/>
    <m/>
    <n v="527302"/>
    <n v="177164"/>
    <x v="1"/>
    <m/>
    <m/>
    <n v="0"/>
    <n v="4"/>
    <n v="4"/>
    <n v="4"/>
    <n v="4"/>
    <m/>
    <s v="Determination as to whether prior approval is required for change of use of office  from (Class B1a) to 2 x 2-bedroom and 2 x 1-bedroom residential units (Class C3)."/>
    <s v="PANR"/>
    <d v="2016-08-18T00:00:00"/>
    <d v="2016-10-13T00:00:00"/>
    <x v="0"/>
    <s v="Nil"/>
    <m/>
    <s v="BF"/>
    <x v="3"/>
    <x v="0"/>
    <x v="9"/>
    <n v="2.19999998807907E-2"/>
    <m/>
    <x v="0"/>
    <m/>
    <x v="0"/>
    <s v="P"/>
    <m/>
    <m/>
    <n v="0"/>
    <m/>
    <n v="0"/>
    <m/>
    <n v="0"/>
    <n v="2"/>
    <n v="2"/>
    <n v="0"/>
    <n v="0"/>
    <n v="0"/>
    <n v="0"/>
    <n v="0"/>
    <n v="2"/>
    <n v="2"/>
    <n v="0"/>
    <n v="0"/>
    <n v="0"/>
    <n v="0"/>
    <n v="0"/>
    <n v="0"/>
    <n v="0"/>
    <n v="0"/>
    <n v="0"/>
    <n v="0"/>
    <n v="0"/>
    <n v="0"/>
    <n v="0"/>
    <n v="0"/>
    <n v="0"/>
    <n v="0"/>
    <n v="0"/>
    <n v="0"/>
    <s v="East"/>
    <x v="0"/>
    <x v="0"/>
    <x v="1"/>
    <x v="0"/>
    <x v="0"/>
    <x v="0"/>
    <s v="Y"/>
    <x v="0"/>
    <s v="Y"/>
    <s v="9C"/>
    <m/>
    <n v="0"/>
    <n v="1"/>
    <n v="1"/>
    <n v="1"/>
    <n v="1"/>
    <n v="0"/>
    <n v="0"/>
    <n v="0"/>
    <n v="0"/>
    <n v="0"/>
    <n v="0"/>
    <n v="0"/>
    <n v="0"/>
    <n v="0"/>
    <n v="0"/>
    <n v="0"/>
    <n v="0"/>
    <n v="0"/>
    <n v="0"/>
    <n v="0"/>
    <n v="0"/>
    <n v="4"/>
    <n v="4"/>
  </r>
  <r>
    <n v="6225"/>
    <x v="1"/>
    <s v="2016/2294"/>
    <m/>
    <s v="15 West Hill"/>
    <m/>
    <n v="525212"/>
    <n v="174623"/>
    <x v="16"/>
    <m/>
    <m/>
    <n v="0"/>
    <n v="3"/>
    <n v="3"/>
    <n v="3"/>
    <n v="3"/>
    <m/>
    <s v="Alterations including erection of part single, part two-storey rear/side extension; erection of roof extension (including balcony with safety railings) above two-storey back addition in connection with use of property as 1 x 3 bedroom, 2 x 1 bedroom flats."/>
    <s v="PF"/>
    <d v="2016-05-05T00:00:00"/>
    <d v="2016-09-28T00:00:00"/>
    <x v="0"/>
    <s v="Nil"/>
    <m/>
    <s v="BF"/>
    <x v="4"/>
    <x v="0"/>
    <x v="9"/>
    <n v="9.9999997764825804E-3"/>
    <m/>
    <x v="0"/>
    <m/>
    <x v="0"/>
    <s v="P"/>
    <m/>
    <m/>
    <n v="0"/>
    <m/>
    <n v="0"/>
    <m/>
    <n v="0"/>
    <n v="2"/>
    <n v="0"/>
    <n v="1"/>
    <n v="0"/>
    <n v="0"/>
    <n v="0"/>
    <n v="0"/>
    <n v="2"/>
    <n v="0"/>
    <n v="1"/>
    <n v="0"/>
    <n v="0"/>
    <n v="0"/>
    <n v="0"/>
    <n v="0"/>
    <n v="0"/>
    <n v="0"/>
    <n v="0"/>
    <n v="0"/>
    <n v="0"/>
    <n v="0"/>
    <n v="0"/>
    <n v="0"/>
    <n v="0"/>
    <n v="0"/>
    <n v="0"/>
    <n v="0"/>
    <s v="West"/>
    <x v="0"/>
    <x v="0"/>
    <x v="1"/>
    <x v="0"/>
    <x v="0"/>
    <x v="0"/>
    <m/>
    <x v="0"/>
    <s v="Y"/>
    <s v="9A"/>
    <m/>
    <n v="0"/>
    <n v="0.75"/>
    <n v="0.75"/>
    <n v="0.75"/>
    <n v="0.75"/>
    <n v="0"/>
    <n v="0"/>
    <n v="0"/>
    <n v="0"/>
    <n v="0"/>
    <n v="0"/>
    <n v="0"/>
    <n v="0"/>
    <n v="0"/>
    <n v="0"/>
    <n v="0"/>
    <n v="0"/>
    <n v="0"/>
    <n v="0"/>
    <n v="0"/>
    <n v="0"/>
    <n v="3"/>
    <n v="3"/>
  </r>
  <r>
    <n v="6227"/>
    <x v="1"/>
    <s v="2016/5649"/>
    <m/>
    <s v="Garage south of, 99 Ellerton Road"/>
    <m/>
    <n v="526996"/>
    <n v="172953"/>
    <x v="17"/>
    <m/>
    <m/>
    <n v="0"/>
    <n v="1"/>
    <n v="1"/>
    <n v="1"/>
    <n v="1"/>
    <m/>
    <s v="Alterations including demolition of existing garage and erection of a single storey (plus basement) 3-bedroom detached house including erection of boundary walls, formation of a front hardstanding area and associated landscaping."/>
    <s v="PF"/>
    <d v="2016-09-27T00:00:00"/>
    <d v="2017-01-18T00:00:00"/>
    <x v="0"/>
    <s v="Nil"/>
    <m/>
    <s v="BF"/>
    <x v="0"/>
    <x v="0"/>
    <x v="0"/>
    <n v="8.9999996125698107E-3"/>
    <m/>
    <x v="0"/>
    <m/>
    <x v="0"/>
    <s v="P"/>
    <m/>
    <m/>
    <n v="1"/>
    <m/>
    <n v="0"/>
    <m/>
    <n v="0"/>
    <n v="0"/>
    <n v="0"/>
    <n v="1"/>
    <n v="0"/>
    <n v="0"/>
    <n v="0"/>
    <n v="0"/>
    <n v="0"/>
    <n v="0"/>
    <n v="0"/>
    <n v="0"/>
    <n v="0"/>
    <n v="0"/>
    <n v="0"/>
    <n v="0"/>
    <n v="0"/>
    <n v="1"/>
    <n v="0"/>
    <n v="0"/>
    <n v="0"/>
    <n v="0"/>
    <n v="0"/>
    <n v="0"/>
    <n v="0"/>
    <n v="0"/>
    <n v="0"/>
    <n v="0"/>
    <s v="West"/>
    <x v="0"/>
    <x v="0"/>
    <x v="1"/>
    <x v="0"/>
    <x v="0"/>
    <x v="0"/>
    <m/>
    <x v="0"/>
    <s v="Y"/>
    <n v="4"/>
    <m/>
    <n v="0"/>
    <n v="0"/>
    <n v="0.25"/>
    <n v="0.25"/>
    <n v="0.25"/>
    <n v="0.25"/>
    <n v="0"/>
    <n v="0"/>
    <n v="0"/>
    <n v="0"/>
    <n v="0"/>
    <n v="0"/>
    <n v="0"/>
    <n v="0"/>
    <n v="0"/>
    <n v="0"/>
    <n v="0"/>
    <n v="0"/>
    <n v="0"/>
    <n v="0"/>
    <n v="0"/>
    <n v="1"/>
    <n v="1"/>
  </r>
  <r>
    <n v="6231"/>
    <x v="1"/>
    <s v="2016/2605"/>
    <m/>
    <s v="52 Oakmead Road"/>
    <m/>
    <n v="528546"/>
    <n v="173121"/>
    <x v="11"/>
    <m/>
    <m/>
    <n v="0"/>
    <n v="1"/>
    <n v="1"/>
    <n v="1"/>
    <n v="1"/>
    <m/>
    <s v="Alterations in connection with the creation of a 1x1-bedroom flat including erection of mansard roof extension to main rear roof including extension above part of two-storey back addition; formation of roof terrace above two-storey back addition with screen surround. Insertion of rooflights to front roofslope.  Provision of refuse store and cycle parking to front garden."/>
    <s v="PF"/>
    <d v="2016-05-11T00:00:00"/>
    <d v="2016-07-06T00:00:00"/>
    <x v="0"/>
    <s v="Nil"/>
    <m/>
    <s v="BF"/>
    <x v="0"/>
    <x v="0"/>
    <x v="0"/>
    <n v="4.9999998882412902E-3"/>
    <m/>
    <x v="0"/>
    <m/>
    <x v="0"/>
    <s v="P"/>
    <m/>
    <m/>
    <n v="0"/>
    <m/>
    <n v="0"/>
    <m/>
    <n v="0"/>
    <n v="1"/>
    <n v="0"/>
    <n v="0"/>
    <n v="0"/>
    <n v="0"/>
    <n v="0"/>
    <n v="0"/>
    <n v="1"/>
    <n v="0"/>
    <n v="0"/>
    <n v="0"/>
    <n v="0"/>
    <n v="0"/>
    <n v="0"/>
    <n v="0"/>
    <n v="0"/>
    <n v="0"/>
    <n v="0"/>
    <n v="0"/>
    <n v="0"/>
    <n v="0"/>
    <n v="0"/>
    <n v="0"/>
    <n v="0"/>
    <n v="0"/>
    <n v="0"/>
    <n v="0"/>
    <s v="East"/>
    <x v="0"/>
    <x v="0"/>
    <x v="1"/>
    <x v="0"/>
    <x v="0"/>
    <x v="0"/>
    <m/>
    <x v="0"/>
    <s v="Y"/>
    <n v="4"/>
    <m/>
    <n v="0"/>
    <n v="0"/>
    <n v="0.25"/>
    <n v="0.25"/>
    <n v="0.25"/>
    <n v="0.25"/>
    <n v="0"/>
    <n v="0"/>
    <n v="0"/>
    <n v="0"/>
    <n v="0"/>
    <n v="0"/>
    <n v="0"/>
    <n v="0"/>
    <n v="0"/>
    <n v="0"/>
    <n v="0"/>
    <n v="0"/>
    <n v="0"/>
    <n v="0"/>
    <n v="0"/>
    <n v="1"/>
    <n v="1"/>
  </r>
  <r>
    <n v="6236"/>
    <x v="1"/>
    <s v="2016/2696"/>
    <m/>
    <s v="Keswick Heights 28, 28 Keswick Road"/>
    <m/>
    <n v="524331"/>
    <n v="174652"/>
    <x v="16"/>
    <m/>
    <m/>
    <n v="0"/>
    <n v="4"/>
    <n v="4"/>
    <n v="4"/>
    <n v="4"/>
    <m/>
    <s v="Erection of additional floor of accommodation to provide 3 x 1-bedroom and 1 x 2-bedroom flats with roof terrace and associated safety screening."/>
    <s v="PF"/>
    <d v="2016-05-23T00:00:00"/>
    <d v="2016-09-15T00:00:00"/>
    <x v="0"/>
    <s v="Nil"/>
    <m/>
    <s v="BF"/>
    <x v="0"/>
    <x v="0"/>
    <x v="0"/>
    <n v="2.60000005364418E-2"/>
    <m/>
    <x v="0"/>
    <m/>
    <x v="0"/>
    <s v="P"/>
    <m/>
    <m/>
    <n v="0"/>
    <m/>
    <n v="0"/>
    <m/>
    <n v="0"/>
    <n v="3"/>
    <n v="1"/>
    <n v="0"/>
    <n v="0"/>
    <n v="0"/>
    <n v="0"/>
    <n v="0"/>
    <n v="3"/>
    <n v="1"/>
    <n v="0"/>
    <n v="0"/>
    <n v="0"/>
    <n v="0"/>
    <n v="0"/>
    <n v="0"/>
    <n v="0"/>
    <n v="0"/>
    <n v="0"/>
    <n v="0"/>
    <n v="0"/>
    <n v="0"/>
    <n v="0"/>
    <n v="0"/>
    <n v="0"/>
    <n v="0"/>
    <n v="0"/>
    <n v="0"/>
    <s v="West"/>
    <x v="0"/>
    <x v="0"/>
    <x v="1"/>
    <x v="0"/>
    <x v="0"/>
    <x v="0"/>
    <m/>
    <x v="0"/>
    <s v="Y"/>
    <n v="4"/>
    <m/>
    <n v="0"/>
    <n v="0"/>
    <n v="1"/>
    <n v="1"/>
    <n v="1"/>
    <n v="1"/>
    <n v="0"/>
    <n v="0"/>
    <n v="0"/>
    <n v="0"/>
    <n v="0"/>
    <n v="0"/>
    <n v="0"/>
    <n v="0"/>
    <n v="0"/>
    <n v="0"/>
    <n v="0"/>
    <n v="0"/>
    <n v="0"/>
    <n v="0"/>
    <n v="0"/>
    <n v="4"/>
    <n v="4"/>
  </r>
  <r>
    <n v="6237"/>
    <x v="1"/>
    <s v="2016/2670"/>
    <m/>
    <s v="Rear of 67, 67 Webbs Road"/>
    <m/>
    <n v="527817"/>
    <n v="174580"/>
    <x v="14"/>
    <m/>
    <m/>
    <n v="0"/>
    <n v="1"/>
    <n v="1"/>
    <n v="1"/>
    <n v="1"/>
    <m/>
    <s v="Determination as to whether prior approval is required for change of use from office (Class B1a) to one residential unit (Class C3)."/>
    <s v="PANR"/>
    <d v="2016-05-16T00:00:00"/>
    <d v="2016-07-11T00:00:00"/>
    <x v="0"/>
    <s v="Nil"/>
    <m/>
    <s v="BF"/>
    <x v="3"/>
    <x v="0"/>
    <x v="9"/>
    <n v="9.9999997764825804E-3"/>
    <m/>
    <x v="0"/>
    <m/>
    <x v="0"/>
    <s v="P"/>
    <m/>
    <m/>
    <n v="0"/>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251"/>
    <x v="1"/>
    <s v="2016/1240"/>
    <m/>
    <s v="13 Granard Avenue"/>
    <m/>
    <n v="522836"/>
    <n v="174659"/>
    <x v="7"/>
    <m/>
    <m/>
    <n v="1"/>
    <n v="1"/>
    <n v="0"/>
    <n v="1"/>
    <n v="0"/>
    <m/>
    <s v="Demolition of existing building and erection of a three-storey (plus basement level) 6-bedroom detached house with front and rear first and second level terraces and associated landscaping. Rebuilding part of front boundary wall including new pedestrian access and associated landscaping."/>
    <s v="PF"/>
    <d v="2016-05-16T00:00:00"/>
    <d v="2016-07-11T00:00:00"/>
    <x v="0"/>
    <s v="Nil"/>
    <m/>
    <s v="BF"/>
    <x v="0"/>
    <x v="0"/>
    <x v="0"/>
    <n v="5.0999999046325697E-2"/>
    <m/>
    <x v="0"/>
    <m/>
    <x v="0"/>
    <s v="P"/>
    <m/>
    <m/>
    <n v="0"/>
    <m/>
    <n v="1"/>
    <m/>
    <n v="0"/>
    <n v="0"/>
    <n v="0"/>
    <n v="-1"/>
    <n v="0"/>
    <n v="1"/>
    <n v="0"/>
    <n v="0"/>
    <n v="0"/>
    <n v="0"/>
    <n v="0"/>
    <n v="0"/>
    <n v="0"/>
    <n v="0"/>
    <n v="0"/>
    <n v="0"/>
    <n v="0"/>
    <n v="-1"/>
    <n v="0"/>
    <n v="1"/>
    <n v="0"/>
    <n v="0"/>
    <n v="0"/>
    <n v="0"/>
    <n v="0"/>
    <n v="0"/>
    <n v="0"/>
    <n v="0"/>
    <s v="West"/>
    <x v="0"/>
    <x v="0"/>
    <x v="1"/>
    <x v="0"/>
    <x v="0"/>
    <x v="0"/>
    <m/>
    <x v="0"/>
    <s v="Y"/>
    <n v="4"/>
    <m/>
    <n v="0"/>
    <n v="0"/>
    <n v="0"/>
    <n v="0"/>
    <n v="0"/>
    <n v="0"/>
    <n v="0"/>
    <n v="0"/>
    <n v="0"/>
    <n v="0"/>
    <n v="0"/>
    <n v="0"/>
    <n v="0"/>
    <n v="0"/>
    <n v="0"/>
    <n v="0"/>
    <n v="0"/>
    <n v="0"/>
    <n v="0"/>
    <n v="0"/>
    <n v="0"/>
    <n v="0"/>
    <n v="0"/>
  </r>
  <r>
    <n v="6256"/>
    <x v="1"/>
    <s v="2016/2773"/>
    <m/>
    <s v="339 Battersea Park Road"/>
    <m/>
    <n v="528092"/>
    <n v="176612"/>
    <x v="2"/>
    <m/>
    <m/>
    <n v="0"/>
    <n v="3"/>
    <n v="3"/>
    <n v="5"/>
    <n v="5"/>
    <m/>
    <s v="Change of use of first floor of public house (Class Use A4) to 1 x 1-bedroom self-contained studio flat and 1 x 1-bedroom self-contained flat (Use Class C3).  Demolition of rear ground and first floor addition, excavation to enlarge existing basement, and alterations to public house including creation of first floor balcony to rear. Reprovision of beer garden.  Erection of 3-storey (plus basement) building at rear to provide 3 x 2-bedroom flats with balconies and privacy screens at first and second floor levels with associated landscaping, cycle and refuse storage."/>
    <s v="PF"/>
    <d v="2016-05-25T00:00:00"/>
    <d v="2016-08-23T00:00:00"/>
    <x v="0"/>
    <s v="Nil"/>
    <m/>
    <s v="BF"/>
    <x v="4"/>
    <x v="0"/>
    <x v="0"/>
    <n v="1.2000000104308101E-2"/>
    <m/>
    <x v="0"/>
    <m/>
    <x v="0"/>
    <s v="P"/>
    <m/>
    <m/>
    <n v="3"/>
    <m/>
    <n v="0"/>
    <m/>
    <n v="0"/>
    <n v="0"/>
    <n v="3"/>
    <n v="0"/>
    <n v="0"/>
    <n v="0"/>
    <n v="0"/>
    <n v="0"/>
    <n v="0"/>
    <n v="3"/>
    <n v="0"/>
    <n v="0"/>
    <n v="0"/>
    <n v="0"/>
    <n v="0"/>
    <n v="0"/>
    <n v="0"/>
    <n v="0"/>
    <n v="0"/>
    <n v="0"/>
    <n v="0"/>
    <n v="0"/>
    <n v="0"/>
    <n v="0"/>
    <n v="0"/>
    <n v="0"/>
    <n v="0"/>
    <n v="0"/>
    <s v="East"/>
    <x v="0"/>
    <x v="0"/>
    <x v="1"/>
    <x v="0"/>
    <x v="0"/>
    <x v="0"/>
    <m/>
    <x v="0"/>
    <s v="Y"/>
    <s v="9A"/>
    <m/>
    <n v="0"/>
    <n v="0.75"/>
    <n v="0.75"/>
    <n v="0.75"/>
    <n v="0.75"/>
    <n v="0"/>
    <n v="0"/>
    <n v="0"/>
    <n v="0"/>
    <n v="0"/>
    <n v="0"/>
    <n v="0"/>
    <n v="0"/>
    <n v="0"/>
    <n v="0"/>
    <n v="0"/>
    <n v="0"/>
    <n v="0"/>
    <n v="0"/>
    <n v="0"/>
    <n v="0"/>
    <n v="3"/>
    <n v="3"/>
  </r>
  <r>
    <n v="6256"/>
    <x v="1"/>
    <s v="2016/2773"/>
    <m/>
    <s v="339 Battersea Park Road"/>
    <m/>
    <n v="528092"/>
    <n v="176612"/>
    <x v="2"/>
    <m/>
    <m/>
    <n v="0"/>
    <n v="2"/>
    <n v="2"/>
    <n v="5"/>
    <n v="5"/>
    <m/>
    <s v="Change of use of first floor of public house (Class Use A4) to 1 x 1-bedroom self-contained studio flat and 1 x 1-bedroom self-contained flat (Use Class C3).  Demolition of rear ground and first floor addition, excavation to enlarge existing basement, and alterations to public house including creation of first floor balcony to rear. Reprovision of beer garden.  Erection of 3-storey (plus basement) building at rear to provide 3 x 2-bedroom flats with balconies and privacy screens at first and second floor levels with associated landscaping, cycle and refuse storage."/>
    <s v="PF"/>
    <d v="2016-05-25T00:00:00"/>
    <d v="2016-08-23T00:00:00"/>
    <x v="0"/>
    <s v="Nil"/>
    <m/>
    <s v="BF"/>
    <x v="4"/>
    <x v="0"/>
    <x v="5"/>
    <n v="1.09999999403954E-2"/>
    <m/>
    <x v="0"/>
    <m/>
    <x v="0"/>
    <s v="P"/>
    <m/>
    <m/>
    <n v="2"/>
    <m/>
    <n v="0"/>
    <m/>
    <n v="1"/>
    <n v="1"/>
    <n v="0"/>
    <n v="0"/>
    <n v="0"/>
    <n v="0"/>
    <n v="0"/>
    <n v="1"/>
    <n v="1"/>
    <n v="0"/>
    <n v="0"/>
    <n v="0"/>
    <n v="0"/>
    <n v="0"/>
    <n v="0"/>
    <n v="0"/>
    <n v="0"/>
    <n v="0"/>
    <n v="0"/>
    <n v="0"/>
    <n v="0"/>
    <n v="0"/>
    <n v="0"/>
    <n v="0"/>
    <n v="0"/>
    <n v="0"/>
    <n v="0"/>
    <n v="0"/>
    <s v="East"/>
    <x v="0"/>
    <x v="0"/>
    <x v="1"/>
    <x v="0"/>
    <x v="0"/>
    <x v="0"/>
    <m/>
    <x v="0"/>
    <s v="Y"/>
    <s v="9A"/>
    <m/>
    <n v="0"/>
    <n v="0.5"/>
    <n v="0.5"/>
    <n v="0.5"/>
    <n v="0.5"/>
    <n v="0"/>
    <n v="0"/>
    <n v="0"/>
    <n v="0"/>
    <n v="0"/>
    <n v="0"/>
    <n v="0"/>
    <n v="0"/>
    <n v="0"/>
    <n v="0"/>
    <n v="0"/>
    <n v="0"/>
    <n v="0"/>
    <n v="0"/>
    <n v="0"/>
    <n v="0"/>
    <n v="2"/>
    <n v="2"/>
  </r>
  <r>
    <n v="6256"/>
    <x v="1"/>
    <s v="2017/0240"/>
    <m/>
    <s v="339 Battersea Park Road"/>
    <m/>
    <n v="528092"/>
    <n v="176612"/>
    <x v="2"/>
    <m/>
    <m/>
    <n v="0"/>
    <n v="3"/>
    <n v="3"/>
    <n v="3"/>
    <n v="3"/>
    <m/>
    <s v="Demolition of two storey back addition and alterations to rear of public house, erection of 3 storey (plus basement) building at the rear to provide 3 x 2-bedroom and roof terrace (amendments to withdrawn application ref. 2016/6171 to reduce the height of the rear building by one storey and remove previously proposed flats at first floor level of public house)."/>
    <s v="PF"/>
    <d v="2017-01-17T00:00:00"/>
    <d v="2017-02-27T00:00:00"/>
    <x v="0"/>
    <s v="Nil"/>
    <m/>
    <s v="BF"/>
    <x v="0"/>
    <x v="0"/>
    <x v="0"/>
    <n v="1.4000000432133701E-2"/>
    <m/>
    <x v="0"/>
    <m/>
    <x v="0"/>
    <s v="P"/>
    <m/>
    <m/>
    <n v="0"/>
    <m/>
    <n v="0"/>
    <m/>
    <n v="0"/>
    <n v="0"/>
    <n v="3"/>
    <n v="0"/>
    <n v="0"/>
    <n v="0"/>
    <n v="0"/>
    <n v="0"/>
    <n v="0"/>
    <n v="3"/>
    <n v="0"/>
    <n v="0"/>
    <n v="0"/>
    <n v="0"/>
    <n v="0"/>
    <n v="0"/>
    <n v="0"/>
    <n v="0"/>
    <n v="0"/>
    <n v="0"/>
    <n v="0"/>
    <n v="0"/>
    <n v="0"/>
    <n v="0"/>
    <n v="0"/>
    <n v="0"/>
    <n v="0"/>
    <n v="0"/>
    <s v="East"/>
    <x v="0"/>
    <x v="0"/>
    <x v="1"/>
    <x v="0"/>
    <x v="0"/>
    <x v="0"/>
    <m/>
    <x v="0"/>
    <s v="Y"/>
    <n v="4"/>
    <m/>
    <n v="0"/>
    <n v="0"/>
    <n v="0.75"/>
    <n v="0.75"/>
    <n v="0.75"/>
    <n v="0.75"/>
    <n v="0"/>
    <n v="0"/>
    <n v="0"/>
    <n v="0"/>
    <n v="0"/>
    <n v="0"/>
    <n v="0"/>
    <n v="0"/>
    <n v="0"/>
    <n v="0"/>
    <n v="0"/>
    <n v="0"/>
    <n v="0"/>
    <n v="0"/>
    <n v="0"/>
    <n v="3"/>
    <n v="3"/>
  </r>
  <r>
    <n v="6259"/>
    <x v="1"/>
    <s v="2016/2922"/>
    <s v="Plantation Wharf"/>
    <s v="6 &amp; 7, Square Rigger Row"/>
    <m/>
    <n v="526526"/>
    <n v="175804"/>
    <x v="1"/>
    <m/>
    <m/>
    <n v="0"/>
    <n v="6"/>
    <n v="6"/>
    <n v="6"/>
    <n v="6"/>
    <m/>
    <s v="Determination as to whether prior approval is required for change of use from office (Class B1a) to 3 x 1-bedroom flats and 3 studio flats (Class C3) at ground, first and roof levels."/>
    <s v="PAG"/>
    <d v="2016-06-06T00:00:00"/>
    <d v="2016-08-01T00:00:00"/>
    <x v="0"/>
    <s v="Nil"/>
    <m/>
    <s v="BF"/>
    <x v="3"/>
    <x v="0"/>
    <x v="9"/>
    <n v="1.60000007599592E-2"/>
    <m/>
    <x v="0"/>
    <m/>
    <x v="0"/>
    <s v="P"/>
    <s v="10.15"/>
    <m/>
    <n v="0"/>
    <m/>
    <n v="0"/>
    <m/>
    <n v="3"/>
    <n v="3"/>
    <n v="0"/>
    <n v="0"/>
    <n v="0"/>
    <n v="0"/>
    <n v="0"/>
    <n v="3"/>
    <n v="3"/>
    <n v="0"/>
    <n v="0"/>
    <n v="0"/>
    <n v="0"/>
    <n v="0"/>
    <n v="0"/>
    <n v="0"/>
    <n v="0"/>
    <n v="0"/>
    <n v="0"/>
    <n v="0"/>
    <n v="0"/>
    <n v="0"/>
    <n v="0"/>
    <n v="0"/>
    <n v="0"/>
    <n v="0"/>
    <n v="0"/>
    <n v="0"/>
    <s v="East"/>
    <x v="0"/>
    <x v="0"/>
    <x v="1"/>
    <x v="0"/>
    <x v="0"/>
    <x v="0"/>
    <s v="Y"/>
    <x v="0"/>
    <s v="Y"/>
    <s v="9C"/>
    <m/>
    <n v="0"/>
    <n v="1.5"/>
    <n v="1.5"/>
    <n v="1.5"/>
    <n v="1.5"/>
    <n v="0"/>
    <n v="0"/>
    <n v="0"/>
    <n v="0"/>
    <n v="0"/>
    <n v="0"/>
    <n v="0"/>
    <n v="0"/>
    <n v="0"/>
    <n v="0"/>
    <n v="0"/>
    <n v="0"/>
    <n v="0"/>
    <n v="0"/>
    <n v="0"/>
    <n v="0"/>
    <n v="6"/>
    <n v="6"/>
  </r>
  <r>
    <n v="6262"/>
    <x v="1"/>
    <s v="2016/2029"/>
    <m/>
    <s v="92a, 92A Balham High road"/>
    <m/>
    <n v="528646"/>
    <n v="173547"/>
    <x v="9"/>
    <m/>
    <m/>
    <n v="0"/>
    <n v="0"/>
    <n v="0"/>
    <n v="0"/>
    <n v="0"/>
    <m/>
    <s v="Erection of four-storey building to align with Nos. 94-100 Balham High Road and erection of a two storey extension to existing building to create a 24 room hotel (Class C1) with a mixed café use (Class A3) at ground floor level, and associated cycle and refuse storage. The existing ground floor post office to be retained."/>
    <s v="PF"/>
    <d v="2016-06-08T00:00:00"/>
    <d v="2017-01-19T00:00:00"/>
    <x v="0"/>
    <s v="Nil"/>
    <m/>
    <s v="BF"/>
    <x v="4"/>
    <x v="0"/>
    <x v="1"/>
    <n v="0"/>
    <m/>
    <x v="0"/>
    <m/>
    <x v="0"/>
    <s v="P"/>
    <m/>
    <m/>
    <n v="0"/>
    <m/>
    <n v="0"/>
    <m/>
    <n v="0"/>
    <n v="0"/>
    <n v="0"/>
    <n v="0"/>
    <n v="0"/>
    <n v="0"/>
    <n v="0"/>
    <n v="0"/>
    <n v="0"/>
    <n v="0"/>
    <n v="0"/>
    <n v="0"/>
    <n v="0"/>
    <n v="0"/>
    <n v="0"/>
    <n v="0"/>
    <n v="0"/>
    <n v="0"/>
    <n v="0"/>
    <n v="0"/>
    <n v="0"/>
    <n v="0"/>
    <n v="0"/>
    <n v="0"/>
    <n v="0"/>
    <n v="0"/>
    <n v="0"/>
    <n v="0"/>
    <s v="East"/>
    <x v="2"/>
    <x v="0"/>
    <x v="1"/>
    <x v="0"/>
    <x v="0"/>
    <x v="0"/>
    <m/>
    <x v="0"/>
    <s v="Y"/>
    <s v="9A"/>
    <m/>
    <n v="0"/>
    <n v="0"/>
    <n v="0"/>
    <n v="0"/>
    <n v="0"/>
    <n v="0"/>
    <n v="0"/>
    <n v="0"/>
    <n v="0"/>
    <n v="0"/>
    <n v="0"/>
    <n v="0"/>
    <n v="0"/>
    <n v="0"/>
    <n v="0"/>
    <n v="0"/>
    <n v="0"/>
    <n v="0"/>
    <n v="0"/>
    <n v="0"/>
    <n v="0"/>
    <n v="0"/>
    <n v="0"/>
  </r>
  <r>
    <n v="6263"/>
    <x v="1"/>
    <s v="2016/2823"/>
    <m/>
    <s v="30 Harvard Mansions, St Johns Hill"/>
    <m/>
    <n v="526852"/>
    <n v="175075"/>
    <x v="0"/>
    <m/>
    <m/>
    <n v="1"/>
    <n v="2"/>
    <n v="1"/>
    <n v="2"/>
    <n v="1"/>
    <m/>
    <s v="Conversion of existing 4 x bed flat into 1 x 1-bedroom flat and 1 x studio flats."/>
    <s v="PF"/>
    <d v="2016-06-03T00:00:00"/>
    <d v="2016-07-28T00:00:00"/>
    <x v="0"/>
    <s v="Nil"/>
    <m/>
    <s v="BF"/>
    <x v="1"/>
    <x v="0"/>
    <x v="10"/>
    <n v="4.0000001899898104E-3"/>
    <m/>
    <x v="0"/>
    <m/>
    <x v="0"/>
    <s v="P"/>
    <m/>
    <m/>
    <n v="0"/>
    <m/>
    <n v="0"/>
    <m/>
    <n v="1"/>
    <n v="1"/>
    <n v="0"/>
    <n v="0"/>
    <n v="-1"/>
    <n v="0"/>
    <n v="0"/>
    <n v="1"/>
    <n v="1"/>
    <n v="0"/>
    <n v="0"/>
    <n v="-1"/>
    <n v="0"/>
    <n v="0"/>
    <n v="0"/>
    <n v="0"/>
    <n v="0"/>
    <n v="0"/>
    <n v="0"/>
    <n v="0"/>
    <n v="0"/>
    <n v="0"/>
    <n v="0"/>
    <n v="0"/>
    <n v="0"/>
    <n v="0"/>
    <n v="0"/>
    <n v="0"/>
    <s v="West"/>
    <x v="0"/>
    <x v="0"/>
    <x v="1"/>
    <x v="0"/>
    <x v="0"/>
    <x v="0"/>
    <m/>
    <x v="0"/>
    <s v="Y"/>
    <s v="9A"/>
    <m/>
    <n v="0"/>
    <n v="0.25"/>
    <n v="0.25"/>
    <n v="0.25"/>
    <n v="0.25"/>
    <n v="0"/>
    <n v="0"/>
    <n v="0"/>
    <n v="0"/>
    <n v="0"/>
    <n v="0"/>
    <n v="0"/>
    <n v="0"/>
    <n v="0"/>
    <n v="0"/>
    <n v="0"/>
    <n v="0"/>
    <n v="0"/>
    <n v="0"/>
    <n v="0"/>
    <n v="0"/>
    <n v="1"/>
    <n v="1"/>
  </r>
  <r>
    <n v="6272"/>
    <x v="1"/>
    <s v="2017/5515"/>
    <m/>
    <s v="2 Umbria Street"/>
    <m/>
    <n v="522345"/>
    <n v="174051"/>
    <x v="15"/>
    <m/>
    <m/>
    <n v="0"/>
    <n v="1"/>
    <n v="1"/>
    <n v="1"/>
    <n v="1"/>
    <m/>
    <s v="Alterations including partial demolition of outbuilding and erection of a single-storey extension plus basement in connection with use as a three bedroom house; associated landscaping, pedestrian gate to Nepean Street and cycle and refuse storage."/>
    <s v="PF"/>
    <d v="2017-10-05T00:00:00"/>
    <d v="2017-11-29T00:00:00"/>
    <x v="1"/>
    <s v="Nil"/>
    <m/>
    <s v="BF"/>
    <x v="4"/>
    <x v="0"/>
    <x v="11"/>
    <n v="4.6000000089407002E-2"/>
    <m/>
    <x v="0"/>
    <m/>
    <x v="0"/>
    <s v="P"/>
    <m/>
    <m/>
    <n v="0"/>
    <m/>
    <n v="0"/>
    <m/>
    <n v="0"/>
    <n v="0"/>
    <n v="0"/>
    <n v="1"/>
    <n v="0"/>
    <n v="0"/>
    <n v="0"/>
    <n v="0"/>
    <n v="0"/>
    <n v="0"/>
    <n v="0"/>
    <n v="0"/>
    <n v="0"/>
    <n v="0"/>
    <n v="0"/>
    <n v="0"/>
    <n v="0"/>
    <n v="1"/>
    <n v="0"/>
    <n v="0"/>
    <n v="0"/>
    <n v="0"/>
    <n v="0"/>
    <n v="0"/>
    <n v="0"/>
    <n v="0"/>
    <n v="0"/>
    <n v="0"/>
    <s v="West"/>
    <x v="0"/>
    <x v="0"/>
    <x v="1"/>
    <x v="0"/>
    <x v="0"/>
    <x v="0"/>
    <m/>
    <x v="0"/>
    <s v="Y"/>
    <n v="4"/>
    <m/>
    <n v="0"/>
    <n v="0"/>
    <n v="0.25"/>
    <n v="0.25"/>
    <n v="0.25"/>
    <n v="0.25"/>
    <n v="0"/>
    <n v="0"/>
    <n v="0"/>
    <n v="0"/>
    <n v="0"/>
    <n v="0"/>
    <n v="0"/>
    <n v="0"/>
    <n v="0"/>
    <n v="0"/>
    <n v="0"/>
    <n v="0"/>
    <n v="0"/>
    <n v="0"/>
    <n v="0"/>
    <n v="1"/>
    <n v="1"/>
  </r>
  <r>
    <n v="6273"/>
    <x v="1"/>
    <s v="2016/1631"/>
    <m/>
    <s v="162a, Mitcham road"/>
    <m/>
    <n v="527811"/>
    <n v="171019"/>
    <x v="8"/>
    <m/>
    <m/>
    <n v="0"/>
    <n v="1"/>
    <n v="1"/>
    <n v="2"/>
    <n v="1"/>
    <m/>
    <s v="Alterations including erection of new roof to front, side and rear including 3 dormer windows to create an additional storey with formation of rear roof terrace and safety railings to provide 1 x 2-bedroom flat.  Erection of two-storey rear/side extension (with the mansard roof extension above) to reprovide a maisonette, extend the first floor flat and provide refuse and cycle storage."/>
    <s v="PF"/>
    <d v="2016-04-14T00:00:00"/>
    <d v="2016-06-09T00:00:00"/>
    <x v="0"/>
    <s v="Nil"/>
    <m/>
    <s v="BF"/>
    <x v="4"/>
    <x v="0"/>
    <x v="0"/>
    <n v="6.0000000521540598E-3"/>
    <m/>
    <x v="0"/>
    <m/>
    <x v="0"/>
    <s v="P"/>
    <m/>
    <m/>
    <n v="1"/>
    <m/>
    <n v="0"/>
    <m/>
    <n v="0"/>
    <n v="0"/>
    <n v="1"/>
    <n v="0"/>
    <n v="0"/>
    <n v="0"/>
    <n v="0"/>
    <n v="0"/>
    <n v="0"/>
    <n v="1"/>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273"/>
    <x v="1"/>
    <s v="2016/1631"/>
    <m/>
    <s v="162a, Mitcham road"/>
    <m/>
    <n v="527811"/>
    <n v="171019"/>
    <x v="8"/>
    <m/>
    <m/>
    <n v="1"/>
    <n v="1"/>
    <n v="0"/>
    <n v="2"/>
    <n v="1"/>
    <m/>
    <s v="Alterations including erection of new roof to front, side and rear including 3 dormer windows to create an additional storey with formation of rear roof terrace and safety railings to provide 1 x 2-bedroom flat.  Erection of two-storey rear/side extension (with the mansard roof extension above) to reprovide a maisonette, extend the first floor flat and provide refuse and cycle storage."/>
    <s v="PF"/>
    <d v="2016-04-14T00:00:00"/>
    <d v="2016-06-09T00:00:00"/>
    <x v="0"/>
    <s v="Nil"/>
    <m/>
    <s v="BF"/>
    <x v="4"/>
    <x v="0"/>
    <x v="10"/>
    <n v="4.9999998882412902E-3"/>
    <m/>
    <x v="0"/>
    <m/>
    <x v="0"/>
    <s v="P"/>
    <m/>
    <m/>
    <n v="0"/>
    <m/>
    <n v="0"/>
    <m/>
    <n v="0"/>
    <n v="-1"/>
    <n v="1"/>
    <n v="0"/>
    <n v="0"/>
    <n v="0"/>
    <n v="0"/>
    <n v="0"/>
    <n v="-1"/>
    <n v="1"/>
    <n v="0"/>
    <n v="0"/>
    <n v="0"/>
    <n v="0"/>
    <n v="0"/>
    <n v="0"/>
    <n v="0"/>
    <n v="0"/>
    <n v="0"/>
    <n v="0"/>
    <n v="0"/>
    <n v="0"/>
    <n v="0"/>
    <n v="0"/>
    <n v="0"/>
    <n v="0"/>
    <n v="0"/>
    <n v="0"/>
    <s v="East"/>
    <x v="0"/>
    <x v="0"/>
    <x v="1"/>
    <x v="0"/>
    <x v="0"/>
    <x v="0"/>
    <m/>
    <x v="0"/>
    <s v="Y"/>
    <s v="9A"/>
    <m/>
    <n v="0"/>
    <n v="0"/>
    <n v="0"/>
    <n v="0"/>
    <n v="0"/>
    <n v="0"/>
    <n v="0"/>
    <n v="0"/>
    <n v="0"/>
    <n v="0"/>
    <n v="0"/>
    <n v="0"/>
    <n v="0"/>
    <n v="0"/>
    <n v="0"/>
    <n v="0"/>
    <n v="0"/>
    <n v="0"/>
    <n v="0"/>
    <n v="0"/>
    <n v="0"/>
    <n v="0"/>
    <n v="0"/>
  </r>
  <r>
    <n v="6276"/>
    <x v="1"/>
    <s v="2016/3275"/>
    <m/>
    <s v="Aminah Mansions 55F, Tooting High Street"/>
    <m/>
    <n v="527521"/>
    <n v="171508"/>
    <x v="8"/>
    <m/>
    <m/>
    <n v="0"/>
    <n v="2"/>
    <n v="2"/>
    <n v="2"/>
    <n v="2"/>
    <m/>
    <s v="Conversion of ground floor from the approved Class B1 use (artists studios) to 2 x 1-bedroom flats."/>
    <s v="PF"/>
    <d v="2016-06-21T00:00:00"/>
    <d v="2016-08-16T00:00:00"/>
    <x v="0"/>
    <s v="Nil"/>
    <m/>
    <s v="BF"/>
    <x v="3"/>
    <x v="0"/>
    <x v="9"/>
    <n v="1.60000007599592E-2"/>
    <m/>
    <x v="0"/>
    <m/>
    <x v="0"/>
    <s v="P"/>
    <s v="5.2"/>
    <m/>
    <n v="0"/>
    <m/>
    <n v="0"/>
    <m/>
    <n v="0"/>
    <n v="2"/>
    <n v="0"/>
    <n v="0"/>
    <n v="0"/>
    <n v="0"/>
    <n v="0"/>
    <n v="0"/>
    <n v="2"/>
    <n v="0"/>
    <n v="0"/>
    <n v="0"/>
    <n v="0"/>
    <n v="0"/>
    <n v="0"/>
    <n v="0"/>
    <n v="0"/>
    <n v="0"/>
    <n v="0"/>
    <n v="0"/>
    <n v="0"/>
    <n v="0"/>
    <n v="0"/>
    <n v="0"/>
    <n v="0"/>
    <n v="0"/>
    <n v="0"/>
    <n v="0"/>
    <s v="East"/>
    <x v="1"/>
    <x v="0"/>
    <x v="1"/>
    <x v="0"/>
    <x v="0"/>
    <x v="0"/>
    <m/>
    <x v="0"/>
    <s v="Y"/>
    <s v="9A"/>
    <m/>
    <n v="0"/>
    <n v="0.5"/>
    <n v="0.5"/>
    <n v="0.5"/>
    <n v="0.5"/>
    <n v="0"/>
    <n v="0"/>
    <n v="0"/>
    <n v="0"/>
    <n v="0"/>
    <n v="0"/>
    <n v="0"/>
    <n v="0"/>
    <n v="0"/>
    <n v="0"/>
    <n v="0"/>
    <n v="0"/>
    <n v="0"/>
    <n v="0"/>
    <n v="0"/>
    <n v="0"/>
    <n v="2"/>
    <n v="2"/>
  </r>
  <r>
    <n v="6279"/>
    <x v="1"/>
    <s v="2016/4830"/>
    <m/>
    <s v="6 Princes Way"/>
    <m/>
    <n v="523783"/>
    <n v="173677"/>
    <x v="19"/>
    <m/>
    <m/>
    <n v="0"/>
    <n v="1"/>
    <n v="1"/>
    <n v="1"/>
    <n v="1"/>
    <m/>
    <s v="Alterations including erection of side and rear roof extensions to main roof including raising the ridge by 0.6m. in connection with the use as 1 x 1-bedroom flat"/>
    <s v="PF"/>
    <d v="2016-10-03T00:00:00"/>
    <d v="2016-12-15T00:00:00"/>
    <x v="0"/>
    <s v="Nil"/>
    <m/>
    <s v="BF"/>
    <x v="2"/>
    <x v="0"/>
    <x v="3"/>
    <n v="7.0000002160668399E-3"/>
    <m/>
    <x v="0"/>
    <m/>
    <x v="0"/>
    <s v="P"/>
    <m/>
    <m/>
    <n v="0"/>
    <m/>
    <n v="0"/>
    <m/>
    <n v="0"/>
    <n v="1"/>
    <n v="0"/>
    <n v="0"/>
    <n v="0"/>
    <n v="0"/>
    <n v="0"/>
    <n v="0"/>
    <n v="1"/>
    <n v="0"/>
    <n v="0"/>
    <n v="0"/>
    <n v="0"/>
    <n v="0"/>
    <n v="0"/>
    <n v="0"/>
    <n v="0"/>
    <n v="0"/>
    <n v="0"/>
    <n v="0"/>
    <n v="0"/>
    <n v="0"/>
    <n v="0"/>
    <n v="0"/>
    <n v="0"/>
    <n v="0"/>
    <n v="0"/>
    <n v="0"/>
    <s v="West"/>
    <x v="0"/>
    <x v="0"/>
    <x v="1"/>
    <x v="0"/>
    <x v="0"/>
    <x v="0"/>
    <m/>
    <x v="0"/>
    <s v="Y"/>
    <s v="9A"/>
    <m/>
    <n v="0"/>
    <n v="0.25"/>
    <n v="0.25"/>
    <n v="0.25"/>
    <n v="0.25"/>
    <n v="0"/>
    <n v="0"/>
    <n v="0"/>
    <n v="0"/>
    <n v="0"/>
    <n v="0"/>
    <n v="0"/>
    <n v="0"/>
    <n v="0"/>
    <n v="0"/>
    <n v="0"/>
    <n v="0"/>
    <n v="0"/>
    <n v="0"/>
    <n v="0"/>
    <n v="0"/>
    <n v="1"/>
    <n v="1"/>
  </r>
  <r>
    <n v="6280"/>
    <x v="1"/>
    <s v="2016/1007"/>
    <m/>
    <s v="Belvedere Court 372-374, 372-374 Upper Richmond Road"/>
    <m/>
    <n v="523210"/>
    <n v="175380"/>
    <x v="7"/>
    <m/>
    <m/>
    <n v="0"/>
    <n v="9"/>
    <n v="9"/>
    <n v="9"/>
    <n v="9"/>
    <m/>
    <s v="Alterations including extension to main roof for the creation of 6 X 2 bedroom, 2 X 1 bedroom and 1 X 3 bedroom flats at 6th and 7th floor level. Formation of 15 roof terraces. Associated landscaping and refuse provision."/>
    <s v="PF"/>
    <d v="2016-09-07T00:00:00"/>
    <d v="2016-10-26T00:00:00"/>
    <x v="0"/>
    <s v="Nil"/>
    <m/>
    <s v="BF"/>
    <x v="0"/>
    <x v="0"/>
    <x v="0"/>
    <n v="6.4999997615814195E-2"/>
    <m/>
    <x v="0"/>
    <m/>
    <x v="0"/>
    <s v="P"/>
    <m/>
    <m/>
    <n v="9"/>
    <m/>
    <n v="1"/>
    <m/>
    <n v="0"/>
    <n v="2"/>
    <n v="6"/>
    <n v="1"/>
    <n v="0"/>
    <n v="0"/>
    <n v="0"/>
    <n v="0"/>
    <n v="2"/>
    <n v="6"/>
    <n v="1"/>
    <n v="0"/>
    <n v="0"/>
    <n v="0"/>
    <n v="0"/>
    <n v="0"/>
    <n v="0"/>
    <n v="0"/>
    <n v="0"/>
    <n v="0"/>
    <n v="0"/>
    <n v="0"/>
    <n v="0"/>
    <n v="0"/>
    <n v="0"/>
    <n v="0"/>
    <n v="0"/>
    <n v="0"/>
    <s v="West"/>
    <x v="0"/>
    <x v="0"/>
    <x v="1"/>
    <x v="0"/>
    <x v="0"/>
    <x v="0"/>
    <m/>
    <x v="0"/>
    <s v="Y"/>
    <s v="5B"/>
    <m/>
    <n v="0"/>
    <n v="0"/>
    <n v="0"/>
    <n v="0"/>
    <n v="3"/>
    <n v="3"/>
    <n v="3"/>
    <n v="0"/>
    <n v="0"/>
    <n v="0"/>
    <n v="0"/>
    <n v="0"/>
    <n v="0"/>
    <n v="0"/>
    <n v="0"/>
    <n v="0"/>
    <n v="0"/>
    <n v="0"/>
    <n v="0"/>
    <n v="0"/>
    <n v="0"/>
    <n v="6"/>
    <n v="9"/>
  </r>
  <r>
    <n v="6282"/>
    <x v="1"/>
    <s v="2017/0466"/>
    <m/>
    <s v="25 West Hill Road"/>
    <m/>
    <n v="524759"/>
    <n v="174251"/>
    <x v="16"/>
    <m/>
    <m/>
    <n v="1"/>
    <n v="4"/>
    <n v="3"/>
    <n v="4"/>
    <n v="3"/>
    <m/>
    <s v="Demolition of existing house and erection of 4 x three-storey (including basement) 5-bedroom houses (2 x detached and 2 x semi-detached) with associated landscaping and provision of 4 off-street parking spaces (Amendments to planning refusal 2016/2724)."/>
    <s v="PF"/>
    <d v="2017-03-02T00:00:00"/>
    <d v="2017-05-18T00:00:00"/>
    <x v="1"/>
    <s v="Nil"/>
    <m/>
    <s v="BF"/>
    <x v="0"/>
    <x v="0"/>
    <x v="0"/>
    <n v="0.193000003695488"/>
    <m/>
    <x v="0"/>
    <m/>
    <x v="0"/>
    <s v="P"/>
    <m/>
    <m/>
    <n v="0"/>
    <m/>
    <n v="0"/>
    <m/>
    <n v="0"/>
    <n v="0"/>
    <n v="0"/>
    <n v="0"/>
    <n v="0"/>
    <n v="3"/>
    <n v="0"/>
    <n v="0"/>
    <n v="0"/>
    <n v="0"/>
    <n v="0"/>
    <n v="0"/>
    <n v="0"/>
    <n v="0"/>
    <n v="0"/>
    <n v="0"/>
    <n v="0"/>
    <n v="0"/>
    <n v="0"/>
    <n v="3"/>
    <n v="0"/>
    <n v="0"/>
    <n v="0"/>
    <n v="0"/>
    <n v="0"/>
    <n v="0"/>
    <n v="0"/>
    <n v="0"/>
    <s v="West"/>
    <x v="0"/>
    <x v="0"/>
    <x v="1"/>
    <x v="0"/>
    <x v="0"/>
    <x v="0"/>
    <m/>
    <x v="0"/>
    <s v="Y"/>
    <n v="4"/>
    <m/>
    <n v="0"/>
    <n v="0"/>
    <n v="0.75"/>
    <n v="0.75"/>
    <n v="0.75"/>
    <n v="0.75"/>
    <n v="0"/>
    <n v="0"/>
    <n v="0"/>
    <n v="0"/>
    <n v="0"/>
    <n v="0"/>
    <n v="0"/>
    <n v="0"/>
    <n v="0"/>
    <n v="0"/>
    <n v="0"/>
    <n v="0"/>
    <n v="0"/>
    <n v="0"/>
    <n v="0"/>
    <n v="3"/>
    <n v="3"/>
  </r>
  <r>
    <n v="6284"/>
    <x v="1"/>
    <s v="2017/1458"/>
    <m/>
    <s v="1-9 Church row (part of Phase 3 Ram Brewery), Wandsworth Plain"/>
    <m/>
    <n v="525537"/>
    <n v="174739"/>
    <x v="0"/>
    <m/>
    <m/>
    <n v="0"/>
    <n v="34"/>
    <n v="34"/>
    <n v="50"/>
    <n v="50"/>
    <s v="Y"/>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d__x000a__x000d__x000a_For Listed Building Consent refer to planning application reference number: 2017/1847."/>
    <s v="PFLA"/>
    <d v="2017-03-10T00:00:00"/>
    <d v="2017-11-30T00:00:00"/>
    <x v="1"/>
    <s v="Nil"/>
    <m/>
    <s v="BF"/>
    <x v="4"/>
    <x v="1"/>
    <x v="1"/>
    <n v="0.17499999701976801"/>
    <m/>
    <x v="0"/>
    <m/>
    <x v="0"/>
    <s v="P"/>
    <s v="3.1.2"/>
    <m/>
    <n v="50"/>
    <n v="27"/>
    <n v="5"/>
    <n v="5"/>
    <n v="8"/>
    <n v="26"/>
    <n v="0"/>
    <n v="0"/>
    <n v="0"/>
    <n v="0"/>
    <n v="0"/>
    <n v="6"/>
    <n v="26"/>
    <n v="0"/>
    <n v="0"/>
    <n v="0"/>
    <n v="0"/>
    <n v="0"/>
    <n v="0"/>
    <n v="0"/>
    <n v="0"/>
    <n v="0"/>
    <n v="0"/>
    <n v="0"/>
    <n v="0"/>
    <n v="2"/>
    <n v="0"/>
    <n v="0"/>
    <n v="0"/>
    <n v="0"/>
    <n v="0"/>
    <n v="0"/>
    <s v="West"/>
    <x v="4"/>
    <x v="0"/>
    <x v="0"/>
    <x v="0"/>
    <x v="0"/>
    <x v="0"/>
    <m/>
    <x v="0"/>
    <s v="Y"/>
    <s v="5A"/>
    <m/>
    <n v="0"/>
    <n v="3.4"/>
    <n v="3.4"/>
    <n v="3.4"/>
    <n v="3.4"/>
    <n v="3.4"/>
    <n v="3.4"/>
    <n v="3.4"/>
    <n v="3.4"/>
    <n v="3.4"/>
    <n v="3.4"/>
    <n v="0"/>
    <n v="0"/>
    <n v="0"/>
    <n v="0"/>
    <n v="0"/>
    <n v="0"/>
    <n v="0"/>
    <n v="0"/>
    <n v="0"/>
    <n v="0"/>
    <n v="17"/>
    <n v="33.999999999999993"/>
  </r>
  <r>
    <n v="6284"/>
    <x v="1"/>
    <s v="2017/1458"/>
    <m/>
    <s v="1-9 Church row (part of Phase 3 Ram Brewery), Wandsworth Plain"/>
    <m/>
    <n v="525537"/>
    <n v="174739"/>
    <x v="0"/>
    <m/>
    <m/>
    <n v="0"/>
    <n v="16"/>
    <n v="16"/>
    <n v="50"/>
    <n v="50"/>
    <s v="Y"/>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d__x000a__x000d__x000a_For Listed Building Consent refer to planning application reference number: 2017/1847."/>
    <s v="PFLA"/>
    <d v="2017-03-10T00:00:00"/>
    <d v="2017-11-30T00:00:00"/>
    <x v="1"/>
    <s v="Nil"/>
    <m/>
    <s v="BF"/>
    <x v="4"/>
    <x v="5"/>
    <x v="1"/>
    <n v="8.2999996840953799E-2"/>
    <m/>
    <x v="0"/>
    <m/>
    <x v="0"/>
    <s v="P"/>
    <s v="3.1.2"/>
    <m/>
    <n v="0"/>
    <n v="16"/>
    <n v="0"/>
    <m/>
    <n v="0"/>
    <n v="0"/>
    <n v="12"/>
    <n v="4"/>
    <n v="0"/>
    <n v="0"/>
    <n v="0"/>
    <n v="0"/>
    <n v="0"/>
    <n v="12"/>
    <n v="3"/>
    <n v="0"/>
    <n v="0"/>
    <n v="0"/>
    <n v="0"/>
    <n v="0"/>
    <n v="0"/>
    <n v="1"/>
    <n v="0"/>
    <n v="0"/>
    <n v="0"/>
    <n v="0"/>
    <n v="0"/>
    <n v="0"/>
    <n v="0"/>
    <n v="0"/>
    <n v="0"/>
    <n v="0"/>
    <s v="West"/>
    <x v="4"/>
    <x v="0"/>
    <x v="0"/>
    <x v="0"/>
    <x v="0"/>
    <x v="0"/>
    <m/>
    <x v="0"/>
    <s v="Y"/>
    <s v="5A"/>
    <m/>
    <n v="0"/>
    <n v="1.6"/>
    <n v="1.6"/>
    <n v="1.6"/>
    <n v="1.6"/>
    <n v="1.6"/>
    <n v="1.6"/>
    <n v="1.6"/>
    <n v="1.6"/>
    <n v="1.6"/>
    <n v="1.6"/>
    <n v="0"/>
    <n v="0"/>
    <n v="0"/>
    <n v="0"/>
    <n v="0"/>
    <n v="0"/>
    <n v="0"/>
    <n v="0"/>
    <n v="0"/>
    <n v="0"/>
    <n v="8"/>
    <n v="15.999999999999998"/>
  </r>
  <r>
    <n v="6287"/>
    <x v="1"/>
    <s v="2016/3061"/>
    <m/>
    <s v="33-35 Ursula Street"/>
    <m/>
    <n v="527271"/>
    <n v="176566"/>
    <x v="1"/>
    <m/>
    <m/>
    <n v="1"/>
    <n v="1"/>
    <n v="0"/>
    <n v="1"/>
    <n v="0"/>
    <m/>
    <s v="Demolition of existing dwellinghouse (except for front facade and front sections of the side facades) and erection of a replacement house, including the erection of a rear dormer roof extension, increased height of the rear addition, a single storey side/rear extension and excavation to create a basement level accommodation with rear lightwell. Landscaping of rear garden level including lowering of ground levels."/>
    <s v="PF"/>
    <d v="2016-06-23T00:00:00"/>
    <d v="2016-12-19T00:00:00"/>
    <x v="0"/>
    <s v="Nil"/>
    <m/>
    <s v="BF"/>
    <x v="4"/>
    <x v="0"/>
    <x v="0"/>
    <n v="2.8000000864267301E-2"/>
    <m/>
    <x v="0"/>
    <m/>
    <x v="0"/>
    <s v="P"/>
    <m/>
    <m/>
    <n v="1"/>
    <m/>
    <n v="0"/>
    <m/>
    <n v="0"/>
    <n v="0"/>
    <n v="0"/>
    <n v="0"/>
    <n v="0"/>
    <n v="0"/>
    <n v="0"/>
    <n v="0"/>
    <n v="0"/>
    <n v="0"/>
    <n v="0"/>
    <n v="0"/>
    <n v="0"/>
    <n v="0"/>
    <n v="0"/>
    <n v="0"/>
    <n v="0"/>
    <n v="0"/>
    <n v="0"/>
    <n v="0"/>
    <n v="0"/>
    <n v="0"/>
    <n v="0"/>
    <n v="0"/>
    <n v="0"/>
    <n v="0"/>
    <n v="0"/>
    <n v="0"/>
    <s v="East"/>
    <x v="0"/>
    <x v="0"/>
    <x v="1"/>
    <x v="0"/>
    <x v="0"/>
    <x v="0"/>
    <m/>
    <x v="0"/>
    <s v="Y"/>
    <s v="9A"/>
    <m/>
    <n v="0"/>
    <n v="0"/>
    <n v="0"/>
    <n v="0"/>
    <n v="0"/>
    <n v="0"/>
    <n v="0"/>
    <n v="0"/>
    <n v="0"/>
    <n v="0"/>
    <n v="0"/>
    <n v="0"/>
    <n v="0"/>
    <n v="0"/>
    <n v="0"/>
    <n v="0"/>
    <n v="0"/>
    <n v="0"/>
    <n v="0"/>
    <n v="0"/>
    <n v="0"/>
    <n v="0"/>
    <n v="0"/>
  </r>
  <r>
    <n v="6291"/>
    <x v="1"/>
    <s v="2016/3628"/>
    <m/>
    <s v="Brathway Hall, Brathway Road"/>
    <m/>
    <n v="525235"/>
    <n v="173834"/>
    <x v="5"/>
    <m/>
    <m/>
    <n v="0"/>
    <n v="2"/>
    <n v="2"/>
    <n v="2"/>
    <n v="2"/>
    <m/>
    <s v="Demolition of existing building and erection of a three-storey building to provide church hall (Class D1) on the ground floor and 2 x 2-bedroom ancillary residential flats above including projecting balconies at rear of first and second floors."/>
    <s v="PF"/>
    <d v="2016-06-27T00:00:00"/>
    <d v="2016-08-22T00:00:00"/>
    <x v="0"/>
    <s v="Nil"/>
    <m/>
    <s v="BF"/>
    <x v="0"/>
    <x v="0"/>
    <x v="0"/>
    <n v="1.4000000432133701E-2"/>
    <m/>
    <x v="0"/>
    <m/>
    <x v="0"/>
    <s v="P"/>
    <m/>
    <m/>
    <n v="2"/>
    <m/>
    <n v="0"/>
    <m/>
    <n v="0"/>
    <n v="0"/>
    <n v="2"/>
    <n v="0"/>
    <n v="0"/>
    <n v="0"/>
    <n v="0"/>
    <n v="0"/>
    <n v="0"/>
    <n v="2"/>
    <n v="0"/>
    <n v="0"/>
    <n v="0"/>
    <n v="0"/>
    <n v="0"/>
    <n v="0"/>
    <n v="0"/>
    <n v="0"/>
    <n v="0"/>
    <n v="0"/>
    <n v="0"/>
    <n v="0"/>
    <n v="0"/>
    <n v="0"/>
    <n v="0"/>
    <n v="0"/>
    <n v="0"/>
    <n v="0"/>
    <s v="West"/>
    <x v="0"/>
    <x v="0"/>
    <x v="1"/>
    <x v="0"/>
    <x v="0"/>
    <x v="0"/>
    <m/>
    <x v="0"/>
    <s v="Y"/>
    <n v="4"/>
    <m/>
    <n v="0"/>
    <n v="0"/>
    <n v="0.5"/>
    <n v="0.5"/>
    <n v="0.5"/>
    <n v="0.5"/>
    <n v="0"/>
    <n v="0"/>
    <n v="0"/>
    <n v="0"/>
    <n v="0"/>
    <n v="0"/>
    <n v="0"/>
    <n v="0"/>
    <n v="0"/>
    <n v="0"/>
    <n v="0"/>
    <n v="0"/>
    <n v="0"/>
    <n v="0"/>
    <n v="0"/>
    <n v="2"/>
    <n v="2"/>
  </r>
  <r>
    <n v="6293"/>
    <x v="1"/>
    <s v="2016/3841"/>
    <m/>
    <s v="Ground Floor, 83 Mitcham Lane"/>
    <m/>
    <n v="529372"/>
    <n v="171169"/>
    <x v="12"/>
    <m/>
    <m/>
    <n v="0"/>
    <n v="1"/>
    <n v="1"/>
    <n v="1"/>
    <n v="1"/>
    <m/>
    <s v="Change of use of the front part of the ground floor from retail (Class A1) to financial and professional services (Class A2) and change of use of the rear part to residential (Class C3) to provide 1 x 1-bedroom flat."/>
    <s v="PF"/>
    <d v="2016-06-29T00:00:00"/>
    <d v="2016-08-24T00:00:00"/>
    <x v="0"/>
    <s v="Nil"/>
    <m/>
    <s v="BF"/>
    <x v="3"/>
    <x v="0"/>
    <x v="4"/>
    <n v="8.9999996125698107E-3"/>
    <m/>
    <x v="0"/>
    <m/>
    <x v="0"/>
    <s v="P"/>
    <m/>
    <m/>
    <n v="0"/>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303"/>
    <x v="1"/>
    <s v="2016/4081"/>
    <m/>
    <s v="Unit 5 Old School House, Bridge Lane"/>
    <m/>
    <n v="527362"/>
    <n v="176577"/>
    <x v="1"/>
    <m/>
    <m/>
    <n v="0"/>
    <n v="1"/>
    <n v="1"/>
    <n v="1"/>
    <n v="1"/>
    <m/>
    <s v="Determination as to whether prior approval is required for change of use of office   from (Class B1a) to residential (Class C3)"/>
    <s v="PAG"/>
    <d v="2016-07-11T00:00:00"/>
    <d v="2016-09-05T00:00:00"/>
    <x v="0"/>
    <s v="Nil"/>
    <m/>
    <s v="BF"/>
    <x v="3"/>
    <x v="0"/>
    <x v="9"/>
    <n v="6.0000000521540598E-3"/>
    <m/>
    <x v="0"/>
    <m/>
    <x v="0"/>
    <s v="P"/>
    <m/>
    <m/>
    <n v="0"/>
    <m/>
    <n v="0"/>
    <m/>
    <n v="0"/>
    <n v="1"/>
    <n v="0"/>
    <n v="0"/>
    <n v="0"/>
    <n v="0"/>
    <n v="0"/>
    <n v="0"/>
    <n v="0"/>
    <n v="0"/>
    <n v="0"/>
    <n v="0"/>
    <n v="0"/>
    <n v="0"/>
    <n v="0"/>
    <n v="1"/>
    <n v="0"/>
    <n v="0"/>
    <n v="0"/>
    <n v="0"/>
    <n v="0"/>
    <n v="0"/>
    <n v="0"/>
    <n v="0"/>
    <n v="0"/>
    <n v="0"/>
    <n v="0"/>
    <n v="0"/>
    <s v="East"/>
    <x v="0"/>
    <x v="0"/>
    <x v="1"/>
    <x v="0"/>
    <x v="0"/>
    <x v="0"/>
    <m/>
    <x v="0"/>
    <s v="Y"/>
    <s v="9A"/>
    <m/>
    <n v="0"/>
    <n v="0.25"/>
    <n v="0.25"/>
    <n v="0.25"/>
    <n v="0.25"/>
    <n v="0"/>
    <n v="0"/>
    <n v="0"/>
    <n v="0"/>
    <n v="0"/>
    <n v="0"/>
    <n v="0"/>
    <n v="0"/>
    <n v="0"/>
    <n v="0"/>
    <n v="0"/>
    <n v="0"/>
    <n v="0"/>
    <n v="0"/>
    <n v="0"/>
    <n v="0"/>
    <n v="1"/>
    <n v="1"/>
  </r>
  <r>
    <n v="6304"/>
    <x v="1"/>
    <s v="2016/3940"/>
    <m/>
    <s v="1 Groom Crescent"/>
    <m/>
    <n v="526579"/>
    <n v="173879"/>
    <x v="17"/>
    <m/>
    <m/>
    <n v="0"/>
    <n v="1"/>
    <n v="1"/>
    <n v="1"/>
    <n v="1"/>
    <m/>
    <s v="Demolition of existing garden shed and erection of a two-storey (plus accommodation at roof level)  house within side garden."/>
    <s v="RP"/>
    <d v="2016-07-18T00:00:00"/>
    <d v="2017-03-01T00:00:00"/>
    <x v="1"/>
    <s v="APG"/>
    <d v="2017-11-09T00:00:00"/>
    <s v="Gdn"/>
    <x v="0"/>
    <x v="0"/>
    <x v="0"/>
    <n v="1.7999999225139601E-2"/>
    <m/>
    <x v="0"/>
    <m/>
    <x v="0"/>
    <s v="P"/>
    <m/>
    <m/>
    <n v="1"/>
    <m/>
    <n v="0"/>
    <m/>
    <n v="0"/>
    <n v="0"/>
    <n v="0"/>
    <n v="0"/>
    <n v="0"/>
    <n v="1"/>
    <n v="0"/>
    <n v="0"/>
    <n v="0"/>
    <n v="0"/>
    <n v="0"/>
    <n v="0"/>
    <n v="0"/>
    <n v="0"/>
    <n v="0"/>
    <n v="0"/>
    <n v="0"/>
    <n v="0"/>
    <n v="0"/>
    <n v="1"/>
    <n v="0"/>
    <n v="0"/>
    <n v="0"/>
    <n v="0"/>
    <n v="0"/>
    <n v="0"/>
    <n v="0"/>
    <n v="0"/>
    <s v="West"/>
    <x v="0"/>
    <x v="0"/>
    <x v="1"/>
    <x v="0"/>
    <x v="0"/>
    <x v="0"/>
    <m/>
    <x v="0"/>
    <s v="Y"/>
    <n v="4"/>
    <m/>
    <n v="0"/>
    <n v="0"/>
    <n v="0.25"/>
    <n v="0.25"/>
    <n v="0.25"/>
    <n v="0.25"/>
    <n v="0"/>
    <n v="0"/>
    <n v="0"/>
    <n v="0"/>
    <n v="0"/>
    <n v="0"/>
    <n v="0"/>
    <n v="0"/>
    <n v="0"/>
    <n v="0"/>
    <n v="0"/>
    <n v="0"/>
    <n v="0"/>
    <n v="0"/>
    <n v="0"/>
    <n v="1"/>
    <n v="1"/>
  </r>
  <r>
    <n v="6305"/>
    <x v="1"/>
    <s v="2016/3307"/>
    <m/>
    <s v="29 Roehampton Lane"/>
    <m/>
    <n v="522122"/>
    <n v="175335"/>
    <x v="7"/>
    <m/>
    <m/>
    <n v="0"/>
    <n v="4"/>
    <n v="4"/>
    <n v="4"/>
    <n v="4"/>
    <m/>
    <s v="Alterations including erection of rear and side dormers (with French doors and safety railings to rear); installation of french doors and safety railings at rear of ground and first floors. excavation to create basement including formation of front and rear lightwells; formation of secure bin and cycle storage at rear; formation of front hardstanding area (with retention of existing front boundary wall) in connection with conversion of single dwellinghouse into 2 x 3-bedroom, 1 x 2-bedroom and 1 x 1-bedroom flats."/>
    <s v="PF"/>
    <d v="2016-07-05T00:00:00"/>
    <d v="2016-09-13T00:00:00"/>
    <x v="0"/>
    <s v="Nil"/>
    <m/>
    <s v="BF"/>
    <x v="4"/>
    <x v="0"/>
    <x v="8"/>
    <n v="4.39999997615814E-2"/>
    <m/>
    <x v="0"/>
    <m/>
    <x v="0"/>
    <s v="P"/>
    <m/>
    <m/>
    <n v="0"/>
    <m/>
    <n v="0"/>
    <m/>
    <n v="0"/>
    <n v="1"/>
    <n v="1"/>
    <n v="2"/>
    <n v="0"/>
    <n v="0"/>
    <n v="0"/>
    <n v="0"/>
    <n v="1"/>
    <n v="1"/>
    <n v="2"/>
    <n v="0"/>
    <n v="0"/>
    <n v="0"/>
    <n v="0"/>
    <n v="0"/>
    <n v="0"/>
    <n v="0"/>
    <n v="0"/>
    <n v="0"/>
    <n v="0"/>
    <n v="0"/>
    <n v="0"/>
    <n v="0"/>
    <n v="0"/>
    <n v="0"/>
    <n v="0"/>
    <n v="0"/>
    <s v="West"/>
    <x v="0"/>
    <x v="0"/>
    <x v="1"/>
    <x v="0"/>
    <x v="0"/>
    <x v="0"/>
    <m/>
    <x v="0"/>
    <s v="Y"/>
    <s v="9A"/>
    <m/>
    <n v="0"/>
    <n v="1"/>
    <n v="1"/>
    <n v="1"/>
    <n v="1"/>
    <n v="0"/>
    <n v="0"/>
    <n v="0"/>
    <n v="0"/>
    <n v="0"/>
    <n v="0"/>
    <n v="0"/>
    <n v="0"/>
    <n v="0"/>
    <n v="0"/>
    <n v="0"/>
    <n v="0"/>
    <n v="0"/>
    <n v="0"/>
    <n v="0"/>
    <n v="0"/>
    <n v="4"/>
    <n v="4"/>
  </r>
  <r>
    <n v="6315"/>
    <x v="1"/>
    <s v="2016/3656"/>
    <m/>
    <s v="Rear of 96-100  (garages at Holmbury Court), 96-100 Upper Tooting Road"/>
    <m/>
    <n v="527754"/>
    <n v="172112"/>
    <x v="4"/>
    <m/>
    <m/>
    <n v="0"/>
    <n v="1"/>
    <n v="1"/>
    <n v="1"/>
    <n v="1"/>
    <m/>
    <s v="Demolition of existing garage and erection of a two-storey building to provide 1 x 2-bedroom flat and bin store."/>
    <s v="PF"/>
    <d v="2016-07-15T00:00:00"/>
    <d v="2016-12-15T00:00:00"/>
    <x v="0"/>
    <s v="Nil"/>
    <m/>
    <s v="BF"/>
    <x v="0"/>
    <x v="0"/>
    <x v="0"/>
    <n v="8.0000003799796104E-3"/>
    <m/>
    <x v="0"/>
    <m/>
    <x v="0"/>
    <s v="P"/>
    <m/>
    <m/>
    <n v="0"/>
    <m/>
    <n v="0"/>
    <m/>
    <n v="0"/>
    <n v="0"/>
    <n v="1"/>
    <n v="0"/>
    <n v="0"/>
    <n v="0"/>
    <n v="0"/>
    <n v="0"/>
    <n v="0"/>
    <n v="1"/>
    <n v="0"/>
    <n v="0"/>
    <n v="0"/>
    <n v="0"/>
    <n v="0"/>
    <n v="0"/>
    <n v="0"/>
    <n v="0"/>
    <n v="0"/>
    <n v="0"/>
    <n v="0"/>
    <n v="0"/>
    <n v="0"/>
    <n v="0"/>
    <n v="0"/>
    <n v="0"/>
    <n v="0"/>
    <n v="0"/>
    <s v="East"/>
    <x v="0"/>
    <x v="0"/>
    <x v="1"/>
    <x v="0"/>
    <x v="0"/>
    <x v="0"/>
    <m/>
    <x v="0"/>
    <s v="Y"/>
    <n v="4"/>
    <m/>
    <n v="0"/>
    <n v="0"/>
    <n v="0.25"/>
    <n v="0.25"/>
    <n v="0.25"/>
    <n v="0.25"/>
    <n v="0"/>
    <n v="0"/>
    <n v="0"/>
    <n v="0"/>
    <n v="0"/>
    <n v="0"/>
    <n v="0"/>
    <n v="0"/>
    <n v="0"/>
    <n v="0"/>
    <n v="0"/>
    <n v="0"/>
    <n v="0"/>
    <n v="0"/>
    <n v="0"/>
    <n v="1"/>
    <n v="1"/>
  </r>
  <r>
    <n v="6317"/>
    <x v="1"/>
    <s v="2016/6511"/>
    <m/>
    <s v="Garages rear of 21, Granard Avenue"/>
    <m/>
    <n v="522879"/>
    <n v="174549"/>
    <x v="7"/>
    <m/>
    <m/>
    <n v="0"/>
    <n v="1"/>
    <n v="1"/>
    <n v="1"/>
    <n v="1"/>
    <m/>
    <s v="Demolition of existing garages and erection of a six bedroom, part single, part two-storey dwelling with basement, on-site parking and associated landscaping."/>
    <s v="PF"/>
    <d v="2016-11-07T00:00:00"/>
    <d v="2017-02-24T00:00:00"/>
    <x v="0"/>
    <s v="Nil"/>
    <m/>
    <s v="BF"/>
    <x v="0"/>
    <x v="0"/>
    <x v="0"/>
    <n v="5.6000001728534698E-2"/>
    <m/>
    <x v="0"/>
    <m/>
    <x v="0"/>
    <s v="P"/>
    <m/>
    <m/>
    <n v="0"/>
    <m/>
    <n v="0"/>
    <m/>
    <n v="0"/>
    <n v="0"/>
    <n v="0"/>
    <n v="0"/>
    <n v="0"/>
    <n v="1"/>
    <n v="0"/>
    <n v="0"/>
    <n v="0"/>
    <n v="0"/>
    <n v="0"/>
    <n v="0"/>
    <n v="0"/>
    <n v="0"/>
    <n v="0"/>
    <n v="0"/>
    <n v="0"/>
    <n v="0"/>
    <n v="0"/>
    <n v="1"/>
    <n v="0"/>
    <n v="0"/>
    <n v="0"/>
    <n v="0"/>
    <n v="0"/>
    <n v="0"/>
    <n v="0"/>
    <n v="0"/>
    <s v="West"/>
    <x v="0"/>
    <x v="0"/>
    <x v="1"/>
    <x v="0"/>
    <x v="0"/>
    <x v="0"/>
    <m/>
    <x v="0"/>
    <s v="Y"/>
    <n v="4"/>
    <m/>
    <n v="0"/>
    <n v="0"/>
    <n v="0.25"/>
    <n v="0.25"/>
    <n v="0.25"/>
    <n v="0.25"/>
    <n v="0"/>
    <n v="0"/>
    <n v="0"/>
    <n v="0"/>
    <n v="0"/>
    <n v="0"/>
    <n v="0"/>
    <n v="0"/>
    <n v="0"/>
    <n v="0"/>
    <n v="0"/>
    <n v="0"/>
    <n v="0"/>
    <n v="0"/>
    <n v="0"/>
    <n v="1"/>
    <n v="1"/>
  </r>
  <r>
    <n v="6318"/>
    <x v="1"/>
    <s v="2017/3137"/>
    <m/>
    <s v="37 Oldridge Road"/>
    <m/>
    <n v="528567"/>
    <n v="173770"/>
    <x v="9"/>
    <m/>
    <m/>
    <n v="1"/>
    <n v="5"/>
    <n v="4"/>
    <n v="5"/>
    <n v="4"/>
    <m/>
    <s v="Demolition of existing building and erection of a four-storey building to provide 1 x studio, 1 x 1-bedroom and 2 x 2 bedroom flats, the erection of  a single-storey (plus basement) 1-bedroom house; associated cycle and refuse storage."/>
    <s v="PF"/>
    <d v="2017-06-05T00:00:00"/>
    <d v="2017-10-24T00:00:00"/>
    <x v="1"/>
    <s v="Nil"/>
    <m/>
    <s v="BF"/>
    <x v="0"/>
    <x v="0"/>
    <x v="0"/>
    <n v="9.9999997764825804E-3"/>
    <m/>
    <x v="0"/>
    <m/>
    <x v="0"/>
    <s v="P"/>
    <m/>
    <m/>
    <n v="0"/>
    <m/>
    <n v="0"/>
    <m/>
    <n v="1"/>
    <n v="2"/>
    <n v="1"/>
    <n v="0"/>
    <n v="0"/>
    <n v="0"/>
    <n v="0"/>
    <n v="1"/>
    <n v="1"/>
    <n v="2"/>
    <n v="0"/>
    <n v="0"/>
    <n v="0"/>
    <n v="0"/>
    <n v="0"/>
    <n v="1"/>
    <n v="-1"/>
    <n v="0"/>
    <n v="0"/>
    <n v="0"/>
    <n v="0"/>
    <n v="0"/>
    <n v="0"/>
    <n v="0"/>
    <n v="0"/>
    <n v="0"/>
    <n v="0"/>
    <n v="0"/>
    <s v="East"/>
    <x v="0"/>
    <x v="0"/>
    <x v="1"/>
    <x v="0"/>
    <x v="0"/>
    <x v="0"/>
    <m/>
    <x v="0"/>
    <s v="Y"/>
    <n v="4"/>
    <m/>
    <n v="0"/>
    <n v="0"/>
    <n v="1"/>
    <n v="1"/>
    <n v="1"/>
    <n v="1"/>
    <n v="0"/>
    <n v="0"/>
    <n v="0"/>
    <n v="0"/>
    <n v="0"/>
    <n v="0"/>
    <n v="0"/>
    <n v="0"/>
    <n v="0"/>
    <n v="0"/>
    <n v="0"/>
    <n v="0"/>
    <n v="0"/>
    <n v="0"/>
    <n v="0"/>
    <n v="4"/>
    <n v="4"/>
  </r>
  <r>
    <n v="6321"/>
    <x v="1"/>
    <s v="2016/5515"/>
    <m/>
    <s v="1 Pendle Road"/>
    <m/>
    <n v="529156"/>
    <n v="171226"/>
    <x v="12"/>
    <m/>
    <m/>
    <n v="1"/>
    <n v="3"/>
    <n v="2"/>
    <n v="3"/>
    <n v="2"/>
    <m/>
    <s v="Alterations including a single storey rear extension, and conversion of property to 1 x 3-bedroom; 1x  1-bedroom; and 1 x studio flats."/>
    <s v="PF"/>
    <d v="2016-09-20T00:00:00"/>
    <d v="2016-11-15T00:00:00"/>
    <x v="0"/>
    <s v="Nil"/>
    <m/>
    <s v="BF"/>
    <x v="4"/>
    <x v="0"/>
    <x v="8"/>
    <n v="1.60000007599592E-2"/>
    <m/>
    <x v="0"/>
    <m/>
    <x v="0"/>
    <s v="P"/>
    <m/>
    <m/>
    <n v="0"/>
    <m/>
    <n v="0"/>
    <m/>
    <n v="1"/>
    <n v="1"/>
    <n v="0"/>
    <n v="1"/>
    <n v="0"/>
    <n v="-1"/>
    <n v="0"/>
    <n v="1"/>
    <n v="1"/>
    <n v="0"/>
    <n v="1"/>
    <n v="0"/>
    <n v="0"/>
    <n v="0"/>
    <n v="0"/>
    <n v="0"/>
    <n v="0"/>
    <n v="0"/>
    <n v="0"/>
    <n v="-1"/>
    <n v="0"/>
    <n v="0"/>
    <n v="0"/>
    <n v="0"/>
    <n v="0"/>
    <n v="0"/>
    <n v="0"/>
    <n v="0"/>
    <s v="East"/>
    <x v="0"/>
    <x v="0"/>
    <x v="1"/>
    <x v="0"/>
    <x v="0"/>
    <x v="0"/>
    <m/>
    <x v="0"/>
    <s v="Y"/>
    <s v="9A"/>
    <m/>
    <n v="0"/>
    <n v="0.5"/>
    <n v="0.5"/>
    <n v="0.5"/>
    <n v="0.5"/>
    <n v="0"/>
    <n v="0"/>
    <n v="0"/>
    <n v="0"/>
    <n v="0"/>
    <n v="0"/>
    <n v="0"/>
    <n v="0"/>
    <n v="0"/>
    <n v="0"/>
    <n v="0"/>
    <n v="0"/>
    <n v="0"/>
    <n v="0"/>
    <n v="0"/>
    <n v="0"/>
    <n v="2"/>
    <n v="2"/>
  </r>
  <r>
    <n v="6326"/>
    <x v="1"/>
    <s v="2016/4104"/>
    <m/>
    <s v="17 Woodborough Road"/>
    <m/>
    <n v="522791"/>
    <n v="175064"/>
    <x v="7"/>
    <m/>
    <m/>
    <n v="4"/>
    <n v="4"/>
    <n v="0"/>
    <n v="4"/>
    <n v="0"/>
    <m/>
    <s v="Alterations including erection of two-storey side (west) extension with accommodation at roof level and pitched roof over; erection of single-storey front/side extension with roof level accommodation; extension of basement area with walkover rooflights, enlarged main roof including various dormers and rooflights; in connection with use as  2 x 3-bedroom and 2 x 1-bedroom flats; formation of four parking spaces, erection of refuse store in front garden and changes to front boundary treatment"/>
    <s v="PF"/>
    <d v="2016-07-13T00:00:00"/>
    <d v="2016-11-15T00:00:00"/>
    <x v="0"/>
    <s v="Nil"/>
    <m/>
    <s v="BF"/>
    <x v="4"/>
    <x v="0"/>
    <x v="2"/>
    <n v="6.1000000685453401E-2"/>
    <m/>
    <x v="0"/>
    <m/>
    <x v="0"/>
    <s v="P"/>
    <m/>
    <m/>
    <n v="0"/>
    <m/>
    <n v="0"/>
    <m/>
    <n v="0"/>
    <n v="1"/>
    <n v="-2"/>
    <n v="2"/>
    <n v="-1"/>
    <n v="0"/>
    <n v="0"/>
    <n v="0"/>
    <n v="1"/>
    <n v="-2"/>
    <n v="2"/>
    <n v="-1"/>
    <n v="0"/>
    <n v="0"/>
    <n v="0"/>
    <n v="0"/>
    <n v="0"/>
    <n v="0"/>
    <n v="0"/>
    <n v="0"/>
    <n v="0"/>
    <n v="0"/>
    <n v="0"/>
    <n v="0"/>
    <n v="0"/>
    <n v="0"/>
    <n v="0"/>
    <n v="0"/>
    <s v="West"/>
    <x v="0"/>
    <x v="0"/>
    <x v="1"/>
    <x v="0"/>
    <x v="0"/>
    <x v="0"/>
    <m/>
    <x v="0"/>
    <s v="Y"/>
    <s v="9A"/>
    <m/>
    <n v="0"/>
    <n v="0"/>
    <n v="0"/>
    <n v="0"/>
    <n v="0"/>
    <n v="0"/>
    <n v="0"/>
    <n v="0"/>
    <n v="0"/>
    <n v="0"/>
    <n v="0"/>
    <n v="0"/>
    <n v="0"/>
    <n v="0"/>
    <n v="0"/>
    <n v="0"/>
    <n v="0"/>
    <n v="0"/>
    <n v="0"/>
    <n v="0"/>
    <n v="0"/>
    <n v="0"/>
    <n v="0"/>
  </r>
  <r>
    <n v="6332"/>
    <x v="1"/>
    <s v="2016/4253"/>
    <m/>
    <s v="Units 14 to 19 Blades Court, 121 Deodar Road"/>
    <m/>
    <n v="524599"/>
    <n v="175302"/>
    <x v="13"/>
    <m/>
    <m/>
    <n v="0"/>
    <n v="6"/>
    <n v="6"/>
    <n v="6"/>
    <n v="6"/>
    <m/>
    <s v="Determination as to whether prior approval is required for change of use of office at first floor level from (Class B1a) to 6 x 2-bedroom residential units (Class C3)."/>
    <s v="PAG"/>
    <d v="2016-07-22T00:00:00"/>
    <d v="2016-09-16T00:00:00"/>
    <x v="0"/>
    <s v="Nil"/>
    <m/>
    <s v="BF"/>
    <x v="3"/>
    <x v="0"/>
    <x v="9"/>
    <n v="2.0999999716877899E-2"/>
    <m/>
    <x v="0"/>
    <m/>
    <x v="0"/>
    <s v="P"/>
    <m/>
    <m/>
    <n v="0"/>
    <m/>
    <n v="0"/>
    <m/>
    <n v="0"/>
    <n v="0"/>
    <n v="6"/>
    <n v="0"/>
    <n v="0"/>
    <n v="0"/>
    <n v="0"/>
    <n v="0"/>
    <n v="0"/>
    <n v="6"/>
    <n v="0"/>
    <n v="0"/>
    <n v="0"/>
    <n v="0"/>
    <n v="0"/>
    <n v="0"/>
    <n v="0"/>
    <n v="0"/>
    <n v="0"/>
    <n v="0"/>
    <n v="0"/>
    <n v="0"/>
    <n v="0"/>
    <n v="0"/>
    <n v="0"/>
    <n v="0"/>
    <n v="0"/>
    <n v="0"/>
    <s v="West"/>
    <x v="0"/>
    <x v="0"/>
    <x v="1"/>
    <x v="0"/>
    <x v="0"/>
    <x v="0"/>
    <s v="Y"/>
    <x v="0"/>
    <s v="Y"/>
    <s v="9C"/>
    <m/>
    <n v="0"/>
    <n v="1.5"/>
    <n v="1.5"/>
    <n v="1.5"/>
    <n v="1.5"/>
    <n v="0"/>
    <n v="0"/>
    <n v="0"/>
    <n v="0"/>
    <n v="0"/>
    <n v="0"/>
    <n v="0"/>
    <n v="0"/>
    <n v="0"/>
    <n v="0"/>
    <n v="0"/>
    <n v="0"/>
    <n v="0"/>
    <n v="0"/>
    <n v="0"/>
    <n v="0"/>
    <n v="6"/>
    <n v="6"/>
  </r>
  <r>
    <n v="6335"/>
    <x v="1"/>
    <s v="2016/5017"/>
    <s v="Ransomes Dock Business Centre"/>
    <s v="Unit 33 Ransomes Dock Business Centre, 35-37 Parkgate Road"/>
    <m/>
    <n v="527310"/>
    <n v="177196"/>
    <x v="1"/>
    <m/>
    <m/>
    <n v="0"/>
    <n v="1"/>
    <n v="1"/>
    <n v="1"/>
    <n v="1"/>
    <m/>
    <s v="Determination as to whether prior approval is required for change of use of office at second floor level from office (Class B1a) to 1 x 4-bedroom residential unit (Class C3)"/>
    <s v="PANR"/>
    <d v="2016-08-24T00:00:00"/>
    <d v="2016-10-18T00:00:00"/>
    <x v="0"/>
    <s v="Nil"/>
    <m/>
    <s v="BF"/>
    <x v="3"/>
    <x v="0"/>
    <x v="9"/>
    <n v="1.60000007599592E-2"/>
    <m/>
    <x v="0"/>
    <m/>
    <x v="0"/>
    <s v="P"/>
    <s v="10.1.1"/>
    <m/>
    <n v="0"/>
    <m/>
    <n v="0"/>
    <m/>
    <n v="0"/>
    <n v="0"/>
    <n v="0"/>
    <n v="0"/>
    <n v="1"/>
    <n v="0"/>
    <n v="0"/>
    <n v="0"/>
    <n v="0"/>
    <n v="0"/>
    <n v="0"/>
    <n v="1"/>
    <n v="0"/>
    <n v="0"/>
    <n v="0"/>
    <n v="0"/>
    <n v="0"/>
    <n v="0"/>
    <n v="0"/>
    <n v="0"/>
    <n v="0"/>
    <n v="0"/>
    <n v="0"/>
    <n v="0"/>
    <n v="0"/>
    <n v="0"/>
    <n v="0"/>
    <n v="0"/>
    <s v="East"/>
    <x v="0"/>
    <x v="0"/>
    <x v="1"/>
    <x v="0"/>
    <x v="0"/>
    <x v="0"/>
    <s v="Y"/>
    <x v="0"/>
    <s v="Y"/>
    <s v="9C"/>
    <m/>
    <n v="0"/>
    <n v="0.25"/>
    <n v="0.25"/>
    <n v="0.25"/>
    <n v="0.25"/>
    <n v="0"/>
    <n v="0"/>
    <n v="0"/>
    <n v="0"/>
    <n v="0"/>
    <n v="0"/>
    <n v="0"/>
    <n v="0"/>
    <n v="0"/>
    <n v="0"/>
    <n v="0"/>
    <n v="0"/>
    <n v="0"/>
    <n v="0"/>
    <n v="0"/>
    <n v="0"/>
    <n v="1"/>
    <n v="1"/>
  </r>
  <r>
    <n v="6336"/>
    <x v="1"/>
    <s v="2016/5214"/>
    <m/>
    <s v="Studio 1 Dovedale Studios, 465 Battersea Park road"/>
    <m/>
    <n v="527649"/>
    <n v="176406"/>
    <x v="2"/>
    <m/>
    <m/>
    <n v="0"/>
    <n v="1"/>
    <n v="1"/>
    <n v="1"/>
    <n v="1"/>
    <m/>
    <s v="Determination as to whether prior approval is required for change of use from office (Class B1a) to 1 x 2-bedroom residential unit (Class C3)."/>
    <s v="PAG"/>
    <d v="2016-09-14T00:00:00"/>
    <d v="2016-11-08T00:00:00"/>
    <x v="0"/>
    <s v="Nil"/>
    <m/>
    <s v="BF"/>
    <x v="3"/>
    <x v="0"/>
    <x v="9"/>
    <n v="8.0000003799796104E-3"/>
    <m/>
    <x v="0"/>
    <m/>
    <x v="0"/>
    <s v="P"/>
    <m/>
    <m/>
    <n v="0"/>
    <m/>
    <n v="0"/>
    <m/>
    <n v="0"/>
    <n v="0"/>
    <n v="1"/>
    <n v="0"/>
    <n v="0"/>
    <n v="0"/>
    <n v="0"/>
    <n v="0"/>
    <n v="0"/>
    <n v="1"/>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337"/>
    <x v="1"/>
    <s v="2016/5215"/>
    <m/>
    <s v="Studio 2 Dovedale Studios, 465 Battersea Park Road"/>
    <m/>
    <n v="527649"/>
    <n v="176406"/>
    <x v="2"/>
    <m/>
    <m/>
    <n v="0"/>
    <n v="1"/>
    <n v="1"/>
    <n v="1"/>
    <n v="1"/>
    <m/>
    <s v="Determination as to whether prior approval is required for change of use from office (Class B1a) to 1 x 3-bedroom residential unit (Class C3)."/>
    <s v="PAG"/>
    <d v="2016-09-14T00:00:00"/>
    <d v="2016-11-09T00:00:00"/>
    <x v="0"/>
    <s v="Nil"/>
    <m/>
    <s v="BF"/>
    <x v="3"/>
    <x v="0"/>
    <x v="9"/>
    <n v="9.9999997764825804E-3"/>
    <m/>
    <x v="0"/>
    <m/>
    <x v="0"/>
    <s v="P"/>
    <m/>
    <m/>
    <n v="0"/>
    <m/>
    <n v="0"/>
    <m/>
    <n v="0"/>
    <n v="0"/>
    <n v="0"/>
    <n v="1"/>
    <n v="0"/>
    <n v="0"/>
    <n v="0"/>
    <n v="0"/>
    <n v="0"/>
    <n v="0"/>
    <n v="1"/>
    <n v="0"/>
    <n v="0"/>
    <n v="0"/>
    <n v="0"/>
    <n v="0"/>
    <n v="0"/>
    <n v="0"/>
    <n v="0"/>
    <n v="0"/>
    <n v="0"/>
    <n v="0"/>
    <n v="0"/>
    <n v="0"/>
    <n v="0"/>
    <n v="0"/>
    <n v="0"/>
    <n v="0"/>
    <s v="East"/>
    <x v="0"/>
    <x v="0"/>
    <x v="1"/>
    <x v="0"/>
    <x v="0"/>
    <x v="0"/>
    <m/>
    <x v="0"/>
    <s v="Y"/>
    <s v="9A"/>
    <m/>
    <n v="0"/>
    <n v="0.25"/>
    <n v="0.25"/>
    <n v="0.25"/>
    <n v="0.25"/>
    <n v="0"/>
    <n v="0"/>
    <n v="0"/>
    <n v="0"/>
    <n v="0"/>
    <n v="0"/>
    <n v="0"/>
    <n v="0"/>
    <n v="0"/>
    <n v="0"/>
    <n v="0"/>
    <n v="0"/>
    <n v="0"/>
    <n v="0"/>
    <n v="0"/>
    <n v="0"/>
    <n v="1"/>
    <n v="1"/>
  </r>
  <r>
    <n v="6338"/>
    <x v="1"/>
    <s v="2016/5216"/>
    <m/>
    <s v="Studio 4 Dovedale Studios, 465 Battersea Park Road"/>
    <m/>
    <n v="527649"/>
    <n v="176406"/>
    <x v="2"/>
    <m/>
    <m/>
    <n v="0"/>
    <n v="1"/>
    <n v="1"/>
    <n v="1"/>
    <n v="1"/>
    <m/>
    <s v="Determination as to whether prior approval is required for change of use from office (Class B1a) to 1 x 2-bedroom residential unit (Class C3)."/>
    <s v="PAG"/>
    <d v="2016-09-14T00:00:00"/>
    <d v="2016-11-09T00:00:00"/>
    <x v="0"/>
    <s v="Nil"/>
    <m/>
    <s v="BF"/>
    <x v="3"/>
    <x v="0"/>
    <x v="9"/>
    <n v="6.0000000521540598E-3"/>
    <m/>
    <x v="0"/>
    <m/>
    <x v="0"/>
    <s v="P"/>
    <m/>
    <m/>
    <n v="0"/>
    <m/>
    <n v="0"/>
    <m/>
    <n v="0"/>
    <n v="0"/>
    <n v="1"/>
    <n v="0"/>
    <n v="0"/>
    <n v="0"/>
    <n v="0"/>
    <n v="0"/>
    <n v="0"/>
    <n v="1"/>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339"/>
    <x v="1"/>
    <s v="2016/5219"/>
    <m/>
    <s v="Studio 5 Dovedale Studios, 465 Battersea Park Road"/>
    <m/>
    <n v="527649"/>
    <n v="176406"/>
    <x v="2"/>
    <m/>
    <m/>
    <n v="0"/>
    <n v="1"/>
    <n v="1"/>
    <n v="1"/>
    <n v="1"/>
    <m/>
    <s v="Determination as to whether prior approval is required for change of use from office (Class B1a) to 1 x 2-bedroom residential unit (Class C3)."/>
    <s v="PAG"/>
    <d v="2016-09-14T00:00:00"/>
    <d v="2016-11-09T00:00:00"/>
    <x v="0"/>
    <s v="Nil"/>
    <m/>
    <s v="BF"/>
    <x v="3"/>
    <x v="0"/>
    <x v="9"/>
    <n v="6.0000000521540598E-3"/>
    <m/>
    <x v="0"/>
    <m/>
    <x v="0"/>
    <s v="P"/>
    <m/>
    <m/>
    <n v="0"/>
    <m/>
    <n v="0"/>
    <m/>
    <n v="0"/>
    <n v="0"/>
    <n v="1"/>
    <n v="0"/>
    <n v="0"/>
    <n v="0"/>
    <n v="0"/>
    <n v="0"/>
    <n v="0"/>
    <n v="1"/>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345"/>
    <x v="1"/>
    <s v="2016/4595"/>
    <m/>
    <s v="12 Colinette Road"/>
    <m/>
    <n v="523036"/>
    <n v="175142"/>
    <x v="7"/>
    <m/>
    <m/>
    <n v="0"/>
    <n v="2"/>
    <n v="2"/>
    <n v="2"/>
    <n v="2"/>
    <m/>
    <s v="Erection of side extension and excavation to create an enlarged basement to the north side including formation of front and rear lightwells in connection with the creation of two additional 1-bedroom flats."/>
    <s v="PF"/>
    <d v="2016-08-17T00:00:00"/>
    <d v="2016-10-12T00:00:00"/>
    <x v="0"/>
    <s v="Nil"/>
    <m/>
    <s v="BF"/>
    <x v="0"/>
    <x v="0"/>
    <x v="0"/>
    <n v="1.09999999403954E-2"/>
    <m/>
    <x v="0"/>
    <m/>
    <x v="2"/>
    <s v="HASR"/>
    <m/>
    <m/>
    <n v="0"/>
    <m/>
    <n v="0"/>
    <m/>
    <n v="0"/>
    <n v="2"/>
    <n v="0"/>
    <n v="0"/>
    <n v="0"/>
    <n v="0"/>
    <n v="0"/>
    <n v="0"/>
    <n v="2"/>
    <n v="0"/>
    <n v="0"/>
    <n v="0"/>
    <n v="0"/>
    <n v="0"/>
    <n v="0"/>
    <n v="0"/>
    <n v="0"/>
    <n v="0"/>
    <n v="0"/>
    <n v="0"/>
    <n v="0"/>
    <n v="0"/>
    <n v="0"/>
    <n v="0"/>
    <n v="0"/>
    <n v="0"/>
    <n v="0"/>
    <n v="0"/>
    <s v="West"/>
    <x v="0"/>
    <x v="0"/>
    <x v="1"/>
    <x v="0"/>
    <x v="0"/>
    <x v="0"/>
    <m/>
    <x v="0"/>
    <s v="Y"/>
    <n v="4"/>
    <m/>
    <n v="0"/>
    <n v="0"/>
    <n v="0.5"/>
    <n v="0.5"/>
    <n v="0.5"/>
    <n v="0.5"/>
    <n v="0"/>
    <n v="0"/>
    <n v="0"/>
    <n v="0"/>
    <n v="0"/>
    <n v="0"/>
    <n v="0"/>
    <n v="0"/>
    <n v="0"/>
    <n v="0"/>
    <n v="0"/>
    <n v="0"/>
    <n v="0"/>
    <n v="0"/>
    <n v="0"/>
    <n v="2"/>
    <n v="2"/>
  </r>
  <r>
    <n v="6348"/>
    <x v="1"/>
    <s v="2016/6386"/>
    <m/>
    <s v="39-43 and 39-43a, 39 West Hill"/>
    <m/>
    <n v="525098"/>
    <n v="174608"/>
    <x v="16"/>
    <m/>
    <m/>
    <n v="0"/>
    <n v="5"/>
    <n v="5"/>
    <n v="5"/>
    <n v="5"/>
    <m/>
    <s v="Alterations including replacement of fenestration to ground floor elevations and excavation to form basement with rear lightwells in conjunction with change of use from retail (Class A1) and provision of 1 x 1-bedroom, 4 x 2-bedroom flats (Class C3) at basement and ground floor levels; refuse and cycle stores fronting Lebanon Road"/>
    <s v="PF"/>
    <d v="2016-12-06T00:00:00"/>
    <d v="2017-01-31T00:00:00"/>
    <x v="0"/>
    <s v="Nil"/>
    <m/>
    <s v="BF"/>
    <x v="4"/>
    <x v="0"/>
    <x v="4"/>
    <n v="3.5000000149011598E-2"/>
    <m/>
    <x v="0"/>
    <m/>
    <x v="0"/>
    <s v="P"/>
    <m/>
    <m/>
    <n v="0"/>
    <m/>
    <n v="0"/>
    <m/>
    <n v="0"/>
    <n v="1"/>
    <n v="4"/>
    <n v="0"/>
    <n v="0"/>
    <n v="0"/>
    <n v="0"/>
    <n v="0"/>
    <n v="1"/>
    <n v="4"/>
    <n v="0"/>
    <n v="0"/>
    <n v="0"/>
    <n v="0"/>
    <n v="0"/>
    <n v="0"/>
    <n v="0"/>
    <n v="0"/>
    <n v="0"/>
    <n v="0"/>
    <n v="0"/>
    <n v="0"/>
    <n v="0"/>
    <n v="0"/>
    <n v="0"/>
    <n v="0"/>
    <n v="0"/>
    <n v="0"/>
    <s v="West"/>
    <x v="0"/>
    <x v="0"/>
    <x v="1"/>
    <x v="0"/>
    <x v="0"/>
    <x v="0"/>
    <m/>
    <x v="0"/>
    <s v="Y"/>
    <s v="9A"/>
    <m/>
    <n v="0"/>
    <n v="1.25"/>
    <n v="1.25"/>
    <n v="1.25"/>
    <n v="1.25"/>
    <n v="0"/>
    <n v="0"/>
    <n v="0"/>
    <n v="0"/>
    <n v="0"/>
    <n v="0"/>
    <n v="0"/>
    <n v="0"/>
    <n v="0"/>
    <n v="0"/>
    <n v="0"/>
    <n v="0"/>
    <n v="0"/>
    <n v="0"/>
    <n v="0"/>
    <n v="0"/>
    <n v="5"/>
    <n v="5"/>
  </r>
  <r>
    <n v="6349"/>
    <x v="1"/>
    <s v="2016/4857"/>
    <m/>
    <s v="49a, 49a Tooting High Street"/>
    <m/>
    <n v="527506"/>
    <n v="171531"/>
    <x v="8"/>
    <m/>
    <m/>
    <n v="1"/>
    <n v="3"/>
    <n v="2"/>
    <n v="3"/>
    <n v="2"/>
    <m/>
    <s v="Erection of three-storey rear extension, alterations and conversion of existing residential unit to create 3 x 1-bedroom flats."/>
    <s v="PF"/>
    <d v="2016-08-18T00:00:00"/>
    <d v="2016-10-13T00:00:00"/>
    <x v="0"/>
    <s v="Nil"/>
    <m/>
    <s v="BF"/>
    <x v="4"/>
    <x v="0"/>
    <x v="10"/>
    <n v="8.0000003799796104E-3"/>
    <m/>
    <x v="0"/>
    <m/>
    <x v="0"/>
    <s v="P"/>
    <s v="5.2"/>
    <m/>
    <n v="0"/>
    <m/>
    <n v="0"/>
    <m/>
    <n v="0"/>
    <n v="3"/>
    <n v="0"/>
    <n v="-1"/>
    <n v="0"/>
    <n v="0"/>
    <n v="0"/>
    <n v="0"/>
    <n v="3"/>
    <n v="0"/>
    <n v="-1"/>
    <n v="0"/>
    <n v="0"/>
    <n v="0"/>
    <n v="0"/>
    <n v="0"/>
    <n v="0"/>
    <n v="0"/>
    <n v="0"/>
    <n v="0"/>
    <n v="0"/>
    <n v="0"/>
    <n v="0"/>
    <n v="0"/>
    <n v="0"/>
    <n v="0"/>
    <n v="0"/>
    <n v="0"/>
    <s v="East"/>
    <x v="1"/>
    <x v="0"/>
    <x v="1"/>
    <x v="0"/>
    <x v="0"/>
    <x v="0"/>
    <m/>
    <x v="0"/>
    <s v="Y"/>
    <s v="9A"/>
    <m/>
    <n v="0"/>
    <n v="0.5"/>
    <n v="0.5"/>
    <n v="0.5"/>
    <n v="0.5"/>
    <n v="0"/>
    <n v="0"/>
    <n v="0"/>
    <n v="0"/>
    <n v="0"/>
    <n v="0"/>
    <n v="0"/>
    <n v="0"/>
    <n v="0"/>
    <n v="0"/>
    <n v="0"/>
    <n v="0"/>
    <n v="0"/>
    <n v="0"/>
    <n v="0"/>
    <n v="0"/>
    <n v="2"/>
    <n v="2"/>
  </r>
  <r>
    <n v="6354"/>
    <x v="1"/>
    <s v="2016/6529"/>
    <m/>
    <s v="19 Manchuria Road"/>
    <m/>
    <n v="528320"/>
    <n v="174495"/>
    <x v="9"/>
    <m/>
    <m/>
    <n v="2"/>
    <n v="1"/>
    <n v="-1"/>
    <n v="1"/>
    <n v="-1"/>
    <m/>
    <s v="Erection of a mansard roof extension to main rear roof (French doors and safety railings). Erection of a rear/side extension and excavation to create basement including formation of front lightwell with grille over in connection with conversion of property from two flats to a single dwelling house."/>
    <s v="PF"/>
    <d v="2016-11-08T00:00:00"/>
    <d v="2017-01-03T00:00:00"/>
    <x v="0"/>
    <s v="Nil"/>
    <m/>
    <s v="BF"/>
    <x v="4"/>
    <x v="0"/>
    <x v="7"/>
    <n v="1.4000000432133701E-2"/>
    <m/>
    <x v="0"/>
    <m/>
    <x v="0"/>
    <s v="P"/>
    <m/>
    <m/>
    <n v="0"/>
    <m/>
    <n v="0"/>
    <m/>
    <n v="0"/>
    <n v="-1"/>
    <n v="-1"/>
    <n v="0"/>
    <n v="1"/>
    <n v="0"/>
    <n v="0"/>
    <n v="0"/>
    <n v="-1"/>
    <n v="-1"/>
    <n v="0"/>
    <n v="0"/>
    <n v="0"/>
    <n v="0"/>
    <n v="0"/>
    <n v="0"/>
    <n v="0"/>
    <n v="0"/>
    <n v="1"/>
    <n v="0"/>
    <n v="0"/>
    <n v="0"/>
    <n v="0"/>
    <n v="0"/>
    <n v="0"/>
    <n v="0"/>
    <n v="0"/>
    <n v="0"/>
    <s v="East"/>
    <x v="0"/>
    <x v="0"/>
    <x v="1"/>
    <x v="0"/>
    <x v="0"/>
    <x v="0"/>
    <m/>
    <x v="0"/>
    <s v="Y"/>
    <s v="9A"/>
    <m/>
    <n v="0"/>
    <n v="-0.25"/>
    <n v="-0.25"/>
    <n v="-0.25"/>
    <n v="-0.25"/>
    <n v="0"/>
    <n v="0"/>
    <n v="0"/>
    <n v="0"/>
    <n v="0"/>
    <n v="0"/>
    <n v="0"/>
    <n v="0"/>
    <n v="0"/>
    <n v="0"/>
    <n v="0"/>
    <n v="0"/>
    <n v="0"/>
    <n v="0"/>
    <n v="0"/>
    <n v="0"/>
    <n v="-1"/>
    <n v="-1"/>
  </r>
  <r>
    <n v="6355"/>
    <x v="1"/>
    <s v="2016/4974"/>
    <m/>
    <s v="302-304, 302-304 Cavendish Road"/>
    <m/>
    <n v="529010"/>
    <n v="173294"/>
    <x v="9"/>
    <m/>
    <m/>
    <n v="0"/>
    <n v="2"/>
    <n v="2"/>
    <n v="2"/>
    <n v="2"/>
    <m/>
    <s v="Change of use of ground floor from shop (Class A1) to residential (Class C3); erection of dormer roof extension to main rear roof; erection of single storey rear/side extension and alterations in connection with conversion of ground floor into 1 x 1-bedroom and 1 x studio flats and reconfiguration of layout of existing first floor flats."/>
    <s v="PF"/>
    <d v="2016-08-19T00:00:00"/>
    <d v="2016-12-02T00:00:00"/>
    <x v="0"/>
    <s v="Nil"/>
    <m/>
    <s v="BF"/>
    <x v="4"/>
    <x v="0"/>
    <x v="4"/>
    <n v="1.09999999403954E-2"/>
    <m/>
    <x v="0"/>
    <m/>
    <x v="0"/>
    <s v="P"/>
    <m/>
    <m/>
    <n v="0"/>
    <m/>
    <n v="0"/>
    <m/>
    <n v="1"/>
    <n v="1"/>
    <n v="0"/>
    <n v="0"/>
    <n v="0"/>
    <n v="0"/>
    <n v="0"/>
    <n v="1"/>
    <n v="1"/>
    <n v="0"/>
    <n v="0"/>
    <n v="0"/>
    <n v="0"/>
    <n v="0"/>
    <n v="0"/>
    <n v="0"/>
    <n v="0"/>
    <n v="0"/>
    <n v="0"/>
    <n v="0"/>
    <n v="0"/>
    <n v="0"/>
    <n v="0"/>
    <n v="0"/>
    <n v="0"/>
    <n v="0"/>
    <n v="0"/>
    <n v="0"/>
    <s v="East"/>
    <x v="0"/>
    <x v="0"/>
    <x v="1"/>
    <x v="0"/>
    <x v="0"/>
    <x v="0"/>
    <m/>
    <x v="0"/>
    <s v="Y"/>
    <s v="9A"/>
    <m/>
    <n v="0"/>
    <n v="0.5"/>
    <n v="0.5"/>
    <n v="0.5"/>
    <n v="0.5"/>
    <n v="0"/>
    <n v="0"/>
    <n v="0"/>
    <n v="0"/>
    <n v="0"/>
    <n v="0"/>
    <n v="0"/>
    <n v="0"/>
    <n v="0"/>
    <n v="0"/>
    <n v="0"/>
    <n v="0"/>
    <n v="0"/>
    <n v="0"/>
    <n v="0"/>
    <n v="0"/>
    <n v="2"/>
    <n v="2"/>
  </r>
  <r>
    <n v="6357"/>
    <x v="1"/>
    <s v="2016/4888"/>
    <m/>
    <s v="66 North Side Wandsworth Common"/>
    <m/>
    <n v="526523"/>
    <n v="174841"/>
    <x v="0"/>
    <m/>
    <m/>
    <n v="1"/>
    <n v="2"/>
    <n v="1"/>
    <n v="2"/>
    <n v="1"/>
    <m/>
    <s v="Conversion of property to 1 x 1-bedroom and 1 x 5-bedroom flats."/>
    <s v="PF"/>
    <d v="2016-08-25T00:00:00"/>
    <d v="2016-10-18T00:00:00"/>
    <x v="0"/>
    <s v="Nil"/>
    <m/>
    <s v="BF"/>
    <x v="1"/>
    <x v="0"/>
    <x v="8"/>
    <n v="6.0000000521540598E-3"/>
    <m/>
    <x v="0"/>
    <m/>
    <x v="0"/>
    <s v="P"/>
    <m/>
    <m/>
    <n v="0"/>
    <m/>
    <n v="0"/>
    <m/>
    <n v="0"/>
    <n v="1"/>
    <n v="0"/>
    <n v="0"/>
    <n v="0"/>
    <n v="0"/>
    <n v="0"/>
    <n v="0"/>
    <n v="1"/>
    <n v="0"/>
    <n v="0"/>
    <n v="0"/>
    <n v="1"/>
    <n v="0"/>
    <n v="0"/>
    <n v="0"/>
    <n v="0"/>
    <n v="0"/>
    <n v="0"/>
    <n v="-1"/>
    <n v="0"/>
    <n v="0"/>
    <n v="0"/>
    <n v="0"/>
    <n v="0"/>
    <n v="0"/>
    <n v="0"/>
    <n v="0"/>
    <s v="West"/>
    <x v="0"/>
    <x v="0"/>
    <x v="1"/>
    <x v="0"/>
    <x v="0"/>
    <x v="0"/>
    <m/>
    <x v="0"/>
    <s v="Y"/>
    <s v="9A"/>
    <m/>
    <n v="0"/>
    <n v="0.25"/>
    <n v="0.25"/>
    <n v="0.25"/>
    <n v="0.25"/>
    <n v="0"/>
    <n v="0"/>
    <n v="0"/>
    <n v="0"/>
    <n v="0"/>
    <n v="0"/>
    <n v="0"/>
    <n v="0"/>
    <n v="0"/>
    <n v="0"/>
    <n v="0"/>
    <n v="0"/>
    <n v="0"/>
    <n v="0"/>
    <n v="0"/>
    <n v="0"/>
    <n v="1"/>
    <n v="1"/>
  </r>
  <r>
    <n v="6365"/>
    <x v="1"/>
    <s v="2017/0975"/>
    <m/>
    <s v="501 Battersea Park Road"/>
    <m/>
    <n v="527536"/>
    <n v="176382"/>
    <x v="2"/>
    <m/>
    <m/>
    <n v="1"/>
    <n v="5"/>
    <n v="4"/>
    <n v="5"/>
    <n v="4"/>
    <m/>
    <s v="Alterations including erection of mansard roof extension to main roof and erection of part two, part three, part four-storey rear extension to provide 5 new residential units ( 2 x 1 and 2 x 2 and a studio) including formation of roof terrace with safety screen at 2nd floor level."/>
    <s v="PF"/>
    <d v="2017-03-30T00:00:00"/>
    <d v="2017-09-25T00:00:00"/>
    <x v="1"/>
    <s v="Nil"/>
    <m/>
    <s v="BF"/>
    <x v="4"/>
    <x v="0"/>
    <x v="0"/>
    <n v="1.09999999403954E-2"/>
    <m/>
    <x v="0"/>
    <m/>
    <x v="0"/>
    <s v="P"/>
    <m/>
    <m/>
    <n v="0"/>
    <m/>
    <n v="0"/>
    <m/>
    <n v="1"/>
    <n v="2"/>
    <n v="1"/>
    <n v="0"/>
    <n v="0"/>
    <n v="0"/>
    <n v="0"/>
    <n v="1"/>
    <n v="2"/>
    <n v="1"/>
    <n v="0"/>
    <n v="0"/>
    <n v="0"/>
    <n v="0"/>
    <n v="0"/>
    <n v="0"/>
    <n v="0"/>
    <n v="0"/>
    <n v="0"/>
    <n v="0"/>
    <n v="0"/>
    <n v="0"/>
    <n v="0"/>
    <n v="0"/>
    <n v="0"/>
    <n v="0"/>
    <n v="0"/>
    <n v="0"/>
    <s v="East"/>
    <x v="0"/>
    <x v="0"/>
    <x v="1"/>
    <x v="0"/>
    <x v="0"/>
    <x v="0"/>
    <m/>
    <x v="0"/>
    <s v="Y"/>
    <s v="9A"/>
    <m/>
    <n v="0"/>
    <n v="1"/>
    <n v="1"/>
    <n v="1"/>
    <n v="1"/>
    <n v="0"/>
    <n v="0"/>
    <n v="0"/>
    <n v="0"/>
    <n v="0"/>
    <n v="0"/>
    <n v="0"/>
    <n v="0"/>
    <n v="0"/>
    <n v="0"/>
    <n v="0"/>
    <n v="0"/>
    <n v="0"/>
    <n v="0"/>
    <n v="0"/>
    <n v="0"/>
    <n v="4"/>
    <n v="4"/>
  </r>
  <r>
    <n v="6372"/>
    <x v="1"/>
    <s v="2017/0498"/>
    <m/>
    <s v="128-130, 128 Balham High Road"/>
    <m/>
    <n v="528591"/>
    <n v="173471"/>
    <x v="9"/>
    <m/>
    <m/>
    <n v="0"/>
    <n v="2"/>
    <n v="2"/>
    <n v="2"/>
    <n v="2"/>
    <m/>
    <s v="Determination as to whether prior approval is required for change of use of first floor level from financial and professional services (Class A2) to residential (Class C3) to provide 2 x 1 bedroom flats."/>
    <s v="PANR"/>
    <d v="2017-01-27T00:00:00"/>
    <d v="2017-03-21T00:00:00"/>
    <x v="0"/>
    <s v="Nil"/>
    <m/>
    <s v="BF"/>
    <x v="3"/>
    <x v="0"/>
    <x v="9"/>
    <n v="8.0000003799796104E-3"/>
    <m/>
    <x v="0"/>
    <m/>
    <x v="0"/>
    <s v="P"/>
    <m/>
    <m/>
    <n v="0"/>
    <m/>
    <n v="0"/>
    <m/>
    <n v="0"/>
    <n v="2"/>
    <n v="0"/>
    <n v="0"/>
    <n v="0"/>
    <n v="0"/>
    <n v="0"/>
    <n v="0"/>
    <n v="2"/>
    <n v="0"/>
    <n v="0"/>
    <n v="0"/>
    <n v="0"/>
    <n v="0"/>
    <n v="0"/>
    <n v="0"/>
    <n v="0"/>
    <n v="0"/>
    <n v="0"/>
    <n v="0"/>
    <n v="0"/>
    <n v="0"/>
    <n v="0"/>
    <n v="0"/>
    <n v="0"/>
    <n v="0"/>
    <n v="0"/>
    <n v="0"/>
    <s v="East"/>
    <x v="2"/>
    <x v="0"/>
    <x v="1"/>
    <x v="0"/>
    <x v="0"/>
    <x v="0"/>
    <m/>
    <x v="0"/>
    <s v="Y"/>
    <s v="9A"/>
    <m/>
    <n v="0"/>
    <n v="0.5"/>
    <n v="0.5"/>
    <n v="0.5"/>
    <n v="0.5"/>
    <n v="0"/>
    <n v="0"/>
    <n v="0"/>
    <n v="0"/>
    <n v="0"/>
    <n v="0"/>
    <n v="0"/>
    <n v="0"/>
    <n v="0"/>
    <n v="0"/>
    <n v="0"/>
    <n v="0"/>
    <n v="0"/>
    <n v="0"/>
    <n v="0"/>
    <n v="0"/>
    <n v="2"/>
    <n v="2"/>
  </r>
  <r>
    <n v="6373"/>
    <x v="1"/>
    <s v="2016/7075"/>
    <m/>
    <s v="7-11 St Johns Hill"/>
    <s v="1st fl"/>
    <n v="527327"/>
    <n v="175384"/>
    <x v="14"/>
    <m/>
    <m/>
    <n v="0"/>
    <n v="10"/>
    <n v="10"/>
    <n v="35"/>
    <n v="35"/>
    <s v="Y"/>
    <s v="Determination as to whether prior approval is required for change of use from office (Class B1a) to 35 x residential units (Class C3) at first to fourth floors."/>
    <s v="PAG"/>
    <d v="2016-12-12T00:00:00"/>
    <d v="2017-02-06T00:00:00"/>
    <x v="0"/>
    <s v="Nil"/>
    <m/>
    <s v="BF"/>
    <x v="3"/>
    <x v="0"/>
    <x v="9"/>
    <n v="4.3000001460313797E-2"/>
    <m/>
    <x v="0"/>
    <m/>
    <x v="0"/>
    <s v="P"/>
    <m/>
    <m/>
    <n v="0"/>
    <m/>
    <n v="0"/>
    <m/>
    <n v="0"/>
    <n v="9"/>
    <n v="1"/>
    <n v="0"/>
    <n v="0"/>
    <n v="0"/>
    <n v="0"/>
    <n v="0"/>
    <n v="9"/>
    <n v="1"/>
    <n v="0"/>
    <n v="0"/>
    <n v="0"/>
    <n v="0"/>
    <n v="0"/>
    <n v="0"/>
    <n v="0"/>
    <n v="0"/>
    <n v="0"/>
    <n v="0"/>
    <n v="0"/>
    <n v="0"/>
    <n v="0"/>
    <n v="0"/>
    <n v="0"/>
    <n v="0"/>
    <n v="0"/>
    <n v="0"/>
    <s v="East"/>
    <x v="5"/>
    <x v="0"/>
    <x v="1"/>
    <x v="0"/>
    <x v="0"/>
    <x v="0"/>
    <m/>
    <x v="0"/>
    <s v="Y"/>
    <s v="9B"/>
    <m/>
    <n v="0"/>
    <n v="0"/>
    <n v="10"/>
    <n v="0"/>
    <n v="0"/>
    <n v="0"/>
    <n v="0"/>
    <n v="0"/>
    <n v="0"/>
    <n v="0"/>
    <n v="0"/>
    <n v="0"/>
    <n v="0"/>
    <n v="0"/>
    <n v="0"/>
    <n v="0"/>
    <n v="0"/>
    <n v="0"/>
    <n v="0"/>
    <n v="0"/>
    <n v="0"/>
    <n v="10"/>
    <n v="10"/>
  </r>
  <r>
    <n v="6373"/>
    <x v="1"/>
    <s v="2016/7075"/>
    <m/>
    <s v="7-11 St Johns Hill"/>
    <s v="2nd fl"/>
    <n v="527327"/>
    <n v="175384"/>
    <x v="14"/>
    <m/>
    <m/>
    <n v="0"/>
    <n v="10"/>
    <n v="10"/>
    <n v="35"/>
    <n v="35"/>
    <s v="Y"/>
    <s v="Determination as to whether prior approval is required for change of use from office (Class B1a) to 35 x residential units (Class C3) at first to fourth floors."/>
    <s v="PAG"/>
    <d v="2016-12-12T00:00:00"/>
    <d v="2017-02-06T00:00:00"/>
    <x v="0"/>
    <s v="Nil"/>
    <m/>
    <s v="BF"/>
    <x v="3"/>
    <x v="0"/>
    <x v="9"/>
    <n v="4.3000001460313797E-2"/>
    <m/>
    <x v="0"/>
    <m/>
    <x v="0"/>
    <s v="P"/>
    <m/>
    <m/>
    <n v="0"/>
    <m/>
    <n v="0"/>
    <m/>
    <n v="0"/>
    <n v="9"/>
    <n v="1"/>
    <n v="0"/>
    <n v="0"/>
    <n v="0"/>
    <n v="0"/>
    <n v="0"/>
    <n v="9"/>
    <n v="1"/>
    <n v="0"/>
    <n v="0"/>
    <n v="0"/>
    <n v="0"/>
    <n v="0"/>
    <n v="0"/>
    <n v="0"/>
    <n v="0"/>
    <n v="0"/>
    <n v="0"/>
    <n v="0"/>
    <n v="0"/>
    <n v="0"/>
    <n v="0"/>
    <n v="0"/>
    <n v="0"/>
    <n v="0"/>
    <n v="0"/>
    <s v="East"/>
    <x v="5"/>
    <x v="0"/>
    <x v="1"/>
    <x v="0"/>
    <x v="0"/>
    <x v="0"/>
    <m/>
    <x v="0"/>
    <s v="Y"/>
    <s v="9B"/>
    <m/>
    <n v="0"/>
    <n v="0"/>
    <n v="10"/>
    <n v="0"/>
    <n v="0"/>
    <n v="0"/>
    <n v="0"/>
    <n v="0"/>
    <n v="0"/>
    <n v="0"/>
    <n v="0"/>
    <n v="0"/>
    <n v="0"/>
    <n v="0"/>
    <n v="0"/>
    <n v="0"/>
    <n v="0"/>
    <n v="0"/>
    <n v="0"/>
    <n v="0"/>
    <n v="0"/>
    <n v="10"/>
    <n v="10"/>
  </r>
  <r>
    <n v="6373"/>
    <x v="1"/>
    <s v="2016/7075"/>
    <m/>
    <s v="7-11 St Johns Hill"/>
    <s v="3rd fl"/>
    <n v="527327"/>
    <n v="175384"/>
    <x v="14"/>
    <m/>
    <m/>
    <n v="0"/>
    <n v="10"/>
    <n v="10"/>
    <n v="35"/>
    <n v="35"/>
    <s v="Y"/>
    <s v="Determination as to whether prior approval is required for change of use from office (Class B1a) to 35 x residential units (Class C3) at first to fourth floors."/>
    <s v="PAG"/>
    <d v="2016-12-12T00:00:00"/>
    <d v="2017-02-06T00:00:00"/>
    <x v="0"/>
    <s v="Nil"/>
    <m/>
    <s v="BF"/>
    <x v="3"/>
    <x v="0"/>
    <x v="9"/>
    <n v="3.9000000804662698E-2"/>
    <m/>
    <x v="0"/>
    <m/>
    <x v="0"/>
    <s v="P"/>
    <m/>
    <m/>
    <n v="0"/>
    <m/>
    <n v="0"/>
    <m/>
    <n v="0"/>
    <n v="9"/>
    <n v="1"/>
    <n v="0"/>
    <n v="0"/>
    <n v="0"/>
    <n v="0"/>
    <n v="0"/>
    <n v="9"/>
    <n v="1"/>
    <n v="0"/>
    <n v="0"/>
    <n v="0"/>
    <n v="0"/>
    <n v="0"/>
    <n v="0"/>
    <n v="0"/>
    <n v="0"/>
    <n v="0"/>
    <n v="0"/>
    <n v="0"/>
    <n v="0"/>
    <n v="0"/>
    <n v="0"/>
    <n v="0"/>
    <n v="0"/>
    <n v="0"/>
    <n v="0"/>
    <s v="East"/>
    <x v="5"/>
    <x v="0"/>
    <x v="1"/>
    <x v="0"/>
    <x v="0"/>
    <x v="0"/>
    <m/>
    <x v="0"/>
    <s v="Y"/>
    <s v="9B"/>
    <m/>
    <n v="0"/>
    <n v="0"/>
    <n v="10"/>
    <n v="0"/>
    <n v="0"/>
    <n v="0"/>
    <n v="0"/>
    <n v="0"/>
    <n v="0"/>
    <n v="0"/>
    <n v="0"/>
    <n v="0"/>
    <n v="0"/>
    <n v="0"/>
    <n v="0"/>
    <n v="0"/>
    <n v="0"/>
    <n v="0"/>
    <n v="0"/>
    <n v="0"/>
    <n v="0"/>
    <n v="10"/>
    <n v="10"/>
  </r>
  <r>
    <n v="6373"/>
    <x v="1"/>
    <s v="2016/7075"/>
    <m/>
    <s v="7-11 St Johns Hill"/>
    <s v="4th fl"/>
    <n v="527327"/>
    <n v="175384"/>
    <x v="14"/>
    <m/>
    <m/>
    <n v="0"/>
    <n v="5"/>
    <n v="5"/>
    <n v="35"/>
    <n v="35"/>
    <s v="Y"/>
    <s v="Determination as to whether prior approval is required for change of use from office (Class B1a) to 35 x residential units (Class C3) at first to fourth floors."/>
    <s v="PAG"/>
    <d v="2016-12-12T00:00:00"/>
    <d v="2017-02-06T00:00:00"/>
    <x v="0"/>
    <s v="Nil"/>
    <m/>
    <s v="BF"/>
    <x v="3"/>
    <x v="0"/>
    <x v="9"/>
    <n v="1.9999999552965199E-2"/>
    <m/>
    <x v="0"/>
    <m/>
    <x v="0"/>
    <s v="P"/>
    <m/>
    <m/>
    <n v="0"/>
    <m/>
    <n v="0"/>
    <m/>
    <n v="0"/>
    <n v="5"/>
    <n v="0"/>
    <n v="0"/>
    <n v="0"/>
    <n v="0"/>
    <n v="0"/>
    <n v="0"/>
    <n v="5"/>
    <n v="0"/>
    <n v="0"/>
    <n v="0"/>
    <n v="0"/>
    <n v="0"/>
    <n v="0"/>
    <n v="0"/>
    <n v="0"/>
    <n v="0"/>
    <n v="0"/>
    <n v="0"/>
    <n v="0"/>
    <n v="0"/>
    <n v="0"/>
    <n v="0"/>
    <n v="0"/>
    <n v="0"/>
    <n v="0"/>
    <n v="0"/>
    <s v="East"/>
    <x v="5"/>
    <x v="0"/>
    <x v="1"/>
    <x v="0"/>
    <x v="0"/>
    <x v="0"/>
    <m/>
    <x v="0"/>
    <s v="Y"/>
    <s v="9B"/>
    <m/>
    <n v="0"/>
    <n v="0"/>
    <n v="5"/>
    <n v="0"/>
    <n v="0"/>
    <n v="0"/>
    <n v="0"/>
    <n v="0"/>
    <n v="0"/>
    <n v="0"/>
    <n v="0"/>
    <n v="0"/>
    <n v="0"/>
    <n v="0"/>
    <n v="0"/>
    <n v="0"/>
    <n v="0"/>
    <n v="0"/>
    <n v="0"/>
    <n v="0"/>
    <n v="0"/>
    <n v="5"/>
    <n v="5"/>
  </r>
  <r>
    <n v="6376"/>
    <x v="1"/>
    <s v="2016/7163"/>
    <m/>
    <s v="Ground and basement 190a, 190a Trinity Road"/>
    <m/>
    <n v="527524"/>
    <n v="173106"/>
    <x v="11"/>
    <m/>
    <m/>
    <n v="1"/>
    <n v="2"/>
    <n v="1"/>
    <n v="2"/>
    <n v="1"/>
    <m/>
    <s v="Excavation to extend basement including formation of front and rear lightwells, and erection of single storey plus basement level rear extension, in association with subdivision of property into a 1 x two-bedroom and 1 x one-bedroom flats (amendments to application ref. 2016/1652 proposing revised design to rear extension and changes to front lightwell)."/>
    <s v="PF"/>
    <d v="2016-12-12T00:00:00"/>
    <d v="2017-02-27T00:00:00"/>
    <x v="0"/>
    <s v="Nil"/>
    <m/>
    <s v="BF"/>
    <x v="1"/>
    <x v="0"/>
    <x v="10"/>
    <n v="8.0000003799796104E-3"/>
    <m/>
    <x v="0"/>
    <m/>
    <x v="0"/>
    <s v="P"/>
    <m/>
    <m/>
    <n v="0"/>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379"/>
    <x v="1"/>
    <s v="2016/5474"/>
    <m/>
    <s v="102 Wakehurst Road"/>
    <m/>
    <n v="528016"/>
    <n v="174865"/>
    <x v="14"/>
    <m/>
    <m/>
    <n v="2"/>
    <n v="1"/>
    <n v="-1"/>
    <n v="1"/>
    <n v="-1"/>
    <m/>
    <s v="Use of building as single dwelling (Class C3)."/>
    <s v="PF"/>
    <d v="2016-09-20T00:00:00"/>
    <d v="2016-11-14T00:00:00"/>
    <x v="0"/>
    <s v="Nil"/>
    <m/>
    <s v="BF"/>
    <x v="1"/>
    <x v="0"/>
    <x v="7"/>
    <n v="1.09999999403954E-2"/>
    <m/>
    <x v="0"/>
    <m/>
    <x v="0"/>
    <s v="P"/>
    <m/>
    <m/>
    <n v="0"/>
    <m/>
    <n v="0"/>
    <m/>
    <n v="0"/>
    <n v="-1"/>
    <n v="-1"/>
    <n v="0"/>
    <n v="1"/>
    <n v="0"/>
    <n v="0"/>
    <n v="0"/>
    <n v="-1"/>
    <n v="-1"/>
    <n v="0"/>
    <n v="0"/>
    <n v="0"/>
    <n v="0"/>
    <n v="0"/>
    <n v="0"/>
    <n v="0"/>
    <n v="0"/>
    <n v="1"/>
    <n v="0"/>
    <n v="0"/>
    <n v="0"/>
    <n v="0"/>
    <n v="0"/>
    <n v="0"/>
    <n v="0"/>
    <n v="0"/>
    <n v="0"/>
    <s v="East"/>
    <x v="0"/>
    <x v="0"/>
    <x v="1"/>
    <x v="0"/>
    <x v="0"/>
    <x v="0"/>
    <m/>
    <x v="0"/>
    <s v="Y"/>
    <s v="9A"/>
    <m/>
    <n v="0"/>
    <n v="-0.25"/>
    <n v="-0.25"/>
    <n v="-0.25"/>
    <n v="-0.25"/>
    <n v="0"/>
    <n v="0"/>
    <n v="0"/>
    <n v="0"/>
    <n v="0"/>
    <n v="0"/>
    <n v="0"/>
    <n v="0"/>
    <n v="0"/>
    <n v="0"/>
    <n v="0"/>
    <n v="0"/>
    <n v="0"/>
    <n v="0"/>
    <n v="0"/>
    <n v="0"/>
    <n v="-1"/>
    <n v="-1"/>
  </r>
  <r>
    <n v="6381"/>
    <x v="1"/>
    <s v="2016/5804"/>
    <m/>
    <s v="189b, 189b Balham High Road"/>
    <m/>
    <n v="528420"/>
    <n v="173036"/>
    <x v="3"/>
    <m/>
    <m/>
    <n v="0"/>
    <n v="1"/>
    <n v="1"/>
    <n v="1"/>
    <n v="1"/>
    <m/>
    <s v="Change of use from storage facility (Class B8) to a single family dwelling house (Class C3) including external alterations."/>
    <s v="PF"/>
    <d v="2016-10-05T00:00:00"/>
    <d v="2016-11-30T00:00:00"/>
    <x v="0"/>
    <s v="Nil"/>
    <m/>
    <s v="BF"/>
    <x v="3"/>
    <x v="0"/>
    <x v="5"/>
    <n v="6.0000000521540598E-3"/>
    <m/>
    <x v="0"/>
    <m/>
    <x v="0"/>
    <s v="P"/>
    <m/>
    <m/>
    <n v="0"/>
    <m/>
    <n v="0"/>
    <m/>
    <n v="0"/>
    <n v="0"/>
    <n v="0"/>
    <n v="1"/>
    <n v="0"/>
    <n v="0"/>
    <n v="0"/>
    <n v="0"/>
    <n v="0"/>
    <n v="0"/>
    <n v="0"/>
    <n v="0"/>
    <n v="0"/>
    <n v="0"/>
    <n v="0"/>
    <n v="0"/>
    <n v="0"/>
    <n v="1"/>
    <n v="0"/>
    <n v="0"/>
    <n v="0"/>
    <n v="0"/>
    <n v="0"/>
    <n v="0"/>
    <n v="0"/>
    <n v="0"/>
    <n v="0"/>
    <n v="0"/>
    <s v="East"/>
    <x v="0"/>
    <x v="0"/>
    <x v="1"/>
    <x v="0"/>
    <x v="0"/>
    <x v="0"/>
    <m/>
    <x v="0"/>
    <s v="Y"/>
    <s v="9A"/>
    <m/>
    <n v="0"/>
    <n v="0.25"/>
    <n v="0.25"/>
    <n v="0.25"/>
    <n v="0.25"/>
    <n v="0"/>
    <n v="0"/>
    <n v="0"/>
    <n v="0"/>
    <n v="0"/>
    <n v="0"/>
    <n v="0"/>
    <n v="0"/>
    <n v="0"/>
    <n v="0"/>
    <n v="0"/>
    <n v="0"/>
    <n v="0"/>
    <n v="0"/>
    <n v="0"/>
    <n v="0"/>
    <n v="1"/>
    <n v="1"/>
  </r>
  <r>
    <n v="6384"/>
    <x v="1"/>
    <s v="2016/5759"/>
    <m/>
    <s v="197a, 197a Wandsworth High Street"/>
    <m/>
    <n v="525320"/>
    <n v="174642"/>
    <x v="5"/>
    <m/>
    <m/>
    <n v="1"/>
    <n v="1"/>
    <n v="0"/>
    <n v="2"/>
    <n v="1"/>
    <m/>
    <s v="Erection of front and rear mansard roof extensions to provide additional floor of accommodation; erection of first floor rear extension and formation of rear roof terrace at rear of first floor; use of upper floors as 2 x 1-bedroom flats."/>
    <s v="PF"/>
    <d v="2016-10-12T00:00:00"/>
    <d v="2016-12-07T00:00:00"/>
    <x v="0"/>
    <s v="Nil"/>
    <m/>
    <s v="BF"/>
    <x v="4"/>
    <x v="0"/>
    <x v="10"/>
    <n v="3.0000000260770299E-3"/>
    <m/>
    <x v="0"/>
    <m/>
    <x v="0"/>
    <s v="P"/>
    <m/>
    <m/>
    <n v="0"/>
    <m/>
    <n v="0"/>
    <m/>
    <n v="0"/>
    <n v="1"/>
    <n v="-1"/>
    <n v="0"/>
    <n v="0"/>
    <n v="0"/>
    <n v="0"/>
    <n v="0"/>
    <n v="1"/>
    <n v="-1"/>
    <n v="0"/>
    <n v="0"/>
    <n v="0"/>
    <n v="0"/>
    <n v="0"/>
    <n v="0"/>
    <n v="0"/>
    <n v="0"/>
    <n v="0"/>
    <n v="0"/>
    <n v="0"/>
    <n v="0"/>
    <n v="0"/>
    <n v="0"/>
    <n v="0"/>
    <n v="0"/>
    <n v="0"/>
    <n v="0"/>
    <s v="West"/>
    <x v="4"/>
    <x v="0"/>
    <x v="0"/>
    <x v="0"/>
    <x v="0"/>
    <x v="0"/>
    <m/>
    <x v="0"/>
    <s v="Y"/>
    <s v="9A"/>
    <m/>
    <n v="0"/>
    <n v="0"/>
    <n v="0"/>
    <n v="0"/>
    <n v="0"/>
    <n v="0"/>
    <n v="0"/>
    <n v="0"/>
    <n v="0"/>
    <n v="0"/>
    <n v="0"/>
    <n v="0"/>
    <n v="0"/>
    <n v="0"/>
    <n v="0"/>
    <n v="0"/>
    <n v="0"/>
    <n v="0"/>
    <n v="0"/>
    <n v="0"/>
    <n v="0"/>
    <n v="0"/>
    <n v="0"/>
  </r>
  <r>
    <n v="6384"/>
    <x v="1"/>
    <s v="2016/5759"/>
    <m/>
    <s v="197a, 197a Wandsworth High Street"/>
    <m/>
    <n v="525320"/>
    <n v="174642"/>
    <x v="5"/>
    <m/>
    <m/>
    <n v="0"/>
    <n v="1"/>
    <n v="1"/>
    <n v="2"/>
    <n v="1"/>
    <m/>
    <s v="Erection of front and rear mansard roof extensions to provide additional floor of accommodation; erection of first floor rear extension and formation of rear roof terrace at rear of first floor; use of upper floors as 2 x 1-bedroom flats."/>
    <s v="PF"/>
    <d v="2016-10-12T00:00:00"/>
    <d v="2016-12-07T00:00:00"/>
    <x v="0"/>
    <s v="Nil"/>
    <m/>
    <s v="BF"/>
    <x v="4"/>
    <x v="0"/>
    <x v="0"/>
    <n v="2.0000000949949E-3"/>
    <m/>
    <x v="0"/>
    <m/>
    <x v="0"/>
    <s v="P"/>
    <m/>
    <m/>
    <n v="0"/>
    <m/>
    <n v="0"/>
    <m/>
    <n v="0"/>
    <n v="1"/>
    <n v="0"/>
    <n v="0"/>
    <n v="0"/>
    <n v="0"/>
    <n v="0"/>
    <n v="0"/>
    <n v="1"/>
    <n v="0"/>
    <n v="0"/>
    <n v="0"/>
    <n v="0"/>
    <n v="0"/>
    <n v="0"/>
    <n v="0"/>
    <n v="0"/>
    <n v="0"/>
    <n v="0"/>
    <n v="0"/>
    <n v="0"/>
    <n v="0"/>
    <n v="0"/>
    <n v="0"/>
    <n v="0"/>
    <n v="0"/>
    <n v="0"/>
    <n v="0"/>
    <s v="West"/>
    <x v="4"/>
    <x v="0"/>
    <x v="0"/>
    <x v="0"/>
    <x v="0"/>
    <x v="0"/>
    <m/>
    <x v="0"/>
    <s v="Y"/>
    <s v="9A"/>
    <m/>
    <n v="0"/>
    <n v="0.25"/>
    <n v="0.25"/>
    <n v="0.25"/>
    <n v="0.25"/>
    <n v="0"/>
    <n v="0"/>
    <n v="0"/>
    <n v="0"/>
    <n v="0"/>
    <n v="0"/>
    <n v="0"/>
    <n v="0"/>
    <n v="0"/>
    <n v="0"/>
    <n v="0"/>
    <n v="0"/>
    <n v="0"/>
    <n v="0"/>
    <n v="0"/>
    <n v="0"/>
    <n v="1"/>
    <n v="1"/>
  </r>
  <r>
    <n v="6387"/>
    <x v="1"/>
    <s v="2016/5653"/>
    <m/>
    <s v="20 Spencer Park"/>
    <m/>
    <n v="526873"/>
    <n v="174722"/>
    <x v="17"/>
    <m/>
    <m/>
    <n v="1"/>
    <n v="2"/>
    <n v="1"/>
    <n v="2"/>
    <n v="1"/>
    <m/>
    <s v="Conversion of the existing single dwelling into two x dwellings to create 1 x 5-bedroom unit and 1 x 3-bedroom unit. Alterations including erection of single-storey replacement side and rear extension including new front entrance porch."/>
    <s v="PF"/>
    <d v="2016-10-24T00:00:00"/>
    <d v="2016-12-19T00:00:00"/>
    <x v="0"/>
    <s v="Nil"/>
    <m/>
    <s v="BF"/>
    <x v="4"/>
    <x v="0"/>
    <x v="10"/>
    <n v="7.9999998211860698E-2"/>
    <m/>
    <x v="0"/>
    <m/>
    <x v="0"/>
    <s v="P"/>
    <m/>
    <m/>
    <n v="0"/>
    <m/>
    <n v="0"/>
    <m/>
    <n v="0"/>
    <n v="0"/>
    <n v="0"/>
    <n v="1"/>
    <n v="0"/>
    <n v="0"/>
    <n v="0"/>
    <n v="0"/>
    <n v="0"/>
    <n v="0"/>
    <n v="0"/>
    <n v="0"/>
    <n v="0"/>
    <n v="0"/>
    <n v="0"/>
    <n v="0"/>
    <n v="0"/>
    <n v="1"/>
    <n v="0"/>
    <n v="0"/>
    <n v="0"/>
    <n v="0"/>
    <n v="0"/>
    <n v="0"/>
    <n v="0"/>
    <n v="0"/>
    <n v="0"/>
    <n v="0"/>
    <s v="West"/>
    <x v="0"/>
    <x v="0"/>
    <x v="1"/>
    <x v="0"/>
    <x v="0"/>
    <x v="0"/>
    <m/>
    <x v="0"/>
    <s v="Y"/>
    <s v="9A"/>
    <m/>
    <n v="0"/>
    <n v="0.25"/>
    <n v="0.25"/>
    <n v="0.25"/>
    <n v="0.25"/>
    <n v="0"/>
    <n v="0"/>
    <n v="0"/>
    <n v="0"/>
    <n v="0"/>
    <n v="0"/>
    <n v="0"/>
    <n v="0"/>
    <n v="0"/>
    <n v="0"/>
    <n v="0"/>
    <n v="0"/>
    <n v="0"/>
    <n v="0"/>
    <n v="0"/>
    <n v="0"/>
    <n v="1"/>
    <n v="1"/>
  </r>
  <r>
    <n v="6388"/>
    <x v="1"/>
    <s v="2016/6183"/>
    <m/>
    <s v="167B, 167 Latchmere Road"/>
    <m/>
    <n v="527765"/>
    <n v="175737"/>
    <x v="10"/>
    <m/>
    <m/>
    <n v="1"/>
    <n v="1"/>
    <n v="0"/>
    <n v="2"/>
    <n v="1"/>
    <m/>
    <s v="Erection of mansard roof extension to main rear roof and above part of three storey back addition including formation of roof terrace with 1.7m high safety balustrade surround to create 1 x 2-bedroom unit."/>
    <s v="PF"/>
    <d v="2016-10-25T00:00:00"/>
    <d v="2016-12-20T00:00:00"/>
    <x v="0"/>
    <s v="Nil"/>
    <m/>
    <s v="BF"/>
    <x v="4"/>
    <x v="0"/>
    <x v="10"/>
    <n v="7.0000002160668399E-3"/>
    <m/>
    <x v="0"/>
    <m/>
    <x v="0"/>
    <s v="P"/>
    <m/>
    <m/>
    <n v="0"/>
    <m/>
    <n v="0"/>
    <m/>
    <n v="0"/>
    <n v="0"/>
    <n v="-1"/>
    <n v="1"/>
    <n v="0"/>
    <n v="0"/>
    <n v="0"/>
    <n v="0"/>
    <n v="0"/>
    <n v="-1"/>
    <n v="1"/>
    <n v="0"/>
    <n v="0"/>
    <n v="0"/>
    <n v="0"/>
    <n v="0"/>
    <n v="0"/>
    <n v="0"/>
    <n v="0"/>
    <n v="0"/>
    <n v="0"/>
    <n v="0"/>
    <n v="0"/>
    <n v="0"/>
    <n v="0"/>
    <n v="0"/>
    <n v="0"/>
    <n v="0"/>
    <s v="East"/>
    <x v="0"/>
    <x v="0"/>
    <x v="1"/>
    <x v="0"/>
    <x v="0"/>
    <x v="0"/>
    <m/>
    <x v="0"/>
    <s v="Y"/>
    <s v="9A"/>
    <m/>
    <n v="0"/>
    <n v="0"/>
    <n v="0"/>
    <n v="0"/>
    <n v="0"/>
    <n v="0"/>
    <n v="0"/>
    <n v="0"/>
    <n v="0"/>
    <n v="0"/>
    <n v="0"/>
    <n v="0"/>
    <n v="0"/>
    <n v="0"/>
    <n v="0"/>
    <n v="0"/>
    <n v="0"/>
    <n v="0"/>
    <n v="0"/>
    <n v="0"/>
    <n v="0"/>
    <n v="0"/>
    <n v="0"/>
  </r>
  <r>
    <n v="6388"/>
    <x v="1"/>
    <s v="2016/6183"/>
    <m/>
    <s v="167B, 167 Latchmere Road"/>
    <m/>
    <n v="527765"/>
    <n v="175737"/>
    <x v="10"/>
    <m/>
    <m/>
    <n v="0"/>
    <n v="1"/>
    <n v="1"/>
    <n v="2"/>
    <n v="1"/>
    <m/>
    <s v="Erection of mansard roof extension to main rear roof and above part of three storey back addition including formation of roof terrace with 1.7m high safety balustrade surround to create 1 x 2-bedroom unit."/>
    <s v="PF"/>
    <d v="2016-10-25T00:00:00"/>
    <d v="2016-12-20T00:00:00"/>
    <x v="0"/>
    <s v="Nil"/>
    <m/>
    <s v="BF"/>
    <x v="4"/>
    <x v="0"/>
    <x v="0"/>
    <n v="6.0000000521540598E-3"/>
    <m/>
    <x v="0"/>
    <m/>
    <x v="0"/>
    <s v="P"/>
    <m/>
    <m/>
    <n v="0"/>
    <m/>
    <n v="0"/>
    <m/>
    <n v="0"/>
    <n v="0"/>
    <n v="1"/>
    <n v="0"/>
    <n v="0"/>
    <n v="0"/>
    <n v="0"/>
    <n v="0"/>
    <n v="0"/>
    <n v="1"/>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390"/>
    <x v="1"/>
    <s v="2016/6187"/>
    <m/>
    <s v="28 Harvard Mansions, St Johns Hill"/>
    <m/>
    <n v="526853"/>
    <n v="175074"/>
    <x v="0"/>
    <m/>
    <m/>
    <n v="1"/>
    <n v="2"/>
    <n v="1"/>
    <n v="2"/>
    <n v="1"/>
    <m/>
    <s v="Conversion of existing 4-bedroom flat into 1 x 1-bedroom flat and 1 x studio apartment."/>
    <s v="PF"/>
    <d v="2016-10-27T00:00:00"/>
    <d v="2016-12-21T00:00:00"/>
    <x v="0"/>
    <s v="Nil"/>
    <m/>
    <s v="BF"/>
    <x v="1"/>
    <x v="0"/>
    <x v="10"/>
    <n v="8.0000003799796104E-3"/>
    <m/>
    <x v="0"/>
    <m/>
    <x v="0"/>
    <s v="P"/>
    <m/>
    <m/>
    <n v="0"/>
    <m/>
    <n v="0"/>
    <m/>
    <n v="1"/>
    <n v="1"/>
    <n v="0"/>
    <n v="0"/>
    <n v="-1"/>
    <n v="0"/>
    <n v="0"/>
    <n v="1"/>
    <n v="1"/>
    <n v="0"/>
    <n v="0"/>
    <n v="-1"/>
    <n v="0"/>
    <n v="0"/>
    <n v="0"/>
    <n v="0"/>
    <n v="0"/>
    <n v="0"/>
    <n v="0"/>
    <n v="0"/>
    <n v="0"/>
    <n v="0"/>
    <n v="0"/>
    <n v="0"/>
    <n v="0"/>
    <n v="0"/>
    <n v="0"/>
    <n v="0"/>
    <s v="West"/>
    <x v="0"/>
    <x v="0"/>
    <x v="1"/>
    <x v="0"/>
    <x v="0"/>
    <x v="0"/>
    <m/>
    <x v="0"/>
    <s v="Y"/>
    <s v="9A"/>
    <m/>
    <n v="0"/>
    <n v="0.25"/>
    <n v="0.25"/>
    <n v="0.25"/>
    <n v="0.25"/>
    <n v="0"/>
    <n v="0"/>
    <n v="0"/>
    <n v="0"/>
    <n v="0"/>
    <n v="0"/>
    <n v="0"/>
    <n v="0"/>
    <n v="0"/>
    <n v="0"/>
    <n v="0"/>
    <n v="0"/>
    <n v="0"/>
    <n v="0"/>
    <n v="0"/>
    <n v="0"/>
    <n v="1"/>
    <n v="1"/>
  </r>
  <r>
    <n v="6391"/>
    <x v="1"/>
    <s v="2016/6206"/>
    <m/>
    <s v="26 Harvard Mansions, St Johns Hill"/>
    <m/>
    <n v="526853"/>
    <n v="175074"/>
    <x v="0"/>
    <m/>
    <m/>
    <n v="1"/>
    <n v="2"/>
    <n v="1"/>
    <n v="2"/>
    <n v="1"/>
    <m/>
    <s v="Conversion of existing 4-bedroom flat into 1 x 1-bedroom flat and 1 x studio apartment."/>
    <s v="PF"/>
    <d v="2016-10-27T00:00:00"/>
    <d v="2016-12-21T00:00:00"/>
    <x v="0"/>
    <s v="Nil"/>
    <m/>
    <s v="BF"/>
    <x v="1"/>
    <x v="0"/>
    <x v="10"/>
    <n v="6.0000000521540598E-3"/>
    <m/>
    <x v="0"/>
    <m/>
    <x v="0"/>
    <s v="P"/>
    <m/>
    <m/>
    <n v="0"/>
    <m/>
    <n v="0"/>
    <m/>
    <n v="1"/>
    <n v="1"/>
    <n v="0"/>
    <n v="0"/>
    <n v="-1"/>
    <n v="0"/>
    <n v="0"/>
    <n v="1"/>
    <n v="1"/>
    <n v="0"/>
    <n v="0"/>
    <n v="-1"/>
    <n v="0"/>
    <n v="0"/>
    <n v="0"/>
    <n v="0"/>
    <n v="0"/>
    <n v="0"/>
    <n v="0"/>
    <n v="0"/>
    <n v="0"/>
    <n v="0"/>
    <n v="0"/>
    <n v="0"/>
    <n v="0"/>
    <n v="0"/>
    <n v="0"/>
    <n v="0"/>
    <s v="West"/>
    <x v="0"/>
    <x v="0"/>
    <x v="1"/>
    <x v="0"/>
    <x v="0"/>
    <x v="0"/>
    <m/>
    <x v="0"/>
    <s v="Y"/>
    <s v="9A"/>
    <m/>
    <n v="0"/>
    <n v="0.25"/>
    <n v="0.25"/>
    <n v="0.25"/>
    <n v="0.25"/>
    <n v="0"/>
    <n v="0"/>
    <n v="0"/>
    <n v="0"/>
    <n v="0"/>
    <n v="0"/>
    <n v="0"/>
    <n v="0"/>
    <n v="0"/>
    <n v="0"/>
    <n v="0"/>
    <n v="0"/>
    <n v="0"/>
    <n v="0"/>
    <n v="0"/>
    <n v="0"/>
    <n v="1"/>
    <n v="1"/>
  </r>
  <r>
    <n v="6392"/>
    <x v="1"/>
    <s v="2016/6355"/>
    <m/>
    <s v="122 Clapham Common West Side"/>
    <m/>
    <n v="528007"/>
    <n v="175012"/>
    <x v="14"/>
    <m/>
    <m/>
    <n v="2"/>
    <n v="2"/>
    <n v="0"/>
    <n v="2"/>
    <n v="0"/>
    <m/>
    <s v="Alterations including erection of single storey side/rear extension, replacement windows, and bin store to front area in connection with conversion of building into 2 x 3-bedroom flats."/>
    <s v="PF"/>
    <d v="2016-10-31T00:00:00"/>
    <d v="2016-12-22T00:00:00"/>
    <x v="0"/>
    <s v="Nil"/>
    <m/>
    <s v="BF"/>
    <x v="4"/>
    <x v="0"/>
    <x v="8"/>
    <n v="1.9999999552965199E-2"/>
    <m/>
    <x v="0"/>
    <m/>
    <x v="0"/>
    <s v="P"/>
    <m/>
    <m/>
    <n v="0"/>
    <m/>
    <n v="0"/>
    <m/>
    <n v="-1"/>
    <n v="0"/>
    <n v="0"/>
    <n v="2"/>
    <n v="-1"/>
    <n v="0"/>
    <n v="0"/>
    <n v="-1"/>
    <n v="0"/>
    <n v="0"/>
    <n v="2"/>
    <n v="0"/>
    <n v="0"/>
    <n v="0"/>
    <n v="0"/>
    <n v="0"/>
    <n v="0"/>
    <n v="0"/>
    <n v="-1"/>
    <n v="0"/>
    <n v="0"/>
    <n v="0"/>
    <n v="0"/>
    <n v="0"/>
    <n v="0"/>
    <n v="0"/>
    <n v="0"/>
    <n v="0"/>
    <s v="East"/>
    <x v="0"/>
    <x v="0"/>
    <x v="1"/>
    <x v="0"/>
    <x v="0"/>
    <x v="0"/>
    <m/>
    <x v="0"/>
    <s v="Y"/>
    <s v="9A"/>
    <m/>
    <n v="0"/>
    <n v="0"/>
    <n v="0"/>
    <n v="0"/>
    <n v="0"/>
    <n v="0"/>
    <n v="0"/>
    <n v="0"/>
    <n v="0"/>
    <n v="0"/>
    <n v="0"/>
    <n v="0"/>
    <n v="0"/>
    <n v="0"/>
    <n v="0"/>
    <n v="0"/>
    <n v="0"/>
    <n v="0"/>
    <n v="0"/>
    <n v="0"/>
    <n v="0"/>
    <n v="0"/>
    <n v="0"/>
  </r>
  <r>
    <n v="6393"/>
    <x v="1"/>
    <s v="2016/6303"/>
    <m/>
    <s v="111-113, 111-113 Deodar Road"/>
    <m/>
    <n v="524601"/>
    <n v="175366"/>
    <x v="13"/>
    <m/>
    <m/>
    <n v="2"/>
    <n v="1"/>
    <n v="-1"/>
    <n v="1"/>
    <n v="-1"/>
    <m/>
    <s v="Conversion of two flats into a maisonette and external alterations to windows on the north and east elevations."/>
    <s v="PF"/>
    <d v="2016-11-07T00:00:00"/>
    <d v="2016-12-30T00:00:00"/>
    <x v="0"/>
    <s v="Nil"/>
    <m/>
    <s v="BF"/>
    <x v="1"/>
    <x v="0"/>
    <x v="2"/>
    <n v="1.4999999664723899E-2"/>
    <m/>
    <x v="0"/>
    <m/>
    <x v="0"/>
    <s v="P"/>
    <m/>
    <m/>
    <n v="1"/>
    <m/>
    <n v="0"/>
    <m/>
    <n v="0"/>
    <n v="0"/>
    <n v="0"/>
    <n v="-2"/>
    <n v="0"/>
    <n v="1"/>
    <n v="0"/>
    <n v="0"/>
    <n v="0"/>
    <n v="0"/>
    <n v="-2"/>
    <n v="0"/>
    <n v="1"/>
    <n v="0"/>
    <n v="0"/>
    <n v="0"/>
    <n v="0"/>
    <n v="0"/>
    <n v="0"/>
    <n v="0"/>
    <n v="0"/>
    <n v="0"/>
    <n v="0"/>
    <n v="0"/>
    <n v="0"/>
    <n v="0"/>
    <n v="0"/>
    <n v="0"/>
    <s v="West"/>
    <x v="0"/>
    <x v="0"/>
    <x v="1"/>
    <x v="0"/>
    <x v="0"/>
    <x v="0"/>
    <s v="Y"/>
    <x v="0"/>
    <s v="Y"/>
    <s v="9A"/>
    <m/>
    <n v="0"/>
    <n v="-0.25"/>
    <n v="-0.25"/>
    <n v="-0.25"/>
    <n v="-0.25"/>
    <n v="0"/>
    <n v="0"/>
    <n v="0"/>
    <n v="0"/>
    <n v="0"/>
    <n v="0"/>
    <n v="0"/>
    <n v="0"/>
    <n v="0"/>
    <n v="0"/>
    <n v="0"/>
    <n v="0"/>
    <n v="0"/>
    <n v="0"/>
    <n v="0"/>
    <n v="0"/>
    <n v="-1"/>
    <n v="-1"/>
  </r>
  <r>
    <n v="6395"/>
    <x v="1"/>
    <s v="2017/5378"/>
    <m/>
    <s v="14 Gayville Road"/>
    <m/>
    <n v="527848"/>
    <n v="174152"/>
    <x v="14"/>
    <m/>
    <m/>
    <n v="1"/>
    <n v="2"/>
    <n v="1"/>
    <n v="2"/>
    <n v="1"/>
    <m/>
    <s v="Alterations including erection of mansard roof extension to main rear roof including formation of roof terrace with 1.7m high screen surround. Erection of single-storey rear/side extension and excavation to enlarge basement including formation of front, rear and side lightwells with grilles over in connection with the conversion of property into 2 x-3 bedroom flats with associated cycle and refuse storage."/>
    <s v="PF"/>
    <d v="2017-09-28T00:00:00"/>
    <d v="2017-11-14T00:00:00"/>
    <x v="1"/>
    <s v="Nil"/>
    <m/>
    <s v="BF"/>
    <x v="4"/>
    <x v="0"/>
    <x v="8"/>
    <n v="1.30000002682209E-2"/>
    <m/>
    <x v="0"/>
    <m/>
    <x v="0"/>
    <s v="P"/>
    <m/>
    <m/>
    <n v="0"/>
    <m/>
    <n v="0"/>
    <m/>
    <n v="0"/>
    <n v="0"/>
    <n v="0"/>
    <n v="2"/>
    <n v="-1"/>
    <n v="0"/>
    <n v="0"/>
    <n v="0"/>
    <n v="0"/>
    <n v="0"/>
    <n v="2"/>
    <n v="0"/>
    <n v="0"/>
    <n v="0"/>
    <n v="0"/>
    <n v="0"/>
    <n v="0"/>
    <n v="0"/>
    <n v="-1"/>
    <n v="0"/>
    <n v="0"/>
    <n v="0"/>
    <n v="0"/>
    <n v="0"/>
    <n v="0"/>
    <n v="0"/>
    <n v="0"/>
    <n v="0"/>
    <s v="East"/>
    <x v="0"/>
    <x v="0"/>
    <x v="1"/>
    <x v="0"/>
    <x v="0"/>
    <x v="0"/>
    <m/>
    <x v="0"/>
    <s v="Y"/>
    <s v="9A"/>
    <m/>
    <n v="0"/>
    <n v="0.25"/>
    <n v="0.25"/>
    <n v="0.25"/>
    <n v="0.25"/>
    <n v="0"/>
    <n v="0"/>
    <n v="0"/>
    <n v="0"/>
    <n v="0"/>
    <n v="0"/>
    <n v="0"/>
    <n v="0"/>
    <n v="0"/>
    <n v="0"/>
    <n v="0"/>
    <n v="0"/>
    <n v="0"/>
    <n v="0"/>
    <n v="0"/>
    <n v="0"/>
    <n v="1"/>
    <n v="1"/>
  </r>
  <r>
    <n v="6401"/>
    <x v="1"/>
    <s v="2017/2906"/>
    <m/>
    <s v="228 Mitcham Road"/>
    <m/>
    <n v="527976"/>
    <n v="170842"/>
    <x v="8"/>
    <m/>
    <m/>
    <n v="1"/>
    <n v="5"/>
    <n v="4"/>
    <n v="5"/>
    <n v="4"/>
    <m/>
    <s v="Alterations including erection of a three-storey rear extension plus mansard roof extension to main rear roof and over rear extension, erection of a single storey rear/side extension, enlargement of basement including formation of front lighwell and excavation of rear garden, landscaping works and alterations in connection with conversion of building into 3 x 3-bedroom and 2 x 2-bedroom flats."/>
    <s v="PF"/>
    <d v="2017-05-22T00:00:00"/>
    <d v="2017-09-25T00:00:00"/>
    <x v="1"/>
    <s v="Nil"/>
    <m/>
    <s v="BF"/>
    <x v="4"/>
    <x v="0"/>
    <x v="8"/>
    <n v="3.29999998211861E-2"/>
    <m/>
    <x v="0"/>
    <m/>
    <x v="0"/>
    <s v="P"/>
    <m/>
    <m/>
    <n v="0"/>
    <m/>
    <n v="0"/>
    <m/>
    <n v="0"/>
    <n v="0"/>
    <n v="2"/>
    <n v="3"/>
    <n v="0"/>
    <n v="-1"/>
    <n v="0"/>
    <n v="0"/>
    <n v="0"/>
    <n v="2"/>
    <n v="3"/>
    <n v="0"/>
    <n v="0"/>
    <n v="0"/>
    <n v="0"/>
    <n v="0"/>
    <n v="0"/>
    <n v="0"/>
    <n v="0"/>
    <n v="-1"/>
    <n v="0"/>
    <n v="0"/>
    <n v="0"/>
    <n v="0"/>
    <n v="0"/>
    <n v="0"/>
    <n v="0"/>
    <n v="0"/>
    <s v="East"/>
    <x v="0"/>
    <x v="0"/>
    <x v="1"/>
    <x v="0"/>
    <x v="0"/>
    <x v="0"/>
    <m/>
    <x v="0"/>
    <s v="Y"/>
    <s v="9A"/>
    <m/>
    <n v="0"/>
    <n v="1"/>
    <n v="1"/>
    <n v="1"/>
    <n v="1"/>
    <n v="0"/>
    <n v="0"/>
    <n v="0"/>
    <n v="0"/>
    <n v="0"/>
    <n v="0"/>
    <n v="0"/>
    <n v="0"/>
    <n v="0"/>
    <n v="0"/>
    <n v="0"/>
    <n v="0"/>
    <n v="0"/>
    <n v="0"/>
    <n v="0"/>
    <n v="0"/>
    <n v="4"/>
    <n v="4"/>
  </r>
  <r>
    <n v="6403"/>
    <x v="1"/>
    <s v="2016/6088"/>
    <m/>
    <s v="25/25a, 25/25a St Johns Avenue"/>
    <m/>
    <n v="523845"/>
    <n v="174877"/>
    <x v="16"/>
    <m/>
    <m/>
    <n v="2"/>
    <n v="2"/>
    <n v="0"/>
    <n v="2"/>
    <n v="0"/>
    <m/>
    <s v="Demolition of existing buildings and erection of two x four-storey (plus basement) detached houses including formation of front and rear lightwells, and front and rear roof terraces at third floor level; associated tree removals, landscaping, new boundary treatment and four off-street parking spaces."/>
    <s v="PF"/>
    <d v="2016-10-18T00:00:00"/>
    <d v="2017-01-18T00:00:00"/>
    <x v="0"/>
    <s v="Nil"/>
    <m/>
    <s v="BF"/>
    <x v="0"/>
    <x v="0"/>
    <x v="0"/>
    <n v="0.10199999809265101"/>
    <m/>
    <x v="0"/>
    <m/>
    <x v="0"/>
    <s v="P"/>
    <m/>
    <m/>
    <n v="0"/>
    <m/>
    <n v="2"/>
    <m/>
    <n v="0"/>
    <n v="0"/>
    <n v="0"/>
    <n v="-1"/>
    <n v="1"/>
    <n v="0"/>
    <n v="0"/>
    <n v="0"/>
    <n v="0"/>
    <n v="0"/>
    <n v="0"/>
    <n v="0"/>
    <n v="0"/>
    <n v="0"/>
    <n v="0"/>
    <n v="0"/>
    <n v="0"/>
    <n v="-1"/>
    <n v="1"/>
    <n v="0"/>
    <n v="0"/>
    <n v="0"/>
    <n v="0"/>
    <n v="0"/>
    <n v="0"/>
    <n v="0"/>
    <n v="0"/>
    <n v="0"/>
    <s v="West"/>
    <x v="0"/>
    <x v="0"/>
    <x v="1"/>
    <x v="0"/>
    <x v="0"/>
    <x v="0"/>
    <m/>
    <x v="0"/>
    <s v="Y"/>
    <n v="4"/>
    <m/>
    <n v="0"/>
    <n v="0"/>
    <n v="0"/>
    <n v="0"/>
    <n v="0"/>
    <n v="0"/>
    <n v="0"/>
    <n v="0"/>
    <n v="0"/>
    <n v="0"/>
    <n v="0"/>
    <n v="0"/>
    <n v="0"/>
    <n v="0"/>
    <n v="0"/>
    <n v="0"/>
    <n v="0"/>
    <n v="0"/>
    <n v="0"/>
    <n v="0"/>
    <n v="0"/>
    <n v="0"/>
    <n v="0"/>
  </r>
  <r>
    <n v="6404"/>
    <x v="1"/>
    <s v="2017/0805"/>
    <m/>
    <s v="Land rear of 857, 857 Garratt Lane"/>
    <m/>
    <n v="526552"/>
    <n v="172073"/>
    <x v="18"/>
    <m/>
    <m/>
    <n v="1"/>
    <n v="9"/>
    <n v="8"/>
    <n v="9"/>
    <n v="8"/>
    <m/>
    <s v="Demolition of existing house (857E Garratt Lane) and erection of three-storey (plus basement) building to provide 5 x 1-bedroom flats and 4 x 2-bedroom flats including front light wells and front and rear balconies/roof terraces at first floor and second floor levels, with associated boundary treatment, refuse and cycle stores and landscaping."/>
    <s v="PF"/>
    <d v="2017-02-10T00:00:00"/>
    <d v="2017-04-27T00:00:00"/>
    <x v="1"/>
    <s v="Nil"/>
    <m/>
    <s v="BF"/>
    <x v="0"/>
    <x v="0"/>
    <x v="0"/>
    <n v="1.7999999225139601E-2"/>
    <m/>
    <x v="0"/>
    <m/>
    <x v="0"/>
    <s v="P"/>
    <m/>
    <m/>
    <n v="8"/>
    <m/>
    <n v="1"/>
    <m/>
    <n v="0"/>
    <n v="5"/>
    <n v="3"/>
    <n v="0"/>
    <n v="0"/>
    <n v="0"/>
    <n v="0"/>
    <n v="0"/>
    <n v="5"/>
    <n v="4"/>
    <n v="0"/>
    <n v="0"/>
    <n v="0"/>
    <n v="0"/>
    <n v="0"/>
    <n v="0"/>
    <n v="-1"/>
    <n v="0"/>
    <n v="0"/>
    <n v="0"/>
    <n v="0"/>
    <n v="0"/>
    <n v="0"/>
    <n v="0"/>
    <n v="0"/>
    <n v="0"/>
    <n v="0"/>
    <n v="0"/>
    <s v="West"/>
    <x v="0"/>
    <x v="0"/>
    <x v="1"/>
    <x v="0"/>
    <x v="0"/>
    <x v="0"/>
    <m/>
    <x v="0"/>
    <s v="Y"/>
    <s v="5A"/>
    <m/>
    <n v="0"/>
    <n v="0"/>
    <n v="8"/>
    <n v="0"/>
    <n v="0"/>
    <n v="0"/>
    <n v="0"/>
    <n v="0"/>
    <n v="0"/>
    <n v="0"/>
    <n v="0"/>
    <n v="0"/>
    <n v="0"/>
    <n v="0"/>
    <n v="0"/>
    <n v="0"/>
    <n v="0"/>
    <n v="0"/>
    <n v="0"/>
    <n v="0"/>
    <n v="0"/>
    <n v="8"/>
    <n v="8"/>
  </r>
  <r>
    <n v="6405"/>
    <x v="1"/>
    <s v="2016/6655"/>
    <m/>
    <s v="163-165, 163-165 Balham High Road"/>
    <m/>
    <n v="528518"/>
    <n v="173236"/>
    <x v="9"/>
    <m/>
    <m/>
    <n v="0"/>
    <n v="4"/>
    <n v="4"/>
    <n v="4"/>
    <n v="4"/>
    <m/>
    <s v="Installation of new shopfront including new front access to flats. Alterations including erection of first floor side extension with terrace above, creation of terrace at first floor and conversion of upper floors (ancillary storage to Class A1 retaill use) into 4 x 2-bedroom flats (Class C3 residential use) with associated cycle and refuse storage. Demolition of part of the rear ground floor to provide reduced retail floorspace (Use Class A1)."/>
    <s v="PF"/>
    <d v="2016-11-17T00:00:00"/>
    <d v="2017-01-18T00:00:00"/>
    <x v="0"/>
    <s v="Nil"/>
    <m/>
    <s v="BF"/>
    <x v="4"/>
    <x v="0"/>
    <x v="4"/>
    <n v="4.6999998390674598E-2"/>
    <m/>
    <x v="0"/>
    <m/>
    <x v="0"/>
    <s v="P"/>
    <m/>
    <m/>
    <n v="0"/>
    <m/>
    <n v="0"/>
    <m/>
    <n v="0"/>
    <n v="0"/>
    <n v="4"/>
    <n v="0"/>
    <n v="0"/>
    <n v="0"/>
    <n v="0"/>
    <n v="0"/>
    <n v="0"/>
    <n v="4"/>
    <n v="0"/>
    <n v="0"/>
    <n v="0"/>
    <n v="0"/>
    <n v="0"/>
    <n v="0"/>
    <n v="0"/>
    <n v="0"/>
    <n v="0"/>
    <n v="0"/>
    <n v="0"/>
    <n v="0"/>
    <n v="0"/>
    <n v="0"/>
    <n v="0"/>
    <n v="0"/>
    <n v="0"/>
    <n v="0"/>
    <s v="East"/>
    <x v="2"/>
    <x v="0"/>
    <x v="1"/>
    <x v="0"/>
    <x v="0"/>
    <x v="0"/>
    <m/>
    <x v="0"/>
    <s v="Y"/>
    <s v="9A"/>
    <m/>
    <n v="0"/>
    <n v="1"/>
    <n v="1"/>
    <n v="1"/>
    <n v="1"/>
    <n v="0"/>
    <n v="0"/>
    <n v="0"/>
    <n v="0"/>
    <n v="0"/>
    <n v="0"/>
    <n v="0"/>
    <n v="0"/>
    <n v="0"/>
    <n v="0"/>
    <n v="0"/>
    <n v="0"/>
    <n v="0"/>
    <n v="0"/>
    <n v="0"/>
    <n v="0"/>
    <n v="4"/>
    <n v="4"/>
  </r>
  <r>
    <n v="6406"/>
    <x v="1"/>
    <s v="2016/6876"/>
    <m/>
    <s v="Ground floor flat, 38a Upper Richmond Road"/>
    <m/>
    <n v="524844"/>
    <n v="174634"/>
    <x v="16"/>
    <m/>
    <m/>
    <n v="0"/>
    <n v="1"/>
    <n v="1"/>
    <n v="1"/>
    <n v="1"/>
    <m/>
    <s v="Determination as to whether prior approval is required for change of use from retail (Class A1) to 1 x 1-bedroom flat (Class C3)."/>
    <s v="PANR"/>
    <d v="2016-12-02T00:00:00"/>
    <d v="2017-01-26T00:00:00"/>
    <x v="0"/>
    <s v="Nil"/>
    <m/>
    <s v="BF"/>
    <x v="3"/>
    <x v="0"/>
    <x v="4"/>
    <n v="4.0000001899898104E-3"/>
    <m/>
    <x v="0"/>
    <m/>
    <x v="0"/>
    <s v="P"/>
    <m/>
    <m/>
    <n v="0"/>
    <m/>
    <n v="0"/>
    <m/>
    <n v="0"/>
    <n v="1"/>
    <n v="0"/>
    <n v="0"/>
    <n v="0"/>
    <n v="0"/>
    <n v="0"/>
    <n v="0"/>
    <n v="1"/>
    <n v="0"/>
    <n v="0"/>
    <n v="0"/>
    <n v="0"/>
    <n v="0"/>
    <n v="0"/>
    <n v="0"/>
    <n v="0"/>
    <n v="0"/>
    <n v="0"/>
    <n v="0"/>
    <n v="0"/>
    <n v="0"/>
    <n v="0"/>
    <n v="0"/>
    <n v="0"/>
    <n v="0"/>
    <n v="0"/>
    <n v="0"/>
    <s v="West"/>
    <x v="0"/>
    <x v="0"/>
    <x v="1"/>
    <x v="0"/>
    <x v="0"/>
    <x v="0"/>
    <m/>
    <x v="0"/>
    <s v="Y"/>
    <s v="9A"/>
    <m/>
    <n v="0"/>
    <n v="0.25"/>
    <n v="0.25"/>
    <n v="0.25"/>
    <n v="0.25"/>
    <n v="0"/>
    <n v="0"/>
    <n v="0"/>
    <n v="0"/>
    <n v="0"/>
    <n v="0"/>
    <n v="0"/>
    <n v="0"/>
    <n v="0"/>
    <n v="0"/>
    <n v="0"/>
    <n v="0"/>
    <n v="0"/>
    <n v="0"/>
    <n v="0"/>
    <n v="0"/>
    <n v="1"/>
    <n v="1"/>
  </r>
  <r>
    <n v="6414"/>
    <x v="1"/>
    <s v="2016/6524"/>
    <m/>
    <s v="78 Earlsfield Road"/>
    <m/>
    <n v="526402"/>
    <n v="173902"/>
    <x v="17"/>
    <m/>
    <m/>
    <n v="1"/>
    <n v="1"/>
    <n v="0"/>
    <n v="1"/>
    <n v="0"/>
    <m/>
    <s v="Alterations in connection with the conversion of the property into 1x2 and 1x3 bedroom flats with associated cycle storage; installation of external staircase from first floor to rear garden."/>
    <s v="PF"/>
    <d v="2016-12-12T00:00:00"/>
    <d v="2017-02-06T00:00:00"/>
    <x v="0"/>
    <s v="Nil"/>
    <m/>
    <s v="BF"/>
    <x v="1"/>
    <x v="0"/>
    <x v="8"/>
    <n v="1.9999999552965199E-2"/>
    <m/>
    <x v="0"/>
    <m/>
    <x v="0"/>
    <s v="P"/>
    <m/>
    <m/>
    <n v="0"/>
    <m/>
    <n v="0"/>
    <m/>
    <n v="0"/>
    <n v="0"/>
    <n v="1"/>
    <n v="0"/>
    <n v="0"/>
    <n v="-1"/>
    <n v="0"/>
    <n v="0"/>
    <n v="0"/>
    <n v="1"/>
    <n v="0"/>
    <n v="0"/>
    <n v="0"/>
    <n v="0"/>
    <n v="0"/>
    <n v="0"/>
    <n v="0"/>
    <n v="0"/>
    <n v="0"/>
    <n v="-1"/>
    <n v="0"/>
    <n v="0"/>
    <n v="0"/>
    <n v="0"/>
    <n v="0"/>
    <n v="0"/>
    <n v="0"/>
    <n v="0"/>
    <s v="West"/>
    <x v="0"/>
    <x v="0"/>
    <x v="1"/>
    <x v="0"/>
    <x v="0"/>
    <x v="0"/>
    <m/>
    <x v="0"/>
    <s v="Y"/>
    <s v="9A"/>
    <m/>
    <n v="0"/>
    <n v="0"/>
    <n v="0"/>
    <n v="0"/>
    <n v="0"/>
    <n v="0"/>
    <n v="0"/>
    <n v="0"/>
    <n v="0"/>
    <n v="0"/>
    <n v="0"/>
    <n v="0"/>
    <n v="0"/>
    <n v="0"/>
    <n v="0"/>
    <n v="0"/>
    <n v="0"/>
    <n v="0"/>
    <n v="0"/>
    <n v="0"/>
    <n v="0"/>
    <n v="0"/>
    <n v="0"/>
  </r>
  <r>
    <n v="6417"/>
    <x v="1"/>
    <s v="2016/5554"/>
    <m/>
    <s v="298 Battersea Park Road"/>
    <m/>
    <n v="527317"/>
    <n v="176327"/>
    <x v="1"/>
    <m/>
    <m/>
    <n v="0"/>
    <n v="1"/>
    <n v="1"/>
    <n v="1"/>
    <n v="1"/>
    <m/>
    <s v="Erection of front, side and rear mansard roof extension (with a dormer window to the rear elevation) to provided an additional floor of accommodation, in connection with the creation of 1 x 1-bedroom flat."/>
    <s v="PF"/>
    <d v="2016-09-21T00:00:00"/>
    <d v="2017-02-27T00:00:00"/>
    <x v="0"/>
    <s v="Nil"/>
    <m/>
    <s v="BF"/>
    <x v="2"/>
    <x v="0"/>
    <x v="3"/>
    <n v="3.0000000260770299E-3"/>
    <m/>
    <x v="0"/>
    <m/>
    <x v="0"/>
    <s v="P"/>
    <m/>
    <m/>
    <n v="0"/>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419"/>
    <x v="1"/>
    <s v="2016/2027"/>
    <m/>
    <s v="15-27, 15-27 Falcon Road"/>
    <m/>
    <n v="527130"/>
    <n v="176085"/>
    <x v="2"/>
    <m/>
    <m/>
    <n v="0"/>
    <n v="25"/>
    <n v="25"/>
    <n v="25"/>
    <n v="25"/>
    <s v="Y"/>
    <s v="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
    <s v="PFLA"/>
    <d v="2016-04-12T00:00:00"/>
    <d v="2017-02-24T00:00:00"/>
    <x v="0"/>
    <s v="Nil"/>
    <m/>
    <s v="BF"/>
    <x v="0"/>
    <x v="1"/>
    <x v="1"/>
    <n v="7.1000002324581105E-2"/>
    <m/>
    <x v="0"/>
    <m/>
    <x v="0"/>
    <s v="P"/>
    <m/>
    <m/>
    <n v="3"/>
    <m/>
    <n v="25"/>
    <m/>
    <n v="0"/>
    <n v="8"/>
    <n v="13"/>
    <n v="4"/>
    <n v="0"/>
    <n v="0"/>
    <n v="0"/>
    <n v="0"/>
    <n v="8"/>
    <n v="13"/>
    <n v="4"/>
    <n v="0"/>
    <n v="0"/>
    <n v="0"/>
    <n v="0"/>
    <n v="0"/>
    <n v="0"/>
    <n v="0"/>
    <n v="0"/>
    <n v="0"/>
    <n v="0"/>
    <n v="0"/>
    <n v="0"/>
    <n v="0"/>
    <n v="0"/>
    <n v="0"/>
    <n v="0"/>
    <n v="0"/>
    <s v="East"/>
    <x v="0"/>
    <x v="0"/>
    <x v="1"/>
    <x v="0"/>
    <x v="0"/>
    <x v="0"/>
    <m/>
    <x v="0"/>
    <s v="Y"/>
    <s v="5A"/>
    <m/>
    <n v="0"/>
    <n v="0"/>
    <n v="8.3333333333333339"/>
    <n v="8.3333333333333339"/>
    <n v="8.3333333333333339"/>
    <n v="0"/>
    <n v="0"/>
    <n v="0"/>
    <n v="0"/>
    <n v="0"/>
    <n v="0"/>
    <n v="0"/>
    <n v="0"/>
    <n v="0"/>
    <n v="0"/>
    <n v="0"/>
    <n v="0"/>
    <n v="0"/>
    <n v="0"/>
    <n v="0"/>
    <n v="0"/>
    <n v="25"/>
    <n v="25"/>
  </r>
  <r>
    <n v="6426"/>
    <x v="1"/>
    <s v="2017/2588"/>
    <m/>
    <s v="212 Tooting High Street"/>
    <m/>
    <n v="527111"/>
    <n v="170959"/>
    <x v="4"/>
    <m/>
    <m/>
    <n v="0"/>
    <n v="2"/>
    <n v="2"/>
    <n v="2"/>
    <n v="2"/>
    <m/>
    <s v="Change of use of lower ground and upper ground floors from Financial &amp; Professional services (Use Class A2) to residential (Use Class C3) to create 2 x 1-bedroom self-contained flats. External alterations to shopfront and erection of part single storey / part two storey rear extension at lower ground and ground floor levels with balcony and external staircase from ground level to lower ground level, formation of rear lightwell and alterations to rear yard including new boundary treatment, installation of bin store and cycle racks."/>
    <s v="PF"/>
    <d v="2017-05-04T00:00:00"/>
    <d v="2017-07-28T00:00:00"/>
    <x v="1"/>
    <s v="Nil"/>
    <m/>
    <s v="BF"/>
    <x v="4"/>
    <x v="0"/>
    <x v="9"/>
    <n v="2.0000000949949E-3"/>
    <m/>
    <x v="0"/>
    <m/>
    <x v="0"/>
    <s v="P"/>
    <m/>
    <m/>
    <n v="0"/>
    <m/>
    <n v="0"/>
    <m/>
    <n v="0"/>
    <n v="2"/>
    <n v="0"/>
    <n v="0"/>
    <n v="0"/>
    <n v="0"/>
    <n v="0"/>
    <n v="0"/>
    <n v="2"/>
    <n v="0"/>
    <n v="0"/>
    <n v="0"/>
    <n v="0"/>
    <n v="0"/>
    <n v="0"/>
    <n v="0"/>
    <n v="0"/>
    <n v="0"/>
    <n v="0"/>
    <n v="0"/>
    <n v="0"/>
    <n v="0"/>
    <n v="0"/>
    <n v="0"/>
    <n v="0"/>
    <n v="0"/>
    <n v="0"/>
    <n v="0"/>
    <s v="East"/>
    <x v="0"/>
    <x v="0"/>
    <x v="1"/>
    <x v="0"/>
    <x v="0"/>
    <x v="0"/>
    <m/>
    <x v="0"/>
    <s v="Y"/>
    <s v="9A"/>
    <m/>
    <n v="0"/>
    <n v="0.5"/>
    <n v="0.5"/>
    <n v="0.5"/>
    <n v="0.5"/>
    <n v="0"/>
    <n v="0"/>
    <n v="0"/>
    <n v="0"/>
    <n v="0"/>
    <n v="0"/>
    <n v="0"/>
    <n v="0"/>
    <n v="0"/>
    <n v="0"/>
    <n v="0"/>
    <n v="0"/>
    <n v="0"/>
    <n v="0"/>
    <n v="0"/>
    <n v="0"/>
    <n v="2"/>
    <n v="2"/>
  </r>
  <r>
    <n v="6443"/>
    <x v="1"/>
    <s v="2016/5949"/>
    <m/>
    <s v="Stag House Putney Vale Youth Centre, Stroud Crescent"/>
    <s v="EL"/>
    <n v="522012"/>
    <n v="172337"/>
    <x v="15"/>
    <m/>
    <m/>
    <n v="0"/>
    <n v="11"/>
    <n v="11"/>
    <n v="21"/>
    <n v="21"/>
    <s v="Y"/>
    <s v="Demolition of community centre and erection of 3/4 storey building to provide 21 flats including warden flat and communal living spaces; reduction in size of adjacent multi-use games area to create circulation and access space, balconies to all elevations, associated cycle and refuse storage and landscaping. Retention of 27 car parking spaces alongside the games area."/>
    <s v="PF"/>
    <d v="2016-10-07T00:00:00"/>
    <d v="2016-12-15T00:00:00"/>
    <x v="0"/>
    <s v="Nil"/>
    <m/>
    <s v="BF"/>
    <x v="0"/>
    <x v="1"/>
    <x v="1"/>
    <n v="9.0999998152255998E-2"/>
    <m/>
    <x v="0"/>
    <m/>
    <x v="2"/>
    <s v="C"/>
    <m/>
    <m/>
    <n v="11"/>
    <m/>
    <n v="6"/>
    <m/>
    <n v="0"/>
    <n v="4"/>
    <n v="7"/>
    <n v="0"/>
    <n v="0"/>
    <n v="0"/>
    <n v="0"/>
    <n v="0"/>
    <n v="4"/>
    <n v="7"/>
    <n v="0"/>
    <n v="0"/>
    <n v="0"/>
    <n v="0"/>
    <n v="0"/>
    <n v="0"/>
    <n v="0"/>
    <n v="0"/>
    <n v="0"/>
    <n v="0"/>
    <n v="0"/>
    <n v="0"/>
    <n v="0"/>
    <n v="0"/>
    <n v="0"/>
    <n v="0"/>
    <n v="0"/>
    <n v="0"/>
    <s v="West"/>
    <x v="0"/>
    <x v="0"/>
    <x v="1"/>
    <x v="0"/>
    <x v="0"/>
    <x v="0"/>
    <m/>
    <x v="0"/>
    <s v="Y"/>
    <s v="5A"/>
    <m/>
    <n v="0"/>
    <n v="0"/>
    <n v="0"/>
    <n v="0"/>
    <n v="11"/>
    <n v="0"/>
    <n v="0"/>
    <n v="0"/>
    <n v="0"/>
    <n v="0"/>
    <n v="0"/>
    <n v="0"/>
    <n v="0"/>
    <n v="0"/>
    <n v="0"/>
    <n v="0"/>
    <n v="0"/>
    <n v="0"/>
    <n v="0"/>
    <n v="0"/>
    <n v="0"/>
    <n v="11"/>
    <n v="11"/>
  </r>
  <r>
    <n v="6443"/>
    <x v="1"/>
    <s v="2016/5949"/>
    <m/>
    <s v="Stag House Putney Vale Youth Centre, Stroud Crescent"/>
    <s v="PLD"/>
    <n v="522012"/>
    <n v="172337"/>
    <x v="15"/>
    <m/>
    <m/>
    <n v="0"/>
    <n v="10"/>
    <n v="10"/>
    <n v="21"/>
    <n v="21"/>
    <s v="Y"/>
    <s v="Demolition of community centre and erection of 3/4 storey building to provide 21 flats including warden flat and communal living spaces; reduction in size of adjacent multi-use games area to create circulation and access space, balconies to all elevations, associated cycle and refuse storage and landscaping. Retention of 27 car parking spaces alongside the games area."/>
    <s v="PF"/>
    <d v="2016-10-07T00:00:00"/>
    <d v="2016-12-15T00:00:00"/>
    <x v="0"/>
    <s v="Nil"/>
    <m/>
    <s v="BF"/>
    <x v="0"/>
    <x v="1"/>
    <x v="1"/>
    <n v="3.9000000804662698E-2"/>
    <m/>
    <x v="0"/>
    <m/>
    <x v="2"/>
    <s v="C"/>
    <m/>
    <m/>
    <n v="10"/>
    <m/>
    <n v="6"/>
    <m/>
    <n v="0"/>
    <n v="10"/>
    <n v="0"/>
    <n v="0"/>
    <n v="0"/>
    <n v="0"/>
    <n v="0"/>
    <n v="0"/>
    <n v="10"/>
    <n v="0"/>
    <n v="0"/>
    <n v="0"/>
    <n v="0"/>
    <n v="0"/>
    <n v="0"/>
    <n v="0"/>
    <n v="0"/>
    <n v="0"/>
    <n v="0"/>
    <n v="0"/>
    <n v="0"/>
    <n v="0"/>
    <n v="0"/>
    <n v="0"/>
    <n v="0"/>
    <n v="0"/>
    <n v="0"/>
    <n v="0"/>
    <s v="West"/>
    <x v="0"/>
    <x v="0"/>
    <x v="1"/>
    <x v="0"/>
    <x v="0"/>
    <x v="0"/>
    <m/>
    <x v="0"/>
    <s v="Y"/>
    <s v="5A"/>
    <m/>
    <n v="0"/>
    <n v="0"/>
    <n v="0"/>
    <n v="0"/>
    <n v="10"/>
    <n v="0"/>
    <n v="0"/>
    <n v="0"/>
    <n v="0"/>
    <n v="0"/>
    <n v="0"/>
    <n v="0"/>
    <n v="0"/>
    <n v="0"/>
    <n v="0"/>
    <n v="0"/>
    <n v="0"/>
    <n v="0"/>
    <n v="0"/>
    <n v="0"/>
    <n v="0"/>
    <n v="10"/>
    <n v="10"/>
  </r>
  <r>
    <n v="6452"/>
    <x v="1"/>
    <s v="2017/2903"/>
    <m/>
    <s v="528-536, 528-536 Garratt Lane"/>
    <m/>
    <n v="526112"/>
    <n v="172454"/>
    <x v="18"/>
    <m/>
    <m/>
    <n v="0"/>
    <n v="8"/>
    <n v="8"/>
    <n v="8"/>
    <n v="8"/>
    <m/>
    <s v="Demolition of existing building and erection of a part three, part four-storey building to provide retail unit at ground floor (Class A1) and 6 x 2-bedroom and 2 x 1-bedroom flats (Class C3) on the upper floors with balconies and terraces and provision for associated cycle parking, refuse storage and boundary treatment. [Amendments to fourth storey]."/>
    <s v="PF"/>
    <d v="2017-05-22T00:00:00"/>
    <d v="2017-11-24T00:00:00"/>
    <x v="1"/>
    <s v="Nil"/>
    <m/>
    <s v="BF"/>
    <x v="0"/>
    <x v="0"/>
    <x v="0"/>
    <n v="2.5000000372528999E-2"/>
    <m/>
    <x v="0"/>
    <m/>
    <x v="0"/>
    <s v="P"/>
    <m/>
    <m/>
    <n v="0"/>
    <m/>
    <n v="0"/>
    <m/>
    <n v="0"/>
    <n v="2"/>
    <n v="6"/>
    <n v="0"/>
    <n v="0"/>
    <n v="0"/>
    <n v="0"/>
    <n v="0"/>
    <n v="2"/>
    <n v="6"/>
    <n v="0"/>
    <n v="0"/>
    <n v="0"/>
    <n v="0"/>
    <n v="0"/>
    <n v="0"/>
    <n v="0"/>
    <n v="0"/>
    <n v="0"/>
    <n v="0"/>
    <n v="0"/>
    <n v="0"/>
    <n v="0"/>
    <n v="0"/>
    <n v="0"/>
    <n v="0"/>
    <n v="0"/>
    <n v="0"/>
    <s v="West"/>
    <x v="0"/>
    <x v="0"/>
    <x v="1"/>
    <x v="0"/>
    <x v="0"/>
    <x v="0"/>
    <m/>
    <x v="1"/>
    <s v="Y"/>
    <s v="5B"/>
    <m/>
    <n v="0"/>
    <n v="0"/>
    <n v="0"/>
    <n v="0"/>
    <n v="2.6666666666666665"/>
    <n v="2.6666666666666665"/>
    <n v="2.6666666666666665"/>
    <n v="0"/>
    <n v="0"/>
    <n v="0"/>
    <n v="0"/>
    <n v="0"/>
    <n v="0"/>
    <n v="0"/>
    <n v="0"/>
    <n v="0"/>
    <n v="0"/>
    <n v="0"/>
    <n v="0"/>
    <n v="0"/>
    <n v="0"/>
    <n v="5.333333333333333"/>
    <n v="8"/>
  </r>
  <r>
    <n v="6460"/>
    <x v="1"/>
    <s v="2017/4859"/>
    <m/>
    <s v="56 Brookwood Road"/>
    <m/>
    <n v="524993"/>
    <n v="173124"/>
    <x v="5"/>
    <m/>
    <m/>
    <n v="0"/>
    <n v="1"/>
    <n v="1"/>
    <n v="1"/>
    <n v="1"/>
    <m/>
    <s v="Alterations to front elevation in connection with change of use from retail shop (Class A1) to residential (Class C3) to provide three-bedroom dwelling house."/>
    <s v="PF"/>
    <d v="2017-08-30T00:00:00"/>
    <d v="2017-10-25T00:00:00"/>
    <x v="1"/>
    <s v="Nil"/>
    <m/>
    <s v="BF"/>
    <x v="4"/>
    <x v="0"/>
    <x v="4"/>
    <n v="8.0000003799796104E-3"/>
    <m/>
    <x v="0"/>
    <m/>
    <x v="0"/>
    <s v="P"/>
    <m/>
    <m/>
    <n v="0"/>
    <m/>
    <n v="0"/>
    <m/>
    <n v="0"/>
    <n v="0"/>
    <n v="0"/>
    <n v="1"/>
    <n v="0"/>
    <n v="0"/>
    <n v="0"/>
    <n v="0"/>
    <n v="0"/>
    <n v="0"/>
    <n v="0"/>
    <n v="0"/>
    <n v="0"/>
    <n v="0"/>
    <n v="0"/>
    <n v="0"/>
    <n v="0"/>
    <n v="1"/>
    <n v="0"/>
    <n v="0"/>
    <n v="0"/>
    <n v="0"/>
    <n v="0"/>
    <n v="0"/>
    <n v="0"/>
    <n v="0"/>
    <n v="0"/>
    <n v="0"/>
    <s v="West"/>
    <x v="0"/>
    <x v="0"/>
    <x v="1"/>
    <x v="0"/>
    <x v="0"/>
    <x v="0"/>
    <m/>
    <x v="0"/>
    <s v="Y"/>
    <s v="9A"/>
    <m/>
    <n v="0"/>
    <n v="0.25"/>
    <n v="0.25"/>
    <n v="0.25"/>
    <n v="0.25"/>
    <n v="0"/>
    <n v="0"/>
    <n v="0"/>
    <n v="0"/>
    <n v="0"/>
    <n v="0"/>
    <n v="0"/>
    <n v="0"/>
    <n v="0"/>
    <n v="0"/>
    <n v="0"/>
    <n v="0"/>
    <n v="0"/>
    <n v="0"/>
    <n v="0"/>
    <n v="0"/>
    <n v="1"/>
    <n v="1"/>
  </r>
  <r>
    <n v="6464"/>
    <x v="1"/>
    <s v="2015/7383"/>
    <m/>
    <s v="191a, 191 Upper Tooting Road"/>
    <m/>
    <n v="527688"/>
    <n v="171824"/>
    <x v="4"/>
    <m/>
    <m/>
    <n v="1"/>
    <n v="2"/>
    <n v="1"/>
    <n v="2"/>
    <n v="1"/>
    <m/>
    <s v="Extensions and alterations in connection with the conversion of the upper floors into 2 x 2-bedroom flats, including erection of an additional floor of accommodation above main building, above two-storey back addition, and first floor rear extension with roof terrace."/>
    <s v="PF"/>
    <d v="2015-12-22T00:00:00"/>
    <d v="2016-02-16T00:00:00"/>
    <x v="0"/>
    <s v="Nil"/>
    <m/>
    <s v="BF"/>
    <x v="4"/>
    <x v="0"/>
    <x v="10"/>
    <n v="8.9999996125698107E-3"/>
    <m/>
    <x v="0"/>
    <m/>
    <x v="0"/>
    <s v="P"/>
    <m/>
    <m/>
    <n v="0"/>
    <m/>
    <n v="0"/>
    <m/>
    <n v="0"/>
    <n v="0"/>
    <n v="2"/>
    <n v="-1"/>
    <n v="0"/>
    <n v="0"/>
    <n v="0"/>
    <n v="0"/>
    <n v="0"/>
    <n v="2"/>
    <n v="-1"/>
    <n v="0"/>
    <n v="0"/>
    <n v="0"/>
    <n v="0"/>
    <n v="0"/>
    <n v="0"/>
    <n v="0"/>
    <n v="0"/>
    <n v="0"/>
    <n v="0"/>
    <n v="0"/>
    <n v="0"/>
    <n v="0"/>
    <n v="0"/>
    <n v="0"/>
    <n v="0"/>
    <n v="0"/>
    <s v="East"/>
    <x v="1"/>
    <x v="0"/>
    <x v="1"/>
    <x v="0"/>
    <x v="0"/>
    <x v="0"/>
    <m/>
    <x v="0"/>
    <s v="Y"/>
    <s v="9A"/>
    <m/>
    <n v="0"/>
    <n v="0.25"/>
    <n v="0.25"/>
    <n v="0.25"/>
    <n v="0.25"/>
    <n v="0"/>
    <n v="0"/>
    <n v="0"/>
    <n v="0"/>
    <n v="0"/>
    <n v="0"/>
    <n v="0"/>
    <n v="0"/>
    <n v="0"/>
    <n v="0"/>
    <n v="0"/>
    <n v="0"/>
    <n v="0"/>
    <n v="0"/>
    <n v="0"/>
    <n v="0"/>
    <n v="1"/>
    <n v="1"/>
  </r>
  <r>
    <n v="6479"/>
    <x v="1"/>
    <s v="2016/5738"/>
    <m/>
    <s v="Garages north of 99-152, 99-152 Gideon Road"/>
    <m/>
    <n v="528125"/>
    <n v="175809"/>
    <x v="10"/>
    <m/>
    <m/>
    <n v="0"/>
    <n v="18"/>
    <n v="18"/>
    <n v="18"/>
    <n v="18"/>
    <s v="Y"/>
    <s v="Demolition of existing garages and redevelopment to provide  18 units (15 flats and 3 houses) within 3 and 4 storey blocks with associated vehicle and cycle parking, bin storage and landscaping."/>
    <s v="PF"/>
    <d v="2016-09-30T00:00:00"/>
    <d v="2017-01-26T00:00:00"/>
    <x v="0"/>
    <s v="Nil"/>
    <m/>
    <s v="BF"/>
    <x v="0"/>
    <x v="1"/>
    <x v="1"/>
    <n v="0.40000000596046398"/>
    <m/>
    <x v="0"/>
    <m/>
    <x v="2"/>
    <s v="C"/>
    <m/>
    <m/>
    <n v="16"/>
    <m/>
    <n v="2"/>
    <m/>
    <n v="0"/>
    <n v="4"/>
    <n v="11"/>
    <n v="0"/>
    <n v="1"/>
    <n v="2"/>
    <n v="0"/>
    <n v="0"/>
    <n v="4"/>
    <n v="11"/>
    <n v="0"/>
    <n v="0"/>
    <n v="0"/>
    <n v="0"/>
    <n v="0"/>
    <n v="0"/>
    <n v="0"/>
    <n v="0"/>
    <n v="1"/>
    <n v="2"/>
    <n v="0"/>
    <n v="0"/>
    <n v="0"/>
    <n v="0"/>
    <n v="0"/>
    <n v="0"/>
    <n v="0"/>
    <n v="0"/>
    <s v="East"/>
    <x v="0"/>
    <x v="0"/>
    <x v="1"/>
    <x v="0"/>
    <x v="0"/>
    <x v="0"/>
    <m/>
    <x v="0"/>
    <s v="Y"/>
    <s v="5B"/>
    <m/>
    <n v="0"/>
    <n v="0"/>
    <n v="0"/>
    <n v="0"/>
    <n v="6"/>
    <n v="6"/>
    <n v="6"/>
    <n v="0"/>
    <n v="0"/>
    <n v="0"/>
    <n v="0"/>
    <n v="0"/>
    <n v="0"/>
    <n v="0"/>
    <n v="0"/>
    <n v="0"/>
    <n v="0"/>
    <n v="0"/>
    <n v="0"/>
    <n v="0"/>
    <n v="0"/>
    <n v="12"/>
    <n v="18"/>
  </r>
  <r>
    <n v="6480"/>
    <x v="1"/>
    <s v="2016/5739"/>
    <m/>
    <s v="Garages and parking spaces 57-84, 57-84 Gideon Road"/>
    <m/>
    <n v="528205"/>
    <n v="175735"/>
    <x v="10"/>
    <m/>
    <m/>
    <n v="0"/>
    <n v="4"/>
    <n v="4"/>
    <n v="4"/>
    <n v="4"/>
    <m/>
    <s v="Demolition of existing garages and redevelopment for a part one, two and three storey residential block to provide 4 units with associated vehicle and cycle parking, bin store, landscaping and reconfiguration of existing parking court (amended description)."/>
    <s v="PF"/>
    <d v="2016-09-30T00:00:00"/>
    <d v="2017-01-26T00:00:00"/>
    <x v="0"/>
    <s v="Nil"/>
    <m/>
    <s v="BF"/>
    <x v="0"/>
    <x v="0"/>
    <x v="0"/>
    <n v="6.1999998986720997E-2"/>
    <m/>
    <x v="0"/>
    <m/>
    <x v="2"/>
    <s v="C"/>
    <m/>
    <m/>
    <n v="1"/>
    <m/>
    <n v="3"/>
    <m/>
    <n v="0"/>
    <n v="2"/>
    <n v="1"/>
    <n v="1"/>
    <n v="0"/>
    <n v="0"/>
    <n v="0"/>
    <n v="0"/>
    <n v="2"/>
    <n v="1"/>
    <n v="0"/>
    <n v="0"/>
    <n v="0"/>
    <n v="0"/>
    <n v="0"/>
    <n v="0"/>
    <n v="0"/>
    <n v="1"/>
    <n v="0"/>
    <n v="0"/>
    <n v="0"/>
    <n v="0"/>
    <n v="0"/>
    <n v="0"/>
    <n v="0"/>
    <n v="0"/>
    <n v="0"/>
    <n v="0"/>
    <s v="East"/>
    <x v="0"/>
    <x v="0"/>
    <x v="1"/>
    <x v="0"/>
    <x v="0"/>
    <x v="0"/>
    <m/>
    <x v="0"/>
    <s v="Y"/>
    <n v="4"/>
    <m/>
    <n v="0"/>
    <n v="0"/>
    <n v="1"/>
    <n v="1"/>
    <n v="1"/>
    <n v="1"/>
    <n v="0"/>
    <n v="0"/>
    <n v="0"/>
    <n v="0"/>
    <n v="0"/>
    <n v="0"/>
    <n v="0"/>
    <n v="0"/>
    <n v="0"/>
    <n v="0"/>
    <n v="0"/>
    <n v="0"/>
    <n v="0"/>
    <n v="0"/>
    <n v="0"/>
    <n v="4"/>
    <n v="4"/>
  </r>
  <r>
    <n v="6481"/>
    <x v="1"/>
    <s v="2016/6122"/>
    <m/>
    <s v="189 Balham High Road"/>
    <m/>
    <n v="528408"/>
    <n v="173055"/>
    <x v="3"/>
    <m/>
    <m/>
    <n v="0"/>
    <n v="3"/>
    <n v="3"/>
    <n v="3"/>
    <n v="3"/>
    <m/>
    <s v="Extensions and alterations in connection with the change of use of first floor from an office (Class Use B1) to residential (Class Use C3) to create 2 x 1-bedroom flats. Erection of mansard roof extension to create an additional floor of accommodation to facilitate the creation of a 2-bedroom flat with a side roof terrace. Further external alterations include the increased height to rear additions."/>
    <s v="PF"/>
    <d v="2016-10-20T00:00:00"/>
    <d v="2017-05-24T00:00:00"/>
    <x v="1"/>
    <s v="Nil"/>
    <m/>
    <s v="BF"/>
    <x v="4"/>
    <x v="0"/>
    <x v="9"/>
    <n v="1.30000002682209E-2"/>
    <m/>
    <x v="0"/>
    <m/>
    <x v="0"/>
    <s v="P"/>
    <m/>
    <m/>
    <n v="0"/>
    <m/>
    <n v="0"/>
    <m/>
    <n v="0"/>
    <n v="2"/>
    <n v="1"/>
    <n v="0"/>
    <n v="0"/>
    <n v="0"/>
    <n v="0"/>
    <n v="0"/>
    <n v="2"/>
    <n v="1"/>
    <n v="0"/>
    <n v="0"/>
    <n v="0"/>
    <n v="0"/>
    <n v="0"/>
    <n v="0"/>
    <n v="0"/>
    <n v="0"/>
    <n v="0"/>
    <n v="0"/>
    <n v="0"/>
    <n v="0"/>
    <n v="0"/>
    <n v="0"/>
    <n v="0"/>
    <n v="0"/>
    <n v="0"/>
    <n v="0"/>
    <s v="East"/>
    <x v="0"/>
    <x v="0"/>
    <x v="1"/>
    <x v="0"/>
    <x v="0"/>
    <x v="0"/>
    <m/>
    <x v="0"/>
    <s v="Y"/>
    <s v="9A"/>
    <m/>
    <n v="0"/>
    <n v="0.75"/>
    <n v="0.75"/>
    <n v="0.75"/>
    <n v="0.75"/>
    <n v="0"/>
    <n v="0"/>
    <n v="0"/>
    <n v="0"/>
    <n v="0"/>
    <n v="0"/>
    <n v="0"/>
    <n v="0"/>
    <n v="0"/>
    <n v="0"/>
    <n v="0"/>
    <n v="0"/>
    <n v="0"/>
    <n v="0"/>
    <n v="0"/>
    <n v="0"/>
    <n v="3"/>
    <n v="3"/>
  </r>
  <r>
    <n v="6482"/>
    <x v="1"/>
    <s v="2017/2016"/>
    <m/>
    <s v="6 Rayners Road"/>
    <m/>
    <n v="524045"/>
    <n v="174728"/>
    <x v="16"/>
    <m/>
    <m/>
    <n v="1"/>
    <n v="2"/>
    <n v="1"/>
    <n v="2"/>
    <n v="1"/>
    <m/>
    <s v="Alterations in connection with conversion of building into 1 x 1-bedroom and 1 x 4-bedroom units."/>
    <s v="PF"/>
    <d v="2017-04-06T00:00:00"/>
    <d v="2017-05-31T00:00:00"/>
    <x v="1"/>
    <s v="Nil"/>
    <m/>
    <s v="BF"/>
    <x v="1"/>
    <x v="0"/>
    <x v="10"/>
    <n v="2.5000000372528999E-2"/>
    <m/>
    <x v="0"/>
    <m/>
    <x v="0"/>
    <s v="P"/>
    <m/>
    <m/>
    <n v="0"/>
    <m/>
    <n v="0"/>
    <m/>
    <n v="0"/>
    <n v="1"/>
    <n v="0"/>
    <n v="0"/>
    <n v="0"/>
    <n v="0"/>
    <n v="0"/>
    <n v="0"/>
    <n v="0"/>
    <n v="0"/>
    <n v="0"/>
    <n v="0"/>
    <n v="0"/>
    <n v="0"/>
    <n v="0"/>
    <n v="1"/>
    <n v="0"/>
    <n v="0"/>
    <n v="0"/>
    <n v="0"/>
    <n v="0"/>
    <n v="0"/>
    <n v="0"/>
    <n v="0"/>
    <n v="0"/>
    <n v="0"/>
    <n v="0"/>
    <n v="0"/>
    <s v="West"/>
    <x v="0"/>
    <x v="0"/>
    <x v="1"/>
    <x v="0"/>
    <x v="0"/>
    <x v="0"/>
    <m/>
    <x v="0"/>
    <s v="Y"/>
    <s v="9A"/>
    <m/>
    <n v="0"/>
    <n v="0.25"/>
    <n v="0.25"/>
    <n v="0.25"/>
    <n v="0.25"/>
    <n v="0"/>
    <n v="0"/>
    <n v="0"/>
    <n v="0"/>
    <n v="0"/>
    <n v="0"/>
    <n v="0"/>
    <n v="0"/>
    <n v="0"/>
    <n v="0"/>
    <n v="0"/>
    <n v="0"/>
    <n v="0"/>
    <n v="0"/>
    <n v="0"/>
    <n v="0"/>
    <n v="1"/>
    <n v="1"/>
  </r>
  <r>
    <n v="6483"/>
    <x v="1"/>
    <s v="2017/1585"/>
    <m/>
    <s v="Flats 508 and 509, 334 Queenstown Road"/>
    <m/>
    <n v="528690"/>
    <n v="177176"/>
    <x v="6"/>
    <m/>
    <m/>
    <n v="2"/>
    <n v="1"/>
    <n v="-1"/>
    <n v="1"/>
    <n v="-1"/>
    <m/>
    <s v="Conversion of two flats into one single dwelling."/>
    <s v="PF"/>
    <d v="2017-03-21T00:00:00"/>
    <d v="2017-05-11T00:00:00"/>
    <x v="1"/>
    <s v="Nil"/>
    <m/>
    <s v="BF"/>
    <x v="1"/>
    <x v="0"/>
    <x v="2"/>
    <n v="3.5000000149011598E-2"/>
    <m/>
    <x v="0"/>
    <m/>
    <x v="0"/>
    <s v="P"/>
    <m/>
    <m/>
    <n v="0"/>
    <m/>
    <n v="0"/>
    <m/>
    <n v="0"/>
    <n v="0"/>
    <n v="-2"/>
    <n v="0"/>
    <n v="1"/>
    <n v="0"/>
    <n v="0"/>
    <n v="0"/>
    <n v="0"/>
    <n v="-2"/>
    <n v="0"/>
    <n v="1"/>
    <n v="0"/>
    <n v="0"/>
    <n v="0"/>
    <n v="0"/>
    <n v="0"/>
    <n v="0"/>
    <n v="0"/>
    <n v="0"/>
    <n v="0"/>
    <n v="0"/>
    <n v="0"/>
    <n v="0"/>
    <n v="0"/>
    <n v="0"/>
    <n v="0"/>
    <n v="0"/>
    <s v="Strategic Planning/Nine Elms"/>
    <x v="0"/>
    <x v="1"/>
    <x v="1"/>
    <x v="0"/>
    <x v="0"/>
    <x v="0"/>
    <m/>
    <x v="0"/>
    <s v="Y"/>
    <s v="9A"/>
    <m/>
    <n v="0"/>
    <n v="-0.25"/>
    <n v="-0.25"/>
    <n v="-0.25"/>
    <n v="-0.25"/>
    <n v="0"/>
    <n v="0"/>
    <n v="0"/>
    <n v="0"/>
    <n v="0"/>
    <n v="0"/>
    <n v="0"/>
    <n v="0"/>
    <n v="0"/>
    <n v="0"/>
    <n v="0"/>
    <n v="0"/>
    <n v="0"/>
    <n v="0"/>
    <n v="0"/>
    <n v="0"/>
    <n v="-1"/>
    <n v="-1"/>
  </r>
  <r>
    <n v="6487"/>
    <x v="1"/>
    <s v="2017/0870"/>
    <m/>
    <s v="Apartments 57 &amp; 58, 5 Riverlight Quay"/>
    <m/>
    <n v="529348"/>
    <n v="177574"/>
    <x v="6"/>
    <m/>
    <m/>
    <n v="2"/>
    <n v="1"/>
    <n v="-1"/>
    <n v="1"/>
    <n v="-1"/>
    <m/>
    <s v="Conversion of two flats into one 5 bedroom unit"/>
    <s v="PF"/>
    <d v="2017-03-02T00:00:00"/>
    <d v="2017-04-06T00:00:00"/>
    <x v="1"/>
    <s v="Nil"/>
    <m/>
    <s v="BF"/>
    <x v="1"/>
    <x v="0"/>
    <x v="2"/>
    <n v="9.9999997764825804E-3"/>
    <m/>
    <x v="0"/>
    <m/>
    <x v="0"/>
    <s v="P"/>
    <s v="2.1.9"/>
    <m/>
    <n v="0"/>
    <m/>
    <n v="0"/>
    <m/>
    <n v="0"/>
    <n v="0"/>
    <n v="0"/>
    <n v="-2"/>
    <n v="0"/>
    <n v="1"/>
    <n v="0"/>
    <n v="0"/>
    <n v="0"/>
    <n v="0"/>
    <n v="-2"/>
    <n v="0"/>
    <n v="1"/>
    <n v="0"/>
    <n v="0"/>
    <n v="0"/>
    <n v="0"/>
    <n v="0"/>
    <n v="0"/>
    <n v="0"/>
    <n v="0"/>
    <n v="0"/>
    <n v="0"/>
    <n v="0"/>
    <n v="0"/>
    <n v="0"/>
    <n v="0"/>
    <n v="0"/>
    <s v="Strategic Planning/Nine Elms"/>
    <x v="0"/>
    <x v="1"/>
    <x v="1"/>
    <x v="0"/>
    <x v="0"/>
    <x v="0"/>
    <m/>
    <x v="0"/>
    <s v="Y"/>
    <s v="9A"/>
    <m/>
    <n v="0"/>
    <n v="-0.25"/>
    <n v="-0.25"/>
    <n v="-0.25"/>
    <n v="-0.25"/>
    <n v="0"/>
    <n v="0"/>
    <n v="0"/>
    <n v="0"/>
    <n v="0"/>
    <n v="0"/>
    <n v="0"/>
    <n v="0"/>
    <n v="0"/>
    <n v="0"/>
    <n v="0"/>
    <n v="0"/>
    <n v="0"/>
    <n v="0"/>
    <n v="0"/>
    <n v="0"/>
    <n v="-1"/>
    <n v="-1"/>
  </r>
  <r>
    <n v="6489"/>
    <x v="1"/>
    <s v="2017/0769"/>
    <m/>
    <s v="22 Kersley Street"/>
    <m/>
    <n v="527608"/>
    <n v="176466"/>
    <x v="2"/>
    <m/>
    <m/>
    <n v="2"/>
    <n v="1"/>
    <n v="-1"/>
    <n v="1"/>
    <n v="-1"/>
    <m/>
    <s v="Erection of a three-storey extension and conversion of property into single family dwelling. Formation of roof terrace over rear addition, and installation of front railings."/>
    <s v="PF"/>
    <d v="2017-02-23T00:00:00"/>
    <d v="2017-04-20T00:00:00"/>
    <x v="1"/>
    <s v="Nil"/>
    <m/>
    <s v="BF"/>
    <x v="4"/>
    <x v="0"/>
    <x v="7"/>
    <n v="1.4000000432133701E-2"/>
    <m/>
    <x v="0"/>
    <m/>
    <x v="0"/>
    <s v="P"/>
    <m/>
    <m/>
    <n v="0"/>
    <m/>
    <n v="0"/>
    <m/>
    <n v="0"/>
    <n v="-1"/>
    <n v="-1"/>
    <n v="0"/>
    <n v="0"/>
    <n v="1"/>
    <n v="0"/>
    <n v="0"/>
    <n v="-1"/>
    <n v="-1"/>
    <n v="0"/>
    <n v="0"/>
    <n v="0"/>
    <n v="0"/>
    <n v="0"/>
    <n v="0"/>
    <n v="0"/>
    <n v="0"/>
    <n v="0"/>
    <n v="1"/>
    <n v="0"/>
    <n v="0"/>
    <n v="0"/>
    <n v="0"/>
    <n v="0"/>
    <n v="0"/>
    <n v="0"/>
    <n v="0"/>
    <s v="East"/>
    <x v="0"/>
    <x v="0"/>
    <x v="1"/>
    <x v="0"/>
    <x v="0"/>
    <x v="0"/>
    <m/>
    <x v="0"/>
    <s v="Y"/>
    <s v="9A"/>
    <m/>
    <n v="0"/>
    <n v="-0.25"/>
    <n v="-0.25"/>
    <n v="-0.25"/>
    <n v="-0.25"/>
    <n v="0"/>
    <n v="0"/>
    <n v="0"/>
    <n v="0"/>
    <n v="0"/>
    <n v="0"/>
    <n v="0"/>
    <n v="0"/>
    <n v="0"/>
    <n v="0"/>
    <n v="0"/>
    <n v="0"/>
    <n v="0"/>
    <n v="0"/>
    <n v="0"/>
    <n v="0"/>
    <n v="-1"/>
    <n v="-1"/>
  </r>
  <r>
    <n v="6490"/>
    <x v="1"/>
    <s v="2017/0650"/>
    <m/>
    <s v="153-159, 153-159 Putnet High Street"/>
    <m/>
    <n v="523997"/>
    <n v="175115"/>
    <x v="13"/>
    <m/>
    <m/>
    <n v="0"/>
    <n v="3"/>
    <n v="3"/>
    <n v="3"/>
    <n v="3"/>
    <m/>
    <s v="Erection of roof extension to create an additional floor of accommodation (2x1 and 1x2 bedroom flats).; formation of roof terraces with 1.6m high obscure glass screens between flats declining to 1.1m high at perimeter balustrade and external refuse storage at roof level on Putney High Street frontage."/>
    <s v="PF"/>
    <d v="2017-02-06T00:00:00"/>
    <d v="2017-04-03T00:00:00"/>
    <x v="1"/>
    <s v="Nil"/>
    <m/>
    <s v="BF"/>
    <x v="2"/>
    <x v="0"/>
    <x v="3"/>
    <n v="1.30000002682209E-2"/>
    <m/>
    <x v="0"/>
    <m/>
    <x v="0"/>
    <s v="P"/>
    <m/>
    <m/>
    <n v="0"/>
    <m/>
    <n v="0"/>
    <m/>
    <n v="0"/>
    <n v="2"/>
    <n v="1"/>
    <n v="0"/>
    <n v="0"/>
    <n v="0"/>
    <n v="0"/>
    <n v="0"/>
    <n v="2"/>
    <n v="1"/>
    <n v="0"/>
    <n v="0"/>
    <n v="0"/>
    <n v="0"/>
    <n v="0"/>
    <n v="0"/>
    <n v="0"/>
    <n v="0"/>
    <n v="0"/>
    <n v="0"/>
    <n v="0"/>
    <n v="0"/>
    <n v="0"/>
    <n v="0"/>
    <n v="0"/>
    <n v="0"/>
    <n v="0"/>
    <n v="0"/>
    <s v="West"/>
    <x v="3"/>
    <x v="0"/>
    <x v="1"/>
    <x v="0"/>
    <x v="0"/>
    <x v="0"/>
    <m/>
    <x v="0"/>
    <s v="Y"/>
    <s v="9A"/>
    <m/>
    <n v="0"/>
    <n v="0.75"/>
    <n v="0.75"/>
    <n v="0.75"/>
    <n v="0.75"/>
    <n v="0"/>
    <n v="0"/>
    <n v="0"/>
    <n v="0"/>
    <n v="0"/>
    <n v="0"/>
    <n v="0"/>
    <n v="0"/>
    <n v="0"/>
    <n v="0"/>
    <n v="0"/>
    <n v="0"/>
    <n v="0"/>
    <n v="0"/>
    <n v="0"/>
    <n v="0"/>
    <n v="3"/>
    <n v="3"/>
  </r>
  <r>
    <n v="6491"/>
    <x v="1"/>
    <s v="2017/0633"/>
    <m/>
    <s v="Boyce House, Aldrington Road"/>
    <m/>
    <n v="529359"/>
    <n v="171414"/>
    <x v="12"/>
    <m/>
    <m/>
    <n v="0"/>
    <n v="3"/>
    <n v="3"/>
    <n v="3"/>
    <n v="3"/>
    <m/>
    <s v="Alterations including the infill of undercroft space beneath the block to provide 3 self-contained flats (3 x 1-bedroom) with associated amenity space and the provision of 3 car parking spaces to west of Boyce House."/>
    <s v="PF"/>
    <d v="2017-02-06T00:00:00"/>
    <d v="2017-04-03T00:00:00"/>
    <x v="1"/>
    <s v="Nil"/>
    <m/>
    <s v="BF"/>
    <x v="0"/>
    <x v="0"/>
    <x v="0"/>
    <n v="4.9999998882412902E-3"/>
    <m/>
    <x v="0"/>
    <m/>
    <x v="0"/>
    <s v="P"/>
    <m/>
    <m/>
    <n v="0"/>
    <m/>
    <n v="0"/>
    <m/>
    <n v="0"/>
    <n v="2"/>
    <n v="1"/>
    <n v="0"/>
    <n v="0"/>
    <n v="0"/>
    <n v="0"/>
    <n v="0"/>
    <n v="2"/>
    <n v="1"/>
    <n v="0"/>
    <n v="0"/>
    <n v="0"/>
    <n v="0"/>
    <n v="0"/>
    <n v="0"/>
    <n v="0"/>
    <n v="0"/>
    <n v="0"/>
    <n v="0"/>
    <n v="0"/>
    <n v="0"/>
    <n v="0"/>
    <n v="0"/>
    <n v="0"/>
    <n v="0"/>
    <n v="0"/>
    <n v="0"/>
    <s v="East"/>
    <x v="0"/>
    <x v="0"/>
    <x v="1"/>
    <x v="0"/>
    <x v="0"/>
    <x v="0"/>
    <m/>
    <x v="0"/>
    <s v="Y"/>
    <n v="4"/>
    <m/>
    <n v="0"/>
    <n v="0"/>
    <n v="0.75"/>
    <n v="0.75"/>
    <n v="0.75"/>
    <n v="0.75"/>
    <n v="0"/>
    <n v="0"/>
    <n v="0"/>
    <n v="0"/>
    <n v="0"/>
    <n v="0"/>
    <n v="0"/>
    <n v="0"/>
    <n v="0"/>
    <n v="0"/>
    <n v="0"/>
    <n v="0"/>
    <n v="0"/>
    <n v="0"/>
    <n v="0"/>
    <n v="3"/>
    <n v="3"/>
  </r>
  <r>
    <n v="6492"/>
    <x v="1"/>
    <s v="2017/0550"/>
    <m/>
    <s v="127 Roehampton Vale"/>
    <m/>
    <n v="521667"/>
    <n v="172427"/>
    <x v="15"/>
    <m/>
    <m/>
    <n v="1"/>
    <n v="2"/>
    <n v="1"/>
    <n v="2"/>
    <n v="1"/>
    <m/>
    <s v="Alterations including the retention of one side dormer window to allow the conversion into 1 x 5 and 1 x 4-bedroom maisonettes."/>
    <s v="PF"/>
    <d v="2017-03-03T00:00:00"/>
    <d v="2017-06-21T00:00:00"/>
    <x v="1"/>
    <s v="Nil"/>
    <m/>
    <s v="BF"/>
    <x v="1"/>
    <x v="0"/>
    <x v="8"/>
    <n v="5.6000001728534698E-2"/>
    <m/>
    <x v="0"/>
    <m/>
    <x v="0"/>
    <s v="P"/>
    <m/>
    <m/>
    <n v="0"/>
    <m/>
    <n v="0"/>
    <m/>
    <n v="0"/>
    <n v="0"/>
    <n v="0"/>
    <n v="0"/>
    <n v="1"/>
    <n v="0"/>
    <n v="0"/>
    <n v="0"/>
    <n v="0"/>
    <n v="0"/>
    <n v="0"/>
    <n v="1"/>
    <n v="1"/>
    <n v="0"/>
    <n v="0"/>
    <n v="0"/>
    <n v="0"/>
    <n v="0"/>
    <n v="0"/>
    <n v="-1"/>
    <n v="0"/>
    <n v="0"/>
    <n v="0"/>
    <n v="0"/>
    <n v="0"/>
    <n v="0"/>
    <n v="0"/>
    <n v="0"/>
    <s v="West"/>
    <x v="0"/>
    <x v="0"/>
    <x v="1"/>
    <x v="0"/>
    <x v="0"/>
    <x v="0"/>
    <m/>
    <x v="0"/>
    <s v="Y"/>
    <s v="9A"/>
    <m/>
    <n v="0"/>
    <n v="0.25"/>
    <n v="0.25"/>
    <n v="0.25"/>
    <n v="0.25"/>
    <n v="0"/>
    <n v="0"/>
    <n v="0"/>
    <n v="0"/>
    <n v="0"/>
    <n v="0"/>
    <n v="0"/>
    <n v="0"/>
    <n v="0"/>
    <n v="0"/>
    <n v="0"/>
    <n v="0"/>
    <n v="0"/>
    <n v="0"/>
    <n v="0"/>
    <n v="0"/>
    <n v="1"/>
    <n v="1"/>
  </r>
  <r>
    <n v="6493"/>
    <x v="1"/>
    <s v="2017/0484"/>
    <m/>
    <s v="Busby House, Aldrington Road"/>
    <m/>
    <n v="529358"/>
    <n v="171498"/>
    <x v="12"/>
    <m/>
    <m/>
    <n v="0"/>
    <n v="3"/>
    <n v="3"/>
    <n v="3"/>
    <n v="3"/>
    <m/>
    <s v="Alterations including the infill of undercroft space beneath the block to provide 3 self-contained flats (2 x 1-bedroom and 1 x 2-bedroom) with associated amenity space and the provision of 3  car parking spaces on western side of Busby House."/>
    <s v="PF"/>
    <d v="2017-02-07T00:00:00"/>
    <d v="2017-04-04T00:00:00"/>
    <x v="1"/>
    <s v="Nil"/>
    <m/>
    <s v="BF"/>
    <x v="0"/>
    <x v="0"/>
    <x v="0"/>
    <n v="4.9999998882412902E-3"/>
    <m/>
    <x v="0"/>
    <m/>
    <x v="2"/>
    <s v="C"/>
    <m/>
    <m/>
    <n v="3"/>
    <m/>
    <n v="0"/>
    <m/>
    <n v="0"/>
    <n v="2"/>
    <n v="1"/>
    <n v="0"/>
    <n v="0"/>
    <n v="0"/>
    <n v="0"/>
    <n v="0"/>
    <n v="2"/>
    <n v="1"/>
    <n v="0"/>
    <n v="0"/>
    <n v="0"/>
    <n v="0"/>
    <n v="0"/>
    <n v="0"/>
    <n v="0"/>
    <n v="0"/>
    <n v="0"/>
    <n v="0"/>
    <n v="0"/>
    <n v="0"/>
    <n v="0"/>
    <n v="0"/>
    <n v="0"/>
    <n v="0"/>
    <n v="0"/>
    <n v="0"/>
    <s v="East"/>
    <x v="0"/>
    <x v="0"/>
    <x v="1"/>
    <x v="0"/>
    <x v="0"/>
    <x v="0"/>
    <m/>
    <x v="0"/>
    <s v="Y"/>
    <n v="4"/>
    <m/>
    <n v="0"/>
    <n v="0"/>
    <n v="0.75"/>
    <n v="0.75"/>
    <n v="0.75"/>
    <n v="0.75"/>
    <n v="0"/>
    <n v="0"/>
    <n v="0"/>
    <n v="0"/>
    <n v="0"/>
    <n v="0"/>
    <n v="0"/>
    <n v="0"/>
    <n v="0"/>
    <n v="0"/>
    <n v="0"/>
    <n v="0"/>
    <n v="0"/>
    <n v="0"/>
    <n v="0"/>
    <n v="3"/>
    <n v="3"/>
  </r>
  <r>
    <n v="6494"/>
    <x v="1"/>
    <s v="2017/0483"/>
    <m/>
    <s v="Grierson House, Aldrington Road"/>
    <m/>
    <n v="529449"/>
    <n v="171532"/>
    <x v="12"/>
    <m/>
    <m/>
    <n v="0"/>
    <n v="3"/>
    <n v="3"/>
    <n v="3"/>
    <n v="3"/>
    <m/>
    <s v="Infill of undercroft space beneath the block to provide 3 self-contained flats (1 x 1-bedroom and 2 x 2-bedroom) with associated amenity space and the provision of 3 car parking spaces to the east of Grierson House."/>
    <s v="PF"/>
    <d v="2017-02-07T00:00:00"/>
    <d v="2017-04-04T00:00:00"/>
    <x v="1"/>
    <s v="Nil"/>
    <m/>
    <s v="BF"/>
    <x v="0"/>
    <x v="0"/>
    <x v="0"/>
    <n v="1.60000007599592E-2"/>
    <m/>
    <x v="0"/>
    <m/>
    <x v="2"/>
    <s v="C"/>
    <m/>
    <m/>
    <n v="3"/>
    <m/>
    <n v="0"/>
    <m/>
    <n v="0"/>
    <n v="1"/>
    <n v="2"/>
    <n v="0"/>
    <n v="0"/>
    <n v="0"/>
    <n v="0"/>
    <n v="0"/>
    <n v="1"/>
    <n v="2"/>
    <n v="0"/>
    <n v="0"/>
    <n v="0"/>
    <n v="0"/>
    <n v="0"/>
    <n v="0"/>
    <n v="0"/>
    <n v="0"/>
    <n v="0"/>
    <n v="0"/>
    <n v="0"/>
    <n v="0"/>
    <n v="0"/>
    <n v="0"/>
    <n v="0"/>
    <n v="0"/>
    <n v="0"/>
    <n v="0"/>
    <s v="East"/>
    <x v="0"/>
    <x v="0"/>
    <x v="1"/>
    <x v="0"/>
    <x v="0"/>
    <x v="0"/>
    <m/>
    <x v="0"/>
    <s v="Y"/>
    <n v="4"/>
    <m/>
    <n v="0"/>
    <n v="0"/>
    <n v="0.75"/>
    <n v="0.75"/>
    <n v="0.75"/>
    <n v="0.75"/>
    <n v="0"/>
    <n v="0"/>
    <n v="0"/>
    <n v="0"/>
    <n v="0"/>
    <n v="0"/>
    <n v="0"/>
    <n v="0"/>
    <n v="0"/>
    <n v="0"/>
    <n v="0"/>
    <n v="0"/>
    <n v="0"/>
    <n v="0"/>
    <n v="0"/>
    <n v="3"/>
    <n v="3"/>
  </r>
  <r>
    <n v="6495"/>
    <x v="1"/>
    <s v="2017/0473"/>
    <m/>
    <s v="130 Wimbledon Park road"/>
    <m/>
    <n v="524891"/>
    <n v="173680"/>
    <x v="5"/>
    <m/>
    <m/>
    <n v="0"/>
    <n v="1"/>
    <n v="1"/>
    <n v="1"/>
    <n v="1"/>
    <m/>
    <s v="Change of use from Professional and Financial Services ( Class  A2 ) to a Residential Dwelling ( Class C3 ), erection of single storey rear extension and erection of a front boundary wall."/>
    <s v="PF"/>
    <d v="2017-01-25T00:00:00"/>
    <d v="2017-05-23T00:00:00"/>
    <x v="1"/>
    <s v="Nil"/>
    <m/>
    <s v="BF"/>
    <x v="4"/>
    <x v="0"/>
    <x v="9"/>
    <n v="2.8999999165535001E-2"/>
    <m/>
    <x v="0"/>
    <m/>
    <x v="0"/>
    <s v="P"/>
    <m/>
    <m/>
    <n v="0"/>
    <m/>
    <n v="0"/>
    <m/>
    <n v="0"/>
    <n v="0"/>
    <n v="1"/>
    <n v="0"/>
    <n v="0"/>
    <n v="0"/>
    <n v="0"/>
    <n v="0"/>
    <n v="0"/>
    <n v="0"/>
    <n v="0"/>
    <n v="0"/>
    <n v="0"/>
    <n v="0"/>
    <n v="0"/>
    <n v="0"/>
    <n v="1"/>
    <n v="0"/>
    <n v="0"/>
    <n v="0"/>
    <n v="0"/>
    <n v="0"/>
    <n v="0"/>
    <n v="0"/>
    <n v="0"/>
    <n v="0"/>
    <n v="0"/>
    <n v="0"/>
    <s v="West"/>
    <x v="0"/>
    <x v="0"/>
    <x v="1"/>
    <x v="0"/>
    <x v="0"/>
    <x v="0"/>
    <m/>
    <x v="0"/>
    <s v="Y"/>
    <s v="9A"/>
    <m/>
    <n v="0"/>
    <n v="0.25"/>
    <n v="0.25"/>
    <n v="0.25"/>
    <n v="0.25"/>
    <n v="0"/>
    <n v="0"/>
    <n v="0"/>
    <n v="0"/>
    <n v="0"/>
    <n v="0"/>
    <n v="0"/>
    <n v="0"/>
    <n v="0"/>
    <n v="0"/>
    <n v="0"/>
    <n v="0"/>
    <n v="0"/>
    <n v="0"/>
    <n v="0"/>
    <n v="0"/>
    <n v="1"/>
    <n v="1"/>
  </r>
  <r>
    <n v="6497"/>
    <x v="1"/>
    <s v="2017/0153"/>
    <m/>
    <s v="64-64c, 64-64c Battersea Rise"/>
    <m/>
    <n v="527487"/>
    <n v="175150"/>
    <x v="14"/>
    <m/>
    <m/>
    <n v="2"/>
    <n v="0"/>
    <n v="-2"/>
    <n v="0"/>
    <n v="-2"/>
    <m/>
    <s v="Excavation to extend basement and alterations to ground floor level of restaurant (Class A3). Change of use of first, second and third floor from two flats (Class C3) to a House in Multiple Occupation (HMO - 13 tenancy units) with shared faciliites.  Extensions to rear at first floor and second floor (including french doors) and to roof level (including changes to front roof pitch, side roof extension and third floor extension), and creation of roof terraces at second and third floor levels.  Replacement extract flue."/>
    <s v="PF"/>
    <d v="2017-01-17T00:00:00"/>
    <d v="2017-05-02T00:00:00"/>
    <x v="1"/>
    <s v="Nil"/>
    <m/>
    <s v="BF"/>
    <x v="4"/>
    <x v="0"/>
    <x v="6"/>
    <n v="0"/>
    <m/>
    <x v="0"/>
    <m/>
    <x v="0"/>
    <s v="P"/>
    <m/>
    <m/>
    <n v="0"/>
    <m/>
    <n v="0"/>
    <m/>
    <n v="0"/>
    <n v="0"/>
    <n v="-2"/>
    <n v="0"/>
    <n v="0"/>
    <n v="0"/>
    <n v="0"/>
    <n v="0"/>
    <n v="0"/>
    <n v="-2"/>
    <n v="0"/>
    <n v="0"/>
    <n v="0"/>
    <n v="0"/>
    <n v="0"/>
    <n v="0"/>
    <n v="0"/>
    <n v="0"/>
    <n v="0"/>
    <n v="0"/>
    <n v="0"/>
    <n v="0"/>
    <n v="0"/>
    <n v="0"/>
    <n v="0"/>
    <n v="0"/>
    <n v="0"/>
    <n v="0"/>
    <s v="East"/>
    <x v="5"/>
    <x v="0"/>
    <x v="1"/>
    <x v="0"/>
    <x v="0"/>
    <x v="0"/>
    <m/>
    <x v="0"/>
    <s v="Y"/>
    <s v="9A"/>
    <m/>
    <n v="0"/>
    <n v="-0.5"/>
    <n v="-0.5"/>
    <n v="-0.5"/>
    <n v="-0.5"/>
    <n v="0"/>
    <n v="0"/>
    <n v="0"/>
    <n v="0"/>
    <n v="0"/>
    <n v="0"/>
    <n v="0"/>
    <n v="0"/>
    <n v="0"/>
    <n v="0"/>
    <n v="0"/>
    <n v="0"/>
    <n v="0"/>
    <n v="0"/>
    <n v="0"/>
    <n v="0"/>
    <n v="-2"/>
    <n v="-2"/>
  </r>
  <r>
    <n v="6498"/>
    <x v="1"/>
    <s v="2016/5744"/>
    <m/>
    <s v="Land east and sport court west  of 27-48, 27-48 Tyneham Close"/>
    <m/>
    <n v="528346"/>
    <n v="175825"/>
    <x v="10"/>
    <m/>
    <m/>
    <n v="0"/>
    <n v="8"/>
    <n v="8"/>
    <n v="8"/>
    <n v="8"/>
    <m/>
    <s v="Erection of  two four storey blocks to existing residential block to provide 8 residential units with associated cycle parking, bin store and landscaping."/>
    <s v="PF"/>
    <d v="2016-09-30T00:00:00"/>
    <d v="2017-01-26T00:00:00"/>
    <x v="0"/>
    <s v="Nil"/>
    <m/>
    <s v="BF"/>
    <x v="0"/>
    <x v="0"/>
    <x v="0"/>
    <n v="5.0999999046325697E-2"/>
    <m/>
    <x v="0"/>
    <m/>
    <x v="2"/>
    <s v="C"/>
    <m/>
    <m/>
    <n v="7"/>
    <m/>
    <n v="1"/>
    <m/>
    <n v="0"/>
    <n v="2"/>
    <n v="4"/>
    <n v="2"/>
    <n v="0"/>
    <n v="0"/>
    <n v="0"/>
    <n v="0"/>
    <n v="2"/>
    <n v="4"/>
    <n v="0"/>
    <n v="0"/>
    <n v="0"/>
    <n v="0"/>
    <n v="0"/>
    <n v="0"/>
    <n v="0"/>
    <n v="2"/>
    <n v="0"/>
    <n v="0"/>
    <n v="0"/>
    <n v="0"/>
    <n v="0"/>
    <n v="0"/>
    <n v="0"/>
    <n v="0"/>
    <n v="0"/>
    <n v="0"/>
    <s v="East"/>
    <x v="0"/>
    <x v="0"/>
    <x v="1"/>
    <x v="0"/>
    <x v="0"/>
    <x v="0"/>
    <m/>
    <x v="0"/>
    <s v="Y"/>
    <s v="5B"/>
    <m/>
    <n v="0"/>
    <n v="0"/>
    <n v="0"/>
    <n v="0"/>
    <n v="2.6666666666666665"/>
    <n v="2.6666666666666665"/>
    <n v="2.6666666666666665"/>
    <n v="0"/>
    <n v="0"/>
    <n v="0"/>
    <n v="0"/>
    <n v="0"/>
    <n v="0"/>
    <n v="0"/>
    <n v="0"/>
    <n v="0"/>
    <n v="0"/>
    <n v="0"/>
    <n v="0"/>
    <n v="0"/>
    <n v="0"/>
    <n v="5.333333333333333"/>
    <n v="8"/>
  </r>
  <r>
    <n v="6501"/>
    <x v="1"/>
    <s v="2016/5209"/>
    <m/>
    <s v="1023-1025 Garratt Lane"/>
    <m/>
    <n v="527304"/>
    <n v="171639"/>
    <x v="4"/>
    <m/>
    <m/>
    <n v="0"/>
    <n v="12"/>
    <n v="12"/>
    <n v="17"/>
    <n v="17"/>
    <s v="Y"/>
    <s v="Demolition of the existing builder and timber merchant building (Class B1) and redevelopment with a part 2, part 3 storey building plus basement level comprising 17 apartments (Class C3) (2 x 1 beds, 12 x 2 beds and 3 x 3 beds) and associated landscaping, car and cycle parking."/>
    <s v="PFLA"/>
    <d v="2016-10-17T00:00:00"/>
    <d v="2017-11-14T00:00:00"/>
    <x v="1"/>
    <s v="Nil"/>
    <m/>
    <s v="BF"/>
    <x v="0"/>
    <x v="1"/>
    <x v="1"/>
    <n v="0.116999998688698"/>
    <m/>
    <x v="0"/>
    <m/>
    <x v="0"/>
    <s v="P"/>
    <m/>
    <m/>
    <n v="0"/>
    <m/>
    <n v="12"/>
    <m/>
    <n v="0"/>
    <n v="2"/>
    <n v="7"/>
    <n v="3"/>
    <n v="0"/>
    <n v="0"/>
    <n v="0"/>
    <n v="0"/>
    <n v="2"/>
    <n v="7"/>
    <n v="3"/>
    <n v="0"/>
    <n v="0"/>
    <n v="0"/>
    <n v="0"/>
    <n v="0"/>
    <n v="0"/>
    <n v="0"/>
    <n v="0"/>
    <n v="0"/>
    <n v="0"/>
    <n v="0"/>
    <n v="0"/>
    <n v="0"/>
    <n v="0"/>
    <n v="0"/>
    <n v="0"/>
    <n v="0"/>
    <s v="East"/>
    <x v="0"/>
    <x v="0"/>
    <x v="1"/>
    <x v="0"/>
    <x v="0"/>
    <x v="0"/>
    <m/>
    <x v="0"/>
    <s v="Y"/>
    <s v="5A"/>
    <m/>
    <n v="0"/>
    <n v="0"/>
    <n v="12"/>
    <n v="0"/>
    <n v="0"/>
    <n v="0"/>
    <n v="0"/>
    <n v="0"/>
    <n v="0"/>
    <n v="0"/>
    <n v="0"/>
    <n v="0"/>
    <n v="0"/>
    <n v="0"/>
    <n v="0"/>
    <n v="0"/>
    <n v="0"/>
    <n v="0"/>
    <n v="0"/>
    <n v="0"/>
    <n v="0"/>
    <n v="12"/>
    <n v="12"/>
  </r>
  <r>
    <n v="6501"/>
    <x v="1"/>
    <s v="2016/5209"/>
    <m/>
    <s v="1023-1025 Garratt Lane"/>
    <m/>
    <n v="527304"/>
    <n v="171639"/>
    <x v="4"/>
    <m/>
    <m/>
    <n v="0"/>
    <n v="5"/>
    <n v="5"/>
    <n v="17"/>
    <n v="17"/>
    <s v="Y"/>
    <s v="Demolition of the existing builder and timber merchant building (Class B1) and redevelopment with a part 2, part 3 storey building plus basement level comprising 17 apartments (Class C3) (2 x 1 beds, 12 x 2 beds and 3 x 3 beds) and associated landscaping, car and cycle parking."/>
    <s v="PFLA"/>
    <d v="2016-10-17T00:00:00"/>
    <d v="2017-11-14T00:00:00"/>
    <x v="1"/>
    <s v="Nil"/>
    <m/>
    <s v="BF"/>
    <x v="0"/>
    <x v="1"/>
    <x v="1"/>
    <n v="3.9000000804662698E-2"/>
    <m/>
    <x v="0"/>
    <m/>
    <x v="1"/>
    <s v="HAIS"/>
    <m/>
    <m/>
    <n v="3"/>
    <m/>
    <n v="2"/>
    <n v="2"/>
    <n v="0"/>
    <n v="0"/>
    <n v="5"/>
    <n v="0"/>
    <n v="0"/>
    <n v="0"/>
    <n v="0"/>
    <n v="0"/>
    <n v="0"/>
    <n v="5"/>
    <n v="0"/>
    <n v="0"/>
    <n v="0"/>
    <n v="0"/>
    <n v="0"/>
    <n v="0"/>
    <n v="0"/>
    <n v="0"/>
    <n v="0"/>
    <n v="0"/>
    <n v="0"/>
    <n v="0"/>
    <n v="0"/>
    <n v="0"/>
    <n v="0"/>
    <n v="0"/>
    <n v="0"/>
    <n v="0"/>
    <s v="East"/>
    <x v="0"/>
    <x v="0"/>
    <x v="1"/>
    <x v="0"/>
    <x v="0"/>
    <x v="0"/>
    <m/>
    <x v="0"/>
    <s v="Y"/>
    <s v="5A"/>
    <m/>
    <n v="0"/>
    <n v="0"/>
    <n v="5"/>
    <n v="0"/>
    <n v="0"/>
    <n v="0"/>
    <n v="0"/>
    <n v="0"/>
    <n v="0"/>
    <n v="0"/>
    <n v="0"/>
    <n v="0"/>
    <n v="0"/>
    <n v="0"/>
    <n v="0"/>
    <n v="0"/>
    <n v="0"/>
    <n v="0"/>
    <n v="0"/>
    <n v="0"/>
    <n v="0"/>
    <n v="5"/>
    <n v="5"/>
  </r>
  <r>
    <n v="6508"/>
    <x v="1"/>
    <s v="2016/2261"/>
    <s v="Plantation Wharf"/>
    <s v="Spice Court, Ivory Square"/>
    <s v="Former Units 9, 10 and 11"/>
    <n v="526400"/>
    <n v="175699"/>
    <x v="1"/>
    <m/>
    <m/>
    <n v="0"/>
    <n v="3"/>
    <n v="3"/>
    <n v="3"/>
    <n v="3"/>
    <m/>
    <s v="Determination as to whether prior approval is required for change of use from office (Class B1a) to 2 x 1-bedroom and 1 x 2-bedroom residential units (Class C3) at second floor level."/>
    <s v="PAG"/>
    <d v="2016-04-27T00:00:00"/>
    <d v="2016-06-22T00:00:00"/>
    <x v="0"/>
    <s v="Nil"/>
    <m/>
    <s v="BF"/>
    <x v="3"/>
    <x v="0"/>
    <x v="9"/>
    <n v="8.0000003799796104E-3"/>
    <m/>
    <x v="0"/>
    <m/>
    <x v="0"/>
    <s v="P"/>
    <m/>
    <m/>
    <n v="0"/>
    <m/>
    <n v="0"/>
    <m/>
    <n v="0"/>
    <n v="2"/>
    <n v="1"/>
    <n v="0"/>
    <n v="0"/>
    <n v="0"/>
    <n v="0"/>
    <n v="0"/>
    <n v="2"/>
    <n v="1"/>
    <n v="0"/>
    <n v="0"/>
    <n v="0"/>
    <n v="0"/>
    <n v="0"/>
    <n v="0"/>
    <n v="0"/>
    <n v="0"/>
    <n v="0"/>
    <n v="0"/>
    <n v="0"/>
    <n v="0"/>
    <n v="0"/>
    <n v="0"/>
    <n v="0"/>
    <n v="0"/>
    <n v="0"/>
    <n v="0"/>
    <s v="East"/>
    <x v="0"/>
    <x v="0"/>
    <x v="1"/>
    <x v="0"/>
    <x v="0"/>
    <x v="0"/>
    <s v="Y"/>
    <x v="0"/>
    <s v="Y"/>
    <s v="9C"/>
    <m/>
    <n v="0"/>
    <n v="0.75"/>
    <n v="0.75"/>
    <n v="0.75"/>
    <n v="0.75"/>
    <n v="0"/>
    <n v="0"/>
    <n v="0"/>
    <n v="0"/>
    <n v="0"/>
    <n v="0"/>
    <n v="0"/>
    <n v="0"/>
    <n v="0"/>
    <n v="0"/>
    <n v="0"/>
    <n v="0"/>
    <n v="0"/>
    <n v="0"/>
    <n v="0"/>
    <n v="0"/>
    <n v="3"/>
    <n v="3"/>
  </r>
  <r>
    <n v="6508"/>
    <x v="1"/>
    <s v="2016/2396"/>
    <s v="Plantation Wharf"/>
    <s v="Spice Court, Ivory Square"/>
    <s v="Former Units 14, 15, 16 and 17"/>
    <n v="526400"/>
    <n v="175699"/>
    <x v="1"/>
    <m/>
    <m/>
    <n v="0"/>
    <n v="4"/>
    <n v="4"/>
    <n v="4"/>
    <n v="4"/>
    <m/>
    <s v="Determination as to whether prior approval is required for change of use from office (Class B1a) to 1 x 2-bedroom and 3 x 1-bedroom residential units (Class C3) at third floor level."/>
    <s v="PAG"/>
    <d v="2016-04-27T00:00:00"/>
    <d v="2016-06-22T00:00:00"/>
    <x v="0"/>
    <s v="Nil"/>
    <m/>
    <s v="BF"/>
    <x v="3"/>
    <x v="0"/>
    <x v="9"/>
    <n v="8.0000003799796104E-3"/>
    <m/>
    <x v="0"/>
    <m/>
    <x v="0"/>
    <s v="P"/>
    <m/>
    <m/>
    <n v="0"/>
    <m/>
    <n v="0"/>
    <m/>
    <n v="0"/>
    <n v="3"/>
    <n v="1"/>
    <n v="0"/>
    <n v="0"/>
    <n v="0"/>
    <n v="0"/>
    <n v="0"/>
    <n v="3"/>
    <n v="1"/>
    <n v="0"/>
    <n v="0"/>
    <n v="0"/>
    <n v="0"/>
    <n v="0"/>
    <n v="0"/>
    <n v="0"/>
    <n v="0"/>
    <n v="0"/>
    <n v="0"/>
    <n v="0"/>
    <n v="0"/>
    <n v="0"/>
    <n v="0"/>
    <n v="0"/>
    <n v="0"/>
    <n v="0"/>
    <n v="0"/>
    <s v="East"/>
    <x v="0"/>
    <x v="0"/>
    <x v="1"/>
    <x v="0"/>
    <x v="0"/>
    <x v="0"/>
    <s v="Y"/>
    <x v="0"/>
    <s v="Y"/>
    <s v="9C"/>
    <m/>
    <n v="0"/>
    <n v="1"/>
    <n v="1"/>
    <n v="1"/>
    <n v="1"/>
    <n v="0"/>
    <n v="0"/>
    <n v="0"/>
    <n v="0"/>
    <n v="0"/>
    <n v="0"/>
    <n v="0"/>
    <n v="0"/>
    <n v="0"/>
    <n v="0"/>
    <n v="0"/>
    <n v="0"/>
    <n v="0"/>
    <n v="0"/>
    <n v="0"/>
    <n v="0"/>
    <n v="4"/>
    <n v="4"/>
  </r>
  <r>
    <n v="6508"/>
    <x v="1"/>
    <s v="2016/3445"/>
    <s v="Plantation Wharf"/>
    <s v="Spice Court, Ivory Square"/>
    <s v="Former Units 2, 3 and 4"/>
    <n v="526400"/>
    <n v="175699"/>
    <x v="1"/>
    <m/>
    <m/>
    <n v="0"/>
    <n v="3"/>
    <n v="3"/>
    <n v="3"/>
    <n v="3"/>
    <m/>
    <s v="Determination as to whether prior approval is required for change of use of office at ground floor level (Class B1a) to residential (Class C3)  to provide 2 x 2-bedroom and 1 x 1-bedroom residential flats."/>
    <s v="PAG"/>
    <d v="2016-06-27T00:00:00"/>
    <d v="2016-08-22T00:00:00"/>
    <x v="0"/>
    <s v="Nil"/>
    <m/>
    <s v="BF"/>
    <x v="3"/>
    <x v="0"/>
    <x v="9"/>
    <n v="1.30000002682209E-2"/>
    <m/>
    <x v="0"/>
    <m/>
    <x v="0"/>
    <s v="P"/>
    <m/>
    <m/>
    <n v="0"/>
    <m/>
    <n v="0"/>
    <m/>
    <n v="0"/>
    <n v="1"/>
    <n v="2"/>
    <n v="0"/>
    <n v="0"/>
    <n v="0"/>
    <n v="0"/>
    <n v="0"/>
    <n v="1"/>
    <n v="2"/>
    <n v="0"/>
    <n v="0"/>
    <n v="0"/>
    <n v="0"/>
    <n v="0"/>
    <n v="0"/>
    <n v="0"/>
    <n v="0"/>
    <n v="0"/>
    <n v="0"/>
    <n v="0"/>
    <n v="0"/>
    <n v="0"/>
    <n v="0"/>
    <n v="0"/>
    <n v="0"/>
    <n v="0"/>
    <n v="0"/>
    <s v="East"/>
    <x v="0"/>
    <x v="0"/>
    <x v="1"/>
    <x v="0"/>
    <x v="0"/>
    <x v="0"/>
    <s v="Y"/>
    <x v="0"/>
    <s v="Y"/>
    <s v="9C"/>
    <m/>
    <n v="0"/>
    <n v="0.75"/>
    <n v="0.75"/>
    <n v="0.75"/>
    <n v="0.75"/>
    <n v="0"/>
    <n v="0"/>
    <n v="0"/>
    <n v="0"/>
    <n v="0"/>
    <n v="0"/>
    <n v="0"/>
    <n v="0"/>
    <n v="0"/>
    <n v="0"/>
    <n v="0"/>
    <n v="0"/>
    <n v="0"/>
    <n v="0"/>
    <n v="0"/>
    <n v="0"/>
    <n v="3"/>
    <n v="3"/>
  </r>
  <r>
    <n v="6508"/>
    <x v="1"/>
    <s v="2016/3447"/>
    <s v="Plantation Wharf"/>
    <s v="Spice Court, Ivory Square"/>
    <s v="Former Unit 8"/>
    <n v="526400"/>
    <n v="175699"/>
    <x v="1"/>
    <m/>
    <m/>
    <n v="0"/>
    <n v="2"/>
    <n v="2"/>
    <n v="5"/>
    <n v="5"/>
    <m/>
    <s v="Determination as to whether prior approval is required for change of use of office at first floor level (Class B1a) to 3 x 2-bedroom residential and 1 x 1-bedroom residential  units (Class C3)."/>
    <s v="PAG"/>
    <d v="2016-06-15T00:00:00"/>
    <d v="2016-08-10T00:00:00"/>
    <x v="0"/>
    <s v="Nil"/>
    <m/>
    <s v="BF"/>
    <x v="3"/>
    <x v="0"/>
    <x v="9"/>
    <n v="0"/>
    <m/>
    <x v="0"/>
    <m/>
    <x v="0"/>
    <s v="P"/>
    <m/>
    <m/>
    <n v="0"/>
    <m/>
    <n v="0"/>
    <m/>
    <n v="0"/>
    <n v="0"/>
    <n v="2"/>
    <n v="0"/>
    <n v="0"/>
    <n v="0"/>
    <n v="0"/>
    <n v="0"/>
    <n v="0"/>
    <n v="2"/>
    <n v="0"/>
    <n v="0"/>
    <n v="0"/>
    <n v="0"/>
    <n v="0"/>
    <n v="0"/>
    <n v="0"/>
    <n v="0"/>
    <n v="0"/>
    <n v="0"/>
    <n v="0"/>
    <n v="0"/>
    <n v="0"/>
    <n v="0"/>
    <n v="0"/>
    <n v="0"/>
    <n v="0"/>
    <n v="0"/>
    <s v="East"/>
    <x v="0"/>
    <x v="0"/>
    <x v="1"/>
    <x v="0"/>
    <x v="0"/>
    <x v="0"/>
    <s v="Y"/>
    <x v="0"/>
    <s v="Y"/>
    <s v="9C"/>
    <m/>
    <n v="0"/>
    <n v="0.5"/>
    <n v="0.5"/>
    <n v="0.5"/>
    <n v="0.5"/>
    <n v="0"/>
    <n v="0"/>
    <n v="0"/>
    <n v="0"/>
    <n v="0"/>
    <n v="0"/>
    <n v="0"/>
    <n v="0"/>
    <n v="0"/>
    <n v="0"/>
    <n v="0"/>
    <n v="0"/>
    <n v="0"/>
    <n v="0"/>
    <n v="0"/>
    <n v="0"/>
    <n v="2"/>
    <n v="2"/>
  </r>
  <r>
    <n v="6508"/>
    <x v="1"/>
    <s v="2016/3870"/>
    <s v="Plantation Wharf"/>
    <s v="Spice Court, Ivory Square"/>
    <s v="Former Units 1, 12 and 13"/>
    <n v="526400"/>
    <n v="175699"/>
    <x v="1"/>
    <m/>
    <m/>
    <n v="0"/>
    <n v="4"/>
    <n v="4"/>
    <n v="4"/>
    <n v="4"/>
    <m/>
    <s v="Determination as to whether prior approval is required for change of use of offices at ground and second floor levels from (Class B1a) to residential (Class C3) to provide 1 x studio, 1 x 1-bedroom flat and 1 x 3-bedroom flat at second floor, and 1 x 1-bedroom flat at ground floor."/>
    <s v="PAG"/>
    <d v="2016-06-30T00:00:00"/>
    <d v="2016-08-25T00:00:00"/>
    <x v="0"/>
    <s v="Nil"/>
    <m/>
    <s v="BF"/>
    <x v="3"/>
    <x v="0"/>
    <x v="9"/>
    <n v="2.5000000372528999E-2"/>
    <m/>
    <x v="0"/>
    <m/>
    <x v="0"/>
    <s v="P"/>
    <m/>
    <m/>
    <n v="0"/>
    <m/>
    <n v="0"/>
    <m/>
    <n v="1"/>
    <n v="2"/>
    <n v="0"/>
    <n v="1"/>
    <n v="0"/>
    <n v="0"/>
    <n v="0"/>
    <n v="1"/>
    <n v="2"/>
    <n v="0"/>
    <n v="1"/>
    <n v="0"/>
    <n v="0"/>
    <n v="0"/>
    <n v="0"/>
    <n v="0"/>
    <n v="0"/>
    <n v="0"/>
    <n v="0"/>
    <n v="0"/>
    <n v="0"/>
    <n v="0"/>
    <n v="0"/>
    <n v="0"/>
    <n v="0"/>
    <n v="0"/>
    <n v="0"/>
    <n v="0"/>
    <s v="East"/>
    <x v="0"/>
    <x v="0"/>
    <x v="1"/>
    <x v="0"/>
    <x v="0"/>
    <x v="0"/>
    <s v="Y"/>
    <x v="0"/>
    <s v="Y"/>
    <s v="9C"/>
    <m/>
    <n v="0"/>
    <n v="1"/>
    <n v="1"/>
    <n v="1"/>
    <n v="1"/>
    <n v="0"/>
    <n v="0"/>
    <n v="0"/>
    <n v="0"/>
    <n v="0"/>
    <n v="0"/>
    <n v="0"/>
    <n v="0"/>
    <n v="0"/>
    <n v="0"/>
    <n v="0"/>
    <n v="0"/>
    <n v="0"/>
    <n v="0"/>
    <n v="0"/>
    <n v="0"/>
    <n v="4"/>
    <n v="4"/>
  </r>
  <r>
    <n v="6508"/>
    <x v="1"/>
    <s v="2016/5713"/>
    <s v="Plantation Wharf"/>
    <s v="Spice Court, Ivory Square"/>
    <s v="Former Units 5, 6 and 7"/>
    <n v="526400"/>
    <n v="175699"/>
    <x v="1"/>
    <m/>
    <m/>
    <n v="0"/>
    <n v="3"/>
    <n v="3"/>
    <n v="3"/>
    <n v="3"/>
    <m/>
    <s v="Determination as to whether prior approval is required for change of use from offices at first floor level (Class B1a) to 1 x 2-bedroom and 2 x 1-bedroom residential units (Class C3)."/>
    <s v="PAG"/>
    <d v="2016-09-30T00:00:00"/>
    <d v="2016-11-25T00:00:00"/>
    <x v="0"/>
    <s v="Nil"/>
    <m/>
    <s v="BF"/>
    <x v="3"/>
    <x v="0"/>
    <x v="9"/>
    <n v="2.0999999716877899E-2"/>
    <m/>
    <x v="0"/>
    <m/>
    <x v="0"/>
    <s v="P"/>
    <m/>
    <m/>
    <n v="0"/>
    <m/>
    <n v="0"/>
    <m/>
    <n v="0"/>
    <n v="2"/>
    <n v="1"/>
    <n v="0"/>
    <n v="0"/>
    <n v="0"/>
    <n v="0"/>
    <n v="0"/>
    <n v="2"/>
    <n v="1"/>
    <n v="0"/>
    <n v="0"/>
    <n v="0"/>
    <n v="0"/>
    <n v="0"/>
    <n v="0"/>
    <n v="0"/>
    <n v="0"/>
    <n v="0"/>
    <n v="0"/>
    <n v="0"/>
    <n v="0"/>
    <n v="0"/>
    <n v="0"/>
    <n v="0"/>
    <n v="0"/>
    <n v="0"/>
    <n v="0"/>
    <s v="East"/>
    <x v="0"/>
    <x v="0"/>
    <x v="1"/>
    <x v="0"/>
    <x v="0"/>
    <x v="0"/>
    <s v="Y"/>
    <x v="0"/>
    <s v="Y"/>
    <s v="9C"/>
    <m/>
    <n v="0"/>
    <n v="0.75"/>
    <n v="0.75"/>
    <n v="0.75"/>
    <n v="0.75"/>
    <n v="0"/>
    <n v="0"/>
    <n v="0"/>
    <n v="0"/>
    <n v="0"/>
    <n v="0"/>
    <n v="0"/>
    <n v="0"/>
    <n v="0"/>
    <n v="0"/>
    <n v="0"/>
    <n v="0"/>
    <n v="0"/>
    <n v="0"/>
    <n v="0"/>
    <n v="0"/>
    <n v="3"/>
    <n v="3"/>
  </r>
  <r>
    <n v="6509"/>
    <x v="1"/>
    <s v="2016/3363"/>
    <s v="Plantation Wharf"/>
    <s v="Port House, Square Rigger Row"/>
    <s v="Units 3, 4, 5, 6, 7, 11, 12, 13 and 14"/>
    <n v="526505"/>
    <n v="175773"/>
    <x v="1"/>
    <m/>
    <m/>
    <n v="0"/>
    <n v="11"/>
    <n v="11"/>
    <n v="13"/>
    <n v="13"/>
    <s v="Y"/>
    <s v="Determination as to whether prior approval is required for change of use of office (Class B1a) to residential (Class C3) to provide 9 x 1 bedroom and 4 x 2-bedroom flats at ground, first, second and third floor levels."/>
    <s v="PAG"/>
    <d v="2016-06-15T00:00:00"/>
    <d v="2016-08-10T00:00:00"/>
    <x v="0"/>
    <s v="Nil"/>
    <m/>
    <s v="BF"/>
    <x v="3"/>
    <x v="0"/>
    <x v="9"/>
    <n v="2.70000007003546E-2"/>
    <m/>
    <x v="0"/>
    <m/>
    <x v="0"/>
    <s v="P"/>
    <m/>
    <m/>
    <n v="0"/>
    <m/>
    <n v="0"/>
    <m/>
    <n v="0"/>
    <n v="7"/>
    <n v="4"/>
    <n v="0"/>
    <n v="0"/>
    <n v="0"/>
    <n v="0"/>
    <n v="0"/>
    <n v="7"/>
    <n v="4"/>
    <n v="0"/>
    <n v="0"/>
    <n v="0"/>
    <n v="0"/>
    <n v="0"/>
    <n v="0"/>
    <n v="0"/>
    <n v="0"/>
    <n v="0"/>
    <n v="0"/>
    <n v="0"/>
    <n v="0"/>
    <n v="0"/>
    <n v="0"/>
    <n v="0"/>
    <n v="0"/>
    <n v="0"/>
    <n v="0"/>
    <s v="East"/>
    <x v="0"/>
    <x v="0"/>
    <x v="1"/>
    <x v="0"/>
    <x v="0"/>
    <x v="0"/>
    <s v="Y"/>
    <x v="0"/>
    <s v="Y"/>
    <s v="9C"/>
    <m/>
    <n v="0"/>
    <n v="2.75"/>
    <n v="2.75"/>
    <n v="2.75"/>
    <n v="2.75"/>
    <n v="0"/>
    <n v="0"/>
    <n v="0"/>
    <n v="0"/>
    <n v="0"/>
    <n v="0"/>
    <n v="0"/>
    <n v="0"/>
    <n v="0"/>
    <n v="0"/>
    <n v="0"/>
    <n v="0"/>
    <n v="0"/>
    <n v="0"/>
    <n v="0"/>
    <n v="0"/>
    <n v="11"/>
    <n v="11"/>
  </r>
  <r>
    <n v="6509"/>
    <x v="1"/>
    <s v="2016/3364"/>
    <s v="Plantation Wharf"/>
    <s v="Port House, Square Rigger Row"/>
    <s v="Unit 10"/>
    <n v="526505"/>
    <n v="175773"/>
    <x v="1"/>
    <m/>
    <m/>
    <n v="0"/>
    <n v="1"/>
    <n v="1"/>
    <n v="3"/>
    <n v="3"/>
    <m/>
    <s v="Determination as to whether prior approval is required for change of use from office (Class B1a) to 3 x 1-bedroom residential units (Class C3) at ground floor level."/>
    <s v="PAG"/>
    <d v="2016-06-15T00:00:00"/>
    <d v="2016-08-10T00:00:00"/>
    <x v="0"/>
    <s v="Nil"/>
    <m/>
    <s v="BF"/>
    <x v="3"/>
    <x v="0"/>
    <x v="9"/>
    <n v="0"/>
    <m/>
    <x v="0"/>
    <m/>
    <x v="0"/>
    <s v="P"/>
    <m/>
    <m/>
    <n v="0"/>
    <m/>
    <n v="0"/>
    <m/>
    <n v="0"/>
    <n v="1"/>
    <n v="0"/>
    <n v="0"/>
    <n v="0"/>
    <n v="0"/>
    <n v="0"/>
    <n v="0"/>
    <n v="1"/>
    <n v="0"/>
    <n v="0"/>
    <n v="0"/>
    <n v="0"/>
    <n v="0"/>
    <n v="0"/>
    <n v="0"/>
    <n v="0"/>
    <n v="0"/>
    <n v="0"/>
    <n v="0"/>
    <n v="0"/>
    <n v="0"/>
    <n v="0"/>
    <n v="0"/>
    <n v="0"/>
    <n v="0"/>
    <n v="0"/>
    <n v="0"/>
    <s v="East"/>
    <x v="0"/>
    <x v="0"/>
    <x v="1"/>
    <x v="0"/>
    <x v="0"/>
    <x v="0"/>
    <s v="Y"/>
    <x v="0"/>
    <s v="Y"/>
    <s v="9C"/>
    <m/>
    <n v="0"/>
    <n v="0.25"/>
    <n v="0.25"/>
    <n v="0.25"/>
    <n v="0.25"/>
    <n v="0"/>
    <n v="0"/>
    <n v="0"/>
    <n v="0"/>
    <n v="0"/>
    <n v="0"/>
    <n v="0"/>
    <n v="0"/>
    <n v="0"/>
    <n v="0"/>
    <n v="0"/>
    <n v="0"/>
    <n v="0"/>
    <n v="0"/>
    <n v="0"/>
    <n v="0"/>
    <n v="1"/>
    <n v="1"/>
  </r>
  <r>
    <n v="6509"/>
    <x v="1"/>
    <s v="2016/3451"/>
    <s v="Plantation Wharf"/>
    <s v="Port House, Square Rigger Row"/>
    <s v="Units 1, 2, 8 and 9"/>
    <n v="526505"/>
    <n v="175773"/>
    <x v="1"/>
    <m/>
    <m/>
    <n v="0"/>
    <n v="4"/>
    <n v="4"/>
    <n v="4"/>
    <n v="4"/>
    <m/>
    <s v="Determination as to whether prior approval is required for change of use of office at ground floor level  (Class B1a) to residential (Class C3) to provide 4 x 1-bedroom residential flats."/>
    <s v="PAG"/>
    <d v="2016-06-27T00:00:00"/>
    <d v="2016-08-22T00:00:00"/>
    <x v="0"/>
    <s v="Nil"/>
    <m/>
    <s v="BF"/>
    <x v="3"/>
    <x v="0"/>
    <x v="9"/>
    <n v="1.4000000432133701E-2"/>
    <m/>
    <x v="0"/>
    <m/>
    <x v="0"/>
    <s v="P"/>
    <m/>
    <m/>
    <n v="0"/>
    <m/>
    <n v="0"/>
    <m/>
    <n v="0"/>
    <n v="4"/>
    <n v="0"/>
    <n v="0"/>
    <n v="0"/>
    <n v="0"/>
    <n v="0"/>
    <n v="0"/>
    <n v="4"/>
    <n v="0"/>
    <n v="0"/>
    <n v="0"/>
    <n v="0"/>
    <n v="0"/>
    <n v="0"/>
    <n v="0"/>
    <n v="0"/>
    <n v="0"/>
    <n v="0"/>
    <n v="0"/>
    <n v="0"/>
    <n v="0"/>
    <n v="0"/>
    <n v="0"/>
    <n v="0"/>
    <n v="0"/>
    <n v="0"/>
    <n v="0"/>
    <s v="East"/>
    <x v="0"/>
    <x v="0"/>
    <x v="1"/>
    <x v="0"/>
    <x v="0"/>
    <x v="0"/>
    <s v="Y"/>
    <x v="0"/>
    <s v="Y"/>
    <s v="9C"/>
    <m/>
    <n v="0"/>
    <n v="1"/>
    <n v="1"/>
    <n v="1"/>
    <n v="1"/>
    <n v="0"/>
    <n v="0"/>
    <n v="0"/>
    <n v="0"/>
    <n v="0"/>
    <n v="0"/>
    <n v="0"/>
    <n v="0"/>
    <n v="0"/>
    <n v="0"/>
    <n v="0"/>
    <n v="0"/>
    <n v="0"/>
    <n v="0"/>
    <n v="0"/>
    <n v="0"/>
    <n v="4"/>
    <n v="4"/>
  </r>
  <r>
    <n v="6513"/>
    <x v="1"/>
    <s v="2015/0843"/>
    <m/>
    <s v="Dock North of 34 Falcon Wharf, Lombard Road"/>
    <m/>
    <n v="526622"/>
    <n v="176212"/>
    <x v="1"/>
    <m/>
    <m/>
    <n v="0"/>
    <n v="1"/>
    <n v="1"/>
    <n v="1"/>
    <n v="1"/>
    <m/>
    <s v="Outline application for the construction of a floating residential vessel in the dock known as Oyster Wharf inlet."/>
    <s v="RP"/>
    <d v="2015-02-17T00:00:00"/>
    <d v="2015-07-24T00:00:00"/>
    <x v="0"/>
    <s v="APG"/>
    <d v="2016-05-26T00:00:00"/>
    <s v="BF"/>
    <x v="0"/>
    <x v="0"/>
    <x v="0"/>
    <n v="2.4000000208616298E-2"/>
    <m/>
    <x v="0"/>
    <m/>
    <x v="0"/>
    <s v="P"/>
    <m/>
    <m/>
    <n v="1"/>
    <m/>
    <n v="0"/>
    <m/>
    <n v="0"/>
    <n v="0"/>
    <n v="0"/>
    <n v="1"/>
    <n v="0"/>
    <n v="0"/>
    <n v="0"/>
    <n v="0"/>
    <n v="0"/>
    <n v="0"/>
    <n v="0"/>
    <n v="0"/>
    <n v="0"/>
    <n v="0"/>
    <n v="0"/>
    <n v="0"/>
    <n v="0"/>
    <n v="1"/>
    <n v="0"/>
    <n v="0"/>
    <n v="0"/>
    <n v="0"/>
    <n v="0"/>
    <n v="0"/>
    <n v="0"/>
    <n v="0"/>
    <n v="0"/>
    <n v="0"/>
    <s v="East"/>
    <x v="0"/>
    <x v="0"/>
    <x v="1"/>
    <x v="0"/>
    <x v="0"/>
    <x v="0"/>
    <s v="Y"/>
    <x v="0"/>
    <s v="Y"/>
    <n v="4"/>
    <m/>
    <n v="0"/>
    <n v="0"/>
    <n v="0.25"/>
    <n v="0.25"/>
    <n v="0.25"/>
    <n v="0.25"/>
    <n v="0"/>
    <n v="0"/>
    <n v="0"/>
    <n v="0"/>
    <n v="0"/>
    <n v="0"/>
    <n v="0"/>
    <n v="0"/>
    <n v="0"/>
    <n v="0"/>
    <n v="0"/>
    <n v="0"/>
    <n v="0"/>
    <n v="0"/>
    <n v="0"/>
    <n v="1"/>
    <n v="1"/>
  </r>
  <r>
    <n v="6516"/>
    <x v="1"/>
    <s v="2017/0637"/>
    <m/>
    <s v="Shenstone House, Aldrington Road"/>
    <m/>
    <n v="529436"/>
    <n v="171443"/>
    <x v="12"/>
    <m/>
    <m/>
    <n v="0"/>
    <n v="3"/>
    <n v="3"/>
    <n v="3"/>
    <n v="3"/>
    <m/>
    <s v="Infill of undercroft space beneath the block to provide 3 self-contained flats (1 x 1-bedroom and 2 x 2-bedroom) with associated amenity space and the provision of three car parking spaces to the east of Shenstone House."/>
    <s v="PF"/>
    <d v="2017-02-06T00:00:00"/>
    <d v="2017-04-03T00:00:00"/>
    <x v="1"/>
    <s v="Nil"/>
    <m/>
    <s v="BF"/>
    <x v="0"/>
    <x v="0"/>
    <x v="0"/>
    <n v="6.0000000521540598E-3"/>
    <m/>
    <x v="0"/>
    <m/>
    <x v="2"/>
    <s v="C"/>
    <m/>
    <m/>
    <n v="3"/>
    <m/>
    <n v="0"/>
    <m/>
    <n v="0"/>
    <n v="1"/>
    <n v="2"/>
    <n v="0"/>
    <n v="0"/>
    <n v="0"/>
    <n v="0"/>
    <n v="0"/>
    <n v="1"/>
    <n v="2"/>
    <n v="0"/>
    <n v="0"/>
    <n v="0"/>
    <n v="0"/>
    <n v="0"/>
    <n v="0"/>
    <n v="0"/>
    <n v="0"/>
    <n v="0"/>
    <n v="0"/>
    <n v="0"/>
    <n v="0"/>
    <n v="0"/>
    <n v="0"/>
    <n v="0"/>
    <n v="0"/>
    <n v="0"/>
    <n v="0"/>
    <s v="East"/>
    <x v="0"/>
    <x v="0"/>
    <x v="1"/>
    <x v="0"/>
    <x v="0"/>
    <x v="0"/>
    <m/>
    <x v="0"/>
    <s v="Y"/>
    <n v="4"/>
    <m/>
    <n v="0"/>
    <n v="0"/>
    <n v="0.75"/>
    <n v="0.75"/>
    <n v="0.75"/>
    <n v="0.75"/>
    <n v="0"/>
    <n v="0"/>
    <n v="0"/>
    <n v="0"/>
    <n v="0"/>
    <n v="0"/>
    <n v="0"/>
    <n v="0"/>
    <n v="0"/>
    <n v="0"/>
    <n v="0"/>
    <n v="0"/>
    <n v="0"/>
    <n v="0"/>
    <n v="0"/>
    <n v="3"/>
    <n v="3"/>
  </r>
  <r>
    <n v="6518"/>
    <x v="1"/>
    <s v="2017/0724"/>
    <m/>
    <s v="152 Ramsden Road"/>
    <m/>
    <n v="528325"/>
    <n v="173875"/>
    <x v="9"/>
    <m/>
    <m/>
    <n v="0"/>
    <n v="2"/>
    <n v="2"/>
    <n v="3"/>
    <n v="2"/>
    <m/>
    <s v="Alterations including erection of roof extension with rear terrace to create two additional storeys of accomodation in connection with creation of additional 1 x 1-bedroom and 2 x 2-bedroom flats; installation of replacement windows and doors; erection of replacement garage."/>
    <s v="PF"/>
    <d v="2017-02-13T00:00:00"/>
    <d v="2017-07-03T00:00:00"/>
    <x v="1"/>
    <s v="Nil"/>
    <m/>
    <s v="BF"/>
    <x v="2"/>
    <x v="0"/>
    <x v="3"/>
    <n v="2.60000005364418E-2"/>
    <m/>
    <x v="0"/>
    <m/>
    <x v="0"/>
    <s v="P"/>
    <m/>
    <m/>
    <n v="0"/>
    <m/>
    <n v="0"/>
    <m/>
    <n v="0"/>
    <n v="1"/>
    <n v="1"/>
    <n v="0"/>
    <n v="0"/>
    <n v="0"/>
    <n v="0"/>
    <n v="0"/>
    <n v="1"/>
    <n v="1"/>
    <n v="0"/>
    <n v="0"/>
    <n v="0"/>
    <n v="0"/>
    <n v="0"/>
    <n v="0"/>
    <n v="0"/>
    <n v="0"/>
    <n v="0"/>
    <n v="0"/>
    <n v="0"/>
    <n v="0"/>
    <n v="0"/>
    <n v="0"/>
    <n v="0"/>
    <n v="0"/>
    <n v="0"/>
    <n v="0"/>
    <s v="East"/>
    <x v="0"/>
    <x v="0"/>
    <x v="1"/>
    <x v="0"/>
    <x v="0"/>
    <x v="0"/>
    <m/>
    <x v="0"/>
    <s v="Y"/>
    <s v="9A"/>
    <m/>
    <n v="0"/>
    <n v="0.5"/>
    <n v="0.5"/>
    <n v="0.5"/>
    <n v="0.5"/>
    <n v="0"/>
    <n v="0"/>
    <n v="0"/>
    <n v="0"/>
    <n v="0"/>
    <n v="0"/>
    <n v="0"/>
    <n v="0"/>
    <n v="0"/>
    <n v="0"/>
    <n v="0"/>
    <n v="0"/>
    <n v="0"/>
    <n v="0"/>
    <n v="0"/>
    <n v="0"/>
    <n v="2"/>
    <n v="2"/>
  </r>
  <r>
    <n v="6518"/>
    <x v="1"/>
    <s v="2017/0724"/>
    <m/>
    <s v="152 Ramsden Road"/>
    <m/>
    <n v="528325"/>
    <n v="173875"/>
    <x v="9"/>
    <m/>
    <m/>
    <n v="1"/>
    <n v="1"/>
    <n v="0"/>
    <n v="3"/>
    <n v="2"/>
    <m/>
    <s v="Alterations including erection of roof extension with rear terrace to create two additional storeys of accomodation in connection with creation of additional 1 x 1-bedroom and 2 x 2-bedroom flats; installation of replacement windows and doors; erection of replacement garage."/>
    <s v="PF"/>
    <d v="2017-02-13T00:00:00"/>
    <d v="2017-07-03T00:00:00"/>
    <x v="1"/>
    <s v="Nil"/>
    <m/>
    <s v="BF"/>
    <x v="2"/>
    <x v="0"/>
    <x v="2"/>
    <n v="1.30000002682209E-2"/>
    <m/>
    <x v="0"/>
    <m/>
    <x v="0"/>
    <s v="P"/>
    <m/>
    <m/>
    <n v="0"/>
    <m/>
    <n v="0"/>
    <m/>
    <n v="0"/>
    <n v="1"/>
    <n v="-1"/>
    <n v="0"/>
    <n v="0"/>
    <n v="0"/>
    <n v="0"/>
    <n v="0"/>
    <n v="1"/>
    <n v="-1"/>
    <n v="0"/>
    <n v="0"/>
    <n v="0"/>
    <n v="0"/>
    <n v="0"/>
    <n v="0"/>
    <n v="0"/>
    <n v="0"/>
    <n v="0"/>
    <n v="0"/>
    <n v="0"/>
    <n v="0"/>
    <n v="0"/>
    <n v="0"/>
    <n v="0"/>
    <n v="0"/>
    <n v="0"/>
    <n v="0"/>
    <s v="East"/>
    <x v="0"/>
    <x v="0"/>
    <x v="1"/>
    <x v="0"/>
    <x v="0"/>
    <x v="0"/>
    <m/>
    <x v="0"/>
    <s v="Y"/>
    <s v="9A"/>
    <m/>
    <n v="0"/>
    <n v="0"/>
    <n v="0"/>
    <n v="0"/>
    <n v="0"/>
    <n v="0"/>
    <n v="0"/>
    <n v="0"/>
    <n v="0"/>
    <n v="0"/>
    <n v="0"/>
    <n v="0"/>
    <n v="0"/>
    <n v="0"/>
    <n v="0"/>
    <n v="0"/>
    <n v="0"/>
    <n v="0"/>
    <n v="0"/>
    <n v="0"/>
    <n v="0"/>
    <n v="0"/>
    <n v="0"/>
  </r>
  <r>
    <n v="6519"/>
    <x v="1"/>
    <s v="2016/6539"/>
    <m/>
    <s v="97A Mayford Road"/>
    <m/>
    <n v="528096"/>
    <n v="173420"/>
    <x v="11"/>
    <m/>
    <m/>
    <n v="1"/>
    <n v="1"/>
    <n v="0"/>
    <n v="1"/>
    <n v="0"/>
    <m/>
    <s v="Alterations including enlargement of front lightwell, replace front door with a window and change of use from live / work unit (Sui Generis) to 1 x 3-bedroom flat (Class Use C3)."/>
    <s v="PF"/>
    <d v="2017-03-09T00:00:00"/>
    <d v="2017-08-22T00:00:00"/>
    <x v="1"/>
    <s v="Nil"/>
    <m/>
    <s v="BF"/>
    <x v="3"/>
    <x v="0"/>
    <x v="9"/>
    <n v="1.43999997526407E-2"/>
    <m/>
    <x v="0"/>
    <m/>
    <x v="0"/>
    <s v="P"/>
    <m/>
    <m/>
    <n v="0"/>
    <m/>
    <n v="0"/>
    <m/>
    <n v="0"/>
    <n v="0"/>
    <n v="0"/>
    <n v="0"/>
    <n v="0"/>
    <n v="0"/>
    <n v="0"/>
    <n v="0"/>
    <n v="0"/>
    <n v="0"/>
    <n v="1"/>
    <n v="0"/>
    <n v="0"/>
    <n v="0"/>
    <n v="0"/>
    <n v="0"/>
    <n v="0"/>
    <n v="0"/>
    <n v="0"/>
    <n v="0"/>
    <n v="0"/>
    <n v="0"/>
    <n v="0"/>
    <n v="0"/>
    <n v="-1"/>
    <n v="0"/>
    <n v="0"/>
    <n v="0"/>
    <s v="East"/>
    <x v="0"/>
    <x v="0"/>
    <x v="1"/>
    <x v="0"/>
    <x v="0"/>
    <x v="0"/>
    <m/>
    <x v="0"/>
    <s v="Y"/>
    <s v="9A"/>
    <m/>
    <n v="0"/>
    <n v="0"/>
    <n v="0"/>
    <n v="0"/>
    <n v="0"/>
    <n v="0"/>
    <n v="0"/>
    <n v="0"/>
    <n v="0"/>
    <n v="0"/>
    <n v="0"/>
    <n v="0"/>
    <n v="0"/>
    <n v="0"/>
    <n v="0"/>
    <n v="0"/>
    <n v="0"/>
    <n v="0"/>
    <n v="0"/>
    <n v="0"/>
    <n v="0"/>
    <n v="0"/>
    <n v="0"/>
  </r>
  <r>
    <n v="6522"/>
    <x v="1"/>
    <s v="2016/7237"/>
    <m/>
    <s v="118 Putney High Street"/>
    <m/>
    <n v="523995"/>
    <n v="175261"/>
    <x v="13"/>
    <m/>
    <m/>
    <n v="2"/>
    <n v="2"/>
    <n v="0"/>
    <n v="3"/>
    <n v="1"/>
    <m/>
    <s v="Alterations including erection of additional storey of accommodation to form 1 x 1-bedroom flat (with French doors, roof terrace and safety railings), erection of a two-storey rear/side extension at first and second floors in connection with the conversion from 2 x 1 bedroom flats to form 2 x 2-bedroom flats. Installation of a bin and cycle storage to rear/side and enclose rear courtyard to form retail storage and staff area. Installation of 1 x air conditioning units and timber enclosure at rear first floor level."/>
    <s v="PF"/>
    <d v="2017-01-20T00:00:00"/>
    <d v="2017-08-04T00:00:00"/>
    <x v="1"/>
    <s v="Nil"/>
    <m/>
    <s v="BF"/>
    <x v="4"/>
    <x v="0"/>
    <x v="10"/>
    <n v="4.0000001899898104E-3"/>
    <m/>
    <x v="0"/>
    <m/>
    <x v="0"/>
    <s v="P"/>
    <m/>
    <m/>
    <n v="0"/>
    <m/>
    <n v="0"/>
    <m/>
    <n v="0"/>
    <n v="-2"/>
    <n v="2"/>
    <n v="0"/>
    <n v="0"/>
    <n v="0"/>
    <n v="0"/>
    <n v="0"/>
    <n v="-2"/>
    <n v="2"/>
    <n v="0"/>
    <n v="0"/>
    <n v="0"/>
    <n v="0"/>
    <n v="0"/>
    <n v="0"/>
    <n v="0"/>
    <n v="0"/>
    <n v="0"/>
    <n v="0"/>
    <n v="0"/>
    <n v="0"/>
    <n v="0"/>
    <n v="0"/>
    <n v="0"/>
    <n v="0"/>
    <n v="0"/>
    <n v="0"/>
    <s v="West"/>
    <x v="3"/>
    <x v="0"/>
    <x v="1"/>
    <x v="0"/>
    <x v="0"/>
    <x v="0"/>
    <m/>
    <x v="0"/>
    <s v="Y"/>
    <s v="9A"/>
    <m/>
    <n v="0"/>
    <n v="0"/>
    <n v="0"/>
    <n v="0"/>
    <n v="0"/>
    <n v="0"/>
    <n v="0"/>
    <n v="0"/>
    <n v="0"/>
    <n v="0"/>
    <n v="0"/>
    <n v="0"/>
    <n v="0"/>
    <n v="0"/>
    <n v="0"/>
    <n v="0"/>
    <n v="0"/>
    <n v="0"/>
    <n v="0"/>
    <n v="0"/>
    <n v="0"/>
    <n v="0"/>
    <n v="0"/>
  </r>
  <r>
    <n v="6522"/>
    <x v="1"/>
    <s v="2016/7237"/>
    <m/>
    <s v="118 Putney High Street"/>
    <m/>
    <n v="523995"/>
    <n v="175261"/>
    <x v="13"/>
    <m/>
    <m/>
    <n v="0"/>
    <n v="1"/>
    <n v="1"/>
    <n v="3"/>
    <n v="1"/>
    <m/>
    <s v="Alterations including erection of additional storey of accommodation to form 1 x 1-bedroom flat (with French doors, roof terrace and safety railings), erection of a two-storey rear/side extension at first and second floors in connection with the conversion from 2 x 1 bedroom flats to form 2 x 2-bedroom flats. Installation of a bin and cycle storage to rear/side and enclose rear courtyard to form retail storage and staff area. Installation of 1 x air conditioning units and timber enclosure at rear first floor level."/>
    <s v="PF"/>
    <d v="2017-01-20T00:00:00"/>
    <d v="2017-08-04T00:00:00"/>
    <x v="1"/>
    <s v="Nil"/>
    <m/>
    <s v="BF"/>
    <x v="4"/>
    <x v="0"/>
    <x v="0"/>
    <n v="4.0000001899898104E-3"/>
    <m/>
    <x v="0"/>
    <m/>
    <x v="0"/>
    <s v="P"/>
    <m/>
    <m/>
    <n v="0"/>
    <m/>
    <n v="0"/>
    <m/>
    <n v="0"/>
    <n v="1"/>
    <n v="0"/>
    <n v="0"/>
    <n v="0"/>
    <n v="0"/>
    <n v="0"/>
    <n v="0"/>
    <n v="1"/>
    <n v="0"/>
    <n v="0"/>
    <n v="0"/>
    <n v="0"/>
    <n v="0"/>
    <n v="0"/>
    <n v="0"/>
    <n v="0"/>
    <n v="0"/>
    <n v="0"/>
    <n v="0"/>
    <n v="0"/>
    <n v="0"/>
    <n v="0"/>
    <n v="0"/>
    <n v="0"/>
    <n v="0"/>
    <n v="0"/>
    <n v="0"/>
    <s v="West"/>
    <x v="3"/>
    <x v="0"/>
    <x v="1"/>
    <x v="0"/>
    <x v="0"/>
    <x v="0"/>
    <m/>
    <x v="0"/>
    <s v="Y"/>
    <s v="9A"/>
    <m/>
    <n v="0"/>
    <n v="0.25"/>
    <n v="0.25"/>
    <n v="0.25"/>
    <n v="0.25"/>
    <n v="0"/>
    <n v="0"/>
    <n v="0"/>
    <n v="0"/>
    <n v="0"/>
    <n v="0"/>
    <n v="0"/>
    <n v="0"/>
    <n v="0"/>
    <n v="0"/>
    <n v="0"/>
    <n v="0"/>
    <n v="0"/>
    <n v="0"/>
    <n v="0"/>
    <n v="0"/>
    <n v="1"/>
    <n v="1"/>
  </r>
  <r>
    <n v="6523"/>
    <x v="1"/>
    <s v="2017/0679"/>
    <m/>
    <s v="Unit 3 Taylors Yard, 67 Alderbrook Road"/>
    <m/>
    <n v="528682"/>
    <n v="173943"/>
    <x v="9"/>
    <m/>
    <m/>
    <n v="0"/>
    <n v="2"/>
    <n v="2"/>
    <n v="2"/>
    <n v="2"/>
    <m/>
    <s v="Demolition of existing 2-storey building and erection of 2 x 2-bedroom three-storey houses."/>
    <s v="PF"/>
    <d v="2017-03-16T00:00:00"/>
    <d v="2017-08-31T00:00:00"/>
    <x v="1"/>
    <s v="Nil"/>
    <m/>
    <s v="BF"/>
    <x v="0"/>
    <x v="0"/>
    <x v="0"/>
    <n v="6.7400000989437103E-2"/>
    <m/>
    <x v="0"/>
    <m/>
    <x v="0"/>
    <s v="P"/>
    <m/>
    <m/>
    <n v="2"/>
    <m/>
    <n v="0"/>
    <m/>
    <n v="0"/>
    <n v="0"/>
    <n v="0"/>
    <n v="2"/>
    <n v="0"/>
    <n v="0"/>
    <n v="0"/>
    <n v="0"/>
    <n v="0"/>
    <n v="0"/>
    <n v="0"/>
    <n v="0"/>
    <n v="0"/>
    <n v="0"/>
    <n v="0"/>
    <n v="0"/>
    <n v="0"/>
    <n v="2"/>
    <n v="0"/>
    <n v="0"/>
    <n v="0"/>
    <n v="0"/>
    <n v="0"/>
    <n v="0"/>
    <n v="0"/>
    <n v="0"/>
    <n v="0"/>
    <n v="0"/>
    <s v="East"/>
    <x v="0"/>
    <x v="0"/>
    <x v="1"/>
    <x v="0"/>
    <x v="0"/>
    <x v="0"/>
    <m/>
    <x v="0"/>
    <s v="Y"/>
    <n v="4"/>
    <m/>
    <n v="0"/>
    <n v="0"/>
    <n v="0.5"/>
    <n v="0.5"/>
    <n v="0.5"/>
    <n v="0.5"/>
    <n v="0"/>
    <n v="0"/>
    <n v="0"/>
    <n v="0"/>
    <n v="0"/>
    <n v="0"/>
    <n v="0"/>
    <n v="0"/>
    <n v="0"/>
    <n v="0"/>
    <n v="0"/>
    <n v="0"/>
    <n v="0"/>
    <n v="0"/>
    <n v="0"/>
    <n v="2"/>
    <n v="2"/>
  </r>
  <r>
    <n v="6524"/>
    <x v="1"/>
    <s v="2017/6508"/>
    <m/>
    <s v="88A Northcote Road"/>
    <m/>
    <n v="527505"/>
    <n v="174791"/>
    <x v="14"/>
    <m/>
    <m/>
    <n v="1"/>
    <n v="2"/>
    <n v="1"/>
    <n v="2"/>
    <n v="1"/>
    <m/>
    <s v="Alterations including erection of mansard roof extension to main rear roof. Erection of first floor and second floor rear extensions; formation of roof terraces at first and second floor levels and conversion of flat into 1 x 1-bedroom &amp; 1 x 2-bedroom flats."/>
    <s v="PF"/>
    <d v="2017-11-24T00:00:00"/>
    <d v="2018-01-19T00:00:00"/>
    <x v="1"/>
    <s v="Nil"/>
    <m/>
    <s v="BF"/>
    <x v="4"/>
    <x v="0"/>
    <x v="10"/>
    <n v="8.0000003799796104E-3"/>
    <m/>
    <x v="0"/>
    <m/>
    <x v="0"/>
    <s v="P"/>
    <m/>
    <m/>
    <n v="0"/>
    <m/>
    <n v="0"/>
    <m/>
    <n v="0"/>
    <n v="1"/>
    <n v="0"/>
    <n v="0"/>
    <n v="0"/>
    <n v="0"/>
    <n v="0"/>
    <n v="0"/>
    <n v="1"/>
    <n v="0"/>
    <n v="0"/>
    <n v="0"/>
    <n v="0"/>
    <n v="0"/>
    <n v="0"/>
    <n v="0"/>
    <n v="0"/>
    <n v="0"/>
    <n v="0"/>
    <n v="0"/>
    <n v="0"/>
    <n v="0"/>
    <n v="0"/>
    <n v="0"/>
    <n v="0"/>
    <n v="0"/>
    <n v="0"/>
    <n v="0"/>
    <s v="East"/>
    <x v="5"/>
    <x v="0"/>
    <x v="1"/>
    <x v="0"/>
    <x v="0"/>
    <x v="0"/>
    <m/>
    <x v="0"/>
    <s v="Y"/>
    <s v="9A"/>
    <m/>
    <n v="0"/>
    <n v="0.25"/>
    <n v="0.25"/>
    <n v="0.25"/>
    <n v="0.25"/>
    <n v="0"/>
    <n v="0"/>
    <n v="0"/>
    <n v="0"/>
    <n v="0"/>
    <n v="0"/>
    <n v="0"/>
    <n v="0"/>
    <n v="0"/>
    <n v="0"/>
    <n v="0"/>
    <n v="0"/>
    <n v="0"/>
    <n v="0"/>
    <n v="0"/>
    <n v="0"/>
    <n v="1"/>
    <n v="1"/>
  </r>
  <r>
    <n v="6525"/>
    <x v="1"/>
    <s v="2017/1159"/>
    <m/>
    <s v="6 Leacroft Avenue"/>
    <m/>
    <n v="527828"/>
    <n v="173720"/>
    <x v="11"/>
    <m/>
    <m/>
    <n v="1"/>
    <n v="1"/>
    <n v="0"/>
    <n v="1"/>
    <n v="0"/>
    <m/>
    <s v="Demolition of existing building and erection of a three storey (plus basement with rear lightwell) 5-bedroom detached house."/>
    <s v="PF"/>
    <d v="2017-02-27T00:00:00"/>
    <d v="2017-07-03T00:00:00"/>
    <x v="1"/>
    <s v="Nil"/>
    <m/>
    <s v="BF"/>
    <x v="0"/>
    <x v="0"/>
    <x v="0"/>
    <n v="4.0199998766183902E-2"/>
    <m/>
    <x v="0"/>
    <m/>
    <x v="0"/>
    <s v="P"/>
    <m/>
    <m/>
    <n v="0"/>
    <m/>
    <n v="0"/>
    <m/>
    <n v="0"/>
    <n v="0"/>
    <n v="0"/>
    <n v="-1"/>
    <n v="0"/>
    <n v="1"/>
    <n v="0"/>
    <n v="0"/>
    <n v="0"/>
    <n v="0"/>
    <n v="0"/>
    <n v="0"/>
    <n v="0"/>
    <n v="0"/>
    <n v="0"/>
    <n v="0"/>
    <n v="0"/>
    <n v="-1"/>
    <n v="0"/>
    <n v="1"/>
    <n v="0"/>
    <n v="0"/>
    <n v="0"/>
    <n v="0"/>
    <n v="0"/>
    <n v="0"/>
    <n v="0"/>
    <n v="0"/>
    <s v="East"/>
    <x v="0"/>
    <x v="0"/>
    <x v="1"/>
    <x v="0"/>
    <x v="0"/>
    <x v="0"/>
    <m/>
    <x v="0"/>
    <s v="Y"/>
    <n v="4"/>
    <m/>
    <n v="0"/>
    <n v="0"/>
    <n v="0"/>
    <n v="0"/>
    <n v="0"/>
    <n v="0"/>
    <n v="0"/>
    <n v="0"/>
    <n v="0"/>
    <n v="0"/>
    <n v="0"/>
    <n v="0"/>
    <n v="0"/>
    <n v="0"/>
    <n v="0"/>
    <n v="0"/>
    <n v="0"/>
    <n v="0"/>
    <n v="0"/>
    <n v="0"/>
    <n v="0"/>
    <n v="0"/>
    <n v="0"/>
  </r>
  <r>
    <n v="6535"/>
    <x v="1"/>
    <s v="2016/7186"/>
    <m/>
    <s v="The Platt Christian Centre, Felsham Road"/>
    <m/>
    <n v="523949"/>
    <n v="175565"/>
    <x v="13"/>
    <m/>
    <m/>
    <n v="2"/>
    <n v="0"/>
    <n v="-2"/>
    <n v="0"/>
    <n v="-2"/>
    <m/>
    <s v="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
    <s v="PF"/>
    <d v="2016-12-16T00:00:00"/>
    <d v="2017-06-23T00:00:00"/>
    <x v="1"/>
    <s v="Nil"/>
    <m/>
    <s v="BF"/>
    <x v="2"/>
    <x v="0"/>
    <x v="6"/>
    <n v="8.0000003799796104E-3"/>
    <m/>
    <x v="0"/>
    <m/>
    <x v="0"/>
    <s v="P"/>
    <m/>
    <m/>
    <n v="0"/>
    <m/>
    <n v="0"/>
    <m/>
    <n v="0"/>
    <n v="-1"/>
    <n v="-1"/>
    <n v="0"/>
    <n v="0"/>
    <n v="0"/>
    <n v="0"/>
    <n v="0"/>
    <n v="-1"/>
    <n v="-1"/>
    <n v="0"/>
    <n v="0"/>
    <n v="0"/>
    <n v="0"/>
    <n v="0"/>
    <n v="0"/>
    <n v="0"/>
    <n v="0"/>
    <n v="0"/>
    <n v="0"/>
    <n v="0"/>
    <n v="0"/>
    <n v="0"/>
    <n v="0"/>
    <n v="0"/>
    <n v="0"/>
    <n v="0"/>
    <n v="0"/>
    <s v="West"/>
    <x v="0"/>
    <x v="0"/>
    <x v="1"/>
    <x v="0"/>
    <x v="0"/>
    <x v="0"/>
    <m/>
    <x v="0"/>
    <s v="Y"/>
    <s v="9A"/>
    <m/>
    <n v="0"/>
    <n v="-0.5"/>
    <n v="-0.5"/>
    <n v="-0.5"/>
    <n v="-0.5"/>
    <n v="0"/>
    <n v="0"/>
    <n v="0"/>
    <n v="0"/>
    <n v="0"/>
    <n v="0"/>
    <n v="0"/>
    <n v="0"/>
    <n v="0"/>
    <n v="0"/>
    <n v="0"/>
    <n v="0"/>
    <n v="0"/>
    <n v="0"/>
    <n v="0"/>
    <n v="0"/>
    <n v="-2"/>
    <n v="-2"/>
  </r>
  <r>
    <n v="6537"/>
    <x v="1"/>
    <s v="2017/2506"/>
    <m/>
    <s v="106-108, 106-108 Tooting High Street"/>
    <m/>
    <n v="527325"/>
    <n v="171305"/>
    <x v="4"/>
    <m/>
    <m/>
    <n v="0"/>
    <n v="1"/>
    <n v="1"/>
    <n v="1"/>
    <n v="1"/>
    <m/>
    <s v="Erection of third floor extension to form 1 x 1-bedroom flat."/>
    <s v="PF"/>
    <d v="2017-05-15T00:00:00"/>
    <d v="2017-09-07T00:00:00"/>
    <x v="1"/>
    <s v="Nil"/>
    <m/>
    <s v="BF"/>
    <x v="2"/>
    <x v="0"/>
    <x v="3"/>
    <n v="4.9999998882412902E-3"/>
    <m/>
    <x v="0"/>
    <m/>
    <x v="0"/>
    <s v="P"/>
    <m/>
    <m/>
    <n v="0"/>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542"/>
    <x v="1"/>
    <s v="2017/1544"/>
    <m/>
    <s v="5a, 5 Fontenoy Road"/>
    <m/>
    <n v="528950"/>
    <n v="172639"/>
    <x v="3"/>
    <m/>
    <m/>
    <n v="0"/>
    <n v="1"/>
    <n v="1"/>
    <n v="1"/>
    <n v="1"/>
    <m/>
    <s v="Alterations including erection of mansard roof extension, erection of roof extension and formation of terrace with screen surround above two-storey back addition in connection with creation of 3-bedroom flat."/>
    <s v="RP"/>
    <d v="2017-03-15T00:00:00"/>
    <d v="2017-05-10T00:00:00"/>
    <x v="1"/>
    <s v="APG"/>
    <d v="2017-11-29T00:00:00"/>
    <s v="BF"/>
    <x v="4"/>
    <x v="0"/>
    <x v="0"/>
    <n v="4.0000001899898104E-3"/>
    <m/>
    <x v="0"/>
    <m/>
    <x v="0"/>
    <s v="P"/>
    <m/>
    <m/>
    <n v="1"/>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545"/>
    <x v="1"/>
    <s v="2017/3252"/>
    <m/>
    <s v="Basement and Ground Floor, 902 Garratt Lane"/>
    <m/>
    <n v="527162"/>
    <n v="171611"/>
    <x v="4"/>
    <m/>
    <m/>
    <n v="0"/>
    <n v="2"/>
    <n v="2"/>
    <n v="2"/>
    <n v="2"/>
    <m/>
    <s v="Determination as to whether prior approval is required for change of use from retail (Class A1) to residential (Class C3)."/>
    <s v="PANR"/>
    <d v="2017-06-12T00:00:00"/>
    <d v="2017-08-07T00:00:00"/>
    <x v="1"/>
    <s v="Nil"/>
    <m/>
    <s v="BF"/>
    <x v="3"/>
    <x v="0"/>
    <x v="4"/>
    <n v="9.9999997764825804E-3"/>
    <m/>
    <x v="0"/>
    <m/>
    <x v="0"/>
    <s v="P"/>
    <m/>
    <m/>
    <n v="0"/>
    <m/>
    <n v="0"/>
    <m/>
    <n v="1"/>
    <n v="1"/>
    <n v="0"/>
    <n v="0"/>
    <n v="0"/>
    <n v="0"/>
    <n v="0"/>
    <n v="1"/>
    <n v="1"/>
    <n v="0"/>
    <n v="0"/>
    <n v="0"/>
    <n v="0"/>
    <n v="0"/>
    <n v="0"/>
    <n v="0"/>
    <n v="0"/>
    <n v="0"/>
    <n v="0"/>
    <n v="0"/>
    <n v="0"/>
    <n v="0"/>
    <n v="0"/>
    <n v="0"/>
    <n v="0"/>
    <n v="0"/>
    <n v="0"/>
    <n v="0"/>
    <s v="East"/>
    <x v="0"/>
    <x v="0"/>
    <x v="1"/>
    <x v="0"/>
    <x v="0"/>
    <x v="0"/>
    <m/>
    <x v="0"/>
    <s v="Y"/>
    <s v="9A"/>
    <m/>
    <n v="0"/>
    <n v="0.5"/>
    <n v="0.5"/>
    <n v="0.5"/>
    <n v="0.5"/>
    <n v="0"/>
    <n v="0"/>
    <n v="0"/>
    <n v="0"/>
    <n v="0"/>
    <n v="0"/>
    <n v="0"/>
    <n v="0"/>
    <n v="0"/>
    <n v="0"/>
    <n v="0"/>
    <n v="0"/>
    <n v="0"/>
    <n v="0"/>
    <n v="0"/>
    <n v="0"/>
    <n v="2"/>
    <n v="2"/>
  </r>
  <r>
    <n v="6545"/>
    <x v="1"/>
    <s v="2017/4209"/>
    <m/>
    <s v="Basement and Ground Floor, 902 Garratt Lane"/>
    <m/>
    <n v="527162"/>
    <n v="171611"/>
    <x v="4"/>
    <m/>
    <m/>
    <n v="1"/>
    <n v="2"/>
    <n v="1"/>
    <n v="2"/>
    <n v="1"/>
    <m/>
    <s v="Alterations in connection with conversion of first floor flat into 1 x 1-bedroom and 1 x studio flats."/>
    <s v="PF"/>
    <d v="2017-07-27T00:00:00"/>
    <d v="2017-09-21T00:00:00"/>
    <x v="1"/>
    <s v="Nil"/>
    <m/>
    <s v="BF"/>
    <x v="1"/>
    <x v="0"/>
    <x v="10"/>
    <n v="4.0000001899898104E-3"/>
    <m/>
    <x v="0"/>
    <m/>
    <x v="0"/>
    <s v="P"/>
    <m/>
    <m/>
    <n v="0"/>
    <m/>
    <n v="0"/>
    <m/>
    <n v="1"/>
    <n v="1"/>
    <n v="0"/>
    <n v="-1"/>
    <n v="0"/>
    <n v="0"/>
    <n v="0"/>
    <n v="1"/>
    <n v="1"/>
    <n v="0"/>
    <n v="-1"/>
    <n v="0"/>
    <n v="0"/>
    <n v="0"/>
    <n v="0"/>
    <n v="0"/>
    <n v="0"/>
    <n v="0"/>
    <n v="0"/>
    <n v="0"/>
    <n v="0"/>
    <n v="0"/>
    <n v="0"/>
    <n v="0"/>
    <n v="0"/>
    <n v="0"/>
    <n v="0"/>
    <n v="0"/>
    <s v="East"/>
    <x v="0"/>
    <x v="0"/>
    <x v="1"/>
    <x v="0"/>
    <x v="0"/>
    <x v="0"/>
    <m/>
    <x v="0"/>
    <s v="Y"/>
    <s v="9A"/>
    <m/>
    <n v="0"/>
    <n v="0.25"/>
    <n v="0.25"/>
    <n v="0.25"/>
    <n v="0.25"/>
    <n v="0"/>
    <n v="0"/>
    <n v="0"/>
    <n v="0"/>
    <n v="0"/>
    <n v="0"/>
    <n v="0"/>
    <n v="0"/>
    <n v="0"/>
    <n v="0"/>
    <n v="0"/>
    <n v="0"/>
    <n v="0"/>
    <n v="0"/>
    <n v="0"/>
    <n v="0"/>
    <n v="1"/>
    <n v="1"/>
  </r>
  <r>
    <n v="6553"/>
    <x v="1"/>
    <s v="2017/2605"/>
    <m/>
    <s v="487 Merton Road"/>
    <m/>
    <n v="525441"/>
    <n v="172855"/>
    <x v="5"/>
    <m/>
    <m/>
    <n v="0"/>
    <n v="1"/>
    <n v="1"/>
    <n v="1"/>
    <n v="1"/>
    <m/>
    <s v="Determination as to whether prior approval is required for change of use from retail (Class A1) to 1 x 2-bedroom flat (Class C3) with associated external alterations to front elevations."/>
    <s v="PANR"/>
    <d v="2017-05-03T00:00:00"/>
    <d v="2017-06-14T00:00:00"/>
    <x v="1"/>
    <s v="Nil"/>
    <m/>
    <s v="BF"/>
    <x v="3"/>
    <x v="0"/>
    <x v="4"/>
    <n v="1.4000000432133701E-2"/>
    <m/>
    <x v="0"/>
    <m/>
    <x v="0"/>
    <s v="P"/>
    <m/>
    <m/>
    <n v="0"/>
    <m/>
    <n v="0"/>
    <m/>
    <n v="0"/>
    <n v="0"/>
    <n v="1"/>
    <n v="0"/>
    <n v="0"/>
    <n v="0"/>
    <n v="0"/>
    <n v="0"/>
    <n v="0"/>
    <n v="1"/>
    <n v="0"/>
    <n v="0"/>
    <n v="0"/>
    <n v="0"/>
    <n v="0"/>
    <n v="0"/>
    <n v="0"/>
    <n v="0"/>
    <n v="0"/>
    <n v="0"/>
    <n v="0"/>
    <n v="0"/>
    <n v="0"/>
    <n v="0"/>
    <n v="0"/>
    <n v="0"/>
    <n v="0"/>
    <n v="0"/>
    <s v="West"/>
    <x v="0"/>
    <x v="0"/>
    <x v="1"/>
    <x v="0"/>
    <x v="0"/>
    <x v="0"/>
    <m/>
    <x v="1"/>
    <s v="Y"/>
    <s v="9A"/>
    <m/>
    <n v="0"/>
    <n v="0.25"/>
    <n v="0.25"/>
    <n v="0.25"/>
    <n v="0.25"/>
    <n v="0"/>
    <n v="0"/>
    <n v="0"/>
    <n v="0"/>
    <n v="0"/>
    <n v="0"/>
    <n v="0"/>
    <n v="0"/>
    <n v="0"/>
    <n v="0"/>
    <n v="0"/>
    <n v="0"/>
    <n v="0"/>
    <n v="0"/>
    <n v="0"/>
    <n v="0"/>
    <n v="1"/>
    <n v="1"/>
  </r>
  <r>
    <n v="6563"/>
    <x v="1"/>
    <s v="2017/3542"/>
    <m/>
    <s v="Second Floor Regent House, 16-18, 16-18 Lombard Road"/>
    <m/>
    <n v="526668"/>
    <n v="176335"/>
    <x v="1"/>
    <m/>
    <m/>
    <n v="0"/>
    <n v="11"/>
    <n v="11"/>
    <n v="11"/>
    <n v="11"/>
    <s v="Y"/>
    <s v="Determination as to whether prior approval is required for change of use from office(Class B1a)  to 4 x 1-bedroom, 3 x 2-bedroom and 4 x 3bedroom flats (Class C3)."/>
    <s v="PAG"/>
    <d v="2017-06-26T00:00:00"/>
    <d v="2017-08-18T00:00:00"/>
    <x v="1"/>
    <s v="Nil"/>
    <m/>
    <s v="BF"/>
    <x v="3"/>
    <x v="0"/>
    <x v="9"/>
    <n v="1.7000000923872001E-2"/>
    <m/>
    <x v="0"/>
    <m/>
    <x v="0"/>
    <s v="P"/>
    <m/>
    <m/>
    <n v="0"/>
    <m/>
    <n v="0"/>
    <m/>
    <n v="0"/>
    <n v="4"/>
    <n v="3"/>
    <n v="4"/>
    <n v="0"/>
    <n v="0"/>
    <n v="0"/>
    <n v="0"/>
    <n v="4"/>
    <n v="3"/>
    <n v="4"/>
    <n v="0"/>
    <n v="0"/>
    <n v="0"/>
    <n v="0"/>
    <n v="0"/>
    <n v="0"/>
    <n v="0"/>
    <n v="0"/>
    <n v="0"/>
    <n v="0"/>
    <n v="0"/>
    <n v="0"/>
    <n v="0"/>
    <n v="0"/>
    <n v="0"/>
    <n v="0"/>
    <n v="0"/>
    <s v="East"/>
    <x v="0"/>
    <x v="0"/>
    <x v="1"/>
    <x v="0"/>
    <x v="0"/>
    <x v="0"/>
    <s v="Y"/>
    <x v="0"/>
    <s v="Y"/>
    <s v="9C"/>
    <m/>
    <n v="0"/>
    <n v="2.75"/>
    <n v="2.75"/>
    <n v="2.75"/>
    <n v="2.75"/>
    <n v="0"/>
    <n v="0"/>
    <n v="0"/>
    <n v="0"/>
    <n v="0"/>
    <n v="0"/>
    <n v="0"/>
    <n v="0"/>
    <n v="0"/>
    <n v="0"/>
    <n v="0"/>
    <n v="0"/>
    <n v="0"/>
    <n v="0"/>
    <n v="0"/>
    <n v="0"/>
    <n v="11"/>
    <n v="11"/>
  </r>
  <r>
    <n v="6564"/>
    <x v="1"/>
    <s v="2017/4356"/>
    <m/>
    <s v="Units 11-13 &amp; 24-25 Blades Court, 121 Deodar Road"/>
    <m/>
    <n v="524601"/>
    <n v="175314"/>
    <x v="13"/>
    <m/>
    <m/>
    <n v="0"/>
    <n v="15"/>
    <n v="15"/>
    <n v="15"/>
    <n v="15"/>
    <s v="Y"/>
    <s v="Determination as to whether prior approval is required for change of use from offices (Class B1a) to residential (Class C3) to provide 12 x 1 bedroom  and 3 x 2-bedroom flats."/>
    <s v="PANR"/>
    <d v="2017-08-03T00:00:00"/>
    <d v="2017-09-27T00:00:00"/>
    <x v="1"/>
    <s v="Nil"/>
    <m/>
    <s v="BF"/>
    <x v="3"/>
    <x v="5"/>
    <x v="1"/>
    <n v="3.0999999493360499E-2"/>
    <m/>
    <x v="0"/>
    <m/>
    <x v="0"/>
    <s v="P"/>
    <m/>
    <m/>
    <n v="0"/>
    <m/>
    <n v="0"/>
    <m/>
    <n v="0"/>
    <n v="12"/>
    <n v="3"/>
    <n v="0"/>
    <n v="0"/>
    <n v="0"/>
    <n v="0"/>
    <n v="0"/>
    <n v="12"/>
    <n v="3"/>
    <n v="0"/>
    <n v="0"/>
    <n v="0"/>
    <n v="0"/>
    <n v="0"/>
    <n v="0"/>
    <n v="0"/>
    <n v="0"/>
    <n v="0"/>
    <n v="0"/>
    <n v="0"/>
    <n v="0"/>
    <n v="0"/>
    <n v="0"/>
    <n v="0"/>
    <n v="0"/>
    <n v="0"/>
    <n v="0"/>
    <s v="West"/>
    <x v="0"/>
    <x v="0"/>
    <x v="1"/>
    <x v="0"/>
    <x v="0"/>
    <x v="0"/>
    <s v="Y"/>
    <x v="0"/>
    <s v="Y"/>
    <s v="9C"/>
    <m/>
    <n v="0"/>
    <n v="3.75"/>
    <n v="3.75"/>
    <n v="3.75"/>
    <n v="3.75"/>
    <n v="0"/>
    <n v="0"/>
    <n v="0"/>
    <n v="0"/>
    <n v="0"/>
    <n v="0"/>
    <n v="0"/>
    <n v="0"/>
    <n v="0"/>
    <n v="0"/>
    <n v="0"/>
    <n v="0"/>
    <n v="0"/>
    <n v="0"/>
    <n v="0"/>
    <n v="0"/>
    <n v="15"/>
    <n v="15"/>
  </r>
  <r>
    <n v="6565"/>
    <x v="1"/>
    <s v="2017/2023"/>
    <m/>
    <s v="166 Upper Richmond Road"/>
    <m/>
    <n v="524133"/>
    <n v="175006"/>
    <x v="13"/>
    <m/>
    <m/>
    <n v="0"/>
    <n v="5"/>
    <n v="5"/>
    <n v="5"/>
    <n v="5"/>
    <m/>
    <s v="Demolition of existing 5-storey office building and construction of a new 6-storey (plus lower-ground floor) mixed-use building with office space at lower-ground and ground floors and 5 x 2 bed residential flats above (1 x unit per floor level)"/>
    <s v="PF"/>
    <d v="2017-04-10T00:00:00"/>
    <d v="2017-06-26T00:00:00"/>
    <x v="1"/>
    <s v="Nil"/>
    <m/>
    <s v="BF"/>
    <x v="0"/>
    <x v="0"/>
    <x v="0"/>
    <n v="9.9999997764825804E-3"/>
    <m/>
    <x v="0"/>
    <m/>
    <x v="0"/>
    <s v="P"/>
    <m/>
    <m/>
    <n v="0"/>
    <m/>
    <n v="0"/>
    <m/>
    <n v="0"/>
    <n v="0"/>
    <n v="5"/>
    <n v="0"/>
    <n v="0"/>
    <n v="0"/>
    <n v="0"/>
    <n v="0"/>
    <n v="0"/>
    <n v="5"/>
    <n v="0"/>
    <n v="0"/>
    <n v="0"/>
    <n v="0"/>
    <n v="0"/>
    <n v="0"/>
    <n v="0"/>
    <n v="0"/>
    <n v="0"/>
    <n v="0"/>
    <n v="0"/>
    <n v="0"/>
    <n v="0"/>
    <n v="0"/>
    <n v="0"/>
    <n v="0"/>
    <n v="0"/>
    <n v="0"/>
    <s v="West"/>
    <x v="3"/>
    <x v="0"/>
    <x v="1"/>
    <x v="0"/>
    <x v="1"/>
    <x v="0"/>
    <m/>
    <x v="0"/>
    <s v="Y"/>
    <n v="4"/>
    <m/>
    <n v="0"/>
    <n v="0"/>
    <n v="1.25"/>
    <n v="1.25"/>
    <n v="1.25"/>
    <n v="1.25"/>
    <n v="0"/>
    <n v="0"/>
    <n v="0"/>
    <n v="0"/>
    <n v="0"/>
    <n v="0"/>
    <n v="0"/>
    <n v="0"/>
    <n v="0"/>
    <n v="0"/>
    <n v="0"/>
    <n v="0"/>
    <n v="0"/>
    <n v="0"/>
    <n v="0"/>
    <n v="5"/>
    <n v="5"/>
  </r>
  <r>
    <n v="6566"/>
    <x v="1"/>
    <s v="2017/6216"/>
    <m/>
    <s v="17 Strathblaine Road"/>
    <s v="Extension to existing"/>
    <n v="527021"/>
    <n v="175153"/>
    <x v="0"/>
    <m/>
    <m/>
    <n v="0"/>
    <n v="1"/>
    <n v="1"/>
    <n v="3"/>
    <n v="1"/>
    <m/>
    <s v="Alterations including erection of mansard roof extension to main rear roof (with French doors and safety railings) including raising the ridge by 0.15m and extension above three-storey back addition including formation of rear roof terrace at third floor level; railings to the first floor roof terrace to be replaced with a glazed balustrade; erection of single-storey rear/side extension;  All works in relation to the conversion of the building into 1 x 1 bedroomed and 2 x 3 bedroomed flats."/>
    <s v="PF"/>
    <d v="2017-11-15T00:00:00"/>
    <d v="2018-03-05T00:00:00"/>
    <x v="1"/>
    <s v="Nil"/>
    <m/>
    <s v="BF"/>
    <x v="4"/>
    <x v="0"/>
    <x v="0"/>
    <n v="2.0000000949949E-3"/>
    <m/>
    <x v="0"/>
    <m/>
    <x v="0"/>
    <s v="P"/>
    <m/>
    <m/>
    <n v="0"/>
    <m/>
    <n v="0"/>
    <m/>
    <n v="0"/>
    <n v="1"/>
    <n v="0"/>
    <n v="0"/>
    <n v="0"/>
    <n v="0"/>
    <n v="0"/>
    <n v="0"/>
    <n v="1"/>
    <n v="0"/>
    <n v="0"/>
    <n v="0"/>
    <n v="0"/>
    <n v="0"/>
    <n v="0"/>
    <n v="0"/>
    <n v="0"/>
    <n v="0"/>
    <n v="0"/>
    <n v="0"/>
    <n v="0"/>
    <n v="0"/>
    <n v="0"/>
    <n v="0"/>
    <n v="0"/>
    <n v="0"/>
    <n v="0"/>
    <n v="0"/>
    <s v="West"/>
    <x v="0"/>
    <x v="0"/>
    <x v="1"/>
    <x v="0"/>
    <x v="0"/>
    <x v="0"/>
    <m/>
    <x v="0"/>
    <s v="Y"/>
    <s v="9A"/>
    <m/>
    <n v="0"/>
    <n v="0.25"/>
    <n v="0.25"/>
    <n v="0.25"/>
    <n v="0.25"/>
    <n v="0"/>
    <n v="0"/>
    <n v="0"/>
    <n v="0"/>
    <n v="0"/>
    <n v="0"/>
    <n v="0"/>
    <n v="0"/>
    <n v="0"/>
    <n v="0"/>
    <n v="0"/>
    <n v="0"/>
    <n v="0"/>
    <n v="0"/>
    <n v="0"/>
    <n v="0"/>
    <n v="1"/>
    <n v="1"/>
  </r>
  <r>
    <n v="6566"/>
    <x v="1"/>
    <s v="2017/6216"/>
    <m/>
    <s v="17 Strathblaine Road"/>
    <m/>
    <n v="527021"/>
    <n v="175153"/>
    <x v="0"/>
    <m/>
    <m/>
    <n v="2"/>
    <n v="2"/>
    <n v="0"/>
    <n v="3"/>
    <n v="1"/>
    <m/>
    <s v="Alterations including erection of mansard roof extension to main rear roof (with French doors and safety railings) including raising the ridge by 0.15m and extension above three-storey back addition including formation of rear roof terrace at third floor level; railings to the first floor roof terrace to be replaced with a glazed balustrade; erection of single-storey rear/side extension;  All works in relation to the conversion of the building into 1 x 1 bedroomed and 2 x 3 bedroomed flats."/>
    <s v="PF"/>
    <d v="2017-11-15T00:00:00"/>
    <d v="2018-03-05T00:00:00"/>
    <x v="1"/>
    <s v="Nil"/>
    <m/>
    <s v="BF"/>
    <x v="4"/>
    <x v="0"/>
    <x v="10"/>
    <n v="8.9999996125698107E-3"/>
    <m/>
    <x v="0"/>
    <m/>
    <x v="0"/>
    <s v="P"/>
    <m/>
    <m/>
    <n v="0"/>
    <m/>
    <n v="0"/>
    <m/>
    <n v="0"/>
    <n v="0"/>
    <n v="0"/>
    <n v="1"/>
    <n v="-1"/>
    <n v="0"/>
    <n v="0"/>
    <n v="0"/>
    <n v="0"/>
    <n v="0"/>
    <n v="1"/>
    <n v="-1"/>
    <n v="0"/>
    <n v="0"/>
    <n v="0"/>
    <n v="0"/>
    <n v="0"/>
    <n v="0"/>
    <n v="0"/>
    <n v="0"/>
    <n v="0"/>
    <n v="0"/>
    <n v="0"/>
    <n v="0"/>
    <n v="0"/>
    <n v="0"/>
    <n v="0"/>
    <n v="0"/>
    <s v="West"/>
    <x v="0"/>
    <x v="0"/>
    <x v="1"/>
    <x v="0"/>
    <x v="0"/>
    <x v="0"/>
    <m/>
    <x v="0"/>
    <s v="Y"/>
    <s v="9A"/>
    <m/>
    <n v="0"/>
    <n v="0"/>
    <n v="0"/>
    <n v="0"/>
    <n v="0"/>
    <n v="0"/>
    <n v="0"/>
    <n v="0"/>
    <n v="0"/>
    <n v="0"/>
    <n v="0"/>
    <n v="0"/>
    <n v="0"/>
    <n v="0"/>
    <n v="0"/>
    <n v="0"/>
    <n v="0"/>
    <n v="0"/>
    <n v="0"/>
    <n v="0"/>
    <n v="0"/>
    <n v="0"/>
    <n v="0"/>
  </r>
  <r>
    <n v="6567"/>
    <x v="1"/>
    <s v="2017/2071"/>
    <m/>
    <s v="11 Balmuir Gardens"/>
    <m/>
    <n v="523343"/>
    <n v="175175"/>
    <x v="7"/>
    <m/>
    <m/>
    <n v="2"/>
    <n v="1"/>
    <n v="-1"/>
    <n v="1"/>
    <n v="-1"/>
    <m/>
    <s v="Conversion of property from two flats into a single dwelling house. Erection of single-storey rear/side extension. Alteration to the location of the ground floor front door."/>
    <s v="PF"/>
    <d v="2017-04-10T00:00:00"/>
    <d v="2017-06-02T00:00:00"/>
    <x v="1"/>
    <s v="Nil"/>
    <m/>
    <s v="BF"/>
    <x v="4"/>
    <x v="0"/>
    <x v="7"/>
    <n v="1.60000007599592E-2"/>
    <m/>
    <x v="0"/>
    <m/>
    <x v="0"/>
    <s v="P"/>
    <m/>
    <m/>
    <n v="0"/>
    <m/>
    <n v="0"/>
    <m/>
    <n v="0"/>
    <n v="-1"/>
    <n v="0"/>
    <n v="0"/>
    <n v="0"/>
    <n v="0"/>
    <n v="0"/>
    <n v="0"/>
    <n v="-1"/>
    <n v="0"/>
    <n v="0"/>
    <n v="0"/>
    <n v="-1"/>
    <n v="0"/>
    <n v="0"/>
    <n v="0"/>
    <n v="0"/>
    <n v="0"/>
    <n v="0"/>
    <n v="1"/>
    <n v="0"/>
    <n v="0"/>
    <n v="0"/>
    <n v="0"/>
    <n v="0"/>
    <n v="0"/>
    <n v="0"/>
    <n v="0"/>
    <s v="West"/>
    <x v="0"/>
    <x v="0"/>
    <x v="1"/>
    <x v="0"/>
    <x v="0"/>
    <x v="0"/>
    <m/>
    <x v="0"/>
    <s v="Y"/>
    <s v="9A"/>
    <m/>
    <n v="0"/>
    <n v="-0.25"/>
    <n v="-0.25"/>
    <n v="-0.25"/>
    <n v="-0.25"/>
    <n v="0"/>
    <n v="0"/>
    <n v="0"/>
    <n v="0"/>
    <n v="0"/>
    <n v="0"/>
    <n v="0"/>
    <n v="0"/>
    <n v="0"/>
    <n v="0"/>
    <n v="0"/>
    <n v="0"/>
    <n v="0"/>
    <n v="0"/>
    <n v="0"/>
    <n v="0"/>
    <n v="-1"/>
    <n v="-1"/>
  </r>
  <r>
    <n v="6570"/>
    <x v="1"/>
    <s v="2017/1165"/>
    <m/>
    <s v="72 Oakmead Road"/>
    <m/>
    <n v="528493"/>
    <n v="173145"/>
    <x v="11"/>
    <m/>
    <m/>
    <n v="0"/>
    <n v="1"/>
    <n v="1"/>
    <n v="1"/>
    <n v="1"/>
    <m/>
    <s v="Alterations including erection of mansard roof extension to main rear roof and over part of two storey back addition, formation of roof terrace over part of two storey back addition with 1.7m screen surround, and internal alterations in connection with creation of 1 x 1-bedroom flat.  Provision of cycle storage and bin storage to front."/>
    <s v="PF"/>
    <d v="2017-05-01T00:00:00"/>
    <d v="2017-06-26T00:00:00"/>
    <x v="1"/>
    <s v="Nil"/>
    <m/>
    <s v="BF"/>
    <x v="2"/>
    <x v="0"/>
    <x v="3"/>
    <n v="4.0000001899898104E-3"/>
    <m/>
    <x v="0"/>
    <m/>
    <x v="0"/>
    <s v="P"/>
    <m/>
    <m/>
    <n v="0"/>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577"/>
    <x v="1"/>
    <s v="2017/0948"/>
    <m/>
    <s v="882 and 884, 882-884 Garratt Lane"/>
    <m/>
    <n v="527116"/>
    <n v="171635"/>
    <x v="4"/>
    <m/>
    <m/>
    <n v="2"/>
    <n v="10"/>
    <n v="8"/>
    <n v="10"/>
    <n v="8"/>
    <s v="Y"/>
    <s v="Demolition of No. 882 including two-storey end-of-terrace building and workshop. Erection of three-storey building with habitable roofspace comprising Class A1 (retail) use to part of ground floor and 10 residential units (studio, 2 x 1-bedroom, 6 x 2-bedroom and 1 x 3-bedroom) with associated gardens and terraces/balconies.  Rear mansard roof extension to No. 884."/>
    <s v="PF"/>
    <d v="2017-06-12T00:00:00"/>
    <d v="2017-10-23T00:00:00"/>
    <x v="1"/>
    <s v="Nil"/>
    <m/>
    <s v="BF"/>
    <x v="4"/>
    <x v="1"/>
    <x v="1"/>
    <n v="4.1000001132488299E-2"/>
    <m/>
    <x v="0"/>
    <m/>
    <x v="0"/>
    <s v="P"/>
    <m/>
    <m/>
    <n v="7"/>
    <m/>
    <n v="3"/>
    <m/>
    <n v="1"/>
    <n v="2"/>
    <n v="4"/>
    <n v="1"/>
    <n v="0"/>
    <n v="0"/>
    <n v="0"/>
    <n v="1"/>
    <n v="2"/>
    <n v="4"/>
    <n v="1"/>
    <n v="0"/>
    <n v="0"/>
    <n v="0"/>
    <n v="0"/>
    <n v="0"/>
    <n v="0"/>
    <n v="0"/>
    <n v="0"/>
    <n v="0"/>
    <n v="0"/>
    <n v="0"/>
    <n v="0"/>
    <n v="0"/>
    <n v="0"/>
    <n v="0"/>
    <n v="0"/>
    <n v="0"/>
    <s v="East"/>
    <x v="0"/>
    <x v="0"/>
    <x v="1"/>
    <x v="0"/>
    <x v="0"/>
    <x v="0"/>
    <m/>
    <x v="0"/>
    <s v="Y"/>
    <s v="5B"/>
    <m/>
    <n v="0"/>
    <n v="0"/>
    <n v="0"/>
    <n v="0"/>
    <n v="2.6666666666666665"/>
    <n v="2.6666666666666665"/>
    <n v="2.6666666666666665"/>
    <n v="0"/>
    <n v="0"/>
    <n v="0"/>
    <n v="0"/>
    <n v="0"/>
    <n v="0"/>
    <n v="0"/>
    <n v="0"/>
    <n v="0"/>
    <n v="0"/>
    <n v="0"/>
    <n v="0"/>
    <n v="0"/>
    <n v="0"/>
    <n v="5.333333333333333"/>
    <n v="8"/>
  </r>
  <r>
    <n v="6583"/>
    <x v="1"/>
    <s v="2017/1887"/>
    <m/>
    <s v="Wardens Office and Club Room, 280-308 Cortis Road"/>
    <m/>
    <n v="523210"/>
    <n v="174403"/>
    <x v="7"/>
    <m/>
    <m/>
    <n v="0"/>
    <n v="2"/>
    <n v="2"/>
    <n v="2"/>
    <n v="2"/>
    <m/>
    <s v="Alterations in connection with change of use of Warden's office and club room (Sui Generis) to residential (Class C3) to provide 2 x 1-bedroom flats."/>
    <s v="PF"/>
    <d v="2017-04-13T00:00:00"/>
    <d v="2017-09-15T00:00:00"/>
    <x v="1"/>
    <s v="Nil"/>
    <m/>
    <s v="BF"/>
    <x v="3"/>
    <x v="0"/>
    <x v="5"/>
    <n v="1.4999999664723899E-2"/>
    <m/>
    <x v="0"/>
    <m/>
    <x v="2"/>
    <s v="C"/>
    <m/>
    <m/>
    <n v="0"/>
    <m/>
    <n v="0"/>
    <m/>
    <n v="0"/>
    <n v="2"/>
    <n v="0"/>
    <n v="0"/>
    <n v="0"/>
    <n v="0"/>
    <n v="0"/>
    <n v="0"/>
    <n v="2"/>
    <n v="0"/>
    <n v="0"/>
    <n v="0"/>
    <n v="0"/>
    <n v="0"/>
    <n v="0"/>
    <n v="0"/>
    <n v="0"/>
    <n v="0"/>
    <n v="0"/>
    <n v="0"/>
    <n v="0"/>
    <n v="0"/>
    <n v="0"/>
    <n v="0"/>
    <n v="0"/>
    <n v="0"/>
    <n v="0"/>
    <n v="0"/>
    <s v="West"/>
    <x v="0"/>
    <x v="0"/>
    <x v="1"/>
    <x v="0"/>
    <x v="0"/>
    <x v="0"/>
    <m/>
    <x v="0"/>
    <s v="Y"/>
    <s v="9A"/>
    <m/>
    <n v="0"/>
    <n v="0.5"/>
    <n v="0.5"/>
    <n v="0.5"/>
    <n v="0.5"/>
    <n v="0"/>
    <n v="0"/>
    <n v="0"/>
    <n v="0"/>
    <n v="0"/>
    <n v="0"/>
    <n v="0"/>
    <n v="0"/>
    <n v="0"/>
    <n v="0"/>
    <n v="0"/>
    <n v="0"/>
    <n v="0"/>
    <n v="0"/>
    <n v="0"/>
    <n v="0"/>
    <n v="2"/>
    <n v="2"/>
  </r>
  <r>
    <n v="6591"/>
    <x v="1"/>
    <s v="2017/2123"/>
    <m/>
    <s v="22 Bangalore Street"/>
    <m/>
    <n v="523591"/>
    <n v="175605"/>
    <x v="13"/>
    <m/>
    <m/>
    <n v="0"/>
    <n v="1"/>
    <n v="1"/>
    <n v="1"/>
    <n v="1"/>
    <m/>
    <s v="Demolition of single storey extension and garage and erection of 1 x 2-bedroom two-storey house; associated alterations including landscaping, refuse and cycle storage."/>
    <s v="PF"/>
    <d v="2017-04-28T00:00:00"/>
    <d v="2017-09-21T00:00:00"/>
    <x v="1"/>
    <s v="Nil"/>
    <m/>
    <s v="BF"/>
    <x v="0"/>
    <x v="0"/>
    <x v="0"/>
    <n v="1.9999999552965199E-2"/>
    <m/>
    <x v="0"/>
    <m/>
    <x v="0"/>
    <s v="P"/>
    <m/>
    <m/>
    <n v="0"/>
    <m/>
    <n v="0"/>
    <m/>
    <n v="0"/>
    <n v="0"/>
    <n v="1"/>
    <n v="0"/>
    <n v="0"/>
    <n v="0"/>
    <n v="0"/>
    <n v="0"/>
    <n v="0"/>
    <n v="0"/>
    <n v="0"/>
    <n v="0"/>
    <n v="0"/>
    <n v="0"/>
    <n v="0"/>
    <n v="0"/>
    <n v="1"/>
    <n v="0"/>
    <n v="0"/>
    <n v="0"/>
    <n v="0"/>
    <n v="0"/>
    <n v="0"/>
    <n v="0"/>
    <n v="0"/>
    <n v="0"/>
    <n v="0"/>
    <n v="0"/>
    <s v="West"/>
    <x v="0"/>
    <x v="0"/>
    <x v="1"/>
    <x v="0"/>
    <x v="0"/>
    <x v="0"/>
    <m/>
    <x v="0"/>
    <s v="Y"/>
    <n v="4"/>
    <m/>
    <n v="0"/>
    <n v="0"/>
    <n v="0.25"/>
    <n v="0.25"/>
    <n v="0.25"/>
    <n v="0.25"/>
    <n v="0"/>
    <n v="0"/>
    <n v="0"/>
    <n v="0"/>
    <n v="0"/>
    <n v="0"/>
    <n v="0"/>
    <n v="0"/>
    <n v="0"/>
    <n v="0"/>
    <n v="0"/>
    <n v="0"/>
    <n v="0"/>
    <n v="0"/>
    <n v="0"/>
    <n v="1"/>
    <n v="1"/>
  </r>
  <r>
    <n v="6592"/>
    <x v="1"/>
    <s v="2017/0288"/>
    <m/>
    <s v="20 Drakefield Road"/>
    <m/>
    <n v="528224"/>
    <n v="172427"/>
    <x v="3"/>
    <m/>
    <m/>
    <n v="1"/>
    <n v="1"/>
    <n v="0"/>
    <n v="1"/>
    <n v="0"/>
    <m/>
    <s v="Demolition of existing roof and rear elevation. Retention of the existing front facade in connection with the re-building of two-storey dwelling house with additional dormer roof extension, single storey rear extension and alterations to rear first floor bay window."/>
    <s v="PF"/>
    <d v="2017-03-24T00:00:00"/>
    <d v="2017-07-03T00:00:00"/>
    <x v="1"/>
    <s v="Nil"/>
    <m/>
    <s v="BF"/>
    <x v="0"/>
    <x v="0"/>
    <x v="0"/>
    <n v="2.3000000044703501E-2"/>
    <m/>
    <x v="0"/>
    <m/>
    <x v="0"/>
    <s v="P"/>
    <m/>
    <m/>
    <n v="0"/>
    <m/>
    <n v="0"/>
    <m/>
    <n v="0"/>
    <n v="0"/>
    <n v="0"/>
    <n v="0"/>
    <n v="0"/>
    <n v="0"/>
    <n v="0"/>
    <n v="0"/>
    <n v="0"/>
    <n v="0"/>
    <n v="0"/>
    <n v="0"/>
    <n v="0"/>
    <n v="0"/>
    <n v="0"/>
    <n v="0"/>
    <n v="0"/>
    <n v="0"/>
    <n v="0"/>
    <n v="0"/>
    <n v="0"/>
    <n v="0"/>
    <n v="0"/>
    <n v="0"/>
    <n v="0"/>
    <n v="0"/>
    <n v="0"/>
    <n v="0"/>
    <s v="East"/>
    <x v="0"/>
    <x v="0"/>
    <x v="1"/>
    <x v="0"/>
    <x v="0"/>
    <x v="0"/>
    <m/>
    <x v="0"/>
    <s v="Y"/>
    <n v="4"/>
    <m/>
    <n v="0"/>
    <n v="0"/>
    <n v="0"/>
    <n v="0"/>
    <n v="0"/>
    <n v="0"/>
    <n v="0"/>
    <n v="0"/>
    <n v="0"/>
    <n v="0"/>
    <n v="0"/>
    <n v="0"/>
    <n v="0"/>
    <n v="0"/>
    <n v="0"/>
    <n v="0"/>
    <n v="0"/>
    <n v="0"/>
    <n v="0"/>
    <n v="0"/>
    <n v="0"/>
    <n v="0"/>
    <n v="0"/>
  </r>
  <r>
    <n v="6594"/>
    <x v="1"/>
    <s v="2017/2629"/>
    <m/>
    <s v="26 Battersea Rise"/>
    <m/>
    <n v="527616"/>
    <n v="175165"/>
    <x v="14"/>
    <m/>
    <m/>
    <n v="0"/>
    <n v="1"/>
    <n v="1"/>
    <n v="1"/>
    <n v="1"/>
    <m/>
    <s v="Erection of mansard roof extension to main rear roof and extension above two-storey back addition to form 1 x 1-bedroom flat."/>
    <s v="PF"/>
    <d v="2017-05-17T00:00:00"/>
    <d v="2017-07-12T00:00:00"/>
    <x v="1"/>
    <s v="Nil"/>
    <m/>
    <s v="BF"/>
    <x v="2"/>
    <x v="0"/>
    <x v="3"/>
    <n v="3.0000000260770299E-3"/>
    <m/>
    <x v="0"/>
    <m/>
    <x v="0"/>
    <s v="P"/>
    <m/>
    <m/>
    <n v="0"/>
    <m/>
    <n v="0"/>
    <m/>
    <n v="0"/>
    <n v="1"/>
    <n v="0"/>
    <n v="0"/>
    <n v="0"/>
    <n v="0"/>
    <n v="0"/>
    <n v="0"/>
    <n v="1"/>
    <n v="0"/>
    <n v="0"/>
    <n v="0"/>
    <n v="0"/>
    <n v="0"/>
    <n v="0"/>
    <n v="0"/>
    <n v="0"/>
    <n v="0"/>
    <n v="0"/>
    <n v="0"/>
    <n v="0"/>
    <n v="0"/>
    <n v="0"/>
    <n v="0"/>
    <n v="0"/>
    <n v="0"/>
    <n v="0"/>
    <n v="0"/>
    <s v="East"/>
    <x v="5"/>
    <x v="0"/>
    <x v="1"/>
    <x v="0"/>
    <x v="0"/>
    <x v="0"/>
    <m/>
    <x v="0"/>
    <s v="Y"/>
    <s v="9A"/>
    <m/>
    <n v="0"/>
    <n v="0.25"/>
    <n v="0.25"/>
    <n v="0.25"/>
    <n v="0.25"/>
    <n v="0"/>
    <n v="0"/>
    <n v="0"/>
    <n v="0"/>
    <n v="0"/>
    <n v="0"/>
    <n v="0"/>
    <n v="0"/>
    <n v="0"/>
    <n v="0"/>
    <n v="0"/>
    <n v="0"/>
    <n v="0"/>
    <n v="0"/>
    <n v="0"/>
    <n v="0"/>
    <n v="1"/>
    <n v="1"/>
  </r>
  <r>
    <n v="6595"/>
    <x v="1"/>
    <s v="2018/0109"/>
    <m/>
    <s v="Land adjacent, 1 Charlmont Road"/>
    <m/>
    <n v="527461"/>
    <n v="170805"/>
    <x v="8"/>
    <m/>
    <m/>
    <n v="0"/>
    <n v="1"/>
    <n v="1"/>
    <n v="1"/>
    <n v="1"/>
    <m/>
    <s v="Erection of a two-storey 2-bedroom dwellinghouse with associated boundary treatment, bin storage and bike storage."/>
    <s v="PF"/>
    <d v="2018-01-09T00:00:00"/>
    <d v="2018-03-27T00:00:00"/>
    <x v="1"/>
    <s v="Nil"/>
    <m/>
    <s v="BF"/>
    <x v="0"/>
    <x v="0"/>
    <x v="0"/>
    <n v="8.9999996125698107E-3"/>
    <m/>
    <x v="0"/>
    <m/>
    <x v="0"/>
    <s v="P"/>
    <m/>
    <m/>
    <n v="0"/>
    <m/>
    <n v="0"/>
    <m/>
    <n v="0"/>
    <n v="0"/>
    <n v="1"/>
    <n v="0"/>
    <n v="0"/>
    <n v="0"/>
    <n v="0"/>
    <n v="0"/>
    <n v="0"/>
    <n v="0"/>
    <n v="0"/>
    <n v="0"/>
    <n v="0"/>
    <n v="0"/>
    <n v="0"/>
    <n v="0"/>
    <n v="1"/>
    <n v="0"/>
    <n v="0"/>
    <n v="0"/>
    <n v="0"/>
    <n v="0"/>
    <n v="0"/>
    <n v="0"/>
    <n v="0"/>
    <n v="0"/>
    <n v="0"/>
    <n v="0"/>
    <s v="East"/>
    <x v="0"/>
    <x v="0"/>
    <x v="1"/>
    <x v="0"/>
    <x v="0"/>
    <x v="0"/>
    <m/>
    <x v="0"/>
    <s v="Y"/>
    <n v="4"/>
    <m/>
    <n v="0"/>
    <n v="0"/>
    <n v="0.25"/>
    <n v="0.25"/>
    <n v="0.25"/>
    <n v="0.25"/>
    <n v="0"/>
    <n v="0"/>
    <n v="0"/>
    <n v="0"/>
    <n v="0"/>
    <n v="0"/>
    <n v="0"/>
    <n v="0"/>
    <n v="0"/>
    <n v="0"/>
    <n v="0"/>
    <n v="0"/>
    <n v="0"/>
    <n v="0"/>
    <n v="0"/>
    <n v="1"/>
    <n v="1"/>
  </r>
  <r>
    <n v="6596"/>
    <x v="1"/>
    <s v="2017/2787"/>
    <m/>
    <s v="Flat 89 Prince of Wales Mansions, Prince of Wales Drive"/>
    <m/>
    <n v="528437"/>
    <n v="176903"/>
    <x v="6"/>
    <m/>
    <m/>
    <n v="1"/>
    <n v="2"/>
    <n v="1"/>
    <n v="2"/>
    <n v="1"/>
    <m/>
    <s v="Conversion of existing apartment into 2 x 2-bedroom apartments"/>
    <s v="PF"/>
    <d v="2017-05-15T00:00:00"/>
    <d v="2017-07-10T00:00:00"/>
    <x v="1"/>
    <s v="Nil"/>
    <m/>
    <s v="BF"/>
    <x v="1"/>
    <x v="0"/>
    <x v="10"/>
    <n v="1.60000007599592E-2"/>
    <m/>
    <x v="0"/>
    <m/>
    <x v="0"/>
    <s v="P"/>
    <m/>
    <m/>
    <n v="0"/>
    <m/>
    <n v="0"/>
    <m/>
    <n v="0"/>
    <n v="0"/>
    <n v="2"/>
    <n v="0"/>
    <n v="0"/>
    <n v="-1"/>
    <n v="0"/>
    <n v="0"/>
    <n v="0"/>
    <n v="2"/>
    <n v="0"/>
    <n v="0"/>
    <n v="-1"/>
    <n v="0"/>
    <n v="0"/>
    <n v="0"/>
    <n v="0"/>
    <n v="0"/>
    <n v="0"/>
    <n v="0"/>
    <n v="0"/>
    <n v="0"/>
    <n v="0"/>
    <n v="0"/>
    <n v="0"/>
    <n v="0"/>
    <n v="0"/>
    <n v="0"/>
    <s v="East"/>
    <x v="0"/>
    <x v="0"/>
    <x v="1"/>
    <x v="0"/>
    <x v="0"/>
    <x v="0"/>
    <m/>
    <x v="0"/>
    <s v="Y"/>
    <s v="9A"/>
    <m/>
    <n v="0"/>
    <n v="0.25"/>
    <n v="0.25"/>
    <n v="0.25"/>
    <n v="0.25"/>
    <n v="0"/>
    <n v="0"/>
    <n v="0"/>
    <n v="0"/>
    <n v="0"/>
    <n v="0"/>
    <n v="0"/>
    <n v="0"/>
    <n v="0"/>
    <n v="0"/>
    <n v="0"/>
    <n v="0"/>
    <n v="0"/>
    <n v="0"/>
    <n v="0"/>
    <n v="0"/>
    <n v="1"/>
    <n v="1"/>
  </r>
  <r>
    <n v="6597"/>
    <x v="1"/>
    <s v="2017/4993"/>
    <m/>
    <s v="108 Mitcham road"/>
    <m/>
    <n v="527676"/>
    <n v="171198"/>
    <x v="8"/>
    <m/>
    <m/>
    <n v="2"/>
    <n v="3"/>
    <n v="1"/>
    <n v="4"/>
    <n v="2"/>
    <m/>
    <s v="Alterations including erection of two storey rear extension and erection of mansard roof extension to create additional floor of accommodation in connection with conversion of existin 2 x 3-bedroom flats to 4 x 1-bedroom flats."/>
    <s v="PF"/>
    <d v="2017-10-31T00:00:00"/>
    <d v="2017-12-20T00:00:00"/>
    <x v="1"/>
    <s v="Nil"/>
    <m/>
    <s v="BF"/>
    <x v="4"/>
    <x v="0"/>
    <x v="10"/>
    <n v="8.9999996125698107E-3"/>
    <m/>
    <x v="0"/>
    <m/>
    <x v="0"/>
    <s v="P"/>
    <m/>
    <m/>
    <n v="0"/>
    <m/>
    <n v="0"/>
    <m/>
    <n v="0"/>
    <n v="3"/>
    <n v="0"/>
    <n v="-2"/>
    <n v="0"/>
    <n v="0"/>
    <n v="0"/>
    <n v="0"/>
    <n v="3"/>
    <n v="0"/>
    <n v="-2"/>
    <n v="0"/>
    <n v="0"/>
    <n v="0"/>
    <n v="0"/>
    <n v="0"/>
    <n v="0"/>
    <n v="0"/>
    <n v="0"/>
    <n v="0"/>
    <n v="0"/>
    <n v="0"/>
    <n v="0"/>
    <n v="0"/>
    <n v="0"/>
    <n v="0"/>
    <n v="0"/>
    <n v="0"/>
    <s v="East"/>
    <x v="1"/>
    <x v="0"/>
    <x v="1"/>
    <x v="0"/>
    <x v="0"/>
    <x v="0"/>
    <m/>
    <x v="0"/>
    <s v="Y"/>
    <s v="9A"/>
    <m/>
    <n v="0"/>
    <n v="0.25"/>
    <n v="0.25"/>
    <n v="0.25"/>
    <n v="0.25"/>
    <n v="0"/>
    <n v="0"/>
    <n v="0"/>
    <n v="0"/>
    <n v="0"/>
    <n v="0"/>
    <n v="0"/>
    <n v="0"/>
    <n v="0"/>
    <n v="0"/>
    <n v="0"/>
    <n v="0"/>
    <n v="0"/>
    <n v="0"/>
    <n v="0"/>
    <n v="0"/>
    <n v="1"/>
    <n v="1"/>
  </r>
  <r>
    <n v="6597"/>
    <x v="1"/>
    <s v="2017/4993"/>
    <m/>
    <s v="108 Mitcham road"/>
    <m/>
    <n v="527676"/>
    <n v="171198"/>
    <x v="8"/>
    <m/>
    <m/>
    <n v="0"/>
    <n v="1"/>
    <n v="1"/>
    <n v="4"/>
    <n v="2"/>
    <m/>
    <s v="Alterations including erection of two storey rear extension and erection of mansard roof extension to create additional floor of accommodation in connection with conversion of existin 2 x 3-bedroom flats to 4 x 1-bedroom flats."/>
    <s v="PF"/>
    <d v="2017-10-31T00:00:00"/>
    <d v="2017-12-20T00:00:00"/>
    <x v="1"/>
    <s v="Nil"/>
    <m/>
    <s v="BF"/>
    <x v="4"/>
    <x v="0"/>
    <x v="0"/>
    <n v="3.0000000260770299E-3"/>
    <m/>
    <x v="0"/>
    <m/>
    <x v="0"/>
    <s v="P"/>
    <m/>
    <m/>
    <n v="0"/>
    <m/>
    <n v="0"/>
    <m/>
    <n v="0"/>
    <n v="1"/>
    <n v="0"/>
    <n v="0"/>
    <n v="0"/>
    <n v="0"/>
    <n v="0"/>
    <n v="0"/>
    <n v="1"/>
    <n v="0"/>
    <n v="0"/>
    <n v="0"/>
    <n v="0"/>
    <n v="0"/>
    <n v="0"/>
    <n v="0"/>
    <n v="0"/>
    <n v="0"/>
    <n v="0"/>
    <n v="0"/>
    <n v="0"/>
    <n v="0"/>
    <n v="0"/>
    <n v="0"/>
    <n v="0"/>
    <n v="0"/>
    <n v="0"/>
    <n v="0"/>
    <s v="East"/>
    <x v="1"/>
    <x v="0"/>
    <x v="1"/>
    <x v="0"/>
    <x v="0"/>
    <x v="0"/>
    <m/>
    <x v="0"/>
    <s v="Y"/>
    <s v="9A"/>
    <m/>
    <n v="0"/>
    <n v="0.25"/>
    <n v="0.25"/>
    <n v="0.25"/>
    <n v="0.25"/>
    <n v="0"/>
    <n v="0"/>
    <n v="0"/>
    <n v="0"/>
    <n v="0"/>
    <n v="0"/>
    <n v="0"/>
    <n v="0"/>
    <n v="0"/>
    <n v="0"/>
    <n v="0"/>
    <n v="0"/>
    <n v="0"/>
    <n v="0"/>
    <n v="0"/>
    <n v="0"/>
    <n v="1"/>
    <n v="1"/>
  </r>
  <r>
    <n v="6600"/>
    <x v="1"/>
    <s v="2017/4296"/>
    <m/>
    <s v="107 Allfarthing Lane"/>
    <m/>
    <n v="525959"/>
    <n v="174033"/>
    <x v="18"/>
    <m/>
    <m/>
    <n v="0"/>
    <n v="2"/>
    <n v="2"/>
    <n v="2"/>
    <n v="2"/>
    <m/>
    <s v="Determination as to whether prior approval is required for change of use from retail (Class A1) to 1 x 1-bedroom flat and 1 studio flat (Class C3)."/>
    <s v="PANR"/>
    <d v="2017-09-20T00:00:00"/>
    <d v="2017-11-15T00:00:00"/>
    <x v="1"/>
    <s v="Nil"/>
    <m/>
    <s v="BF"/>
    <x v="3"/>
    <x v="0"/>
    <x v="4"/>
    <n v="4.9999998882412902E-3"/>
    <m/>
    <x v="0"/>
    <m/>
    <x v="0"/>
    <s v="P"/>
    <m/>
    <m/>
    <n v="0"/>
    <m/>
    <n v="0"/>
    <m/>
    <n v="1"/>
    <n v="1"/>
    <n v="0"/>
    <n v="0"/>
    <n v="0"/>
    <n v="0"/>
    <n v="0"/>
    <n v="1"/>
    <n v="1"/>
    <n v="0"/>
    <n v="0"/>
    <n v="0"/>
    <n v="0"/>
    <n v="0"/>
    <n v="0"/>
    <n v="0"/>
    <n v="0"/>
    <n v="0"/>
    <n v="0"/>
    <n v="0"/>
    <n v="0"/>
    <n v="0"/>
    <n v="0"/>
    <n v="0"/>
    <n v="0"/>
    <n v="0"/>
    <n v="0"/>
    <n v="0"/>
    <s v="West"/>
    <x v="0"/>
    <x v="0"/>
    <x v="1"/>
    <x v="0"/>
    <x v="0"/>
    <x v="0"/>
    <m/>
    <x v="0"/>
    <s v="Y"/>
    <s v="9A"/>
    <m/>
    <n v="0"/>
    <n v="0.5"/>
    <n v="0.5"/>
    <n v="0.5"/>
    <n v="0.5"/>
    <n v="0"/>
    <n v="0"/>
    <n v="0"/>
    <n v="0"/>
    <n v="0"/>
    <n v="0"/>
    <n v="0"/>
    <n v="0"/>
    <n v="0"/>
    <n v="0"/>
    <n v="0"/>
    <n v="0"/>
    <n v="0"/>
    <n v="0"/>
    <n v="0"/>
    <n v="0"/>
    <n v="2"/>
    <n v="2"/>
  </r>
  <r>
    <n v="6603"/>
    <x v="1"/>
    <s v="2017/2623"/>
    <m/>
    <s v="141 Sellincourt Road"/>
    <m/>
    <n v="527511"/>
    <n v="170980"/>
    <x v="8"/>
    <m/>
    <m/>
    <n v="0"/>
    <n v="1"/>
    <n v="1"/>
    <n v="1"/>
    <n v="1"/>
    <m/>
    <s v="Alterations including erection of mansard roof extension to main rear roof (with French doors and safety railings) and extension above part of two-story back addition; formation of roof terrace above two-storey back addition with 1.8m high screen surround in connection with creation of a self-contained unit at roof level."/>
    <s v="PF"/>
    <d v="2017-05-05T00:00:00"/>
    <d v="2017-08-31T00:00:00"/>
    <x v="1"/>
    <s v="Nil"/>
    <m/>
    <s v="BF"/>
    <x v="4"/>
    <x v="0"/>
    <x v="0"/>
    <n v="4.9999998882412902E-3"/>
    <m/>
    <x v="0"/>
    <m/>
    <x v="0"/>
    <s v="P"/>
    <m/>
    <m/>
    <n v="0"/>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617"/>
    <x v="1"/>
    <s v="2017/5495"/>
    <m/>
    <s v="57 Louisville Road"/>
    <m/>
    <n v="528284"/>
    <n v="172328"/>
    <x v="3"/>
    <m/>
    <m/>
    <n v="3"/>
    <n v="3"/>
    <n v="0"/>
    <n v="3"/>
    <n v="0"/>
    <m/>
    <s v="Alterations including erection of mansard roof extension (with French doors and safety railings) and erection of single-storey side/rear extension in connection with the change of use of the property from HMO (Class Sui Generis) into 1 x 1-bedroom, 1 x 2-bedroom and 1 x 3-bedroom flats (Class C3) with associated cycle and refuse storage.  Alterations and restoration of front elevation and front boundary treatment."/>
    <s v="PF"/>
    <d v="2017-10-03T00:00:00"/>
    <d v="2018-01-29T00:00:00"/>
    <x v="1"/>
    <s v="Nil"/>
    <m/>
    <s v="BF"/>
    <x v="4"/>
    <x v="0"/>
    <x v="2"/>
    <n v="1.60000007599592E-2"/>
    <m/>
    <x v="0"/>
    <m/>
    <x v="0"/>
    <s v="P"/>
    <m/>
    <m/>
    <n v="0"/>
    <m/>
    <n v="0"/>
    <m/>
    <n v="-3"/>
    <n v="1"/>
    <n v="1"/>
    <n v="1"/>
    <n v="0"/>
    <n v="0"/>
    <n v="0"/>
    <n v="-3"/>
    <n v="1"/>
    <n v="1"/>
    <n v="1"/>
    <n v="0"/>
    <n v="0"/>
    <n v="0"/>
    <n v="0"/>
    <n v="0"/>
    <n v="0"/>
    <n v="0"/>
    <n v="0"/>
    <n v="0"/>
    <n v="0"/>
    <n v="0"/>
    <n v="0"/>
    <n v="0"/>
    <n v="0"/>
    <n v="0"/>
    <n v="0"/>
    <n v="0"/>
    <s v="East"/>
    <x v="0"/>
    <x v="0"/>
    <x v="1"/>
    <x v="0"/>
    <x v="0"/>
    <x v="0"/>
    <m/>
    <x v="0"/>
    <s v="Y"/>
    <s v="9A"/>
    <m/>
    <n v="0"/>
    <n v="0"/>
    <n v="0"/>
    <n v="0"/>
    <n v="0"/>
    <n v="0"/>
    <n v="0"/>
    <n v="0"/>
    <n v="0"/>
    <n v="0"/>
    <n v="0"/>
    <n v="0"/>
    <n v="0"/>
    <n v="0"/>
    <n v="0"/>
    <n v="0"/>
    <n v="0"/>
    <n v="0"/>
    <n v="0"/>
    <n v="0"/>
    <n v="0"/>
    <n v="0"/>
    <n v="0"/>
  </r>
  <r>
    <n v="6622"/>
    <x v="1"/>
    <s v="2017/2950"/>
    <m/>
    <s v="53 Magdalen Road"/>
    <m/>
    <n v="526833"/>
    <n v="173595"/>
    <x v="17"/>
    <m/>
    <m/>
    <n v="1"/>
    <n v="3"/>
    <n v="2"/>
    <n v="3"/>
    <n v="2"/>
    <m/>
    <s v="Alterations including erection of hip to gable and rear dormer roof extensions;  erection of single-storey rear extension; insertion of roof lights in front and rear roof slopes; installation of replacement and additional rear windows at first floor level with French doors with safety railing; insertion of replacement window in front elevation at first floor level;  All works in connection with the converison of the property to a 1 x 3-bedroomed unit, 1 x 2-bedroomed unit and 1 x studio flat with associated landscaping, cycle and refuse storage in front garden."/>
    <s v="PF"/>
    <d v="2017-06-02T00:00:00"/>
    <d v="2017-07-28T00:00:00"/>
    <x v="1"/>
    <s v="Nil"/>
    <m/>
    <s v="BF"/>
    <x v="4"/>
    <x v="0"/>
    <x v="8"/>
    <n v="3.9999999105930301E-2"/>
    <m/>
    <x v="0"/>
    <m/>
    <x v="0"/>
    <s v="P"/>
    <m/>
    <m/>
    <n v="0"/>
    <m/>
    <n v="0"/>
    <m/>
    <n v="1"/>
    <n v="0"/>
    <n v="1"/>
    <n v="1"/>
    <n v="0"/>
    <n v="-1"/>
    <n v="0"/>
    <n v="1"/>
    <n v="0"/>
    <n v="1"/>
    <n v="1"/>
    <n v="0"/>
    <n v="0"/>
    <n v="0"/>
    <n v="0"/>
    <n v="0"/>
    <n v="0"/>
    <n v="0"/>
    <n v="0"/>
    <n v="-1"/>
    <n v="0"/>
    <n v="0"/>
    <n v="0"/>
    <n v="0"/>
    <n v="0"/>
    <n v="0"/>
    <n v="0"/>
    <n v="0"/>
    <s v="West"/>
    <x v="0"/>
    <x v="0"/>
    <x v="1"/>
    <x v="0"/>
    <x v="0"/>
    <x v="0"/>
    <m/>
    <x v="0"/>
    <s v="Y"/>
    <s v="9A"/>
    <m/>
    <n v="0"/>
    <n v="0.5"/>
    <n v="0.5"/>
    <n v="0.5"/>
    <n v="0.5"/>
    <n v="0"/>
    <n v="0"/>
    <n v="0"/>
    <n v="0"/>
    <n v="0"/>
    <n v="0"/>
    <n v="0"/>
    <n v="0"/>
    <n v="0"/>
    <n v="0"/>
    <n v="0"/>
    <n v="0"/>
    <n v="0"/>
    <n v="0"/>
    <n v="0"/>
    <n v="0"/>
    <n v="2"/>
    <n v="2"/>
  </r>
  <r>
    <n v="6627"/>
    <x v="1"/>
    <s v="2017/3404"/>
    <m/>
    <s v="179 Battersea Park road"/>
    <m/>
    <n v="528710"/>
    <n v="176889"/>
    <x v="6"/>
    <m/>
    <m/>
    <n v="4"/>
    <n v="3"/>
    <n v="-1"/>
    <n v="3"/>
    <n v="-1"/>
    <m/>
    <s v="Erection of three storey rear extension and side extension on the third floor and conversion of basement into shop storage."/>
    <s v="PF"/>
    <d v="2017-06-09T00:00:00"/>
    <d v="2017-09-06T00:00:00"/>
    <x v="1"/>
    <s v="Nil"/>
    <m/>
    <s v="BF"/>
    <x v="4"/>
    <x v="0"/>
    <x v="2"/>
    <n v="7.0000002160668399E-3"/>
    <m/>
    <x v="0"/>
    <m/>
    <x v="0"/>
    <s v="P"/>
    <s v="2.1.30"/>
    <m/>
    <n v="0"/>
    <m/>
    <n v="0"/>
    <m/>
    <n v="0"/>
    <n v="-1"/>
    <n v="1"/>
    <n v="-1"/>
    <n v="0"/>
    <n v="0"/>
    <n v="0"/>
    <n v="0"/>
    <n v="-1"/>
    <n v="1"/>
    <n v="-1"/>
    <n v="0"/>
    <n v="0"/>
    <n v="0"/>
    <n v="0"/>
    <n v="0"/>
    <n v="0"/>
    <n v="0"/>
    <n v="0"/>
    <n v="0"/>
    <n v="0"/>
    <n v="0"/>
    <n v="0"/>
    <n v="0"/>
    <n v="0"/>
    <n v="0"/>
    <n v="0"/>
    <n v="0"/>
    <s v="Strategic Planning/Nine Elms"/>
    <x v="0"/>
    <x v="1"/>
    <x v="1"/>
    <x v="0"/>
    <x v="0"/>
    <x v="0"/>
    <m/>
    <x v="0"/>
    <s v="Y"/>
    <s v="9A"/>
    <m/>
    <n v="0"/>
    <n v="-0.25"/>
    <n v="-0.25"/>
    <n v="-0.25"/>
    <n v="-0.25"/>
    <n v="0"/>
    <n v="0"/>
    <n v="0"/>
    <n v="0"/>
    <n v="0"/>
    <n v="0"/>
    <n v="0"/>
    <n v="0"/>
    <n v="0"/>
    <n v="0"/>
    <n v="0"/>
    <n v="0"/>
    <n v="0"/>
    <n v="0"/>
    <n v="0"/>
    <n v="0"/>
    <n v="-1"/>
    <n v="-1"/>
  </r>
  <r>
    <n v="6631"/>
    <x v="1"/>
    <s v="2017/3458"/>
    <m/>
    <s v="27 Culverden Road"/>
    <m/>
    <n v="529120"/>
    <n v="172604"/>
    <x v="3"/>
    <m/>
    <m/>
    <n v="3"/>
    <n v="1"/>
    <n v="-2"/>
    <n v="1"/>
    <n v="-2"/>
    <m/>
    <s v="Conversion of 3 flats to form one family dwelling  (6 bedrooms). Erection of single-storey side/rear extensions."/>
    <s v="PF"/>
    <d v="2017-06-15T00:00:00"/>
    <d v="2017-08-10T00:00:00"/>
    <x v="1"/>
    <s v="Nil"/>
    <m/>
    <s v="BF"/>
    <x v="1"/>
    <x v="0"/>
    <x v="7"/>
    <n v="5.2000001072883599E-2"/>
    <m/>
    <x v="0"/>
    <m/>
    <x v="0"/>
    <s v="P"/>
    <m/>
    <m/>
    <n v="0"/>
    <m/>
    <n v="0"/>
    <m/>
    <n v="0"/>
    <n v="0"/>
    <n v="-3"/>
    <n v="0"/>
    <n v="0"/>
    <n v="1"/>
    <n v="0"/>
    <n v="0"/>
    <n v="0"/>
    <n v="-3"/>
    <n v="0"/>
    <n v="0"/>
    <n v="0"/>
    <n v="0"/>
    <n v="0"/>
    <n v="0"/>
    <n v="0"/>
    <n v="0"/>
    <n v="0"/>
    <n v="1"/>
    <n v="0"/>
    <n v="0"/>
    <n v="0"/>
    <n v="0"/>
    <n v="0"/>
    <n v="0"/>
    <n v="0"/>
    <n v="0"/>
    <s v="East"/>
    <x v="0"/>
    <x v="0"/>
    <x v="1"/>
    <x v="0"/>
    <x v="0"/>
    <x v="0"/>
    <m/>
    <x v="0"/>
    <s v="Y"/>
    <s v="9A"/>
    <m/>
    <n v="0"/>
    <n v="-0.5"/>
    <n v="-0.5"/>
    <n v="-0.5"/>
    <n v="-0.5"/>
    <n v="0"/>
    <n v="0"/>
    <n v="0"/>
    <n v="0"/>
    <n v="0"/>
    <n v="0"/>
    <n v="0"/>
    <n v="0"/>
    <n v="0"/>
    <n v="0"/>
    <n v="0"/>
    <n v="0"/>
    <n v="0"/>
    <n v="0"/>
    <n v="0"/>
    <n v="0"/>
    <n v="-2"/>
    <n v="-2"/>
  </r>
  <r>
    <n v="6632"/>
    <x v="1"/>
    <s v="2017/3427"/>
    <m/>
    <s v="Newlands Terrace, 167 Queenstown Road"/>
    <m/>
    <n v="528637"/>
    <n v="176365"/>
    <x v="6"/>
    <m/>
    <m/>
    <n v="0"/>
    <n v="1"/>
    <n v="1"/>
    <n v="1"/>
    <n v="1"/>
    <m/>
    <s v="Erection of mansard roof on rear of main roof, mansard roof on part of three storey back addition and installation of three rooflights in front roofslope - all to enable formation of 1 x 2 bedroom roof-top flat."/>
    <s v="PF"/>
    <d v="2017-06-16T00:00:00"/>
    <d v="2017-08-11T00:00:00"/>
    <x v="1"/>
    <s v="Nil"/>
    <m/>
    <s v="BF"/>
    <x v="2"/>
    <x v="0"/>
    <x v="3"/>
    <n v="6.0000000521540598E-3"/>
    <m/>
    <x v="0"/>
    <m/>
    <x v="0"/>
    <s v="P"/>
    <m/>
    <m/>
    <n v="0"/>
    <m/>
    <n v="0"/>
    <m/>
    <n v="0"/>
    <n v="0"/>
    <n v="1"/>
    <n v="0"/>
    <n v="0"/>
    <n v="0"/>
    <n v="0"/>
    <n v="0"/>
    <n v="0"/>
    <n v="1"/>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643"/>
    <x v="1"/>
    <s v="2017/3556"/>
    <m/>
    <s v="40 Lindore Road"/>
    <m/>
    <n v="527583"/>
    <n v="175000"/>
    <x v="14"/>
    <m/>
    <m/>
    <n v="0"/>
    <n v="1"/>
    <n v="1"/>
    <n v="1"/>
    <n v="1"/>
    <m/>
    <s v="Alterations including erection of single storey rear/side extension, excavation to enlarge basement, excavation of rear garden and front and side lightwells in connection with creation of 1 x 2-bedroom flat."/>
    <s v="PF"/>
    <d v="2017-06-26T00:00:00"/>
    <d v="2017-10-24T00:00:00"/>
    <x v="1"/>
    <s v="Nil"/>
    <m/>
    <s v="BF"/>
    <x v="2"/>
    <x v="0"/>
    <x v="3"/>
    <n v="8.9999996125698107E-3"/>
    <m/>
    <x v="0"/>
    <m/>
    <x v="0"/>
    <s v="P"/>
    <m/>
    <m/>
    <n v="0"/>
    <m/>
    <n v="0"/>
    <m/>
    <n v="0"/>
    <n v="0"/>
    <n v="1"/>
    <n v="0"/>
    <n v="0"/>
    <n v="0"/>
    <n v="0"/>
    <n v="0"/>
    <n v="0"/>
    <n v="1"/>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646"/>
    <x v="1"/>
    <s v="2017/3527"/>
    <m/>
    <s v="238a, 238a Balham High Road"/>
    <m/>
    <n v="528286"/>
    <n v="172911"/>
    <x v="11"/>
    <m/>
    <m/>
    <n v="1"/>
    <n v="2"/>
    <n v="1"/>
    <n v="2"/>
    <n v="1"/>
    <m/>
    <s v="Alterations including two-storey extension above rear addition and conversion of property to 1 x 1 bedroom flat and 1 x 2 bedroom flats."/>
    <s v="PF"/>
    <d v="2017-06-29T00:00:00"/>
    <d v="2017-08-24T00:00:00"/>
    <x v="1"/>
    <s v="Nil"/>
    <m/>
    <s v="BF"/>
    <x v="4"/>
    <x v="0"/>
    <x v="10"/>
    <n v="9.9999997764825804E-3"/>
    <m/>
    <x v="0"/>
    <m/>
    <x v="0"/>
    <s v="P"/>
    <m/>
    <m/>
    <n v="0"/>
    <m/>
    <n v="0"/>
    <m/>
    <n v="0"/>
    <n v="1"/>
    <n v="1"/>
    <n v="0"/>
    <n v="-1"/>
    <n v="0"/>
    <n v="0"/>
    <n v="0"/>
    <n v="1"/>
    <n v="1"/>
    <n v="0"/>
    <n v="-1"/>
    <n v="0"/>
    <n v="0"/>
    <n v="0"/>
    <n v="0"/>
    <n v="0"/>
    <n v="0"/>
    <n v="0"/>
    <n v="0"/>
    <n v="0"/>
    <n v="0"/>
    <n v="0"/>
    <n v="0"/>
    <n v="0"/>
    <n v="0"/>
    <n v="0"/>
    <n v="0"/>
    <s v="East"/>
    <x v="0"/>
    <x v="0"/>
    <x v="1"/>
    <x v="0"/>
    <x v="0"/>
    <x v="0"/>
    <m/>
    <x v="0"/>
    <s v="Y"/>
    <s v="9A"/>
    <m/>
    <n v="0"/>
    <n v="0.25"/>
    <n v="0.25"/>
    <n v="0.25"/>
    <n v="0.25"/>
    <n v="0"/>
    <n v="0"/>
    <n v="0"/>
    <n v="0"/>
    <n v="0"/>
    <n v="0"/>
    <n v="0"/>
    <n v="0"/>
    <n v="0"/>
    <n v="0"/>
    <n v="0"/>
    <n v="0"/>
    <n v="0"/>
    <n v="0"/>
    <n v="0"/>
    <n v="0"/>
    <n v="1"/>
    <n v="1"/>
  </r>
  <r>
    <n v="6649"/>
    <x v="1"/>
    <s v="2017/4039"/>
    <m/>
    <s v="41 Eglantine Road"/>
    <m/>
    <n v="526076"/>
    <n v="174533"/>
    <x v="0"/>
    <m/>
    <m/>
    <n v="2"/>
    <n v="1"/>
    <n v="-1"/>
    <n v="1"/>
    <n v="-1"/>
    <m/>
    <s v="Alterations including erection of front boundary gate and railings in connection with use as a single dwellinghouse."/>
    <s v="PF"/>
    <d v="2017-07-18T00:00:00"/>
    <d v="2017-09-07T00:00:00"/>
    <x v="1"/>
    <s v="Nil"/>
    <m/>
    <s v="BF"/>
    <x v="1"/>
    <x v="0"/>
    <x v="7"/>
    <n v="2.4000000208616298E-2"/>
    <m/>
    <x v="0"/>
    <m/>
    <x v="0"/>
    <s v="P"/>
    <m/>
    <m/>
    <n v="0"/>
    <m/>
    <n v="0"/>
    <m/>
    <n v="0"/>
    <n v="0"/>
    <n v="-2"/>
    <n v="0"/>
    <n v="1"/>
    <n v="0"/>
    <n v="0"/>
    <n v="0"/>
    <n v="0"/>
    <n v="-2"/>
    <n v="0"/>
    <n v="0"/>
    <n v="0"/>
    <n v="0"/>
    <n v="0"/>
    <n v="0"/>
    <n v="0"/>
    <n v="0"/>
    <n v="1"/>
    <n v="0"/>
    <n v="0"/>
    <n v="0"/>
    <n v="0"/>
    <n v="0"/>
    <n v="0"/>
    <n v="0"/>
    <n v="0"/>
    <n v="0"/>
    <s v="West"/>
    <x v="0"/>
    <x v="0"/>
    <x v="1"/>
    <x v="0"/>
    <x v="0"/>
    <x v="0"/>
    <m/>
    <x v="0"/>
    <s v="Y"/>
    <s v="9A"/>
    <m/>
    <n v="0"/>
    <n v="-0.25"/>
    <n v="-0.25"/>
    <n v="-0.25"/>
    <n v="-0.25"/>
    <n v="0"/>
    <n v="0"/>
    <n v="0"/>
    <n v="0"/>
    <n v="0"/>
    <n v="0"/>
    <n v="0"/>
    <n v="0"/>
    <n v="0"/>
    <n v="0"/>
    <n v="0"/>
    <n v="0"/>
    <n v="0"/>
    <n v="0"/>
    <n v="0"/>
    <n v="0"/>
    <n v="-1"/>
    <n v="-1"/>
  </r>
  <r>
    <n v="6654"/>
    <x v="1"/>
    <s v="2017/3835"/>
    <m/>
    <s v="1 The Pleasance"/>
    <m/>
    <n v="522636"/>
    <n v="175154"/>
    <x v="7"/>
    <m/>
    <m/>
    <n v="1"/>
    <n v="2"/>
    <n v="1"/>
    <n v="2"/>
    <n v="1"/>
    <m/>
    <s v="Alterations including erection of rear dormer and single-storey rear extension."/>
    <s v="PF"/>
    <d v="2017-07-20T00:00:00"/>
    <d v="2017-09-13T00:00:00"/>
    <x v="1"/>
    <s v="Nil"/>
    <m/>
    <s v="BF"/>
    <x v="4"/>
    <x v="0"/>
    <x v="8"/>
    <n v="2.3000000044703501E-2"/>
    <m/>
    <x v="0"/>
    <m/>
    <x v="0"/>
    <s v="P"/>
    <m/>
    <m/>
    <n v="0"/>
    <m/>
    <n v="0"/>
    <m/>
    <n v="0"/>
    <n v="0"/>
    <n v="1"/>
    <n v="0"/>
    <n v="0"/>
    <n v="0"/>
    <n v="0"/>
    <n v="0"/>
    <n v="0"/>
    <n v="1"/>
    <n v="1"/>
    <n v="0"/>
    <n v="0"/>
    <n v="0"/>
    <n v="0"/>
    <n v="0"/>
    <n v="0"/>
    <n v="-1"/>
    <n v="0"/>
    <n v="0"/>
    <n v="0"/>
    <n v="0"/>
    <n v="0"/>
    <n v="0"/>
    <n v="0"/>
    <n v="0"/>
    <n v="0"/>
    <n v="0"/>
    <s v="West"/>
    <x v="0"/>
    <x v="0"/>
    <x v="1"/>
    <x v="0"/>
    <x v="0"/>
    <x v="0"/>
    <m/>
    <x v="0"/>
    <s v="Y"/>
    <s v="9A"/>
    <m/>
    <n v="0"/>
    <n v="0.25"/>
    <n v="0.25"/>
    <n v="0.25"/>
    <n v="0.25"/>
    <n v="0"/>
    <n v="0"/>
    <n v="0"/>
    <n v="0"/>
    <n v="0"/>
    <n v="0"/>
    <n v="0"/>
    <n v="0"/>
    <n v="0"/>
    <n v="0"/>
    <n v="0"/>
    <n v="0"/>
    <n v="0"/>
    <n v="0"/>
    <n v="0"/>
    <n v="0"/>
    <n v="1"/>
    <n v="1"/>
  </r>
  <r>
    <n v="6665"/>
    <x v="1"/>
    <s v="2017/4217"/>
    <m/>
    <s v="40 Old Devonshire Road"/>
    <m/>
    <n v="528744"/>
    <n v="173591"/>
    <x v="9"/>
    <m/>
    <m/>
    <n v="0"/>
    <n v="1"/>
    <n v="1"/>
    <n v="2"/>
    <n v="2"/>
    <m/>
    <s v="Alterations including changes to the site frontage and a first floor rear extension to allow the conversion of the main garage building to B1 (office) use, and change of use of right hand building to 1 x 1-bedroom unit."/>
    <s v="PF"/>
    <d v="2017-08-03T00:00:00"/>
    <d v="2017-11-24T00:00:00"/>
    <x v="1"/>
    <s v="Nil"/>
    <m/>
    <s v="BF"/>
    <x v="3"/>
    <x v="0"/>
    <x v="5"/>
    <n v="2.0000000949949E-3"/>
    <m/>
    <x v="0"/>
    <m/>
    <x v="0"/>
    <s v="P"/>
    <m/>
    <m/>
    <n v="0"/>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665"/>
    <x v="1"/>
    <s v="2017/4217"/>
    <m/>
    <s v="40 Old Devonshire Road"/>
    <m/>
    <n v="528744"/>
    <n v="173591"/>
    <x v="9"/>
    <m/>
    <m/>
    <n v="0"/>
    <n v="1"/>
    <n v="1"/>
    <n v="2"/>
    <n v="2"/>
    <m/>
    <s v="Alterations including changes to the site frontage and a first floor rear extension to allow the conversion of the main garage building to B1 (office) use, and change of use of right hand building to 1 x 1-bedroom unit."/>
    <s v="PF"/>
    <d v="2017-08-03T00:00:00"/>
    <d v="2017-11-24T00:00:00"/>
    <x v="1"/>
    <s v="Nil"/>
    <m/>
    <s v="BF"/>
    <x v="3"/>
    <x v="0"/>
    <x v="0"/>
    <n v="4.9999998882412902E-3"/>
    <m/>
    <x v="0"/>
    <m/>
    <x v="0"/>
    <s v="P"/>
    <m/>
    <m/>
    <n v="0"/>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666"/>
    <x v="1"/>
    <s v="2017/4370"/>
    <m/>
    <s v="26 Thurleigh Road"/>
    <m/>
    <n v="527769"/>
    <n v="174002"/>
    <x v="9"/>
    <m/>
    <m/>
    <n v="3"/>
    <n v="1"/>
    <n v="-2"/>
    <n v="1"/>
    <n v="-2"/>
    <m/>
    <s v="Erection of dormer roof extensions to main rear roof and single-storey rear extension; _x000d__x000a_Excavation to create an enlarge basement including formation of front lightwell with grille over in connection with conversion of three flats into 5-bedroom house. Installation of replacement timber windows to front and removal first floor rear to timber french door and safety railings."/>
    <s v="PF"/>
    <d v="2017-08-16T00:00:00"/>
    <d v="2017-10-11T00:00:00"/>
    <x v="1"/>
    <s v="Nil"/>
    <m/>
    <s v="BF"/>
    <x v="4"/>
    <x v="0"/>
    <x v="7"/>
    <n v="2.0999999716877899E-2"/>
    <m/>
    <x v="0"/>
    <m/>
    <x v="0"/>
    <s v="P"/>
    <m/>
    <m/>
    <n v="0"/>
    <m/>
    <n v="0"/>
    <m/>
    <n v="0"/>
    <n v="-2"/>
    <n v="-1"/>
    <n v="0"/>
    <n v="0"/>
    <n v="1"/>
    <n v="0"/>
    <n v="0"/>
    <n v="-2"/>
    <n v="-1"/>
    <n v="0"/>
    <n v="0"/>
    <n v="0"/>
    <n v="0"/>
    <n v="0"/>
    <n v="0"/>
    <n v="0"/>
    <n v="0"/>
    <n v="0"/>
    <n v="1"/>
    <n v="0"/>
    <n v="0"/>
    <n v="0"/>
    <n v="0"/>
    <n v="0"/>
    <n v="0"/>
    <n v="0"/>
    <n v="0"/>
    <s v="East"/>
    <x v="0"/>
    <x v="0"/>
    <x v="1"/>
    <x v="0"/>
    <x v="0"/>
    <x v="0"/>
    <m/>
    <x v="0"/>
    <s v="Y"/>
    <s v="9A"/>
    <m/>
    <n v="0"/>
    <n v="-0.5"/>
    <n v="-0.5"/>
    <n v="-0.5"/>
    <n v="-0.5"/>
    <n v="0"/>
    <n v="0"/>
    <n v="0"/>
    <n v="0"/>
    <n v="0"/>
    <n v="0"/>
    <n v="0"/>
    <n v="0"/>
    <n v="0"/>
    <n v="0"/>
    <n v="0"/>
    <n v="0"/>
    <n v="0"/>
    <n v="0"/>
    <n v="0"/>
    <n v="0"/>
    <n v="-2"/>
    <n v="-2"/>
  </r>
  <r>
    <n v="6667"/>
    <x v="1"/>
    <s v="2017/4326"/>
    <m/>
    <s v="14 Valonia Gradens"/>
    <m/>
    <n v="524795"/>
    <n v="174423"/>
    <x v="16"/>
    <m/>
    <m/>
    <n v="1"/>
    <n v="1"/>
    <n v="0"/>
    <n v="1"/>
    <n v="0"/>
    <m/>
    <s v="Demolition of existing detached dwellinghouse and the erection of a replacement two-storey (plus roof accomodation) 4-bedroom detached dwellinghouse."/>
    <s v="PF"/>
    <d v="2017-08-02T00:00:00"/>
    <d v="2017-11-24T00:00:00"/>
    <x v="1"/>
    <s v="Nil"/>
    <m/>
    <s v="BF"/>
    <x v="0"/>
    <x v="0"/>
    <x v="0"/>
    <n v="4.3000001460313797E-2"/>
    <m/>
    <x v="0"/>
    <m/>
    <x v="0"/>
    <s v="P"/>
    <m/>
    <m/>
    <n v="0"/>
    <m/>
    <n v="0"/>
    <m/>
    <n v="0"/>
    <n v="0"/>
    <n v="0"/>
    <n v="0"/>
    <n v="1"/>
    <n v="-1"/>
    <n v="0"/>
    <n v="0"/>
    <n v="0"/>
    <n v="0"/>
    <n v="0"/>
    <n v="0"/>
    <n v="0"/>
    <n v="0"/>
    <n v="0"/>
    <n v="0"/>
    <n v="0"/>
    <n v="0"/>
    <n v="1"/>
    <n v="-1"/>
    <n v="0"/>
    <n v="0"/>
    <n v="0"/>
    <n v="0"/>
    <n v="0"/>
    <n v="0"/>
    <n v="0"/>
    <n v="0"/>
    <s v="West"/>
    <x v="0"/>
    <x v="0"/>
    <x v="1"/>
    <x v="0"/>
    <x v="0"/>
    <x v="0"/>
    <m/>
    <x v="0"/>
    <s v="Y"/>
    <n v="4"/>
    <m/>
    <n v="0"/>
    <n v="0"/>
    <n v="0"/>
    <n v="0"/>
    <n v="0"/>
    <n v="0"/>
    <n v="0"/>
    <n v="0"/>
    <n v="0"/>
    <n v="0"/>
    <n v="0"/>
    <n v="0"/>
    <n v="0"/>
    <n v="0"/>
    <n v="0"/>
    <n v="0"/>
    <n v="0"/>
    <n v="0"/>
    <n v="0"/>
    <n v="0"/>
    <n v="0"/>
    <n v="0"/>
    <n v="0"/>
  </r>
  <r>
    <n v="6668"/>
    <x v="1"/>
    <s v="2017/4487"/>
    <m/>
    <s v="96 Trinity Road"/>
    <m/>
    <n v="527779"/>
    <n v="172707"/>
    <x v="11"/>
    <m/>
    <m/>
    <n v="1"/>
    <n v="3"/>
    <n v="2"/>
    <n v="3"/>
    <n v="2"/>
    <m/>
    <s v="Alterations including the erection of mansard extension to main rear roof (with french doors and safety railings) and single storey side/rear extension, in connection with conversion of property into 1 x 1 bedroom, 1 x 2-bedroom and 1 x 3-bedroom flats."/>
    <s v="PF"/>
    <d v="2017-08-08T00:00:00"/>
    <d v="2017-11-28T00:00:00"/>
    <x v="1"/>
    <s v="Nil"/>
    <m/>
    <s v="BF"/>
    <x v="4"/>
    <x v="0"/>
    <x v="8"/>
    <n v="1.7000000923872001E-2"/>
    <m/>
    <x v="0"/>
    <m/>
    <x v="0"/>
    <s v="P"/>
    <m/>
    <m/>
    <n v="0"/>
    <m/>
    <n v="0"/>
    <m/>
    <n v="0"/>
    <n v="1"/>
    <n v="1"/>
    <n v="1"/>
    <n v="0"/>
    <n v="-1"/>
    <n v="0"/>
    <n v="0"/>
    <n v="1"/>
    <n v="1"/>
    <n v="1"/>
    <n v="0"/>
    <n v="0"/>
    <n v="0"/>
    <n v="0"/>
    <n v="0"/>
    <n v="0"/>
    <n v="0"/>
    <n v="0"/>
    <n v="-1"/>
    <n v="0"/>
    <n v="0"/>
    <n v="0"/>
    <n v="0"/>
    <n v="0"/>
    <n v="0"/>
    <n v="0"/>
    <n v="0"/>
    <s v="East"/>
    <x v="0"/>
    <x v="0"/>
    <x v="1"/>
    <x v="0"/>
    <x v="0"/>
    <x v="0"/>
    <m/>
    <x v="0"/>
    <s v="Y"/>
    <s v="9A"/>
    <m/>
    <n v="0"/>
    <n v="0.5"/>
    <n v="0.5"/>
    <n v="0.5"/>
    <n v="0.5"/>
    <n v="0"/>
    <n v="0"/>
    <n v="0"/>
    <n v="0"/>
    <n v="0"/>
    <n v="0"/>
    <n v="0"/>
    <n v="0"/>
    <n v="0"/>
    <n v="0"/>
    <n v="0"/>
    <n v="0"/>
    <n v="0"/>
    <n v="0"/>
    <n v="0"/>
    <n v="0"/>
    <n v="2"/>
    <n v="2"/>
  </r>
  <r>
    <n v="6670"/>
    <x v="1"/>
    <s v="2017/3316"/>
    <m/>
    <s v="15a Selkirk Road"/>
    <s v="HOUSE 1"/>
    <n v="527469"/>
    <n v="171617"/>
    <x v="4"/>
    <m/>
    <m/>
    <n v="0"/>
    <n v="1"/>
    <n v="1"/>
    <n v="8"/>
    <n v="8"/>
    <m/>
    <s v="Demolition of existing buildings in association with an MOT garage. Erection of a three-storey building to create 3 x 2-bedroom flats; erection of two-storey building to create 2 x1-bedroom flats and erection of 2 x two-storey 2-bedroom houses and 1 x two-storey 3-bedroom house with associated landscaping, refuse and cycle storage._x000d__x000a__x000d__x000a_Amendments:_x000d__x000a_Additional drawings/information has been submitted in regard to existing and proposed relationships with neighbouring residential properties, waste storage and vehicular access."/>
    <s v="PF"/>
    <d v="2017-08-11T00:00:00"/>
    <d v="2018-02-27T00:00:00"/>
    <x v="1"/>
    <s v="Nil"/>
    <m/>
    <s v="BF"/>
    <x v="0"/>
    <x v="0"/>
    <x v="0"/>
    <n v="1.60000007599592E-2"/>
    <m/>
    <x v="0"/>
    <m/>
    <x v="0"/>
    <s v="P"/>
    <m/>
    <m/>
    <n v="0"/>
    <n v="1"/>
    <n v="0"/>
    <m/>
    <n v="0"/>
    <n v="0"/>
    <n v="1"/>
    <n v="0"/>
    <n v="0"/>
    <n v="0"/>
    <n v="0"/>
    <n v="0"/>
    <n v="0"/>
    <n v="0"/>
    <n v="0"/>
    <n v="0"/>
    <n v="0"/>
    <n v="0"/>
    <n v="0"/>
    <n v="0"/>
    <n v="1"/>
    <n v="0"/>
    <n v="0"/>
    <n v="0"/>
    <n v="0"/>
    <n v="0"/>
    <n v="0"/>
    <n v="0"/>
    <n v="0"/>
    <n v="0"/>
    <n v="0"/>
    <n v="0"/>
    <s v="East"/>
    <x v="1"/>
    <x v="0"/>
    <x v="1"/>
    <x v="0"/>
    <x v="0"/>
    <x v="0"/>
    <m/>
    <x v="0"/>
    <s v="Y"/>
    <s v="5A"/>
    <m/>
    <n v="0"/>
    <n v="0"/>
    <n v="0"/>
    <n v="1"/>
    <n v="0"/>
    <n v="0"/>
    <n v="0"/>
    <n v="0"/>
    <n v="0"/>
    <n v="0"/>
    <n v="0"/>
    <n v="0"/>
    <n v="0"/>
    <n v="0"/>
    <n v="0"/>
    <n v="0"/>
    <n v="0"/>
    <n v="0"/>
    <n v="0"/>
    <n v="0"/>
    <n v="0"/>
    <n v="1"/>
    <n v="1"/>
  </r>
  <r>
    <n v="6670"/>
    <x v="1"/>
    <s v="2017/3316"/>
    <m/>
    <s v="15a Selkirk Road"/>
    <s v="HOUSE 2"/>
    <n v="527469"/>
    <n v="171617"/>
    <x v="4"/>
    <m/>
    <m/>
    <n v="0"/>
    <n v="1"/>
    <n v="1"/>
    <n v="8"/>
    <n v="8"/>
    <m/>
    <s v="Demolition of existing buildings in association with an MOT garage. Erection of a three-storey building to create 3 x 2-bedroom flats; erection of two-storey building to create 2 x1-bedroom flats and erection of 2 x two-storey 2-bedroom houses and 1 x two-storey 3-bedroom house with associated landscaping, refuse and cycle storage._x000d__x000a__x000d__x000a_Amendments:_x000d__x000a_Additional drawings/information has been submitted in regard to existing and proposed relationships with neighbouring residential properties, waste storage and vehicular access."/>
    <s v="PF"/>
    <d v="2017-08-11T00:00:00"/>
    <d v="2018-02-27T00:00:00"/>
    <x v="1"/>
    <s v="Nil"/>
    <m/>
    <s v="BF"/>
    <x v="0"/>
    <x v="0"/>
    <x v="0"/>
    <n v="1.60000007599592E-2"/>
    <m/>
    <x v="0"/>
    <m/>
    <x v="0"/>
    <s v="P"/>
    <m/>
    <m/>
    <n v="0"/>
    <n v="1"/>
    <n v="0"/>
    <m/>
    <n v="0"/>
    <n v="0"/>
    <n v="1"/>
    <n v="0"/>
    <n v="0"/>
    <n v="0"/>
    <n v="0"/>
    <n v="0"/>
    <n v="0"/>
    <n v="0"/>
    <n v="0"/>
    <n v="0"/>
    <n v="0"/>
    <n v="0"/>
    <n v="0"/>
    <n v="0"/>
    <n v="1"/>
    <n v="0"/>
    <n v="0"/>
    <n v="0"/>
    <n v="0"/>
    <n v="0"/>
    <n v="0"/>
    <n v="0"/>
    <n v="0"/>
    <n v="0"/>
    <n v="0"/>
    <n v="0"/>
    <s v="East"/>
    <x v="1"/>
    <x v="0"/>
    <x v="1"/>
    <x v="0"/>
    <x v="0"/>
    <x v="0"/>
    <m/>
    <x v="0"/>
    <s v="Y"/>
    <s v="5A"/>
    <m/>
    <n v="0"/>
    <n v="0"/>
    <n v="0"/>
    <n v="1"/>
    <n v="0"/>
    <n v="0"/>
    <n v="0"/>
    <n v="0"/>
    <n v="0"/>
    <n v="0"/>
    <n v="0"/>
    <n v="0"/>
    <n v="0"/>
    <n v="0"/>
    <n v="0"/>
    <n v="0"/>
    <n v="0"/>
    <n v="0"/>
    <n v="0"/>
    <n v="0"/>
    <n v="0"/>
    <n v="1"/>
    <n v="1"/>
  </r>
  <r>
    <n v="6670"/>
    <x v="1"/>
    <s v="2017/3316"/>
    <m/>
    <s v="15a Selkirk Road"/>
    <s v="HOUSE 3"/>
    <n v="527469"/>
    <n v="171617"/>
    <x v="4"/>
    <m/>
    <m/>
    <n v="0"/>
    <n v="1"/>
    <n v="1"/>
    <n v="8"/>
    <n v="8"/>
    <m/>
    <s v="Demolition of existing buildings in association with an MOT garage. Erection of a three-storey building to create 3 x 2-bedroom flats; erection of two-storey building to create 2 x1-bedroom flats and erection of 2 x two-storey 2-bedroom houses and 1 x two-storey 3-bedroom house with associated landscaping, refuse and cycle storage._x000d__x000a__x000d__x000a_Amendments:_x000d__x000a_Additional drawings/information has been submitted in regard to existing and proposed relationships with neighbouring residential properties, waste storage and vehicular access."/>
    <s v="PF"/>
    <d v="2017-08-11T00:00:00"/>
    <d v="2018-02-27T00:00:00"/>
    <x v="1"/>
    <s v="Nil"/>
    <m/>
    <s v="BF"/>
    <x v="0"/>
    <x v="0"/>
    <x v="0"/>
    <n v="2.3000000044703501E-2"/>
    <m/>
    <x v="0"/>
    <m/>
    <x v="0"/>
    <s v="P"/>
    <m/>
    <m/>
    <n v="0"/>
    <n v="1"/>
    <n v="0"/>
    <m/>
    <n v="0"/>
    <n v="0"/>
    <n v="0"/>
    <n v="1"/>
    <n v="0"/>
    <n v="0"/>
    <n v="0"/>
    <n v="0"/>
    <n v="0"/>
    <n v="0"/>
    <n v="0"/>
    <n v="0"/>
    <n v="0"/>
    <n v="0"/>
    <n v="0"/>
    <n v="0"/>
    <n v="0"/>
    <n v="1"/>
    <n v="0"/>
    <n v="0"/>
    <n v="0"/>
    <n v="0"/>
    <n v="0"/>
    <n v="0"/>
    <n v="0"/>
    <n v="0"/>
    <n v="0"/>
    <n v="0"/>
    <s v="East"/>
    <x v="1"/>
    <x v="0"/>
    <x v="1"/>
    <x v="0"/>
    <x v="0"/>
    <x v="0"/>
    <m/>
    <x v="0"/>
    <s v="Y"/>
    <s v="5A"/>
    <m/>
    <n v="0"/>
    <n v="0"/>
    <n v="0"/>
    <n v="1"/>
    <n v="0"/>
    <n v="0"/>
    <n v="0"/>
    <n v="0"/>
    <n v="0"/>
    <n v="0"/>
    <n v="0"/>
    <n v="0"/>
    <n v="0"/>
    <n v="0"/>
    <n v="0"/>
    <n v="0"/>
    <n v="0"/>
    <n v="0"/>
    <n v="0"/>
    <n v="0"/>
    <n v="0"/>
    <n v="1"/>
    <n v="1"/>
  </r>
  <r>
    <n v="6670"/>
    <x v="1"/>
    <s v="2017/3316"/>
    <m/>
    <s v="15a Selkirk Road"/>
    <m/>
    <n v="527469"/>
    <n v="171617"/>
    <x v="4"/>
    <m/>
    <m/>
    <n v="0"/>
    <n v="3"/>
    <n v="3"/>
    <n v="8"/>
    <n v="8"/>
    <m/>
    <s v="Demolition of existing buildings in association with an MOT garage. Erection of a three-storey building to create 3 x 2-bedroom flats; erection of two-storey building to create 2 x1-bedroom flats and erection of 2 x two-storey 2-bedroom houses and 1 x two-storey 3-bedroom house with associated landscaping, refuse and cycle storage._x000d__x000a__x000d__x000a_Amendments:_x000d__x000a_Additional drawings/information has been submitted in regard to existing and proposed relationships with neighbouring residential properties, waste storage and vehicular access."/>
    <s v="PF"/>
    <d v="2017-08-11T00:00:00"/>
    <d v="2018-02-27T00:00:00"/>
    <x v="1"/>
    <s v="Nil"/>
    <m/>
    <s v="BF"/>
    <x v="0"/>
    <x v="0"/>
    <x v="0"/>
    <n v="4.1999999433755902E-2"/>
    <m/>
    <x v="0"/>
    <m/>
    <x v="0"/>
    <s v="P"/>
    <m/>
    <m/>
    <n v="0"/>
    <n v="3"/>
    <n v="0"/>
    <m/>
    <n v="0"/>
    <n v="0"/>
    <n v="3"/>
    <n v="0"/>
    <n v="0"/>
    <n v="0"/>
    <n v="0"/>
    <n v="0"/>
    <n v="0"/>
    <n v="3"/>
    <n v="0"/>
    <n v="0"/>
    <n v="0"/>
    <n v="0"/>
    <n v="0"/>
    <n v="0"/>
    <n v="0"/>
    <n v="0"/>
    <n v="0"/>
    <n v="0"/>
    <n v="0"/>
    <n v="0"/>
    <n v="0"/>
    <n v="0"/>
    <n v="0"/>
    <n v="0"/>
    <n v="0"/>
    <n v="0"/>
    <s v="East"/>
    <x v="1"/>
    <x v="0"/>
    <x v="1"/>
    <x v="0"/>
    <x v="0"/>
    <x v="0"/>
    <m/>
    <x v="0"/>
    <s v="Y"/>
    <s v="5A"/>
    <m/>
    <n v="0"/>
    <n v="0"/>
    <n v="0"/>
    <n v="3"/>
    <n v="0"/>
    <n v="0"/>
    <n v="0"/>
    <n v="0"/>
    <n v="0"/>
    <n v="0"/>
    <n v="0"/>
    <n v="0"/>
    <n v="0"/>
    <n v="0"/>
    <n v="0"/>
    <n v="0"/>
    <n v="0"/>
    <n v="0"/>
    <n v="0"/>
    <n v="0"/>
    <n v="0"/>
    <n v="3"/>
    <n v="3"/>
  </r>
  <r>
    <n v="6670"/>
    <x v="1"/>
    <s v="2017/3316"/>
    <m/>
    <s v="15a Selkirk Road"/>
    <m/>
    <n v="527469"/>
    <n v="171617"/>
    <x v="4"/>
    <m/>
    <m/>
    <n v="0"/>
    <n v="2"/>
    <n v="2"/>
    <n v="8"/>
    <n v="8"/>
    <m/>
    <s v="Demolition of existing buildings in association with an MOT garage. Erection of a three-storey building to create 3 x 2-bedroom flats; erection of two-storey building to create 2 x1-bedroom flats and erection of 2 x two-storey 2-bedroom houses and 1 x two-storey 3-bedroom house with associated landscaping, refuse and cycle storage._x000d__x000a__x000d__x000a_Amendments:_x000d__x000a_Additional drawings/information has been submitted in regard to existing and proposed relationships with neighbouring residential properties, waste storage and vehicular access."/>
    <s v="PF"/>
    <d v="2017-08-11T00:00:00"/>
    <d v="2018-02-27T00:00:00"/>
    <x v="1"/>
    <s v="Nil"/>
    <m/>
    <s v="BF"/>
    <x v="0"/>
    <x v="0"/>
    <x v="0"/>
    <n v="1.8999999389052401E-2"/>
    <m/>
    <x v="0"/>
    <m/>
    <x v="0"/>
    <s v="P"/>
    <m/>
    <m/>
    <n v="0"/>
    <n v="2"/>
    <n v="0"/>
    <m/>
    <n v="0"/>
    <n v="2"/>
    <n v="0"/>
    <n v="0"/>
    <n v="0"/>
    <n v="0"/>
    <n v="0"/>
    <n v="0"/>
    <n v="2"/>
    <n v="0"/>
    <n v="0"/>
    <n v="0"/>
    <n v="0"/>
    <n v="0"/>
    <n v="0"/>
    <n v="0"/>
    <n v="0"/>
    <n v="0"/>
    <n v="0"/>
    <n v="0"/>
    <n v="0"/>
    <n v="0"/>
    <n v="0"/>
    <n v="0"/>
    <n v="0"/>
    <n v="0"/>
    <n v="0"/>
    <n v="0"/>
    <s v="East"/>
    <x v="1"/>
    <x v="0"/>
    <x v="1"/>
    <x v="0"/>
    <x v="0"/>
    <x v="0"/>
    <m/>
    <x v="0"/>
    <s v="Y"/>
    <s v="5A"/>
    <m/>
    <n v="0"/>
    <n v="0"/>
    <n v="0"/>
    <n v="2"/>
    <n v="0"/>
    <n v="0"/>
    <n v="0"/>
    <n v="0"/>
    <n v="0"/>
    <n v="0"/>
    <n v="0"/>
    <n v="0"/>
    <n v="0"/>
    <n v="0"/>
    <n v="0"/>
    <n v="0"/>
    <n v="0"/>
    <n v="0"/>
    <n v="0"/>
    <n v="0"/>
    <n v="0"/>
    <n v="2"/>
    <n v="2"/>
  </r>
  <r>
    <n v="6672"/>
    <x v="1"/>
    <s v="2017/4020"/>
    <m/>
    <s v="104 Streathbourne Road"/>
    <m/>
    <n v="528523"/>
    <n v="172269"/>
    <x v="3"/>
    <m/>
    <m/>
    <n v="2"/>
    <n v="3"/>
    <n v="1"/>
    <n v="3"/>
    <n v="1"/>
    <m/>
    <s v="Erection of single-storey rear extension and conversion of property to 1 x 3-bedroom and 2 x 2-bedroom flats."/>
    <s v="PF"/>
    <d v="2017-08-07T00:00:00"/>
    <d v="2017-10-24T00:00:00"/>
    <x v="1"/>
    <s v="Nil"/>
    <m/>
    <s v="BF"/>
    <x v="4"/>
    <x v="0"/>
    <x v="2"/>
    <n v="2.8999999165535001E-2"/>
    <m/>
    <x v="0"/>
    <m/>
    <x v="0"/>
    <s v="P"/>
    <m/>
    <m/>
    <n v="0"/>
    <m/>
    <n v="0"/>
    <m/>
    <n v="-1"/>
    <n v="-1"/>
    <n v="2"/>
    <n v="1"/>
    <n v="0"/>
    <n v="0"/>
    <n v="0"/>
    <n v="-1"/>
    <n v="-1"/>
    <n v="2"/>
    <n v="1"/>
    <n v="0"/>
    <n v="0"/>
    <n v="0"/>
    <n v="0"/>
    <n v="0"/>
    <n v="0"/>
    <n v="0"/>
    <n v="0"/>
    <n v="0"/>
    <n v="0"/>
    <n v="0"/>
    <n v="0"/>
    <n v="0"/>
    <n v="0"/>
    <n v="0"/>
    <n v="0"/>
    <n v="0"/>
    <s v="East"/>
    <x v="0"/>
    <x v="0"/>
    <x v="1"/>
    <x v="0"/>
    <x v="0"/>
    <x v="0"/>
    <m/>
    <x v="0"/>
    <s v="Y"/>
    <s v="9A"/>
    <m/>
    <n v="0"/>
    <n v="0.25"/>
    <n v="0.25"/>
    <n v="0.25"/>
    <n v="0.25"/>
    <n v="0"/>
    <n v="0"/>
    <n v="0"/>
    <n v="0"/>
    <n v="0"/>
    <n v="0"/>
    <n v="0"/>
    <n v="0"/>
    <n v="0"/>
    <n v="0"/>
    <n v="0"/>
    <n v="0"/>
    <n v="0"/>
    <n v="0"/>
    <n v="0"/>
    <n v="0"/>
    <n v="1"/>
    <n v="1"/>
  </r>
  <r>
    <n v="6673"/>
    <x v="1"/>
    <s v="2017/4231"/>
    <m/>
    <s v="78 Tooting Bec Road"/>
    <m/>
    <n v="528235"/>
    <n v="172221"/>
    <x v="3"/>
    <m/>
    <m/>
    <n v="0"/>
    <n v="1"/>
    <n v="1"/>
    <n v="1"/>
    <n v="1"/>
    <m/>
    <s v="Alterations including erection of mansard roof extension to main rear roof (with French doors and safety railings) and extension above part of two-storey back addition; formation of roof terrace above two-storey back addition with 1.7m high screen surround in connection with conversion of property into 1 x 1-bedroom flat."/>
    <s v="PF"/>
    <d v="2017-08-04T00:00:00"/>
    <d v="2017-09-26T00:00:00"/>
    <x v="1"/>
    <s v="Nil"/>
    <m/>
    <s v="BF"/>
    <x v="2"/>
    <x v="0"/>
    <x v="3"/>
    <n v="4.9999998882412902E-3"/>
    <m/>
    <x v="0"/>
    <m/>
    <x v="0"/>
    <s v="P"/>
    <m/>
    <m/>
    <n v="0"/>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674"/>
    <x v="1"/>
    <s v="2017/5308"/>
    <m/>
    <s v="96 Moyser Road"/>
    <m/>
    <n v="528839"/>
    <n v="171136"/>
    <x v="12"/>
    <m/>
    <m/>
    <n v="0"/>
    <n v="2"/>
    <n v="2"/>
    <n v="3"/>
    <n v="3"/>
    <m/>
    <s v="Alterations including the demolition of existing single storey rear commercial unit and construction of new single storey rear addition to create two x 1 bedroom single storey dwellings and the change of use of the ground floor and basement of no. 96 Moyser Road from retail (Use Class A1) to a two bedroom flat (Use Class C3). Excavation works to create a two lightwells (one to the front and one to the side of no 96 Moyser Road) and associated cycle parking and refuse facilities."/>
    <s v="PF"/>
    <d v="2017-09-25T00:00:00"/>
    <d v="2017-11-20T00:00:00"/>
    <x v="1"/>
    <s v="Nil"/>
    <m/>
    <s v="BF"/>
    <x v="4"/>
    <x v="0"/>
    <x v="0"/>
    <n v="4.9999998882412902E-3"/>
    <m/>
    <x v="0"/>
    <m/>
    <x v="0"/>
    <s v="P"/>
    <m/>
    <m/>
    <n v="0"/>
    <m/>
    <n v="0"/>
    <m/>
    <n v="0"/>
    <n v="2"/>
    <n v="0"/>
    <n v="0"/>
    <n v="0"/>
    <n v="0"/>
    <n v="0"/>
    <n v="0"/>
    <n v="2"/>
    <n v="0"/>
    <n v="0"/>
    <n v="0"/>
    <n v="0"/>
    <n v="0"/>
    <n v="0"/>
    <n v="0"/>
    <n v="0"/>
    <n v="0"/>
    <n v="0"/>
    <n v="0"/>
    <n v="0"/>
    <n v="0"/>
    <n v="0"/>
    <n v="0"/>
    <n v="0"/>
    <n v="0"/>
    <n v="0"/>
    <n v="0"/>
    <s v="East"/>
    <x v="0"/>
    <x v="0"/>
    <x v="1"/>
    <x v="0"/>
    <x v="0"/>
    <x v="0"/>
    <m/>
    <x v="0"/>
    <s v="Y"/>
    <s v="9A"/>
    <m/>
    <n v="0"/>
    <n v="0.5"/>
    <n v="0.5"/>
    <n v="0.5"/>
    <n v="0.5"/>
    <n v="0"/>
    <n v="0"/>
    <n v="0"/>
    <n v="0"/>
    <n v="0"/>
    <n v="0"/>
    <n v="0"/>
    <n v="0"/>
    <n v="0"/>
    <n v="0"/>
    <n v="0"/>
    <n v="0"/>
    <n v="0"/>
    <n v="0"/>
    <n v="0"/>
    <n v="0"/>
    <n v="2"/>
    <n v="2"/>
  </r>
  <r>
    <n v="6674"/>
    <x v="1"/>
    <s v="2017/5308"/>
    <m/>
    <s v="96 Moyser Road"/>
    <m/>
    <n v="528839"/>
    <n v="171136"/>
    <x v="12"/>
    <m/>
    <m/>
    <n v="0"/>
    <n v="1"/>
    <n v="1"/>
    <n v="3"/>
    <n v="3"/>
    <m/>
    <s v="Alterations including the demolition of existing single storey rear commercial unit and construction of new single storey rear addition to create two x 1 bedroom single storey dwellings and the change of use of the ground floor and basement of no. 96 Moyser Road from retail (Use Class A1) to a two bedroom flat (Use Class C3). Excavation works to create a two lightwells (one to the front and one to the side of no 96 Moyser Road) and associated cycle parking and refuse facilities."/>
    <s v="PF"/>
    <d v="2017-09-25T00:00:00"/>
    <d v="2017-11-20T00:00:00"/>
    <x v="1"/>
    <s v="Nil"/>
    <m/>
    <s v="BF"/>
    <x v="4"/>
    <x v="0"/>
    <x v="4"/>
    <n v="4.0000001899898104E-3"/>
    <m/>
    <x v="0"/>
    <m/>
    <x v="0"/>
    <s v="P"/>
    <m/>
    <m/>
    <n v="0"/>
    <m/>
    <n v="0"/>
    <m/>
    <n v="0"/>
    <n v="0"/>
    <n v="1"/>
    <n v="0"/>
    <n v="0"/>
    <n v="0"/>
    <n v="0"/>
    <n v="0"/>
    <n v="0"/>
    <n v="1"/>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679"/>
    <x v="1"/>
    <s v="2018/0235"/>
    <m/>
    <s v="30 Rogers Road"/>
    <m/>
    <n v="527032"/>
    <n v="171903"/>
    <x v="4"/>
    <m/>
    <m/>
    <n v="0"/>
    <n v="1"/>
    <n v="1"/>
    <n v="1"/>
    <n v="1"/>
    <m/>
    <s v="Erection of two-storey side and single storey side/rear extension in connection with creation of 1 x 2-bedroom dwelling with associated bin and cycle storage."/>
    <s v="PF"/>
    <d v="2018-01-22T00:00:00"/>
    <d v="2018-03-16T00:00:00"/>
    <x v="1"/>
    <s v="Nil"/>
    <m/>
    <s v="BF"/>
    <x v="0"/>
    <x v="0"/>
    <x v="0"/>
    <n v="3.0999999493360499E-2"/>
    <m/>
    <x v="0"/>
    <m/>
    <x v="0"/>
    <s v="P"/>
    <m/>
    <m/>
    <n v="0"/>
    <m/>
    <n v="0"/>
    <m/>
    <n v="0"/>
    <n v="0"/>
    <n v="1"/>
    <n v="0"/>
    <n v="0"/>
    <n v="0"/>
    <n v="0"/>
    <n v="0"/>
    <n v="0"/>
    <n v="0"/>
    <n v="0"/>
    <n v="0"/>
    <n v="0"/>
    <n v="0"/>
    <n v="0"/>
    <n v="0"/>
    <n v="1"/>
    <n v="0"/>
    <n v="0"/>
    <n v="0"/>
    <n v="0"/>
    <n v="0"/>
    <n v="0"/>
    <n v="0"/>
    <n v="0"/>
    <n v="0"/>
    <n v="0"/>
    <n v="0"/>
    <s v="East"/>
    <x v="0"/>
    <x v="0"/>
    <x v="1"/>
    <x v="0"/>
    <x v="0"/>
    <x v="0"/>
    <m/>
    <x v="0"/>
    <s v="Y"/>
    <n v="4"/>
    <m/>
    <n v="0"/>
    <n v="0"/>
    <n v="0.25"/>
    <n v="0.25"/>
    <n v="0.25"/>
    <n v="0.25"/>
    <n v="0"/>
    <n v="0"/>
    <n v="0"/>
    <n v="0"/>
    <n v="0"/>
    <n v="0"/>
    <n v="0"/>
    <n v="0"/>
    <n v="0"/>
    <n v="0"/>
    <n v="0"/>
    <n v="0"/>
    <n v="0"/>
    <n v="0"/>
    <n v="0"/>
    <n v="1"/>
    <n v="1"/>
  </r>
  <r>
    <n v="6681"/>
    <x v="1"/>
    <s v="2017/4420"/>
    <m/>
    <s v="Marion Court, Tooting High Street"/>
    <m/>
    <n v="527270"/>
    <n v="171198"/>
    <x v="4"/>
    <m/>
    <m/>
    <n v="0"/>
    <n v="4"/>
    <n v="4"/>
    <n v="4"/>
    <n v="4"/>
    <m/>
    <s v="Erection of addititional floor of accommodation to form 4 x 2-bedroom flats."/>
    <s v="PF"/>
    <d v="2017-08-07T00:00:00"/>
    <d v="2017-10-24T00:00:00"/>
    <x v="1"/>
    <s v="Nil"/>
    <m/>
    <s v="BF"/>
    <x v="2"/>
    <x v="0"/>
    <x v="3"/>
    <n v="1.30000002682209E-2"/>
    <m/>
    <x v="0"/>
    <m/>
    <x v="0"/>
    <s v="P"/>
    <m/>
    <m/>
    <n v="0"/>
    <m/>
    <n v="0"/>
    <m/>
    <n v="0"/>
    <n v="0"/>
    <n v="4"/>
    <n v="0"/>
    <n v="0"/>
    <n v="0"/>
    <n v="0"/>
    <n v="0"/>
    <n v="0"/>
    <n v="4"/>
    <n v="0"/>
    <n v="0"/>
    <n v="0"/>
    <n v="0"/>
    <n v="0"/>
    <n v="0"/>
    <n v="0"/>
    <n v="0"/>
    <n v="0"/>
    <n v="0"/>
    <n v="0"/>
    <n v="0"/>
    <n v="0"/>
    <n v="0"/>
    <n v="0"/>
    <n v="0"/>
    <n v="0"/>
    <n v="0"/>
    <s v="East"/>
    <x v="0"/>
    <x v="0"/>
    <x v="1"/>
    <x v="0"/>
    <x v="0"/>
    <x v="0"/>
    <m/>
    <x v="0"/>
    <s v="Y"/>
    <s v="9A"/>
    <m/>
    <n v="0"/>
    <n v="1"/>
    <n v="1"/>
    <n v="1"/>
    <n v="1"/>
    <n v="0"/>
    <n v="0"/>
    <n v="0"/>
    <n v="0"/>
    <n v="0"/>
    <n v="0"/>
    <n v="0"/>
    <n v="0"/>
    <n v="0"/>
    <n v="0"/>
    <n v="0"/>
    <n v="0"/>
    <n v="0"/>
    <n v="0"/>
    <n v="0"/>
    <n v="0"/>
    <n v="4"/>
    <n v="4"/>
  </r>
  <r>
    <n v="6688"/>
    <x v="1"/>
    <s v="2017/4809"/>
    <m/>
    <s v="60 East Hill"/>
    <m/>
    <n v="526297"/>
    <n v="174863"/>
    <x v="0"/>
    <m/>
    <m/>
    <n v="1"/>
    <n v="2"/>
    <n v="1"/>
    <n v="2"/>
    <n v="1"/>
    <m/>
    <s v="Alterations including erection of single storey rear extension and excavation to enlarge the existing basement in connection with conversion of the existing building into 1 x 1-bedroom and 1 x 3-bedroom flats."/>
    <s v="PF"/>
    <d v="2017-08-25T00:00:00"/>
    <d v="2017-10-20T00:00:00"/>
    <x v="1"/>
    <s v="Nil"/>
    <m/>
    <s v="BF"/>
    <x v="4"/>
    <x v="0"/>
    <x v="8"/>
    <n v="1.7000000923872001E-2"/>
    <m/>
    <x v="0"/>
    <m/>
    <x v="0"/>
    <s v="P"/>
    <m/>
    <m/>
    <n v="0"/>
    <m/>
    <n v="0"/>
    <m/>
    <n v="0"/>
    <n v="1"/>
    <n v="0"/>
    <n v="0"/>
    <n v="0"/>
    <n v="0"/>
    <n v="0"/>
    <n v="0"/>
    <n v="1"/>
    <n v="0"/>
    <n v="1"/>
    <n v="0"/>
    <n v="0"/>
    <n v="0"/>
    <n v="0"/>
    <n v="0"/>
    <n v="0"/>
    <n v="-1"/>
    <n v="0"/>
    <n v="0"/>
    <n v="0"/>
    <n v="0"/>
    <n v="0"/>
    <n v="0"/>
    <n v="0"/>
    <n v="0"/>
    <n v="0"/>
    <n v="0"/>
    <s v="West"/>
    <x v="0"/>
    <x v="0"/>
    <x v="1"/>
    <x v="0"/>
    <x v="0"/>
    <x v="0"/>
    <m/>
    <x v="0"/>
    <s v="Y"/>
    <s v="9A"/>
    <m/>
    <n v="0"/>
    <n v="0.25"/>
    <n v="0.25"/>
    <n v="0.25"/>
    <n v="0.25"/>
    <n v="0"/>
    <n v="0"/>
    <n v="0"/>
    <n v="0"/>
    <n v="0"/>
    <n v="0"/>
    <n v="0"/>
    <n v="0"/>
    <n v="0"/>
    <n v="0"/>
    <n v="0"/>
    <n v="0"/>
    <n v="0"/>
    <n v="0"/>
    <n v="0"/>
    <n v="0"/>
    <n v="1"/>
    <n v="1"/>
  </r>
  <r>
    <n v="6695"/>
    <x v="1"/>
    <s v="2017/4506"/>
    <m/>
    <s v="St Andrews Court, 1 - 6 St Andrews Court"/>
    <m/>
    <n v="526188"/>
    <n v="172838"/>
    <x v="18"/>
    <m/>
    <m/>
    <n v="0"/>
    <n v="3"/>
    <n v="3"/>
    <n v="3"/>
    <n v="3"/>
    <m/>
    <s v="Erection of three storey building to provide 3 x 1-bedroom flats with balconies to all levels fronting Waynflete Street."/>
    <s v="PF"/>
    <d v="2017-09-06T00:00:00"/>
    <d v="2017-12-14T00:00:00"/>
    <x v="1"/>
    <s v="Nil"/>
    <m/>
    <s v="Gdn"/>
    <x v="0"/>
    <x v="0"/>
    <x v="0"/>
    <n v="2.8000000864267301E-2"/>
    <m/>
    <x v="0"/>
    <m/>
    <x v="0"/>
    <s v="P"/>
    <m/>
    <m/>
    <n v="0"/>
    <m/>
    <n v="0"/>
    <m/>
    <n v="0"/>
    <n v="3"/>
    <n v="0"/>
    <n v="0"/>
    <n v="0"/>
    <n v="0"/>
    <n v="0"/>
    <n v="0"/>
    <n v="3"/>
    <n v="0"/>
    <n v="0"/>
    <n v="0"/>
    <n v="0"/>
    <n v="0"/>
    <n v="0"/>
    <n v="0"/>
    <n v="0"/>
    <n v="0"/>
    <n v="0"/>
    <n v="0"/>
    <n v="0"/>
    <n v="0"/>
    <n v="0"/>
    <n v="0"/>
    <n v="0"/>
    <n v="0"/>
    <n v="0"/>
    <n v="0"/>
    <s v="West"/>
    <x v="0"/>
    <x v="0"/>
    <x v="1"/>
    <x v="0"/>
    <x v="0"/>
    <x v="0"/>
    <m/>
    <x v="0"/>
    <s v="Y"/>
    <n v="4"/>
    <m/>
    <n v="0"/>
    <n v="0"/>
    <n v="0.75"/>
    <n v="0.75"/>
    <n v="0.75"/>
    <n v="0.75"/>
    <n v="0"/>
    <n v="0"/>
    <n v="0"/>
    <n v="0"/>
    <n v="0"/>
    <n v="0"/>
    <n v="0"/>
    <n v="0"/>
    <n v="0"/>
    <n v="0"/>
    <n v="0"/>
    <n v="0"/>
    <n v="0"/>
    <n v="0"/>
    <n v="0"/>
    <n v="3"/>
    <n v="3"/>
  </r>
  <r>
    <n v="6707"/>
    <x v="1"/>
    <s v="2017/5299"/>
    <m/>
    <s v="158-160, 158-160 Balham High Road"/>
    <m/>
    <n v="528529"/>
    <n v="173387"/>
    <x v="9"/>
    <m/>
    <m/>
    <n v="0"/>
    <n v="7"/>
    <n v="7"/>
    <n v="7"/>
    <n v="7"/>
    <m/>
    <s v="Determination as to whether prior approval is required for change of use from business (Class B1)  to 7 x studio flats (Class C3)."/>
    <s v="PAG"/>
    <d v="2017-09-25T00:00:00"/>
    <d v="2017-11-20T00:00:00"/>
    <x v="1"/>
    <s v="Nil"/>
    <m/>
    <s v="BF"/>
    <x v="3"/>
    <x v="0"/>
    <x v="9"/>
    <n v="2.70000007003546E-2"/>
    <m/>
    <x v="0"/>
    <m/>
    <x v="0"/>
    <s v="P"/>
    <m/>
    <m/>
    <n v="0"/>
    <m/>
    <n v="0"/>
    <m/>
    <n v="7"/>
    <n v="0"/>
    <n v="0"/>
    <n v="0"/>
    <n v="0"/>
    <n v="0"/>
    <n v="0"/>
    <n v="7"/>
    <n v="0"/>
    <n v="0"/>
    <n v="0"/>
    <n v="0"/>
    <n v="0"/>
    <n v="0"/>
    <n v="0"/>
    <n v="0"/>
    <n v="0"/>
    <n v="0"/>
    <n v="0"/>
    <n v="0"/>
    <n v="0"/>
    <n v="0"/>
    <n v="0"/>
    <n v="0"/>
    <n v="0"/>
    <n v="0"/>
    <n v="0"/>
    <n v="0"/>
    <s v="East"/>
    <x v="2"/>
    <x v="0"/>
    <x v="1"/>
    <x v="0"/>
    <x v="0"/>
    <x v="0"/>
    <m/>
    <x v="0"/>
    <s v="Y"/>
    <s v="9C"/>
    <m/>
    <n v="0"/>
    <n v="1.75"/>
    <n v="1.75"/>
    <n v="1.75"/>
    <n v="1.75"/>
    <n v="0"/>
    <n v="0"/>
    <n v="0"/>
    <n v="0"/>
    <n v="0"/>
    <n v="0"/>
    <n v="0"/>
    <n v="0"/>
    <n v="0"/>
    <n v="0"/>
    <n v="0"/>
    <n v="0"/>
    <n v="0"/>
    <n v="0"/>
    <n v="0"/>
    <n v="0"/>
    <n v="7"/>
    <n v="7"/>
  </r>
  <r>
    <n v="6716"/>
    <x v="1"/>
    <s v="2017/5349"/>
    <m/>
    <s v="27-29, 27-29 Hardwicks Square"/>
    <m/>
    <n v="525381"/>
    <n v="174614"/>
    <x v="5"/>
    <m/>
    <m/>
    <n v="0"/>
    <n v="8"/>
    <n v="8"/>
    <n v="8"/>
    <n v="8"/>
    <m/>
    <s v="Determination as to whether prior approval is required for change of use of offices at part ground and first floor levels from (Class B1a) to residential (Class C3) to provide one studio, 5 x 1 and 2 x 2 bedroom units."/>
    <s v="PANR"/>
    <d v="2017-10-10T00:00:00"/>
    <d v="2017-11-28T00:00:00"/>
    <x v="1"/>
    <s v="Nil"/>
    <m/>
    <s v="BF"/>
    <x v="3"/>
    <x v="0"/>
    <x v="9"/>
    <n v="1.7999999225139601E-2"/>
    <m/>
    <x v="0"/>
    <m/>
    <x v="0"/>
    <s v="P"/>
    <m/>
    <m/>
    <n v="0"/>
    <m/>
    <n v="0"/>
    <m/>
    <n v="1"/>
    <n v="5"/>
    <n v="2"/>
    <n v="0"/>
    <n v="0"/>
    <n v="0"/>
    <n v="0"/>
    <n v="1"/>
    <n v="5"/>
    <n v="2"/>
    <n v="0"/>
    <n v="0"/>
    <n v="0"/>
    <n v="0"/>
    <n v="0"/>
    <n v="0"/>
    <n v="0"/>
    <n v="0"/>
    <n v="0"/>
    <n v="0"/>
    <n v="0"/>
    <n v="0"/>
    <n v="0"/>
    <n v="0"/>
    <n v="0"/>
    <n v="0"/>
    <n v="0"/>
    <n v="0"/>
    <s v="West"/>
    <x v="4"/>
    <x v="0"/>
    <x v="0"/>
    <x v="0"/>
    <x v="0"/>
    <x v="0"/>
    <m/>
    <x v="0"/>
    <s v="Y"/>
    <s v="9C"/>
    <m/>
    <n v="0"/>
    <n v="2"/>
    <n v="2"/>
    <n v="2"/>
    <n v="2"/>
    <n v="0"/>
    <n v="0"/>
    <n v="0"/>
    <n v="0"/>
    <n v="0"/>
    <n v="0"/>
    <n v="0"/>
    <n v="0"/>
    <n v="0"/>
    <n v="0"/>
    <n v="0"/>
    <n v="0"/>
    <n v="0"/>
    <n v="0"/>
    <n v="0"/>
    <n v="0"/>
    <n v="8"/>
    <n v="8"/>
  </r>
  <r>
    <n v="6729"/>
    <x v="1"/>
    <s v="2017/5575"/>
    <m/>
    <s v="28a, 28a Northcote Road"/>
    <m/>
    <n v="527455"/>
    <n v="175008"/>
    <x v="14"/>
    <m/>
    <m/>
    <n v="1"/>
    <n v="2"/>
    <n v="1"/>
    <n v="2"/>
    <n v="1"/>
    <m/>
    <s v="Alterations including erection of dormer roof extension (with french doors and safety screen), enlargement of first floor extension, erection of rear extension at second floor level with roof terrace and 1.7m screen surround in connection with conversion of existing flat into 1 x 1-bedroom and 1 x 2-bedroom flats with associated refuse and cycle storage."/>
    <s v="PF"/>
    <d v="2017-10-20T00:00:00"/>
    <d v="2017-12-15T00:00:00"/>
    <x v="1"/>
    <s v="Nil"/>
    <m/>
    <s v="BF"/>
    <x v="4"/>
    <x v="0"/>
    <x v="10"/>
    <n v="7.0000002160668399E-3"/>
    <m/>
    <x v="0"/>
    <m/>
    <x v="0"/>
    <s v="P"/>
    <m/>
    <m/>
    <n v="0"/>
    <m/>
    <n v="0"/>
    <m/>
    <n v="0"/>
    <n v="1"/>
    <n v="1"/>
    <n v="-1"/>
    <n v="0"/>
    <n v="0"/>
    <n v="0"/>
    <n v="0"/>
    <n v="1"/>
    <n v="1"/>
    <n v="-1"/>
    <n v="0"/>
    <n v="0"/>
    <n v="0"/>
    <n v="0"/>
    <n v="0"/>
    <n v="0"/>
    <n v="0"/>
    <n v="0"/>
    <n v="0"/>
    <n v="0"/>
    <n v="0"/>
    <n v="0"/>
    <n v="0"/>
    <n v="0"/>
    <n v="0"/>
    <n v="0"/>
    <n v="0"/>
    <s v="East"/>
    <x v="5"/>
    <x v="0"/>
    <x v="1"/>
    <x v="0"/>
    <x v="0"/>
    <x v="0"/>
    <m/>
    <x v="0"/>
    <s v="Y"/>
    <s v="9A"/>
    <m/>
    <n v="0"/>
    <n v="0.25"/>
    <n v="0.25"/>
    <n v="0.25"/>
    <n v="0.25"/>
    <n v="0"/>
    <n v="0"/>
    <n v="0"/>
    <n v="0"/>
    <n v="0"/>
    <n v="0"/>
    <n v="0"/>
    <n v="0"/>
    <n v="0"/>
    <n v="0"/>
    <n v="0"/>
    <n v="0"/>
    <n v="0"/>
    <n v="0"/>
    <n v="0"/>
    <n v="0"/>
    <n v="1"/>
    <n v="1"/>
  </r>
  <r>
    <n v="6730"/>
    <x v="1"/>
    <s v="2017/5682"/>
    <m/>
    <s v="116-118, 116-118 Upper Richmond Road"/>
    <m/>
    <n v="524317"/>
    <n v="174958"/>
    <x v="13"/>
    <m/>
    <m/>
    <n v="0"/>
    <n v="2"/>
    <n v="2"/>
    <n v="4"/>
    <n v="2"/>
    <m/>
    <s v="Demolition of rear workshop to accommodate the erection of a three-storey rear extension with rear external terraces; internal layout changes to form 1 x 1-bedroom, 2 x 2-bedroom and 1 x 3-bedroom flats; creation a roof terrace above rear of 116; insertion of roof light in rear roof slope; alterations to the shop fronts to accommodate residential access; erection of bike and bin stores to the rear; conversion of the two ground floor units into one."/>
    <s v="PF"/>
    <d v="2017-10-19T00:00:00"/>
    <d v="2018-03-29T00:00:00"/>
    <x v="1"/>
    <s v="Nil"/>
    <m/>
    <s v="BF"/>
    <x v="4"/>
    <x v="0"/>
    <x v="10"/>
    <n v="9.9999997764825804E-3"/>
    <m/>
    <x v="0"/>
    <m/>
    <x v="0"/>
    <s v="P"/>
    <m/>
    <m/>
    <n v="0"/>
    <m/>
    <n v="0"/>
    <m/>
    <n v="0"/>
    <n v="0"/>
    <n v="2"/>
    <n v="0"/>
    <n v="0"/>
    <n v="0"/>
    <n v="0"/>
    <n v="0"/>
    <n v="0"/>
    <n v="2"/>
    <n v="0"/>
    <n v="0"/>
    <n v="0"/>
    <n v="0"/>
    <n v="0"/>
    <n v="0"/>
    <n v="0"/>
    <n v="0"/>
    <n v="0"/>
    <n v="0"/>
    <n v="0"/>
    <n v="0"/>
    <n v="0"/>
    <n v="0"/>
    <n v="0"/>
    <n v="0"/>
    <n v="0"/>
    <n v="0"/>
    <s v="West"/>
    <x v="3"/>
    <x v="0"/>
    <x v="1"/>
    <x v="0"/>
    <x v="1"/>
    <x v="0"/>
    <m/>
    <x v="0"/>
    <s v="Y"/>
    <s v="9A"/>
    <m/>
    <n v="0"/>
    <n v="0.5"/>
    <n v="0.5"/>
    <n v="0.5"/>
    <n v="0.5"/>
    <n v="0"/>
    <n v="0"/>
    <n v="0"/>
    <n v="0"/>
    <n v="0"/>
    <n v="0"/>
    <n v="0"/>
    <n v="0"/>
    <n v="0"/>
    <n v="0"/>
    <n v="0"/>
    <n v="0"/>
    <n v="0"/>
    <n v="0"/>
    <n v="0"/>
    <n v="0"/>
    <n v="2"/>
    <n v="2"/>
  </r>
  <r>
    <n v="6730"/>
    <x v="1"/>
    <s v="2017/5682"/>
    <m/>
    <s v="116-118, 116-118 Upper Richmond Road"/>
    <m/>
    <n v="524317"/>
    <n v="174958"/>
    <x v="13"/>
    <m/>
    <m/>
    <n v="2"/>
    <n v="2"/>
    <n v="0"/>
    <n v="4"/>
    <n v="2"/>
    <m/>
    <s v="Demolition of rear workshop to accommodate the erection of a three-storey rear extension with rear external terraces; internal layout changes to form 1 x 1-bedroom, 2 x 2-bedroom and 1 x 3-bedroom flats; creation a roof terrace above rear of 116; insertion of roof light in rear roof slope; alterations to the shop fronts to accommodate residential access; erection of bike and bin stores to the rear; conversion of the two ground floor units into one."/>
    <s v="PF"/>
    <d v="2017-10-19T00:00:00"/>
    <d v="2018-03-29T00:00:00"/>
    <x v="1"/>
    <s v="Nil"/>
    <m/>
    <s v="BF"/>
    <x v="4"/>
    <x v="0"/>
    <x v="0"/>
    <n v="8.9999996125698107E-3"/>
    <m/>
    <x v="0"/>
    <m/>
    <x v="0"/>
    <s v="P"/>
    <m/>
    <m/>
    <n v="0"/>
    <m/>
    <n v="0"/>
    <m/>
    <n v="0"/>
    <n v="1"/>
    <n v="-2"/>
    <n v="1"/>
    <n v="0"/>
    <n v="0"/>
    <n v="0"/>
    <n v="0"/>
    <n v="1"/>
    <n v="-2"/>
    <n v="1"/>
    <n v="0"/>
    <n v="0"/>
    <n v="0"/>
    <n v="0"/>
    <n v="0"/>
    <n v="0"/>
    <n v="0"/>
    <n v="0"/>
    <n v="0"/>
    <n v="0"/>
    <n v="0"/>
    <n v="0"/>
    <n v="0"/>
    <n v="0"/>
    <n v="0"/>
    <n v="0"/>
    <n v="0"/>
    <s v="West"/>
    <x v="3"/>
    <x v="0"/>
    <x v="1"/>
    <x v="0"/>
    <x v="1"/>
    <x v="0"/>
    <m/>
    <x v="0"/>
    <s v="Y"/>
    <s v="9A"/>
    <m/>
    <n v="0"/>
    <n v="0"/>
    <n v="0"/>
    <n v="0"/>
    <n v="0"/>
    <n v="0"/>
    <n v="0"/>
    <n v="0"/>
    <n v="0"/>
    <n v="0"/>
    <n v="0"/>
    <n v="0"/>
    <n v="0"/>
    <n v="0"/>
    <n v="0"/>
    <n v="0"/>
    <n v="0"/>
    <n v="0"/>
    <n v="0"/>
    <n v="0"/>
    <n v="0"/>
    <n v="0"/>
    <n v="0"/>
  </r>
  <r>
    <n v="6731"/>
    <x v="1"/>
    <s v="2017/5935"/>
    <m/>
    <s v="204a, 204a Upper Richmond Road"/>
    <m/>
    <n v="523924"/>
    <n v="175082"/>
    <x v="13"/>
    <m/>
    <m/>
    <n v="1"/>
    <n v="2"/>
    <n v="1"/>
    <n v="2"/>
    <n v="1"/>
    <m/>
    <s v="Alterations in connection with conversion of upper floors into 1 x 2-bedroom and 1 x 1-bedroom flats."/>
    <s v="PF"/>
    <d v="2017-10-26T00:00:00"/>
    <d v="2017-12-19T00:00:00"/>
    <x v="1"/>
    <s v="Nil"/>
    <m/>
    <s v="BF"/>
    <x v="1"/>
    <x v="0"/>
    <x v="10"/>
    <n v="6.0000000521540598E-3"/>
    <m/>
    <x v="0"/>
    <m/>
    <x v="0"/>
    <s v="P"/>
    <m/>
    <m/>
    <n v="0"/>
    <m/>
    <n v="0"/>
    <m/>
    <n v="0"/>
    <n v="1"/>
    <n v="1"/>
    <n v="-1"/>
    <n v="0"/>
    <n v="0"/>
    <n v="0"/>
    <n v="0"/>
    <n v="1"/>
    <n v="1"/>
    <n v="-1"/>
    <n v="0"/>
    <n v="0"/>
    <n v="0"/>
    <n v="0"/>
    <n v="0"/>
    <n v="0"/>
    <n v="0"/>
    <n v="0"/>
    <n v="0"/>
    <n v="0"/>
    <n v="0"/>
    <n v="0"/>
    <n v="0"/>
    <n v="0"/>
    <n v="0"/>
    <n v="0"/>
    <n v="0"/>
    <s v="West"/>
    <x v="3"/>
    <x v="0"/>
    <x v="1"/>
    <x v="0"/>
    <x v="0"/>
    <x v="0"/>
    <m/>
    <x v="0"/>
    <s v="Y"/>
    <s v="9A"/>
    <m/>
    <n v="0"/>
    <n v="0.25"/>
    <n v="0.25"/>
    <n v="0.25"/>
    <n v="0.25"/>
    <n v="0"/>
    <n v="0"/>
    <n v="0"/>
    <n v="0"/>
    <n v="0"/>
    <n v="0"/>
    <n v="0"/>
    <n v="0"/>
    <n v="0"/>
    <n v="0"/>
    <n v="0"/>
    <n v="0"/>
    <n v="0"/>
    <n v="0"/>
    <n v="0"/>
    <n v="0"/>
    <n v="1"/>
    <n v="1"/>
  </r>
  <r>
    <n v="6732"/>
    <x v="1"/>
    <s v="2017/3402"/>
    <m/>
    <s v="Flats 1 -4, 17 Briar Walk"/>
    <m/>
    <n v="522795"/>
    <n v="175193"/>
    <x v="7"/>
    <m/>
    <m/>
    <n v="2"/>
    <n v="3"/>
    <n v="1"/>
    <n v="5"/>
    <n v="1"/>
    <m/>
    <s v="Alterations including erection of part single, part two-storey rear extension; excavation to enlarge basement including formation of front and rear lightwells in connection with conversion of property into 5 x 2-bedroom and 1 x 3-bedroom flats."/>
    <s v="PF"/>
    <d v="2017-10-11T00:00:00"/>
    <d v="2017-11-24T00:00:00"/>
    <x v="1"/>
    <s v="Nil"/>
    <m/>
    <s v="BF"/>
    <x v="4"/>
    <x v="0"/>
    <x v="0"/>
    <n v="4.6999998390674598E-2"/>
    <m/>
    <x v="0"/>
    <m/>
    <x v="0"/>
    <s v="P"/>
    <m/>
    <m/>
    <n v="0"/>
    <m/>
    <n v="0"/>
    <m/>
    <n v="0"/>
    <n v="0"/>
    <n v="1"/>
    <n v="0"/>
    <n v="0"/>
    <n v="0"/>
    <n v="0"/>
    <n v="0"/>
    <n v="0"/>
    <n v="1"/>
    <n v="0"/>
    <n v="0"/>
    <n v="0"/>
    <n v="0"/>
    <n v="0"/>
    <n v="0"/>
    <n v="0"/>
    <n v="0"/>
    <n v="0"/>
    <n v="0"/>
    <n v="0"/>
    <n v="0"/>
    <n v="0"/>
    <n v="0"/>
    <n v="0"/>
    <n v="0"/>
    <n v="0"/>
    <n v="0"/>
    <s v="West"/>
    <x v="0"/>
    <x v="0"/>
    <x v="1"/>
    <x v="0"/>
    <x v="0"/>
    <x v="0"/>
    <m/>
    <x v="0"/>
    <s v="Y"/>
    <s v="9A"/>
    <m/>
    <n v="0"/>
    <n v="0.25"/>
    <n v="0.25"/>
    <n v="0.25"/>
    <n v="0.25"/>
    <n v="0"/>
    <n v="0"/>
    <n v="0"/>
    <n v="0"/>
    <n v="0"/>
    <n v="0"/>
    <n v="0"/>
    <n v="0"/>
    <n v="0"/>
    <n v="0"/>
    <n v="0"/>
    <n v="0"/>
    <n v="0"/>
    <n v="0"/>
    <n v="0"/>
    <n v="0"/>
    <n v="1"/>
    <n v="1"/>
  </r>
  <r>
    <n v="6732"/>
    <x v="1"/>
    <s v="2017/3402"/>
    <m/>
    <s v="Flats 1 -4, 17 Briar Walk"/>
    <m/>
    <n v="522795"/>
    <n v="175193"/>
    <x v="7"/>
    <m/>
    <m/>
    <n v="2"/>
    <n v="2"/>
    <n v="0"/>
    <n v="5"/>
    <n v="1"/>
    <m/>
    <s v="Alterations including erection of part single, part two-storey rear extension; excavation to enlarge basement including formation of front and rear lightwells in connection with conversion of property into 5 x 2-bedroom and 1 x 3-bedroom flats."/>
    <s v="PF"/>
    <d v="2017-10-11T00:00:00"/>
    <d v="2017-11-24T00:00:00"/>
    <x v="1"/>
    <s v="Nil"/>
    <m/>
    <s v="BF"/>
    <x v="4"/>
    <x v="0"/>
    <x v="10"/>
    <n v="3.0999999493360499E-2"/>
    <m/>
    <x v="0"/>
    <m/>
    <x v="0"/>
    <s v="P"/>
    <m/>
    <m/>
    <n v="0"/>
    <m/>
    <n v="0"/>
    <m/>
    <n v="0"/>
    <n v="-2"/>
    <n v="2"/>
    <n v="0"/>
    <n v="0"/>
    <n v="0"/>
    <n v="0"/>
    <n v="0"/>
    <n v="-2"/>
    <n v="2"/>
    <n v="0"/>
    <n v="0"/>
    <n v="0"/>
    <n v="0"/>
    <n v="0"/>
    <n v="0"/>
    <n v="0"/>
    <n v="0"/>
    <n v="0"/>
    <n v="0"/>
    <n v="0"/>
    <n v="0"/>
    <n v="0"/>
    <n v="0"/>
    <n v="0"/>
    <n v="0"/>
    <n v="0"/>
    <n v="0"/>
    <s v="West"/>
    <x v="0"/>
    <x v="0"/>
    <x v="1"/>
    <x v="0"/>
    <x v="0"/>
    <x v="0"/>
    <m/>
    <x v="0"/>
    <s v="Y"/>
    <s v="9A"/>
    <m/>
    <n v="0"/>
    <n v="0"/>
    <n v="0"/>
    <n v="0"/>
    <n v="0"/>
    <n v="0"/>
    <n v="0"/>
    <n v="0"/>
    <n v="0"/>
    <n v="0"/>
    <n v="0"/>
    <n v="0"/>
    <n v="0"/>
    <n v="0"/>
    <n v="0"/>
    <n v="0"/>
    <n v="0"/>
    <n v="0"/>
    <n v="0"/>
    <n v="0"/>
    <n v="0"/>
    <n v="0"/>
    <n v="0"/>
  </r>
  <r>
    <n v="6734"/>
    <x v="1"/>
    <s v="2017/4624"/>
    <m/>
    <s v="69 Vant Road"/>
    <m/>
    <n v="527954"/>
    <n v="171255"/>
    <x v="8"/>
    <m/>
    <m/>
    <n v="0"/>
    <n v="1"/>
    <n v="1"/>
    <n v="1"/>
    <n v="1"/>
    <m/>
    <s v="Change of use of ground floor from Class B1(a) (office) to Class C3 (residential) and alterations including erection of two-storey front bay extension, relocation of front door, gable extension to main roof and back addition and mansard roof extension to main rear roof to create a single dwellinghouse."/>
    <s v="PF"/>
    <d v="2017-10-03T00:00:00"/>
    <d v="2018-02-22T00:00:00"/>
    <x v="1"/>
    <s v="Nil"/>
    <m/>
    <s v="BF"/>
    <x v="4"/>
    <x v="0"/>
    <x v="7"/>
    <n v="2.4000000208616298E-2"/>
    <m/>
    <x v="0"/>
    <m/>
    <x v="0"/>
    <s v="P"/>
    <m/>
    <m/>
    <n v="0"/>
    <m/>
    <n v="0"/>
    <m/>
    <n v="0"/>
    <n v="0"/>
    <n v="0"/>
    <n v="0"/>
    <n v="1"/>
    <n v="0"/>
    <n v="0"/>
    <n v="0"/>
    <n v="0"/>
    <n v="0"/>
    <n v="0"/>
    <n v="0"/>
    <n v="0"/>
    <n v="0"/>
    <n v="0"/>
    <n v="0"/>
    <n v="0"/>
    <n v="0"/>
    <n v="1"/>
    <n v="0"/>
    <n v="0"/>
    <n v="0"/>
    <n v="0"/>
    <n v="0"/>
    <n v="0"/>
    <n v="0"/>
    <n v="0"/>
    <n v="0"/>
    <s v="East"/>
    <x v="0"/>
    <x v="0"/>
    <x v="1"/>
    <x v="0"/>
    <x v="0"/>
    <x v="0"/>
    <m/>
    <x v="0"/>
    <s v="Y"/>
    <s v="9A"/>
    <m/>
    <n v="0"/>
    <n v="0.25"/>
    <n v="0.25"/>
    <n v="0.25"/>
    <n v="0.25"/>
    <n v="0"/>
    <n v="0"/>
    <n v="0"/>
    <n v="0"/>
    <n v="0"/>
    <n v="0"/>
    <n v="0"/>
    <n v="0"/>
    <n v="0"/>
    <n v="0"/>
    <n v="0"/>
    <n v="0"/>
    <n v="0"/>
    <n v="0"/>
    <n v="0"/>
    <n v="0"/>
    <n v="1"/>
    <n v="1"/>
  </r>
  <r>
    <n v="6739"/>
    <x v="1"/>
    <s v="2017/6160"/>
    <m/>
    <s v="Irene House, 218 Balham High road"/>
    <m/>
    <n v="528376"/>
    <n v="173160"/>
    <x v="11"/>
    <m/>
    <m/>
    <n v="0"/>
    <n v="71"/>
    <n v="71"/>
    <n v="71"/>
    <n v="71"/>
    <s v="Y"/>
    <s v="Determination as to whether prior approval is required for change of use from offices (Class B1) to 71 residential units (33 x studio flats, 19 x 1-bedroom flats, 18 x 2-bedroom flats and 1 x 3-bedroom flat) (Class C3)."/>
    <s v="PAG"/>
    <d v="2017-11-08T00:00:00"/>
    <d v="2017-12-20T00:00:00"/>
    <x v="1"/>
    <s v="Nil"/>
    <m/>
    <s v="BF"/>
    <x v="3"/>
    <x v="5"/>
    <x v="1"/>
    <n v="0.25600001215934798"/>
    <m/>
    <x v="0"/>
    <m/>
    <x v="0"/>
    <s v="P"/>
    <m/>
    <m/>
    <n v="0"/>
    <m/>
    <n v="0"/>
    <m/>
    <n v="33"/>
    <n v="19"/>
    <n v="18"/>
    <n v="1"/>
    <n v="0"/>
    <n v="0"/>
    <n v="0"/>
    <n v="33"/>
    <n v="19"/>
    <n v="18"/>
    <n v="1"/>
    <n v="0"/>
    <n v="0"/>
    <n v="0"/>
    <n v="0"/>
    <n v="0"/>
    <n v="0"/>
    <n v="0"/>
    <n v="0"/>
    <n v="0"/>
    <n v="0"/>
    <n v="0"/>
    <n v="0"/>
    <n v="0"/>
    <n v="0"/>
    <n v="0"/>
    <n v="0"/>
    <n v="0"/>
    <s v="East"/>
    <x v="0"/>
    <x v="0"/>
    <x v="1"/>
    <x v="0"/>
    <x v="0"/>
    <x v="0"/>
    <m/>
    <x v="0"/>
    <s v="Y"/>
    <s v="9C"/>
    <m/>
    <n v="0"/>
    <n v="17.75"/>
    <n v="17.75"/>
    <n v="17.75"/>
    <n v="17.75"/>
    <n v="0"/>
    <n v="0"/>
    <n v="0"/>
    <n v="0"/>
    <n v="0"/>
    <n v="0"/>
    <n v="0"/>
    <n v="0"/>
    <n v="0"/>
    <n v="0"/>
    <n v="0"/>
    <n v="0"/>
    <n v="0"/>
    <n v="0"/>
    <n v="0"/>
    <n v="0"/>
    <n v="71"/>
    <n v="71"/>
  </r>
  <r>
    <n v="6745"/>
    <x v="1"/>
    <s v="2017/6287"/>
    <m/>
    <s v="26 Ouseley Road"/>
    <m/>
    <n v="527847"/>
    <n v="173159"/>
    <x v="11"/>
    <m/>
    <m/>
    <n v="3"/>
    <n v="1"/>
    <n v="-2"/>
    <n v="1"/>
    <n v="-2"/>
    <m/>
    <s v="Change of use of property from three flats into single residential dwelling"/>
    <s v="PF"/>
    <d v="2017-11-17T00:00:00"/>
    <d v="2018-01-12T00:00:00"/>
    <x v="1"/>
    <s v="Nil"/>
    <m/>
    <s v="BF"/>
    <x v="1"/>
    <x v="0"/>
    <x v="7"/>
    <n v="2.8999999165535001E-2"/>
    <m/>
    <x v="0"/>
    <m/>
    <x v="0"/>
    <s v="P"/>
    <m/>
    <m/>
    <n v="0"/>
    <m/>
    <n v="0"/>
    <m/>
    <n v="-1"/>
    <n v="0"/>
    <n v="-2"/>
    <n v="0"/>
    <n v="1"/>
    <n v="0"/>
    <n v="0"/>
    <n v="-1"/>
    <n v="0"/>
    <n v="-2"/>
    <n v="0"/>
    <n v="0"/>
    <n v="0"/>
    <n v="0"/>
    <n v="0"/>
    <n v="0"/>
    <n v="0"/>
    <n v="0"/>
    <n v="1"/>
    <n v="0"/>
    <n v="0"/>
    <n v="0"/>
    <n v="0"/>
    <n v="0"/>
    <n v="0"/>
    <n v="0"/>
    <n v="0"/>
    <n v="0"/>
    <s v="East"/>
    <x v="0"/>
    <x v="0"/>
    <x v="1"/>
    <x v="0"/>
    <x v="0"/>
    <x v="0"/>
    <m/>
    <x v="0"/>
    <s v="Y"/>
    <s v="9A"/>
    <m/>
    <n v="0"/>
    <n v="-0.5"/>
    <n v="-0.5"/>
    <n v="-0.5"/>
    <n v="-0.5"/>
    <n v="0"/>
    <n v="0"/>
    <n v="0"/>
    <n v="0"/>
    <n v="0"/>
    <n v="0"/>
    <n v="0"/>
    <n v="0"/>
    <n v="0"/>
    <n v="0"/>
    <n v="0"/>
    <n v="0"/>
    <n v="0"/>
    <n v="0"/>
    <n v="0"/>
    <n v="0"/>
    <n v="-2"/>
    <n v="-2"/>
  </r>
  <r>
    <n v="6748"/>
    <x v="1"/>
    <s v="2017/6286"/>
    <m/>
    <s v="121-135 Putney High Street"/>
    <s v="convert"/>
    <n v="524016"/>
    <n v="175204"/>
    <x v="13"/>
    <m/>
    <m/>
    <n v="5"/>
    <n v="5"/>
    <n v="0"/>
    <n v="9"/>
    <n v="4"/>
    <m/>
    <s v="Alterations including erection of front and rear mansard roof extensions to provide additional floor of accommodation; first floor level rear extensions with roof terraces above and rear access walkway in connection with reconfiguration of six flats to create 5 x 1-bed, 6 x 2-bed and 5 x 3-bed flats; refuse and cycle stores at rear."/>
    <s v="PF"/>
    <d v="2017-11-17T00:00:00"/>
    <d v="2018-01-12T00:00:00"/>
    <x v="1"/>
    <s v="Nil"/>
    <m/>
    <s v="BF"/>
    <x v="4"/>
    <x v="0"/>
    <x v="10"/>
    <n v="4.3000001460313797E-2"/>
    <m/>
    <x v="0"/>
    <m/>
    <x v="0"/>
    <s v="P"/>
    <m/>
    <m/>
    <n v="0"/>
    <m/>
    <n v="0"/>
    <m/>
    <n v="0"/>
    <n v="-4"/>
    <n v="3"/>
    <n v="1"/>
    <n v="0"/>
    <n v="0"/>
    <n v="0"/>
    <n v="0"/>
    <n v="-4"/>
    <n v="3"/>
    <n v="1"/>
    <n v="0"/>
    <n v="0"/>
    <n v="0"/>
    <n v="0"/>
    <n v="0"/>
    <n v="0"/>
    <n v="0"/>
    <n v="0"/>
    <n v="0"/>
    <n v="0"/>
    <n v="0"/>
    <n v="0"/>
    <n v="0"/>
    <n v="0"/>
    <n v="0"/>
    <n v="0"/>
    <n v="0"/>
    <s v="West"/>
    <x v="3"/>
    <x v="0"/>
    <x v="1"/>
    <x v="0"/>
    <x v="0"/>
    <x v="0"/>
    <m/>
    <x v="0"/>
    <s v="Y"/>
    <s v="9B"/>
    <m/>
    <n v="0"/>
    <n v="0"/>
    <n v="0"/>
    <n v="0"/>
    <n v="0"/>
    <n v="0"/>
    <n v="0"/>
    <n v="0"/>
    <n v="0"/>
    <n v="0"/>
    <n v="0"/>
    <n v="0"/>
    <n v="0"/>
    <n v="0"/>
    <n v="0"/>
    <n v="0"/>
    <n v="0"/>
    <n v="0"/>
    <n v="0"/>
    <n v="0"/>
    <n v="0"/>
    <n v="0"/>
    <n v="0"/>
  </r>
  <r>
    <n v="6748"/>
    <x v="1"/>
    <s v="2017/6286"/>
    <m/>
    <s v="121-135 Putney High Street"/>
    <s v="EXTN TO EX"/>
    <n v="524016"/>
    <n v="175204"/>
    <x v="13"/>
    <m/>
    <m/>
    <n v="0"/>
    <n v="4"/>
    <n v="4"/>
    <n v="9"/>
    <n v="4"/>
    <m/>
    <s v="Alterations including erection of front and rear mansard roof extensions to provide additional floor of accommodation; first floor level rear extensions with roof terraces above and rear access walkway in connection with reconfiguration of six flats to create 5 x 1-bed, 6 x 2-bed and 5 x 3-bed flats; refuse and cycle stores at rear."/>
    <s v="PF"/>
    <d v="2017-11-17T00:00:00"/>
    <d v="2018-01-12T00:00:00"/>
    <x v="1"/>
    <s v="Nil"/>
    <m/>
    <s v="BF"/>
    <x v="4"/>
    <x v="0"/>
    <x v="10"/>
    <n v="3.4000001847744002E-2"/>
    <m/>
    <x v="0"/>
    <m/>
    <x v="0"/>
    <s v="P"/>
    <m/>
    <m/>
    <n v="0"/>
    <m/>
    <n v="0"/>
    <m/>
    <n v="0"/>
    <n v="0"/>
    <n v="3"/>
    <n v="1"/>
    <n v="0"/>
    <n v="0"/>
    <n v="0"/>
    <n v="0"/>
    <n v="0"/>
    <n v="3"/>
    <n v="1"/>
    <n v="0"/>
    <n v="0"/>
    <n v="0"/>
    <n v="0"/>
    <n v="0"/>
    <n v="0"/>
    <n v="0"/>
    <n v="0"/>
    <n v="0"/>
    <n v="0"/>
    <n v="0"/>
    <n v="0"/>
    <n v="0"/>
    <n v="0"/>
    <n v="0"/>
    <n v="0"/>
    <n v="0"/>
    <s v="West"/>
    <x v="3"/>
    <x v="0"/>
    <x v="1"/>
    <x v="0"/>
    <x v="0"/>
    <x v="0"/>
    <m/>
    <x v="0"/>
    <s v="Y"/>
    <s v="9B"/>
    <m/>
    <n v="0"/>
    <n v="0"/>
    <n v="4"/>
    <n v="0"/>
    <n v="0"/>
    <n v="0"/>
    <n v="0"/>
    <n v="0"/>
    <n v="0"/>
    <n v="0"/>
    <n v="0"/>
    <n v="0"/>
    <n v="0"/>
    <n v="0"/>
    <n v="0"/>
    <n v="0"/>
    <n v="0"/>
    <n v="0"/>
    <n v="0"/>
    <n v="0"/>
    <n v="0"/>
    <n v="4"/>
    <n v="4"/>
  </r>
  <r>
    <n v="6751"/>
    <x v="1"/>
    <s v="2017/5993"/>
    <m/>
    <s v="30 Sisters Avenue"/>
    <m/>
    <n v="527935"/>
    <n v="175416"/>
    <x v="10"/>
    <m/>
    <m/>
    <n v="0"/>
    <n v="7"/>
    <n v="7"/>
    <n v="7"/>
    <n v="7"/>
    <m/>
    <s v="Alterations including the erection of mansard extension to main rear roof including raising the ridge; erection of extension above part of rear addition, and raising of the eaves of the rear addition; formation of roof terrace above rear addition; single-storey side and rear extension, excavation of basement with formation of front and rear lightwells (with stairs) in connection with change of use of the property into 5 x 1-bedroom and 2 x 2 bedroom flats with associated cycle parking and refuse store."/>
    <s v="PF"/>
    <d v="2017-11-21T00:00:00"/>
    <d v="2018-03-05T00:00:00"/>
    <x v="1"/>
    <s v="Nil"/>
    <m/>
    <s v="BF"/>
    <x v="4"/>
    <x v="0"/>
    <x v="5"/>
    <n v="2.0999999716877899E-2"/>
    <m/>
    <x v="0"/>
    <m/>
    <x v="0"/>
    <s v="P"/>
    <m/>
    <m/>
    <n v="0"/>
    <m/>
    <n v="0"/>
    <m/>
    <n v="4"/>
    <n v="1"/>
    <n v="2"/>
    <n v="0"/>
    <n v="0"/>
    <n v="0"/>
    <n v="0"/>
    <n v="4"/>
    <n v="1"/>
    <n v="2"/>
    <n v="0"/>
    <n v="0"/>
    <n v="0"/>
    <n v="0"/>
    <n v="0"/>
    <n v="0"/>
    <n v="0"/>
    <n v="0"/>
    <n v="0"/>
    <n v="0"/>
    <n v="0"/>
    <n v="0"/>
    <n v="0"/>
    <n v="0"/>
    <n v="0"/>
    <n v="0"/>
    <n v="0"/>
    <n v="0"/>
    <s v="East"/>
    <x v="0"/>
    <x v="0"/>
    <x v="1"/>
    <x v="0"/>
    <x v="0"/>
    <x v="0"/>
    <m/>
    <x v="0"/>
    <s v="Y"/>
    <s v="9C"/>
    <m/>
    <n v="0"/>
    <n v="1.75"/>
    <n v="1.75"/>
    <n v="1.75"/>
    <n v="1.75"/>
    <n v="0"/>
    <n v="0"/>
    <n v="0"/>
    <n v="0"/>
    <n v="0"/>
    <n v="0"/>
    <n v="0"/>
    <n v="0"/>
    <n v="0"/>
    <n v="0"/>
    <n v="0"/>
    <n v="0"/>
    <n v="0"/>
    <n v="0"/>
    <n v="0"/>
    <n v="0"/>
    <n v="7"/>
    <n v="7"/>
  </r>
  <r>
    <n v="6753"/>
    <x v="1"/>
    <s v="2017/6510"/>
    <m/>
    <s v="Land between 107-109, 107-109 Garratt Lane"/>
    <m/>
    <n v="525803"/>
    <n v="174168"/>
    <x v="0"/>
    <m/>
    <m/>
    <n v="0"/>
    <n v="1"/>
    <n v="1"/>
    <n v="1"/>
    <n v="1"/>
    <m/>
    <s v="Erection and excavation of a two-storey (plus basement) 3-bedroom detached house with associated cycle and refuse storage and lightwell courtyard to the rear."/>
    <s v="PF"/>
    <d v="2017-11-27T00:00:00"/>
    <d v="2018-01-22T00:00:00"/>
    <x v="1"/>
    <s v="Nil"/>
    <m/>
    <s v="BF"/>
    <x v="0"/>
    <x v="0"/>
    <x v="0"/>
    <n v="8.9999996125698107E-3"/>
    <m/>
    <x v="0"/>
    <m/>
    <x v="0"/>
    <s v="P"/>
    <m/>
    <m/>
    <n v="0"/>
    <m/>
    <n v="0"/>
    <m/>
    <n v="0"/>
    <n v="0"/>
    <n v="0"/>
    <n v="1"/>
    <n v="0"/>
    <n v="0"/>
    <n v="0"/>
    <n v="0"/>
    <n v="0"/>
    <n v="0"/>
    <n v="0"/>
    <n v="0"/>
    <n v="0"/>
    <n v="0"/>
    <n v="0"/>
    <n v="0"/>
    <n v="0"/>
    <n v="1"/>
    <n v="0"/>
    <n v="0"/>
    <n v="0"/>
    <n v="0"/>
    <n v="0"/>
    <n v="0"/>
    <n v="0"/>
    <n v="0"/>
    <n v="0"/>
    <n v="0"/>
    <s v="West"/>
    <x v="0"/>
    <x v="0"/>
    <x v="1"/>
    <x v="0"/>
    <x v="0"/>
    <x v="0"/>
    <m/>
    <x v="0"/>
    <s v="Y"/>
    <n v="4"/>
    <m/>
    <n v="0"/>
    <n v="0"/>
    <n v="0.25"/>
    <n v="0.25"/>
    <n v="0.25"/>
    <n v="0.25"/>
    <n v="0"/>
    <n v="0"/>
    <n v="0"/>
    <n v="0"/>
    <n v="0"/>
    <n v="0"/>
    <n v="0"/>
    <n v="0"/>
    <n v="0"/>
    <n v="0"/>
    <n v="0"/>
    <n v="0"/>
    <n v="0"/>
    <n v="0"/>
    <n v="0"/>
    <n v="1"/>
    <n v="1"/>
  </r>
  <r>
    <n v="6755"/>
    <x v="1"/>
    <s v="2017/5244"/>
    <m/>
    <s v="Garages west of 1a, 1a Isis Street"/>
    <m/>
    <n v="526150"/>
    <n v="172704"/>
    <x v="18"/>
    <m/>
    <m/>
    <n v="0"/>
    <n v="1"/>
    <n v="1"/>
    <n v="1"/>
    <n v="1"/>
    <m/>
    <s v="The demolition of existing garages and the erection of a two-storey 1-bedroom dwelling."/>
    <s v="PF"/>
    <d v="2017-10-19T00:00:00"/>
    <d v="2017-12-14T00:00:00"/>
    <x v="1"/>
    <s v="Nil"/>
    <m/>
    <s v="BF"/>
    <x v="0"/>
    <x v="0"/>
    <x v="0"/>
    <n v="7.0000002160668399E-3"/>
    <m/>
    <x v="0"/>
    <m/>
    <x v="0"/>
    <s v="P"/>
    <m/>
    <m/>
    <n v="0"/>
    <m/>
    <n v="0"/>
    <m/>
    <n v="0"/>
    <n v="1"/>
    <n v="0"/>
    <n v="0"/>
    <n v="0"/>
    <n v="0"/>
    <n v="0"/>
    <n v="0"/>
    <n v="0"/>
    <n v="0"/>
    <n v="0"/>
    <n v="0"/>
    <n v="0"/>
    <n v="0"/>
    <n v="0"/>
    <n v="1"/>
    <n v="0"/>
    <n v="0"/>
    <n v="0"/>
    <n v="0"/>
    <n v="0"/>
    <n v="0"/>
    <n v="0"/>
    <n v="0"/>
    <n v="0"/>
    <n v="0"/>
    <n v="0"/>
    <n v="0"/>
    <s v="West"/>
    <x v="0"/>
    <x v="0"/>
    <x v="1"/>
    <x v="0"/>
    <x v="0"/>
    <x v="0"/>
    <m/>
    <x v="0"/>
    <s v="Y"/>
    <n v="4"/>
    <m/>
    <n v="0"/>
    <n v="0"/>
    <n v="0.25"/>
    <n v="0.25"/>
    <n v="0.25"/>
    <n v="0.25"/>
    <n v="0"/>
    <n v="0"/>
    <n v="0"/>
    <n v="0"/>
    <n v="0"/>
    <n v="0"/>
    <n v="0"/>
    <n v="0"/>
    <n v="0"/>
    <n v="0"/>
    <n v="0"/>
    <n v="0"/>
    <n v="0"/>
    <n v="0"/>
    <n v="0"/>
    <n v="1"/>
    <n v="1"/>
  </r>
  <r>
    <n v="6762"/>
    <x v="1"/>
    <s v="2017/6821"/>
    <m/>
    <s v="Units 36, 73 &amp; 74, 5 Riverlight Quay"/>
    <m/>
    <n v="529349"/>
    <n v="177575"/>
    <x v="6"/>
    <m/>
    <m/>
    <n v="3"/>
    <n v="1"/>
    <n v="-2"/>
    <n v="1"/>
    <n v="-2"/>
    <m/>
    <s v="Conversion of three flats into a six bedroom unit."/>
    <s v="PF"/>
    <d v="2017-12-13T00:00:00"/>
    <d v="2018-02-07T00:00:00"/>
    <x v="1"/>
    <s v="Nil"/>
    <m/>
    <s v="BF"/>
    <x v="1"/>
    <x v="0"/>
    <x v="2"/>
    <n v="1.00000004749745E-3"/>
    <m/>
    <x v="0"/>
    <m/>
    <x v="0"/>
    <s v="P"/>
    <m/>
    <m/>
    <n v="0"/>
    <m/>
    <n v="0"/>
    <m/>
    <n v="0"/>
    <n v="0"/>
    <n v="0"/>
    <n v="-3"/>
    <n v="0"/>
    <n v="1"/>
    <n v="0"/>
    <n v="0"/>
    <n v="0"/>
    <n v="0"/>
    <n v="-3"/>
    <n v="0"/>
    <n v="1"/>
    <n v="0"/>
    <n v="0"/>
    <n v="0"/>
    <n v="0"/>
    <n v="0"/>
    <n v="0"/>
    <n v="0"/>
    <n v="0"/>
    <n v="0"/>
    <n v="0"/>
    <n v="0"/>
    <n v="0"/>
    <n v="0"/>
    <n v="0"/>
    <n v="0"/>
    <s v="Strategic Planning/Nine Elms"/>
    <x v="0"/>
    <x v="1"/>
    <x v="1"/>
    <x v="0"/>
    <x v="0"/>
    <x v="0"/>
    <m/>
    <x v="0"/>
    <s v="Y"/>
    <s v="9A"/>
    <m/>
    <n v="0"/>
    <n v="-0.5"/>
    <n v="-0.5"/>
    <n v="-0.5"/>
    <n v="-0.5"/>
    <n v="0"/>
    <n v="0"/>
    <n v="0"/>
    <n v="0"/>
    <n v="0"/>
    <n v="0"/>
    <n v="0"/>
    <n v="0"/>
    <n v="0"/>
    <n v="0"/>
    <n v="0"/>
    <n v="0"/>
    <n v="0"/>
    <n v="0"/>
    <n v="0"/>
    <n v="0"/>
    <n v="-2"/>
    <n v="-2"/>
  </r>
  <r>
    <n v="6768"/>
    <x v="1"/>
    <s v="2017/6862"/>
    <m/>
    <s v="96 Broomwood Road"/>
    <m/>
    <n v="527850"/>
    <n v="174416"/>
    <x v="14"/>
    <m/>
    <m/>
    <n v="2"/>
    <n v="1"/>
    <n v="-1"/>
    <n v="1"/>
    <n v="-1"/>
    <m/>
    <s v="Alterations including erection of a single storey side/rear extension in connection with conversion of 1 x 2-bedroom and 1 x 3-bedroom flats into single dwelling house."/>
    <s v="PF"/>
    <d v="2017-12-21T00:00:00"/>
    <d v="2018-02-15T00:00:00"/>
    <x v="1"/>
    <s v="Nil"/>
    <m/>
    <s v="BF"/>
    <x v="4"/>
    <x v="0"/>
    <x v="7"/>
    <n v="1.60000007599592E-2"/>
    <m/>
    <x v="0"/>
    <m/>
    <x v="0"/>
    <s v="P"/>
    <m/>
    <m/>
    <n v="0"/>
    <m/>
    <n v="0"/>
    <m/>
    <n v="0"/>
    <n v="0"/>
    <n v="-1"/>
    <n v="-1"/>
    <n v="0"/>
    <n v="1"/>
    <n v="0"/>
    <n v="0"/>
    <n v="0"/>
    <n v="-1"/>
    <n v="-1"/>
    <n v="0"/>
    <n v="0"/>
    <n v="0"/>
    <n v="0"/>
    <n v="0"/>
    <n v="0"/>
    <n v="0"/>
    <n v="0"/>
    <n v="1"/>
    <n v="0"/>
    <n v="0"/>
    <n v="0"/>
    <n v="0"/>
    <n v="0"/>
    <n v="0"/>
    <n v="0"/>
    <n v="0"/>
    <s v="East"/>
    <x v="0"/>
    <x v="0"/>
    <x v="1"/>
    <x v="0"/>
    <x v="0"/>
    <x v="0"/>
    <m/>
    <x v="0"/>
    <s v="Y"/>
    <s v="9A"/>
    <m/>
    <n v="0"/>
    <n v="-0.25"/>
    <n v="-0.25"/>
    <n v="-0.25"/>
    <n v="-0.25"/>
    <n v="0"/>
    <n v="0"/>
    <n v="0"/>
    <n v="0"/>
    <n v="0"/>
    <n v="0"/>
    <n v="0"/>
    <n v="0"/>
    <n v="0"/>
    <n v="0"/>
    <n v="0"/>
    <n v="0"/>
    <n v="0"/>
    <n v="0"/>
    <n v="0"/>
    <n v="0"/>
    <n v="-1"/>
    <n v="-1"/>
  </r>
  <r>
    <n v="6775"/>
    <x v="1"/>
    <s v="2017/6906"/>
    <m/>
    <s v="Public House, 5 Lavender Hill"/>
    <m/>
    <n v="528543"/>
    <n v="175748"/>
    <x v="10"/>
    <m/>
    <m/>
    <n v="3"/>
    <n v="2"/>
    <n v="-1"/>
    <n v="3"/>
    <n v="0"/>
    <m/>
    <s v="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
    <s v="PF"/>
    <d v="2017-12-20T00:00:00"/>
    <d v="2018-02-14T00:00:00"/>
    <x v="1"/>
    <s v="Nil"/>
    <m/>
    <s v="BF"/>
    <x v="4"/>
    <x v="0"/>
    <x v="11"/>
    <n v="7.0000002160668399E-3"/>
    <m/>
    <x v="0"/>
    <m/>
    <x v="0"/>
    <s v="P"/>
    <m/>
    <m/>
    <n v="0"/>
    <m/>
    <n v="0"/>
    <m/>
    <n v="0"/>
    <n v="-2"/>
    <n v="2"/>
    <n v="-1"/>
    <n v="0"/>
    <n v="0"/>
    <n v="0"/>
    <n v="0"/>
    <n v="-2"/>
    <n v="2"/>
    <n v="-1"/>
    <n v="0"/>
    <n v="0"/>
    <n v="0"/>
    <n v="0"/>
    <n v="0"/>
    <n v="0"/>
    <n v="0"/>
    <n v="0"/>
    <n v="0"/>
    <n v="0"/>
    <n v="0"/>
    <n v="0"/>
    <n v="0"/>
    <n v="0"/>
    <n v="0"/>
    <n v="0"/>
    <n v="0"/>
    <s v="East"/>
    <x v="0"/>
    <x v="0"/>
    <x v="1"/>
    <x v="0"/>
    <x v="0"/>
    <x v="0"/>
    <m/>
    <x v="0"/>
    <s v="Y"/>
    <s v="9A"/>
    <m/>
    <n v="0"/>
    <n v="-0.25"/>
    <n v="-0.25"/>
    <n v="-0.25"/>
    <n v="-0.25"/>
    <n v="0"/>
    <n v="0"/>
    <n v="0"/>
    <n v="0"/>
    <n v="0"/>
    <n v="0"/>
    <n v="0"/>
    <n v="0"/>
    <n v="0"/>
    <n v="0"/>
    <n v="0"/>
    <n v="0"/>
    <n v="0"/>
    <n v="0"/>
    <n v="0"/>
    <n v="0"/>
    <n v="-1"/>
    <n v="-1"/>
  </r>
  <r>
    <n v="6775"/>
    <x v="1"/>
    <s v="2017/6906"/>
    <m/>
    <s v="Public House, 5 Lavender Hill"/>
    <m/>
    <n v="528543"/>
    <n v="175748"/>
    <x v="10"/>
    <m/>
    <m/>
    <n v="0"/>
    <n v="1"/>
    <n v="1"/>
    <n v="3"/>
    <n v="0"/>
    <m/>
    <s v="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
    <s v="PF"/>
    <d v="2017-12-20T00:00:00"/>
    <d v="2018-02-14T00:00:00"/>
    <x v="1"/>
    <s v="Nil"/>
    <m/>
    <s v="BF"/>
    <x v="4"/>
    <x v="0"/>
    <x v="0"/>
    <n v="3.0000000260770299E-3"/>
    <m/>
    <x v="0"/>
    <m/>
    <x v="0"/>
    <s v="P"/>
    <m/>
    <m/>
    <n v="0"/>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781"/>
    <x v="1"/>
    <s v="2018/0116"/>
    <m/>
    <s v="85 Sellincourt Road"/>
    <m/>
    <n v="527446"/>
    <n v="171022"/>
    <x v="8"/>
    <m/>
    <m/>
    <n v="0"/>
    <n v="1"/>
    <n v="1"/>
    <n v="1"/>
    <n v="1"/>
    <m/>
    <s v="Alterations including erection of mansard roof extension to main rear roof and extension above part of two-storey back addition; formation of roof terrace above two-storey back addition with 1.7m high screen surround in connection with creation of a self-contained unit at roof level."/>
    <s v="PF"/>
    <d v="2018-01-08T00:00:00"/>
    <d v="2018-03-05T00:00:00"/>
    <x v="1"/>
    <s v="Nil"/>
    <m/>
    <s v="BF"/>
    <x v="2"/>
    <x v="0"/>
    <x v="3"/>
    <n v="4.9999998882412902E-3"/>
    <m/>
    <x v="0"/>
    <m/>
    <x v="0"/>
    <s v="P"/>
    <m/>
    <m/>
    <n v="0"/>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783"/>
    <x v="1"/>
    <s v="2017/6849"/>
    <m/>
    <s v="62 St Johns Road"/>
    <m/>
    <n v="527377"/>
    <n v="175261"/>
    <x v="14"/>
    <m/>
    <m/>
    <n v="0"/>
    <n v="3"/>
    <n v="3"/>
    <n v="3"/>
    <n v="3"/>
    <m/>
    <s v="Alterations including infill of lower and upper ground floor lightwells, and first floor rear extension to allow the change of use of upper levels from Shop (Class A1) to 3 no. residential units (Class C3)."/>
    <s v="PF"/>
    <d v="2018-01-05T00:00:00"/>
    <d v="2018-03-29T00:00:00"/>
    <x v="1"/>
    <s v="Nil"/>
    <m/>
    <s v="BF"/>
    <x v="4"/>
    <x v="0"/>
    <x v="4"/>
    <n v="4.0000001899898104E-3"/>
    <m/>
    <x v="0"/>
    <m/>
    <x v="0"/>
    <s v="P"/>
    <m/>
    <m/>
    <n v="0"/>
    <m/>
    <n v="0"/>
    <m/>
    <n v="0"/>
    <n v="2"/>
    <n v="1"/>
    <n v="0"/>
    <n v="0"/>
    <n v="0"/>
    <n v="0"/>
    <n v="0"/>
    <n v="2"/>
    <n v="1"/>
    <n v="0"/>
    <n v="0"/>
    <n v="0"/>
    <n v="0"/>
    <n v="0"/>
    <n v="0"/>
    <n v="0"/>
    <n v="0"/>
    <n v="0"/>
    <n v="0"/>
    <n v="0"/>
    <n v="0"/>
    <n v="0"/>
    <n v="0"/>
    <n v="0"/>
    <n v="0"/>
    <n v="0"/>
    <n v="0"/>
    <s v="East"/>
    <x v="5"/>
    <x v="0"/>
    <x v="1"/>
    <x v="0"/>
    <x v="0"/>
    <x v="0"/>
    <m/>
    <x v="0"/>
    <s v="Y"/>
    <s v="9A"/>
    <m/>
    <n v="0"/>
    <n v="0.75"/>
    <n v="0.75"/>
    <n v="0.75"/>
    <n v="0.75"/>
    <n v="0"/>
    <n v="0"/>
    <n v="0"/>
    <n v="0"/>
    <n v="0"/>
    <n v="0"/>
    <n v="0"/>
    <n v="0"/>
    <n v="0"/>
    <n v="0"/>
    <n v="0"/>
    <n v="0"/>
    <n v="0"/>
    <n v="0"/>
    <n v="0"/>
    <n v="0"/>
    <n v="3"/>
    <n v="3"/>
  </r>
  <r>
    <n v="6788"/>
    <x v="1"/>
    <s v="2018/0117"/>
    <m/>
    <s v="66 Mellison Road"/>
    <m/>
    <n v="527519"/>
    <n v="171164"/>
    <x v="8"/>
    <m/>
    <m/>
    <n v="0"/>
    <n v="1"/>
    <n v="1"/>
    <n v="1"/>
    <n v="1"/>
    <m/>
    <s v="Erection of roof extension to main rear roof (with French doors and safety railings) including raising the ridge by 200mm and extension above part of two-storey back addition; formation of roof terrace above two-storey back addition with 1.7m high screen surround in connection with converting existing self-contained flat into 1 x 2-bedroom and 1 x 1-bedroom units."/>
    <s v="PF"/>
    <d v="2018-01-12T00:00:00"/>
    <d v="2018-03-07T00:00:00"/>
    <x v="1"/>
    <s v="Nil"/>
    <m/>
    <s v="BF"/>
    <x v="4"/>
    <x v="0"/>
    <x v="0"/>
    <n v="6.0000000521540598E-3"/>
    <m/>
    <x v="0"/>
    <m/>
    <x v="0"/>
    <s v="P"/>
    <m/>
    <m/>
    <n v="0"/>
    <m/>
    <n v="0"/>
    <m/>
    <n v="0"/>
    <n v="1"/>
    <n v="0"/>
    <n v="0"/>
    <n v="0"/>
    <n v="0"/>
    <n v="0"/>
    <n v="0"/>
    <n v="1"/>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797"/>
    <x v="1"/>
    <s v="2018/0254"/>
    <m/>
    <s v="Ground Floor, 280 Trinity Road"/>
    <m/>
    <n v="527076"/>
    <n v="173817"/>
    <x v="17"/>
    <m/>
    <m/>
    <n v="0"/>
    <n v="1"/>
    <n v="1"/>
    <n v="1"/>
    <n v="1"/>
    <m/>
    <s v="Change of use from doctors surgery (Class D1)  to residential (Class C3)"/>
    <s v="PF"/>
    <d v="2018-01-19T00:00:00"/>
    <d v="2018-03-13T00:00:00"/>
    <x v="1"/>
    <s v="Nil"/>
    <m/>
    <s v="BF"/>
    <x v="3"/>
    <x v="0"/>
    <x v="5"/>
    <n v="7.0000002160668399E-3"/>
    <m/>
    <x v="0"/>
    <m/>
    <x v="0"/>
    <s v="P"/>
    <m/>
    <m/>
    <n v="0"/>
    <m/>
    <n v="0"/>
    <m/>
    <n v="0"/>
    <n v="1"/>
    <n v="0"/>
    <n v="0"/>
    <n v="0"/>
    <n v="0"/>
    <n v="0"/>
    <n v="0"/>
    <n v="1"/>
    <n v="0"/>
    <n v="0"/>
    <n v="0"/>
    <n v="0"/>
    <n v="0"/>
    <n v="0"/>
    <n v="0"/>
    <n v="0"/>
    <n v="0"/>
    <n v="0"/>
    <n v="0"/>
    <n v="0"/>
    <n v="0"/>
    <n v="0"/>
    <n v="0"/>
    <n v="0"/>
    <n v="0"/>
    <n v="0"/>
    <n v="0"/>
    <s v="West"/>
    <x v="0"/>
    <x v="0"/>
    <x v="1"/>
    <x v="0"/>
    <x v="0"/>
    <x v="0"/>
    <m/>
    <x v="0"/>
    <s v="Y"/>
    <s v="9A"/>
    <m/>
    <n v="0"/>
    <n v="0.25"/>
    <n v="0.25"/>
    <n v="0.25"/>
    <n v="0.25"/>
    <n v="0"/>
    <n v="0"/>
    <n v="0"/>
    <n v="0"/>
    <n v="0"/>
    <n v="0"/>
    <n v="0"/>
    <n v="0"/>
    <n v="0"/>
    <n v="0"/>
    <n v="0"/>
    <n v="0"/>
    <n v="0"/>
    <n v="0"/>
    <n v="0"/>
    <n v="0"/>
    <n v="1"/>
    <n v="1"/>
  </r>
  <r>
    <n v="6798"/>
    <x v="1"/>
    <s v="2017/5798"/>
    <m/>
    <s v="Land rear of and 28 Garratt Terrace, 958 Garratt Lane"/>
    <m/>
    <n v="527317"/>
    <n v="171519"/>
    <x v="4"/>
    <m/>
    <m/>
    <n v="0"/>
    <n v="1"/>
    <n v="1"/>
    <n v="1"/>
    <n v="1"/>
    <m/>
    <s v="Erection of a 2-bedroom house with a single-storey rear extension."/>
    <s v="PF"/>
    <d v="2017-10-30T00:00:00"/>
    <d v="2018-02-02T00:00:00"/>
    <x v="1"/>
    <s v="Nil"/>
    <m/>
    <s v="BF"/>
    <x v="0"/>
    <x v="0"/>
    <x v="0"/>
    <n v="3.0000000260770299E-3"/>
    <m/>
    <x v="0"/>
    <m/>
    <x v="0"/>
    <s v="P"/>
    <m/>
    <m/>
    <n v="0"/>
    <m/>
    <n v="0"/>
    <m/>
    <n v="0"/>
    <n v="0"/>
    <n v="1"/>
    <n v="0"/>
    <n v="0"/>
    <n v="0"/>
    <n v="0"/>
    <n v="0"/>
    <n v="0"/>
    <n v="0"/>
    <n v="0"/>
    <n v="0"/>
    <n v="0"/>
    <n v="0"/>
    <n v="0"/>
    <n v="0"/>
    <n v="1"/>
    <n v="0"/>
    <n v="0"/>
    <n v="0"/>
    <n v="0"/>
    <n v="0"/>
    <n v="0"/>
    <n v="0"/>
    <n v="0"/>
    <n v="0"/>
    <n v="0"/>
    <n v="0"/>
    <s v="East"/>
    <x v="0"/>
    <x v="0"/>
    <x v="1"/>
    <x v="0"/>
    <x v="0"/>
    <x v="0"/>
    <m/>
    <x v="0"/>
    <s v="Y"/>
    <n v="4"/>
    <m/>
    <n v="0"/>
    <n v="0"/>
    <n v="0.25"/>
    <n v="0.25"/>
    <n v="0.25"/>
    <n v="0.25"/>
    <n v="0"/>
    <n v="0"/>
    <n v="0"/>
    <n v="0"/>
    <n v="0"/>
    <n v="0"/>
    <n v="0"/>
    <n v="0"/>
    <n v="0"/>
    <n v="0"/>
    <n v="0"/>
    <n v="0"/>
    <n v="0"/>
    <n v="0"/>
    <n v="0"/>
    <n v="1"/>
    <n v="1"/>
  </r>
  <r>
    <n v="6802"/>
    <x v="1"/>
    <s v="2018/0569"/>
    <m/>
    <s v="Store rear of 27, 27 Webbs Road"/>
    <m/>
    <n v="527680"/>
    <n v="174924"/>
    <x v="14"/>
    <m/>
    <m/>
    <n v="0"/>
    <n v="1"/>
    <n v="1"/>
    <n v="1"/>
    <n v="1"/>
    <m/>
    <s v="Determination as to whether prior approval is required for change of use from storage (Class B8) to residential (Class C3) to provide 1 x studio flat."/>
    <s v="PAG"/>
    <d v="2018-02-02T00:00:00"/>
    <d v="2018-03-26T00:00:00"/>
    <x v="1"/>
    <s v="Nil"/>
    <m/>
    <s v="BF"/>
    <x v="3"/>
    <x v="0"/>
    <x v="5"/>
    <n v="2.0000000949949E-3"/>
    <m/>
    <x v="0"/>
    <m/>
    <x v="0"/>
    <s v="P"/>
    <m/>
    <m/>
    <n v="0"/>
    <m/>
    <n v="0"/>
    <m/>
    <n v="1"/>
    <n v="0"/>
    <n v="0"/>
    <n v="0"/>
    <n v="0"/>
    <n v="0"/>
    <n v="0"/>
    <n v="1"/>
    <n v="0"/>
    <n v="0"/>
    <n v="0"/>
    <n v="0"/>
    <n v="0"/>
    <n v="0"/>
    <n v="0"/>
    <n v="0"/>
    <n v="0"/>
    <n v="0"/>
    <n v="0"/>
    <n v="0"/>
    <n v="0"/>
    <n v="0"/>
    <n v="0"/>
    <n v="0"/>
    <n v="0"/>
    <n v="0"/>
    <n v="0"/>
    <n v="0"/>
    <s v="East"/>
    <x v="0"/>
    <x v="0"/>
    <x v="1"/>
    <x v="0"/>
    <x v="0"/>
    <x v="0"/>
    <m/>
    <x v="0"/>
    <s v="Y"/>
    <s v="9A"/>
    <m/>
    <n v="0"/>
    <n v="0.25"/>
    <n v="0.25"/>
    <n v="0.25"/>
    <n v="0.25"/>
    <n v="0"/>
    <n v="0"/>
    <n v="0"/>
    <n v="0"/>
    <n v="0"/>
    <n v="0"/>
    <n v="0"/>
    <n v="0"/>
    <n v="0"/>
    <n v="0"/>
    <n v="0"/>
    <n v="0"/>
    <n v="0"/>
    <n v="0"/>
    <n v="0"/>
    <n v="0"/>
    <n v="1"/>
    <n v="1"/>
  </r>
  <r>
    <n v="6808"/>
    <x v="1"/>
    <s v="2018/0464"/>
    <m/>
    <s v="111 St Johns Hill"/>
    <s v="Conversion"/>
    <n v="526942"/>
    <n v="175151"/>
    <x v="0"/>
    <m/>
    <m/>
    <n v="1"/>
    <n v="2"/>
    <n v="1"/>
    <n v="4"/>
    <n v="3"/>
    <m/>
    <s v="Alterations including erection of roof extension to main rear roof and above part of two-storey back addition. Erection of a rear first extension in connection with conversion and alteration of existing first floor roof space. Excavation to extend basement with formation of rear lightwell. Works in connection with the proposed conversion of the property into 3 x 1-bedrooms, 1 x 2-bedroom flats (including use of part of basement and rear part of ground floor). Alterations to shopfront and change of use of remainder of ground floor and basement from Class A2 to flexible use for Class A1(Shop), A2 (professional services) or Class B1 (Business)."/>
    <s v="PF"/>
    <d v="2018-01-29T00:00:00"/>
    <d v="2018-03-20T00:00:00"/>
    <x v="1"/>
    <s v="Nil"/>
    <m/>
    <s v="BF"/>
    <x v="4"/>
    <x v="0"/>
    <x v="10"/>
    <n v="3.0000000260770299E-3"/>
    <m/>
    <x v="0"/>
    <m/>
    <x v="0"/>
    <s v="P"/>
    <m/>
    <m/>
    <n v="0"/>
    <m/>
    <n v="0"/>
    <m/>
    <n v="0"/>
    <n v="2"/>
    <n v="0"/>
    <n v="-1"/>
    <n v="0"/>
    <n v="0"/>
    <n v="0"/>
    <n v="0"/>
    <n v="2"/>
    <n v="0"/>
    <n v="-1"/>
    <n v="0"/>
    <n v="0"/>
    <n v="0"/>
    <n v="0"/>
    <n v="0"/>
    <n v="0"/>
    <n v="0"/>
    <n v="0"/>
    <n v="0"/>
    <n v="0"/>
    <n v="0"/>
    <n v="0"/>
    <n v="0"/>
    <n v="0"/>
    <n v="0"/>
    <n v="0"/>
    <n v="0"/>
    <s v="West"/>
    <x v="0"/>
    <x v="0"/>
    <x v="1"/>
    <x v="0"/>
    <x v="0"/>
    <x v="0"/>
    <m/>
    <x v="0"/>
    <s v="Y"/>
    <s v="9A"/>
    <m/>
    <n v="0"/>
    <n v="0.25"/>
    <n v="0.25"/>
    <n v="0.25"/>
    <n v="0.25"/>
    <n v="0"/>
    <n v="0"/>
    <n v="0"/>
    <n v="0"/>
    <n v="0"/>
    <n v="0"/>
    <n v="0"/>
    <n v="0"/>
    <n v="0"/>
    <n v="0"/>
    <n v="0"/>
    <n v="0"/>
    <n v="0"/>
    <n v="0"/>
    <n v="0"/>
    <n v="0"/>
    <n v="1"/>
    <n v="1"/>
  </r>
  <r>
    <n v="6808"/>
    <x v="1"/>
    <s v="2018/0464"/>
    <m/>
    <s v="111 St Johns Hill"/>
    <s v="Extn to ex"/>
    <n v="526942"/>
    <n v="175151"/>
    <x v="0"/>
    <m/>
    <m/>
    <n v="0"/>
    <n v="2"/>
    <n v="2"/>
    <n v="4"/>
    <n v="3"/>
    <m/>
    <s v="Alterations including erection of roof extension to main rear roof and above part of two-storey back addition. Erection of a rear first extension in connection with conversion and alteration of existing first floor roof space. Excavation to extend basement with formation of rear lightwell. Works in connection with the proposed conversion of the property into 3 x 1-bedrooms, 1 x 2-bedroom flats (including use of part of basement and rear part of ground floor). Alterations to shopfront and change of use of remainder of ground floor and basement from Class A2 to flexible use for Class A1(Shop), A2 (professional services) or Class B1 (Business)."/>
    <s v="PF"/>
    <d v="2018-01-29T00:00:00"/>
    <d v="2018-03-20T00:00:00"/>
    <x v="1"/>
    <s v="Nil"/>
    <m/>
    <s v="BF"/>
    <x v="4"/>
    <x v="0"/>
    <x v="0"/>
    <n v="4.0000001899898104E-3"/>
    <m/>
    <x v="0"/>
    <m/>
    <x v="0"/>
    <s v="P"/>
    <m/>
    <m/>
    <n v="0"/>
    <m/>
    <n v="0"/>
    <m/>
    <n v="0"/>
    <n v="1"/>
    <n v="1"/>
    <n v="0"/>
    <n v="0"/>
    <n v="0"/>
    <n v="0"/>
    <n v="0"/>
    <n v="1"/>
    <n v="1"/>
    <n v="0"/>
    <n v="0"/>
    <n v="0"/>
    <n v="0"/>
    <n v="0"/>
    <n v="0"/>
    <n v="0"/>
    <n v="0"/>
    <n v="0"/>
    <n v="0"/>
    <n v="0"/>
    <n v="0"/>
    <n v="0"/>
    <n v="0"/>
    <n v="0"/>
    <n v="0"/>
    <n v="0"/>
    <n v="0"/>
    <s v="West"/>
    <x v="0"/>
    <x v="0"/>
    <x v="1"/>
    <x v="0"/>
    <x v="0"/>
    <x v="0"/>
    <m/>
    <x v="0"/>
    <s v="Y"/>
    <s v="9A"/>
    <m/>
    <n v="0"/>
    <n v="0.5"/>
    <n v="0.5"/>
    <n v="0.5"/>
    <n v="0.5"/>
    <n v="0"/>
    <n v="0"/>
    <n v="0"/>
    <n v="0"/>
    <n v="0"/>
    <n v="0"/>
    <n v="0"/>
    <n v="0"/>
    <n v="0"/>
    <n v="0"/>
    <n v="0"/>
    <n v="0"/>
    <n v="0"/>
    <n v="0"/>
    <n v="0"/>
    <n v="0"/>
    <n v="2"/>
    <n v="2"/>
  </r>
  <r>
    <n v="6846"/>
    <x v="1"/>
    <s v="2017/5836"/>
    <m/>
    <s v="52 Northcote Road"/>
    <m/>
    <n v="527474"/>
    <n v="174921"/>
    <x v="14"/>
    <m/>
    <m/>
    <n v="0"/>
    <n v="1"/>
    <n v="1"/>
    <n v="1"/>
    <n v="1"/>
    <m/>
    <s v="Alterations including erection of mansard rear roof extension to main rear roof, erection of rear extensions at first and second floor levels including formation of roof terraces with a 1.7m high screen surround to first floor roof terrace and 1.1m high screen surround to second floor roof terrace in connection with the conversion of the upper floor flat into 2 x 2 bedroom flats. Provision of bin/cycle storage."/>
    <s v="PF"/>
    <d v="2017-11-08T00:00:00"/>
    <d v="2018-01-10T00:00:00"/>
    <x v="1"/>
    <s v="Nil"/>
    <m/>
    <s v="BF"/>
    <x v="2"/>
    <x v="0"/>
    <x v="3"/>
    <n v="3.0000000260770299E-3"/>
    <m/>
    <x v="0"/>
    <m/>
    <x v="0"/>
    <s v="P"/>
    <m/>
    <m/>
    <n v="0"/>
    <m/>
    <n v="0"/>
    <m/>
    <n v="0"/>
    <n v="0"/>
    <n v="1"/>
    <n v="0"/>
    <n v="0"/>
    <n v="0"/>
    <n v="0"/>
    <n v="0"/>
    <n v="0"/>
    <n v="1"/>
    <n v="0"/>
    <n v="0"/>
    <n v="0"/>
    <n v="0"/>
    <n v="0"/>
    <n v="0"/>
    <n v="0"/>
    <n v="0"/>
    <n v="0"/>
    <n v="0"/>
    <n v="0"/>
    <n v="0"/>
    <n v="0"/>
    <n v="0"/>
    <n v="0"/>
    <n v="0"/>
    <n v="0"/>
    <n v="0"/>
    <s v="East"/>
    <x v="5"/>
    <x v="0"/>
    <x v="1"/>
    <x v="0"/>
    <x v="0"/>
    <x v="0"/>
    <m/>
    <x v="0"/>
    <s v="Y"/>
    <s v="9A"/>
    <m/>
    <n v="0"/>
    <n v="0.25"/>
    <n v="0.25"/>
    <n v="0.25"/>
    <n v="0.25"/>
    <n v="0"/>
    <n v="0"/>
    <n v="0"/>
    <n v="0"/>
    <n v="0"/>
    <n v="0"/>
    <n v="0"/>
    <n v="0"/>
    <n v="0"/>
    <n v="0"/>
    <n v="0"/>
    <n v="0"/>
    <n v="0"/>
    <n v="0"/>
    <n v="0"/>
    <n v="0"/>
    <n v="1"/>
    <n v="1"/>
  </r>
  <r>
    <n v="6912"/>
    <x v="1"/>
    <s v="2016/3809"/>
    <m/>
    <s v="229 Burntwood Lane"/>
    <m/>
    <n v="526829"/>
    <n v="172839"/>
    <x v="17"/>
    <m/>
    <m/>
    <n v="0"/>
    <n v="1"/>
    <n v="1"/>
    <n v="1"/>
    <n v="1"/>
    <m/>
    <s v="Demolition of existing garage and erection of a single-storey outbuilding in rear garden to be used as a nanny flat."/>
    <s v="PF"/>
    <d v="2016-06-28T00:00:00"/>
    <d v="2016-08-23T00:00:00"/>
    <x v="0"/>
    <s v="Nil"/>
    <m/>
    <s v="BF"/>
    <x v="0"/>
    <x v="0"/>
    <x v="0"/>
    <n v="3.0000000260770299E-3"/>
    <m/>
    <x v="0"/>
    <m/>
    <x v="0"/>
    <s v="P"/>
    <m/>
    <m/>
    <n v="0"/>
    <m/>
    <n v="0"/>
    <m/>
    <n v="1"/>
    <n v="0"/>
    <n v="0"/>
    <n v="0"/>
    <n v="0"/>
    <n v="0"/>
    <n v="0"/>
    <n v="1"/>
    <n v="0"/>
    <n v="0"/>
    <n v="0"/>
    <n v="0"/>
    <n v="0"/>
    <n v="0"/>
    <n v="0"/>
    <n v="0"/>
    <n v="0"/>
    <n v="0"/>
    <n v="0"/>
    <n v="0"/>
    <n v="0"/>
    <n v="0"/>
    <n v="0"/>
    <n v="0"/>
    <n v="0"/>
    <n v="0"/>
    <n v="0"/>
    <n v="0"/>
    <s v="West"/>
    <x v="0"/>
    <x v="0"/>
    <x v="1"/>
    <x v="0"/>
    <x v="0"/>
    <x v="0"/>
    <m/>
    <x v="0"/>
    <s v="Y"/>
    <n v="4"/>
    <m/>
    <n v="0"/>
    <n v="0"/>
    <n v="0.25"/>
    <n v="0.25"/>
    <n v="0.25"/>
    <n v="0.25"/>
    <n v="0"/>
    <n v="0"/>
    <n v="0"/>
    <n v="0"/>
    <n v="0"/>
    <n v="0"/>
    <n v="0"/>
    <n v="0"/>
    <n v="0"/>
    <n v="0"/>
    <n v="0"/>
    <n v="0"/>
    <n v="0"/>
    <n v="0"/>
    <n v="0"/>
    <n v="1"/>
    <n v="1"/>
  </r>
  <r>
    <n v="6922"/>
    <x v="1"/>
    <s v="2016/4769"/>
    <m/>
    <s v="30 Nimrod Road"/>
    <m/>
    <n v="529004"/>
    <n v="171330"/>
    <x v="12"/>
    <m/>
    <m/>
    <n v="0"/>
    <n v="1"/>
    <n v="1"/>
    <n v="1"/>
    <n v="1"/>
    <m/>
    <s v="Alterations including erection of hip to gable side roof extensions, rear mansard roof extension, and extension above two storey back addition. Erection of single-storey side/rear extension. Erection of self-contained annexe to the rear garden with basement level."/>
    <s v="PF"/>
    <d v="2016-09-02T00:00:00"/>
    <d v="2016-10-13T00:00:00"/>
    <x v="0"/>
    <s v="Nil"/>
    <m/>
    <s v="BF"/>
    <x v="0"/>
    <x v="0"/>
    <x v="0"/>
    <n v="8.0000003799796104E-3"/>
    <m/>
    <x v="0"/>
    <m/>
    <x v="0"/>
    <s v="P"/>
    <m/>
    <m/>
    <n v="0"/>
    <m/>
    <n v="0"/>
    <m/>
    <n v="0"/>
    <n v="1"/>
    <n v="0"/>
    <n v="0"/>
    <n v="0"/>
    <n v="0"/>
    <n v="0"/>
    <n v="0"/>
    <n v="1"/>
    <n v="0"/>
    <n v="0"/>
    <n v="0"/>
    <n v="0"/>
    <n v="0"/>
    <n v="0"/>
    <n v="0"/>
    <n v="0"/>
    <n v="0"/>
    <n v="0"/>
    <n v="0"/>
    <n v="0"/>
    <n v="0"/>
    <n v="0"/>
    <n v="0"/>
    <n v="0"/>
    <n v="0"/>
    <n v="0"/>
    <n v="0"/>
    <s v="East"/>
    <x v="0"/>
    <x v="0"/>
    <x v="1"/>
    <x v="0"/>
    <x v="0"/>
    <x v="0"/>
    <m/>
    <x v="0"/>
    <s v="Y"/>
    <n v="4"/>
    <m/>
    <n v="0"/>
    <n v="0"/>
    <n v="0.25"/>
    <n v="0.25"/>
    <n v="0.25"/>
    <n v="0.25"/>
    <n v="0"/>
    <n v="0"/>
    <n v="0"/>
    <n v="0"/>
    <n v="0"/>
    <n v="0"/>
    <n v="0"/>
    <n v="0"/>
    <n v="0"/>
    <n v="0"/>
    <n v="0"/>
    <n v="0"/>
    <n v="0"/>
    <n v="0"/>
    <n v="0"/>
    <n v="1"/>
    <n v="1"/>
  </r>
  <r>
    <n v="464"/>
    <x v="3"/>
    <s v="2015/6813"/>
    <s v="Booker &amp; BMW Sites"/>
    <s v="41-49 and 49-59, 49-59 Battersea Park Road"/>
    <m/>
    <n v="529375"/>
    <n v="177215"/>
    <x v="6"/>
    <m/>
    <m/>
    <n v="0"/>
    <n v="230"/>
    <n v="230"/>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SLA"/>
    <d v="2015-11-30T00:00:00"/>
    <m/>
    <x v="0"/>
    <s v="Nil"/>
    <m/>
    <s v="BF"/>
    <x v="0"/>
    <x v="1"/>
    <x v="1"/>
    <n v="0"/>
    <m/>
    <x v="0"/>
    <m/>
    <x v="0"/>
    <s v="P"/>
    <s v="2.1.24"/>
    <m/>
    <n v="0"/>
    <m/>
    <n v="0"/>
    <m/>
    <n v="1"/>
    <n v="55"/>
    <n v="151"/>
    <n v="22"/>
    <n v="1"/>
    <n v="0"/>
    <n v="0"/>
    <n v="1"/>
    <n v="55"/>
    <n v="151"/>
    <n v="22"/>
    <n v="1"/>
    <n v="0"/>
    <n v="0"/>
    <n v="0"/>
    <n v="0"/>
    <n v="0"/>
    <n v="0"/>
    <n v="0"/>
    <n v="0"/>
    <n v="0"/>
    <n v="0"/>
    <n v="0"/>
    <n v="0"/>
    <n v="0"/>
    <n v="0"/>
    <n v="0"/>
    <n v="0"/>
    <s v="Strategic Planning/Nine Elms"/>
    <x v="0"/>
    <x v="1"/>
    <x v="1"/>
    <x v="0"/>
    <x v="0"/>
    <x v="0"/>
    <m/>
    <x v="0"/>
    <s v="Y"/>
    <n v="12"/>
    <m/>
    <n v="0"/>
    <n v="0"/>
    <n v="0"/>
    <n v="0"/>
    <n v="0"/>
    <n v="230"/>
    <n v="0"/>
    <n v="0"/>
    <n v="0"/>
    <n v="0"/>
    <n v="0"/>
    <n v="0"/>
    <n v="0"/>
    <n v="0"/>
    <n v="0"/>
    <n v="0"/>
    <n v="0"/>
    <n v="0"/>
    <n v="0"/>
    <n v="0"/>
    <n v="0"/>
    <n v="230"/>
    <n v="230"/>
  </r>
  <r>
    <n v="464"/>
    <x v="3"/>
    <s v="2015/6813"/>
    <s v="Booker &amp; BMW Sites"/>
    <s v="41-49 and 49-59, 49-59 Battersea Park Road"/>
    <m/>
    <n v="529375"/>
    <n v="177215"/>
    <x v="6"/>
    <m/>
    <m/>
    <n v="0"/>
    <n v="57"/>
    <n v="57"/>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SLA"/>
    <d v="2015-11-30T00:00:00"/>
    <m/>
    <x v="0"/>
    <s v="Nil"/>
    <m/>
    <s v="BF"/>
    <x v="0"/>
    <x v="1"/>
    <x v="1"/>
    <n v="0"/>
    <m/>
    <x v="0"/>
    <m/>
    <x v="1"/>
    <s v="HAIU"/>
    <s v="2.1.24"/>
    <m/>
    <n v="0"/>
    <m/>
    <n v="0"/>
    <m/>
    <n v="0"/>
    <n v="22"/>
    <n v="35"/>
    <n v="0"/>
    <n v="0"/>
    <n v="0"/>
    <n v="0"/>
    <n v="0"/>
    <n v="22"/>
    <n v="35"/>
    <n v="0"/>
    <n v="0"/>
    <n v="0"/>
    <n v="0"/>
    <n v="0"/>
    <n v="0"/>
    <n v="0"/>
    <n v="0"/>
    <n v="0"/>
    <n v="0"/>
    <n v="0"/>
    <n v="0"/>
    <n v="0"/>
    <n v="0"/>
    <n v="0"/>
    <n v="0"/>
    <n v="0"/>
    <n v="0"/>
    <s v="Strategic Planning/Nine Elms"/>
    <x v="0"/>
    <x v="1"/>
    <x v="1"/>
    <x v="0"/>
    <x v="0"/>
    <x v="0"/>
    <m/>
    <x v="0"/>
    <s v="Y"/>
    <n v="12"/>
    <m/>
    <n v="0"/>
    <n v="0"/>
    <n v="0"/>
    <n v="0"/>
    <n v="0"/>
    <n v="57"/>
    <n v="0"/>
    <n v="0"/>
    <n v="0"/>
    <n v="0"/>
    <n v="0"/>
    <n v="0"/>
    <n v="0"/>
    <n v="0"/>
    <n v="0"/>
    <n v="0"/>
    <n v="0"/>
    <n v="0"/>
    <n v="0"/>
    <n v="0"/>
    <n v="0"/>
    <n v="57"/>
    <n v="57"/>
  </r>
  <r>
    <n v="464"/>
    <x v="3"/>
    <s v="2015/6813"/>
    <s v="Booker &amp; BMW Sites"/>
    <s v="41-49 and 49-59, 49-59 Battersea Park Road"/>
    <m/>
    <n v="529375"/>
    <n v="177215"/>
    <x v="6"/>
    <m/>
    <m/>
    <n v="0"/>
    <n v="20"/>
    <n v="20"/>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SLA"/>
    <d v="2015-11-30T00:00:00"/>
    <m/>
    <x v="0"/>
    <s v="Nil"/>
    <m/>
    <s v="BF"/>
    <x v="0"/>
    <x v="1"/>
    <x v="1"/>
    <n v="0"/>
    <m/>
    <x v="0"/>
    <m/>
    <x v="2"/>
    <s v="HAAR"/>
    <s v="2.1.24"/>
    <m/>
    <n v="0"/>
    <m/>
    <n v="0"/>
    <m/>
    <n v="1"/>
    <n v="7"/>
    <n v="8"/>
    <n v="4"/>
    <n v="0"/>
    <n v="0"/>
    <n v="0"/>
    <n v="1"/>
    <n v="7"/>
    <n v="8"/>
    <n v="4"/>
    <n v="0"/>
    <n v="0"/>
    <n v="0"/>
    <n v="0"/>
    <n v="0"/>
    <n v="0"/>
    <n v="0"/>
    <n v="0"/>
    <n v="0"/>
    <n v="0"/>
    <n v="0"/>
    <n v="0"/>
    <n v="0"/>
    <n v="0"/>
    <n v="0"/>
    <n v="0"/>
    <n v="0"/>
    <s v="Strategic Planning/Nine Elms"/>
    <x v="0"/>
    <x v="1"/>
    <x v="1"/>
    <x v="0"/>
    <x v="0"/>
    <x v="0"/>
    <m/>
    <x v="0"/>
    <s v="Y"/>
    <n v="12"/>
    <m/>
    <n v="0"/>
    <n v="0"/>
    <n v="0"/>
    <n v="0"/>
    <n v="0"/>
    <n v="20"/>
    <n v="0"/>
    <n v="0"/>
    <n v="0"/>
    <n v="0"/>
    <n v="0"/>
    <n v="0"/>
    <n v="0"/>
    <n v="0"/>
    <n v="0"/>
    <n v="0"/>
    <n v="0"/>
    <n v="0"/>
    <n v="0"/>
    <n v="0"/>
    <n v="0"/>
    <n v="20"/>
    <n v="20"/>
  </r>
  <r>
    <n v="1952"/>
    <x v="3"/>
    <s v="2016/5803"/>
    <m/>
    <s v="Our Lady of Mount Carmel &amp; St Joseph, 8 Battersea Park Road"/>
    <s v="LEVEL 0"/>
    <n v="528781"/>
    <n v="177000"/>
    <x v="6"/>
    <m/>
    <m/>
    <n v="0"/>
    <n v="2"/>
    <n v="2"/>
    <n v="24"/>
    <n v="24"/>
    <s v="Y"/>
    <s v="Application under Section 73 of the Town and Country Planning Act (as amended) for amendments to planning permission dated 28 October 2014 (ref.2014/1471) for the demolition of existing vacant single-storey parish and ancillary buildings and construction of a replacement residential building to the west of the existing church building residential units (C3), retail use (A1/A3) and ancillary church accommodation (D1) at ground floor level; extension and associated alterations to the southern elevation of the church to provide ancillary church accommodation in the form of a new parish hall (D1); and works to hard and soft landscaping and alterations to front boundary treatment. (The amendments include increase in height by 2 metres; a change to the unit mix resulting in the delivery of four extra units; amendments to the internal layout of residential units and community hall; amendments to the buildings elevations including relocation and addition of windows; reduction of groundfloor retail space; addition of an extra canopy above the entrance to the community hall and the relocation of the basement of the new community hall)."/>
    <s v="SLA"/>
    <d v="2016-10-14T00:00:00"/>
    <m/>
    <x v="0"/>
    <s v="Nil"/>
    <m/>
    <s v="BF"/>
    <x v="0"/>
    <x v="1"/>
    <x v="1"/>
    <n v="1.30000002682209E-2"/>
    <m/>
    <x v="0"/>
    <m/>
    <x v="0"/>
    <s v="P"/>
    <m/>
    <m/>
    <n v="0"/>
    <n v="2"/>
    <n v="0"/>
    <n v="0"/>
    <n v="0"/>
    <n v="1"/>
    <n v="1"/>
    <n v="0"/>
    <n v="0"/>
    <n v="0"/>
    <n v="0"/>
    <n v="0"/>
    <n v="1"/>
    <n v="1"/>
    <n v="0"/>
    <n v="0"/>
    <n v="0"/>
    <n v="0"/>
    <n v="0"/>
    <n v="0"/>
    <n v="0"/>
    <n v="0"/>
    <n v="0"/>
    <n v="0"/>
    <n v="0"/>
    <n v="0"/>
    <n v="0"/>
    <n v="0"/>
    <n v="0"/>
    <n v="0"/>
    <n v="0"/>
    <n v="0"/>
    <s v="Strategic Planning/Nine Elms"/>
    <x v="0"/>
    <x v="1"/>
    <x v="1"/>
    <x v="0"/>
    <x v="0"/>
    <x v="0"/>
    <m/>
    <x v="0"/>
    <s v="N"/>
    <n v="15"/>
    <s v="2014/1471 used for phasing"/>
    <n v="0"/>
    <n v="0"/>
    <n v="0"/>
    <n v="0"/>
    <n v="0"/>
    <n v="0"/>
    <n v="0"/>
    <n v="0"/>
    <n v="0"/>
    <n v="0"/>
    <n v="0"/>
    <n v="0"/>
    <n v="0"/>
    <n v="0"/>
    <n v="0"/>
    <n v="0"/>
    <n v="0"/>
    <n v="0"/>
    <n v="0"/>
    <n v="0"/>
    <n v="0"/>
    <n v="0"/>
    <n v="0"/>
  </r>
  <r>
    <n v="1952"/>
    <x v="3"/>
    <s v="2016/5803"/>
    <m/>
    <s v="Our Lady of Mount Carmel &amp; St Joseph, 8 Battersea Park Road"/>
    <s v="LEVEL 1"/>
    <n v="528781"/>
    <n v="177000"/>
    <x v="6"/>
    <m/>
    <m/>
    <n v="0"/>
    <n v="4"/>
    <n v="4"/>
    <n v="24"/>
    <n v="24"/>
    <s v="Y"/>
    <s v="Application under Section 73 of the Town and Country Planning Act (as amended) for amendments to planning permission dated 28 October 2014 (ref.2014/1471) for the demolition of existing vacant single-storey parish and ancillary buildings and construction of a replacement residential building to the west of the existing church building residential units (C3), retail use (A1/A3) and ancillary church accommodation (D1) at ground floor level; extension and associated alterations to the southern elevation of the church to provide ancillary church accommodation in the form of a new parish hall (D1); and works to hard and soft landscaping and alterations to front boundary treatment. (The amendments include increase in height by 2 metres; a change to the unit mix resulting in the delivery of four extra units; amendments to the internal layout of residential units and community hall; amendments to the buildings elevations including relocation and addition of windows; reduction of groundfloor retail space; addition of an extra canopy above the entrance to the community hall and the relocation of the basement of the new community hall)."/>
    <s v="SLA"/>
    <d v="2016-10-14T00:00:00"/>
    <m/>
    <x v="0"/>
    <s v="Nil"/>
    <m/>
    <s v="BF"/>
    <x v="0"/>
    <x v="1"/>
    <x v="1"/>
    <n v="2.60000005364418E-2"/>
    <m/>
    <x v="0"/>
    <m/>
    <x v="0"/>
    <s v="P"/>
    <m/>
    <m/>
    <n v="0"/>
    <n v="1"/>
    <n v="0"/>
    <n v="3"/>
    <n v="0"/>
    <n v="0"/>
    <n v="4"/>
    <n v="0"/>
    <n v="0"/>
    <n v="0"/>
    <n v="0"/>
    <n v="0"/>
    <n v="0"/>
    <n v="4"/>
    <n v="0"/>
    <n v="0"/>
    <n v="0"/>
    <n v="0"/>
    <n v="0"/>
    <n v="0"/>
    <n v="0"/>
    <n v="0"/>
    <n v="0"/>
    <n v="0"/>
    <n v="0"/>
    <n v="0"/>
    <n v="0"/>
    <n v="0"/>
    <n v="0"/>
    <n v="0"/>
    <n v="0"/>
    <n v="0"/>
    <s v="Strategic Planning/Nine Elms"/>
    <x v="0"/>
    <x v="1"/>
    <x v="1"/>
    <x v="0"/>
    <x v="0"/>
    <x v="0"/>
    <m/>
    <x v="0"/>
    <s v="N"/>
    <n v="15"/>
    <s v="2014/1471 used for phasing"/>
    <n v="0"/>
    <n v="0"/>
    <n v="0"/>
    <n v="0"/>
    <n v="0"/>
    <n v="0"/>
    <n v="0"/>
    <n v="0"/>
    <n v="0"/>
    <n v="0"/>
    <n v="0"/>
    <n v="0"/>
    <n v="0"/>
    <n v="0"/>
    <n v="0"/>
    <n v="0"/>
    <n v="0"/>
    <n v="0"/>
    <n v="0"/>
    <n v="0"/>
    <n v="0"/>
    <n v="0"/>
    <n v="0"/>
  </r>
  <r>
    <n v="1952"/>
    <x v="3"/>
    <s v="2016/5803"/>
    <m/>
    <s v="Our Lady of Mount Carmel &amp; St Joseph, 8 Battersea Park Road"/>
    <s v="LEVEL 2"/>
    <n v="528781"/>
    <n v="177000"/>
    <x v="6"/>
    <m/>
    <m/>
    <n v="0"/>
    <n v="4"/>
    <n v="4"/>
    <n v="24"/>
    <n v="24"/>
    <s v="Y"/>
    <s v="Application under Section 73 of the Town and Country Planning Act (as amended) for amendments to planning permission dated 28 October 2014 (ref.2014/1471) for the demolition of existing vacant single-storey parish and ancillary buildings and construction of a replacement residential building to the west of the existing church building residential units (C3), retail use (A1/A3) and ancillary church accommodation (D1) at ground floor level; extension and associated alterations to the southern elevation of the church to provide ancillary church accommodation in the form of a new parish hall (D1); and works to hard and soft landscaping and alterations to front boundary treatment. (The amendments include increase in height by 2 metres; a change to the unit mix resulting in the delivery of four extra units; amendments to the internal layout of residential units and community hall; amendments to the buildings elevations including relocation and addition of windows; reduction of groundfloor retail space; addition of an extra canopy above the entrance to the community hall and the relocation of the basement of the new community hall)."/>
    <s v="SLA"/>
    <d v="2016-10-14T00:00:00"/>
    <m/>
    <x v="0"/>
    <s v="Nil"/>
    <m/>
    <s v="BF"/>
    <x v="0"/>
    <x v="1"/>
    <x v="1"/>
    <n v="2.60000005364418E-2"/>
    <m/>
    <x v="0"/>
    <m/>
    <x v="0"/>
    <s v="P"/>
    <m/>
    <m/>
    <n v="0"/>
    <m/>
    <n v="0"/>
    <m/>
    <n v="0"/>
    <n v="0"/>
    <n v="4"/>
    <n v="0"/>
    <n v="0"/>
    <n v="0"/>
    <n v="0"/>
    <n v="0"/>
    <n v="0"/>
    <n v="4"/>
    <n v="0"/>
    <n v="0"/>
    <n v="0"/>
    <n v="0"/>
    <n v="0"/>
    <n v="0"/>
    <n v="0"/>
    <n v="0"/>
    <n v="0"/>
    <n v="0"/>
    <n v="0"/>
    <n v="0"/>
    <n v="0"/>
    <n v="0"/>
    <n v="0"/>
    <n v="0"/>
    <n v="0"/>
    <n v="0"/>
    <s v="Strategic Planning/Nine Elms"/>
    <x v="0"/>
    <x v="1"/>
    <x v="1"/>
    <x v="0"/>
    <x v="0"/>
    <x v="0"/>
    <m/>
    <x v="0"/>
    <s v="N"/>
    <n v="15"/>
    <s v="2014/1471 used for phasing"/>
    <n v="0"/>
    <n v="0"/>
    <n v="0"/>
    <n v="0"/>
    <n v="0"/>
    <n v="0"/>
    <n v="0"/>
    <n v="0"/>
    <n v="0"/>
    <n v="0"/>
    <n v="0"/>
    <n v="0"/>
    <n v="0"/>
    <n v="0"/>
    <n v="0"/>
    <n v="0"/>
    <n v="0"/>
    <n v="0"/>
    <n v="0"/>
    <n v="0"/>
    <n v="0"/>
    <n v="0"/>
    <n v="0"/>
  </r>
  <r>
    <n v="1952"/>
    <x v="3"/>
    <s v="2016/5803"/>
    <m/>
    <s v="Our Lady of Mount Carmel &amp; St Joseph, 8 Battersea Park Road"/>
    <s v="LEVEL 3"/>
    <n v="528781"/>
    <n v="177000"/>
    <x v="6"/>
    <m/>
    <m/>
    <n v="0"/>
    <n v="4"/>
    <n v="4"/>
    <n v="24"/>
    <n v="24"/>
    <s v="Y"/>
    <s v="Application under Section 73 of the Town and Country Planning Act (as amended) for amendments to planning permission dated 28 October 2014 (ref.2014/1471) for the demolition of existing vacant single-storey parish and ancillary buildings and construction of a replacement residential building to the west of the existing church building residential units (C3), retail use (A1/A3) and ancillary church accommodation (D1) at ground floor level; extension and associated alterations to the southern elevation of the church to provide ancillary church accommodation in the form of a new parish hall (D1); and works to hard and soft landscaping and alterations to front boundary treatment. (The amendments include increase in height by 2 metres; a change to the unit mix resulting in the delivery of four extra units; amendments to the internal layout of residential units and community hall; amendments to the buildings elevations including relocation and addition of windows; reduction of groundfloor retail space; addition of an extra canopy above the entrance to the community hall and the relocation of the basement of the new community hall)."/>
    <s v="SLA"/>
    <d v="2016-10-14T00:00:00"/>
    <m/>
    <x v="0"/>
    <s v="Nil"/>
    <m/>
    <s v="BF"/>
    <x v="0"/>
    <x v="1"/>
    <x v="1"/>
    <n v="2.5000000372528999E-2"/>
    <m/>
    <x v="0"/>
    <m/>
    <x v="0"/>
    <s v="P"/>
    <m/>
    <m/>
    <n v="0"/>
    <m/>
    <n v="0"/>
    <m/>
    <n v="0"/>
    <n v="0"/>
    <n v="4"/>
    <n v="0"/>
    <n v="0"/>
    <n v="0"/>
    <n v="0"/>
    <n v="0"/>
    <n v="0"/>
    <n v="4"/>
    <n v="0"/>
    <n v="0"/>
    <n v="0"/>
    <n v="0"/>
    <n v="0"/>
    <n v="0"/>
    <n v="0"/>
    <n v="0"/>
    <n v="0"/>
    <n v="0"/>
    <n v="0"/>
    <n v="0"/>
    <n v="0"/>
    <n v="0"/>
    <n v="0"/>
    <n v="0"/>
    <n v="0"/>
    <n v="0"/>
    <s v="Strategic Planning/Nine Elms"/>
    <x v="0"/>
    <x v="1"/>
    <x v="1"/>
    <x v="0"/>
    <x v="0"/>
    <x v="0"/>
    <m/>
    <x v="0"/>
    <s v="N"/>
    <n v="15"/>
    <s v="2014/1471 used for phasing"/>
    <n v="0"/>
    <n v="0"/>
    <n v="0"/>
    <n v="0"/>
    <n v="0"/>
    <n v="0"/>
    <n v="0"/>
    <n v="0"/>
    <n v="0"/>
    <n v="0"/>
    <n v="0"/>
    <n v="0"/>
    <n v="0"/>
    <n v="0"/>
    <n v="0"/>
    <n v="0"/>
    <n v="0"/>
    <n v="0"/>
    <n v="0"/>
    <n v="0"/>
    <n v="0"/>
    <n v="0"/>
    <n v="0"/>
  </r>
  <r>
    <n v="1952"/>
    <x v="3"/>
    <s v="2016/5803"/>
    <m/>
    <s v="Our Lady of Mount Carmel &amp; St Joseph, 8 Battersea Park Road"/>
    <s v="LEVEL 4"/>
    <n v="528781"/>
    <n v="177000"/>
    <x v="6"/>
    <m/>
    <m/>
    <n v="0"/>
    <n v="4"/>
    <n v="4"/>
    <n v="24"/>
    <n v="24"/>
    <s v="Y"/>
    <s v="Application under Section 73 of the Town and Country Planning Act (as amended) for amendments to planning permission dated 28 October 2014 (ref.2014/1471) for the demolition of existing vacant single-storey parish and ancillary buildings and construction of a replacement residential building to the west of the existing church building residential units (C3), retail use (A1/A3) and ancillary church accommodation (D1) at ground floor level; extension and associated alterations to the southern elevation of the church to provide ancillary church accommodation in the form of a new parish hall (D1); and works to hard and soft landscaping and alterations to front boundary treatment. (The amendments include increase in height by 2 metres; a change to the unit mix resulting in the delivery of four extra units; amendments to the internal layout of residential units and community hall; amendments to the buildings elevations including relocation and addition of windows; reduction of groundfloor retail space; addition of an extra canopy above the entrance to the community hall and the relocation of the basement of the new community hall)."/>
    <s v="SLA"/>
    <d v="2016-10-14T00:00:00"/>
    <m/>
    <x v="0"/>
    <s v="Nil"/>
    <m/>
    <s v="BF"/>
    <x v="0"/>
    <x v="1"/>
    <x v="1"/>
    <n v="2.5000000372528999E-2"/>
    <m/>
    <x v="0"/>
    <m/>
    <x v="0"/>
    <s v="P"/>
    <m/>
    <m/>
    <n v="0"/>
    <m/>
    <n v="0"/>
    <m/>
    <n v="0"/>
    <n v="0"/>
    <n v="4"/>
    <n v="0"/>
    <n v="0"/>
    <n v="0"/>
    <n v="0"/>
    <n v="0"/>
    <n v="0"/>
    <n v="4"/>
    <n v="0"/>
    <n v="0"/>
    <n v="0"/>
    <n v="0"/>
    <n v="0"/>
    <n v="0"/>
    <n v="0"/>
    <n v="0"/>
    <n v="0"/>
    <n v="0"/>
    <n v="0"/>
    <n v="0"/>
    <n v="0"/>
    <n v="0"/>
    <n v="0"/>
    <n v="0"/>
    <n v="0"/>
    <n v="0"/>
    <s v="Strategic Planning/Nine Elms"/>
    <x v="0"/>
    <x v="1"/>
    <x v="1"/>
    <x v="0"/>
    <x v="0"/>
    <x v="0"/>
    <m/>
    <x v="0"/>
    <s v="N"/>
    <n v="15"/>
    <s v="2014/1471 used for phasing"/>
    <n v="0"/>
    <n v="0"/>
    <n v="0"/>
    <n v="0"/>
    <n v="0"/>
    <n v="0"/>
    <n v="0"/>
    <n v="0"/>
    <n v="0"/>
    <n v="0"/>
    <n v="0"/>
    <n v="0"/>
    <n v="0"/>
    <n v="0"/>
    <n v="0"/>
    <n v="0"/>
    <n v="0"/>
    <n v="0"/>
    <n v="0"/>
    <n v="0"/>
    <n v="0"/>
    <n v="0"/>
    <n v="0"/>
  </r>
  <r>
    <n v="1952"/>
    <x v="3"/>
    <s v="2016/5803"/>
    <m/>
    <s v="Our Lady of Mount Carmel &amp; St Joseph, 8 Battersea Park Road"/>
    <s v="LEVEL 5"/>
    <n v="528781"/>
    <n v="177000"/>
    <x v="6"/>
    <m/>
    <m/>
    <n v="0"/>
    <n v="4"/>
    <n v="4"/>
    <n v="24"/>
    <n v="24"/>
    <s v="Y"/>
    <s v="Application under Section 73 of the Town and Country Planning Act (as amended) for amendments to planning permission dated 28 October 2014 (ref.2014/1471) for the demolition of existing vacant single-storey parish and ancillary buildings and construction of a replacement residential building to the west of the existing church building residential units (C3), retail use (A1/A3) and ancillary church accommodation (D1) at ground floor level; extension and associated alterations to the southern elevation of the church to provide ancillary church accommodation in the form of a new parish hall (D1); and works to hard and soft landscaping and alterations to front boundary treatment. (The amendments include increase in height by 2 metres; a change to the unit mix resulting in the delivery of four extra units; amendments to the internal layout of residential units and community hall; amendments to the buildings elevations including relocation and addition of windows; reduction of groundfloor retail space; addition of an extra canopy above the entrance to the community hall and the relocation of the basement of the new community hall)."/>
    <s v="SLA"/>
    <d v="2016-10-14T00:00:00"/>
    <m/>
    <x v="0"/>
    <s v="Nil"/>
    <m/>
    <s v="BF"/>
    <x v="0"/>
    <x v="1"/>
    <x v="1"/>
    <n v="2.5000000372528999E-2"/>
    <m/>
    <x v="0"/>
    <m/>
    <x v="0"/>
    <s v="P"/>
    <m/>
    <m/>
    <n v="0"/>
    <m/>
    <n v="0"/>
    <m/>
    <n v="0"/>
    <n v="0"/>
    <n v="4"/>
    <n v="0"/>
    <n v="0"/>
    <n v="0"/>
    <n v="0"/>
    <n v="0"/>
    <n v="0"/>
    <n v="4"/>
    <n v="0"/>
    <n v="0"/>
    <n v="0"/>
    <n v="0"/>
    <n v="0"/>
    <n v="0"/>
    <n v="0"/>
    <n v="0"/>
    <n v="0"/>
    <n v="0"/>
    <n v="0"/>
    <n v="0"/>
    <n v="0"/>
    <n v="0"/>
    <n v="0"/>
    <n v="0"/>
    <n v="0"/>
    <n v="0"/>
    <s v="Strategic Planning/Nine Elms"/>
    <x v="0"/>
    <x v="1"/>
    <x v="1"/>
    <x v="0"/>
    <x v="0"/>
    <x v="0"/>
    <m/>
    <x v="0"/>
    <s v="N"/>
    <n v="15"/>
    <s v="2014/1471 used for phasing"/>
    <n v="0"/>
    <n v="0"/>
    <n v="0"/>
    <n v="0"/>
    <n v="0"/>
    <n v="0"/>
    <n v="0"/>
    <n v="0"/>
    <n v="0"/>
    <n v="0"/>
    <n v="0"/>
    <n v="0"/>
    <n v="0"/>
    <n v="0"/>
    <n v="0"/>
    <n v="0"/>
    <n v="0"/>
    <n v="0"/>
    <n v="0"/>
    <n v="0"/>
    <n v="0"/>
    <n v="0"/>
    <n v="0"/>
  </r>
  <r>
    <n v="1952"/>
    <x v="3"/>
    <s v="2016/5803"/>
    <m/>
    <s v="Our Lady of Mount Carmel &amp; St Joseph, 8 Battersea Park Road"/>
    <s v="LEVEL 6"/>
    <n v="528781"/>
    <n v="177000"/>
    <x v="6"/>
    <m/>
    <m/>
    <n v="0"/>
    <n v="2"/>
    <n v="2"/>
    <n v="24"/>
    <n v="24"/>
    <s v="Y"/>
    <s v="Application under Section 73 of the Town and Country Planning Act (as amended) for amendments to planning permission dated 28 October 2014 (ref.2014/1471) for the demolition of existing vacant single-storey parish and ancillary buildings and construction of a replacement residential building to the west of the existing church building residential units (C3), retail use (A1/A3) and ancillary church accommodation (D1) at ground floor level; extension and associated alterations to the southern elevation of the church to provide ancillary church accommodation in the form of a new parish hall (D1); and works to hard and soft landscaping and alterations to front boundary treatment. (The amendments include increase in height by 2 metres; a change to the unit mix resulting in the delivery of four extra units; amendments to the internal layout of residential units and community hall; amendments to the buildings elevations including relocation and addition of windows; reduction of groundfloor retail space; addition of an extra canopy above the entrance to the community hall and the relocation of the basement of the new community hall)."/>
    <s v="SLA"/>
    <d v="2016-10-14T00:00:00"/>
    <m/>
    <x v="0"/>
    <s v="Nil"/>
    <m/>
    <s v="BF"/>
    <x v="0"/>
    <x v="1"/>
    <x v="1"/>
    <n v="1.30000002682209E-2"/>
    <m/>
    <x v="0"/>
    <m/>
    <x v="0"/>
    <s v="P"/>
    <m/>
    <m/>
    <n v="0"/>
    <m/>
    <n v="0"/>
    <m/>
    <n v="0"/>
    <n v="0"/>
    <n v="2"/>
    <n v="0"/>
    <n v="0"/>
    <n v="0"/>
    <n v="0"/>
    <n v="0"/>
    <n v="0"/>
    <n v="2"/>
    <n v="0"/>
    <n v="0"/>
    <n v="0"/>
    <n v="0"/>
    <n v="0"/>
    <n v="0"/>
    <n v="0"/>
    <n v="0"/>
    <n v="0"/>
    <n v="0"/>
    <n v="0"/>
    <n v="0"/>
    <n v="0"/>
    <n v="0"/>
    <n v="0"/>
    <n v="0"/>
    <n v="0"/>
    <n v="0"/>
    <s v="Strategic Planning/Nine Elms"/>
    <x v="0"/>
    <x v="1"/>
    <x v="1"/>
    <x v="0"/>
    <x v="0"/>
    <x v="0"/>
    <m/>
    <x v="0"/>
    <s v="N"/>
    <n v="15"/>
    <s v="2014/1471 used for phasing"/>
    <n v="0"/>
    <n v="0"/>
    <n v="0"/>
    <n v="0"/>
    <n v="0"/>
    <n v="0"/>
    <n v="0"/>
    <n v="0"/>
    <n v="0"/>
    <n v="0"/>
    <n v="0"/>
    <n v="0"/>
    <n v="0"/>
    <n v="0"/>
    <n v="0"/>
    <n v="0"/>
    <n v="0"/>
    <n v="0"/>
    <n v="0"/>
    <n v="0"/>
    <n v="0"/>
    <n v="0"/>
    <n v="0"/>
  </r>
  <r>
    <n v="3519"/>
    <x v="3"/>
    <s v="2017/0580"/>
    <m/>
    <s v="B and Q Depot, Smugglers Way"/>
    <m/>
    <n v="525782"/>
    <n v="175172"/>
    <x v="0"/>
    <m/>
    <m/>
    <n v="0"/>
    <n v="336"/>
    <n v="336"/>
    <n v="517"/>
    <n v="517"/>
    <s v="Y"/>
    <s v="Demolition of existing retail buildings and phased construction of 14 residential blocks (with 3 podiums) ranging from 8 to 15 storeys to provide a mixed use scheme including 517 residential units (Class C3), 5098 s.q.m. GIA of business (Class B1) and 2745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An Environmental Statement has been submitted under the Town and Country Planning (Environmental Impact Assessment) Regulations 2011 as amended."/>
    <s v="SLA"/>
    <d v="2017-01-31T00:00:00"/>
    <m/>
    <x v="0"/>
    <s v="Nil"/>
    <m/>
    <s v="BF"/>
    <x v="0"/>
    <x v="1"/>
    <x v="1"/>
    <n v="0"/>
    <m/>
    <x v="0"/>
    <m/>
    <x v="0"/>
    <s v="P"/>
    <s v="3.7"/>
    <m/>
    <n v="336"/>
    <m/>
    <n v="34"/>
    <m/>
    <n v="0"/>
    <n v="77"/>
    <n v="221"/>
    <n v="38"/>
    <n v="0"/>
    <n v="0"/>
    <n v="0"/>
    <n v="0"/>
    <n v="77"/>
    <n v="221"/>
    <n v="38"/>
    <n v="0"/>
    <n v="0"/>
    <n v="0"/>
    <n v="0"/>
    <n v="0"/>
    <n v="0"/>
    <n v="0"/>
    <n v="0"/>
    <n v="0"/>
    <n v="0"/>
    <n v="0"/>
    <n v="0"/>
    <n v="0"/>
    <n v="0"/>
    <n v="0"/>
    <n v="0"/>
    <n v="0"/>
    <s v="West"/>
    <x v="0"/>
    <x v="0"/>
    <x v="0"/>
    <x v="0"/>
    <x v="0"/>
    <x v="0"/>
    <m/>
    <x v="0"/>
    <s v="Y"/>
    <s v="5B"/>
    <m/>
    <n v="0"/>
    <n v="0"/>
    <n v="0"/>
    <n v="0"/>
    <n v="112"/>
    <n v="112"/>
    <n v="112"/>
    <n v="0"/>
    <n v="0"/>
    <n v="0"/>
    <n v="0"/>
    <n v="0"/>
    <n v="0"/>
    <n v="0"/>
    <n v="0"/>
    <n v="0"/>
    <n v="0"/>
    <n v="0"/>
    <n v="0"/>
    <n v="0"/>
    <n v="0"/>
    <n v="224"/>
    <n v="336"/>
  </r>
  <r>
    <n v="3519"/>
    <x v="3"/>
    <s v="2017/0580"/>
    <m/>
    <s v="B and Q Depot, Smugglers Way"/>
    <m/>
    <n v="525782"/>
    <n v="175172"/>
    <x v="0"/>
    <m/>
    <m/>
    <n v="0"/>
    <n v="181"/>
    <n v="181"/>
    <n v="517"/>
    <n v="517"/>
    <s v="Y"/>
    <s v="Demolition of existing retail buildings and phased construction of 14 residential blocks (with 3 podiums) ranging from 8 to 15 storeys to provide a mixed use scheme including 517 residential units (Class C3), 5098 s.q.m. GIA of business (Class B1) and 2745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An Environmental Statement has been submitted under the Town and Country Planning (Environmental Impact Assessment) Regulations 2011 as amended."/>
    <s v="SLA"/>
    <d v="2017-01-31T00:00:00"/>
    <m/>
    <x v="0"/>
    <s v="Nil"/>
    <m/>
    <s v="BF"/>
    <x v="0"/>
    <x v="1"/>
    <x v="1"/>
    <n v="0"/>
    <m/>
    <x v="0"/>
    <m/>
    <x v="1"/>
    <s v="HAIU"/>
    <s v="3.7"/>
    <m/>
    <n v="181"/>
    <m/>
    <n v="18"/>
    <m/>
    <n v="0"/>
    <n v="46"/>
    <n v="118"/>
    <n v="17"/>
    <n v="0"/>
    <n v="0"/>
    <n v="0"/>
    <n v="0"/>
    <n v="46"/>
    <n v="118"/>
    <n v="17"/>
    <n v="0"/>
    <n v="0"/>
    <n v="0"/>
    <n v="0"/>
    <n v="0"/>
    <n v="0"/>
    <n v="0"/>
    <n v="0"/>
    <n v="0"/>
    <n v="0"/>
    <n v="0"/>
    <n v="0"/>
    <n v="0"/>
    <n v="0"/>
    <n v="0"/>
    <n v="0"/>
    <n v="0"/>
    <s v="West"/>
    <x v="0"/>
    <x v="0"/>
    <x v="0"/>
    <x v="0"/>
    <x v="0"/>
    <x v="0"/>
    <m/>
    <x v="0"/>
    <s v="Y"/>
    <s v="5B"/>
    <m/>
    <n v="0"/>
    <n v="0"/>
    <n v="0"/>
    <n v="0"/>
    <n v="60.333333333333336"/>
    <n v="60.333333333333336"/>
    <n v="60.333333333333336"/>
    <n v="0"/>
    <n v="0"/>
    <n v="0"/>
    <n v="0"/>
    <n v="0"/>
    <n v="0"/>
    <n v="0"/>
    <n v="0"/>
    <n v="0"/>
    <n v="0"/>
    <n v="0"/>
    <n v="0"/>
    <n v="0"/>
    <n v="0"/>
    <n v="120.66666666666667"/>
    <n v="181"/>
  </r>
  <r>
    <n v="3519"/>
    <x v="3"/>
    <s v="2017/0580"/>
    <m/>
    <s v="B and Q Depot, Smugglers Way"/>
    <m/>
    <n v="525782"/>
    <n v="175172"/>
    <x v="0"/>
    <m/>
    <m/>
    <n v="0"/>
    <n v="0"/>
    <n v="0"/>
    <n v="517"/>
    <n v="517"/>
    <s v="Y"/>
    <s v="Demolition of existing retail buildings and phased construction of 14 residential blocks (with 3 podiums) ranging from 8 to 15 storeys to provide a mixed use scheme including 517 residential units (Class C3), 5098 s.q.m. GIA of business (Class B1) and 2745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An Environmental Statement has been submitted under the Town and Country Planning (Environmental Impact Assessment) Regulations 2011 as amended."/>
    <s v="SLA"/>
    <d v="2017-01-31T00:00:00"/>
    <m/>
    <x v="0"/>
    <s v="Nil"/>
    <m/>
    <s v="BF"/>
    <x v="0"/>
    <x v="1"/>
    <x v="1"/>
    <n v="0"/>
    <m/>
    <x v="0"/>
    <m/>
    <x v="2"/>
    <s v="HAAR"/>
    <s v="3.7"/>
    <m/>
    <n v="0"/>
    <m/>
    <n v="0"/>
    <m/>
    <n v="0"/>
    <n v="0"/>
    <n v="0"/>
    <n v="0"/>
    <n v="0"/>
    <n v="0"/>
    <n v="0"/>
    <n v="0"/>
    <n v="0"/>
    <n v="0"/>
    <n v="0"/>
    <n v="0"/>
    <n v="0"/>
    <n v="0"/>
    <n v="0"/>
    <n v="0"/>
    <n v="0"/>
    <n v="0"/>
    <n v="0"/>
    <n v="0"/>
    <n v="0"/>
    <n v="0"/>
    <n v="0"/>
    <n v="0"/>
    <n v="0"/>
    <n v="0"/>
    <n v="0"/>
    <n v="0"/>
    <s v="West"/>
    <x v="0"/>
    <x v="0"/>
    <x v="0"/>
    <x v="0"/>
    <x v="0"/>
    <x v="0"/>
    <m/>
    <x v="0"/>
    <s v="Y"/>
    <s v="5B"/>
    <m/>
    <n v="0"/>
    <n v="0"/>
    <n v="0"/>
    <n v="0"/>
    <n v="0"/>
    <n v="0"/>
    <n v="0"/>
    <n v="0"/>
    <n v="0"/>
    <n v="0"/>
    <n v="0"/>
    <n v="0"/>
    <n v="0"/>
    <n v="0"/>
    <n v="0"/>
    <n v="0"/>
    <n v="0"/>
    <n v="0"/>
    <n v="0"/>
    <n v="0"/>
    <n v="0"/>
    <n v="0"/>
    <n v="0"/>
  </r>
  <r>
    <n v="3522"/>
    <x v="3"/>
    <s v="2016/7356"/>
    <m/>
    <s v="Homebase, Swandon Way"/>
    <m/>
    <n v="525912"/>
    <n v="175143"/>
    <x v="0"/>
    <m/>
    <m/>
    <n v="0"/>
    <n v="264"/>
    <n v="264"/>
    <n v="348"/>
    <n v="348"/>
    <s v="Y"/>
    <s v="Demolition of existing retail warehouse building and erection of three buildings ranging from 7 to 15 storeys with basement to provide a mixed use scheme including 343 residential units (Class C3), 597 sq.m. GIA of retail units (Class A1 and/or A2 and/or A3 uses) 164 sq.m. of Community Use (Class D1) and 1647 sq.m. GIA of studio/offices (Class B1), with associated cycle parking spaces and 89 car parking spaces, playspace, landscaping and public realm improvements (including contribution towards the new entrance to Wandsworth Town Station). An Environmental Statement has been submitted with the planning application under the Town and Country Planning (Environmental Impact Assessment) Regulations 2011 as amended."/>
    <s v="SLA"/>
    <d v="2017-01-04T00:00:00"/>
    <m/>
    <x v="0"/>
    <s v="Nil"/>
    <m/>
    <s v="BF"/>
    <x v="0"/>
    <x v="1"/>
    <x v="1"/>
    <n v="0"/>
    <m/>
    <x v="0"/>
    <m/>
    <x v="0"/>
    <s v="P"/>
    <s v="3.6"/>
    <m/>
    <n v="264"/>
    <m/>
    <n v="26"/>
    <m/>
    <n v="0"/>
    <n v="114"/>
    <n v="127"/>
    <n v="23"/>
    <n v="0"/>
    <n v="0"/>
    <n v="0"/>
    <n v="0"/>
    <n v="114"/>
    <n v="127"/>
    <n v="23"/>
    <n v="0"/>
    <n v="0"/>
    <n v="0"/>
    <n v="0"/>
    <n v="0"/>
    <n v="0"/>
    <n v="0"/>
    <n v="0"/>
    <n v="0"/>
    <n v="0"/>
    <n v="0"/>
    <n v="0"/>
    <n v="0"/>
    <n v="0"/>
    <n v="0"/>
    <n v="0"/>
    <n v="0"/>
    <s v="West"/>
    <x v="0"/>
    <x v="0"/>
    <x v="0"/>
    <x v="0"/>
    <x v="0"/>
    <x v="0"/>
    <m/>
    <x v="0"/>
    <s v="Y"/>
    <s v="5B"/>
    <m/>
    <n v="0"/>
    <n v="0"/>
    <n v="0"/>
    <n v="0"/>
    <n v="88"/>
    <n v="88"/>
    <n v="88"/>
    <n v="0"/>
    <n v="0"/>
    <n v="0"/>
    <n v="0"/>
    <n v="0"/>
    <n v="0"/>
    <n v="0"/>
    <n v="0"/>
    <n v="0"/>
    <n v="0"/>
    <n v="0"/>
    <n v="0"/>
    <n v="0"/>
    <n v="0"/>
    <n v="176"/>
    <n v="264"/>
  </r>
  <r>
    <n v="3522"/>
    <x v="3"/>
    <s v="2016/7356"/>
    <m/>
    <s v="Homebase, Swandon Way"/>
    <m/>
    <n v="525912"/>
    <n v="175143"/>
    <x v="0"/>
    <m/>
    <m/>
    <n v="0"/>
    <n v="84"/>
    <n v="84"/>
    <n v="348"/>
    <n v="348"/>
    <s v="Y"/>
    <s v="Demolition of existing retail warehouse building and erection of three buildings ranging from 7 to 15 storeys with basement to provide a mixed use scheme including 343 residential units (Class C3), 597 sq.m. GIA of retail units (Class A1 and/or A2 and/or A3 uses) 164 sq.m. of Community Use (Class D1) and 1647 sq.m. GIA of studio/offices (Class B1), with associated cycle parking spaces and 89 car parking spaces, playspace, landscaping and public realm improvements (including contribution towards the new entrance to Wandsworth Town Station). An Environmental Statement has been submitted with the planning application under the Town and Country Planning (Environmental Impact Assessment) Regulations 2011 as amended."/>
    <s v="SLA"/>
    <d v="2017-01-04T00:00:00"/>
    <m/>
    <x v="0"/>
    <s v="Nil"/>
    <m/>
    <s v="BF"/>
    <x v="0"/>
    <x v="1"/>
    <x v="1"/>
    <n v="0"/>
    <m/>
    <x v="0"/>
    <m/>
    <x v="1"/>
    <s v="HAIS"/>
    <s v="3.6"/>
    <m/>
    <n v="84"/>
    <m/>
    <n v="9"/>
    <m/>
    <n v="0"/>
    <n v="44"/>
    <n v="40"/>
    <n v="0"/>
    <n v="0"/>
    <n v="0"/>
    <n v="0"/>
    <n v="0"/>
    <n v="44"/>
    <n v="40"/>
    <n v="0"/>
    <n v="0"/>
    <n v="0"/>
    <n v="0"/>
    <n v="0"/>
    <n v="0"/>
    <n v="0"/>
    <n v="0"/>
    <n v="0"/>
    <n v="0"/>
    <n v="0"/>
    <n v="0"/>
    <n v="0"/>
    <n v="0"/>
    <n v="0"/>
    <n v="0"/>
    <n v="0"/>
    <n v="0"/>
    <s v="West"/>
    <x v="0"/>
    <x v="0"/>
    <x v="0"/>
    <x v="0"/>
    <x v="0"/>
    <x v="0"/>
    <m/>
    <x v="0"/>
    <s v="Y"/>
    <s v="5B"/>
    <m/>
    <n v="0"/>
    <n v="0"/>
    <n v="0"/>
    <n v="0"/>
    <n v="28"/>
    <n v="28"/>
    <n v="28"/>
    <n v="0"/>
    <n v="0"/>
    <n v="0"/>
    <n v="0"/>
    <n v="0"/>
    <n v="0"/>
    <n v="0"/>
    <n v="0"/>
    <n v="0"/>
    <n v="0"/>
    <n v="0"/>
    <n v="0"/>
    <n v="0"/>
    <n v="0"/>
    <n v="56"/>
    <n v="84"/>
  </r>
  <r>
    <n v="3526"/>
    <x v="3"/>
    <s v="2017/4380"/>
    <m/>
    <s v="Homebase, 198 York Road"/>
    <s v="BLOCK A"/>
    <n v="526547"/>
    <n v="175744"/>
    <x v="1"/>
    <m/>
    <m/>
    <n v="0"/>
    <n v="54"/>
    <n v="54"/>
    <n v="299"/>
    <n v="299"/>
    <s v="Y"/>
    <s v="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s v="SLA"/>
    <d v="2017-08-04T00:00:00"/>
    <m/>
    <x v="0"/>
    <s v="Nil"/>
    <m/>
    <s v="BF"/>
    <x v="0"/>
    <x v="1"/>
    <x v="1"/>
    <n v="0.123000003397465"/>
    <m/>
    <x v="0"/>
    <m/>
    <x v="0"/>
    <s v="P"/>
    <s v="10.4"/>
    <m/>
    <n v="0"/>
    <m/>
    <n v="0"/>
    <m/>
    <n v="0"/>
    <n v="8"/>
    <n v="42"/>
    <n v="4"/>
    <n v="0"/>
    <n v="0"/>
    <n v="0"/>
    <n v="0"/>
    <n v="8"/>
    <n v="42"/>
    <n v="4"/>
    <n v="0"/>
    <n v="0"/>
    <n v="0"/>
    <n v="0"/>
    <n v="0"/>
    <n v="0"/>
    <n v="0"/>
    <n v="0"/>
    <n v="0"/>
    <n v="0"/>
    <n v="0"/>
    <n v="0"/>
    <n v="0"/>
    <n v="0"/>
    <n v="0"/>
    <n v="0"/>
    <n v="0"/>
    <s v="East"/>
    <x v="0"/>
    <x v="0"/>
    <x v="1"/>
    <x v="0"/>
    <x v="0"/>
    <x v="0"/>
    <s v="Y"/>
    <x v="0"/>
    <s v="N"/>
    <n v="15"/>
    <s v="2017/3886 used for phasing"/>
    <n v="0"/>
    <n v="0"/>
    <n v="0"/>
    <n v="0"/>
    <n v="0"/>
    <n v="0"/>
    <n v="0"/>
    <n v="0"/>
    <n v="0"/>
    <n v="0"/>
    <n v="0"/>
    <n v="0"/>
    <n v="0"/>
    <n v="0"/>
    <n v="0"/>
    <n v="0"/>
    <n v="0"/>
    <n v="0"/>
    <n v="0"/>
    <n v="0"/>
    <n v="0"/>
    <n v="0"/>
    <n v="0"/>
  </r>
  <r>
    <n v="3526"/>
    <x v="3"/>
    <s v="2017/4380"/>
    <m/>
    <s v="Homebase, 198 York Road"/>
    <s v="BLOCK A"/>
    <n v="526547"/>
    <n v="175744"/>
    <x v="1"/>
    <m/>
    <m/>
    <n v="0"/>
    <n v="13"/>
    <n v="13"/>
    <n v="299"/>
    <n v="299"/>
    <s v="Y"/>
    <s v="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s v="SLA"/>
    <d v="2017-08-04T00:00:00"/>
    <m/>
    <x v="0"/>
    <s v="Nil"/>
    <m/>
    <s v="BF"/>
    <x v="0"/>
    <x v="1"/>
    <x v="1"/>
    <n v="2.8000000864267301E-2"/>
    <m/>
    <x v="0"/>
    <m/>
    <x v="1"/>
    <s v="HAIS"/>
    <s v="10.4"/>
    <m/>
    <n v="0"/>
    <m/>
    <n v="0"/>
    <m/>
    <n v="0"/>
    <n v="9"/>
    <n v="4"/>
    <n v="0"/>
    <n v="0"/>
    <n v="0"/>
    <n v="0"/>
    <n v="0"/>
    <n v="9"/>
    <n v="4"/>
    <n v="0"/>
    <n v="0"/>
    <n v="0"/>
    <n v="0"/>
    <n v="0"/>
    <n v="0"/>
    <n v="0"/>
    <n v="0"/>
    <n v="0"/>
    <n v="0"/>
    <n v="0"/>
    <n v="0"/>
    <n v="0"/>
    <n v="0"/>
    <n v="0"/>
    <n v="0"/>
    <n v="0"/>
    <n v="0"/>
    <s v="East"/>
    <x v="0"/>
    <x v="0"/>
    <x v="1"/>
    <x v="0"/>
    <x v="0"/>
    <x v="0"/>
    <s v="Y"/>
    <x v="0"/>
    <s v="N"/>
    <n v="15"/>
    <s v="2017/3886 used for phasing"/>
    <n v="0"/>
    <n v="0"/>
    <n v="0"/>
    <n v="0"/>
    <n v="0"/>
    <n v="0"/>
    <n v="0"/>
    <n v="0"/>
    <n v="0"/>
    <n v="0"/>
    <n v="0"/>
    <n v="0"/>
    <n v="0"/>
    <n v="0"/>
    <n v="0"/>
    <n v="0"/>
    <n v="0"/>
    <n v="0"/>
    <n v="0"/>
    <n v="0"/>
    <n v="0"/>
    <n v="0"/>
    <n v="0"/>
  </r>
  <r>
    <n v="3526"/>
    <x v="3"/>
    <s v="2017/4380"/>
    <m/>
    <s v="Homebase, 198 York Road"/>
    <s v="BLOCK B"/>
    <n v="526547"/>
    <n v="175744"/>
    <x v="1"/>
    <m/>
    <m/>
    <n v="0"/>
    <n v="73"/>
    <n v="73"/>
    <n v="299"/>
    <n v="299"/>
    <s v="Y"/>
    <s v="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s v="SLA"/>
    <d v="2017-08-04T00:00:00"/>
    <m/>
    <x v="0"/>
    <s v="Nil"/>
    <m/>
    <s v="BF"/>
    <x v="0"/>
    <x v="1"/>
    <x v="1"/>
    <n v="0.158000007271767"/>
    <m/>
    <x v="0"/>
    <m/>
    <x v="0"/>
    <s v="P"/>
    <s v="10.4"/>
    <m/>
    <n v="0"/>
    <m/>
    <n v="0"/>
    <m/>
    <n v="0"/>
    <n v="6"/>
    <n v="58"/>
    <n v="9"/>
    <n v="0"/>
    <n v="0"/>
    <n v="0"/>
    <n v="0"/>
    <n v="6"/>
    <n v="58"/>
    <n v="9"/>
    <n v="0"/>
    <n v="0"/>
    <n v="0"/>
    <n v="0"/>
    <n v="0"/>
    <n v="0"/>
    <n v="0"/>
    <n v="0"/>
    <n v="0"/>
    <n v="0"/>
    <n v="0"/>
    <n v="0"/>
    <n v="0"/>
    <n v="0"/>
    <n v="0"/>
    <n v="0"/>
    <n v="0"/>
    <s v="East"/>
    <x v="0"/>
    <x v="0"/>
    <x v="1"/>
    <x v="0"/>
    <x v="0"/>
    <x v="0"/>
    <s v="Y"/>
    <x v="0"/>
    <s v="N"/>
    <n v="15"/>
    <s v="2017/3886 used for phasing"/>
    <n v="0"/>
    <n v="0"/>
    <n v="0"/>
    <n v="0"/>
    <n v="0"/>
    <n v="0"/>
    <n v="0"/>
    <n v="0"/>
    <n v="0"/>
    <n v="0"/>
    <n v="0"/>
    <n v="0"/>
    <n v="0"/>
    <n v="0"/>
    <n v="0"/>
    <n v="0"/>
    <n v="0"/>
    <n v="0"/>
    <n v="0"/>
    <n v="0"/>
    <n v="0"/>
    <n v="0"/>
    <n v="0"/>
  </r>
  <r>
    <n v="3526"/>
    <x v="3"/>
    <s v="2017/4380"/>
    <m/>
    <s v="Homebase, 198 York Road"/>
    <s v="BLOCK B"/>
    <n v="526547"/>
    <n v="175744"/>
    <x v="1"/>
    <m/>
    <m/>
    <n v="0"/>
    <n v="29"/>
    <n v="29"/>
    <n v="299"/>
    <n v="299"/>
    <s v="Y"/>
    <s v="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s v="SLA"/>
    <d v="2017-08-04T00:00:00"/>
    <m/>
    <x v="0"/>
    <s v="Nil"/>
    <m/>
    <s v="BF"/>
    <x v="0"/>
    <x v="1"/>
    <x v="1"/>
    <n v="6.1999998986720997E-2"/>
    <m/>
    <x v="0"/>
    <m/>
    <x v="1"/>
    <s v="HAIS"/>
    <s v="10.4"/>
    <m/>
    <n v="0"/>
    <m/>
    <n v="0"/>
    <m/>
    <n v="0"/>
    <n v="20"/>
    <n v="9"/>
    <n v="0"/>
    <n v="0"/>
    <n v="0"/>
    <n v="0"/>
    <n v="0"/>
    <n v="20"/>
    <n v="9"/>
    <n v="0"/>
    <n v="0"/>
    <n v="0"/>
    <n v="0"/>
    <n v="0"/>
    <n v="0"/>
    <n v="0"/>
    <n v="0"/>
    <n v="0"/>
    <n v="0"/>
    <n v="0"/>
    <n v="0"/>
    <n v="0"/>
    <n v="0"/>
    <n v="0"/>
    <n v="0"/>
    <n v="0"/>
    <n v="0"/>
    <s v="East"/>
    <x v="0"/>
    <x v="0"/>
    <x v="1"/>
    <x v="0"/>
    <x v="0"/>
    <x v="0"/>
    <s v="Y"/>
    <x v="0"/>
    <s v="N"/>
    <n v="15"/>
    <s v="2017/3886 used for phasing"/>
    <n v="0"/>
    <n v="0"/>
    <n v="0"/>
    <n v="0"/>
    <n v="0"/>
    <n v="0"/>
    <n v="0"/>
    <n v="0"/>
    <n v="0"/>
    <n v="0"/>
    <n v="0"/>
    <n v="0"/>
    <n v="0"/>
    <n v="0"/>
    <n v="0"/>
    <n v="0"/>
    <n v="0"/>
    <n v="0"/>
    <n v="0"/>
    <n v="0"/>
    <n v="0"/>
    <n v="0"/>
    <n v="0"/>
  </r>
  <r>
    <n v="3526"/>
    <x v="3"/>
    <s v="2017/4380"/>
    <m/>
    <s v="Homebase, 198 York Road"/>
    <s v="BLOCK C"/>
    <n v="526547"/>
    <n v="175744"/>
    <x v="1"/>
    <m/>
    <m/>
    <n v="0"/>
    <n v="130"/>
    <n v="130"/>
    <n v="299"/>
    <n v="299"/>
    <s v="Y"/>
    <s v="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s v="SLA"/>
    <d v="2017-08-04T00:00:00"/>
    <m/>
    <x v="0"/>
    <s v="Nil"/>
    <m/>
    <s v="BF"/>
    <x v="0"/>
    <x v="1"/>
    <x v="1"/>
    <n v="0.28299999237060502"/>
    <m/>
    <x v="0"/>
    <m/>
    <x v="0"/>
    <s v="P"/>
    <s v="10.4"/>
    <m/>
    <n v="0"/>
    <m/>
    <n v="0"/>
    <m/>
    <n v="0"/>
    <n v="40"/>
    <n v="76"/>
    <n v="12"/>
    <n v="0"/>
    <n v="0"/>
    <n v="2"/>
    <n v="0"/>
    <n v="40"/>
    <n v="76"/>
    <n v="12"/>
    <n v="0"/>
    <n v="0"/>
    <n v="2"/>
    <n v="0"/>
    <n v="0"/>
    <n v="0"/>
    <n v="0"/>
    <n v="0"/>
    <n v="0"/>
    <n v="0"/>
    <n v="0"/>
    <n v="0"/>
    <n v="0"/>
    <n v="0"/>
    <n v="0"/>
    <n v="0"/>
    <n v="0"/>
    <s v="East"/>
    <x v="0"/>
    <x v="0"/>
    <x v="1"/>
    <x v="0"/>
    <x v="0"/>
    <x v="0"/>
    <s v="Y"/>
    <x v="0"/>
    <s v="N"/>
    <n v="15"/>
    <s v="2017/3886 used for phasing"/>
    <n v="0"/>
    <n v="0"/>
    <n v="0"/>
    <n v="0"/>
    <n v="0"/>
    <n v="0"/>
    <n v="0"/>
    <n v="0"/>
    <n v="0"/>
    <n v="0"/>
    <n v="0"/>
    <n v="0"/>
    <n v="0"/>
    <n v="0"/>
    <n v="0"/>
    <n v="0"/>
    <n v="0"/>
    <n v="0"/>
    <n v="0"/>
    <n v="0"/>
    <n v="0"/>
    <n v="0"/>
    <n v="0"/>
  </r>
  <r>
    <n v="3980"/>
    <x v="3"/>
    <s v="2017/0745"/>
    <m/>
    <s v="Former Prices Candles Factory, 110 York Road"/>
    <m/>
    <n v="526592"/>
    <n v="175883"/>
    <x v="1"/>
    <m/>
    <m/>
    <n v="0"/>
    <n v="108"/>
    <n v="108"/>
    <n v="136"/>
    <n v="136"/>
    <s v="Y"/>
    <s v="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
    <s v="SLA"/>
    <d v="2017-02-22T00:00:00"/>
    <m/>
    <x v="0"/>
    <s v="Nil"/>
    <m/>
    <s v="BF"/>
    <x v="0"/>
    <x v="1"/>
    <x v="1"/>
    <n v="0.354999989271164"/>
    <m/>
    <x v="0"/>
    <m/>
    <x v="0"/>
    <s v="P"/>
    <s v="10.2"/>
    <m/>
    <n v="108"/>
    <m/>
    <n v="8"/>
    <m/>
    <n v="0"/>
    <n v="24"/>
    <n v="64"/>
    <n v="20"/>
    <n v="0"/>
    <n v="0"/>
    <n v="0"/>
    <n v="0"/>
    <n v="24"/>
    <n v="64"/>
    <n v="20"/>
    <n v="0"/>
    <n v="0"/>
    <n v="0"/>
    <n v="0"/>
    <n v="0"/>
    <n v="0"/>
    <n v="0"/>
    <n v="0"/>
    <n v="0"/>
    <n v="0"/>
    <n v="0"/>
    <n v="0"/>
    <n v="0"/>
    <n v="0"/>
    <n v="0"/>
    <n v="0"/>
    <n v="0"/>
    <s v="East"/>
    <x v="0"/>
    <x v="0"/>
    <x v="1"/>
    <x v="0"/>
    <x v="0"/>
    <x v="0"/>
    <s v="Y"/>
    <x v="0"/>
    <s v="Y"/>
    <s v="5A"/>
    <m/>
    <n v="0"/>
    <n v="21.6"/>
    <n v="21.6"/>
    <n v="21.6"/>
    <n v="21.6"/>
    <n v="21.6"/>
    <n v="0"/>
    <n v="0"/>
    <n v="0"/>
    <n v="0"/>
    <n v="0"/>
    <n v="0"/>
    <n v="0"/>
    <n v="0"/>
    <n v="0"/>
    <n v="0"/>
    <n v="0"/>
    <n v="0"/>
    <n v="0"/>
    <n v="0"/>
    <n v="0"/>
    <n v="108"/>
    <n v="108"/>
  </r>
  <r>
    <n v="3980"/>
    <x v="3"/>
    <s v="2017/0745"/>
    <m/>
    <s v="Former Prices Candles Factory, 110 York Road"/>
    <m/>
    <n v="526592"/>
    <n v="175883"/>
    <x v="1"/>
    <m/>
    <m/>
    <n v="0"/>
    <n v="28"/>
    <n v="28"/>
    <n v="136"/>
    <n v="136"/>
    <s v="Y"/>
    <s v="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
    <s v="SLA"/>
    <d v="2017-02-22T00:00:00"/>
    <m/>
    <x v="0"/>
    <s v="Nil"/>
    <m/>
    <s v="BF"/>
    <x v="0"/>
    <x v="1"/>
    <x v="1"/>
    <n v="7.5000002980232197E-2"/>
    <m/>
    <x v="0"/>
    <m/>
    <x v="1"/>
    <s v="HAIS"/>
    <s v="10.2"/>
    <m/>
    <n v="28"/>
    <m/>
    <n v="6"/>
    <m/>
    <n v="0"/>
    <n v="12"/>
    <n v="16"/>
    <n v="0"/>
    <n v="0"/>
    <n v="0"/>
    <n v="0"/>
    <n v="0"/>
    <n v="12"/>
    <n v="16"/>
    <n v="0"/>
    <n v="0"/>
    <n v="0"/>
    <n v="0"/>
    <n v="0"/>
    <n v="0"/>
    <n v="0"/>
    <n v="0"/>
    <n v="0"/>
    <n v="0"/>
    <n v="0"/>
    <n v="0"/>
    <n v="0"/>
    <n v="0"/>
    <n v="0"/>
    <n v="0"/>
    <n v="0"/>
    <n v="0"/>
    <s v="East"/>
    <x v="0"/>
    <x v="0"/>
    <x v="1"/>
    <x v="0"/>
    <x v="0"/>
    <x v="0"/>
    <s v="Y"/>
    <x v="0"/>
    <s v="Y"/>
    <s v="5A"/>
    <m/>
    <n v="0"/>
    <n v="5.6"/>
    <n v="5.6"/>
    <n v="5.6"/>
    <n v="5.6"/>
    <n v="5.6"/>
    <n v="0"/>
    <n v="0"/>
    <n v="0"/>
    <n v="0"/>
    <n v="0"/>
    <n v="0"/>
    <n v="0"/>
    <n v="0"/>
    <n v="0"/>
    <n v="0"/>
    <n v="0"/>
    <n v="0"/>
    <n v="0"/>
    <n v="0"/>
    <n v="0"/>
    <n v="28"/>
    <n v="28"/>
  </r>
  <r>
    <n v="6404"/>
    <x v="3"/>
    <s v="2017/4038"/>
    <m/>
    <s v="Land rear of 857, 857 Garratt Lane"/>
    <m/>
    <n v="526552"/>
    <n v="172073"/>
    <x v="18"/>
    <m/>
    <m/>
    <n v="1"/>
    <n v="10"/>
    <n v="9"/>
    <n v="10"/>
    <n v="9"/>
    <s v="Y"/>
    <s v="Demolition of existing building (857E Garratt Lane) and erection of three-storey (plus basement) building to provide 4 x 1-bedroom flats and 6 x 2-bedroom flats including front and rear lightwells and front and rear balconies/roof terraces at first floor level; associated boundary treatment, refuse and cycle stores and landscaping."/>
    <s v="SLA"/>
    <d v="2017-07-17T00:00:00"/>
    <m/>
    <x v="0"/>
    <s v="Nil"/>
    <m/>
    <s v="BF"/>
    <x v="0"/>
    <x v="1"/>
    <x v="1"/>
    <n v="1.7999999225139601E-2"/>
    <m/>
    <x v="0"/>
    <m/>
    <x v="0"/>
    <s v="P"/>
    <m/>
    <m/>
    <n v="0"/>
    <n v="9"/>
    <n v="0"/>
    <n v="1"/>
    <n v="0"/>
    <n v="4"/>
    <n v="5"/>
    <n v="0"/>
    <n v="0"/>
    <n v="0"/>
    <n v="0"/>
    <n v="0"/>
    <n v="4"/>
    <n v="6"/>
    <n v="0"/>
    <n v="0"/>
    <n v="0"/>
    <n v="0"/>
    <n v="0"/>
    <n v="0"/>
    <n v="-1"/>
    <n v="0"/>
    <n v="0"/>
    <n v="0"/>
    <n v="0"/>
    <n v="0"/>
    <n v="0"/>
    <n v="0"/>
    <n v="0"/>
    <n v="0"/>
    <n v="0"/>
    <n v="0"/>
    <s v="West"/>
    <x v="0"/>
    <x v="0"/>
    <x v="1"/>
    <x v="0"/>
    <x v="0"/>
    <x v="0"/>
    <m/>
    <x v="0"/>
    <s v="N"/>
    <n v="15"/>
    <s v="2017/0805 used for phasing"/>
    <n v="0"/>
    <n v="0"/>
    <n v="0"/>
    <n v="0"/>
    <n v="0"/>
    <n v="0"/>
    <n v="0"/>
    <n v="0"/>
    <n v="0"/>
    <n v="0"/>
    <n v="0"/>
    <n v="0"/>
    <n v="0"/>
    <n v="0"/>
    <n v="0"/>
    <n v="0"/>
    <n v="0"/>
    <n v="0"/>
    <n v="0"/>
    <n v="0"/>
    <n v="0"/>
    <n v="0"/>
    <n v="0"/>
  </r>
  <r>
    <n v="6478"/>
    <x v="3"/>
    <s v="2016/5422"/>
    <s v="Site @ Palmerston Court 1 Palmerston Way, The Pavillion 1 Bradmead and"/>
    <s v="and Flanagan 133 Battersea Park Road and, 1-3 Havelock Terrace"/>
    <m/>
    <n v="528953"/>
    <n v="177092"/>
    <x v="6"/>
    <m/>
    <m/>
    <n v="0"/>
    <n v="128"/>
    <n v="128"/>
    <n v="162"/>
    <n v="162"/>
    <s v="Y"/>
    <s v="Demolition of all existing buildings and construction of 4 buildings ranging from 9 to 16 storeys in height, comprising 162 residential units; office (B1) accommodation; drinking establishment (A4); flexible workspace/non-residential institution (B1/D1) use; flexible retail (A1/A2/A3) uses; car and cycle parking, servicing, refuse and associated plant; public realm improvements incidental to the development including the creation of a level threshold fronting Battersea Park Road and a new public route through the centre of the site; hard and soft landscaping works; infrastructure works and other associated works  An Environmental Statement has been submitted with the application under the Town and Country Planning (Environmental Impact Assessment) Regulations 2011 (As amended) (Amended Description)"/>
    <s v="SLA"/>
    <d v="2016-09-15T00:00:00"/>
    <m/>
    <x v="0"/>
    <s v="Nil"/>
    <m/>
    <s v="BF"/>
    <x v="0"/>
    <x v="1"/>
    <x v="1"/>
    <n v="0"/>
    <m/>
    <x v="0"/>
    <m/>
    <x v="0"/>
    <s v="P"/>
    <m/>
    <m/>
    <n v="130"/>
    <m/>
    <n v="13"/>
    <m/>
    <n v="0"/>
    <n v="31"/>
    <n v="86"/>
    <n v="11"/>
    <n v="0"/>
    <n v="0"/>
    <n v="0"/>
    <n v="0"/>
    <n v="31"/>
    <n v="86"/>
    <n v="11"/>
    <n v="0"/>
    <n v="0"/>
    <n v="0"/>
    <n v="0"/>
    <n v="0"/>
    <n v="0"/>
    <n v="0"/>
    <n v="0"/>
    <n v="0"/>
    <n v="0"/>
    <n v="0"/>
    <n v="0"/>
    <n v="0"/>
    <n v="0"/>
    <n v="0"/>
    <n v="0"/>
    <n v="0"/>
    <s v="Strategic Planning/Nine Elms"/>
    <x v="0"/>
    <x v="1"/>
    <x v="1"/>
    <x v="0"/>
    <x v="0"/>
    <x v="0"/>
    <m/>
    <x v="0"/>
    <s v="Y"/>
    <n v="12"/>
    <m/>
    <n v="0"/>
    <n v="0"/>
    <n v="0"/>
    <n v="0"/>
    <n v="128"/>
    <n v="0"/>
    <n v="0"/>
    <n v="0"/>
    <n v="0"/>
    <n v="0"/>
    <n v="0"/>
    <n v="0"/>
    <n v="0"/>
    <n v="0"/>
    <n v="0"/>
    <n v="0"/>
    <n v="0"/>
    <n v="0"/>
    <n v="0"/>
    <n v="0"/>
    <n v="0"/>
    <n v="128"/>
    <n v="128"/>
  </r>
  <r>
    <n v="6478"/>
    <x v="3"/>
    <s v="2016/5422"/>
    <s v="Site @ Palmerston Court 1 Palmerston Way, The Pavillion 1 Bradmead and"/>
    <s v="and Flanagan 133 Battersea Park Road and, 1-3 Havelock Terrace"/>
    <m/>
    <n v="528953"/>
    <n v="177092"/>
    <x v="6"/>
    <m/>
    <m/>
    <n v="0"/>
    <n v="34"/>
    <n v="34"/>
    <n v="162"/>
    <n v="162"/>
    <s v="Y"/>
    <s v="Demolition of all existing buildings and construction of 4 buildings ranging from 9 to 16 storeys in height, comprising 162 residential units; office (B1) accommodation; drinking establishment (A4); flexible workspace/non-residential institution (B1/D1) use; flexible retail (A1/A2/A3) uses; car and cycle parking, servicing, refuse and associated plant; public realm improvements incidental to the development including the creation of a level threshold fronting Battersea Park Road and a new public route through the centre of the site; hard and soft landscaping works; infrastructure works and other associated works  An Environmental Statement has been submitted with the application under the Town and Country Planning (Environmental Impact Assessment) Regulations 2011 (As amended) (Amended Description)"/>
    <s v="SLA"/>
    <d v="2016-09-15T00:00:00"/>
    <m/>
    <x v="0"/>
    <s v="Nil"/>
    <m/>
    <s v="BF"/>
    <x v="0"/>
    <x v="1"/>
    <x v="1"/>
    <n v="0"/>
    <m/>
    <x v="0"/>
    <m/>
    <x v="1"/>
    <s v="HAIS"/>
    <m/>
    <m/>
    <n v="44"/>
    <m/>
    <n v="4"/>
    <m/>
    <n v="0"/>
    <n v="17"/>
    <n v="17"/>
    <n v="0"/>
    <n v="0"/>
    <n v="0"/>
    <n v="0"/>
    <n v="0"/>
    <n v="17"/>
    <n v="17"/>
    <n v="0"/>
    <n v="0"/>
    <n v="0"/>
    <n v="0"/>
    <n v="0"/>
    <n v="0"/>
    <n v="0"/>
    <n v="0"/>
    <n v="0"/>
    <n v="0"/>
    <n v="0"/>
    <n v="0"/>
    <n v="0"/>
    <n v="0"/>
    <n v="0"/>
    <n v="0"/>
    <n v="0"/>
    <n v="0"/>
    <s v="Strategic Planning/Nine Elms"/>
    <x v="0"/>
    <x v="1"/>
    <x v="1"/>
    <x v="0"/>
    <x v="0"/>
    <x v="0"/>
    <m/>
    <x v="0"/>
    <s v="Y"/>
    <n v="12"/>
    <m/>
    <n v="0"/>
    <n v="0"/>
    <n v="0"/>
    <n v="0"/>
    <n v="34"/>
    <n v="0"/>
    <n v="0"/>
    <n v="0"/>
    <n v="0"/>
    <n v="0"/>
    <n v="0"/>
    <n v="0"/>
    <n v="0"/>
    <n v="0"/>
    <n v="0"/>
    <n v="0"/>
    <n v="0"/>
    <n v="0"/>
    <n v="0"/>
    <n v="0"/>
    <n v="0"/>
    <n v="34"/>
    <n v="34"/>
  </r>
  <r>
    <n v="6499"/>
    <x v="3"/>
    <s v="2016/6020"/>
    <m/>
    <s v="Albany House, Portslade Road"/>
    <m/>
    <n v="529152"/>
    <n v="176426"/>
    <x v="6"/>
    <m/>
    <m/>
    <n v="1"/>
    <n v="4"/>
    <n v="3"/>
    <n v="4"/>
    <n v="3"/>
    <m/>
    <s v="Demolition of existing two-storey residential property and construction of a 10-storey building plus basement to provide a mixed use development comprising office (B1 use) floorspace at ground and first floor level and 9 x two and three bedroom self-contained flats (C3 use) above, with a residents gym and bike store at basement level and refuse store and one onsite disabled car parking space at ground level."/>
    <s v="SLA"/>
    <d v="2016-10-26T00:00:00"/>
    <m/>
    <x v="0"/>
    <s v="Nil"/>
    <m/>
    <s v="BF"/>
    <x v="0"/>
    <x v="0"/>
    <x v="0"/>
    <n v="9.9999997764825804E-3"/>
    <m/>
    <x v="0"/>
    <m/>
    <x v="0"/>
    <s v="P"/>
    <m/>
    <m/>
    <n v="9"/>
    <m/>
    <n v="0"/>
    <m/>
    <n v="0"/>
    <n v="0"/>
    <n v="1"/>
    <n v="2"/>
    <n v="0"/>
    <n v="0"/>
    <n v="0"/>
    <n v="0"/>
    <n v="0"/>
    <n v="1"/>
    <n v="3"/>
    <n v="0"/>
    <n v="0"/>
    <n v="0"/>
    <n v="0"/>
    <n v="0"/>
    <n v="0"/>
    <n v="-1"/>
    <n v="0"/>
    <n v="0"/>
    <n v="0"/>
    <n v="0"/>
    <n v="0"/>
    <n v="0"/>
    <n v="0"/>
    <n v="0"/>
    <n v="0"/>
    <n v="0"/>
    <s v="Strategic Planning/Nine Elms"/>
    <x v="0"/>
    <x v="1"/>
    <x v="1"/>
    <x v="0"/>
    <x v="0"/>
    <x v="0"/>
    <m/>
    <x v="0"/>
    <s v="Y"/>
    <n v="4"/>
    <m/>
    <n v="0"/>
    <n v="0"/>
    <n v="0.75"/>
    <n v="0.75"/>
    <n v="0.75"/>
    <n v="0.75"/>
    <n v="0"/>
    <n v="0"/>
    <n v="0"/>
    <n v="0"/>
    <n v="0"/>
    <n v="0"/>
    <n v="0"/>
    <n v="0"/>
    <n v="0"/>
    <n v="0"/>
    <n v="0"/>
    <n v="0"/>
    <n v="0"/>
    <n v="0"/>
    <n v="0"/>
    <n v="3"/>
    <n v="3"/>
  </r>
  <r>
    <n v="6505"/>
    <x v="3"/>
    <s v="2016/5644"/>
    <s v="Plantation Wharf"/>
    <s v="Part of Plantation Wharf, York Place, Gartons Way"/>
    <s v="Port House"/>
    <n v="526483"/>
    <n v="175747"/>
    <x v="1"/>
    <m/>
    <m/>
    <n v="0"/>
    <n v="85"/>
    <n v="85"/>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SLA"/>
    <d v="2016-10-07T00:00:00"/>
    <m/>
    <x v="0"/>
    <s v="Nil"/>
    <m/>
    <s v="BF"/>
    <x v="0"/>
    <x v="1"/>
    <x v="1"/>
    <n v="0.20000000298023199"/>
    <m/>
    <x v="0"/>
    <m/>
    <x v="0"/>
    <s v="P"/>
    <m/>
    <m/>
    <n v="0"/>
    <m/>
    <n v="0"/>
    <m/>
    <n v="0"/>
    <n v="14"/>
    <n v="68"/>
    <n v="3"/>
    <n v="0"/>
    <n v="0"/>
    <n v="0"/>
    <n v="0"/>
    <n v="14"/>
    <n v="68"/>
    <n v="3"/>
    <n v="0"/>
    <n v="0"/>
    <n v="0"/>
    <n v="0"/>
    <n v="0"/>
    <n v="0"/>
    <n v="0"/>
    <n v="0"/>
    <n v="0"/>
    <n v="0"/>
    <n v="0"/>
    <n v="0"/>
    <n v="0"/>
    <n v="0"/>
    <n v="0"/>
    <n v="0"/>
    <n v="0"/>
    <s v="East"/>
    <x v="0"/>
    <x v="0"/>
    <x v="1"/>
    <x v="0"/>
    <x v="0"/>
    <x v="0"/>
    <s v="Y"/>
    <x v="0"/>
    <s v="N"/>
    <n v="15"/>
    <s v="Other Applications at Plantation Wharf used for phasing"/>
    <n v="0"/>
    <n v="0"/>
    <n v="0"/>
    <n v="0"/>
    <n v="0"/>
    <n v="0"/>
    <n v="0"/>
    <n v="0"/>
    <n v="0"/>
    <n v="0"/>
    <n v="0"/>
    <n v="0"/>
    <n v="0"/>
    <n v="0"/>
    <n v="0"/>
    <n v="0"/>
    <n v="0"/>
    <n v="0"/>
    <n v="0"/>
    <n v="0"/>
    <n v="0"/>
    <n v="0"/>
    <n v="0"/>
  </r>
  <r>
    <n v="6505"/>
    <x v="3"/>
    <s v="2016/5644"/>
    <s v="Plantation Wharf"/>
    <s v="Part of Plantation Wharf, York Place, Gartons Way"/>
    <s v="Spice Court"/>
    <n v="526483"/>
    <n v="175747"/>
    <x v="1"/>
    <m/>
    <m/>
    <n v="0"/>
    <n v="17"/>
    <n v="17"/>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SLA"/>
    <d v="2016-10-07T00:00:00"/>
    <m/>
    <x v="0"/>
    <s v="Nil"/>
    <m/>
    <s v="BF"/>
    <x v="0"/>
    <x v="1"/>
    <x v="1"/>
    <n v="3.9999999105930301E-2"/>
    <m/>
    <x v="0"/>
    <m/>
    <x v="1"/>
    <s v="HAIU"/>
    <m/>
    <m/>
    <n v="0"/>
    <m/>
    <n v="0"/>
    <m/>
    <n v="0"/>
    <n v="7"/>
    <n v="10"/>
    <n v="0"/>
    <n v="0"/>
    <n v="0"/>
    <n v="0"/>
    <n v="0"/>
    <n v="7"/>
    <n v="10"/>
    <n v="0"/>
    <n v="0"/>
    <n v="0"/>
    <n v="0"/>
    <n v="0"/>
    <n v="0"/>
    <n v="0"/>
    <n v="0"/>
    <n v="0"/>
    <n v="0"/>
    <n v="0"/>
    <n v="0"/>
    <n v="0"/>
    <n v="0"/>
    <n v="0"/>
    <n v="0"/>
    <n v="0"/>
    <n v="0"/>
    <s v="East"/>
    <x v="0"/>
    <x v="0"/>
    <x v="1"/>
    <x v="0"/>
    <x v="0"/>
    <x v="0"/>
    <s v="Y"/>
    <x v="0"/>
    <s v="N"/>
    <n v="15"/>
    <s v="Other Applications at Plantation Wharf used for phasing"/>
    <n v="0"/>
    <n v="0"/>
    <n v="0"/>
    <n v="0"/>
    <n v="0"/>
    <n v="0"/>
    <n v="0"/>
    <n v="0"/>
    <n v="0"/>
    <n v="0"/>
    <n v="0"/>
    <n v="0"/>
    <n v="0"/>
    <n v="0"/>
    <n v="0"/>
    <n v="0"/>
    <n v="0"/>
    <n v="0"/>
    <n v="0"/>
    <n v="0"/>
    <n v="0"/>
    <n v="0"/>
    <n v="0"/>
  </r>
  <r>
    <n v="6505"/>
    <x v="3"/>
    <s v="2016/5644"/>
    <s v="Plantation Wharf"/>
    <s v="Part of Plantation Wharf, York Place, Gartons Way"/>
    <s v="Spice Court"/>
    <n v="526483"/>
    <n v="175747"/>
    <x v="1"/>
    <m/>
    <m/>
    <n v="0"/>
    <n v="15"/>
    <n v="15"/>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SLA"/>
    <d v="2016-10-07T00:00:00"/>
    <m/>
    <x v="0"/>
    <s v="Nil"/>
    <m/>
    <s v="BF"/>
    <x v="0"/>
    <x v="1"/>
    <x v="1"/>
    <n v="3.5000000149011598E-2"/>
    <m/>
    <x v="0"/>
    <m/>
    <x v="0"/>
    <s v="P"/>
    <m/>
    <m/>
    <n v="0"/>
    <m/>
    <n v="0"/>
    <m/>
    <n v="0"/>
    <n v="3"/>
    <n v="10"/>
    <n v="2"/>
    <n v="0"/>
    <n v="0"/>
    <n v="0"/>
    <n v="0"/>
    <n v="3"/>
    <n v="10"/>
    <n v="2"/>
    <n v="0"/>
    <n v="0"/>
    <n v="0"/>
    <n v="0"/>
    <n v="0"/>
    <n v="0"/>
    <n v="0"/>
    <n v="0"/>
    <n v="0"/>
    <n v="0"/>
    <n v="0"/>
    <n v="0"/>
    <n v="0"/>
    <n v="0"/>
    <n v="0"/>
    <n v="0"/>
    <n v="0"/>
    <s v="East"/>
    <x v="0"/>
    <x v="0"/>
    <x v="1"/>
    <x v="0"/>
    <x v="0"/>
    <x v="0"/>
    <s v="Y"/>
    <x v="0"/>
    <s v="N"/>
    <n v="15"/>
    <s v="Other Applications at Plantation Wharf used for phasing"/>
    <n v="0"/>
    <n v="0"/>
    <n v="0"/>
    <n v="0"/>
    <n v="0"/>
    <n v="0"/>
    <n v="0"/>
    <n v="0"/>
    <n v="0"/>
    <n v="0"/>
    <n v="0"/>
    <n v="0"/>
    <n v="0"/>
    <n v="0"/>
    <n v="0"/>
    <n v="0"/>
    <n v="0"/>
    <n v="0"/>
    <n v="0"/>
    <n v="0"/>
    <n v="0"/>
    <n v="0"/>
    <n v="0"/>
  </r>
  <r>
    <n v="6505"/>
    <x v="3"/>
    <s v="2016/5644"/>
    <s v="Plantation Wharf"/>
    <s v="Part of Plantation Wharf, York Place, Gartons Way"/>
    <s v="Trade Tower"/>
    <n v="526483"/>
    <n v="175747"/>
    <x v="1"/>
    <m/>
    <m/>
    <n v="2"/>
    <n v="10"/>
    <n v="8"/>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SLA"/>
    <d v="2016-10-07T00:00:00"/>
    <m/>
    <x v="0"/>
    <s v="Nil"/>
    <m/>
    <s v="BF"/>
    <x v="0"/>
    <x v="1"/>
    <x v="1"/>
    <n v="2.3000000044703501E-2"/>
    <m/>
    <x v="0"/>
    <m/>
    <x v="0"/>
    <s v="P"/>
    <m/>
    <m/>
    <n v="0"/>
    <m/>
    <n v="0"/>
    <m/>
    <n v="0"/>
    <n v="0"/>
    <n v="6"/>
    <n v="1"/>
    <n v="1"/>
    <n v="0"/>
    <n v="0"/>
    <n v="0"/>
    <n v="0"/>
    <n v="6"/>
    <n v="1"/>
    <n v="1"/>
    <n v="0"/>
    <n v="0"/>
    <n v="0"/>
    <n v="0"/>
    <n v="0"/>
    <n v="0"/>
    <n v="0"/>
    <n v="0"/>
    <n v="0"/>
    <n v="0"/>
    <n v="0"/>
    <n v="0"/>
    <n v="0"/>
    <n v="0"/>
    <n v="0"/>
    <n v="0"/>
    <s v="East"/>
    <x v="0"/>
    <x v="0"/>
    <x v="1"/>
    <x v="0"/>
    <x v="0"/>
    <x v="0"/>
    <s v="Y"/>
    <x v="0"/>
    <s v="N"/>
    <n v="15"/>
    <s v="Other Applications at Plantation Wharf used for phasing"/>
    <n v="0"/>
    <n v="0"/>
    <n v="0"/>
    <n v="0"/>
    <n v="0"/>
    <n v="0"/>
    <n v="0"/>
    <n v="0"/>
    <n v="0"/>
    <n v="0"/>
    <n v="0"/>
    <n v="0"/>
    <n v="0"/>
    <n v="0"/>
    <n v="0"/>
    <n v="0"/>
    <n v="0"/>
    <n v="0"/>
    <n v="0"/>
    <n v="0"/>
    <n v="0"/>
    <n v="0"/>
    <n v="0"/>
  </r>
  <r>
    <n v="6515"/>
    <x v="3"/>
    <s v="2016/6604"/>
    <m/>
    <s v="Norman Court, 160 Lower Richmond Road"/>
    <m/>
    <n v="523349"/>
    <n v="175914"/>
    <x v="13"/>
    <m/>
    <m/>
    <n v="0"/>
    <n v="9"/>
    <n v="9"/>
    <n v="9"/>
    <n v="9"/>
    <m/>
    <s v="Erection of roof extension at third floor level to provide 7 x 1-bedroom and 2 x studio flats with external balcony access; associated cycle and refuse storage; and landscaping including new front boundary treatment."/>
    <s v="SLA"/>
    <d v="2016-11-15T00:00:00"/>
    <m/>
    <x v="0"/>
    <s v="Nil"/>
    <m/>
    <s v="BF"/>
    <x v="2"/>
    <x v="0"/>
    <x v="3"/>
    <n v="0.14800000190734899"/>
    <m/>
    <x v="0"/>
    <m/>
    <x v="2"/>
    <s v="HASR"/>
    <m/>
    <m/>
    <n v="0"/>
    <m/>
    <n v="0"/>
    <m/>
    <n v="2"/>
    <n v="7"/>
    <n v="0"/>
    <n v="0"/>
    <n v="0"/>
    <n v="0"/>
    <n v="0"/>
    <n v="2"/>
    <n v="7"/>
    <n v="0"/>
    <n v="0"/>
    <n v="0"/>
    <n v="0"/>
    <n v="0"/>
    <n v="0"/>
    <n v="0"/>
    <n v="0"/>
    <n v="0"/>
    <n v="0"/>
    <n v="0"/>
    <n v="0"/>
    <n v="0"/>
    <n v="0"/>
    <n v="0"/>
    <n v="0"/>
    <n v="0"/>
    <n v="0"/>
    <n v="0"/>
    <s v="West"/>
    <x v="0"/>
    <x v="0"/>
    <x v="1"/>
    <x v="0"/>
    <x v="0"/>
    <x v="0"/>
    <m/>
    <x v="0"/>
    <s v="Y"/>
    <s v="9C"/>
    <m/>
    <n v="0"/>
    <n v="2.25"/>
    <n v="2.25"/>
    <n v="2.25"/>
    <n v="2.25"/>
    <n v="0"/>
    <n v="0"/>
    <n v="0"/>
    <n v="0"/>
    <n v="0"/>
    <n v="0"/>
    <n v="0"/>
    <n v="0"/>
    <n v="0"/>
    <n v="0"/>
    <n v="0"/>
    <n v="0"/>
    <n v="0"/>
    <n v="0"/>
    <n v="0"/>
    <n v="0"/>
    <n v="9"/>
    <n v="9"/>
  </r>
  <r>
    <n v="213"/>
    <x v="4"/>
    <s v="2017/5732"/>
    <m/>
    <s v="Estate House, 225-231 Upper Richmond Road"/>
    <m/>
    <n v="523620"/>
    <n v="175154"/>
    <x v="16"/>
    <m/>
    <m/>
    <n v="0"/>
    <n v="4"/>
    <n v="4"/>
    <n v="4"/>
    <n v="4"/>
    <m/>
    <s v="Erection of roof extension to create additonal floor of accommodation to provide  4 x 2-bed flat; relocation of water tanks, refurbishment of the front elevation including replacing safety railings with glazed balustrades at first, second and third floor levels to the rear elevation."/>
    <s v="AF"/>
    <d v="2017-10-24T00:00:00"/>
    <m/>
    <x v="0"/>
    <s v="Nil"/>
    <m/>
    <s v="BF"/>
    <x v="2"/>
    <x v="0"/>
    <x v="3"/>
    <n v="1.2000000104308101E-2"/>
    <m/>
    <x v="0"/>
    <m/>
    <x v="0"/>
    <s v="P"/>
    <m/>
    <m/>
    <n v="0"/>
    <m/>
    <n v="0"/>
    <m/>
    <n v="0"/>
    <n v="0"/>
    <n v="4"/>
    <n v="0"/>
    <n v="0"/>
    <n v="0"/>
    <n v="0"/>
    <n v="0"/>
    <n v="0"/>
    <n v="4"/>
    <n v="0"/>
    <n v="0"/>
    <n v="0"/>
    <n v="0"/>
    <n v="0"/>
    <n v="0"/>
    <n v="0"/>
    <n v="0"/>
    <n v="0"/>
    <n v="0"/>
    <n v="0"/>
    <n v="0"/>
    <n v="0"/>
    <n v="0"/>
    <n v="0"/>
    <n v="0"/>
    <n v="0"/>
    <n v="0"/>
    <s v="West"/>
    <x v="3"/>
    <x v="0"/>
    <x v="1"/>
    <x v="0"/>
    <x v="0"/>
    <x v="0"/>
    <m/>
    <x v="0"/>
    <s v="Y"/>
    <n v="10"/>
    <m/>
    <n v="0"/>
    <n v="0"/>
    <n v="0"/>
    <n v="0"/>
    <n v="0"/>
    <n v="1.3333333333333333"/>
    <n v="1.3333333333333333"/>
    <n v="1.3333333333333333"/>
    <n v="0"/>
    <n v="0"/>
    <n v="0"/>
    <n v="0"/>
    <n v="0"/>
    <n v="0"/>
    <n v="0"/>
    <n v="0"/>
    <n v="0"/>
    <n v="0"/>
    <n v="0"/>
    <n v="0"/>
    <n v="0"/>
    <n v="1.3333333333333333"/>
    <n v="4"/>
  </r>
  <r>
    <n v="463"/>
    <x v="4"/>
    <s v="2018/0072"/>
    <m/>
    <s v="Prince of Wales, 186 Battersea Bridge Road"/>
    <m/>
    <n v="527418"/>
    <n v="176670"/>
    <x v="1"/>
    <m/>
    <m/>
    <n v="0"/>
    <n v="2"/>
    <n v="2"/>
    <n v="2"/>
    <n v="2"/>
    <m/>
    <s v="Erection of two-storey building (plus basement with front and rear lightwells and roof terraces) to provide 2 x 3-bedroom houses. Associated refuse and bike storage and front railings."/>
    <s v="AF"/>
    <d v="2018-02-02T00:00:00"/>
    <m/>
    <x v="0"/>
    <s v="Nil"/>
    <m/>
    <s v="Gdn"/>
    <x v="0"/>
    <x v="0"/>
    <x v="0"/>
    <n v="3.7999998778104803E-2"/>
    <m/>
    <x v="0"/>
    <m/>
    <x v="0"/>
    <s v="P"/>
    <m/>
    <m/>
    <n v="0"/>
    <m/>
    <n v="0"/>
    <m/>
    <n v="0"/>
    <n v="0"/>
    <n v="0"/>
    <n v="2"/>
    <n v="0"/>
    <n v="0"/>
    <n v="0"/>
    <n v="0"/>
    <n v="0"/>
    <n v="0"/>
    <n v="0"/>
    <n v="0"/>
    <n v="0"/>
    <n v="0"/>
    <n v="0"/>
    <n v="0"/>
    <n v="0"/>
    <n v="2"/>
    <n v="0"/>
    <n v="0"/>
    <n v="0"/>
    <n v="0"/>
    <n v="0"/>
    <n v="0"/>
    <n v="0"/>
    <n v="0"/>
    <n v="0"/>
    <n v="0"/>
    <s v="East"/>
    <x v="0"/>
    <x v="0"/>
    <x v="1"/>
    <x v="0"/>
    <x v="0"/>
    <x v="0"/>
    <m/>
    <x v="0"/>
    <s v="Y"/>
    <n v="6"/>
    <m/>
    <n v="0"/>
    <n v="0"/>
    <n v="0"/>
    <n v="0"/>
    <n v="0"/>
    <n v="0.66666666666666663"/>
    <n v="0.66666666666666663"/>
    <n v="0.66666666666666663"/>
    <n v="0"/>
    <n v="0"/>
    <n v="0"/>
    <n v="0"/>
    <n v="0"/>
    <n v="0"/>
    <n v="0"/>
    <n v="0"/>
    <n v="0"/>
    <n v="0"/>
    <n v="0"/>
    <n v="0"/>
    <n v="0"/>
    <n v="0.66666666666666663"/>
    <n v="2"/>
  </r>
  <r>
    <n v="473"/>
    <x v="4"/>
    <s v="2018/0786"/>
    <m/>
    <s v="Rear of 101-145, 101-145 Fishponds Road"/>
    <m/>
    <n v="527472"/>
    <n v="171903"/>
    <x v="4"/>
    <m/>
    <m/>
    <n v="0"/>
    <n v="2"/>
    <n v="2"/>
    <n v="2"/>
    <n v="2"/>
    <m/>
    <s v="Erection of 1 x 1-bedroom and 1 x 3-bedroom two-storey houses with associated parking, cycle and refuse stores, and surfacing."/>
    <s v="AF"/>
    <d v="2018-03-21T00:00:00"/>
    <m/>
    <x v="0"/>
    <s v="Nil"/>
    <m/>
    <s v="BF"/>
    <x v="0"/>
    <x v="0"/>
    <x v="0"/>
    <n v="1.09999999403954E-2"/>
    <m/>
    <x v="0"/>
    <m/>
    <x v="0"/>
    <s v="P"/>
    <m/>
    <m/>
    <n v="0"/>
    <m/>
    <n v="0"/>
    <m/>
    <n v="0"/>
    <n v="1"/>
    <n v="0"/>
    <n v="1"/>
    <n v="0"/>
    <n v="0"/>
    <n v="0"/>
    <n v="0"/>
    <n v="0"/>
    <n v="0"/>
    <n v="0"/>
    <n v="0"/>
    <n v="0"/>
    <n v="0"/>
    <n v="0"/>
    <n v="1"/>
    <n v="0"/>
    <n v="1"/>
    <n v="0"/>
    <n v="0"/>
    <n v="0"/>
    <n v="0"/>
    <n v="0"/>
    <n v="0"/>
    <n v="0"/>
    <n v="0"/>
    <n v="0"/>
    <n v="0"/>
    <s v="East"/>
    <x v="0"/>
    <x v="0"/>
    <x v="1"/>
    <x v="0"/>
    <x v="0"/>
    <x v="0"/>
    <m/>
    <x v="0"/>
    <s v="Y"/>
    <n v="6"/>
    <m/>
    <n v="0"/>
    <n v="0"/>
    <n v="0"/>
    <n v="0"/>
    <n v="0"/>
    <n v="0.66666666666666663"/>
    <n v="0.66666666666666663"/>
    <n v="0.66666666666666663"/>
    <n v="0"/>
    <n v="0"/>
    <n v="0"/>
    <n v="0"/>
    <n v="0"/>
    <n v="0"/>
    <n v="0"/>
    <n v="0"/>
    <n v="0"/>
    <n v="0"/>
    <n v="0"/>
    <n v="0"/>
    <n v="0"/>
    <n v="0.66666666666666663"/>
    <n v="2"/>
  </r>
  <r>
    <n v="536"/>
    <x v="4"/>
    <s v="2016/7216"/>
    <m/>
    <s v="Argylle House, 1a All Saints Passage"/>
    <m/>
    <n v="525441"/>
    <n v="174750"/>
    <x v="0"/>
    <m/>
    <m/>
    <n v="4"/>
    <n v="20"/>
    <n v="16"/>
    <n v="22"/>
    <n v="18"/>
    <s v="Y"/>
    <s v="Demolition of existing building and erection of a part 5/part 6 storey building to provide 22 residential units and 106 sqm B1(a) office floorspace, with communal external amenity space at fifth floor level."/>
    <s v="AF"/>
    <d v="2017-01-26T00:00:00"/>
    <m/>
    <x v="0"/>
    <s v="Nil"/>
    <m/>
    <s v="BF"/>
    <x v="0"/>
    <x v="1"/>
    <x v="1"/>
    <n v="4.5000001788139302E-2"/>
    <m/>
    <x v="0"/>
    <m/>
    <x v="0"/>
    <s v="P"/>
    <m/>
    <m/>
    <n v="19"/>
    <m/>
    <n v="1"/>
    <m/>
    <n v="3"/>
    <n v="2"/>
    <n v="9"/>
    <n v="2"/>
    <n v="0"/>
    <n v="0"/>
    <n v="0"/>
    <n v="3"/>
    <n v="2"/>
    <n v="9"/>
    <n v="2"/>
    <n v="0"/>
    <n v="0"/>
    <n v="0"/>
    <n v="0"/>
    <n v="0"/>
    <n v="0"/>
    <n v="0"/>
    <n v="0"/>
    <n v="0"/>
    <n v="0"/>
    <n v="0"/>
    <n v="0"/>
    <n v="0"/>
    <n v="0"/>
    <n v="0"/>
    <n v="0"/>
    <n v="0"/>
    <s v="West"/>
    <x v="4"/>
    <x v="0"/>
    <x v="0"/>
    <x v="0"/>
    <x v="0"/>
    <x v="0"/>
    <m/>
    <x v="0"/>
    <s v="N"/>
    <n v="15"/>
    <s v="2016/3733 used for phasing"/>
    <n v="0"/>
    <n v="0"/>
    <n v="0"/>
    <n v="0"/>
    <n v="0"/>
    <n v="0"/>
    <n v="0"/>
    <n v="0"/>
    <n v="0"/>
    <n v="0"/>
    <n v="0"/>
    <n v="0"/>
    <n v="0"/>
    <n v="0"/>
    <n v="0"/>
    <n v="0"/>
    <n v="0"/>
    <n v="0"/>
    <n v="0"/>
    <n v="0"/>
    <n v="0"/>
    <n v="0"/>
    <n v="0"/>
  </r>
  <r>
    <n v="536"/>
    <x v="4"/>
    <s v="2016/7216"/>
    <m/>
    <s v="Argylle House, 1a All Saints Passage"/>
    <m/>
    <n v="525441"/>
    <n v="174750"/>
    <x v="0"/>
    <m/>
    <m/>
    <n v="0"/>
    <n v="2"/>
    <n v="2"/>
    <n v="22"/>
    <n v="18"/>
    <s v="Y"/>
    <s v="Demolition of existing building and erection of a part 5/part 6 storey building to provide 22 residential units and 106 sqm B1(a) office floorspace, with communal external amenity space at fifth floor level."/>
    <s v="AF"/>
    <d v="2017-01-26T00:00:00"/>
    <m/>
    <x v="0"/>
    <s v="Nil"/>
    <m/>
    <s v="BF"/>
    <x v="0"/>
    <x v="1"/>
    <x v="1"/>
    <n v="4.9999998882412902E-3"/>
    <m/>
    <x v="0"/>
    <m/>
    <x v="1"/>
    <s v="HAIU"/>
    <m/>
    <m/>
    <n v="2"/>
    <m/>
    <n v="0"/>
    <m/>
    <n v="0"/>
    <n v="2"/>
    <n v="0"/>
    <n v="0"/>
    <n v="0"/>
    <n v="0"/>
    <n v="0"/>
    <n v="0"/>
    <n v="2"/>
    <n v="0"/>
    <n v="0"/>
    <n v="0"/>
    <n v="0"/>
    <n v="0"/>
    <n v="0"/>
    <n v="0"/>
    <n v="0"/>
    <n v="0"/>
    <n v="0"/>
    <n v="0"/>
    <n v="0"/>
    <n v="0"/>
    <n v="0"/>
    <n v="0"/>
    <n v="0"/>
    <n v="0"/>
    <n v="0"/>
    <n v="0"/>
    <s v="West"/>
    <x v="4"/>
    <x v="0"/>
    <x v="0"/>
    <x v="0"/>
    <x v="0"/>
    <x v="0"/>
    <m/>
    <x v="0"/>
    <s v="N"/>
    <n v="15"/>
    <s v="2016/3733 used for phasing"/>
    <n v="0"/>
    <n v="0"/>
    <n v="0"/>
    <n v="0"/>
    <n v="0"/>
    <n v="0"/>
    <n v="0"/>
    <n v="0"/>
    <n v="0"/>
    <n v="0"/>
    <n v="0"/>
    <n v="0"/>
    <n v="0"/>
    <n v="0"/>
    <n v="0"/>
    <n v="0"/>
    <n v="0"/>
    <n v="0"/>
    <n v="0"/>
    <n v="0"/>
    <n v="0"/>
    <n v="0"/>
    <n v="0"/>
  </r>
  <r>
    <n v="560"/>
    <x v="4"/>
    <s v="2017/6051"/>
    <m/>
    <s v="Upper floors, 58-60 West Hill"/>
    <m/>
    <n v="525002"/>
    <n v="174627"/>
    <x v="0"/>
    <m/>
    <m/>
    <n v="0"/>
    <n v="1"/>
    <n v="1"/>
    <n v="1"/>
    <n v="1"/>
    <m/>
    <s v="Alterations including erection of roof extension in connection with creation of 1 x 1-bedroom flat at third floor level."/>
    <s v="AF"/>
    <d v="2017-11-08T00:00:00"/>
    <m/>
    <x v="0"/>
    <s v="APP"/>
    <m/>
    <s v="BF"/>
    <x v="2"/>
    <x v="0"/>
    <x v="3"/>
    <n v="3.0000000260770299E-3"/>
    <m/>
    <x v="0"/>
    <m/>
    <x v="0"/>
    <s v="P"/>
    <m/>
    <m/>
    <n v="0"/>
    <m/>
    <n v="0"/>
    <m/>
    <n v="0"/>
    <n v="1"/>
    <n v="0"/>
    <n v="0"/>
    <n v="0"/>
    <n v="0"/>
    <n v="0"/>
    <n v="0"/>
    <n v="1"/>
    <n v="0"/>
    <n v="0"/>
    <n v="0"/>
    <n v="0"/>
    <n v="0"/>
    <n v="0"/>
    <n v="0"/>
    <n v="0"/>
    <n v="0"/>
    <n v="0"/>
    <n v="0"/>
    <n v="0"/>
    <n v="0"/>
    <n v="0"/>
    <n v="0"/>
    <n v="0"/>
    <n v="0"/>
    <n v="0"/>
    <n v="0"/>
    <s v="West"/>
    <x v="0"/>
    <x v="0"/>
    <x v="1"/>
    <x v="0"/>
    <x v="0"/>
    <x v="0"/>
    <m/>
    <x v="0"/>
    <s v="Y"/>
    <n v="10"/>
    <m/>
    <n v="0"/>
    <n v="0"/>
    <n v="0"/>
    <n v="0"/>
    <n v="0"/>
    <n v="0.33333333333333331"/>
    <n v="0.33333333333333331"/>
    <n v="0.33333333333333331"/>
    <n v="0"/>
    <n v="0"/>
    <n v="0"/>
    <n v="0"/>
    <n v="0"/>
    <n v="0"/>
    <n v="0"/>
    <n v="0"/>
    <n v="0"/>
    <n v="0"/>
    <n v="0"/>
    <n v="0"/>
    <n v="0"/>
    <n v="0.33333333333333331"/>
    <n v="1"/>
  </r>
  <r>
    <n v="700"/>
    <x v="4"/>
    <s v="2018/1481"/>
    <m/>
    <s v="54 Balham Park Road"/>
    <m/>
    <n v="528024"/>
    <n v="173250"/>
    <x v="11"/>
    <m/>
    <m/>
    <n v="1"/>
    <n v="4"/>
    <n v="3"/>
    <n v="4"/>
    <n v="3"/>
    <m/>
    <s v="Alterations including erection of domer roof extension to main rear roof including raising the ridge by 300mm and roof extension above part three-storey back addition. Erection of part two/part single-storey rear extension and single-storey side extension and formation roof terrace at third floor level with 1.7m high screen surround.  Replacement windows at rear and rooflights to front roof slope. Conversion of the existing two bedroom flat and 5 bedroom HMO into 4 self-contained flats (2 x 3 bedroom, 1 x 2 bedroom flats and 1x studio flat.)  Erection of a garden room in rear garden."/>
    <s v="AF"/>
    <d v="2018-03-21T00:00:00"/>
    <m/>
    <x v="0"/>
    <s v="Nil"/>
    <m/>
    <s v="BF"/>
    <x v="4"/>
    <x v="0"/>
    <x v="10"/>
    <n v="2.9999999329447701E-2"/>
    <m/>
    <x v="0"/>
    <m/>
    <x v="0"/>
    <s v="P"/>
    <m/>
    <m/>
    <n v="0"/>
    <m/>
    <n v="0"/>
    <m/>
    <n v="1"/>
    <n v="0"/>
    <n v="0"/>
    <n v="2"/>
    <n v="0"/>
    <n v="0"/>
    <n v="0"/>
    <n v="1"/>
    <n v="0"/>
    <n v="0"/>
    <n v="2"/>
    <n v="0"/>
    <n v="0"/>
    <n v="0"/>
    <n v="0"/>
    <n v="0"/>
    <n v="0"/>
    <n v="0"/>
    <n v="0"/>
    <n v="0"/>
    <n v="0"/>
    <n v="0"/>
    <n v="0"/>
    <n v="0"/>
    <n v="0"/>
    <n v="0"/>
    <n v="0"/>
    <n v="0"/>
    <s v="East"/>
    <x v="0"/>
    <x v="0"/>
    <x v="1"/>
    <x v="0"/>
    <x v="0"/>
    <x v="0"/>
    <m/>
    <x v="0"/>
    <s v="Y"/>
    <n v="10"/>
    <m/>
    <n v="0"/>
    <n v="0"/>
    <n v="0"/>
    <n v="0"/>
    <n v="0"/>
    <n v="1"/>
    <n v="1"/>
    <n v="1"/>
    <n v="0"/>
    <n v="0"/>
    <n v="0"/>
    <n v="0"/>
    <n v="0"/>
    <n v="0"/>
    <n v="0"/>
    <n v="0"/>
    <n v="0"/>
    <n v="0"/>
    <n v="0"/>
    <n v="0"/>
    <n v="0"/>
    <n v="1"/>
    <n v="3"/>
  </r>
  <r>
    <n v="786"/>
    <x v="4"/>
    <s v="2018/0799"/>
    <m/>
    <s v="Laglin Lodge, 7 Eardley Road"/>
    <m/>
    <n v="529441"/>
    <n v="171210"/>
    <x v="12"/>
    <m/>
    <m/>
    <n v="0"/>
    <n v="1"/>
    <n v="1"/>
    <n v="1"/>
    <n v="1"/>
    <m/>
    <s v="Excavation to enlarge basement including formation of front lightwell with grille over in connection with creation of 1 x studio flat with associated bin/cycle storage."/>
    <s v="AF"/>
    <d v="2018-02-22T00:00:00"/>
    <m/>
    <x v="0"/>
    <s v="Nil"/>
    <m/>
    <s v="BF"/>
    <x v="2"/>
    <x v="0"/>
    <x v="3"/>
    <n v="4.9999998882412902E-3"/>
    <m/>
    <x v="0"/>
    <m/>
    <x v="0"/>
    <s v="P"/>
    <m/>
    <m/>
    <n v="0"/>
    <m/>
    <n v="0"/>
    <m/>
    <n v="1"/>
    <n v="0"/>
    <n v="0"/>
    <n v="0"/>
    <n v="0"/>
    <n v="0"/>
    <n v="0"/>
    <n v="1"/>
    <n v="0"/>
    <n v="0"/>
    <n v="0"/>
    <n v="0"/>
    <n v="0"/>
    <n v="0"/>
    <n v="0"/>
    <n v="0"/>
    <n v="0"/>
    <n v="0"/>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911"/>
    <x v="4"/>
    <s v="2018/1182"/>
    <m/>
    <s v="631 Garratt Lane"/>
    <m/>
    <n v="526146"/>
    <n v="172566"/>
    <x v="18"/>
    <m/>
    <m/>
    <n v="1"/>
    <n v="1"/>
    <n v="0"/>
    <n v="2"/>
    <n v="1"/>
    <m/>
    <s v="Alterations to include the erection of a two-storey rear and single-storey side extension as part of the conversion into 1 x 2-bedroom and 1 x 1-bedroom units."/>
    <s v="AF"/>
    <d v="2018-03-09T00:00:00"/>
    <m/>
    <x v="0"/>
    <s v="Nil"/>
    <m/>
    <s v="BF"/>
    <x v="4"/>
    <x v="0"/>
    <x v="10"/>
    <n v="8.9999996125698107E-3"/>
    <m/>
    <x v="0"/>
    <m/>
    <x v="0"/>
    <s v="P"/>
    <m/>
    <m/>
    <n v="0"/>
    <m/>
    <n v="0"/>
    <n v="1"/>
    <n v="0"/>
    <n v="-1"/>
    <n v="1"/>
    <n v="0"/>
    <n v="0"/>
    <n v="0"/>
    <n v="0"/>
    <n v="0"/>
    <n v="-1"/>
    <n v="1"/>
    <n v="0"/>
    <n v="0"/>
    <n v="0"/>
    <n v="0"/>
    <n v="0"/>
    <n v="0"/>
    <n v="0"/>
    <n v="0"/>
    <n v="0"/>
    <n v="0"/>
    <n v="0"/>
    <n v="0"/>
    <n v="0"/>
    <n v="0"/>
    <n v="0"/>
    <n v="0"/>
    <n v="0"/>
    <n v="0"/>
    <s v="West"/>
    <x v="0"/>
    <x v="0"/>
    <x v="1"/>
    <x v="0"/>
    <x v="0"/>
    <x v="0"/>
    <m/>
    <x v="0"/>
    <s v="Y"/>
    <n v="10"/>
    <m/>
    <n v="0"/>
    <n v="0"/>
    <n v="0"/>
    <n v="0"/>
    <n v="0"/>
    <n v="0"/>
    <n v="0"/>
    <n v="0"/>
    <n v="0"/>
    <n v="0"/>
    <n v="0"/>
    <n v="0"/>
    <n v="0"/>
    <n v="0"/>
    <n v="0"/>
    <n v="0"/>
    <n v="0"/>
    <n v="0"/>
    <n v="0"/>
    <n v="0"/>
    <n v="0"/>
    <n v="0"/>
    <n v="0"/>
  </r>
  <r>
    <n v="911"/>
    <x v="4"/>
    <s v="2018/1182"/>
    <m/>
    <s v="631 Garratt Lane"/>
    <m/>
    <n v="526146"/>
    <n v="172566"/>
    <x v="18"/>
    <m/>
    <m/>
    <n v="0"/>
    <n v="1"/>
    <n v="1"/>
    <n v="2"/>
    <n v="1"/>
    <m/>
    <s v="Alterations to include the erection of a two-storey rear and single-storey side extension as part of the conversion into 1 x 2-bedroom and 1 x 1-bedroom units."/>
    <s v="AF"/>
    <d v="2018-03-09T00:00:00"/>
    <m/>
    <x v="0"/>
    <s v="Nil"/>
    <m/>
    <s v="BF"/>
    <x v="4"/>
    <x v="0"/>
    <x v="0"/>
    <n v="6.0000000521540598E-3"/>
    <m/>
    <x v="0"/>
    <m/>
    <x v="0"/>
    <s v="P"/>
    <m/>
    <m/>
    <n v="0"/>
    <n v="1"/>
    <n v="0"/>
    <m/>
    <n v="0"/>
    <n v="1"/>
    <n v="0"/>
    <n v="0"/>
    <n v="0"/>
    <n v="0"/>
    <n v="0"/>
    <n v="0"/>
    <n v="1"/>
    <n v="0"/>
    <n v="0"/>
    <n v="0"/>
    <n v="0"/>
    <n v="0"/>
    <n v="0"/>
    <n v="0"/>
    <n v="0"/>
    <n v="0"/>
    <n v="0"/>
    <n v="0"/>
    <n v="0"/>
    <n v="0"/>
    <n v="0"/>
    <n v="0"/>
    <n v="0"/>
    <n v="0"/>
    <n v="0"/>
    <n v="0"/>
    <s v="West"/>
    <x v="0"/>
    <x v="0"/>
    <x v="1"/>
    <x v="0"/>
    <x v="0"/>
    <x v="0"/>
    <m/>
    <x v="0"/>
    <s v="Y"/>
    <n v="10"/>
    <m/>
    <n v="0"/>
    <n v="0"/>
    <n v="0"/>
    <n v="0"/>
    <n v="0"/>
    <n v="0.33333333333333331"/>
    <n v="0.33333333333333331"/>
    <n v="0.33333333333333331"/>
    <n v="0"/>
    <n v="0"/>
    <n v="0"/>
    <n v="0"/>
    <n v="0"/>
    <n v="0"/>
    <n v="0"/>
    <n v="0"/>
    <n v="0"/>
    <n v="0"/>
    <n v="0"/>
    <n v="0"/>
    <n v="0"/>
    <n v="0.33333333333333331"/>
    <n v="1"/>
  </r>
  <r>
    <n v="1587"/>
    <x v="4"/>
    <s v="2017/5079"/>
    <m/>
    <s v="Ground floor, 280 Earlsfield Road"/>
    <m/>
    <n v="526103"/>
    <n v="173307"/>
    <x v="18"/>
    <m/>
    <m/>
    <n v="0"/>
    <n v="1"/>
    <n v="1"/>
    <n v="1"/>
    <n v="1"/>
    <m/>
    <s v="Alterations and extensions, including excavation to enlarge the existing basement including excavation of a frontlightwell, alterations to the existing single-storey rear extension in connection with change of use of offices (Class B1a) to residential (Class C3) to create 1 x 2-bedroom flat."/>
    <s v="AF"/>
    <d v="2018-03-09T00:00:00"/>
    <m/>
    <x v="0"/>
    <s v="Nil"/>
    <m/>
    <s v="BF"/>
    <x v="4"/>
    <x v="0"/>
    <x v="9"/>
    <n v="0"/>
    <m/>
    <x v="0"/>
    <m/>
    <x v="0"/>
    <s v="P"/>
    <m/>
    <m/>
    <n v="0"/>
    <m/>
    <n v="0"/>
    <m/>
    <n v="0"/>
    <n v="0"/>
    <n v="1"/>
    <n v="0"/>
    <n v="0"/>
    <n v="0"/>
    <n v="0"/>
    <n v="0"/>
    <n v="0"/>
    <n v="1"/>
    <n v="0"/>
    <n v="0"/>
    <n v="0"/>
    <n v="0"/>
    <n v="0"/>
    <n v="0"/>
    <n v="0"/>
    <n v="0"/>
    <n v="0"/>
    <n v="0"/>
    <n v="0"/>
    <n v="0"/>
    <n v="0"/>
    <n v="0"/>
    <n v="0"/>
    <n v="0"/>
    <n v="0"/>
    <n v="0"/>
    <s v="West"/>
    <x v="0"/>
    <x v="0"/>
    <x v="1"/>
    <x v="0"/>
    <x v="0"/>
    <x v="0"/>
    <m/>
    <x v="0"/>
    <s v="Y"/>
    <n v="10"/>
    <m/>
    <n v="0"/>
    <n v="0"/>
    <n v="0"/>
    <n v="0"/>
    <n v="0"/>
    <n v="0.33333333333333331"/>
    <n v="0.33333333333333331"/>
    <n v="0.33333333333333331"/>
    <n v="0"/>
    <n v="0"/>
    <n v="0"/>
    <n v="0"/>
    <n v="0"/>
    <n v="0"/>
    <n v="0"/>
    <n v="0"/>
    <n v="0"/>
    <n v="0"/>
    <n v="0"/>
    <n v="0"/>
    <n v="0"/>
    <n v="0.33333333333333331"/>
    <n v="1"/>
  </r>
  <r>
    <n v="1836"/>
    <x v="4"/>
    <s v="2018/1350"/>
    <s v="1-12 Dutch Yard House"/>
    <s v="177 Wandsworth High Street"/>
    <m/>
    <n v="525361"/>
    <n v="174644"/>
    <x v="5"/>
    <m/>
    <m/>
    <n v="1"/>
    <n v="2"/>
    <n v="1"/>
    <n v="2"/>
    <n v="1"/>
    <m/>
    <s v="Internal alterations to provide 2 studio flats."/>
    <s v="AF"/>
    <d v="2018-03-22T00:00:00"/>
    <m/>
    <x v="0"/>
    <s v="Nil"/>
    <m/>
    <s v="BF"/>
    <x v="1"/>
    <x v="0"/>
    <x v="10"/>
    <n v="8.0000003799796104E-3"/>
    <m/>
    <x v="0"/>
    <m/>
    <x v="0"/>
    <s v="P"/>
    <m/>
    <m/>
    <n v="0"/>
    <m/>
    <n v="0"/>
    <m/>
    <n v="2"/>
    <n v="-1"/>
    <n v="0"/>
    <n v="0"/>
    <n v="0"/>
    <n v="0"/>
    <n v="0"/>
    <n v="2"/>
    <n v="-1"/>
    <n v="0"/>
    <n v="0"/>
    <n v="0"/>
    <n v="0"/>
    <n v="0"/>
    <n v="0"/>
    <n v="0"/>
    <n v="0"/>
    <n v="0"/>
    <n v="0"/>
    <n v="0"/>
    <n v="0"/>
    <n v="0"/>
    <n v="0"/>
    <n v="0"/>
    <n v="0"/>
    <n v="0"/>
    <n v="0"/>
    <n v="0"/>
    <s v="West"/>
    <x v="4"/>
    <x v="0"/>
    <x v="0"/>
    <x v="0"/>
    <x v="0"/>
    <x v="0"/>
    <m/>
    <x v="0"/>
    <s v="Y"/>
    <n v="10"/>
    <m/>
    <n v="0"/>
    <n v="0"/>
    <n v="0"/>
    <n v="0"/>
    <n v="0"/>
    <n v="0.33333333333333331"/>
    <n v="0.33333333333333331"/>
    <n v="0.33333333333333331"/>
    <n v="0"/>
    <n v="0"/>
    <n v="0"/>
    <n v="0"/>
    <n v="0"/>
    <n v="0"/>
    <n v="0"/>
    <n v="0"/>
    <n v="0"/>
    <n v="0"/>
    <n v="0"/>
    <n v="0"/>
    <n v="0"/>
    <n v="0.33333333333333331"/>
    <n v="1"/>
  </r>
  <r>
    <n v="1847"/>
    <x v="4"/>
    <s v="2017/2843"/>
    <s v="26a"/>
    <s v="Land rear of 26, Longley Road"/>
    <m/>
    <n v="527213"/>
    <n v="170860"/>
    <x v="8"/>
    <m/>
    <m/>
    <n v="0"/>
    <n v="1"/>
    <n v="1"/>
    <n v="1"/>
    <n v="1"/>
    <m/>
    <s v="Erection of a 2-bedroom bungalow and associated garden to the rear of 26 Longley Road."/>
    <s v="RP"/>
    <d v="2017-05-22T00:00:00"/>
    <d v="2017-07-17T00:00:00"/>
    <x v="1"/>
    <s v="APP"/>
    <m/>
    <s v="Gdn"/>
    <x v="0"/>
    <x v="0"/>
    <x v="0"/>
    <n v="3.4000001847744002E-2"/>
    <m/>
    <x v="0"/>
    <m/>
    <x v="0"/>
    <s v="P"/>
    <m/>
    <m/>
    <n v="1"/>
    <m/>
    <n v="0"/>
    <m/>
    <n v="0"/>
    <n v="0"/>
    <n v="1"/>
    <n v="0"/>
    <n v="0"/>
    <n v="0"/>
    <n v="0"/>
    <n v="0"/>
    <n v="0"/>
    <n v="0"/>
    <n v="0"/>
    <n v="0"/>
    <n v="0"/>
    <n v="0"/>
    <n v="0"/>
    <n v="0"/>
    <n v="1"/>
    <n v="0"/>
    <n v="0"/>
    <n v="0"/>
    <n v="0"/>
    <n v="0"/>
    <n v="0"/>
    <n v="0"/>
    <n v="0"/>
    <n v="0"/>
    <n v="0"/>
    <n v="0"/>
    <s v="East"/>
    <x v="0"/>
    <x v="0"/>
    <x v="1"/>
    <x v="0"/>
    <x v="0"/>
    <x v="0"/>
    <m/>
    <x v="0"/>
    <s v="Y"/>
    <n v="6"/>
    <m/>
    <n v="0"/>
    <n v="0"/>
    <n v="0"/>
    <n v="0"/>
    <n v="0"/>
    <n v="0.33333333333333331"/>
    <n v="0.33333333333333331"/>
    <n v="0.33333333333333331"/>
    <n v="0"/>
    <n v="0"/>
    <n v="0"/>
    <n v="0"/>
    <n v="0"/>
    <n v="0"/>
    <n v="0"/>
    <n v="0"/>
    <n v="0"/>
    <n v="0"/>
    <n v="0"/>
    <n v="0"/>
    <n v="0"/>
    <n v="0.33333333333333331"/>
    <n v="1"/>
  </r>
  <r>
    <n v="1867"/>
    <x v="4"/>
    <s v="2018/0250"/>
    <m/>
    <s v="2a Isis Street"/>
    <m/>
    <n v="526162"/>
    <n v="172667"/>
    <x v="18"/>
    <m/>
    <m/>
    <n v="0"/>
    <n v="5"/>
    <n v="5"/>
    <n v="5"/>
    <n v="5"/>
    <m/>
    <s v="Demolition of existing buildings; erection of a two-storey (plus basement) building fronting Isis Street to form 1 x 1-bedroom, 1 x 2-bedroom residential units and bin store, including the formation of a rear lightwell and access to rear;  erection of 3 x two-storey (plus basement) 2-bedroom residential units with lightwells to front and rear."/>
    <s v="AF"/>
    <d v="2018-01-17T00:00:00"/>
    <m/>
    <x v="0"/>
    <s v="Nil"/>
    <m/>
    <s v="BF"/>
    <x v="0"/>
    <x v="0"/>
    <x v="0"/>
    <n v="2.9999999329447701E-2"/>
    <m/>
    <x v="0"/>
    <m/>
    <x v="0"/>
    <s v="P"/>
    <m/>
    <m/>
    <n v="0"/>
    <m/>
    <n v="0"/>
    <m/>
    <n v="0"/>
    <n v="1"/>
    <n v="4"/>
    <n v="0"/>
    <n v="0"/>
    <n v="0"/>
    <n v="0"/>
    <n v="0"/>
    <n v="1"/>
    <n v="1"/>
    <n v="0"/>
    <n v="0"/>
    <n v="0"/>
    <n v="0"/>
    <n v="0"/>
    <n v="0"/>
    <n v="3"/>
    <n v="0"/>
    <n v="0"/>
    <n v="0"/>
    <n v="0"/>
    <n v="0"/>
    <n v="0"/>
    <n v="0"/>
    <n v="0"/>
    <n v="0"/>
    <n v="0"/>
    <n v="0"/>
    <s v="West"/>
    <x v="0"/>
    <x v="0"/>
    <x v="1"/>
    <x v="0"/>
    <x v="0"/>
    <x v="0"/>
    <m/>
    <x v="0"/>
    <s v="Y"/>
    <n v="6"/>
    <m/>
    <n v="0"/>
    <n v="0"/>
    <n v="0"/>
    <n v="0"/>
    <n v="0"/>
    <n v="1.6666666666666667"/>
    <n v="1.6666666666666667"/>
    <n v="1.6666666666666667"/>
    <n v="0"/>
    <n v="0"/>
    <n v="0"/>
    <n v="0"/>
    <n v="0"/>
    <n v="0"/>
    <n v="0"/>
    <n v="0"/>
    <n v="0"/>
    <n v="0"/>
    <n v="0"/>
    <n v="0"/>
    <n v="0"/>
    <n v="1.6666666666666667"/>
    <n v="5"/>
  </r>
  <r>
    <n v="1998"/>
    <x v="4"/>
    <s v="2017/6201"/>
    <m/>
    <s v="Land rear of 6-8a, Fontenoy Road"/>
    <m/>
    <n v="529304"/>
    <n v="172598"/>
    <x v="3"/>
    <m/>
    <m/>
    <n v="0"/>
    <n v="1"/>
    <n v="1"/>
    <n v="1"/>
    <n v="1"/>
    <m/>
    <s v="Demolition of existing garages and construction of new two-storey (ground and basement) 4-bedroom house with single storey nanny flat, and associated parking and landscaping."/>
    <s v="AF"/>
    <d v="2017-11-09T00:00:00"/>
    <m/>
    <x v="0"/>
    <s v="Nil"/>
    <m/>
    <s v="BF"/>
    <x v="0"/>
    <x v="0"/>
    <x v="0"/>
    <n v="7.9000003635883304E-2"/>
    <m/>
    <x v="0"/>
    <m/>
    <x v="0"/>
    <s v="P"/>
    <m/>
    <m/>
    <n v="0"/>
    <m/>
    <n v="0"/>
    <m/>
    <n v="0"/>
    <n v="0"/>
    <n v="0"/>
    <n v="0"/>
    <n v="1"/>
    <n v="0"/>
    <n v="0"/>
    <n v="0"/>
    <n v="0"/>
    <n v="0"/>
    <n v="0"/>
    <n v="0"/>
    <n v="0"/>
    <n v="0"/>
    <n v="0"/>
    <n v="0"/>
    <n v="0"/>
    <n v="0"/>
    <n v="1"/>
    <n v="0"/>
    <n v="0"/>
    <n v="0"/>
    <n v="0"/>
    <n v="0"/>
    <n v="0"/>
    <n v="0"/>
    <n v="0"/>
    <n v="0"/>
    <s v="East"/>
    <x v="0"/>
    <x v="0"/>
    <x v="1"/>
    <x v="0"/>
    <x v="0"/>
    <x v="0"/>
    <m/>
    <x v="0"/>
    <s v="N"/>
    <n v="15"/>
    <s v="2017/1604 used for phasing"/>
    <n v="0"/>
    <n v="0"/>
    <n v="0"/>
    <n v="0"/>
    <n v="0"/>
    <n v="0"/>
    <n v="0"/>
    <n v="0"/>
    <n v="0"/>
    <n v="0"/>
    <n v="0"/>
    <n v="0"/>
    <n v="0"/>
    <n v="0"/>
    <n v="0"/>
    <n v="0"/>
    <n v="0"/>
    <n v="0"/>
    <n v="0"/>
    <n v="0"/>
    <n v="0"/>
    <n v="0"/>
    <n v="0"/>
  </r>
  <r>
    <n v="2202"/>
    <x v="4"/>
    <s v="2018/1370"/>
    <m/>
    <s v="Land adjoining 23, Boundaries Road"/>
    <m/>
    <n v="528351"/>
    <n v="173235"/>
    <x v="11"/>
    <m/>
    <m/>
    <n v="0"/>
    <n v="2"/>
    <n v="2"/>
    <n v="2"/>
    <n v="2"/>
    <m/>
    <s v="Erection of a three-storey plus basement detached building to provide 2 x 1-bedroom dwellings with associated landscaping, outdoor amenity space, roof garden, cycle parking and refuse storage."/>
    <s v="AF"/>
    <d v="2018-03-29T00:00:00"/>
    <m/>
    <x v="0"/>
    <s v="Nil"/>
    <m/>
    <s v="BF"/>
    <x v="0"/>
    <x v="0"/>
    <x v="0"/>
    <n v="8.0000003799796104E-3"/>
    <m/>
    <x v="0"/>
    <m/>
    <x v="0"/>
    <s v="P"/>
    <m/>
    <m/>
    <n v="0"/>
    <m/>
    <n v="0"/>
    <m/>
    <n v="0"/>
    <n v="2"/>
    <n v="0"/>
    <n v="0"/>
    <n v="0"/>
    <n v="0"/>
    <n v="0"/>
    <n v="0"/>
    <n v="2"/>
    <n v="0"/>
    <n v="0"/>
    <n v="0"/>
    <n v="0"/>
    <n v="0"/>
    <n v="0"/>
    <n v="0"/>
    <n v="0"/>
    <n v="0"/>
    <n v="0"/>
    <n v="0"/>
    <n v="0"/>
    <n v="0"/>
    <n v="0"/>
    <n v="0"/>
    <n v="0"/>
    <n v="0"/>
    <n v="0"/>
    <n v="0"/>
    <s v="East"/>
    <x v="0"/>
    <x v="0"/>
    <x v="1"/>
    <x v="0"/>
    <x v="0"/>
    <x v="0"/>
    <m/>
    <x v="0"/>
    <s v="N"/>
    <n v="15"/>
    <s v="2016/7167 used for phasing"/>
    <n v="0"/>
    <n v="0"/>
    <n v="0"/>
    <n v="0"/>
    <n v="0"/>
    <n v="0"/>
    <n v="0"/>
    <n v="0"/>
    <n v="0"/>
    <n v="0"/>
    <n v="0"/>
    <n v="0"/>
    <n v="0"/>
    <n v="0"/>
    <n v="0"/>
    <n v="0"/>
    <n v="0"/>
    <n v="0"/>
    <n v="0"/>
    <n v="0"/>
    <n v="0"/>
    <n v="0"/>
    <n v="0"/>
  </r>
  <r>
    <n v="2390"/>
    <x v="4"/>
    <s v="2017/6507"/>
    <s v="1a"/>
    <s v="Land between 1 and 3, Wimbledon Park Road"/>
    <m/>
    <n v="525245"/>
    <n v="174192"/>
    <x v="5"/>
    <m/>
    <m/>
    <n v="0"/>
    <n v="1"/>
    <n v="1"/>
    <n v="1"/>
    <n v="1"/>
    <m/>
    <s v="Erection of a two-storey (basement and ground floor), 4-bedroom house including sunken courtyard, off-street parking, associated landscaping and alterations to boundary treatment included raised front boundary wall and trellis."/>
    <s v="AF"/>
    <d v="2017-11-24T00:00:00"/>
    <m/>
    <x v="0"/>
    <s v="Nil"/>
    <m/>
    <s v="Gdn"/>
    <x v="0"/>
    <x v="0"/>
    <x v="0"/>
    <n v="1.7000000923872001E-2"/>
    <m/>
    <x v="0"/>
    <m/>
    <x v="0"/>
    <s v="P"/>
    <m/>
    <m/>
    <n v="0"/>
    <m/>
    <n v="0"/>
    <m/>
    <n v="0"/>
    <n v="0"/>
    <n v="0"/>
    <n v="0"/>
    <n v="1"/>
    <n v="0"/>
    <n v="0"/>
    <n v="0"/>
    <n v="0"/>
    <n v="0"/>
    <n v="0"/>
    <n v="0"/>
    <n v="0"/>
    <n v="0"/>
    <n v="0"/>
    <n v="0"/>
    <n v="0"/>
    <n v="0"/>
    <n v="1"/>
    <n v="0"/>
    <n v="0"/>
    <n v="0"/>
    <n v="0"/>
    <n v="0"/>
    <n v="0"/>
    <n v="0"/>
    <n v="0"/>
    <n v="0"/>
    <s v="West"/>
    <x v="0"/>
    <x v="0"/>
    <x v="1"/>
    <x v="0"/>
    <x v="0"/>
    <x v="0"/>
    <m/>
    <x v="0"/>
    <s v="Y"/>
    <n v="6"/>
    <m/>
    <n v="0"/>
    <n v="0"/>
    <n v="0"/>
    <n v="0"/>
    <n v="0"/>
    <n v="0.33333333333333331"/>
    <n v="0.33333333333333331"/>
    <n v="0.33333333333333331"/>
    <n v="0"/>
    <n v="0"/>
    <n v="0"/>
    <n v="0"/>
    <n v="0"/>
    <n v="0"/>
    <n v="0"/>
    <n v="0"/>
    <n v="0"/>
    <n v="0"/>
    <n v="0"/>
    <n v="0"/>
    <n v="0"/>
    <n v="0.33333333333333331"/>
    <n v="1"/>
  </r>
  <r>
    <n v="2504"/>
    <x v="4"/>
    <s v="2017/6683"/>
    <s v="Land adjoining playing field Viewfield Road"/>
    <s v="Garages rear of 60, Granville Road"/>
    <m/>
    <n v="524835"/>
    <n v="173907"/>
    <x v="16"/>
    <m/>
    <m/>
    <n v="0"/>
    <n v="1"/>
    <n v="1"/>
    <n v="1"/>
    <n v="1"/>
    <m/>
    <s v="Demoliton of existing double garages and erection of single-storey (plus basement) 1-bedroom house."/>
    <s v="AF"/>
    <d v="2017-12-06T00:00:00"/>
    <m/>
    <x v="0"/>
    <s v="Nil"/>
    <m/>
    <s v="BF"/>
    <x v="0"/>
    <x v="0"/>
    <x v="0"/>
    <n v="4.9999998882412902E-3"/>
    <m/>
    <x v="0"/>
    <m/>
    <x v="0"/>
    <s v="P"/>
    <m/>
    <m/>
    <n v="0"/>
    <m/>
    <n v="0"/>
    <m/>
    <n v="0"/>
    <n v="1"/>
    <n v="0"/>
    <n v="0"/>
    <n v="0"/>
    <n v="0"/>
    <n v="0"/>
    <n v="0"/>
    <n v="0"/>
    <n v="0"/>
    <n v="0"/>
    <n v="0"/>
    <n v="0"/>
    <n v="0"/>
    <n v="0"/>
    <n v="1"/>
    <n v="0"/>
    <n v="0"/>
    <n v="0"/>
    <n v="0"/>
    <n v="0"/>
    <n v="0"/>
    <n v="0"/>
    <n v="0"/>
    <n v="0"/>
    <n v="0"/>
    <n v="0"/>
    <n v="0"/>
    <s v="West"/>
    <x v="0"/>
    <x v="0"/>
    <x v="1"/>
    <x v="0"/>
    <x v="0"/>
    <x v="0"/>
    <m/>
    <x v="0"/>
    <s v="Y"/>
    <n v="6"/>
    <m/>
    <n v="0"/>
    <n v="0"/>
    <n v="0"/>
    <n v="0"/>
    <n v="0"/>
    <n v="0.33333333333333331"/>
    <n v="0.33333333333333331"/>
    <n v="0.33333333333333331"/>
    <n v="0"/>
    <n v="0"/>
    <n v="0"/>
    <n v="0"/>
    <n v="0"/>
    <n v="0"/>
    <n v="0"/>
    <n v="0"/>
    <n v="0"/>
    <n v="0"/>
    <n v="0"/>
    <n v="0"/>
    <n v="0"/>
    <n v="0.33333333333333331"/>
    <n v="1"/>
  </r>
  <r>
    <n v="2589"/>
    <x v="4"/>
    <s v="2018/0153"/>
    <m/>
    <s v="24 Southolm Street"/>
    <m/>
    <n v="528730"/>
    <n v="176714"/>
    <x v="6"/>
    <m/>
    <m/>
    <n v="0"/>
    <n v="1"/>
    <n v="1"/>
    <n v="1"/>
    <n v="1"/>
    <m/>
    <s v="Erection of an extension above rear addition with formation of dormer access to main rear roof in connection with the conversion of the property from HMO to a single dwelling."/>
    <s v="AF"/>
    <d v="2018-01-23T00:00:00"/>
    <m/>
    <x v="0"/>
    <s v="Nil"/>
    <m/>
    <s v="BF"/>
    <x v="4"/>
    <x v="0"/>
    <x v="7"/>
    <n v="8.0000003799796104E-3"/>
    <m/>
    <x v="0"/>
    <m/>
    <x v="0"/>
    <s v="P"/>
    <m/>
    <m/>
    <n v="0"/>
    <m/>
    <n v="0"/>
    <m/>
    <n v="0"/>
    <n v="0"/>
    <n v="0"/>
    <n v="0"/>
    <n v="1"/>
    <n v="0"/>
    <n v="0"/>
    <n v="0"/>
    <n v="0"/>
    <n v="0"/>
    <n v="0"/>
    <n v="0"/>
    <n v="0"/>
    <n v="0"/>
    <n v="0"/>
    <n v="0"/>
    <n v="0"/>
    <n v="0"/>
    <n v="1"/>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2681"/>
    <x v="4"/>
    <s v="2018/0280"/>
    <m/>
    <s v="Ground Floor, 103 East Hill"/>
    <m/>
    <n v="526030"/>
    <n v="174684"/>
    <x v="0"/>
    <m/>
    <m/>
    <n v="0"/>
    <n v="1"/>
    <n v="1"/>
    <n v="1"/>
    <n v="1"/>
    <m/>
    <s v="Alterations including formation of side courtyard in connection with change of use of part of ground floor from Class A3 to part Class A1 (retail) and C3 (1-bedroom flat)"/>
    <s v="AF"/>
    <d v="2018-01-19T00:00:00"/>
    <m/>
    <x v="0"/>
    <s v="Nil"/>
    <m/>
    <s v="BF"/>
    <x v="3"/>
    <x v="0"/>
    <x v="4"/>
    <n v="4.0000001899898104E-3"/>
    <m/>
    <x v="0"/>
    <m/>
    <x v="0"/>
    <s v="P"/>
    <m/>
    <m/>
    <n v="0"/>
    <m/>
    <n v="0"/>
    <m/>
    <n v="0"/>
    <n v="1"/>
    <n v="0"/>
    <n v="0"/>
    <n v="0"/>
    <n v="0"/>
    <n v="0"/>
    <n v="0"/>
    <n v="1"/>
    <n v="0"/>
    <n v="0"/>
    <n v="0"/>
    <n v="0"/>
    <n v="0"/>
    <n v="0"/>
    <n v="0"/>
    <n v="0"/>
    <n v="0"/>
    <n v="0"/>
    <n v="0"/>
    <n v="0"/>
    <n v="0"/>
    <n v="0"/>
    <n v="0"/>
    <n v="0"/>
    <n v="0"/>
    <n v="0"/>
    <n v="0"/>
    <s v="West"/>
    <x v="0"/>
    <x v="0"/>
    <x v="1"/>
    <x v="0"/>
    <x v="0"/>
    <x v="0"/>
    <m/>
    <x v="0"/>
    <s v="Y"/>
    <n v="10"/>
    <m/>
    <n v="0"/>
    <n v="0"/>
    <n v="0"/>
    <n v="0"/>
    <n v="0"/>
    <n v="0.33333333333333331"/>
    <n v="0.33333333333333331"/>
    <n v="0.33333333333333331"/>
    <n v="0"/>
    <n v="0"/>
    <n v="0"/>
    <n v="0"/>
    <n v="0"/>
    <n v="0"/>
    <n v="0"/>
    <n v="0"/>
    <n v="0"/>
    <n v="0"/>
    <n v="0"/>
    <n v="0"/>
    <n v="0"/>
    <n v="0.33333333333333331"/>
    <n v="1"/>
  </r>
  <r>
    <n v="2708"/>
    <x v="4"/>
    <s v="2018/0283"/>
    <m/>
    <s v="Garages rear of 194, Bedford Hill"/>
    <m/>
    <n v="528946"/>
    <n v="172480"/>
    <x v="3"/>
    <m/>
    <m/>
    <n v="0"/>
    <n v="1"/>
    <n v="1"/>
    <n v="1"/>
    <n v="1"/>
    <m/>
    <s v="Demolition of existing garage and erection of a single-storey (plus basement) 1-bedroom detached house including alterations to the front boundary wall."/>
    <s v="AF"/>
    <d v="2018-02-16T00:00:00"/>
    <m/>
    <x v="0"/>
    <s v="Nil"/>
    <m/>
    <s v="BF"/>
    <x v="0"/>
    <x v="0"/>
    <x v="0"/>
    <n v="8.9999996125698107E-3"/>
    <m/>
    <x v="0"/>
    <m/>
    <x v="0"/>
    <s v="P"/>
    <m/>
    <m/>
    <n v="0"/>
    <n v="1"/>
    <n v="0"/>
    <m/>
    <n v="0"/>
    <n v="1"/>
    <n v="0"/>
    <n v="0"/>
    <n v="0"/>
    <n v="0"/>
    <n v="0"/>
    <n v="0"/>
    <n v="0"/>
    <n v="0"/>
    <n v="0"/>
    <n v="0"/>
    <n v="0"/>
    <n v="0"/>
    <n v="0"/>
    <n v="1"/>
    <n v="0"/>
    <n v="0"/>
    <n v="0"/>
    <n v="0"/>
    <n v="0"/>
    <n v="0"/>
    <n v="0"/>
    <n v="0"/>
    <n v="0"/>
    <n v="0"/>
    <n v="0"/>
    <n v="0"/>
    <s v="East"/>
    <x v="0"/>
    <x v="0"/>
    <x v="1"/>
    <x v="0"/>
    <x v="0"/>
    <x v="0"/>
    <m/>
    <x v="0"/>
    <s v="Y"/>
    <n v="6"/>
    <m/>
    <n v="0"/>
    <n v="0"/>
    <n v="0"/>
    <n v="0"/>
    <n v="0"/>
    <n v="0.33333333333333331"/>
    <n v="0.33333333333333331"/>
    <n v="0.33333333333333331"/>
    <n v="0"/>
    <n v="0"/>
    <n v="0"/>
    <n v="0"/>
    <n v="0"/>
    <n v="0"/>
    <n v="0"/>
    <n v="0"/>
    <n v="0"/>
    <n v="0"/>
    <n v="0"/>
    <n v="0"/>
    <n v="0"/>
    <n v="0.33333333333333331"/>
    <n v="1"/>
  </r>
  <r>
    <n v="2946"/>
    <x v="4"/>
    <s v="2017/6357"/>
    <m/>
    <s v="Putney Evangelical Church, Sefton Street"/>
    <m/>
    <n v="523254"/>
    <n v="176072"/>
    <x v="13"/>
    <m/>
    <m/>
    <n v="0"/>
    <n v="2"/>
    <n v="2"/>
    <n v="2"/>
    <n v="2"/>
    <m/>
    <s v="Demolition of existing church and erection of 2 x two storey (plus roof) 4-bedroom houses with associated landscape and boundary treatment."/>
    <s v="AF"/>
    <d v="2017-12-07T00:00:00"/>
    <m/>
    <x v="0"/>
    <s v="Nil"/>
    <m/>
    <s v="BF"/>
    <x v="0"/>
    <x v="0"/>
    <x v="0"/>
    <n v="2.0999999716877899E-2"/>
    <m/>
    <x v="0"/>
    <m/>
    <x v="0"/>
    <s v="P"/>
    <m/>
    <m/>
    <n v="0"/>
    <m/>
    <n v="0"/>
    <m/>
    <n v="0"/>
    <n v="0"/>
    <n v="0"/>
    <n v="0"/>
    <n v="2"/>
    <n v="0"/>
    <n v="0"/>
    <n v="0"/>
    <n v="0"/>
    <n v="0"/>
    <n v="0"/>
    <n v="0"/>
    <n v="0"/>
    <n v="0"/>
    <n v="0"/>
    <n v="0"/>
    <n v="0"/>
    <n v="0"/>
    <n v="2"/>
    <n v="0"/>
    <n v="0"/>
    <n v="0"/>
    <n v="0"/>
    <n v="0"/>
    <n v="0"/>
    <n v="0"/>
    <n v="0"/>
    <n v="0"/>
    <s v="West"/>
    <x v="0"/>
    <x v="0"/>
    <x v="1"/>
    <x v="0"/>
    <x v="0"/>
    <x v="0"/>
    <m/>
    <x v="0"/>
    <s v="Y"/>
    <n v="6"/>
    <m/>
    <n v="0"/>
    <n v="0"/>
    <n v="0"/>
    <n v="0"/>
    <n v="0"/>
    <n v="0.66666666666666663"/>
    <n v="0.66666666666666663"/>
    <n v="0.66666666666666663"/>
    <n v="0"/>
    <n v="0"/>
    <n v="0"/>
    <n v="0"/>
    <n v="0"/>
    <n v="0"/>
    <n v="0"/>
    <n v="0"/>
    <n v="0"/>
    <n v="0"/>
    <n v="0"/>
    <n v="0"/>
    <n v="0"/>
    <n v="0.66666666666666663"/>
    <n v="2"/>
  </r>
  <r>
    <n v="3090"/>
    <x v="4"/>
    <s v="2017/1066"/>
    <m/>
    <s v="258 Merton Road"/>
    <m/>
    <n v="525209"/>
    <n v="173685"/>
    <x v="5"/>
    <m/>
    <m/>
    <n v="0"/>
    <n v="1"/>
    <n v="1"/>
    <n v="1"/>
    <n v="1"/>
    <m/>
    <s v="Alterations including erection of roof extension to provide additional storey to main roof and rear extensions at first and second floor levels in connection with enlargement of existing flat and provision of a 1-bedroom flat."/>
    <s v="RP"/>
    <d v="2017-03-02T00:00:00"/>
    <d v="2017-06-08T00:00:00"/>
    <x v="1"/>
    <s v="APP"/>
    <m/>
    <s v="BF"/>
    <x v="2"/>
    <x v="0"/>
    <x v="3"/>
    <n v="4.0000001899898104E-3"/>
    <m/>
    <x v="0"/>
    <m/>
    <x v="0"/>
    <s v="P"/>
    <m/>
    <m/>
    <n v="0"/>
    <m/>
    <n v="0"/>
    <m/>
    <n v="0"/>
    <n v="1"/>
    <n v="0"/>
    <n v="0"/>
    <n v="0"/>
    <n v="0"/>
    <n v="0"/>
    <n v="0"/>
    <n v="1"/>
    <n v="0"/>
    <n v="0"/>
    <n v="0"/>
    <n v="0"/>
    <n v="0"/>
    <n v="0"/>
    <n v="0"/>
    <n v="0"/>
    <n v="0"/>
    <n v="0"/>
    <n v="0"/>
    <n v="0"/>
    <n v="0"/>
    <n v="0"/>
    <n v="0"/>
    <n v="0"/>
    <n v="0"/>
    <n v="0"/>
    <n v="0"/>
    <s v="West"/>
    <x v="0"/>
    <x v="0"/>
    <x v="1"/>
    <x v="0"/>
    <x v="0"/>
    <x v="0"/>
    <m/>
    <x v="0"/>
    <s v="Y"/>
    <n v="10"/>
    <m/>
    <n v="0"/>
    <n v="0"/>
    <n v="0"/>
    <n v="0"/>
    <n v="0"/>
    <n v="0.33333333333333331"/>
    <n v="0.33333333333333331"/>
    <n v="0.33333333333333331"/>
    <n v="0"/>
    <n v="0"/>
    <n v="0"/>
    <n v="0"/>
    <n v="0"/>
    <n v="0"/>
    <n v="0"/>
    <n v="0"/>
    <n v="0"/>
    <n v="0"/>
    <n v="0"/>
    <n v="0"/>
    <n v="0"/>
    <n v="0.33333333333333331"/>
    <n v="1"/>
  </r>
  <r>
    <n v="3344"/>
    <x v="4"/>
    <s v="2018/1323"/>
    <m/>
    <s v="62a Mitcham Road"/>
    <m/>
    <n v="527574"/>
    <n v="171313"/>
    <x v="8"/>
    <m/>
    <m/>
    <n v="1"/>
    <n v="4"/>
    <n v="3"/>
    <n v="4"/>
    <n v="3"/>
    <m/>
    <s v="Alterations including erection of a dormer roof extension to main rear roof and above part of the three storey back addition, side windows, front rooflights and conversion of property to 4 x 1-bedroom flats."/>
    <s v="AF"/>
    <d v="2018-03-27T00:00:00"/>
    <m/>
    <x v="0"/>
    <s v="Nil"/>
    <m/>
    <s v="BF"/>
    <x v="4"/>
    <x v="0"/>
    <x v="10"/>
    <n v="0"/>
    <m/>
    <x v="0"/>
    <m/>
    <x v="0"/>
    <s v="P"/>
    <m/>
    <m/>
    <n v="0"/>
    <m/>
    <n v="0"/>
    <m/>
    <n v="0"/>
    <n v="4"/>
    <n v="0"/>
    <n v="0"/>
    <n v="-1"/>
    <n v="0"/>
    <n v="0"/>
    <n v="0"/>
    <n v="4"/>
    <n v="0"/>
    <n v="0"/>
    <n v="-1"/>
    <n v="0"/>
    <n v="0"/>
    <n v="0"/>
    <n v="0"/>
    <n v="0"/>
    <n v="0"/>
    <n v="0"/>
    <n v="0"/>
    <n v="0"/>
    <n v="0"/>
    <n v="0"/>
    <n v="0"/>
    <n v="0"/>
    <n v="0"/>
    <n v="0"/>
    <n v="0"/>
    <s v="East"/>
    <x v="1"/>
    <x v="0"/>
    <x v="1"/>
    <x v="0"/>
    <x v="0"/>
    <x v="0"/>
    <m/>
    <x v="0"/>
    <s v="Y"/>
    <n v="10"/>
    <m/>
    <n v="0"/>
    <n v="0"/>
    <n v="0"/>
    <n v="0"/>
    <n v="0"/>
    <n v="1"/>
    <n v="1"/>
    <n v="1"/>
    <n v="0"/>
    <n v="0"/>
    <n v="0"/>
    <n v="0"/>
    <n v="0"/>
    <n v="0"/>
    <n v="0"/>
    <n v="0"/>
    <n v="0"/>
    <n v="0"/>
    <n v="0"/>
    <n v="0"/>
    <n v="0"/>
    <n v="1"/>
    <n v="3"/>
  </r>
  <r>
    <n v="3568"/>
    <x v="4"/>
    <s v="2018/0802"/>
    <m/>
    <s v="33 Roedean Crescent"/>
    <m/>
    <n v="521152"/>
    <n v="174359"/>
    <x v="15"/>
    <m/>
    <m/>
    <n v="0"/>
    <n v="1"/>
    <n v="1"/>
    <n v="1"/>
    <n v="1"/>
    <m/>
    <s v="Erection of two-storey plus accommodation at roof level detached house."/>
    <s v="AF"/>
    <d v="2018-02-22T00:00:00"/>
    <m/>
    <x v="0"/>
    <s v="Nil"/>
    <m/>
    <s v="BF"/>
    <x v="0"/>
    <x v="0"/>
    <x v="0"/>
    <n v="6.3000001013279003E-2"/>
    <m/>
    <x v="0"/>
    <m/>
    <x v="0"/>
    <s v="P"/>
    <m/>
    <m/>
    <n v="0"/>
    <n v="1"/>
    <n v="0"/>
    <m/>
    <n v="0"/>
    <n v="0"/>
    <n v="0"/>
    <n v="0"/>
    <n v="0"/>
    <n v="1"/>
    <n v="0"/>
    <n v="0"/>
    <n v="0"/>
    <n v="0"/>
    <n v="0"/>
    <n v="0"/>
    <n v="0"/>
    <n v="0"/>
    <n v="0"/>
    <n v="0"/>
    <n v="0"/>
    <n v="0"/>
    <n v="0"/>
    <n v="1"/>
    <n v="0"/>
    <n v="0"/>
    <n v="0"/>
    <n v="0"/>
    <n v="0"/>
    <n v="0"/>
    <n v="0"/>
    <n v="0"/>
    <s v="West"/>
    <x v="0"/>
    <x v="0"/>
    <x v="1"/>
    <x v="0"/>
    <x v="0"/>
    <x v="0"/>
    <m/>
    <x v="0"/>
    <s v="N"/>
    <n v="15"/>
    <s v="2017/3099 used for phasing"/>
    <n v="0"/>
    <n v="0"/>
    <n v="0"/>
    <n v="0"/>
    <n v="0"/>
    <n v="0"/>
    <n v="0"/>
    <n v="0"/>
    <n v="0"/>
    <n v="0"/>
    <n v="0"/>
    <n v="0"/>
    <n v="0"/>
    <n v="0"/>
    <n v="0"/>
    <n v="0"/>
    <n v="0"/>
    <n v="0"/>
    <n v="0"/>
    <n v="0"/>
    <n v="0"/>
    <n v="0"/>
    <n v="0"/>
  </r>
  <r>
    <n v="3588"/>
    <x v="4"/>
    <s v="2017/6631"/>
    <m/>
    <s v="83 Lavender Hill"/>
    <m/>
    <n v="528283"/>
    <n v="175682"/>
    <x v="10"/>
    <m/>
    <m/>
    <n v="1"/>
    <n v="9"/>
    <n v="8"/>
    <n v="9"/>
    <n v="8"/>
    <m/>
    <s v="Erection of a mansard roof extension to main rear roof and extensions at first, second and third floors and conversion of the property into 9-bedroom HMO (from Class C3 to Class Sui Genres)."/>
    <s v="AF"/>
    <d v="2017-12-01T00:00:00"/>
    <m/>
    <x v="0"/>
    <s v="Nil"/>
    <m/>
    <s v="BF"/>
    <x v="4"/>
    <x v="0"/>
    <x v="10"/>
    <n v="1.4999999664723899E-2"/>
    <m/>
    <x v="0"/>
    <m/>
    <x v="0"/>
    <s v="P"/>
    <m/>
    <m/>
    <n v="0"/>
    <m/>
    <n v="0"/>
    <m/>
    <n v="9"/>
    <n v="0"/>
    <n v="0"/>
    <n v="0"/>
    <n v="-1"/>
    <n v="0"/>
    <n v="0"/>
    <n v="9"/>
    <n v="0"/>
    <n v="0"/>
    <n v="0"/>
    <n v="-1"/>
    <n v="0"/>
    <n v="0"/>
    <n v="0"/>
    <n v="0"/>
    <n v="0"/>
    <n v="0"/>
    <n v="0"/>
    <n v="0"/>
    <n v="0"/>
    <n v="0"/>
    <n v="0"/>
    <n v="0"/>
    <n v="0"/>
    <n v="0"/>
    <n v="0"/>
    <n v="0"/>
    <s v="East"/>
    <x v="0"/>
    <x v="0"/>
    <x v="1"/>
    <x v="0"/>
    <x v="0"/>
    <x v="0"/>
    <m/>
    <x v="0"/>
    <s v="Y"/>
    <n v="10"/>
    <m/>
    <n v="0"/>
    <n v="0"/>
    <n v="0"/>
    <n v="0"/>
    <n v="0"/>
    <n v="2.6666666666666665"/>
    <n v="2.6666666666666665"/>
    <n v="2.6666666666666665"/>
    <n v="0"/>
    <n v="0"/>
    <n v="0"/>
    <n v="0"/>
    <n v="0"/>
    <n v="0"/>
    <n v="0"/>
    <n v="0"/>
    <n v="0"/>
    <n v="0"/>
    <n v="0"/>
    <n v="0"/>
    <n v="0"/>
    <n v="2.6666666666666665"/>
    <n v="8"/>
  </r>
  <r>
    <n v="3745"/>
    <x v="4"/>
    <s v="2018/0210"/>
    <s v="Land rear of Mitcham Lane"/>
    <s v="Land rear of 4-24, Thrale Road"/>
    <s v="BLOCK A"/>
    <n v="529291"/>
    <n v="171210"/>
    <x v="12"/>
    <m/>
    <m/>
    <n v="0"/>
    <n v="6"/>
    <n v="6"/>
    <n v="22"/>
    <n v="22"/>
    <s v="Y"/>
    <s v="Demolition of existing garage structures and erection of 22 residential units (6x1bedroom, 10x2-bedroom and 6x3-bedroom) within three two/three-storey buildings accessed from Thrale Road (between Nos. 16 and 18 Thrale Road) with associated car and cycle parking, refuse storage and landscaping."/>
    <s v="AF"/>
    <d v="2018-03-05T00:00:00"/>
    <m/>
    <x v="0"/>
    <s v="Nil"/>
    <m/>
    <s v="BF"/>
    <x v="0"/>
    <x v="1"/>
    <x v="1"/>
    <n v="4.80000004172325E-2"/>
    <m/>
    <x v="0"/>
    <m/>
    <x v="0"/>
    <s v="P"/>
    <m/>
    <m/>
    <n v="0"/>
    <m/>
    <n v="0"/>
    <m/>
    <n v="0"/>
    <n v="3"/>
    <n v="3"/>
    <n v="0"/>
    <n v="0"/>
    <n v="0"/>
    <n v="0"/>
    <n v="0"/>
    <n v="3"/>
    <n v="3"/>
    <n v="0"/>
    <n v="0"/>
    <n v="0"/>
    <n v="0"/>
    <n v="0"/>
    <n v="0"/>
    <n v="0"/>
    <n v="0"/>
    <n v="0"/>
    <n v="0"/>
    <n v="0"/>
    <n v="0"/>
    <n v="0"/>
    <n v="0"/>
    <n v="0"/>
    <n v="0"/>
    <n v="0"/>
    <n v="0"/>
    <s v="East"/>
    <x v="0"/>
    <x v="0"/>
    <x v="1"/>
    <x v="0"/>
    <x v="0"/>
    <x v="0"/>
    <m/>
    <x v="0"/>
    <s v="N"/>
    <n v="15"/>
    <s v="2015/7118 used for phasing"/>
    <n v="0"/>
    <n v="0"/>
    <n v="0"/>
    <n v="0"/>
    <n v="0"/>
    <n v="0"/>
    <n v="0"/>
    <n v="0"/>
    <n v="0"/>
    <n v="0"/>
    <n v="0"/>
    <n v="0"/>
    <n v="0"/>
    <n v="0"/>
    <n v="0"/>
    <n v="0"/>
    <n v="0"/>
    <n v="0"/>
    <n v="0"/>
    <n v="0"/>
    <n v="0"/>
    <n v="0"/>
    <n v="0"/>
  </r>
  <r>
    <n v="3745"/>
    <x v="4"/>
    <s v="2018/0210"/>
    <s v="Land rear of Mitcham Lane"/>
    <s v="Land rear of 4-24, Thrale Road"/>
    <s v="BLOCK B"/>
    <n v="529291"/>
    <n v="171210"/>
    <x v="12"/>
    <m/>
    <m/>
    <n v="0"/>
    <n v="6"/>
    <n v="6"/>
    <n v="22"/>
    <n v="22"/>
    <s v="Y"/>
    <s v="Demolition of existing garage structures and erection of 22 residential units (6x1bedroom, 10x2-bedroom and 6x3-bedroom) within three two/three-storey buildings accessed from Thrale Road (between Nos. 16 and 18 Thrale Road) with associated car and cycle parking, refuse storage and landscaping."/>
    <s v="AF"/>
    <d v="2018-03-05T00:00:00"/>
    <m/>
    <x v="0"/>
    <s v="Nil"/>
    <m/>
    <s v="BF"/>
    <x v="0"/>
    <x v="1"/>
    <x v="1"/>
    <n v="7.1999996900558499E-2"/>
    <m/>
    <x v="0"/>
    <m/>
    <x v="0"/>
    <s v="P"/>
    <m/>
    <m/>
    <n v="0"/>
    <m/>
    <n v="0"/>
    <m/>
    <n v="0"/>
    <n v="0"/>
    <n v="0"/>
    <n v="6"/>
    <n v="0"/>
    <n v="0"/>
    <n v="0"/>
    <n v="0"/>
    <n v="0"/>
    <n v="0"/>
    <n v="0"/>
    <n v="0"/>
    <n v="0"/>
    <n v="0"/>
    <n v="0"/>
    <n v="0"/>
    <n v="0"/>
    <n v="6"/>
    <n v="0"/>
    <n v="0"/>
    <n v="0"/>
    <n v="0"/>
    <n v="0"/>
    <n v="0"/>
    <n v="0"/>
    <n v="0"/>
    <n v="0"/>
    <n v="0"/>
    <s v="East"/>
    <x v="0"/>
    <x v="0"/>
    <x v="1"/>
    <x v="0"/>
    <x v="0"/>
    <x v="0"/>
    <m/>
    <x v="0"/>
    <s v="N"/>
    <n v="15"/>
    <s v="2015/7118 used for phasing"/>
    <n v="0"/>
    <n v="0"/>
    <n v="0"/>
    <n v="0"/>
    <n v="0"/>
    <n v="0"/>
    <n v="0"/>
    <n v="0"/>
    <n v="0"/>
    <n v="0"/>
    <n v="0"/>
    <n v="0"/>
    <n v="0"/>
    <n v="0"/>
    <n v="0"/>
    <n v="0"/>
    <n v="0"/>
    <n v="0"/>
    <n v="0"/>
    <n v="0"/>
    <n v="0"/>
    <n v="0"/>
    <n v="0"/>
  </r>
  <r>
    <n v="3745"/>
    <x v="4"/>
    <s v="2018/0210"/>
    <s v="Land rear of Mitcham Lane"/>
    <s v="Land rear of 4-24, Thrale Road"/>
    <s v="BLOCK C"/>
    <n v="529291"/>
    <n v="171210"/>
    <x v="12"/>
    <m/>
    <m/>
    <n v="0"/>
    <n v="10"/>
    <n v="10"/>
    <n v="22"/>
    <n v="22"/>
    <s v="Y"/>
    <s v="Demolition of existing garage structures and erection of 22 residential units (6x1bedroom, 10x2-bedroom and 6x3-bedroom) within three two/three-storey buildings accessed from Thrale Road (between Nos. 16 and 18 Thrale Road) with associated car and cycle parking, refuse storage and landscaping."/>
    <s v="AF"/>
    <d v="2018-03-05T00:00:00"/>
    <m/>
    <x v="0"/>
    <s v="Nil"/>
    <m/>
    <s v="BF"/>
    <x v="0"/>
    <x v="1"/>
    <x v="1"/>
    <n v="7.8000001609325395E-2"/>
    <m/>
    <x v="0"/>
    <m/>
    <x v="0"/>
    <s v="P"/>
    <m/>
    <m/>
    <n v="0"/>
    <m/>
    <n v="0"/>
    <m/>
    <n v="0"/>
    <n v="4"/>
    <n v="6"/>
    <n v="0"/>
    <n v="0"/>
    <n v="0"/>
    <n v="0"/>
    <n v="0"/>
    <n v="4"/>
    <n v="6"/>
    <n v="0"/>
    <n v="0"/>
    <n v="0"/>
    <n v="0"/>
    <n v="0"/>
    <n v="0"/>
    <n v="0"/>
    <n v="0"/>
    <n v="0"/>
    <n v="0"/>
    <n v="0"/>
    <n v="0"/>
    <n v="0"/>
    <n v="0"/>
    <n v="0"/>
    <n v="0"/>
    <n v="0"/>
    <n v="0"/>
    <s v="East"/>
    <x v="0"/>
    <x v="0"/>
    <x v="1"/>
    <x v="0"/>
    <x v="0"/>
    <x v="0"/>
    <m/>
    <x v="0"/>
    <s v="N"/>
    <n v="15"/>
    <s v="2015/7118 used for phasing"/>
    <n v="0"/>
    <n v="0"/>
    <n v="0"/>
    <n v="0"/>
    <n v="0"/>
    <n v="0"/>
    <n v="0"/>
    <n v="0"/>
    <n v="0"/>
    <n v="0"/>
    <n v="0"/>
    <n v="0"/>
    <n v="0"/>
    <n v="0"/>
    <n v="0"/>
    <n v="0"/>
    <n v="0"/>
    <n v="0"/>
    <n v="0"/>
    <n v="0"/>
    <n v="0"/>
    <n v="0"/>
    <n v="0"/>
  </r>
  <r>
    <n v="3837"/>
    <x v="4"/>
    <s v="2018/0097"/>
    <m/>
    <s v="345 Garratt Lane"/>
    <m/>
    <n v="525943"/>
    <n v="173455"/>
    <x v="18"/>
    <m/>
    <m/>
    <n v="1"/>
    <n v="1"/>
    <n v="0"/>
    <n v="1"/>
    <n v="0"/>
    <m/>
    <s v="Alterations including erection of single-storey rear/side extension to Flat 1; Erection of  mansard roof extension to main rear roof (including raising the risge by 0.25m) and erection of extension above two-storey rear addition in connection with conversion of Flat 2 into 2 x 1-bed flats."/>
    <s v="AF"/>
    <d v="2018-01-16T00:00:00"/>
    <m/>
    <x v="0"/>
    <s v="Nil"/>
    <m/>
    <s v="BF"/>
    <x v="4"/>
    <x v="0"/>
    <x v="10"/>
    <n v="4.9999998882412902E-3"/>
    <m/>
    <x v="0"/>
    <m/>
    <x v="0"/>
    <s v="P"/>
    <m/>
    <m/>
    <n v="0"/>
    <m/>
    <n v="0"/>
    <m/>
    <n v="0"/>
    <n v="1"/>
    <n v="0"/>
    <n v="-1"/>
    <n v="0"/>
    <n v="0"/>
    <n v="0"/>
    <n v="0"/>
    <n v="1"/>
    <n v="0"/>
    <n v="-1"/>
    <n v="0"/>
    <n v="0"/>
    <n v="0"/>
    <n v="0"/>
    <n v="0"/>
    <n v="0"/>
    <n v="0"/>
    <n v="0"/>
    <n v="0"/>
    <n v="0"/>
    <n v="0"/>
    <n v="0"/>
    <n v="0"/>
    <n v="0"/>
    <n v="0"/>
    <n v="0"/>
    <n v="0"/>
    <s v="West"/>
    <x v="0"/>
    <x v="0"/>
    <x v="1"/>
    <x v="0"/>
    <x v="0"/>
    <x v="0"/>
    <m/>
    <x v="0"/>
    <s v="Y"/>
    <n v="10"/>
    <m/>
    <n v="0"/>
    <n v="0"/>
    <n v="0"/>
    <n v="0"/>
    <n v="0"/>
    <n v="0"/>
    <n v="0"/>
    <n v="0"/>
    <n v="0"/>
    <n v="0"/>
    <n v="0"/>
    <n v="0"/>
    <n v="0"/>
    <n v="0"/>
    <n v="0"/>
    <n v="0"/>
    <n v="0"/>
    <n v="0"/>
    <n v="0"/>
    <n v="0"/>
    <n v="0"/>
    <n v="0"/>
    <n v="0"/>
  </r>
  <r>
    <n v="3961"/>
    <x v="4"/>
    <s v="2017/4726"/>
    <m/>
    <s v="Dadu's Parade, 180-218 Upper Tooting Road"/>
    <m/>
    <n v="527645"/>
    <n v="171873"/>
    <x v="4"/>
    <m/>
    <m/>
    <n v="0"/>
    <n v="31"/>
    <n v="31"/>
    <n v="47"/>
    <n v="47"/>
    <s v="Y"/>
    <s v="Demolition of the existing buildings, with the retention &amp; restoration of the RACS building facade and redevelopment of the remainder of the site to provide a part single/part four/part five-storey building to provide up to 4 new shops for use within classes A1-A5 (retail, financial and professional services, restaurant, pub and bar, takeaway); a community use unit (D use); a hotel (96 bedrooms); 47 dwellings of which 35% (by area) will be affordable housing); 45 car parking spaces, 109 cycle parking spaces, servicing areas and landscaping."/>
    <s v="AF"/>
    <d v="2017-08-24T00:00:00"/>
    <m/>
    <x v="0"/>
    <s v="Nil"/>
    <m/>
    <s v="BF"/>
    <x v="0"/>
    <x v="1"/>
    <x v="1"/>
    <n v="0.31999999284744302"/>
    <m/>
    <x v="0"/>
    <m/>
    <x v="0"/>
    <s v="P"/>
    <s v="5.1"/>
    <m/>
    <n v="0"/>
    <m/>
    <n v="0"/>
    <m/>
    <n v="0"/>
    <n v="17"/>
    <n v="13"/>
    <n v="1"/>
    <n v="0"/>
    <n v="0"/>
    <n v="0"/>
    <n v="0"/>
    <n v="17"/>
    <n v="13"/>
    <n v="1"/>
    <n v="0"/>
    <n v="0"/>
    <n v="0"/>
    <n v="0"/>
    <n v="0"/>
    <n v="0"/>
    <n v="0"/>
    <n v="0"/>
    <n v="0"/>
    <n v="0"/>
    <n v="0"/>
    <n v="0"/>
    <n v="0"/>
    <n v="0"/>
    <n v="0"/>
    <n v="0"/>
    <n v="0"/>
    <s v="East"/>
    <x v="1"/>
    <x v="0"/>
    <x v="1"/>
    <x v="0"/>
    <x v="0"/>
    <x v="0"/>
    <m/>
    <x v="0"/>
    <s v="Y"/>
    <n v="6"/>
    <m/>
    <n v="0"/>
    <n v="0"/>
    <n v="0"/>
    <n v="0"/>
    <n v="0"/>
    <n v="10.333333333333334"/>
    <n v="10.333333333333334"/>
    <n v="10.333333333333334"/>
    <n v="0"/>
    <n v="0"/>
    <n v="0"/>
    <n v="0"/>
    <n v="0"/>
    <n v="0"/>
    <n v="0"/>
    <n v="0"/>
    <n v="0"/>
    <n v="0"/>
    <n v="0"/>
    <n v="0"/>
    <n v="0"/>
    <n v="10.333333333333334"/>
    <n v="31"/>
  </r>
  <r>
    <n v="3961"/>
    <x v="4"/>
    <s v="2017/4726"/>
    <m/>
    <s v="Dadu's Parade, 180-218 Upper Tooting Road"/>
    <m/>
    <n v="527645"/>
    <n v="171873"/>
    <x v="4"/>
    <m/>
    <m/>
    <n v="0"/>
    <n v="9"/>
    <n v="9"/>
    <n v="47"/>
    <n v="47"/>
    <s v="Y"/>
    <s v="Demolition of the existing buildings, with the retention &amp; restoration of the RACS building facade and redevelopment of the remainder of the site to provide a part single/part four/part five-storey building to provide up to 4 new shops for use within classes A1-A5 (retail, financial and professional services, restaurant, pub and bar, takeaway); a community use unit (D use); a hotel (96 bedrooms); 47 dwellings of which 35% (by area) will be affordable housing); 45 car parking spaces, 109 cycle parking spaces, servicing areas and landscaping."/>
    <s v="AF"/>
    <d v="2017-08-24T00:00:00"/>
    <m/>
    <x v="0"/>
    <s v="Nil"/>
    <m/>
    <s v="BF"/>
    <x v="0"/>
    <x v="1"/>
    <x v="1"/>
    <n v="9.3000002205371898E-2"/>
    <m/>
    <x v="0"/>
    <m/>
    <x v="2"/>
    <s v="HASR"/>
    <s v="5.1"/>
    <m/>
    <n v="0"/>
    <m/>
    <n v="0"/>
    <m/>
    <n v="0"/>
    <n v="3"/>
    <n v="3"/>
    <n v="3"/>
    <n v="0"/>
    <n v="0"/>
    <n v="0"/>
    <n v="0"/>
    <n v="3"/>
    <n v="3"/>
    <n v="3"/>
    <n v="0"/>
    <n v="0"/>
    <n v="0"/>
    <n v="0"/>
    <n v="0"/>
    <n v="0"/>
    <n v="0"/>
    <n v="0"/>
    <n v="0"/>
    <n v="0"/>
    <n v="0"/>
    <n v="0"/>
    <n v="0"/>
    <n v="0"/>
    <n v="0"/>
    <n v="0"/>
    <n v="0"/>
    <s v="East"/>
    <x v="1"/>
    <x v="0"/>
    <x v="1"/>
    <x v="0"/>
    <x v="0"/>
    <x v="0"/>
    <m/>
    <x v="0"/>
    <s v="Y"/>
    <n v="6"/>
    <m/>
    <n v="0"/>
    <n v="0"/>
    <n v="0"/>
    <n v="0"/>
    <n v="0"/>
    <n v="3"/>
    <n v="3"/>
    <n v="3"/>
    <n v="0"/>
    <n v="0"/>
    <n v="0"/>
    <n v="0"/>
    <n v="0"/>
    <n v="0"/>
    <n v="0"/>
    <n v="0"/>
    <n v="0"/>
    <n v="0"/>
    <n v="0"/>
    <n v="0"/>
    <n v="0"/>
    <n v="3"/>
    <n v="9"/>
  </r>
  <r>
    <n v="3961"/>
    <x v="4"/>
    <s v="2017/4726"/>
    <m/>
    <s v="Dadu's Parade, 180-218 Upper Tooting Road"/>
    <m/>
    <n v="527645"/>
    <n v="171873"/>
    <x v="4"/>
    <m/>
    <m/>
    <n v="0"/>
    <n v="7"/>
    <n v="7"/>
    <n v="47"/>
    <n v="47"/>
    <s v="Y"/>
    <s v="Demolition of the existing buildings, with the retention &amp; restoration of the RACS building facade and redevelopment of the remainder of the site to provide a part single/part four/part five-storey building to provide up to 4 new shops for use within classes A1-A5 (retail, financial and professional services, restaurant, pub and bar, takeaway); a community use unit (D use); a hotel (96 bedrooms); 47 dwellings of which 35% (by area) will be affordable housing); 45 car parking spaces, 109 cycle parking spaces, servicing areas and landscaping."/>
    <s v="AF"/>
    <d v="2017-08-24T00:00:00"/>
    <m/>
    <x v="0"/>
    <s v="Nil"/>
    <m/>
    <s v="BF"/>
    <x v="0"/>
    <x v="1"/>
    <x v="1"/>
    <n v="7.1999996900558499E-2"/>
    <m/>
    <x v="0"/>
    <m/>
    <x v="0"/>
    <s v="P"/>
    <s v="5.1"/>
    <m/>
    <n v="0"/>
    <m/>
    <n v="0"/>
    <n v="5"/>
    <n v="0"/>
    <n v="3"/>
    <n v="3"/>
    <n v="1"/>
    <n v="0"/>
    <n v="0"/>
    <n v="0"/>
    <n v="0"/>
    <n v="3"/>
    <n v="3"/>
    <n v="1"/>
    <n v="0"/>
    <n v="0"/>
    <n v="0"/>
    <n v="0"/>
    <n v="0"/>
    <n v="0"/>
    <n v="0"/>
    <n v="0"/>
    <n v="0"/>
    <n v="0"/>
    <n v="0"/>
    <n v="0"/>
    <n v="0"/>
    <n v="0"/>
    <n v="0"/>
    <n v="0"/>
    <n v="0"/>
    <s v="East"/>
    <x v="1"/>
    <x v="0"/>
    <x v="1"/>
    <x v="0"/>
    <x v="0"/>
    <x v="0"/>
    <m/>
    <x v="0"/>
    <s v="Y"/>
    <n v="6"/>
    <m/>
    <n v="0"/>
    <n v="0"/>
    <n v="0"/>
    <n v="0"/>
    <n v="0"/>
    <n v="2.3333333333333335"/>
    <n v="2.3333333333333335"/>
    <n v="2.3333333333333335"/>
    <n v="0"/>
    <n v="0"/>
    <n v="0"/>
    <n v="0"/>
    <n v="0"/>
    <n v="0"/>
    <n v="0"/>
    <n v="0"/>
    <n v="0"/>
    <n v="0"/>
    <n v="0"/>
    <n v="0"/>
    <n v="0"/>
    <n v="2.3333333333333335"/>
    <n v="7"/>
  </r>
  <r>
    <n v="4084"/>
    <x v="4"/>
    <s v="2018/0195"/>
    <m/>
    <s v="22 Trinity Road"/>
    <m/>
    <n v="527971"/>
    <n v="172408"/>
    <x v="11"/>
    <m/>
    <m/>
    <n v="1"/>
    <n v="1"/>
    <n v="0"/>
    <n v="3"/>
    <n v="2"/>
    <m/>
    <s v="Alterations including demolition of  rear elevation, mansard roof extension to create an additional storey of residential accommodation, erection of part single, part two, part three storey rear extension, excavation of basement and conversion of ground floor shop from from Sui Generis (mini-cab office) to part Class A1 (shop) and part Class C3 (residential) to create 2 x 1-bedroom flats and a studio flat. Replacement shopfront."/>
    <s v="AF"/>
    <d v="2018-01-15T00:00:00"/>
    <m/>
    <x v="0"/>
    <s v="Nil"/>
    <m/>
    <s v="BF"/>
    <x v="4"/>
    <x v="0"/>
    <x v="10"/>
    <n v="3.0000000260770299E-3"/>
    <m/>
    <x v="0"/>
    <m/>
    <x v="0"/>
    <s v="P"/>
    <m/>
    <m/>
    <n v="0"/>
    <m/>
    <n v="0"/>
    <m/>
    <n v="-1"/>
    <n v="1"/>
    <n v="0"/>
    <n v="0"/>
    <n v="0"/>
    <n v="0"/>
    <n v="0"/>
    <n v="-1"/>
    <n v="1"/>
    <n v="0"/>
    <n v="0"/>
    <n v="0"/>
    <n v="0"/>
    <n v="0"/>
    <n v="0"/>
    <n v="0"/>
    <n v="0"/>
    <n v="0"/>
    <n v="0"/>
    <n v="0"/>
    <n v="0"/>
    <n v="0"/>
    <n v="0"/>
    <n v="0"/>
    <n v="0"/>
    <n v="0"/>
    <n v="0"/>
    <n v="0"/>
    <s v="East"/>
    <x v="0"/>
    <x v="0"/>
    <x v="1"/>
    <x v="0"/>
    <x v="0"/>
    <x v="0"/>
    <m/>
    <x v="0"/>
    <s v="Y"/>
    <n v="10"/>
    <m/>
    <n v="0"/>
    <n v="0"/>
    <n v="0"/>
    <n v="0"/>
    <n v="0"/>
    <n v="0"/>
    <n v="0"/>
    <n v="0"/>
    <n v="0"/>
    <n v="0"/>
    <n v="0"/>
    <n v="0"/>
    <n v="0"/>
    <n v="0"/>
    <n v="0"/>
    <n v="0"/>
    <n v="0"/>
    <n v="0"/>
    <n v="0"/>
    <n v="0"/>
    <n v="0"/>
    <n v="0"/>
    <n v="0"/>
  </r>
  <r>
    <n v="4084"/>
    <x v="4"/>
    <s v="2018/0195"/>
    <m/>
    <s v="22 Trinity Road"/>
    <m/>
    <n v="527971"/>
    <n v="172408"/>
    <x v="11"/>
    <m/>
    <m/>
    <n v="0"/>
    <n v="1"/>
    <n v="1"/>
    <n v="3"/>
    <n v="2"/>
    <m/>
    <s v="Alterations including demolition of  rear elevation, mansard roof extension to create an additional storey of residential accommodation, erection of part single, part two, part three storey rear extension, excavation of basement and conversion of ground floor shop from from Sui Generis (mini-cab office) to part Class A1 (shop) and part Class C3 (residential) to create 2 x 1-bedroom flats and a studio flat. Replacement shopfront."/>
    <s v="AF"/>
    <d v="2018-01-15T00:00:00"/>
    <m/>
    <x v="0"/>
    <s v="Nil"/>
    <m/>
    <s v="BF"/>
    <x v="4"/>
    <x v="0"/>
    <x v="0"/>
    <n v="3.0000000260770299E-3"/>
    <m/>
    <x v="0"/>
    <m/>
    <x v="0"/>
    <s v="P"/>
    <m/>
    <m/>
    <n v="0"/>
    <m/>
    <n v="0"/>
    <m/>
    <n v="1"/>
    <n v="0"/>
    <n v="0"/>
    <n v="0"/>
    <n v="0"/>
    <n v="0"/>
    <n v="0"/>
    <n v="1"/>
    <n v="0"/>
    <n v="0"/>
    <n v="0"/>
    <n v="0"/>
    <n v="0"/>
    <n v="0"/>
    <n v="0"/>
    <n v="0"/>
    <n v="0"/>
    <n v="0"/>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4084"/>
    <x v="4"/>
    <s v="2018/0195"/>
    <m/>
    <s v="22 Trinity Road"/>
    <m/>
    <n v="527971"/>
    <n v="172408"/>
    <x v="11"/>
    <m/>
    <m/>
    <n v="0"/>
    <n v="1"/>
    <n v="1"/>
    <n v="3"/>
    <n v="2"/>
    <m/>
    <s v="Alterations including demolition of  rear elevation, mansard roof extension to create an additional storey of residential accommodation, erection of part single, part two, part three storey rear extension, excavation of basement and conversion of ground floor shop from from Sui Generis (mini-cab office) to part Class A1 (shop) and part Class C3 (residential) to create 2 x 1-bedroom flats and a studio flat. Replacement shopfront."/>
    <s v="AF"/>
    <d v="2018-01-15T00:00:00"/>
    <m/>
    <x v="0"/>
    <s v="Nil"/>
    <m/>
    <s v="BF"/>
    <x v="4"/>
    <x v="0"/>
    <x v="4"/>
    <n v="3.0000000260770299E-3"/>
    <m/>
    <x v="0"/>
    <m/>
    <x v="0"/>
    <s v="P"/>
    <m/>
    <m/>
    <n v="0"/>
    <m/>
    <n v="0"/>
    <n v="1"/>
    <n v="0"/>
    <n v="1"/>
    <n v="0"/>
    <n v="0"/>
    <n v="0"/>
    <n v="0"/>
    <n v="0"/>
    <n v="0"/>
    <n v="1"/>
    <n v="0"/>
    <n v="0"/>
    <n v="0"/>
    <n v="0"/>
    <n v="0"/>
    <n v="0"/>
    <n v="0"/>
    <n v="0"/>
    <n v="0"/>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4167"/>
    <x v="4"/>
    <s v="2017/5000"/>
    <m/>
    <s v="Park House, 233 Roehampton Lane"/>
    <m/>
    <n v="522501"/>
    <n v="173758"/>
    <x v="15"/>
    <m/>
    <m/>
    <n v="0"/>
    <n v="5"/>
    <n v="5"/>
    <n v="5"/>
    <n v="5"/>
    <m/>
    <s v="Alterations including partial demolition and reconfiguration of the ground floor and the erection of a mansard roof extension with dormers in connection with change of use from (Class B1 and D1) to 5 x 2-bedroom flats (Class C3); associated landscaping and tree planting."/>
    <s v="RP"/>
    <d v="2017-09-11T00:00:00"/>
    <d v="2017-11-07T00:00:00"/>
    <x v="1"/>
    <s v="APP"/>
    <m/>
    <s v="BF"/>
    <x v="4"/>
    <x v="0"/>
    <x v="9"/>
    <n v="3.7999998778104803E-2"/>
    <m/>
    <x v="0"/>
    <m/>
    <x v="0"/>
    <s v="P"/>
    <m/>
    <m/>
    <n v="0"/>
    <m/>
    <n v="0"/>
    <m/>
    <n v="0"/>
    <n v="0"/>
    <n v="5"/>
    <n v="0"/>
    <n v="0"/>
    <n v="0"/>
    <n v="0"/>
    <n v="0"/>
    <n v="0"/>
    <n v="5"/>
    <n v="0"/>
    <n v="0"/>
    <n v="0"/>
    <n v="0"/>
    <n v="0"/>
    <n v="0"/>
    <n v="0"/>
    <n v="0"/>
    <n v="0"/>
    <n v="0"/>
    <n v="0"/>
    <n v="0"/>
    <n v="0"/>
    <n v="0"/>
    <n v="0"/>
    <n v="0"/>
    <n v="0"/>
    <n v="0"/>
    <s v="West"/>
    <x v="0"/>
    <x v="0"/>
    <x v="1"/>
    <x v="0"/>
    <x v="0"/>
    <x v="0"/>
    <m/>
    <x v="0"/>
    <s v="Y"/>
    <n v="10"/>
    <m/>
    <n v="0"/>
    <n v="0"/>
    <n v="0"/>
    <n v="0"/>
    <n v="0"/>
    <n v="1.6666666666666667"/>
    <n v="1.6666666666666667"/>
    <n v="1.6666666666666667"/>
    <n v="0"/>
    <n v="0"/>
    <n v="0"/>
    <n v="0"/>
    <n v="0"/>
    <n v="0"/>
    <n v="0"/>
    <n v="0"/>
    <n v="0"/>
    <n v="0"/>
    <n v="0"/>
    <n v="0"/>
    <n v="0"/>
    <n v="1.6666666666666667"/>
    <n v="5"/>
  </r>
  <r>
    <n v="4167"/>
    <x v="4"/>
    <s v="2018/1199"/>
    <m/>
    <s v="Park House, 233 Roehampton Lane"/>
    <m/>
    <n v="522501"/>
    <n v="173758"/>
    <x v="15"/>
    <m/>
    <m/>
    <n v="0"/>
    <n v="2"/>
    <n v="2"/>
    <n v="4"/>
    <n v="4"/>
    <m/>
    <s v="Alterations including erection of extension at ground floor level rooflights and west facing dormer in connection with change of use from clinic (Class D1) and office (Class B1) to residential (Class C3) to create 4 x 2-bedroom flats.."/>
    <s v="AF"/>
    <d v="2018-03-22T00:00:00"/>
    <m/>
    <x v="0"/>
    <s v="Nil"/>
    <m/>
    <s v="BF"/>
    <x v="4"/>
    <x v="0"/>
    <x v="9"/>
    <n v="1.8999999389052401E-2"/>
    <m/>
    <x v="0"/>
    <m/>
    <x v="0"/>
    <s v="P"/>
    <m/>
    <m/>
    <n v="0"/>
    <m/>
    <n v="0"/>
    <m/>
    <n v="0"/>
    <n v="0"/>
    <n v="2"/>
    <n v="0"/>
    <n v="0"/>
    <n v="0"/>
    <n v="0"/>
    <n v="0"/>
    <n v="0"/>
    <n v="2"/>
    <n v="0"/>
    <n v="0"/>
    <n v="0"/>
    <n v="0"/>
    <n v="0"/>
    <n v="0"/>
    <n v="0"/>
    <n v="0"/>
    <n v="0"/>
    <n v="0"/>
    <n v="0"/>
    <n v="0"/>
    <n v="0"/>
    <n v="0"/>
    <n v="0"/>
    <n v="0"/>
    <n v="0"/>
    <n v="0"/>
    <s v="West"/>
    <x v="0"/>
    <x v="0"/>
    <x v="1"/>
    <x v="0"/>
    <x v="0"/>
    <x v="0"/>
    <m/>
    <x v="0"/>
    <s v="Y"/>
    <n v="10"/>
    <m/>
    <n v="0"/>
    <n v="0"/>
    <n v="0"/>
    <n v="0"/>
    <n v="0"/>
    <n v="0.66666666666666663"/>
    <n v="0.66666666666666663"/>
    <n v="0.66666666666666663"/>
    <n v="0"/>
    <n v="0"/>
    <n v="0"/>
    <n v="0"/>
    <n v="0"/>
    <n v="0"/>
    <n v="0"/>
    <n v="0"/>
    <n v="0"/>
    <n v="0"/>
    <n v="0"/>
    <n v="0"/>
    <n v="0"/>
    <n v="0.66666666666666663"/>
    <n v="2"/>
  </r>
  <r>
    <n v="4167"/>
    <x v="4"/>
    <s v="2018/1199"/>
    <m/>
    <s v="Park House, 233 Roehampton Lane"/>
    <m/>
    <n v="522501"/>
    <n v="173758"/>
    <x v="15"/>
    <m/>
    <m/>
    <n v="0"/>
    <n v="1"/>
    <n v="1"/>
    <n v="4"/>
    <n v="4"/>
    <m/>
    <s v="Alterations including erection of extension at ground floor level rooflights and west facing dormer in connection with change of use from clinic (Class D1) and office (Class B1) to residential (Class C3) to create 4 x 2-bedroom flats.."/>
    <s v="AF"/>
    <d v="2018-03-22T00:00:00"/>
    <m/>
    <x v="0"/>
    <s v="Nil"/>
    <m/>
    <s v="BF"/>
    <x v="4"/>
    <x v="0"/>
    <x v="5"/>
    <n v="9.9999997764825804E-3"/>
    <m/>
    <x v="0"/>
    <m/>
    <x v="0"/>
    <s v="P"/>
    <m/>
    <m/>
    <n v="0"/>
    <m/>
    <n v="0"/>
    <m/>
    <n v="0"/>
    <n v="0"/>
    <n v="1"/>
    <n v="0"/>
    <n v="0"/>
    <n v="0"/>
    <n v="0"/>
    <n v="0"/>
    <n v="0"/>
    <n v="1"/>
    <n v="0"/>
    <n v="0"/>
    <n v="0"/>
    <n v="0"/>
    <n v="0"/>
    <n v="0"/>
    <n v="0"/>
    <n v="0"/>
    <n v="0"/>
    <n v="0"/>
    <n v="0"/>
    <n v="0"/>
    <n v="0"/>
    <n v="0"/>
    <n v="0"/>
    <n v="0"/>
    <n v="0"/>
    <n v="0"/>
    <s v="West"/>
    <x v="0"/>
    <x v="0"/>
    <x v="1"/>
    <x v="0"/>
    <x v="0"/>
    <x v="0"/>
    <m/>
    <x v="0"/>
    <s v="Y"/>
    <n v="10"/>
    <m/>
    <n v="0"/>
    <n v="0"/>
    <n v="0"/>
    <n v="0"/>
    <n v="0"/>
    <n v="0.33333333333333331"/>
    <n v="0.33333333333333331"/>
    <n v="0.33333333333333331"/>
    <n v="0"/>
    <n v="0"/>
    <n v="0"/>
    <n v="0"/>
    <n v="0"/>
    <n v="0"/>
    <n v="0"/>
    <n v="0"/>
    <n v="0"/>
    <n v="0"/>
    <n v="0"/>
    <n v="0"/>
    <n v="0"/>
    <n v="0.33333333333333331"/>
    <n v="1"/>
  </r>
  <r>
    <n v="4167"/>
    <x v="4"/>
    <s v="2018/1199"/>
    <m/>
    <s v="Park House, 233 Roehampton Lane"/>
    <m/>
    <n v="522501"/>
    <n v="173758"/>
    <x v="15"/>
    <m/>
    <m/>
    <n v="0"/>
    <n v="1"/>
    <n v="1"/>
    <n v="4"/>
    <n v="4"/>
    <m/>
    <s v="Alterations including erection of extension at ground floor level rooflights and west facing dormer in connection with change of use from clinic (Class D1) and office (Class B1) to residential (Class C3) to create 4 x 2-bedroom flats.."/>
    <s v="AF"/>
    <d v="2018-03-22T00:00:00"/>
    <m/>
    <x v="0"/>
    <s v="Nil"/>
    <m/>
    <s v="BF"/>
    <x v="4"/>
    <x v="0"/>
    <x v="0"/>
    <n v="8.9999996125698107E-3"/>
    <m/>
    <x v="0"/>
    <m/>
    <x v="0"/>
    <s v="P"/>
    <m/>
    <m/>
    <n v="0"/>
    <m/>
    <n v="0"/>
    <m/>
    <n v="0"/>
    <n v="0"/>
    <n v="1"/>
    <n v="0"/>
    <n v="0"/>
    <n v="0"/>
    <n v="0"/>
    <n v="0"/>
    <n v="0"/>
    <n v="1"/>
    <n v="0"/>
    <n v="0"/>
    <n v="0"/>
    <n v="0"/>
    <n v="0"/>
    <n v="0"/>
    <n v="0"/>
    <n v="0"/>
    <n v="0"/>
    <n v="0"/>
    <n v="0"/>
    <n v="0"/>
    <n v="0"/>
    <n v="0"/>
    <n v="0"/>
    <n v="0"/>
    <n v="0"/>
    <n v="0"/>
    <s v="West"/>
    <x v="0"/>
    <x v="0"/>
    <x v="1"/>
    <x v="0"/>
    <x v="0"/>
    <x v="0"/>
    <m/>
    <x v="0"/>
    <s v="Y"/>
    <n v="10"/>
    <m/>
    <n v="0"/>
    <n v="0"/>
    <n v="0"/>
    <n v="0"/>
    <n v="0"/>
    <n v="0.33333333333333331"/>
    <n v="0.33333333333333331"/>
    <n v="0.33333333333333331"/>
    <n v="0"/>
    <n v="0"/>
    <n v="0"/>
    <n v="0"/>
    <n v="0"/>
    <n v="0"/>
    <n v="0"/>
    <n v="0"/>
    <n v="0"/>
    <n v="0"/>
    <n v="0"/>
    <n v="0"/>
    <n v="0"/>
    <n v="0.33333333333333331"/>
    <n v="1"/>
  </r>
  <r>
    <n v="4345"/>
    <x v="4"/>
    <s v="2018/1360"/>
    <m/>
    <s v="23 Trinity Road"/>
    <s v="EXTENSION TO EXISTING"/>
    <n v="527940"/>
    <n v="172391"/>
    <x v="11"/>
    <m/>
    <m/>
    <n v="0"/>
    <n v="1"/>
    <n v="1"/>
    <n v="3"/>
    <n v="2"/>
    <m/>
    <s v="Alterations including erection of dormer roof extension to main rear roof and part single, part two-storey extension above back addition; formation of roof terrace above back addition and conversion of first and second floor flat into 1 x 1-bedroom and 2 x 2-bedroom flats."/>
    <s v="AF"/>
    <d v="2018-03-22T00:00:00"/>
    <m/>
    <x v="0"/>
    <s v="Nil"/>
    <m/>
    <s v="BF"/>
    <x v="4"/>
    <x v="0"/>
    <x v="0"/>
    <n v="4.0000001899898104E-3"/>
    <m/>
    <x v="0"/>
    <m/>
    <x v="0"/>
    <s v="P"/>
    <m/>
    <m/>
    <n v="0"/>
    <m/>
    <n v="0"/>
    <m/>
    <n v="0"/>
    <n v="0"/>
    <n v="1"/>
    <n v="0"/>
    <n v="0"/>
    <n v="0"/>
    <n v="0"/>
    <n v="0"/>
    <n v="0"/>
    <n v="1"/>
    <n v="0"/>
    <n v="0"/>
    <n v="0"/>
    <n v="0"/>
    <n v="0"/>
    <n v="0"/>
    <n v="0"/>
    <n v="0"/>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4345"/>
    <x v="4"/>
    <s v="2018/1360"/>
    <m/>
    <s v="23 Trinity Road"/>
    <m/>
    <n v="527940"/>
    <n v="172391"/>
    <x v="11"/>
    <m/>
    <m/>
    <n v="1"/>
    <n v="2"/>
    <n v="1"/>
    <n v="3"/>
    <n v="2"/>
    <m/>
    <s v="Alterations including erection of dormer roof extension to main rear roof and part single, part two-storey extension above back addition; formation of roof terrace above back addition and conversion of first and second floor flat into 1 x 1-bedroom and 2 x 2-bedroom flats."/>
    <s v="AF"/>
    <d v="2018-03-22T00:00:00"/>
    <m/>
    <x v="0"/>
    <s v="Nil"/>
    <m/>
    <s v="BF"/>
    <x v="4"/>
    <x v="0"/>
    <x v="10"/>
    <n v="7.0000002160668399E-3"/>
    <m/>
    <x v="0"/>
    <m/>
    <x v="0"/>
    <s v="P"/>
    <m/>
    <m/>
    <n v="0"/>
    <m/>
    <n v="0"/>
    <m/>
    <n v="0"/>
    <n v="1"/>
    <n v="1"/>
    <n v="-1"/>
    <n v="0"/>
    <n v="0"/>
    <n v="0"/>
    <n v="0"/>
    <n v="1"/>
    <n v="1"/>
    <n v="-1"/>
    <n v="0"/>
    <n v="0"/>
    <n v="0"/>
    <n v="0"/>
    <n v="0"/>
    <n v="0"/>
    <n v="0"/>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4592"/>
    <x v="4"/>
    <s v="2018/0751"/>
    <m/>
    <s v="Jessica House, Red Lion Square"/>
    <s v="NORTHERN BUILDING"/>
    <n v="525349"/>
    <n v="174610"/>
    <x v="5"/>
    <m/>
    <m/>
    <n v="0"/>
    <n v="5"/>
    <n v="5"/>
    <n v="9"/>
    <n v="9"/>
    <m/>
    <s v="Alterations including erection of extensions at third floor levels to northern building and extension at fifth floor level to southern building to provide 9 residential units (4 x 1-bedroom and 5 x 2-bedroom flats) with roof terraces at third and fifth floor levels."/>
    <s v="AF"/>
    <d v="2018-02-23T00:00:00"/>
    <m/>
    <x v="0"/>
    <s v="Nil"/>
    <m/>
    <s v="BF"/>
    <x v="2"/>
    <x v="0"/>
    <x v="3"/>
    <n v="7.0000002160668399E-3"/>
    <m/>
    <x v="0"/>
    <m/>
    <x v="0"/>
    <s v="P"/>
    <m/>
    <m/>
    <n v="0"/>
    <m/>
    <n v="0"/>
    <m/>
    <n v="0"/>
    <n v="2"/>
    <n v="3"/>
    <n v="0"/>
    <n v="0"/>
    <n v="0"/>
    <n v="0"/>
    <n v="0"/>
    <n v="2"/>
    <n v="3"/>
    <n v="0"/>
    <n v="0"/>
    <n v="0"/>
    <n v="0"/>
    <n v="0"/>
    <n v="0"/>
    <n v="0"/>
    <n v="0"/>
    <n v="0"/>
    <n v="0"/>
    <n v="0"/>
    <n v="0"/>
    <n v="0"/>
    <n v="0"/>
    <n v="0"/>
    <n v="0"/>
    <n v="0"/>
    <n v="0"/>
    <s v="West"/>
    <x v="4"/>
    <x v="0"/>
    <x v="0"/>
    <x v="0"/>
    <x v="0"/>
    <x v="0"/>
    <m/>
    <x v="0"/>
    <s v="Y"/>
    <n v="10"/>
    <m/>
    <n v="0"/>
    <n v="0"/>
    <n v="0"/>
    <n v="0"/>
    <n v="0"/>
    <n v="1.6666666666666667"/>
    <n v="1.6666666666666667"/>
    <n v="1.6666666666666667"/>
    <n v="0"/>
    <n v="0"/>
    <n v="0"/>
    <n v="0"/>
    <n v="0"/>
    <n v="0"/>
    <n v="0"/>
    <n v="0"/>
    <n v="0"/>
    <n v="0"/>
    <n v="0"/>
    <n v="0"/>
    <n v="0"/>
    <n v="1.6666666666666667"/>
    <n v="5"/>
  </r>
  <r>
    <n v="4592"/>
    <x v="4"/>
    <s v="2018/0751"/>
    <m/>
    <s v="Jessica House, Red Lion Square"/>
    <s v="SOUTHERN BUILDING"/>
    <n v="525349"/>
    <n v="174610"/>
    <x v="5"/>
    <m/>
    <m/>
    <n v="0"/>
    <n v="4"/>
    <n v="4"/>
    <n v="9"/>
    <n v="9"/>
    <m/>
    <s v="Alterations including erection of extensions at third floor levels to northern building and extension at fifth floor level to southern building to provide 9 residential units (4 x 1-bedroom and 5 x 2-bedroom flats) with roof terraces at third and fifth floor levels."/>
    <s v="AF"/>
    <d v="2018-02-23T00:00:00"/>
    <m/>
    <x v="0"/>
    <s v="Nil"/>
    <m/>
    <s v="BF"/>
    <x v="2"/>
    <x v="0"/>
    <x v="3"/>
    <n v="4.9999998882412902E-3"/>
    <m/>
    <x v="0"/>
    <m/>
    <x v="0"/>
    <s v="P"/>
    <m/>
    <m/>
    <n v="0"/>
    <m/>
    <n v="0"/>
    <m/>
    <n v="0"/>
    <n v="2"/>
    <n v="2"/>
    <n v="0"/>
    <n v="0"/>
    <n v="0"/>
    <n v="0"/>
    <n v="0"/>
    <n v="2"/>
    <n v="2"/>
    <n v="0"/>
    <n v="0"/>
    <n v="0"/>
    <n v="0"/>
    <n v="0"/>
    <n v="0"/>
    <n v="0"/>
    <n v="0"/>
    <n v="0"/>
    <n v="0"/>
    <n v="0"/>
    <n v="0"/>
    <n v="0"/>
    <n v="0"/>
    <n v="0"/>
    <n v="0"/>
    <n v="0"/>
    <n v="0"/>
    <s v="West"/>
    <x v="4"/>
    <x v="0"/>
    <x v="0"/>
    <x v="0"/>
    <x v="0"/>
    <x v="0"/>
    <m/>
    <x v="0"/>
    <s v="Y"/>
    <n v="10"/>
    <m/>
    <n v="0"/>
    <n v="0"/>
    <n v="0"/>
    <n v="0"/>
    <n v="0"/>
    <n v="1.3333333333333333"/>
    <n v="1.3333333333333333"/>
    <n v="1.3333333333333333"/>
    <n v="0"/>
    <n v="0"/>
    <n v="0"/>
    <n v="0"/>
    <n v="0"/>
    <n v="0"/>
    <n v="0"/>
    <n v="0"/>
    <n v="0"/>
    <n v="0"/>
    <n v="0"/>
    <n v="0"/>
    <n v="0"/>
    <n v="1.3333333333333333"/>
    <n v="4"/>
  </r>
  <r>
    <n v="4643"/>
    <x v="4"/>
    <s v="2018/0366"/>
    <m/>
    <s v="4 Hildreth Street"/>
    <m/>
    <n v="528560"/>
    <n v="173342"/>
    <x v="9"/>
    <m/>
    <m/>
    <n v="1"/>
    <n v="2"/>
    <n v="1"/>
    <n v="2"/>
    <n v="1"/>
    <m/>
    <s v="Conversion of upper floor flat into 1 x studio flat on first floor and 1 x 1-bedroom maisonette on 2nd and 3rd floors"/>
    <s v="AF"/>
    <d v="2018-01-24T00:00:00"/>
    <m/>
    <x v="0"/>
    <s v="Nil"/>
    <m/>
    <s v="BF"/>
    <x v="1"/>
    <x v="0"/>
    <x v="10"/>
    <n v="4.0000001899898104E-3"/>
    <m/>
    <x v="0"/>
    <m/>
    <x v="0"/>
    <s v="P"/>
    <m/>
    <m/>
    <n v="0"/>
    <m/>
    <n v="0"/>
    <m/>
    <n v="1"/>
    <n v="1"/>
    <n v="-1"/>
    <n v="0"/>
    <n v="0"/>
    <n v="0"/>
    <n v="0"/>
    <n v="1"/>
    <n v="1"/>
    <n v="-1"/>
    <n v="0"/>
    <n v="0"/>
    <n v="0"/>
    <n v="0"/>
    <n v="0"/>
    <n v="0"/>
    <n v="0"/>
    <n v="0"/>
    <n v="0"/>
    <n v="0"/>
    <n v="0"/>
    <n v="0"/>
    <n v="0"/>
    <n v="0"/>
    <n v="0"/>
    <n v="0"/>
    <n v="0"/>
    <n v="0"/>
    <s v="East"/>
    <x v="2"/>
    <x v="0"/>
    <x v="1"/>
    <x v="0"/>
    <x v="0"/>
    <x v="0"/>
    <m/>
    <x v="0"/>
    <s v="Y"/>
    <n v="10"/>
    <m/>
    <n v="0"/>
    <n v="0"/>
    <n v="0"/>
    <n v="0"/>
    <n v="0"/>
    <n v="0.33333333333333331"/>
    <n v="0.33333333333333331"/>
    <n v="0.33333333333333331"/>
    <n v="0"/>
    <n v="0"/>
    <n v="0"/>
    <n v="0"/>
    <n v="0"/>
    <n v="0"/>
    <n v="0"/>
    <n v="0"/>
    <n v="0"/>
    <n v="0"/>
    <n v="0"/>
    <n v="0"/>
    <n v="0"/>
    <n v="0.33333333333333331"/>
    <n v="1"/>
  </r>
  <r>
    <n v="4750"/>
    <x v="4"/>
    <s v="2017/6538"/>
    <m/>
    <s v="111-113 Wandsworth High Street"/>
    <m/>
    <n v="525522"/>
    <n v="174660"/>
    <x v="5"/>
    <m/>
    <m/>
    <n v="0"/>
    <n v="6"/>
    <n v="6"/>
    <n v="6"/>
    <n v="6"/>
    <m/>
    <s v="Alterations including erection of two storey roof extension including front and rear mansard and excavation to create basement in connection with provision of retail (Class A1) floorspace at basement and ground floor levels, office (Class B1) floorspace at first floor level  and 4 x 2-bedroom, 1 x 1-bedroom and 1 x studio flats with front and rear roof terraces and associated refuse storage accessed from the rear."/>
    <s v="AF"/>
    <d v="2018-03-21T00:00:00"/>
    <m/>
    <x v="0"/>
    <s v="Nil"/>
    <m/>
    <s v="BF"/>
    <x v="4"/>
    <x v="0"/>
    <x v="0"/>
    <n v="1.8999999389052401E-2"/>
    <m/>
    <x v="0"/>
    <m/>
    <x v="0"/>
    <s v="P"/>
    <m/>
    <m/>
    <n v="0"/>
    <n v="6"/>
    <n v="0"/>
    <m/>
    <n v="1"/>
    <n v="1"/>
    <n v="4"/>
    <n v="0"/>
    <n v="0"/>
    <n v="0"/>
    <n v="0"/>
    <n v="1"/>
    <n v="1"/>
    <n v="4"/>
    <n v="0"/>
    <n v="0"/>
    <n v="0"/>
    <n v="0"/>
    <n v="0"/>
    <n v="0"/>
    <n v="0"/>
    <n v="0"/>
    <n v="0"/>
    <n v="0"/>
    <n v="0"/>
    <n v="0"/>
    <n v="0"/>
    <n v="0"/>
    <n v="0"/>
    <n v="0"/>
    <n v="0"/>
    <n v="0"/>
    <s v="West"/>
    <x v="4"/>
    <x v="0"/>
    <x v="0"/>
    <x v="0"/>
    <x v="0"/>
    <x v="0"/>
    <m/>
    <x v="0"/>
    <s v="Y"/>
    <n v="10"/>
    <m/>
    <n v="0"/>
    <n v="0"/>
    <n v="0"/>
    <n v="0"/>
    <n v="0"/>
    <n v="2"/>
    <n v="2"/>
    <n v="2"/>
    <n v="0"/>
    <n v="0"/>
    <n v="0"/>
    <n v="0"/>
    <n v="0"/>
    <n v="0"/>
    <n v="0"/>
    <n v="0"/>
    <n v="0"/>
    <n v="0"/>
    <n v="0"/>
    <n v="0"/>
    <n v="0"/>
    <n v="2"/>
    <n v="6"/>
  </r>
  <r>
    <n v="4775"/>
    <x v="4"/>
    <s v="2017/6840"/>
    <m/>
    <s v="Templeton, 118 Priory Lane"/>
    <m/>
    <n v="521333"/>
    <n v="174425"/>
    <x v="15"/>
    <m/>
    <m/>
    <n v="3"/>
    <n v="8"/>
    <n v="5"/>
    <n v="8"/>
    <n v="5"/>
    <m/>
    <s v="Alterations including redevelopment of the wardens' cottages to create 4 x 3-bedroomed two-storey (plus basement) cottages. Erection of new stable block including 4 x horse stalls, 2 x 1-bedroomed staff cottages, artist's studio and associated paddock. Erection of 1 x 5-bedroom two-storey (plus roof and basement) house. **Application re-consulted due to change in the determination date**"/>
    <s v="AF"/>
    <d v="2017-12-13T00:00:00"/>
    <m/>
    <x v="0"/>
    <s v="Nil"/>
    <m/>
    <s v="BF"/>
    <x v="4"/>
    <x v="0"/>
    <x v="0"/>
    <n v="0"/>
    <m/>
    <x v="0"/>
    <m/>
    <x v="0"/>
    <s v="P"/>
    <m/>
    <m/>
    <n v="0"/>
    <m/>
    <n v="0"/>
    <m/>
    <n v="1"/>
    <n v="2"/>
    <n v="-1"/>
    <n v="4"/>
    <n v="-2"/>
    <n v="1"/>
    <n v="0"/>
    <n v="1"/>
    <n v="2"/>
    <n v="-1"/>
    <n v="0"/>
    <n v="-1"/>
    <n v="0"/>
    <n v="0"/>
    <n v="0"/>
    <n v="0"/>
    <n v="0"/>
    <n v="4"/>
    <n v="-1"/>
    <n v="1"/>
    <n v="0"/>
    <n v="0"/>
    <n v="0"/>
    <n v="0"/>
    <n v="0"/>
    <n v="0"/>
    <n v="0"/>
    <n v="0"/>
    <s v="West"/>
    <x v="0"/>
    <x v="0"/>
    <x v="1"/>
    <x v="0"/>
    <x v="0"/>
    <x v="0"/>
    <m/>
    <x v="0"/>
    <s v="Y"/>
    <n v="10"/>
    <m/>
    <n v="0"/>
    <n v="0"/>
    <n v="0"/>
    <n v="0"/>
    <n v="0"/>
    <n v="1.6666666666666667"/>
    <n v="1.6666666666666667"/>
    <n v="1.6666666666666667"/>
    <n v="0"/>
    <n v="0"/>
    <n v="0"/>
    <n v="0"/>
    <n v="0"/>
    <n v="0"/>
    <n v="0"/>
    <n v="0"/>
    <n v="0"/>
    <n v="0"/>
    <n v="0"/>
    <n v="0"/>
    <n v="0"/>
    <n v="1.6666666666666667"/>
    <n v="5"/>
  </r>
  <r>
    <n v="4797"/>
    <x v="4"/>
    <s v="2018/0808"/>
    <s v="Ransomes Dock Business Centre"/>
    <s v="Unit 25-28 Ransomes Dock, 35-37 Parkgate Road"/>
    <m/>
    <n v="527293"/>
    <n v="177185"/>
    <x v="1"/>
    <m/>
    <m/>
    <n v="0"/>
    <n v="1"/>
    <n v="1"/>
    <n v="1"/>
    <n v="1"/>
    <m/>
    <s v="Determination as to whether prior approval is required for change of use of office at thrid floor level (Use Class B1(a)) to residential (Use Class C3) to provide 1 x 2  bedroom flat."/>
    <s v="NPA"/>
    <d v="2018-02-20T00:00:00"/>
    <m/>
    <x v="0"/>
    <s v="Nil"/>
    <m/>
    <s v="BF"/>
    <x v="3"/>
    <x v="0"/>
    <x v="9"/>
    <n v="0"/>
    <m/>
    <x v="0"/>
    <m/>
    <x v="0"/>
    <s v="P"/>
    <m/>
    <m/>
    <n v="0"/>
    <m/>
    <n v="0"/>
    <m/>
    <n v="0"/>
    <n v="0"/>
    <n v="1"/>
    <n v="0"/>
    <n v="0"/>
    <n v="0"/>
    <n v="0"/>
    <n v="0"/>
    <n v="0"/>
    <n v="1"/>
    <n v="0"/>
    <n v="0"/>
    <n v="0"/>
    <n v="0"/>
    <n v="0"/>
    <n v="0"/>
    <n v="0"/>
    <n v="0"/>
    <n v="0"/>
    <n v="0"/>
    <n v="0"/>
    <n v="0"/>
    <n v="0"/>
    <n v="0"/>
    <n v="0"/>
    <n v="0"/>
    <n v="0"/>
    <n v="0"/>
    <s v="East"/>
    <x v="0"/>
    <x v="0"/>
    <x v="1"/>
    <x v="0"/>
    <x v="0"/>
    <x v="0"/>
    <s v="Y"/>
    <x v="0"/>
    <s v="Y"/>
    <n v="10"/>
    <m/>
    <n v="0"/>
    <n v="0"/>
    <n v="0"/>
    <n v="0"/>
    <n v="0"/>
    <n v="0.33333333333333331"/>
    <n v="0.33333333333333331"/>
    <n v="0.33333333333333331"/>
    <n v="0"/>
    <n v="0"/>
    <n v="0"/>
    <n v="0"/>
    <n v="0"/>
    <n v="0"/>
    <n v="0"/>
    <n v="0"/>
    <n v="0"/>
    <n v="0"/>
    <n v="0"/>
    <n v="0"/>
    <n v="0"/>
    <n v="0.33333333333333331"/>
    <n v="1"/>
  </r>
  <r>
    <n v="4980"/>
    <x v="4"/>
    <s v="2018/0812"/>
    <s v="Ransomes Dock Business Centre"/>
    <s v="Unit 21-24, 35-37 Parkgate Road"/>
    <m/>
    <n v="527292"/>
    <n v="177189"/>
    <x v="1"/>
    <m/>
    <m/>
    <n v="0"/>
    <n v="1"/>
    <n v="1"/>
    <n v="1"/>
    <n v="1"/>
    <m/>
    <s v="Determination as to whether prior approval is required for change of use of office at second floor level (Use Class B1(a)) to residential (Use Class C3) to provide 1 x 1 bedroom flat."/>
    <s v="NPA"/>
    <d v="2018-02-20T00:00:00"/>
    <m/>
    <x v="0"/>
    <s v="Nil"/>
    <m/>
    <s v="BF"/>
    <x v="3"/>
    <x v="0"/>
    <x v="9"/>
    <n v="0"/>
    <m/>
    <x v="0"/>
    <m/>
    <x v="0"/>
    <s v="P"/>
    <m/>
    <m/>
    <n v="0"/>
    <m/>
    <n v="0"/>
    <m/>
    <n v="0"/>
    <n v="1"/>
    <n v="0"/>
    <n v="0"/>
    <n v="0"/>
    <n v="0"/>
    <n v="0"/>
    <n v="0"/>
    <n v="1"/>
    <n v="0"/>
    <n v="0"/>
    <n v="0"/>
    <n v="0"/>
    <n v="0"/>
    <n v="0"/>
    <n v="0"/>
    <n v="0"/>
    <n v="0"/>
    <n v="0"/>
    <n v="0"/>
    <n v="0"/>
    <n v="0"/>
    <n v="0"/>
    <n v="0"/>
    <n v="0"/>
    <n v="0"/>
    <n v="0"/>
    <n v="0"/>
    <s v="East"/>
    <x v="0"/>
    <x v="0"/>
    <x v="1"/>
    <x v="0"/>
    <x v="0"/>
    <x v="0"/>
    <s v="Y"/>
    <x v="0"/>
    <s v="Y"/>
    <n v="10"/>
    <m/>
    <n v="0"/>
    <n v="0"/>
    <n v="0"/>
    <n v="0"/>
    <n v="0"/>
    <n v="0.33333333333333331"/>
    <n v="0.33333333333333331"/>
    <n v="0.33333333333333331"/>
    <n v="0"/>
    <n v="0"/>
    <n v="0"/>
    <n v="0"/>
    <n v="0"/>
    <n v="0"/>
    <n v="0"/>
    <n v="0"/>
    <n v="0"/>
    <n v="0"/>
    <n v="0"/>
    <n v="0"/>
    <n v="0"/>
    <n v="0.33333333333333331"/>
    <n v="1"/>
  </r>
  <r>
    <n v="4984"/>
    <x v="4"/>
    <s v="2018/0357"/>
    <m/>
    <s v="Southfields Post Office and St Pauls Church Hall, 265-271 Wimbledon Park Road"/>
    <m/>
    <n v="524707"/>
    <n v="173200"/>
    <x v="19"/>
    <m/>
    <m/>
    <n v="1"/>
    <n v="8"/>
    <n v="7"/>
    <n v="8"/>
    <n v="7"/>
    <m/>
    <s v="Demolition of existing building and erection of four storey building (with lower ground floor level) to provide 1 x 3-bedroom, 5 x 2-bedroom, 1 x 1-bedroom and 1 x studio flats with terraces to front and rear; 2 x retail units (Class A1) at ground floor level with associated car parking, cycle and refuse storage."/>
    <s v="AF"/>
    <d v="2018-02-08T00:00:00"/>
    <m/>
    <x v="0"/>
    <s v="Nil"/>
    <m/>
    <s v="BF"/>
    <x v="0"/>
    <x v="0"/>
    <x v="0"/>
    <n v="5.2999999374151202E-2"/>
    <m/>
    <x v="0"/>
    <m/>
    <x v="0"/>
    <s v="P"/>
    <m/>
    <m/>
    <n v="0"/>
    <m/>
    <n v="0"/>
    <m/>
    <n v="1"/>
    <n v="1"/>
    <n v="5"/>
    <n v="1"/>
    <n v="-1"/>
    <n v="0"/>
    <n v="0"/>
    <n v="1"/>
    <n v="1"/>
    <n v="5"/>
    <n v="1"/>
    <n v="-1"/>
    <n v="0"/>
    <n v="0"/>
    <n v="0"/>
    <n v="0"/>
    <n v="0"/>
    <n v="0"/>
    <n v="0"/>
    <n v="0"/>
    <n v="0"/>
    <n v="0"/>
    <n v="0"/>
    <n v="0"/>
    <n v="0"/>
    <n v="0"/>
    <n v="0"/>
    <n v="0"/>
    <s v="West"/>
    <x v="0"/>
    <x v="0"/>
    <x v="1"/>
    <x v="0"/>
    <x v="0"/>
    <x v="0"/>
    <m/>
    <x v="0"/>
    <s v="Y"/>
    <n v="6"/>
    <m/>
    <n v="0"/>
    <n v="0"/>
    <n v="0"/>
    <n v="0"/>
    <n v="0"/>
    <n v="2.3333333333333335"/>
    <n v="2.3333333333333335"/>
    <n v="2.3333333333333335"/>
    <n v="0"/>
    <n v="0"/>
    <n v="0"/>
    <n v="0"/>
    <n v="0"/>
    <n v="0"/>
    <n v="0"/>
    <n v="0"/>
    <n v="0"/>
    <n v="0"/>
    <n v="0"/>
    <n v="0"/>
    <n v="0"/>
    <n v="2.3333333333333335"/>
    <n v="7"/>
  </r>
  <r>
    <n v="5119"/>
    <x v="4"/>
    <s v="2016/5729"/>
    <m/>
    <s v="Land west of, 17 Broadwater Road"/>
    <m/>
    <n v="527391"/>
    <n v="171805"/>
    <x v="4"/>
    <m/>
    <m/>
    <n v="0"/>
    <n v="7"/>
    <n v="7"/>
    <n v="7"/>
    <n v="7"/>
    <m/>
    <s v="Erection of a three-storey building (plus basement level and roof terrace level) to provide 7 flats (3 x 1-bedroom, 2 x 2-bedroom and 2 x 3-bedroom units), with ground, first and second level balconies at front and rear elevations."/>
    <s v="RP"/>
    <d v="2016-09-30T00:00:00"/>
    <d v="2016-11-25T00:00:00"/>
    <x v="0"/>
    <s v="APP"/>
    <m/>
    <s v="BF"/>
    <x v="0"/>
    <x v="0"/>
    <x v="0"/>
    <n v="1.7999999225139601E-2"/>
    <m/>
    <x v="0"/>
    <m/>
    <x v="0"/>
    <s v="P"/>
    <m/>
    <m/>
    <n v="0"/>
    <m/>
    <n v="0"/>
    <m/>
    <n v="0"/>
    <n v="3"/>
    <n v="2"/>
    <n v="2"/>
    <n v="0"/>
    <n v="0"/>
    <n v="0"/>
    <n v="0"/>
    <n v="3"/>
    <n v="2"/>
    <n v="2"/>
    <n v="0"/>
    <n v="0"/>
    <n v="0"/>
    <n v="0"/>
    <n v="0"/>
    <n v="0"/>
    <n v="0"/>
    <n v="0"/>
    <n v="0"/>
    <n v="0"/>
    <n v="0"/>
    <n v="0"/>
    <n v="0"/>
    <n v="0"/>
    <n v="0"/>
    <n v="0"/>
    <n v="0"/>
    <s v="East"/>
    <x v="0"/>
    <x v="0"/>
    <x v="1"/>
    <x v="0"/>
    <x v="0"/>
    <x v="0"/>
    <m/>
    <x v="0"/>
    <s v="N"/>
    <n v="15"/>
    <s v="2017/0847 used for phasing"/>
    <n v="0"/>
    <n v="0"/>
    <n v="0"/>
    <n v="0"/>
    <n v="0"/>
    <n v="0"/>
    <n v="0"/>
    <n v="0"/>
    <n v="0"/>
    <n v="0"/>
    <n v="0"/>
    <n v="0"/>
    <n v="0"/>
    <n v="0"/>
    <n v="0"/>
    <n v="0"/>
    <n v="0"/>
    <n v="0"/>
    <n v="0"/>
    <n v="0"/>
    <n v="0"/>
    <n v="0"/>
    <n v="0"/>
  </r>
  <r>
    <n v="5207"/>
    <x v="4"/>
    <s v="2016/7421"/>
    <m/>
    <s v="8 Old Devonshire Road"/>
    <m/>
    <n v="528921"/>
    <n v="173548"/>
    <x v="9"/>
    <m/>
    <m/>
    <n v="0"/>
    <n v="1"/>
    <n v="1"/>
    <n v="1"/>
    <n v="1"/>
    <m/>
    <s v="Planning permission (2016/7421) and Listed Building Consent (2016/7416) sought for: Erection of two storey side/rear extension at basement and ground floor levels to provide 1 x 1-bedroom self-contained residential unit."/>
    <s v="RP"/>
    <d v="2017-01-06T00:00:00"/>
    <d v="2017-06-21T00:00:00"/>
    <x v="1"/>
    <s v="APP"/>
    <m/>
    <s v="BF"/>
    <x v="2"/>
    <x v="0"/>
    <x v="3"/>
    <n v="8.9999996125698107E-3"/>
    <m/>
    <x v="0"/>
    <m/>
    <x v="0"/>
    <s v="P"/>
    <m/>
    <m/>
    <n v="0"/>
    <m/>
    <n v="0"/>
    <m/>
    <n v="0"/>
    <n v="1"/>
    <n v="0"/>
    <n v="0"/>
    <n v="0"/>
    <n v="0"/>
    <n v="0"/>
    <n v="0"/>
    <n v="1"/>
    <n v="0"/>
    <n v="0"/>
    <n v="0"/>
    <n v="0"/>
    <n v="0"/>
    <n v="0"/>
    <n v="0"/>
    <n v="0"/>
    <n v="0"/>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5381"/>
    <x v="4"/>
    <s v="2017/5818"/>
    <m/>
    <s v="Battersea Bar/The Chopper, 58-70 York Road"/>
    <m/>
    <n v="526820"/>
    <n v="176155"/>
    <x v="1"/>
    <m/>
    <m/>
    <n v="0"/>
    <n v="53"/>
    <n v="53"/>
    <n v="82"/>
    <n v="82"/>
    <s v="Y"/>
    <s v="Demolition of existing building and erection of a part 5, 9, 11, 13 and 14 storey (maximum height 50.6m) mixed-use development plus basement, providing 911sq.m (GIA) of office (Class B1a) floorspace at ground and basement levels with 82 residential units (Use Class C3) comprising market and affordable housing on upper floor levels with access to landscaped amenity deck; with 7 car parking spaces and 145 cycle parking spaces located at basement level; public realm improvements to York Road, Yelverton Road and Badric Court; and associated infrastructure works."/>
    <s v="AF"/>
    <d v="2017-10-19T00:00:00"/>
    <m/>
    <x v="0"/>
    <s v="Nil"/>
    <m/>
    <s v="BF"/>
    <x v="0"/>
    <x v="1"/>
    <x v="1"/>
    <n v="0"/>
    <m/>
    <x v="0"/>
    <m/>
    <x v="0"/>
    <s v="P"/>
    <s v="10.14"/>
    <m/>
    <n v="0"/>
    <m/>
    <n v="0"/>
    <m/>
    <n v="1"/>
    <n v="13"/>
    <n v="31"/>
    <n v="8"/>
    <n v="0"/>
    <n v="0"/>
    <n v="0"/>
    <n v="1"/>
    <n v="13"/>
    <n v="31"/>
    <n v="8"/>
    <n v="0"/>
    <n v="0"/>
    <n v="0"/>
    <n v="0"/>
    <n v="0"/>
    <n v="0"/>
    <n v="0"/>
    <n v="0"/>
    <n v="0"/>
    <n v="0"/>
    <n v="0"/>
    <n v="0"/>
    <n v="0"/>
    <n v="0"/>
    <n v="0"/>
    <n v="0"/>
    <n v="0"/>
    <s v="East"/>
    <x v="0"/>
    <x v="0"/>
    <x v="1"/>
    <x v="0"/>
    <x v="0"/>
    <x v="0"/>
    <m/>
    <x v="0"/>
    <s v="Y"/>
    <n v="6"/>
    <m/>
    <n v="0"/>
    <n v="0"/>
    <n v="0"/>
    <n v="0"/>
    <n v="0"/>
    <n v="17.666666666666668"/>
    <n v="17.666666666666668"/>
    <n v="17.666666666666668"/>
    <n v="0"/>
    <n v="0"/>
    <n v="0"/>
    <n v="0"/>
    <n v="0"/>
    <n v="0"/>
    <n v="0"/>
    <n v="0"/>
    <n v="0"/>
    <n v="0"/>
    <n v="0"/>
    <n v="0"/>
    <n v="0"/>
    <n v="17.666666666666668"/>
    <n v="53"/>
  </r>
  <r>
    <n v="5381"/>
    <x v="4"/>
    <s v="2017/5818"/>
    <m/>
    <s v="Battersea Bar/The Chopper, 58-70 York Road"/>
    <m/>
    <n v="526820"/>
    <n v="176155"/>
    <x v="1"/>
    <m/>
    <m/>
    <n v="0"/>
    <n v="29"/>
    <n v="29"/>
    <n v="82"/>
    <n v="82"/>
    <s v="Y"/>
    <s v="Demolition of existing building and erection of a part 5, 9, 11, 13 and 14 storey (maximum height 50.6m) mixed-use development plus basement, providing 911sq.m (GIA) of office (Class B1a) floorspace at ground and basement levels with 82 residential units (Use Class C3) comprising market and affordable housing on upper floor levels with access to landscaped amenity deck; with 7 car parking spaces and 145 cycle parking spaces located at basement level; public realm improvements to York Road, Yelverton Road and Badric Court; and associated infrastructure works."/>
    <s v="AF"/>
    <d v="2017-10-19T00:00:00"/>
    <m/>
    <x v="0"/>
    <s v="Nil"/>
    <m/>
    <s v="BF"/>
    <x v="0"/>
    <x v="1"/>
    <x v="1"/>
    <n v="0"/>
    <m/>
    <x v="0"/>
    <m/>
    <x v="1"/>
    <s v="HAIS"/>
    <s v="10.14"/>
    <m/>
    <n v="0"/>
    <m/>
    <n v="0"/>
    <m/>
    <n v="0"/>
    <n v="15"/>
    <n v="14"/>
    <n v="0"/>
    <n v="0"/>
    <n v="0"/>
    <n v="0"/>
    <n v="0"/>
    <n v="15"/>
    <n v="14"/>
    <n v="0"/>
    <n v="0"/>
    <n v="0"/>
    <n v="0"/>
    <n v="0"/>
    <n v="0"/>
    <n v="0"/>
    <n v="0"/>
    <n v="0"/>
    <n v="0"/>
    <n v="0"/>
    <n v="0"/>
    <n v="0"/>
    <n v="0"/>
    <n v="0"/>
    <n v="0"/>
    <n v="0"/>
    <n v="0"/>
    <s v="East"/>
    <x v="0"/>
    <x v="0"/>
    <x v="1"/>
    <x v="0"/>
    <x v="0"/>
    <x v="0"/>
    <m/>
    <x v="0"/>
    <s v="Y"/>
    <n v="6"/>
    <m/>
    <n v="0"/>
    <n v="0"/>
    <n v="0"/>
    <n v="0"/>
    <n v="0"/>
    <n v="9.6666666666666661"/>
    <n v="9.6666666666666661"/>
    <n v="9.6666666666666661"/>
    <n v="0"/>
    <n v="0"/>
    <n v="0"/>
    <n v="0"/>
    <n v="0"/>
    <n v="0"/>
    <n v="0"/>
    <n v="0"/>
    <n v="0"/>
    <n v="0"/>
    <n v="0"/>
    <n v="0"/>
    <n v="0"/>
    <n v="9.6666666666666661"/>
    <n v="29"/>
  </r>
  <r>
    <n v="5552"/>
    <x v="4"/>
    <s v="2017/6636"/>
    <m/>
    <s v="148-150 Penwith Road"/>
    <m/>
    <n v="525905"/>
    <n v="173024"/>
    <x v="18"/>
    <m/>
    <m/>
    <n v="0"/>
    <n v="2"/>
    <n v="2"/>
    <n v="2"/>
    <n v="2"/>
    <m/>
    <s v="Alterations in connection with change of use from Music School (Class D1) to residential (Class C3) to provide 2 x 1-bedroom flats."/>
    <s v="AF"/>
    <d v="2017-12-05T00:00:00"/>
    <m/>
    <x v="0"/>
    <s v="Nil"/>
    <m/>
    <s v="BF"/>
    <x v="3"/>
    <x v="0"/>
    <x v="5"/>
    <n v="8.9999996125698107E-3"/>
    <m/>
    <x v="0"/>
    <m/>
    <x v="0"/>
    <s v="P"/>
    <m/>
    <m/>
    <n v="0"/>
    <m/>
    <n v="0"/>
    <m/>
    <n v="0"/>
    <n v="2"/>
    <n v="0"/>
    <n v="0"/>
    <n v="0"/>
    <n v="0"/>
    <n v="0"/>
    <n v="0"/>
    <n v="2"/>
    <n v="0"/>
    <n v="0"/>
    <n v="0"/>
    <n v="0"/>
    <n v="0"/>
    <n v="0"/>
    <n v="0"/>
    <n v="0"/>
    <n v="0"/>
    <n v="0"/>
    <n v="0"/>
    <n v="0"/>
    <n v="0"/>
    <n v="0"/>
    <n v="0"/>
    <n v="0"/>
    <n v="0"/>
    <n v="0"/>
    <n v="0"/>
    <s v="West"/>
    <x v="0"/>
    <x v="0"/>
    <x v="1"/>
    <x v="0"/>
    <x v="0"/>
    <x v="0"/>
    <m/>
    <x v="1"/>
    <s v="Y"/>
    <n v="10"/>
    <m/>
    <n v="0"/>
    <n v="0"/>
    <n v="0"/>
    <n v="0"/>
    <n v="0"/>
    <n v="0.66666666666666663"/>
    <n v="0.66666666666666663"/>
    <n v="0.66666666666666663"/>
    <n v="0"/>
    <n v="0"/>
    <n v="0"/>
    <n v="0"/>
    <n v="0"/>
    <n v="0"/>
    <n v="0"/>
    <n v="0"/>
    <n v="0"/>
    <n v="0"/>
    <n v="0"/>
    <n v="0"/>
    <n v="0"/>
    <n v="0.66666666666666663"/>
    <n v="2"/>
  </r>
  <r>
    <n v="5615"/>
    <x v="4"/>
    <s v="2018/0565"/>
    <m/>
    <s v="216 Tooting High Street"/>
    <m/>
    <n v="527098"/>
    <n v="170956"/>
    <x v="4"/>
    <m/>
    <m/>
    <n v="0"/>
    <n v="1"/>
    <n v="1"/>
    <n v="1"/>
    <n v="1"/>
    <m/>
    <s v="Erection of a two-storey 2-bedroom house plus basement and parking."/>
    <s v="AF"/>
    <d v="2018-02-20T00:00:00"/>
    <m/>
    <x v="0"/>
    <s v="Nil"/>
    <m/>
    <s v="BF"/>
    <x v="0"/>
    <x v="0"/>
    <x v="0"/>
    <n v="1.4000000432133701E-2"/>
    <m/>
    <x v="0"/>
    <m/>
    <x v="0"/>
    <s v="P"/>
    <m/>
    <m/>
    <n v="0"/>
    <m/>
    <n v="0"/>
    <m/>
    <n v="0"/>
    <n v="0"/>
    <n v="1"/>
    <n v="0"/>
    <n v="0"/>
    <n v="0"/>
    <n v="0"/>
    <n v="0"/>
    <n v="0"/>
    <n v="0"/>
    <n v="0"/>
    <n v="0"/>
    <n v="0"/>
    <n v="0"/>
    <n v="0"/>
    <n v="0"/>
    <n v="1"/>
    <n v="0"/>
    <n v="0"/>
    <n v="0"/>
    <n v="0"/>
    <n v="0"/>
    <n v="0"/>
    <n v="0"/>
    <n v="0"/>
    <n v="0"/>
    <n v="0"/>
    <n v="0"/>
    <s v="East"/>
    <x v="0"/>
    <x v="0"/>
    <x v="1"/>
    <x v="0"/>
    <x v="0"/>
    <x v="0"/>
    <m/>
    <x v="0"/>
    <s v="Y"/>
    <n v="6"/>
    <m/>
    <n v="0"/>
    <n v="0"/>
    <n v="0"/>
    <n v="0"/>
    <n v="0"/>
    <n v="0.33333333333333331"/>
    <n v="0.33333333333333331"/>
    <n v="0.33333333333333331"/>
    <n v="0"/>
    <n v="0"/>
    <n v="0"/>
    <n v="0"/>
    <n v="0"/>
    <n v="0"/>
    <n v="0"/>
    <n v="0"/>
    <n v="0"/>
    <n v="0"/>
    <n v="0"/>
    <n v="0"/>
    <n v="0"/>
    <n v="0.33333333333333331"/>
    <n v="1"/>
  </r>
  <r>
    <n v="5642"/>
    <x v="4"/>
    <s v="2016/6980"/>
    <m/>
    <s v="15 St Johns Hill"/>
    <m/>
    <n v="527300"/>
    <n v="175396"/>
    <x v="14"/>
    <m/>
    <m/>
    <n v="0"/>
    <n v="2"/>
    <n v="2"/>
    <n v="2"/>
    <n v="2"/>
    <m/>
    <s v="Change of use of the second and third floors from office (Class B1a) to residential (Class C3) to provide two one-bedroom flats (retrospective)."/>
    <s v="RP"/>
    <d v="2017-05-04T00:00:00"/>
    <d v="2017-11-01T00:00:00"/>
    <x v="1"/>
    <s v="APP"/>
    <m/>
    <s v="BF"/>
    <x v="3"/>
    <x v="0"/>
    <x v="9"/>
    <n v="6.0000000521540598E-3"/>
    <m/>
    <x v="0"/>
    <m/>
    <x v="0"/>
    <s v="P"/>
    <m/>
    <m/>
    <n v="0"/>
    <m/>
    <n v="0"/>
    <m/>
    <n v="0"/>
    <n v="2"/>
    <n v="0"/>
    <n v="0"/>
    <n v="0"/>
    <n v="0"/>
    <n v="0"/>
    <n v="0"/>
    <n v="2"/>
    <n v="0"/>
    <n v="0"/>
    <n v="0"/>
    <n v="0"/>
    <n v="0"/>
    <n v="0"/>
    <n v="0"/>
    <n v="0"/>
    <n v="0"/>
    <n v="0"/>
    <n v="0"/>
    <n v="0"/>
    <n v="0"/>
    <n v="0"/>
    <n v="0"/>
    <n v="0"/>
    <n v="0"/>
    <n v="0"/>
    <n v="0"/>
    <s v="East"/>
    <x v="5"/>
    <x v="0"/>
    <x v="1"/>
    <x v="0"/>
    <x v="0"/>
    <x v="0"/>
    <m/>
    <x v="0"/>
    <s v="Y"/>
    <n v="10"/>
    <m/>
    <n v="0"/>
    <n v="0"/>
    <n v="0"/>
    <n v="0"/>
    <n v="0"/>
    <n v="0.66666666666666663"/>
    <n v="0.66666666666666663"/>
    <n v="0.66666666666666663"/>
    <n v="0"/>
    <n v="0"/>
    <n v="0"/>
    <n v="0"/>
    <n v="0"/>
    <n v="0"/>
    <n v="0"/>
    <n v="0"/>
    <n v="0"/>
    <n v="0"/>
    <n v="0"/>
    <n v="0"/>
    <n v="0"/>
    <n v="0.66666666666666663"/>
    <n v="2"/>
  </r>
  <r>
    <n v="5862"/>
    <x v="4"/>
    <s v="2018/0859"/>
    <m/>
    <s v="87 Putney High Street"/>
    <s v="conversion + extn"/>
    <n v="524068"/>
    <n v="175336"/>
    <x v="13"/>
    <m/>
    <m/>
    <n v="1"/>
    <n v="3"/>
    <n v="2"/>
    <n v="5"/>
    <n v="4"/>
    <m/>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AF"/>
    <d v="2018-03-29T00:00:00"/>
    <m/>
    <x v="0"/>
    <s v="Nil"/>
    <m/>
    <s v="BF"/>
    <x v="4"/>
    <x v="0"/>
    <x v="10"/>
    <n v="8.9999996125698107E-3"/>
    <m/>
    <x v="0"/>
    <m/>
    <x v="0"/>
    <s v="P"/>
    <m/>
    <m/>
    <n v="0"/>
    <m/>
    <n v="0"/>
    <m/>
    <n v="0"/>
    <n v="0"/>
    <n v="3"/>
    <n v="-1"/>
    <n v="0"/>
    <n v="0"/>
    <n v="0"/>
    <n v="0"/>
    <n v="0"/>
    <n v="3"/>
    <n v="-1"/>
    <n v="0"/>
    <n v="0"/>
    <n v="0"/>
    <n v="0"/>
    <n v="0"/>
    <n v="0"/>
    <n v="0"/>
    <n v="0"/>
    <n v="0"/>
    <n v="0"/>
    <n v="0"/>
    <n v="0"/>
    <n v="0"/>
    <n v="0"/>
    <n v="0"/>
    <n v="0"/>
    <n v="0"/>
    <s v="West"/>
    <x v="3"/>
    <x v="0"/>
    <x v="1"/>
    <x v="0"/>
    <x v="0"/>
    <x v="0"/>
    <m/>
    <x v="0"/>
    <s v="N"/>
    <n v="15"/>
    <s v="2015/0317 used for phasing"/>
    <n v="0"/>
    <n v="0"/>
    <n v="0"/>
    <n v="0"/>
    <n v="0"/>
    <n v="0"/>
    <n v="0"/>
    <n v="0"/>
    <n v="0"/>
    <n v="0"/>
    <n v="0"/>
    <n v="0"/>
    <n v="0"/>
    <n v="0"/>
    <n v="0"/>
    <n v="0"/>
    <n v="0"/>
    <n v="0"/>
    <n v="0"/>
    <n v="0"/>
    <n v="0"/>
    <n v="0"/>
    <n v="0"/>
  </r>
  <r>
    <n v="5862"/>
    <x v="4"/>
    <s v="2018/0859"/>
    <m/>
    <s v="87 Putney High Street"/>
    <s v="NEW BUILD"/>
    <n v="524068"/>
    <n v="175336"/>
    <x v="13"/>
    <m/>
    <m/>
    <n v="0"/>
    <n v="2"/>
    <n v="2"/>
    <n v="5"/>
    <n v="4"/>
    <m/>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AF"/>
    <d v="2018-03-29T00:00:00"/>
    <m/>
    <x v="0"/>
    <s v="Nil"/>
    <m/>
    <s v="BF"/>
    <x v="4"/>
    <x v="0"/>
    <x v="0"/>
    <n v="4.9999998882412902E-3"/>
    <m/>
    <x v="0"/>
    <m/>
    <x v="0"/>
    <s v="P"/>
    <m/>
    <m/>
    <n v="0"/>
    <m/>
    <n v="0"/>
    <m/>
    <n v="0"/>
    <n v="1"/>
    <n v="1"/>
    <n v="0"/>
    <n v="0"/>
    <n v="0"/>
    <n v="0"/>
    <n v="0"/>
    <n v="1"/>
    <n v="1"/>
    <n v="0"/>
    <n v="0"/>
    <n v="0"/>
    <n v="0"/>
    <n v="0"/>
    <n v="0"/>
    <n v="0"/>
    <n v="0"/>
    <n v="0"/>
    <n v="0"/>
    <n v="0"/>
    <n v="0"/>
    <n v="0"/>
    <n v="0"/>
    <n v="0"/>
    <n v="0"/>
    <n v="0"/>
    <n v="0"/>
    <s v="West"/>
    <x v="3"/>
    <x v="0"/>
    <x v="1"/>
    <x v="0"/>
    <x v="0"/>
    <x v="0"/>
    <m/>
    <x v="0"/>
    <s v="N"/>
    <n v="15"/>
    <s v="2015/0317 used for phasing"/>
    <n v="0"/>
    <n v="0"/>
    <n v="0"/>
    <n v="0"/>
    <n v="0"/>
    <n v="0"/>
    <n v="0"/>
    <n v="0"/>
    <n v="0"/>
    <n v="0"/>
    <n v="0"/>
    <n v="0"/>
    <n v="0"/>
    <n v="0"/>
    <n v="0"/>
    <n v="0"/>
    <n v="0"/>
    <n v="0"/>
    <n v="0"/>
    <n v="0"/>
    <n v="0"/>
    <n v="0"/>
    <n v="0"/>
  </r>
  <r>
    <n v="6030"/>
    <x v="4"/>
    <s v="2017/1573"/>
    <m/>
    <s v="8 Akehurst Street"/>
    <m/>
    <n v="522262"/>
    <n v="173980"/>
    <x v="15"/>
    <m/>
    <m/>
    <n v="0"/>
    <n v="2"/>
    <n v="2"/>
    <n v="2"/>
    <n v="2"/>
    <m/>
    <s v="Erection of 2 x 5-bedroom three storey detached houses with associated landscaping, parking and cycle store."/>
    <s v="AF"/>
    <d v="2017-03-16T00:00:00"/>
    <m/>
    <x v="0"/>
    <s v="Nil"/>
    <m/>
    <s v="BF"/>
    <x v="0"/>
    <x v="0"/>
    <x v="0"/>
    <n v="0.10199999809265101"/>
    <m/>
    <x v="0"/>
    <m/>
    <x v="0"/>
    <s v="P"/>
    <m/>
    <m/>
    <n v="0"/>
    <m/>
    <n v="0"/>
    <m/>
    <n v="0"/>
    <n v="0"/>
    <n v="0"/>
    <n v="0"/>
    <n v="0"/>
    <n v="2"/>
    <n v="0"/>
    <n v="0"/>
    <n v="0"/>
    <n v="0"/>
    <n v="0"/>
    <n v="0"/>
    <n v="0"/>
    <n v="0"/>
    <n v="0"/>
    <n v="0"/>
    <n v="0"/>
    <n v="0"/>
    <n v="0"/>
    <n v="2"/>
    <n v="0"/>
    <n v="0"/>
    <n v="0"/>
    <n v="0"/>
    <n v="0"/>
    <n v="0"/>
    <n v="0"/>
    <n v="0"/>
    <s v="West"/>
    <x v="0"/>
    <x v="0"/>
    <x v="1"/>
    <x v="0"/>
    <x v="0"/>
    <x v="0"/>
    <m/>
    <x v="0"/>
    <s v="N"/>
    <n v="15"/>
    <s v="2015/4168 used for phasing"/>
    <n v="0"/>
    <n v="0"/>
    <n v="0"/>
    <n v="0"/>
    <n v="0"/>
    <n v="0"/>
    <n v="0"/>
    <n v="0"/>
    <n v="0"/>
    <n v="0"/>
    <n v="0"/>
    <n v="0"/>
    <n v="0"/>
    <n v="0"/>
    <n v="0"/>
    <n v="0"/>
    <n v="0"/>
    <n v="0"/>
    <n v="0"/>
    <n v="0"/>
    <n v="0"/>
    <n v="0"/>
    <n v="0"/>
  </r>
  <r>
    <n v="6088"/>
    <x v="4"/>
    <s v="2017/5176"/>
    <m/>
    <s v="118 Upper Tooting Road"/>
    <m/>
    <n v="527736"/>
    <n v="172067"/>
    <x v="4"/>
    <m/>
    <m/>
    <n v="0"/>
    <n v="4"/>
    <n v="4"/>
    <n v="4"/>
    <n v="4"/>
    <m/>
    <s v="Alterations including excavation of basement and rear courtyard and erection of four-storey (plus basement) rear extension to provide commercial floorspace (Class A1/A2 use) over part of ground and basement levels and 4 x residential studios (Class C3). Formation of roof terrace at first floor level."/>
    <s v="AF"/>
    <d v="2017-09-19T00:00:00"/>
    <m/>
    <x v="0"/>
    <s v="Nil"/>
    <m/>
    <s v="BF"/>
    <x v="4"/>
    <x v="0"/>
    <x v="0"/>
    <n v="8.9999996125698107E-3"/>
    <m/>
    <x v="0"/>
    <m/>
    <x v="0"/>
    <s v="P"/>
    <m/>
    <m/>
    <n v="0"/>
    <m/>
    <n v="0"/>
    <m/>
    <n v="4"/>
    <n v="0"/>
    <n v="0"/>
    <n v="0"/>
    <n v="0"/>
    <n v="0"/>
    <n v="0"/>
    <n v="4"/>
    <n v="0"/>
    <n v="0"/>
    <n v="0"/>
    <n v="0"/>
    <n v="0"/>
    <n v="0"/>
    <n v="0"/>
    <n v="0"/>
    <n v="0"/>
    <n v="0"/>
    <n v="0"/>
    <n v="0"/>
    <n v="0"/>
    <n v="0"/>
    <n v="0"/>
    <n v="0"/>
    <n v="0"/>
    <n v="0"/>
    <n v="0"/>
    <n v="0"/>
    <s v="East"/>
    <x v="0"/>
    <x v="0"/>
    <x v="1"/>
    <x v="0"/>
    <x v="0"/>
    <x v="0"/>
    <m/>
    <x v="0"/>
    <s v="Y"/>
    <n v="10"/>
    <m/>
    <n v="0"/>
    <n v="0"/>
    <n v="0"/>
    <n v="0"/>
    <n v="0"/>
    <n v="1.3333333333333333"/>
    <n v="1.3333333333333333"/>
    <n v="1.3333333333333333"/>
    <n v="0"/>
    <n v="0"/>
    <n v="0"/>
    <n v="0"/>
    <n v="0"/>
    <n v="0"/>
    <n v="0"/>
    <n v="0"/>
    <n v="0"/>
    <n v="0"/>
    <n v="0"/>
    <n v="0"/>
    <n v="0"/>
    <n v="1.3333333333333333"/>
    <n v="4"/>
  </r>
  <r>
    <n v="6149"/>
    <x v="4"/>
    <s v="2016/5183"/>
    <m/>
    <s v="8 Ravensbury Terrace"/>
    <m/>
    <n v="525867"/>
    <n v="172948"/>
    <x v="5"/>
    <m/>
    <m/>
    <n v="0"/>
    <n v="15"/>
    <n v="15"/>
    <n v="15"/>
    <n v="15"/>
    <s v="Y"/>
    <s v="Demolition of existing buildings and erection of a part 3, part 4-storey building to accommodate 15 residential dwellings including landscaping, cycle and refuse storage and a riverside walkway. (Revised scheme following refusal of 2015/6103)."/>
    <s v="AF"/>
    <d v="2016-09-02T00:00:00"/>
    <m/>
    <x v="0"/>
    <s v="Nil"/>
    <m/>
    <s v="BF"/>
    <x v="0"/>
    <x v="1"/>
    <x v="1"/>
    <n v="6.7000001668930095E-2"/>
    <m/>
    <x v="0"/>
    <m/>
    <x v="0"/>
    <s v="P"/>
    <m/>
    <m/>
    <n v="0"/>
    <m/>
    <n v="2"/>
    <m/>
    <n v="0"/>
    <n v="3"/>
    <n v="11"/>
    <n v="1"/>
    <n v="0"/>
    <n v="0"/>
    <n v="0"/>
    <n v="0"/>
    <n v="3"/>
    <n v="11"/>
    <n v="1"/>
    <n v="0"/>
    <n v="0"/>
    <n v="0"/>
    <n v="0"/>
    <n v="0"/>
    <n v="0"/>
    <n v="0"/>
    <n v="0"/>
    <n v="0"/>
    <n v="0"/>
    <n v="0"/>
    <n v="0"/>
    <n v="0"/>
    <n v="0"/>
    <n v="0"/>
    <n v="0"/>
    <n v="0"/>
    <s v="West"/>
    <x v="0"/>
    <x v="0"/>
    <x v="1"/>
    <x v="0"/>
    <x v="0"/>
    <x v="0"/>
    <m/>
    <x v="1"/>
    <s v="Y"/>
    <n v="6"/>
    <m/>
    <n v="0"/>
    <n v="0"/>
    <n v="0"/>
    <n v="0"/>
    <n v="0"/>
    <n v="5"/>
    <n v="5"/>
    <n v="5"/>
    <n v="0"/>
    <n v="0"/>
    <n v="0"/>
    <n v="0"/>
    <n v="0"/>
    <n v="0"/>
    <n v="0"/>
    <n v="0"/>
    <n v="0"/>
    <n v="0"/>
    <n v="0"/>
    <n v="0"/>
    <n v="0"/>
    <n v="5"/>
    <n v="15"/>
  </r>
  <r>
    <n v="6149"/>
    <x v="4"/>
    <s v="2018/0563"/>
    <m/>
    <s v="8 Ravensbury Terrace"/>
    <m/>
    <n v="525867"/>
    <n v="172948"/>
    <x v="5"/>
    <m/>
    <m/>
    <n v="0"/>
    <n v="9"/>
    <n v="9"/>
    <n v="9"/>
    <n v="9"/>
    <m/>
    <s v="Demolition of existing buildings and erection of a part 1, part 3, part 4-storey building to accommodate 9 residential dwellings (1x 1-bedroom, 7 x 2-bedroom and 1 x 3-bedroom units) and 344sq.m  of business floorspace (Class B1 use), with associated landscaping, cycle and refuse storage, and works to the river wall."/>
    <s v="AF"/>
    <d v="2018-02-15T00:00:00"/>
    <m/>
    <x v="0"/>
    <s v="Nil"/>
    <m/>
    <s v="BF"/>
    <x v="0"/>
    <x v="0"/>
    <x v="0"/>
    <n v="5.0999999046325697E-2"/>
    <m/>
    <x v="0"/>
    <m/>
    <x v="0"/>
    <s v="P"/>
    <m/>
    <m/>
    <n v="0"/>
    <n v="8"/>
    <n v="0"/>
    <n v="1"/>
    <n v="0"/>
    <n v="1"/>
    <n v="7"/>
    <n v="1"/>
    <n v="0"/>
    <n v="0"/>
    <n v="0"/>
    <n v="0"/>
    <n v="1"/>
    <n v="7"/>
    <n v="1"/>
    <n v="0"/>
    <n v="0"/>
    <n v="0"/>
    <n v="0"/>
    <n v="0"/>
    <n v="0"/>
    <n v="0"/>
    <n v="0"/>
    <n v="0"/>
    <n v="0"/>
    <n v="0"/>
    <n v="0"/>
    <n v="0"/>
    <n v="0"/>
    <n v="0"/>
    <n v="0"/>
    <n v="0"/>
    <s v="West"/>
    <x v="0"/>
    <x v="0"/>
    <x v="1"/>
    <x v="0"/>
    <x v="0"/>
    <x v="0"/>
    <m/>
    <x v="1"/>
    <s v="Y"/>
    <n v="6"/>
    <m/>
    <n v="0"/>
    <n v="0"/>
    <n v="0"/>
    <n v="0"/>
    <n v="0"/>
    <n v="3"/>
    <n v="3"/>
    <n v="3"/>
    <n v="0"/>
    <n v="0"/>
    <n v="0"/>
    <n v="0"/>
    <n v="0"/>
    <n v="0"/>
    <n v="0"/>
    <n v="0"/>
    <n v="0"/>
    <n v="0"/>
    <n v="0"/>
    <n v="0"/>
    <n v="0"/>
    <n v="3"/>
    <n v="9"/>
  </r>
  <r>
    <n v="6196"/>
    <x v="4"/>
    <s v="2018/0917"/>
    <m/>
    <s v="Land adjacent, 80 Manville Road"/>
    <m/>
    <n v="528701"/>
    <n v="172342"/>
    <x v="3"/>
    <m/>
    <m/>
    <n v="0"/>
    <n v="1"/>
    <n v="1"/>
    <n v="1"/>
    <n v="1"/>
    <m/>
    <s v="Demolition of existing garage and erection of part single, part two-storey (plus basement) 3-bedroom detached house with associated landscaping, boundary treatment, cycle, refuse storage and car parking."/>
    <s v="AF"/>
    <d v="2018-03-06T00:00:00"/>
    <m/>
    <x v="0"/>
    <s v="Nil"/>
    <m/>
    <s v="BF"/>
    <x v="0"/>
    <x v="0"/>
    <x v="0"/>
    <n v="8.9999996125698107E-3"/>
    <m/>
    <x v="0"/>
    <m/>
    <x v="0"/>
    <s v="P"/>
    <m/>
    <m/>
    <n v="0"/>
    <m/>
    <n v="0"/>
    <m/>
    <n v="0"/>
    <n v="0"/>
    <n v="0"/>
    <n v="1"/>
    <n v="0"/>
    <n v="0"/>
    <n v="0"/>
    <n v="0"/>
    <n v="0"/>
    <n v="0"/>
    <n v="0"/>
    <n v="0"/>
    <n v="0"/>
    <n v="0"/>
    <n v="0"/>
    <n v="0"/>
    <n v="0"/>
    <n v="1"/>
    <n v="0"/>
    <n v="0"/>
    <n v="0"/>
    <n v="0"/>
    <n v="0"/>
    <n v="0"/>
    <n v="0"/>
    <n v="0"/>
    <n v="0"/>
    <n v="0"/>
    <s v="East"/>
    <x v="0"/>
    <x v="0"/>
    <x v="1"/>
    <x v="0"/>
    <x v="0"/>
    <x v="0"/>
    <m/>
    <x v="0"/>
    <s v="N"/>
    <n v="15"/>
    <s v="2016/5294 used for phasing"/>
    <n v="0"/>
    <n v="0"/>
    <n v="0"/>
    <n v="0"/>
    <n v="0"/>
    <n v="0"/>
    <n v="0"/>
    <n v="0"/>
    <n v="0"/>
    <n v="0"/>
    <n v="0"/>
    <n v="0"/>
    <n v="0"/>
    <n v="0"/>
    <n v="0"/>
    <n v="0"/>
    <n v="0"/>
    <n v="0"/>
    <n v="0"/>
    <n v="0"/>
    <n v="0"/>
    <n v="0"/>
    <n v="0"/>
  </r>
  <r>
    <n v="6204"/>
    <x v="4"/>
    <s v="2017/4656"/>
    <m/>
    <s v="272 Franciscan Road"/>
    <m/>
    <n v="527745"/>
    <n v="171310"/>
    <x v="8"/>
    <m/>
    <m/>
    <n v="1"/>
    <n v="0"/>
    <n v="-1"/>
    <n v="0"/>
    <n v="-1"/>
    <m/>
    <s v="Continued use as a Guesthouse (C1) for more than 10 years"/>
    <s v="AF"/>
    <d v="2017-08-23T00:00:00"/>
    <m/>
    <x v="0"/>
    <s v="Nil"/>
    <m/>
    <s v="BF"/>
    <x v="3"/>
    <x v="0"/>
    <x v="6"/>
    <n v="1.4999999664723899E-2"/>
    <m/>
    <x v="0"/>
    <m/>
    <x v="0"/>
    <s v="P"/>
    <m/>
    <m/>
    <n v="0"/>
    <m/>
    <n v="0"/>
    <m/>
    <n v="0"/>
    <n v="0"/>
    <n v="0"/>
    <n v="0"/>
    <n v="0"/>
    <n v="-1"/>
    <n v="0"/>
    <n v="0"/>
    <n v="0"/>
    <n v="0"/>
    <n v="0"/>
    <n v="0"/>
    <n v="0"/>
    <n v="0"/>
    <n v="0"/>
    <n v="0"/>
    <n v="0"/>
    <n v="0"/>
    <n v="0"/>
    <n v="-1"/>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212"/>
    <x v="4"/>
    <s v="2018/0885"/>
    <m/>
    <s v="Land rear of, 117 Fernlea Road"/>
    <m/>
    <n v="529084"/>
    <n v="173102"/>
    <x v="9"/>
    <m/>
    <m/>
    <n v="0"/>
    <n v="1"/>
    <n v="1"/>
    <n v="1"/>
    <n v="1"/>
    <m/>
    <s v="Demolition of existing garage fronting Cavendish Road and erection of a single storey (plus basement and roof) 3-bedroom detached house, formation of lightwells and refuse storage."/>
    <s v="AF"/>
    <d v="2018-03-01T00:00:00"/>
    <m/>
    <x v="0"/>
    <s v="Nil"/>
    <m/>
    <s v="BF"/>
    <x v="0"/>
    <x v="0"/>
    <x v="0"/>
    <n v="2.5000000372528999E-2"/>
    <m/>
    <x v="0"/>
    <m/>
    <x v="0"/>
    <s v="P"/>
    <m/>
    <m/>
    <n v="0"/>
    <m/>
    <n v="0"/>
    <m/>
    <n v="0"/>
    <n v="0"/>
    <n v="0"/>
    <n v="1"/>
    <n v="0"/>
    <n v="0"/>
    <n v="0"/>
    <n v="0"/>
    <n v="0"/>
    <n v="0"/>
    <n v="0"/>
    <n v="0"/>
    <n v="0"/>
    <n v="0"/>
    <n v="0"/>
    <n v="0"/>
    <n v="0"/>
    <n v="1"/>
    <n v="0"/>
    <n v="0"/>
    <n v="0"/>
    <n v="0"/>
    <n v="0"/>
    <n v="0"/>
    <n v="0"/>
    <n v="0"/>
    <n v="0"/>
    <n v="0"/>
    <s v="East"/>
    <x v="0"/>
    <x v="0"/>
    <x v="1"/>
    <x v="0"/>
    <x v="0"/>
    <x v="0"/>
    <m/>
    <x v="0"/>
    <s v="Y"/>
    <n v="6"/>
    <m/>
    <n v="0"/>
    <n v="0"/>
    <n v="0"/>
    <n v="0"/>
    <n v="0"/>
    <n v="0.33333333333333331"/>
    <n v="0.33333333333333331"/>
    <n v="0.33333333333333331"/>
    <n v="0"/>
    <n v="0"/>
    <n v="0"/>
    <n v="0"/>
    <n v="0"/>
    <n v="0"/>
    <n v="0"/>
    <n v="0"/>
    <n v="0"/>
    <n v="0"/>
    <n v="0"/>
    <n v="0"/>
    <n v="0"/>
    <n v="0.33333333333333331"/>
    <n v="1"/>
  </r>
  <r>
    <n v="6268"/>
    <x v="4"/>
    <s v="2018/1050"/>
    <m/>
    <s v="26 Ritherdon Road"/>
    <m/>
    <n v="528342"/>
    <n v="172639"/>
    <x v="3"/>
    <m/>
    <m/>
    <n v="0"/>
    <n v="1"/>
    <n v="1"/>
    <n v="1"/>
    <n v="1"/>
    <m/>
    <s v="Conversion of basement level into 1 x 1-bedroom flat with formation of two front lightwells with glass balustrades around.  Erection of replacement dwarf wall with Heaver style railings above and installation of bin stores within front garden."/>
    <s v="AF"/>
    <d v="2018-03-08T00:00:00"/>
    <m/>
    <x v="0"/>
    <s v="Nil"/>
    <m/>
    <s v="BF"/>
    <x v="1"/>
    <x v="0"/>
    <x v="10"/>
    <n v="0"/>
    <m/>
    <x v="0"/>
    <m/>
    <x v="0"/>
    <s v="P"/>
    <m/>
    <m/>
    <n v="0"/>
    <m/>
    <n v="0"/>
    <m/>
    <n v="0"/>
    <n v="1"/>
    <n v="0"/>
    <n v="0"/>
    <n v="0"/>
    <n v="0"/>
    <n v="0"/>
    <n v="0"/>
    <n v="1"/>
    <n v="0"/>
    <n v="0"/>
    <n v="0"/>
    <n v="0"/>
    <n v="0"/>
    <n v="0"/>
    <n v="0"/>
    <n v="0"/>
    <n v="0"/>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294"/>
    <x v="4"/>
    <s v="2018/1333"/>
    <m/>
    <s v="72 Gowrie Road"/>
    <m/>
    <n v="528226"/>
    <n v="175530"/>
    <x v="10"/>
    <m/>
    <m/>
    <n v="1"/>
    <n v="1"/>
    <n v="0"/>
    <n v="1"/>
    <n v="0"/>
    <m/>
    <s v="Demolition of existing dwellinghouse (except for front facade and front sections of the side facades) and erection of a replacement house, including excavation of basement with front and rear lightwells, increased ridge height by 350mm, front rooflights, erection of mansard roof extension to main rear roof and part single, part three-storey rear additions with a roof terrace and1.7m high screen above."/>
    <s v="AF"/>
    <d v="2018-03-29T00:00:00"/>
    <m/>
    <x v="0"/>
    <s v="Nil"/>
    <m/>
    <s v="BF"/>
    <x v="0"/>
    <x v="0"/>
    <x v="0"/>
    <n v="1.09999999403954E-2"/>
    <m/>
    <x v="0"/>
    <m/>
    <x v="0"/>
    <s v="P"/>
    <m/>
    <m/>
    <n v="0"/>
    <m/>
    <n v="0"/>
    <m/>
    <n v="0"/>
    <n v="0"/>
    <n v="0"/>
    <n v="1"/>
    <n v="-1"/>
    <n v="0"/>
    <n v="0"/>
    <n v="0"/>
    <n v="0"/>
    <n v="0"/>
    <n v="0"/>
    <n v="0"/>
    <n v="0"/>
    <n v="0"/>
    <n v="0"/>
    <n v="0"/>
    <n v="0"/>
    <n v="1"/>
    <n v="-1"/>
    <n v="0"/>
    <n v="0"/>
    <n v="0"/>
    <n v="0"/>
    <n v="0"/>
    <n v="0"/>
    <n v="0"/>
    <n v="0"/>
    <n v="0"/>
    <s v="East"/>
    <x v="0"/>
    <x v="0"/>
    <x v="1"/>
    <x v="0"/>
    <x v="0"/>
    <x v="0"/>
    <m/>
    <x v="0"/>
    <s v="Y"/>
    <n v="6"/>
    <m/>
    <n v="0"/>
    <n v="0"/>
    <n v="0"/>
    <n v="0"/>
    <n v="0"/>
    <n v="0"/>
    <n v="0"/>
    <n v="0"/>
    <n v="0"/>
    <n v="0"/>
    <n v="0"/>
    <n v="0"/>
    <n v="0"/>
    <n v="0"/>
    <n v="0"/>
    <n v="0"/>
    <n v="0"/>
    <n v="0"/>
    <n v="0"/>
    <n v="0"/>
    <n v="0"/>
    <n v="0"/>
    <n v="0"/>
  </r>
  <r>
    <n v="6335"/>
    <x v="4"/>
    <s v="2018/0806"/>
    <s v="Ransomes Dock Business Centre"/>
    <s v="Unit 33 Ransomes Dock Business Centre, 35-37 Parkgate Road"/>
    <m/>
    <n v="527310"/>
    <n v="177196"/>
    <x v="1"/>
    <m/>
    <m/>
    <n v="0"/>
    <n v="2"/>
    <n v="2"/>
    <n v="2"/>
    <n v="2"/>
    <m/>
    <s v="Determination as to whether prior approval is required for change of use from office at second floor level (Use Class B1(a)) to residential (Use Class C3) to provide 2 x 3 bedroom flats."/>
    <s v="NPA"/>
    <d v="2018-02-20T00:00:00"/>
    <m/>
    <x v="0"/>
    <s v="Nil"/>
    <m/>
    <s v="BF"/>
    <x v="3"/>
    <x v="0"/>
    <x v="9"/>
    <n v="0"/>
    <m/>
    <x v="0"/>
    <m/>
    <x v="0"/>
    <s v="P"/>
    <s v="10.1.1"/>
    <m/>
    <n v="0"/>
    <m/>
    <n v="0"/>
    <m/>
    <n v="0"/>
    <n v="0"/>
    <n v="0"/>
    <n v="2"/>
    <n v="0"/>
    <n v="0"/>
    <n v="0"/>
    <n v="0"/>
    <n v="0"/>
    <n v="0"/>
    <n v="2"/>
    <n v="0"/>
    <n v="0"/>
    <n v="0"/>
    <n v="0"/>
    <n v="0"/>
    <n v="0"/>
    <n v="0"/>
    <n v="0"/>
    <n v="0"/>
    <n v="0"/>
    <n v="0"/>
    <n v="0"/>
    <n v="0"/>
    <n v="0"/>
    <n v="0"/>
    <n v="0"/>
    <n v="0"/>
    <s v="East"/>
    <x v="0"/>
    <x v="0"/>
    <x v="1"/>
    <x v="0"/>
    <x v="0"/>
    <x v="0"/>
    <s v="Y"/>
    <x v="0"/>
    <s v="N"/>
    <n v="15"/>
    <s v="2016/5017 used for phasing"/>
    <n v="0"/>
    <n v="0"/>
    <n v="0"/>
    <n v="0"/>
    <n v="0"/>
    <n v="0"/>
    <n v="0"/>
    <n v="0"/>
    <n v="0"/>
    <n v="0"/>
    <n v="0"/>
    <n v="0"/>
    <n v="0"/>
    <n v="0"/>
    <n v="0"/>
    <n v="0"/>
    <n v="0"/>
    <n v="0"/>
    <n v="0"/>
    <n v="0"/>
    <n v="0"/>
    <n v="0"/>
    <n v="0"/>
  </r>
  <r>
    <n v="6495"/>
    <x v="4"/>
    <s v="2017/6319"/>
    <m/>
    <s v="130 Wimbledon Park road"/>
    <m/>
    <n v="524891"/>
    <n v="173680"/>
    <x v="5"/>
    <m/>
    <m/>
    <n v="0"/>
    <n v="1"/>
    <n v="1"/>
    <n v="1"/>
    <n v="1"/>
    <m/>
    <s v="Demolition of existing garage and erection of a two-storey (plus basement) 3-bedroom detached house with associated cycle and refuse storage."/>
    <s v="AF"/>
    <d v="2017-11-15T00:00:00"/>
    <m/>
    <x v="0"/>
    <s v="Nil"/>
    <m/>
    <s v="BF"/>
    <x v="0"/>
    <x v="0"/>
    <x v="0"/>
    <n v="2.8999999165535001E-2"/>
    <m/>
    <x v="0"/>
    <m/>
    <x v="0"/>
    <s v="P"/>
    <m/>
    <m/>
    <n v="0"/>
    <m/>
    <n v="0"/>
    <m/>
    <n v="0"/>
    <n v="0"/>
    <n v="0"/>
    <n v="1"/>
    <n v="0"/>
    <n v="0"/>
    <n v="0"/>
    <n v="0"/>
    <n v="0"/>
    <n v="0"/>
    <n v="0"/>
    <n v="0"/>
    <n v="0"/>
    <n v="0"/>
    <n v="0"/>
    <n v="0"/>
    <n v="0"/>
    <n v="1"/>
    <n v="0"/>
    <n v="0"/>
    <n v="0"/>
    <n v="0"/>
    <n v="0"/>
    <n v="0"/>
    <n v="0"/>
    <n v="0"/>
    <n v="0"/>
    <n v="0"/>
    <s v="West"/>
    <x v="0"/>
    <x v="0"/>
    <x v="1"/>
    <x v="0"/>
    <x v="0"/>
    <x v="0"/>
    <m/>
    <x v="0"/>
    <s v="Y"/>
    <n v="6"/>
    <m/>
    <n v="0"/>
    <n v="0"/>
    <n v="0"/>
    <n v="0"/>
    <n v="0"/>
    <n v="0.33333333333333331"/>
    <n v="0.33333333333333331"/>
    <n v="0.33333333333333331"/>
    <n v="0"/>
    <n v="0"/>
    <n v="0"/>
    <n v="0"/>
    <n v="0"/>
    <n v="0"/>
    <n v="0"/>
    <n v="0"/>
    <n v="0"/>
    <n v="0"/>
    <n v="0"/>
    <n v="0"/>
    <n v="0"/>
    <n v="0.33333333333333331"/>
    <n v="1"/>
  </r>
  <r>
    <n v="6502"/>
    <x v="4"/>
    <s v="2016/4285"/>
    <m/>
    <s v="7-9 Upper Tooting Road"/>
    <m/>
    <n v="528002"/>
    <n v="172307"/>
    <x v="3"/>
    <m/>
    <m/>
    <n v="0"/>
    <n v="2"/>
    <n v="2"/>
    <n v="2"/>
    <n v="2"/>
    <m/>
    <s v="Erection of a second floor rear extension above the rear additions, and rear roof extension to form 2 x 1-bedroom flats, and external staircase at the rear."/>
    <s v="AF"/>
    <d v="2016-07-20T00:00:00"/>
    <m/>
    <x v="0"/>
    <s v="Nil"/>
    <m/>
    <s v="BF"/>
    <x v="2"/>
    <x v="0"/>
    <x v="3"/>
    <n v="9.9999997764825804E-3"/>
    <m/>
    <x v="0"/>
    <m/>
    <x v="0"/>
    <s v="P"/>
    <m/>
    <m/>
    <n v="0"/>
    <m/>
    <n v="0"/>
    <m/>
    <n v="0"/>
    <n v="2"/>
    <n v="0"/>
    <n v="0"/>
    <n v="0"/>
    <n v="0"/>
    <n v="0"/>
    <n v="0"/>
    <n v="2"/>
    <n v="0"/>
    <n v="0"/>
    <n v="0"/>
    <n v="0"/>
    <n v="0"/>
    <n v="0"/>
    <n v="0"/>
    <n v="0"/>
    <n v="0"/>
    <n v="0"/>
    <n v="0"/>
    <n v="0"/>
    <n v="0"/>
    <n v="0"/>
    <n v="0"/>
    <n v="0"/>
    <n v="0"/>
    <n v="0"/>
    <n v="0"/>
    <s v="East"/>
    <x v="0"/>
    <x v="0"/>
    <x v="1"/>
    <x v="0"/>
    <x v="0"/>
    <x v="0"/>
    <m/>
    <x v="0"/>
    <s v="Y"/>
    <n v="10"/>
    <m/>
    <n v="0"/>
    <n v="0"/>
    <n v="0"/>
    <n v="0"/>
    <n v="0"/>
    <n v="0.66666666666666663"/>
    <n v="0.66666666666666663"/>
    <n v="0.66666666666666663"/>
    <n v="0"/>
    <n v="0"/>
    <n v="0"/>
    <n v="0"/>
    <n v="0"/>
    <n v="0"/>
    <n v="0"/>
    <n v="0"/>
    <n v="0"/>
    <n v="0"/>
    <n v="0"/>
    <n v="0"/>
    <n v="0"/>
    <n v="0.66666666666666663"/>
    <n v="2"/>
  </r>
  <r>
    <n v="6513"/>
    <x v="4"/>
    <s v="2017/1374"/>
    <m/>
    <s v="Dock North of 34 Falcon Wharf, Lombard Road"/>
    <m/>
    <n v="526631"/>
    <n v="176210"/>
    <x v="1"/>
    <m/>
    <m/>
    <n v="0"/>
    <n v="1"/>
    <n v="1"/>
    <n v="1"/>
    <n v="1"/>
    <m/>
    <s v="Erection of a two-storey 3-bedroom house above inlet (with associated stair access) with mooring area underneath (and two car parking spaces within the basement car park of Oyster Wharf).  Amendments to withdrawn scheme proposed by application ref. 2016/5862."/>
    <s v="RP"/>
    <d v="2017-03-07T00:00:00"/>
    <d v="2017-10-13T00:00:00"/>
    <x v="1"/>
    <s v="APP"/>
    <m/>
    <s v="BF"/>
    <x v="0"/>
    <x v="0"/>
    <x v="0"/>
    <n v="2.9999999329447701E-2"/>
    <m/>
    <x v="0"/>
    <m/>
    <x v="0"/>
    <s v="P"/>
    <m/>
    <m/>
    <n v="0"/>
    <m/>
    <n v="0"/>
    <m/>
    <n v="0"/>
    <n v="0"/>
    <n v="0"/>
    <n v="1"/>
    <n v="0"/>
    <n v="0"/>
    <n v="0"/>
    <n v="0"/>
    <n v="0"/>
    <n v="0"/>
    <n v="0"/>
    <n v="0"/>
    <n v="0"/>
    <n v="0"/>
    <n v="0"/>
    <n v="0"/>
    <n v="0"/>
    <n v="1"/>
    <n v="0"/>
    <n v="0"/>
    <n v="0"/>
    <n v="0"/>
    <n v="0"/>
    <n v="0"/>
    <n v="0"/>
    <n v="0"/>
    <n v="0"/>
    <n v="0"/>
    <s v="East"/>
    <x v="0"/>
    <x v="0"/>
    <x v="1"/>
    <x v="0"/>
    <x v="0"/>
    <x v="0"/>
    <s v="Y"/>
    <x v="0"/>
    <s v="Y"/>
    <n v="6"/>
    <m/>
    <n v="0"/>
    <n v="0"/>
    <n v="0"/>
    <n v="0"/>
    <n v="0"/>
    <n v="0.33333333333333331"/>
    <n v="0.33333333333333331"/>
    <n v="0.33333333333333331"/>
    <n v="0"/>
    <n v="0"/>
    <n v="0"/>
    <n v="0"/>
    <n v="0"/>
    <n v="0"/>
    <n v="0"/>
    <n v="0"/>
    <n v="0"/>
    <n v="0"/>
    <n v="0"/>
    <n v="0"/>
    <n v="0"/>
    <n v="0.33333333333333331"/>
    <n v="1"/>
  </r>
  <r>
    <n v="6526"/>
    <x v="4"/>
    <s v="2017/0535"/>
    <m/>
    <s v="Land west of 86-96, Garratt Lane"/>
    <m/>
    <n v="525688"/>
    <n v="174300"/>
    <x v="5"/>
    <m/>
    <m/>
    <n v="0"/>
    <n v="17"/>
    <n v="17"/>
    <n v="27"/>
    <n v="27"/>
    <s v="Y"/>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AF"/>
    <d v="2017-03-15T00:00:00"/>
    <m/>
    <x v="0"/>
    <s v="Nil"/>
    <m/>
    <s v="BF"/>
    <x v="0"/>
    <x v="1"/>
    <x v="1"/>
    <n v="0"/>
    <m/>
    <x v="0"/>
    <m/>
    <x v="1"/>
    <s v="HAIU"/>
    <m/>
    <m/>
    <n v="15"/>
    <m/>
    <n v="2"/>
    <m/>
    <n v="2"/>
    <n v="15"/>
    <n v="0"/>
    <n v="0"/>
    <n v="0"/>
    <n v="0"/>
    <n v="0"/>
    <n v="2"/>
    <n v="15"/>
    <n v="0"/>
    <n v="0"/>
    <n v="0"/>
    <n v="0"/>
    <n v="0"/>
    <n v="0"/>
    <n v="0"/>
    <n v="0"/>
    <n v="0"/>
    <n v="0"/>
    <n v="0"/>
    <n v="0"/>
    <n v="0"/>
    <n v="0"/>
    <n v="0"/>
    <n v="0"/>
    <n v="0"/>
    <n v="0"/>
    <n v="0"/>
    <s v="West"/>
    <x v="4"/>
    <x v="0"/>
    <x v="0"/>
    <x v="0"/>
    <x v="0"/>
    <x v="0"/>
    <m/>
    <x v="0"/>
    <s v="Y"/>
    <n v="6"/>
    <m/>
    <n v="0"/>
    <n v="0"/>
    <n v="0"/>
    <n v="0"/>
    <n v="0"/>
    <n v="5.666666666666667"/>
    <n v="5.666666666666667"/>
    <n v="5.666666666666667"/>
    <n v="0"/>
    <n v="0"/>
    <n v="0"/>
    <n v="0"/>
    <n v="0"/>
    <n v="0"/>
    <n v="0"/>
    <n v="0"/>
    <n v="0"/>
    <n v="0"/>
    <n v="0"/>
    <n v="0"/>
    <n v="0"/>
    <n v="5.666666666666667"/>
    <n v="17"/>
  </r>
  <r>
    <n v="6526"/>
    <x v="4"/>
    <s v="2017/0535"/>
    <m/>
    <s v="Land west of 86-96, Garratt Lane"/>
    <m/>
    <n v="525688"/>
    <n v="174300"/>
    <x v="5"/>
    <m/>
    <m/>
    <n v="0"/>
    <n v="10"/>
    <n v="10"/>
    <n v="27"/>
    <n v="27"/>
    <s v="Y"/>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AF"/>
    <d v="2017-03-15T00:00:00"/>
    <m/>
    <x v="0"/>
    <s v="Nil"/>
    <m/>
    <s v="BF"/>
    <x v="0"/>
    <x v="1"/>
    <x v="1"/>
    <n v="0"/>
    <m/>
    <x v="0"/>
    <m/>
    <x v="0"/>
    <s v="P"/>
    <m/>
    <m/>
    <n v="10"/>
    <m/>
    <n v="1"/>
    <m/>
    <n v="0"/>
    <n v="6"/>
    <n v="4"/>
    <n v="0"/>
    <n v="0"/>
    <n v="0"/>
    <n v="0"/>
    <n v="0"/>
    <n v="6"/>
    <n v="4"/>
    <n v="0"/>
    <n v="0"/>
    <n v="0"/>
    <n v="0"/>
    <n v="0"/>
    <n v="0"/>
    <n v="0"/>
    <n v="0"/>
    <n v="0"/>
    <n v="0"/>
    <n v="0"/>
    <n v="0"/>
    <n v="0"/>
    <n v="0"/>
    <n v="0"/>
    <n v="0"/>
    <n v="0"/>
    <n v="0"/>
    <s v="West"/>
    <x v="4"/>
    <x v="0"/>
    <x v="0"/>
    <x v="0"/>
    <x v="0"/>
    <x v="0"/>
    <m/>
    <x v="0"/>
    <s v="Y"/>
    <n v="6"/>
    <m/>
    <n v="0"/>
    <n v="0"/>
    <n v="0"/>
    <n v="0"/>
    <n v="0"/>
    <n v="3.3333333333333335"/>
    <n v="3.3333333333333335"/>
    <n v="3.3333333333333335"/>
    <n v="0"/>
    <n v="0"/>
    <n v="0"/>
    <n v="0"/>
    <n v="0"/>
    <n v="0"/>
    <n v="0"/>
    <n v="0"/>
    <n v="0"/>
    <n v="0"/>
    <n v="0"/>
    <n v="0"/>
    <n v="0"/>
    <n v="3.3333333333333335"/>
    <n v="10"/>
  </r>
  <r>
    <n v="6576"/>
    <x v="4"/>
    <s v="2017/1836"/>
    <m/>
    <s v="71 Northcote Road"/>
    <m/>
    <n v="527523"/>
    <n v="174885"/>
    <x v="14"/>
    <m/>
    <m/>
    <n v="1"/>
    <n v="4"/>
    <n v="3"/>
    <n v="4"/>
    <n v="3"/>
    <m/>
    <s v="Alterations including erection of single-storey side extension and three-storey rear extension with terraces to provide 3 x 2-bedroom and 1 x 1-bedroom flats and change of use at ground floor from retail (Class A1) to restaurant (Class A3)."/>
    <s v="RP"/>
    <d v="2017-03-30T00:00:00"/>
    <d v="2017-05-25T00:00:00"/>
    <x v="1"/>
    <s v="APP"/>
    <m/>
    <s v="BF"/>
    <x v="4"/>
    <x v="0"/>
    <x v="0"/>
    <n v="1.4000000432133701E-2"/>
    <m/>
    <x v="0"/>
    <m/>
    <x v="0"/>
    <s v="P"/>
    <m/>
    <m/>
    <n v="0"/>
    <m/>
    <n v="0"/>
    <m/>
    <n v="0"/>
    <n v="1"/>
    <n v="2"/>
    <n v="0"/>
    <n v="0"/>
    <n v="0"/>
    <n v="0"/>
    <n v="0"/>
    <n v="1"/>
    <n v="2"/>
    <n v="0"/>
    <n v="0"/>
    <n v="0"/>
    <n v="0"/>
    <n v="0"/>
    <n v="0"/>
    <n v="0"/>
    <n v="0"/>
    <n v="0"/>
    <n v="0"/>
    <n v="0"/>
    <n v="0"/>
    <n v="0"/>
    <n v="0"/>
    <n v="0"/>
    <n v="0"/>
    <n v="0"/>
    <n v="0"/>
    <s v="East"/>
    <x v="5"/>
    <x v="0"/>
    <x v="1"/>
    <x v="0"/>
    <x v="0"/>
    <x v="0"/>
    <m/>
    <x v="0"/>
    <s v="Y"/>
    <n v="10"/>
    <m/>
    <n v="0"/>
    <n v="0"/>
    <n v="0"/>
    <n v="0"/>
    <n v="0"/>
    <n v="1"/>
    <n v="1"/>
    <n v="1"/>
    <n v="0"/>
    <n v="0"/>
    <n v="0"/>
    <n v="0"/>
    <n v="0"/>
    <n v="0"/>
    <n v="0"/>
    <n v="0"/>
    <n v="0"/>
    <n v="0"/>
    <n v="0"/>
    <n v="0"/>
    <n v="0"/>
    <n v="1"/>
    <n v="3"/>
  </r>
  <r>
    <n v="6576"/>
    <x v="4"/>
    <s v="2017/6117"/>
    <m/>
    <s v="71 Northcote Road"/>
    <m/>
    <n v="527523"/>
    <n v="174885"/>
    <x v="14"/>
    <m/>
    <m/>
    <n v="0"/>
    <n v="4"/>
    <n v="4"/>
    <n v="4"/>
    <n v="4"/>
    <m/>
    <s v="Change of use from Class A1(Shops) to Class A3 (Restaurants and Cafes).  Erection of side and rear extensions at ground, first and second floor levels to provide 4no. residential units (1 x bedsit; 1 x 1-bedroom and 2 x 2-bedroom flats.)."/>
    <s v="RP"/>
    <d v="2017-11-03T00:00:00"/>
    <d v="2017-12-29T00:00:00"/>
    <x v="1"/>
    <s v="APP"/>
    <m/>
    <s v="BF"/>
    <x v="4"/>
    <x v="0"/>
    <x v="0"/>
    <n v="1.4000000432133701E-2"/>
    <m/>
    <x v="0"/>
    <m/>
    <x v="0"/>
    <s v="P"/>
    <m/>
    <m/>
    <n v="0"/>
    <m/>
    <n v="0"/>
    <m/>
    <n v="1"/>
    <n v="1"/>
    <n v="2"/>
    <n v="0"/>
    <n v="0"/>
    <n v="0"/>
    <n v="0"/>
    <n v="1"/>
    <n v="1"/>
    <n v="2"/>
    <n v="0"/>
    <n v="0"/>
    <n v="0"/>
    <n v="0"/>
    <n v="0"/>
    <n v="0"/>
    <n v="0"/>
    <n v="0"/>
    <n v="0"/>
    <n v="0"/>
    <n v="0"/>
    <n v="0"/>
    <n v="0"/>
    <n v="0"/>
    <n v="0"/>
    <n v="0"/>
    <n v="0"/>
    <n v="0"/>
    <s v="East"/>
    <x v="5"/>
    <x v="0"/>
    <x v="1"/>
    <x v="0"/>
    <x v="0"/>
    <x v="0"/>
    <m/>
    <x v="0"/>
    <s v="Y"/>
    <n v="10"/>
    <m/>
    <n v="0"/>
    <n v="0"/>
    <n v="0"/>
    <n v="0"/>
    <n v="0"/>
    <n v="1.3333333333333333"/>
    <n v="1.3333333333333333"/>
    <n v="1.3333333333333333"/>
    <n v="0"/>
    <n v="0"/>
    <n v="0"/>
    <n v="0"/>
    <n v="0"/>
    <n v="0"/>
    <n v="0"/>
    <n v="0"/>
    <n v="0"/>
    <n v="0"/>
    <n v="0"/>
    <n v="0"/>
    <n v="0"/>
    <n v="1.3333333333333333"/>
    <n v="4"/>
  </r>
  <r>
    <n v="6585"/>
    <x v="4"/>
    <s v="2017/6920"/>
    <m/>
    <s v="10 Sisters Avenue"/>
    <m/>
    <n v="527915"/>
    <n v="175487"/>
    <x v="10"/>
    <m/>
    <m/>
    <n v="1"/>
    <n v="3"/>
    <n v="2"/>
    <n v="5"/>
    <n v="2"/>
    <m/>
    <s v="Alterations including erection of dormer roof extension to the side and rear (with balcony) of the main roof; erection of a part two-storey, part three storey rear extension to lower, ground and first floors and internal alterations in connection with the further conversion of the property from three flats into five flats (1 x 3 bedroom, 2 x 2 bedroom and 2 x 1 bedroom) . Provision of bike and bin store to front garden and replacement of existing windows."/>
    <s v="AF"/>
    <d v="2018-01-08T00:00:00"/>
    <m/>
    <x v="0"/>
    <s v="Nil"/>
    <m/>
    <s v="BF"/>
    <x v="4"/>
    <x v="0"/>
    <x v="10"/>
    <n v="8.9999996125698107E-3"/>
    <m/>
    <x v="0"/>
    <m/>
    <x v="0"/>
    <s v="P"/>
    <m/>
    <m/>
    <n v="0"/>
    <m/>
    <n v="0"/>
    <m/>
    <n v="1"/>
    <n v="1"/>
    <n v="1"/>
    <n v="0"/>
    <n v="-1"/>
    <n v="0"/>
    <n v="0"/>
    <n v="1"/>
    <n v="1"/>
    <n v="1"/>
    <n v="0"/>
    <n v="-1"/>
    <n v="0"/>
    <n v="0"/>
    <n v="0"/>
    <n v="0"/>
    <n v="0"/>
    <n v="0"/>
    <n v="0"/>
    <n v="0"/>
    <n v="0"/>
    <n v="0"/>
    <n v="0"/>
    <n v="0"/>
    <n v="0"/>
    <n v="0"/>
    <n v="0"/>
    <n v="0"/>
    <s v="East"/>
    <x v="0"/>
    <x v="0"/>
    <x v="1"/>
    <x v="0"/>
    <x v="0"/>
    <x v="0"/>
    <m/>
    <x v="0"/>
    <s v="Y"/>
    <n v="10"/>
    <m/>
    <n v="0"/>
    <n v="0"/>
    <n v="0"/>
    <n v="0"/>
    <n v="0"/>
    <n v="0.66666666666666663"/>
    <n v="0.66666666666666663"/>
    <n v="0.66666666666666663"/>
    <n v="0"/>
    <n v="0"/>
    <n v="0"/>
    <n v="0"/>
    <n v="0"/>
    <n v="0"/>
    <n v="0"/>
    <n v="0"/>
    <n v="0"/>
    <n v="0"/>
    <n v="0"/>
    <n v="0"/>
    <n v="0"/>
    <n v="0.66666666666666663"/>
    <n v="2"/>
  </r>
  <r>
    <n v="6585"/>
    <x v="4"/>
    <s v="2017/6920"/>
    <m/>
    <s v="10 Sisters Avenue"/>
    <m/>
    <n v="527915"/>
    <n v="175487"/>
    <x v="10"/>
    <m/>
    <m/>
    <n v="2"/>
    <n v="2"/>
    <n v="0"/>
    <n v="5"/>
    <n v="2"/>
    <m/>
    <s v="Alterations including erection of dormer roof extension to the side and rear (with balcony) of the main roof; erection of a part two-storey, part three storey rear extension to lower, ground and first floors and internal alterations in connection with the further conversion of the property from three flats into five flats (1 x 3 bedroom, 2 x 2 bedroom and 2 x 1 bedroom) . Provision of bike and bin store to front garden and replacement of existing windows."/>
    <s v="AF"/>
    <d v="2018-01-08T00:00:00"/>
    <m/>
    <x v="0"/>
    <s v="Nil"/>
    <m/>
    <s v="BF"/>
    <x v="4"/>
    <x v="0"/>
    <x v="0"/>
    <n v="1.2000000104308101E-2"/>
    <m/>
    <x v="0"/>
    <m/>
    <x v="0"/>
    <s v="P"/>
    <m/>
    <m/>
    <n v="0"/>
    <m/>
    <n v="0"/>
    <m/>
    <n v="0"/>
    <n v="-2"/>
    <n v="1"/>
    <n v="1"/>
    <n v="0"/>
    <n v="0"/>
    <n v="0"/>
    <n v="0"/>
    <n v="-2"/>
    <n v="1"/>
    <n v="1"/>
    <n v="0"/>
    <n v="0"/>
    <n v="0"/>
    <n v="0"/>
    <n v="0"/>
    <n v="0"/>
    <n v="0"/>
    <n v="0"/>
    <n v="0"/>
    <n v="0"/>
    <n v="0"/>
    <n v="0"/>
    <n v="0"/>
    <n v="0"/>
    <n v="0"/>
    <n v="0"/>
    <n v="0"/>
    <s v="East"/>
    <x v="0"/>
    <x v="0"/>
    <x v="1"/>
    <x v="0"/>
    <x v="0"/>
    <x v="0"/>
    <m/>
    <x v="0"/>
    <s v="Y"/>
    <n v="10"/>
    <m/>
    <n v="0"/>
    <n v="0"/>
    <n v="0"/>
    <n v="0"/>
    <n v="0"/>
    <n v="0"/>
    <n v="0"/>
    <n v="0"/>
    <n v="0"/>
    <n v="0"/>
    <n v="0"/>
    <n v="0"/>
    <n v="0"/>
    <n v="0"/>
    <n v="0"/>
    <n v="0"/>
    <n v="0"/>
    <n v="0"/>
    <n v="0"/>
    <n v="0"/>
    <n v="0"/>
    <n v="0"/>
    <n v="0"/>
  </r>
  <r>
    <n v="6587"/>
    <x v="4"/>
    <s v="2017/2138"/>
    <m/>
    <s v="14c, 14c Putney Bridge Road"/>
    <m/>
    <n v="525314"/>
    <n v="174719"/>
    <x v="0"/>
    <m/>
    <m/>
    <n v="0"/>
    <n v="1"/>
    <n v="1"/>
    <n v="1"/>
    <n v="1"/>
    <m/>
    <s v="Use of basement and part ground floor as a self contained flat."/>
    <s v="LDC Exist"/>
    <d v="2017-05-03T00:00:00"/>
    <m/>
    <x v="0"/>
    <s v="Nil"/>
    <m/>
    <s v="BF"/>
    <x v="3"/>
    <x v="0"/>
    <x v="9"/>
    <n v="0"/>
    <m/>
    <x v="0"/>
    <m/>
    <x v="0"/>
    <s v="P"/>
    <m/>
    <m/>
    <n v="0"/>
    <m/>
    <n v="0"/>
    <m/>
    <n v="0"/>
    <n v="1"/>
    <n v="0"/>
    <n v="0"/>
    <n v="0"/>
    <n v="0"/>
    <n v="0"/>
    <n v="0"/>
    <n v="1"/>
    <n v="0"/>
    <n v="0"/>
    <n v="0"/>
    <n v="0"/>
    <n v="0"/>
    <n v="0"/>
    <n v="0"/>
    <n v="0"/>
    <n v="0"/>
    <n v="0"/>
    <n v="0"/>
    <n v="0"/>
    <n v="0"/>
    <n v="0"/>
    <n v="0"/>
    <n v="0"/>
    <n v="0"/>
    <n v="0"/>
    <n v="0"/>
    <s v="West"/>
    <x v="4"/>
    <x v="0"/>
    <x v="0"/>
    <x v="0"/>
    <x v="0"/>
    <x v="0"/>
    <m/>
    <x v="0"/>
    <s v="Y"/>
    <n v="10"/>
    <m/>
    <n v="0"/>
    <n v="0"/>
    <n v="0"/>
    <n v="0"/>
    <n v="0"/>
    <n v="0.33333333333333331"/>
    <n v="0.33333333333333331"/>
    <n v="0.33333333333333331"/>
    <n v="0"/>
    <n v="0"/>
    <n v="0"/>
    <n v="0"/>
    <n v="0"/>
    <n v="0"/>
    <n v="0"/>
    <n v="0"/>
    <n v="0"/>
    <n v="0"/>
    <n v="0"/>
    <n v="0"/>
    <n v="0"/>
    <n v="0.33333333333333331"/>
    <n v="1"/>
  </r>
  <r>
    <n v="6588"/>
    <x v="4"/>
    <s v="2017/1893"/>
    <m/>
    <s v="Inkster House, 1 Ingrave Street"/>
    <m/>
    <n v="527122"/>
    <n v="175837"/>
    <x v="2"/>
    <m/>
    <m/>
    <n v="0"/>
    <n v="5"/>
    <n v="5"/>
    <n v="5"/>
    <n v="5"/>
    <m/>
    <s v="The proposals include re-cladding the tower, new windows throughout, the addition of winter gardens to all existing flats (70No. flats), addition of tower pinnacle, reconfiguration of ground floor entrance and five new flats at ground floor level. (4No. one bedroom flats, and 1No. two bedroom flat)."/>
    <s v="AF"/>
    <d v="2017-03-30T00:00:00"/>
    <m/>
    <x v="0"/>
    <s v="Nil"/>
    <m/>
    <s v="BF"/>
    <x v="0"/>
    <x v="0"/>
    <x v="0"/>
    <n v="0"/>
    <m/>
    <x v="0"/>
    <m/>
    <x v="2"/>
    <s v="C"/>
    <m/>
    <m/>
    <n v="0"/>
    <m/>
    <n v="0"/>
    <m/>
    <n v="0"/>
    <n v="4"/>
    <n v="1"/>
    <n v="0"/>
    <n v="0"/>
    <n v="0"/>
    <n v="0"/>
    <n v="0"/>
    <n v="4"/>
    <n v="1"/>
    <n v="0"/>
    <n v="0"/>
    <n v="0"/>
    <n v="0"/>
    <n v="0"/>
    <n v="0"/>
    <n v="0"/>
    <n v="0"/>
    <n v="0"/>
    <n v="0"/>
    <n v="0"/>
    <n v="0"/>
    <n v="0"/>
    <n v="0"/>
    <n v="0"/>
    <n v="0"/>
    <n v="0"/>
    <n v="0"/>
    <s v="Strategic Planning/Nine Elms"/>
    <x v="0"/>
    <x v="0"/>
    <x v="1"/>
    <x v="1"/>
    <x v="0"/>
    <x v="0"/>
    <m/>
    <x v="0"/>
    <s v="Y"/>
    <n v="6"/>
    <m/>
    <n v="0"/>
    <n v="0"/>
    <n v="0"/>
    <n v="0"/>
    <n v="0"/>
    <n v="1.6666666666666667"/>
    <n v="1.6666666666666667"/>
    <n v="1.6666666666666667"/>
    <n v="0"/>
    <n v="0"/>
    <n v="0"/>
    <n v="0"/>
    <n v="0"/>
    <n v="0"/>
    <n v="0"/>
    <n v="0"/>
    <n v="0"/>
    <n v="0"/>
    <n v="0"/>
    <n v="0"/>
    <n v="0"/>
    <n v="1.6666666666666667"/>
    <n v="5"/>
  </r>
  <r>
    <n v="6613"/>
    <x v="4"/>
    <s v="2017/6931"/>
    <m/>
    <s v="61-64, 61-64 Sefton Street"/>
    <m/>
    <n v="523233"/>
    <n v="176094"/>
    <x v="13"/>
    <m/>
    <m/>
    <n v="0"/>
    <n v="6"/>
    <n v="6"/>
    <n v="6"/>
    <n v="6"/>
    <m/>
    <s v="Demolition of existing buildings and erection of a two-four storey building comprising 105sq.m. ground floor commercial unit (Use Classes A1, A2 or B1), 3 x 1-bedroom and 2 x 2-bedroom flats above with front roof terrace and a two-storey, 3-bedroom mews house at the rear with two parking spaces, refuse and cycle storage."/>
    <s v="AF"/>
    <d v="2017-12-19T00:00:00"/>
    <m/>
    <x v="0"/>
    <s v="Nil"/>
    <m/>
    <s v="BF"/>
    <x v="0"/>
    <x v="0"/>
    <x v="0"/>
    <n v="3.0999999493360499E-2"/>
    <m/>
    <x v="0"/>
    <m/>
    <x v="0"/>
    <s v="P"/>
    <m/>
    <m/>
    <n v="0"/>
    <m/>
    <n v="0"/>
    <m/>
    <n v="0"/>
    <n v="3"/>
    <n v="2"/>
    <n v="1"/>
    <n v="0"/>
    <n v="0"/>
    <n v="0"/>
    <n v="0"/>
    <n v="3"/>
    <n v="2"/>
    <n v="0"/>
    <n v="0"/>
    <n v="0"/>
    <n v="0"/>
    <n v="0"/>
    <n v="0"/>
    <n v="0"/>
    <n v="1"/>
    <n v="0"/>
    <n v="0"/>
    <n v="0"/>
    <n v="0"/>
    <n v="0"/>
    <n v="0"/>
    <n v="0"/>
    <n v="0"/>
    <n v="0"/>
    <n v="0"/>
    <s v="West"/>
    <x v="0"/>
    <x v="0"/>
    <x v="1"/>
    <x v="0"/>
    <x v="0"/>
    <x v="0"/>
    <m/>
    <x v="0"/>
    <s v="Y"/>
    <n v="6"/>
    <m/>
    <n v="0"/>
    <n v="0"/>
    <n v="0"/>
    <n v="0"/>
    <n v="0"/>
    <n v="2"/>
    <n v="2"/>
    <n v="2"/>
    <n v="0"/>
    <n v="0"/>
    <n v="0"/>
    <n v="0"/>
    <n v="0"/>
    <n v="0"/>
    <n v="0"/>
    <n v="0"/>
    <n v="0"/>
    <n v="0"/>
    <n v="0"/>
    <n v="0"/>
    <n v="0"/>
    <n v="2"/>
    <n v="6"/>
  </r>
  <r>
    <n v="6626"/>
    <x v="4"/>
    <s v="2017/5029"/>
    <m/>
    <s v="The Queens Arms P.H, 139 St Philip Street"/>
    <m/>
    <n v="528645"/>
    <n v="175982"/>
    <x v="6"/>
    <m/>
    <m/>
    <n v="0"/>
    <n v="1"/>
    <n v="1"/>
    <n v="1"/>
    <n v="1"/>
    <m/>
    <s v="Demolition of storage facility and erection of 1 x 3-bedroom two-storey (plus basement) house with associated landscaping and refuse and cycle store."/>
    <s v="AF"/>
    <d v="2017-11-03T00:00:00"/>
    <m/>
    <x v="0"/>
    <s v="Nil"/>
    <m/>
    <s v="BF"/>
    <x v="0"/>
    <x v="0"/>
    <x v="0"/>
    <n v="2.4000000208616298E-2"/>
    <m/>
    <x v="0"/>
    <m/>
    <x v="0"/>
    <s v="P"/>
    <m/>
    <m/>
    <n v="0"/>
    <m/>
    <n v="0"/>
    <m/>
    <n v="0"/>
    <n v="0"/>
    <n v="0"/>
    <n v="1"/>
    <n v="0"/>
    <n v="0"/>
    <n v="0"/>
    <n v="0"/>
    <n v="0"/>
    <n v="0"/>
    <n v="0"/>
    <n v="0"/>
    <n v="0"/>
    <n v="0"/>
    <n v="0"/>
    <n v="0"/>
    <n v="0"/>
    <n v="1"/>
    <n v="0"/>
    <n v="0"/>
    <n v="0"/>
    <n v="0"/>
    <n v="0"/>
    <n v="0"/>
    <n v="0"/>
    <n v="0"/>
    <n v="0"/>
    <n v="0"/>
    <s v="East"/>
    <x v="0"/>
    <x v="0"/>
    <x v="1"/>
    <x v="0"/>
    <x v="0"/>
    <x v="0"/>
    <m/>
    <x v="0"/>
    <s v="Y"/>
    <n v="6"/>
    <m/>
    <n v="0"/>
    <n v="0"/>
    <n v="0"/>
    <n v="0"/>
    <n v="0"/>
    <n v="0.33333333333333331"/>
    <n v="0.33333333333333331"/>
    <n v="0.33333333333333331"/>
    <n v="0"/>
    <n v="0"/>
    <n v="0"/>
    <n v="0"/>
    <n v="0"/>
    <n v="0"/>
    <n v="0"/>
    <n v="0"/>
    <n v="0"/>
    <n v="0"/>
    <n v="0"/>
    <n v="0"/>
    <n v="0"/>
    <n v="0.33333333333333331"/>
    <n v="1"/>
  </r>
  <r>
    <n v="6626"/>
    <x v="4"/>
    <s v="2018/0300"/>
    <m/>
    <s v="The Queens Arms P.H, 139 St Philip Street"/>
    <m/>
    <n v="528645"/>
    <n v="175982"/>
    <x v="6"/>
    <m/>
    <m/>
    <n v="2"/>
    <n v="4"/>
    <n v="2"/>
    <n v="5"/>
    <n v="3"/>
    <m/>
    <s v="Use of the basement and ground floors as a public house (Use Class A4), an additional storey through a roof extension to create a 1 x 3-bedroom flat, a two storey side extension at first and second floor levels and conversion of the first and second floors into 4 x 2-bedroom flats."/>
    <s v="AF"/>
    <d v="2018-01-23T00:00:00"/>
    <m/>
    <x v="0"/>
    <s v="Nil"/>
    <m/>
    <s v="BF"/>
    <x v="4"/>
    <x v="0"/>
    <x v="10"/>
    <n v="1.09999999403954E-2"/>
    <m/>
    <x v="0"/>
    <m/>
    <x v="0"/>
    <s v="P"/>
    <m/>
    <m/>
    <n v="0"/>
    <m/>
    <n v="0"/>
    <m/>
    <n v="0"/>
    <n v="0"/>
    <n v="4"/>
    <n v="-2"/>
    <n v="0"/>
    <n v="0"/>
    <n v="0"/>
    <n v="0"/>
    <n v="0"/>
    <n v="4"/>
    <n v="-2"/>
    <n v="0"/>
    <n v="0"/>
    <n v="0"/>
    <n v="0"/>
    <n v="0"/>
    <n v="0"/>
    <n v="0"/>
    <n v="0"/>
    <n v="0"/>
    <n v="0"/>
    <n v="0"/>
    <n v="0"/>
    <n v="0"/>
    <n v="0"/>
    <n v="0"/>
    <n v="0"/>
    <n v="0"/>
    <s v="East"/>
    <x v="0"/>
    <x v="0"/>
    <x v="1"/>
    <x v="0"/>
    <x v="0"/>
    <x v="0"/>
    <m/>
    <x v="0"/>
    <s v="Y"/>
    <n v="10"/>
    <m/>
    <n v="0"/>
    <n v="0"/>
    <n v="0"/>
    <n v="0"/>
    <n v="0"/>
    <n v="0.66666666666666663"/>
    <n v="0.66666666666666663"/>
    <n v="0.66666666666666663"/>
    <n v="0"/>
    <n v="0"/>
    <n v="0"/>
    <n v="0"/>
    <n v="0"/>
    <n v="0"/>
    <n v="0"/>
    <n v="0"/>
    <n v="0"/>
    <n v="0"/>
    <n v="0"/>
    <n v="0"/>
    <n v="0"/>
    <n v="0.66666666666666663"/>
    <n v="2"/>
  </r>
  <r>
    <n v="6626"/>
    <x v="4"/>
    <s v="2018/0300"/>
    <m/>
    <s v="The Queens Arms P.H, 139 St Philip Street"/>
    <m/>
    <n v="528645"/>
    <n v="175982"/>
    <x v="6"/>
    <m/>
    <m/>
    <n v="0"/>
    <n v="1"/>
    <n v="1"/>
    <n v="5"/>
    <n v="3"/>
    <m/>
    <s v="Use of the basement and ground floors as a public house (Use Class A4), an additional storey through a roof extension to create a 1 x 3-bedroom flat, a two storey side extension at first and second floor levels and conversion of the first and second floors into 4 x 2-bedroom flats."/>
    <s v="AF"/>
    <d v="2018-01-23T00:00:00"/>
    <m/>
    <x v="0"/>
    <s v="Nil"/>
    <m/>
    <s v="BF"/>
    <x v="4"/>
    <x v="0"/>
    <x v="0"/>
    <n v="3.0000000260770299E-3"/>
    <m/>
    <x v="0"/>
    <m/>
    <x v="0"/>
    <s v="P"/>
    <m/>
    <m/>
    <n v="0"/>
    <m/>
    <n v="0"/>
    <m/>
    <n v="0"/>
    <n v="0"/>
    <n v="0"/>
    <n v="1"/>
    <n v="0"/>
    <n v="0"/>
    <n v="0"/>
    <n v="0"/>
    <n v="0"/>
    <n v="0"/>
    <n v="1"/>
    <n v="0"/>
    <n v="0"/>
    <n v="0"/>
    <n v="0"/>
    <n v="0"/>
    <n v="0"/>
    <n v="0"/>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629"/>
    <x v="4"/>
    <s v="2018/1083"/>
    <m/>
    <s v="98A,B &amp; C, 98 Pirbright Road"/>
    <m/>
    <n v="525145"/>
    <n v="173406"/>
    <x v="5"/>
    <m/>
    <m/>
    <n v="1"/>
    <n v="2"/>
    <n v="1"/>
    <n v="2"/>
    <n v="1"/>
    <m/>
    <s v="Demolition of existing single storey dwelling and erection of 2  x 3-bedroom two-storey plus basement houses with associated bin storage."/>
    <s v="AF"/>
    <d v="2018-03-09T00:00:00"/>
    <m/>
    <x v="0"/>
    <s v="Nil"/>
    <m/>
    <s v="BF"/>
    <x v="0"/>
    <x v="0"/>
    <x v="0"/>
    <n v="1.4000000432133701E-2"/>
    <m/>
    <x v="0"/>
    <m/>
    <x v="0"/>
    <s v="P"/>
    <m/>
    <m/>
    <n v="0"/>
    <n v="2"/>
    <n v="0"/>
    <m/>
    <n v="0"/>
    <n v="-1"/>
    <n v="0"/>
    <n v="2"/>
    <n v="0"/>
    <n v="0"/>
    <n v="0"/>
    <n v="0"/>
    <n v="-1"/>
    <n v="0"/>
    <n v="0"/>
    <n v="0"/>
    <n v="0"/>
    <n v="0"/>
    <n v="0"/>
    <n v="0"/>
    <n v="0"/>
    <n v="2"/>
    <n v="0"/>
    <n v="0"/>
    <n v="0"/>
    <n v="0"/>
    <n v="0"/>
    <n v="0"/>
    <n v="0"/>
    <n v="0"/>
    <n v="0"/>
    <n v="0"/>
    <s v="West"/>
    <x v="0"/>
    <x v="0"/>
    <x v="1"/>
    <x v="0"/>
    <x v="0"/>
    <x v="0"/>
    <m/>
    <x v="0"/>
    <s v="Y"/>
    <n v="6"/>
    <m/>
    <n v="0"/>
    <n v="0"/>
    <n v="0"/>
    <n v="0"/>
    <n v="0"/>
    <n v="0.33333333333333331"/>
    <n v="0.33333333333333331"/>
    <n v="0.33333333333333331"/>
    <n v="0"/>
    <n v="0"/>
    <n v="0"/>
    <n v="0"/>
    <n v="0"/>
    <n v="0"/>
    <n v="0"/>
    <n v="0"/>
    <n v="0"/>
    <n v="0"/>
    <n v="0"/>
    <n v="0"/>
    <n v="0"/>
    <n v="0.33333333333333331"/>
    <n v="1"/>
  </r>
  <r>
    <n v="6632"/>
    <x v="4"/>
    <s v="2018/1626"/>
    <m/>
    <s v="Newlands Terrace, 167 Queenstown Road"/>
    <s v="Extension to existing"/>
    <n v="528637"/>
    <n v="176365"/>
    <x v="6"/>
    <m/>
    <m/>
    <n v="0"/>
    <n v="1"/>
    <n v="1"/>
    <n v="1"/>
    <n v="1"/>
    <m/>
    <s v="Alterations including erection of mansard roof extension to main rear roof and over rear outrigger along with the formation of a terrace area with 1.7m high screen surround in connection with creation of new 1 x 2-bedroom self-contained flat."/>
    <s v="AF"/>
    <d v="2018-03-29T00:00:00"/>
    <m/>
    <x v="0"/>
    <s v="Nil"/>
    <m/>
    <s v="BF"/>
    <x v="2"/>
    <x v="0"/>
    <x v="3"/>
    <n v="3.0000000260770299E-3"/>
    <m/>
    <x v="0"/>
    <m/>
    <x v="0"/>
    <s v="P"/>
    <m/>
    <m/>
    <n v="0"/>
    <m/>
    <n v="0"/>
    <m/>
    <n v="0"/>
    <n v="0"/>
    <n v="1"/>
    <n v="0"/>
    <n v="0"/>
    <n v="0"/>
    <n v="0"/>
    <n v="0"/>
    <n v="0"/>
    <n v="1"/>
    <n v="0"/>
    <n v="0"/>
    <n v="0"/>
    <n v="0"/>
    <n v="0"/>
    <n v="0"/>
    <n v="0"/>
    <n v="0"/>
    <n v="0"/>
    <n v="0"/>
    <n v="0"/>
    <n v="0"/>
    <n v="0"/>
    <n v="0"/>
    <n v="0"/>
    <n v="0"/>
    <n v="0"/>
    <n v="0"/>
    <s v="East"/>
    <x v="0"/>
    <x v="0"/>
    <x v="1"/>
    <x v="0"/>
    <x v="0"/>
    <x v="0"/>
    <m/>
    <x v="0"/>
    <s v="N"/>
    <n v="15"/>
    <s v="2017/3427 used for phasing"/>
    <n v="0"/>
    <n v="0"/>
    <n v="0"/>
    <n v="0"/>
    <n v="0"/>
    <n v="0"/>
    <n v="0"/>
    <n v="0"/>
    <n v="0"/>
    <n v="0"/>
    <n v="0"/>
    <n v="0"/>
    <n v="0"/>
    <n v="0"/>
    <n v="0"/>
    <n v="0"/>
    <n v="0"/>
    <n v="0"/>
    <n v="0"/>
    <n v="0"/>
    <n v="0"/>
    <n v="0"/>
    <n v="0"/>
  </r>
  <r>
    <n v="6633"/>
    <x v="4"/>
    <s v="2018/0494"/>
    <m/>
    <s v="1, 2 and 3 Crosland Place, Taybridge Road"/>
    <m/>
    <n v="528446"/>
    <n v="175694"/>
    <x v="10"/>
    <m/>
    <m/>
    <n v="0"/>
    <n v="9"/>
    <n v="9"/>
    <n v="9"/>
    <n v="9"/>
    <m/>
    <s v="Demolition of existing part single/part two storey building (B1 Use Class and ancillary residential accommodation) and the erection of a part one/part two/part three storey building in connection with creation of 1 x 3-bedroom, 7 x 2-bedroom and 1 x 1-bedroom flats with associated cycle and refuse storage."/>
    <s v="AF"/>
    <d v="2018-01-29T00:00:00"/>
    <m/>
    <x v="0"/>
    <s v="Nil"/>
    <m/>
    <s v="BF"/>
    <x v="0"/>
    <x v="0"/>
    <x v="0"/>
    <n v="9.4999998807907104E-2"/>
    <m/>
    <x v="0"/>
    <m/>
    <x v="0"/>
    <s v="P"/>
    <m/>
    <m/>
    <n v="0"/>
    <m/>
    <n v="0"/>
    <n v="1"/>
    <n v="0"/>
    <n v="1"/>
    <n v="7"/>
    <n v="1"/>
    <n v="0"/>
    <n v="0"/>
    <n v="0"/>
    <n v="0"/>
    <n v="1"/>
    <n v="7"/>
    <n v="1"/>
    <n v="0"/>
    <n v="0"/>
    <n v="0"/>
    <n v="0"/>
    <n v="0"/>
    <n v="0"/>
    <n v="0"/>
    <n v="0"/>
    <n v="0"/>
    <n v="0"/>
    <n v="0"/>
    <n v="0"/>
    <n v="0"/>
    <n v="0"/>
    <n v="0"/>
    <n v="0"/>
    <n v="0"/>
    <s v="East"/>
    <x v="0"/>
    <x v="0"/>
    <x v="1"/>
    <x v="0"/>
    <x v="0"/>
    <x v="0"/>
    <m/>
    <x v="0"/>
    <s v="Y"/>
    <n v="6"/>
    <m/>
    <n v="0"/>
    <n v="0"/>
    <n v="0"/>
    <n v="0"/>
    <n v="0"/>
    <n v="3"/>
    <n v="3"/>
    <n v="3"/>
    <n v="0"/>
    <n v="0"/>
    <n v="0"/>
    <n v="0"/>
    <n v="0"/>
    <n v="0"/>
    <n v="0"/>
    <n v="0"/>
    <n v="0"/>
    <n v="0"/>
    <n v="0"/>
    <n v="0"/>
    <n v="0"/>
    <n v="3"/>
    <n v="9"/>
  </r>
  <r>
    <n v="6641"/>
    <x v="4"/>
    <s v="2017/3174"/>
    <m/>
    <s v="77a, 77a Oakmead Road"/>
    <m/>
    <n v="528463"/>
    <n v="173116"/>
    <x v="11"/>
    <m/>
    <m/>
    <n v="0"/>
    <n v="1"/>
    <n v="1"/>
    <n v="1"/>
    <n v="1"/>
    <m/>
    <s v="Alterations in connection with the creation of a 1x1-bedroom flat including erection of mansard roof extension to main rear roof including extension above part of two-storey back addition; formation of roof terrace above two-storey back addition with screen surround. Insertion of rooflights to front roofslope and removal for rear chimneys."/>
    <s v="RP"/>
    <d v="2017-07-05T00:00:00"/>
    <d v="2017-08-30T00:00:00"/>
    <x v="1"/>
    <s v="APP"/>
    <m/>
    <s v="BF"/>
    <x v="2"/>
    <x v="0"/>
    <x v="3"/>
    <n v="4.9999998882412902E-3"/>
    <m/>
    <x v="0"/>
    <m/>
    <x v="0"/>
    <s v="P"/>
    <m/>
    <m/>
    <n v="0"/>
    <m/>
    <n v="0"/>
    <m/>
    <n v="0"/>
    <n v="1"/>
    <n v="0"/>
    <n v="0"/>
    <n v="0"/>
    <n v="0"/>
    <n v="0"/>
    <n v="0"/>
    <n v="1"/>
    <n v="0"/>
    <n v="0"/>
    <n v="0"/>
    <n v="0"/>
    <n v="0"/>
    <n v="0"/>
    <n v="0"/>
    <n v="0"/>
    <n v="0"/>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653"/>
    <x v="4"/>
    <s v="2018/0135"/>
    <m/>
    <s v="83 Garratt Terrace"/>
    <m/>
    <n v="527197"/>
    <n v="171575"/>
    <x v="4"/>
    <m/>
    <m/>
    <n v="1"/>
    <n v="4"/>
    <n v="3"/>
    <n v="4"/>
    <n v="3"/>
    <m/>
    <s v="Alterations in connection with creation of 1 x 3-bedroom, 1 x 2-bedroom and 2 x 1-bedroom flats."/>
    <s v="AF"/>
    <d v="2018-01-18T00:00:00"/>
    <m/>
    <x v="0"/>
    <s v="Nil"/>
    <m/>
    <s v="BF"/>
    <x v="1"/>
    <x v="0"/>
    <x v="8"/>
    <n v="2.0999999716877899E-2"/>
    <m/>
    <x v="0"/>
    <m/>
    <x v="0"/>
    <s v="P"/>
    <m/>
    <m/>
    <n v="0"/>
    <m/>
    <n v="0"/>
    <m/>
    <n v="0"/>
    <n v="2"/>
    <n v="1"/>
    <n v="1"/>
    <n v="0"/>
    <n v="-1"/>
    <n v="0"/>
    <n v="0"/>
    <n v="2"/>
    <n v="1"/>
    <n v="1"/>
    <n v="0"/>
    <n v="0"/>
    <n v="0"/>
    <n v="0"/>
    <n v="0"/>
    <n v="0"/>
    <n v="0"/>
    <n v="0"/>
    <n v="-1"/>
    <n v="0"/>
    <n v="0"/>
    <n v="0"/>
    <n v="0"/>
    <n v="0"/>
    <n v="0"/>
    <n v="0"/>
    <n v="0"/>
    <s v="East"/>
    <x v="0"/>
    <x v="0"/>
    <x v="1"/>
    <x v="0"/>
    <x v="0"/>
    <x v="0"/>
    <m/>
    <x v="0"/>
    <s v="N"/>
    <n v="15"/>
    <s v="2017/5060 used for phasing"/>
    <n v="0"/>
    <n v="0"/>
    <n v="0"/>
    <n v="0"/>
    <n v="0"/>
    <n v="0"/>
    <n v="0"/>
    <n v="0"/>
    <n v="0"/>
    <n v="0"/>
    <n v="0"/>
    <n v="0"/>
    <n v="0"/>
    <n v="0"/>
    <n v="0"/>
    <n v="0"/>
    <n v="0"/>
    <n v="0"/>
    <n v="0"/>
    <n v="0"/>
    <n v="0"/>
    <n v="0"/>
    <n v="0"/>
  </r>
  <r>
    <n v="6657"/>
    <x v="4"/>
    <s v="2017/4141"/>
    <s v="Garratt Lane and Atheldene Regenration Site"/>
    <s v="Brocklebank Health Centre, 249 Garratt Lane (more - see other comments, 229-247 Garratt Lane"/>
    <m/>
    <n v="525999"/>
    <n v="173647"/>
    <x v="18"/>
    <m/>
    <m/>
    <n v="0"/>
    <n v="0"/>
    <n v="0"/>
    <n v="0"/>
    <n v="0"/>
    <m/>
    <s v="Demolition of existing buildings and erection of a mixed use development providing a total of 190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AF"/>
    <d v="2017-07-27T00:00:00"/>
    <m/>
    <x v="0"/>
    <s v="Nil"/>
    <m/>
    <s v="BF"/>
    <x v="0"/>
    <x v="1"/>
    <x v="1"/>
    <n v="0"/>
    <m/>
    <x v="0"/>
    <m/>
    <x v="0"/>
    <s v="P"/>
    <m/>
    <m/>
    <n v="0"/>
    <m/>
    <n v="0"/>
    <m/>
    <n v="0"/>
    <n v="0"/>
    <n v="0"/>
    <n v="0"/>
    <n v="0"/>
    <n v="0"/>
    <n v="0"/>
    <n v="0"/>
    <n v="0"/>
    <n v="0"/>
    <n v="0"/>
    <n v="0"/>
    <n v="0"/>
    <n v="0"/>
    <n v="0"/>
    <n v="0"/>
    <n v="0"/>
    <n v="0"/>
    <n v="0"/>
    <n v="0"/>
    <n v="0"/>
    <n v="0"/>
    <n v="0"/>
    <n v="0"/>
    <n v="0"/>
    <n v="0"/>
    <n v="0"/>
    <n v="0"/>
    <s v="West"/>
    <x v="0"/>
    <x v="0"/>
    <x v="1"/>
    <x v="0"/>
    <x v="0"/>
    <x v="0"/>
    <m/>
    <x v="0"/>
    <s v="Y"/>
    <n v="6"/>
    <m/>
    <n v="0"/>
    <n v="0"/>
    <n v="0"/>
    <n v="0"/>
    <n v="0"/>
    <n v="0"/>
    <n v="0"/>
    <n v="0"/>
    <n v="0"/>
    <n v="0"/>
    <n v="0"/>
    <n v="0"/>
    <n v="0"/>
    <n v="0"/>
    <n v="0"/>
    <n v="0"/>
    <n v="0"/>
    <n v="0"/>
    <n v="0"/>
    <n v="0"/>
    <n v="0"/>
    <n v="0"/>
    <n v="0"/>
  </r>
  <r>
    <n v="6657"/>
    <x v="4"/>
    <s v="2017/4141"/>
    <s v="Garratt Lane and Atheldene Regenration Site"/>
    <s v="Brocklebank Health Centre, 249 Garratt Lane (more - see other comments, 229-247 Garratt Lane"/>
    <m/>
    <n v="525999"/>
    <n v="173647"/>
    <x v="18"/>
    <m/>
    <m/>
    <n v="0"/>
    <n v="0"/>
    <n v="0"/>
    <n v="0"/>
    <n v="0"/>
    <m/>
    <s v="Demolition of existing buildings and erection of a mixed use development providing a total of 190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AF"/>
    <d v="2017-07-27T00:00:00"/>
    <m/>
    <x v="0"/>
    <s v="Nil"/>
    <m/>
    <s v="BF"/>
    <x v="0"/>
    <x v="1"/>
    <x v="1"/>
    <n v="0"/>
    <m/>
    <x v="0"/>
    <m/>
    <x v="2"/>
    <s v="HAAR"/>
    <m/>
    <m/>
    <n v="0"/>
    <m/>
    <n v="0"/>
    <m/>
    <n v="0"/>
    <n v="0"/>
    <n v="0"/>
    <n v="0"/>
    <n v="0"/>
    <n v="0"/>
    <n v="0"/>
    <n v="0"/>
    <n v="0"/>
    <n v="0"/>
    <n v="0"/>
    <n v="0"/>
    <n v="0"/>
    <n v="0"/>
    <n v="0"/>
    <n v="0"/>
    <n v="0"/>
    <n v="0"/>
    <n v="0"/>
    <n v="0"/>
    <n v="0"/>
    <n v="0"/>
    <n v="0"/>
    <n v="0"/>
    <n v="0"/>
    <n v="0"/>
    <n v="0"/>
    <n v="0"/>
    <s v="West"/>
    <x v="0"/>
    <x v="0"/>
    <x v="1"/>
    <x v="0"/>
    <x v="0"/>
    <x v="0"/>
    <m/>
    <x v="0"/>
    <s v="Y"/>
    <n v="6"/>
    <m/>
    <n v="0"/>
    <n v="0"/>
    <n v="0"/>
    <n v="0"/>
    <n v="0"/>
    <n v="0"/>
    <n v="0"/>
    <n v="0"/>
    <n v="0"/>
    <n v="0"/>
    <n v="0"/>
    <n v="0"/>
    <n v="0"/>
    <n v="0"/>
    <n v="0"/>
    <n v="0"/>
    <n v="0"/>
    <n v="0"/>
    <n v="0"/>
    <n v="0"/>
    <n v="0"/>
    <n v="0"/>
    <n v="0"/>
  </r>
  <r>
    <n v="6658"/>
    <x v="4"/>
    <s v="2017/4187"/>
    <m/>
    <s v="286-288 Queenstown Road"/>
    <m/>
    <n v="528711"/>
    <n v="176946"/>
    <x v="6"/>
    <m/>
    <m/>
    <n v="6"/>
    <n v="8"/>
    <n v="2"/>
    <n v="8"/>
    <n v="2"/>
    <m/>
    <s v="Rear extension and loft conversion to the adjoining properties at No.286 and No.288 to create two additional flats. The existing six flats within the building will be reconfigured to comply with National Standards."/>
    <s v="AF"/>
    <d v="2017-07-26T00:00:00"/>
    <m/>
    <x v="0"/>
    <s v="Nil"/>
    <m/>
    <s v="BF"/>
    <x v="4"/>
    <x v="0"/>
    <x v="10"/>
    <n v="2.3000000044703501E-2"/>
    <m/>
    <x v="0"/>
    <m/>
    <x v="0"/>
    <s v="P"/>
    <m/>
    <m/>
    <n v="0"/>
    <m/>
    <n v="0"/>
    <m/>
    <n v="1"/>
    <n v="0"/>
    <n v="3"/>
    <n v="-2"/>
    <n v="0"/>
    <n v="0"/>
    <n v="0"/>
    <n v="1"/>
    <n v="0"/>
    <n v="3"/>
    <n v="-2"/>
    <n v="0"/>
    <n v="0"/>
    <n v="0"/>
    <n v="0"/>
    <n v="0"/>
    <n v="0"/>
    <n v="0"/>
    <n v="0"/>
    <n v="0"/>
    <n v="0"/>
    <n v="0"/>
    <n v="0"/>
    <n v="0"/>
    <n v="0"/>
    <n v="0"/>
    <n v="0"/>
    <n v="0"/>
    <s v="Strategic Planning/Nine Elms"/>
    <x v="0"/>
    <x v="1"/>
    <x v="1"/>
    <x v="0"/>
    <x v="0"/>
    <x v="0"/>
    <m/>
    <x v="0"/>
    <s v="Y"/>
    <n v="10"/>
    <m/>
    <n v="0"/>
    <n v="0"/>
    <n v="0"/>
    <n v="0"/>
    <n v="0"/>
    <n v="0.66666666666666663"/>
    <n v="0.66666666666666663"/>
    <n v="0.66666666666666663"/>
    <n v="0"/>
    <n v="0"/>
    <n v="0"/>
    <n v="0"/>
    <n v="0"/>
    <n v="0"/>
    <n v="0"/>
    <n v="0"/>
    <n v="0"/>
    <n v="0"/>
    <n v="0"/>
    <n v="0"/>
    <n v="0"/>
    <n v="0.66666666666666663"/>
    <n v="2"/>
  </r>
  <r>
    <n v="6669"/>
    <x v="4"/>
    <s v="2018/1219"/>
    <m/>
    <s v="Car storage site rear of, 1 Kenlor Road"/>
    <m/>
    <n v="527101"/>
    <n v="170989"/>
    <x v="4"/>
    <m/>
    <m/>
    <n v="0"/>
    <n v="1"/>
    <n v="1"/>
    <n v="1"/>
    <n v="1"/>
    <m/>
    <s v="Demolition of existing single storey building and the erection of a single-storey one bedroom detached house."/>
    <s v="AF"/>
    <d v="2018-03-15T00:00:00"/>
    <m/>
    <x v="0"/>
    <s v="Nil"/>
    <m/>
    <s v="BF"/>
    <x v="0"/>
    <x v="0"/>
    <x v="0"/>
    <n v="7.0000002160668399E-3"/>
    <m/>
    <x v="0"/>
    <m/>
    <x v="0"/>
    <s v="P"/>
    <m/>
    <m/>
    <n v="0"/>
    <m/>
    <n v="0"/>
    <m/>
    <n v="0"/>
    <n v="1"/>
    <n v="0"/>
    <n v="0"/>
    <n v="0"/>
    <n v="0"/>
    <n v="0"/>
    <n v="0"/>
    <n v="0"/>
    <n v="0"/>
    <n v="0"/>
    <n v="0"/>
    <n v="0"/>
    <n v="0"/>
    <n v="0"/>
    <n v="1"/>
    <n v="0"/>
    <n v="0"/>
    <n v="0"/>
    <n v="0"/>
    <n v="0"/>
    <n v="0"/>
    <n v="0"/>
    <n v="0"/>
    <n v="0"/>
    <n v="0"/>
    <n v="0"/>
    <n v="0"/>
    <s v="East"/>
    <x v="0"/>
    <x v="0"/>
    <x v="1"/>
    <x v="0"/>
    <x v="0"/>
    <x v="0"/>
    <m/>
    <x v="0"/>
    <s v="Y"/>
    <n v="6"/>
    <m/>
    <n v="0"/>
    <n v="0"/>
    <n v="0"/>
    <n v="0"/>
    <n v="0"/>
    <n v="0.33333333333333331"/>
    <n v="0.33333333333333331"/>
    <n v="0.33333333333333331"/>
    <n v="0"/>
    <n v="0"/>
    <n v="0"/>
    <n v="0"/>
    <n v="0"/>
    <n v="0"/>
    <n v="0"/>
    <n v="0"/>
    <n v="0"/>
    <n v="0"/>
    <n v="0"/>
    <n v="0"/>
    <n v="0"/>
    <n v="0.33333333333333331"/>
    <n v="1"/>
  </r>
  <r>
    <n v="6694"/>
    <x v="4"/>
    <s v="2017/4844"/>
    <m/>
    <s v="189d, 189d Balham High Road"/>
    <m/>
    <n v="528424"/>
    <n v="173046"/>
    <x v="3"/>
    <m/>
    <m/>
    <n v="0"/>
    <n v="8"/>
    <n v="8"/>
    <n v="8"/>
    <n v="8"/>
    <m/>
    <s v="Demolition of existing garages and erection of 8 x three-storey, 3-bedroom houses and associated landscaping, cycle storage, carparking and refuse stores."/>
    <s v="RP"/>
    <d v="2017-08-31T00:00:00"/>
    <d v="2017-11-24T00:00:00"/>
    <x v="1"/>
    <s v="APP"/>
    <m/>
    <s v="BF"/>
    <x v="0"/>
    <x v="0"/>
    <x v="0"/>
    <n v="0.103000000119209"/>
    <m/>
    <x v="0"/>
    <m/>
    <x v="0"/>
    <s v="P"/>
    <m/>
    <m/>
    <n v="0"/>
    <m/>
    <n v="0"/>
    <m/>
    <n v="0"/>
    <n v="0"/>
    <n v="0"/>
    <n v="8"/>
    <n v="0"/>
    <n v="0"/>
    <n v="0"/>
    <n v="0"/>
    <n v="0"/>
    <n v="0"/>
    <n v="0"/>
    <n v="0"/>
    <n v="0"/>
    <n v="0"/>
    <n v="0"/>
    <n v="0"/>
    <n v="0"/>
    <n v="8"/>
    <n v="0"/>
    <n v="0"/>
    <n v="0"/>
    <n v="0"/>
    <n v="0"/>
    <n v="0"/>
    <n v="0"/>
    <n v="0"/>
    <n v="0"/>
    <n v="0"/>
    <s v="East"/>
    <x v="0"/>
    <x v="0"/>
    <x v="1"/>
    <x v="0"/>
    <x v="0"/>
    <x v="0"/>
    <m/>
    <x v="0"/>
    <s v="Y"/>
    <n v="6"/>
    <m/>
    <n v="0"/>
    <n v="0"/>
    <n v="0"/>
    <n v="0"/>
    <n v="0"/>
    <n v="2.6666666666666665"/>
    <n v="2.6666666666666665"/>
    <n v="2.6666666666666665"/>
    <n v="0"/>
    <n v="0"/>
    <n v="0"/>
    <n v="0"/>
    <n v="0"/>
    <n v="0"/>
    <n v="0"/>
    <n v="0"/>
    <n v="0"/>
    <n v="0"/>
    <n v="0"/>
    <n v="0"/>
    <n v="0"/>
    <n v="2.6666666666666665"/>
    <n v="8"/>
  </r>
  <r>
    <n v="6702"/>
    <x v="4"/>
    <s v="2018/1408"/>
    <m/>
    <s v="29 Rush Hill Road"/>
    <m/>
    <n v="528318"/>
    <n v="175609"/>
    <x v="10"/>
    <m/>
    <m/>
    <n v="1"/>
    <n v="2"/>
    <n v="1"/>
    <n v="2"/>
    <n v="1"/>
    <m/>
    <s v="Erection of an additional floor above existing roof and conversion of upper flat to create a 1 x1-bedroom flat and 1 x2-bedroom flats."/>
    <s v="AF"/>
    <d v="2018-03-29T00:00:00"/>
    <m/>
    <x v="0"/>
    <s v="Nil"/>
    <m/>
    <s v="BF"/>
    <x v="1"/>
    <x v="0"/>
    <x v="10"/>
    <n v="2.19999998807907E-2"/>
    <m/>
    <x v="0"/>
    <m/>
    <x v="0"/>
    <s v="P"/>
    <m/>
    <m/>
    <n v="0"/>
    <m/>
    <n v="0"/>
    <m/>
    <n v="0"/>
    <n v="1"/>
    <n v="1"/>
    <n v="-1"/>
    <n v="0"/>
    <n v="0"/>
    <n v="0"/>
    <n v="0"/>
    <n v="1"/>
    <n v="1"/>
    <n v="-1"/>
    <n v="0"/>
    <n v="0"/>
    <n v="0"/>
    <n v="0"/>
    <n v="0"/>
    <n v="0"/>
    <n v="0"/>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706"/>
    <x v="4"/>
    <s v="2017/3317"/>
    <m/>
    <s v="1083-1085, 1083-1085 Garratt Lane"/>
    <m/>
    <n v="527445"/>
    <n v="171523"/>
    <x v="4"/>
    <m/>
    <m/>
    <n v="0"/>
    <n v="3"/>
    <n v="3"/>
    <n v="3"/>
    <n v="3"/>
    <m/>
    <s v="Erection of part two, part three storey extension and dormer roof extension to the front of the existing building to create an additional storey of residential accommodation to provide additional units (1 x 1-bedroom flat and  2 x studios) with associated cycle and refuse storage at ground floor level."/>
    <s v="AF"/>
    <d v="2017-10-13T00:00:00"/>
    <m/>
    <x v="0"/>
    <s v="Nil"/>
    <m/>
    <s v="BF"/>
    <x v="4"/>
    <x v="0"/>
    <x v="0"/>
    <n v="1.2000000104308101E-2"/>
    <m/>
    <x v="0"/>
    <m/>
    <x v="0"/>
    <s v="P"/>
    <m/>
    <m/>
    <n v="0"/>
    <m/>
    <n v="0"/>
    <m/>
    <n v="2"/>
    <n v="1"/>
    <n v="0"/>
    <n v="0"/>
    <n v="0"/>
    <n v="0"/>
    <n v="0"/>
    <n v="2"/>
    <n v="1"/>
    <n v="0"/>
    <n v="0"/>
    <n v="0"/>
    <n v="0"/>
    <n v="0"/>
    <n v="0"/>
    <n v="0"/>
    <n v="0"/>
    <n v="0"/>
    <n v="0"/>
    <n v="0"/>
    <n v="0"/>
    <n v="0"/>
    <n v="0"/>
    <n v="0"/>
    <n v="0"/>
    <n v="0"/>
    <n v="0"/>
    <n v="0"/>
    <s v="East"/>
    <x v="1"/>
    <x v="0"/>
    <x v="1"/>
    <x v="0"/>
    <x v="0"/>
    <x v="0"/>
    <m/>
    <x v="0"/>
    <s v="Y"/>
    <n v="10"/>
    <m/>
    <n v="0"/>
    <n v="0"/>
    <n v="0"/>
    <n v="0"/>
    <n v="0"/>
    <n v="1"/>
    <n v="1"/>
    <n v="1"/>
    <n v="0"/>
    <n v="0"/>
    <n v="0"/>
    <n v="0"/>
    <n v="0"/>
    <n v="0"/>
    <n v="0"/>
    <n v="0"/>
    <n v="0"/>
    <n v="0"/>
    <n v="0"/>
    <n v="0"/>
    <n v="0"/>
    <n v="1"/>
    <n v="3"/>
  </r>
  <r>
    <n v="6708"/>
    <x v="4"/>
    <s v="2018/0419"/>
    <m/>
    <s v="17 Chetwode Road"/>
    <m/>
    <n v="528037"/>
    <n v="172489"/>
    <x v="11"/>
    <m/>
    <m/>
    <n v="1"/>
    <n v="2"/>
    <n v="1"/>
    <n v="2"/>
    <n v="1"/>
    <m/>
    <s v="Use of existing building as two self-contained flats Class C3 (residential)"/>
    <s v="LDC"/>
    <d v="2018-02-16T00:00:00"/>
    <m/>
    <x v="0"/>
    <s v="Nil"/>
    <m/>
    <s v="BF"/>
    <x v="1"/>
    <x v="0"/>
    <x v="8"/>
    <n v="1.4000000432133701E-2"/>
    <m/>
    <x v="0"/>
    <m/>
    <x v="0"/>
    <s v="P"/>
    <m/>
    <m/>
    <n v="0"/>
    <m/>
    <n v="0"/>
    <m/>
    <n v="0"/>
    <n v="2"/>
    <n v="0"/>
    <n v="-1"/>
    <n v="0"/>
    <n v="0"/>
    <n v="0"/>
    <n v="0"/>
    <n v="2"/>
    <n v="0"/>
    <n v="0"/>
    <n v="0"/>
    <n v="0"/>
    <n v="0"/>
    <n v="0"/>
    <n v="0"/>
    <n v="0"/>
    <n v="-1"/>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714"/>
    <x v="4"/>
    <s v="2017/5043"/>
    <m/>
    <s v="13 Upper Tooting Road"/>
    <m/>
    <n v="527984"/>
    <n v="172301"/>
    <x v="3"/>
    <m/>
    <m/>
    <n v="1"/>
    <n v="4"/>
    <n v="3"/>
    <n v="4"/>
    <n v="3"/>
    <m/>
    <s v="Alterations including erection of mansard roof extension to main rear roof and roof extension above three-storey back addition and the erection of a part single, part three storey rear extension in connection with conversion of upper floors to 4 x 1-bedroom flats; alterations to existing shopfront and excavation works to create basement to ground floor commercial unit in connection with change of use from retail (Class A1) to restaurant (Class A3)."/>
    <s v="AF"/>
    <d v="2017-09-28T00:00:00"/>
    <m/>
    <x v="0"/>
    <s v="Nil"/>
    <m/>
    <s v="BF"/>
    <x v="4"/>
    <x v="0"/>
    <x v="10"/>
    <n v="6.0000000521540598E-3"/>
    <m/>
    <x v="0"/>
    <m/>
    <x v="0"/>
    <s v="P"/>
    <m/>
    <m/>
    <n v="0"/>
    <m/>
    <n v="0"/>
    <m/>
    <n v="1"/>
    <n v="3"/>
    <n v="0"/>
    <n v="-1"/>
    <n v="0"/>
    <n v="0"/>
    <n v="0"/>
    <n v="1"/>
    <n v="3"/>
    <n v="0"/>
    <n v="-1"/>
    <n v="0"/>
    <n v="0"/>
    <n v="0"/>
    <n v="0"/>
    <n v="0"/>
    <n v="0"/>
    <n v="0"/>
    <n v="0"/>
    <n v="0"/>
    <n v="0"/>
    <n v="0"/>
    <n v="0"/>
    <n v="0"/>
    <n v="0"/>
    <n v="0"/>
    <n v="0"/>
    <n v="0"/>
    <s v="East"/>
    <x v="0"/>
    <x v="0"/>
    <x v="1"/>
    <x v="0"/>
    <x v="0"/>
    <x v="0"/>
    <m/>
    <x v="0"/>
    <s v="Y"/>
    <n v="10"/>
    <m/>
    <n v="0"/>
    <n v="0"/>
    <n v="0"/>
    <n v="0"/>
    <n v="0"/>
    <n v="1"/>
    <n v="1"/>
    <n v="1"/>
    <n v="0"/>
    <n v="0"/>
    <n v="0"/>
    <n v="0"/>
    <n v="0"/>
    <n v="0"/>
    <n v="0"/>
    <n v="0"/>
    <n v="0"/>
    <n v="0"/>
    <n v="0"/>
    <n v="0"/>
    <n v="0"/>
    <n v="1"/>
    <n v="3"/>
  </r>
  <r>
    <n v="6715"/>
    <x v="4"/>
    <s v="2017/5578"/>
    <m/>
    <s v="19 Devereux Road"/>
    <m/>
    <n v="527859"/>
    <n v="174269"/>
    <x v="14"/>
    <m/>
    <m/>
    <n v="0"/>
    <n v="1"/>
    <n v="1"/>
    <n v="1"/>
    <n v="1"/>
    <m/>
    <s v="Alterations including the erection of dormer roof extension to main rear roof in connection with the conversion of the first floor flats to provide an additional 1 x 2-bedroom flat including formation of roof terrace above three-storey back addition with screen surround."/>
    <s v="RP"/>
    <d v="2017-10-18T00:00:00"/>
    <d v="2018-02-27T00:00:00"/>
    <x v="1"/>
    <s v="APP"/>
    <m/>
    <s v="BF"/>
    <x v="4"/>
    <x v="0"/>
    <x v="0"/>
    <n v="8.0000003799796104E-3"/>
    <m/>
    <x v="0"/>
    <m/>
    <x v="0"/>
    <s v="P"/>
    <m/>
    <m/>
    <n v="0"/>
    <m/>
    <n v="0"/>
    <m/>
    <n v="0"/>
    <n v="0"/>
    <n v="1"/>
    <n v="0"/>
    <n v="0"/>
    <n v="0"/>
    <n v="0"/>
    <n v="0"/>
    <n v="0"/>
    <n v="1"/>
    <n v="0"/>
    <n v="0"/>
    <n v="0"/>
    <n v="0"/>
    <n v="0"/>
    <n v="0"/>
    <n v="0"/>
    <n v="0"/>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726"/>
    <x v="4"/>
    <s v="2017/6926"/>
    <m/>
    <s v="65 Balham High Road"/>
    <m/>
    <n v="528680"/>
    <n v="173507"/>
    <x v="9"/>
    <m/>
    <m/>
    <n v="0"/>
    <n v="1"/>
    <n v="1"/>
    <n v="1"/>
    <n v="1"/>
    <m/>
    <s v="Alterations including erection of two storey rear/side extension in connection with change of use from shop (Class A1) to restaurant (Class A3) and residential (Class C3) to create a new restaurant and 1 x two storey (plus basement) 3-bedroom house."/>
    <s v="AF"/>
    <d v="2017-12-18T00:00:00"/>
    <m/>
    <x v="0"/>
    <s v="Nil"/>
    <m/>
    <s v="BF"/>
    <x v="4"/>
    <x v="0"/>
    <x v="4"/>
    <n v="8.0000003799796104E-3"/>
    <m/>
    <x v="0"/>
    <m/>
    <x v="0"/>
    <s v="P"/>
    <m/>
    <m/>
    <n v="0"/>
    <m/>
    <n v="0"/>
    <m/>
    <n v="0"/>
    <n v="0"/>
    <n v="0"/>
    <n v="1"/>
    <n v="0"/>
    <n v="0"/>
    <n v="0"/>
    <n v="0"/>
    <n v="0"/>
    <n v="0"/>
    <n v="1"/>
    <n v="0"/>
    <n v="0"/>
    <n v="0"/>
    <n v="0"/>
    <n v="0"/>
    <n v="0"/>
    <n v="0"/>
    <n v="0"/>
    <n v="0"/>
    <n v="0"/>
    <n v="0"/>
    <n v="0"/>
    <n v="0"/>
    <n v="0"/>
    <n v="0"/>
    <n v="0"/>
    <n v="0"/>
    <s v="East"/>
    <x v="2"/>
    <x v="0"/>
    <x v="1"/>
    <x v="0"/>
    <x v="0"/>
    <x v="0"/>
    <m/>
    <x v="0"/>
    <s v="Y"/>
    <n v="10"/>
    <m/>
    <n v="0"/>
    <n v="0"/>
    <n v="0"/>
    <n v="0"/>
    <n v="0"/>
    <n v="0.33333333333333331"/>
    <n v="0.33333333333333331"/>
    <n v="0.33333333333333331"/>
    <n v="0"/>
    <n v="0"/>
    <n v="0"/>
    <n v="0"/>
    <n v="0"/>
    <n v="0"/>
    <n v="0"/>
    <n v="0"/>
    <n v="0"/>
    <n v="0"/>
    <n v="0"/>
    <n v="0"/>
    <n v="0"/>
    <n v="0.33333333333333331"/>
    <n v="1"/>
  </r>
  <r>
    <n v="6727"/>
    <x v="4"/>
    <s v="2017/5485"/>
    <m/>
    <s v="46 Openview"/>
    <m/>
    <n v="526449"/>
    <n v="173057"/>
    <x v="18"/>
    <m/>
    <m/>
    <n v="1"/>
    <n v="0"/>
    <n v="-1"/>
    <n v="0"/>
    <n v="-1"/>
    <m/>
    <s v="Change of use from residential (Use Class C3) to use for childmining (Use Class D1) of 9 children."/>
    <s v="RP"/>
    <d v="2017-10-19T00:00:00"/>
    <d v="2017-12-14T00:00:00"/>
    <x v="1"/>
    <s v="APP"/>
    <m/>
    <s v="BF"/>
    <x v="3"/>
    <x v="0"/>
    <x v="6"/>
    <n v="2.3000000044703501E-2"/>
    <m/>
    <x v="0"/>
    <m/>
    <x v="0"/>
    <s v="P"/>
    <m/>
    <m/>
    <n v="0"/>
    <m/>
    <n v="0"/>
    <m/>
    <n v="0"/>
    <n v="0"/>
    <n v="0"/>
    <n v="-1"/>
    <n v="0"/>
    <n v="0"/>
    <n v="0"/>
    <n v="0"/>
    <n v="0"/>
    <n v="0"/>
    <n v="0"/>
    <n v="0"/>
    <n v="0"/>
    <n v="0"/>
    <n v="0"/>
    <n v="0"/>
    <n v="0"/>
    <n v="-1"/>
    <n v="0"/>
    <n v="0"/>
    <n v="0"/>
    <n v="0"/>
    <n v="0"/>
    <n v="0"/>
    <n v="0"/>
    <n v="0"/>
    <n v="0"/>
    <n v="0"/>
    <s v="West"/>
    <x v="0"/>
    <x v="0"/>
    <x v="1"/>
    <x v="0"/>
    <x v="0"/>
    <x v="0"/>
    <m/>
    <x v="0"/>
    <s v="Y"/>
    <n v="10"/>
    <m/>
    <n v="0"/>
    <n v="0"/>
    <n v="0"/>
    <n v="0"/>
    <n v="0"/>
    <n v="-0.33333333333333331"/>
    <n v="-0.33333333333333331"/>
    <n v="-0.33333333333333331"/>
    <n v="0"/>
    <n v="0"/>
    <n v="0"/>
    <n v="0"/>
    <n v="0"/>
    <n v="0"/>
    <n v="0"/>
    <n v="0"/>
    <n v="0"/>
    <n v="0"/>
    <n v="0"/>
    <n v="0"/>
    <n v="0"/>
    <n v="-0.33333333333333331"/>
    <n v="-1"/>
  </r>
  <r>
    <n v="6729"/>
    <x v="4"/>
    <s v="2018/0932"/>
    <m/>
    <s v="28a, 28a Northcote Road"/>
    <m/>
    <n v="527455"/>
    <n v="175008"/>
    <x v="14"/>
    <m/>
    <m/>
    <n v="1"/>
    <n v="1"/>
    <n v="0"/>
    <n v="2"/>
    <n v="1"/>
    <m/>
    <s v="Alterations including erection of a dormer roof extension to main rear roof, erection of part single, part two, part three-storey rear/side extension with rear access and formation of a roof terrace with 1.7m high obscured glass surround at second floor level in connection with conversion into 2 x 2-bedroom flats."/>
    <s v="AF"/>
    <d v="2018-03-06T00:00:00"/>
    <m/>
    <x v="0"/>
    <s v="Nil"/>
    <m/>
    <s v="BF"/>
    <x v="4"/>
    <x v="0"/>
    <x v="10"/>
    <n v="3.0000000260770299E-3"/>
    <m/>
    <x v="0"/>
    <m/>
    <x v="0"/>
    <s v="P"/>
    <m/>
    <m/>
    <n v="0"/>
    <m/>
    <n v="0"/>
    <m/>
    <n v="0"/>
    <n v="0"/>
    <n v="1"/>
    <n v="-1"/>
    <n v="0"/>
    <n v="0"/>
    <n v="0"/>
    <n v="0"/>
    <n v="0"/>
    <n v="1"/>
    <n v="-1"/>
    <n v="0"/>
    <n v="0"/>
    <n v="0"/>
    <n v="0"/>
    <n v="0"/>
    <n v="0"/>
    <n v="0"/>
    <n v="0"/>
    <n v="0"/>
    <n v="0"/>
    <n v="0"/>
    <n v="0"/>
    <n v="0"/>
    <n v="0"/>
    <n v="0"/>
    <n v="0"/>
    <n v="0"/>
    <s v="East"/>
    <x v="5"/>
    <x v="0"/>
    <x v="1"/>
    <x v="0"/>
    <x v="0"/>
    <x v="0"/>
    <m/>
    <x v="0"/>
    <s v="N"/>
    <n v="15"/>
    <s v="2017/5575 used for phasing"/>
    <n v="0"/>
    <n v="0"/>
    <n v="0"/>
    <n v="0"/>
    <n v="0"/>
    <n v="0"/>
    <n v="0"/>
    <n v="0"/>
    <n v="0"/>
    <n v="0"/>
    <n v="0"/>
    <n v="0"/>
    <n v="0"/>
    <n v="0"/>
    <n v="0"/>
    <n v="0"/>
    <n v="0"/>
    <n v="0"/>
    <n v="0"/>
    <n v="0"/>
    <n v="0"/>
    <n v="0"/>
    <n v="0"/>
  </r>
  <r>
    <n v="6729"/>
    <x v="4"/>
    <s v="2018/0932"/>
    <m/>
    <s v="28a, 28a Northcote Road"/>
    <m/>
    <n v="527455"/>
    <n v="175008"/>
    <x v="14"/>
    <m/>
    <m/>
    <n v="0"/>
    <n v="1"/>
    <n v="1"/>
    <n v="2"/>
    <n v="1"/>
    <m/>
    <s v="Alterations including erection of a dormer roof extension to main rear roof, erection of part single, part two, part three-storey rear/side extension with rear access and formation of a roof terrace with 1.7m high obscured glass surround at second floor level in connection with conversion into 2 x 2-bedroom flats."/>
    <s v="AF"/>
    <d v="2018-03-06T00:00:00"/>
    <m/>
    <x v="0"/>
    <s v="Nil"/>
    <m/>
    <s v="BF"/>
    <x v="4"/>
    <x v="0"/>
    <x v="0"/>
    <n v="4.0000001899898104E-3"/>
    <m/>
    <x v="0"/>
    <m/>
    <x v="0"/>
    <s v="P"/>
    <m/>
    <m/>
    <n v="0"/>
    <m/>
    <n v="0"/>
    <m/>
    <n v="0"/>
    <n v="0"/>
    <n v="1"/>
    <n v="0"/>
    <n v="0"/>
    <n v="0"/>
    <n v="0"/>
    <n v="0"/>
    <n v="0"/>
    <n v="1"/>
    <n v="0"/>
    <n v="0"/>
    <n v="0"/>
    <n v="0"/>
    <n v="0"/>
    <n v="0"/>
    <n v="0"/>
    <n v="0"/>
    <n v="0"/>
    <n v="0"/>
    <n v="0"/>
    <n v="0"/>
    <n v="0"/>
    <n v="0"/>
    <n v="0"/>
    <n v="0"/>
    <n v="0"/>
    <n v="0"/>
    <s v="East"/>
    <x v="5"/>
    <x v="0"/>
    <x v="1"/>
    <x v="0"/>
    <x v="0"/>
    <x v="0"/>
    <m/>
    <x v="0"/>
    <s v="N"/>
    <n v="15"/>
    <s v="2017/5575 used for phasing"/>
    <n v="0"/>
    <n v="0"/>
    <n v="0"/>
    <n v="0"/>
    <n v="0"/>
    <n v="0"/>
    <n v="0"/>
    <n v="0"/>
    <n v="0"/>
    <n v="0"/>
    <n v="0"/>
    <n v="0"/>
    <n v="0"/>
    <n v="0"/>
    <n v="0"/>
    <n v="0"/>
    <n v="0"/>
    <n v="0"/>
    <n v="0"/>
    <n v="0"/>
    <n v="0"/>
    <n v="0"/>
    <n v="0"/>
  </r>
  <r>
    <n v="6735"/>
    <x v="4"/>
    <s v="2017/5648"/>
    <m/>
    <s v="2 Eardley Road"/>
    <m/>
    <n v="529413"/>
    <n v="171159"/>
    <x v="12"/>
    <m/>
    <m/>
    <n v="0"/>
    <n v="1"/>
    <n v="1"/>
    <n v="2"/>
    <n v="0"/>
    <m/>
    <s v="Alterations including amalgamation of flats A and B, enlargement of window opening and installation of french doors. Demolition of existing garages and erection of two-storey (plus roof level) 3-bedroom detached house with associated landscaping, cycle and refuse storage."/>
    <s v="AF"/>
    <d v="2017-10-18T00:00:00"/>
    <m/>
    <x v="0"/>
    <s v="Nil"/>
    <m/>
    <s v="BF"/>
    <x v="4"/>
    <x v="0"/>
    <x v="0"/>
    <n v="1.3000000035390299E-3"/>
    <m/>
    <x v="0"/>
    <m/>
    <x v="0"/>
    <s v="P"/>
    <m/>
    <m/>
    <n v="0"/>
    <m/>
    <n v="0"/>
    <m/>
    <n v="0"/>
    <n v="0"/>
    <n v="0"/>
    <n v="1"/>
    <n v="0"/>
    <n v="0"/>
    <n v="0"/>
    <n v="0"/>
    <n v="0"/>
    <n v="0"/>
    <n v="0"/>
    <n v="0"/>
    <n v="0"/>
    <n v="0"/>
    <n v="0"/>
    <n v="0"/>
    <n v="0"/>
    <n v="1"/>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735"/>
    <x v="4"/>
    <s v="2017/5648"/>
    <m/>
    <s v="2 Eardley Road"/>
    <m/>
    <n v="529413"/>
    <n v="171159"/>
    <x v="12"/>
    <m/>
    <m/>
    <n v="2"/>
    <n v="1"/>
    <n v="-1"/>
    <n v="2"/>
    <n v="0"/>
    <m/>
    <s v="Alterations including amalgamation of flats A and B, enlargement of window opening and installation of french doors. Demolition of existing garages and erection of two-storey (plus roof level) 3-bedroom detached house with associated landscaping, cycle and refuse storage."/>
    <s v="AF"/>
    <d v="2017-10-18T00:00:00"/>
    <m/>
    <x v="0"/>
    <s v="Nil"/>
    <m/>
    <s v="BF"/>
    <x v="4"/>
    <x v="0"/>
    <x v="2"/>
    <n v="4.9999998882412902E-3"/>
    <m/>
    <x v="0"/>
    <m/>
    <x v="0"/>
    <s v="P"/>
    <m/>
    <m/>
    <n v="0"/>
    <m/>
    <n v="0"/>
    <m/>
    <n v="0"/>
    <n v="-1"/>
    <n v="0"/>
    <n v="0"/>
    <n v="0"/>
    <n v="0"/>
    <n v="0"/>
    <n v="0"/>
    <n v="-1"/>
    <n v="0"/>
    <n v="0"/>
    <n v="0"/>
    <n v="0"/>
    <n v="0"/>
    <n v="0"/>
    <n v="0"/>
    <n v="0"/>
    <n v="0"/>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737"/>
    <x v="4"/>
    <s v="2017/6142"/>
    <m/>
    <s v="rear of, 64 Longley Road"/>
    <m/>
    <n v="527411"/>
    <n v="170747"/>
    <x v="8"/>
    <m/>
    <m/>
    <n v="0"/>
    <n v="1"/>
    <n v="1"/>
    <n v="1"/>
    <n v="1"/>
    <m/>
    <s v="Erection of two-storey 3 bedroom dwellinghouse at rear of 64 Longley Road with associated car parking."/>
    <s v="AF"/>
    <d v="2017-11-08T00:00:00"/>
    <m/>
    <x v="0"/>
    <s v="Nil"/>
    <m/>
    <s v="Gdn"/>
    <x v="0"/>
    <x v="0"/>
    <x v="0"/>
    <n v="6.3000001013279003E-2"/>
    <m/>
    <x v="0"/>
    <m/>
    <x v="0"/>
    <s v="P"/>
    <m/>
    <m/>
    <n v="0"/>
    <m/>
    <n v="0"/>
    <m/>
    <n v="0"/>
    <n v="0"/>
    <n v="0"/>
    <n v="1"/>
    <n v="0"/>
    <n v="0"/>
    <n v="0"/>
    <n v="0"/>
    <n v="0"/>
    <n v="0"/>
    <n v="0"/>
    <n v="0"/>
    <n v="0"/>
    <n v="0"/>
    <n v="0"/>
    <n v="0"/>
    <n v="0"/>
    <n v="1"/>
    <n v="0"/>
    <n v="0"/>
    <n v="0"/>
    <n v="0"/>
    <n v="0"/>
    <n v="0"/>
    <n v="0"/>
    <n v="0"/>
    <n v="0"/>
    <n v="0"/>
    <s v="East"/>
    <x v="0"/>
    <x v="0"/>
    <x v="1"/>
    <x v="0"/>
    <x v="0"/>
    <x v="0"/>
    <m/>
    <x v="0"/>
    <s v="Y"/>
    <n v="6"/>
    <m/>
    <n v="0"/>
    <n v="0"/>
    <n v="0"/>
    <n v="0"/>
    <n v="0"/>
    <n v="0.33333333333333331"/>
    <n v="0.33333333333333331"/>
    <n v="0.33333333333333331"/>
    <n v="0"/>
    <n v="0"/>
    <n v="0"/>
    <n v="0"/>
    <n v="0"/>
    <n v="0"/>
    <n v="0"/>
    <n v="0"/>
    <n v="0"/>
    <n v="0"/>
    <n v="0"/>
    <n v="0"/>
    <n v="0"/>
    <n v="0.33333333333333331"/>
    <n v="1"/>
  </r>
  <r>
    <n v="6739"/>
    <x v="4"/>
    <s v="2018/1456"/>
    <m/>
    <s v="Irene House, 218 Balham High road"/>
    <m/>
    <n v="528376"/>
    <n v="173160"/>
    <x v="11"/>
    <m/>
    <m/>
    <n v="0"/>
    <n v="77"/>
    <n v="77"/>
    <n v="77"/>
    <n v="77"/>
    <s v="Y"/>
    <s v="Determination as to whether prior approval is required for change of use of office at first floor level from (Class B1a) to residential (Class C3) to provide 58 studios flats and 19 x 1-bedroom flats."/>
    <s v="NPA"/>
    <d v="2018-03-29T00:00:00"/>
    <m/>
    <x v="0"/>
    <s v="Nil"/>
    <m/>
    <s v="BF"/>
    <x v="3"/>
    <x v="5"/>
    <x v="1"/>
    <n v="0.25600001215934798"/>
    <m/>
    <x v="0"/>
    <m/>
    <x v="0"/>
    <s v="P"/>
    <m/>
    <m/>
    <n v="0"/>
    <m/>
    <n v="0"/>
    <m/>
    <n v="58"/>
    <n v="19"/>
    <n v="0"/>
    <n v="0"/>
    <n v="0"/>
    <n v="0"/>
    <n v="0"/>
    <n v="58"/>
    <n v="19"/>
    <n v="0"/>
    <n v="0"/>
    <n v="0"/>
    <n v="0"/>
    <n v="0"/>
    <n v="0"/>
    <n v="0"/>
    <n v="0"/>
    <n v="0"/>
    <n v="0"/>
    <n v="0"/>
    <n v="0"/>
    <n v="0"/>
    <n v="0"/>
    <n v="0"/>
    <n v="0"/>
    <n v="0"/>
    <n v="0"/>
    <n v="0"/>
    <s v="East"/>
    <x v="0"/>
    <x v="0"/>
    <x v="1"/>
    <x v="0"/>
    <x v="0"/>
    <x v="0"/>
    <m/>
    <x v="0"/>
    <s v="N"/>
    <n v="15"/>
    <s v="2017/6160 used for phasing"/>
    <n v="0"/>
    <n v="0"/>
    <n v="0"/>
    <n v="0"/>
    <n v="0"/>
    <n v="0"/>
    <n v="0"/>
    <n v="0"/>
    <n v="0"/>
    <n v="0"/>
    <n v="0"/>
    <n v="0"/>
    <n v="0"/>
    <n v="0"/>
    <n v="0"/>
    <n v="0"/>
    <n v="0"/>
    <n v="0"/>
    <n v="0"/>
    <n v="0"/>
    <n v="0"/>
    <n v="0"/>
    <n v="0"/>
  </r>
  <r>
    <n v="6747"/>
    <x v="4"/>
    <s v="2017/6155"/>
    <m/>
    <s v="48 Putney High Street"/>
    <m/>
    <n v="524081"/>
    <n v="175494"/>
    <x v="13"/>
    <m/>
    <m/>
    <n v="1"/>
    <n v="3"/>
    <n v="2"/>
    <n v="3"/>
    <n v="2"/>
    <m/>
    <s v="Alterations including erection of part two/part three storey (first to third floors) rear extension to provide enclosed stairwell in connection with conversion of existing flat into 3 x 1-bedroom flats."/>
    <s v="AF"/>
    <d v="2017-11-09T00:00:00"/>
    <m/>
    <x v="0"/>
    <s v="Nil"/>
    <m/>
    <s v="BF"/>
    <x v="4"/>
    <x v="0"/>
    <x v="10"/>
    <n v="0"/>
    <m/>
    <x v="0"/>
    <m/>
    <x v="0"/>
    <s v="P"/>
    <m/>
    <m/>
    <n v="0"/>
    <m/>
    <n v="0"/>
    <m/>
    <n v="0"/>
    <n v="3"/>
    <n v="0"/>
    <n v="0"/>
    <n v="-1"/>
    <n v="0"/>
    <n v="0"/>
    <n v="0"/>
    <n v="3"/>
    <n v="0"/>
    <n v="0"/>
    <n v="-1"/>
    <n v="0"/>
    <n v="0"/>
    <n v="0"/>
    <n v="0"/>
    <n v="0"/>
    <n v="0"/>
    <n v="0"/>
    <n v="0"/>
    <n v="0"/>
    <n v="0"/>
    <n v="0"/>
    <n v="0"/>
    <n v="0"/>
    <n v="0"/>
    <n v="0"/>
    <n v="0"/>
    <s v="West"/>
    <x v="3"/>
    <x v="0"/>
    <x v="1"/>
    <x v="0"/>
    <x v="0"/>
    <x v="0"/>
    <m/>
    <x v="0"/>
    <s v="Y"/>
    <n v="10"/>
    <m/>
    <n v="0"/>
    <n v="0"/>
    <n v="0"/>
    <n v="0"/>
    <n v="0"/>
    <n v="0.66666666666666663"/>
    <n v="0.66666666666666663"/>
    <n v="0.66666666666666663"/>
    <n v="0"/>
    <n v="0"/>
    <n v="0"/>
    <n v="0"/>
    <n v="0"/>
    <n v="0"/>
    <n v="0"/>
    <n v="0"/>
    <n v="0"/>
    <n v="0"/>
    <n v="0"/>
    <n v="0"/>
    <n v="0"/>
    <n v="0.66666666666666663"/>
    <n v="2"/>
  </r>
  <r>
    <n v="6749"/>
    <x v="4"/>
    <s v="2018/0955"/>
    <m/>
    <s v="40 Selkirk Road"/>
    <m/>
    <n v="527437"/>
    <n v="171695"/>
    <x v="4"/>
    <m/>
    <m/>
    <n v="1"/>
    <n v="2"/>
    <n v="1"/>
    <n v="2"/>
    <n v="1"/>
    <m/>
    <s v="Alterations including erection of single storey rear and side extensions in connection with conversion of property into 2 x 1-bedroom flats."/>
    <s v="AF"/>
    <d v="2018-03-07T00:00:00"/>
    <m/>
    <x v="0"/>
    <s v="Nil"/>
    <m/>
    <s v="BF"/>
    <x v="4"/>
    <x v="0"/>
    <x v="8"/>
    <n v="1.30000002682209E-2"/>
    <m/>
    <x v="0"/>
    <m/>
    <x v="0"/>
    <s v="P"/>
    <m/>
    <m/>
    <n v="0"/>
    <m/>
    <n v="0"/>
    <m/>
    <n v="0"/>
    <n v="2"/>
    <n v="0"/>
    <n v="-1"/>
    <n v="0"/>
    <n v="0"/>
    <n v="0"/>
    <n v="0"/>
    <n v="2"/>
    <n v="0"/>
    <n v="0"/>
    <n v="0"/>
    <n v="0"/>
    <n v="0"/>
    <n v="0"/>
    <n v="0"/>
    <n v="0"/>
    <n v="-1"/>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757"/>
    <x v="4"/>
    <s v="2017/6642"/>
    <m/>
    <s v="92 Putney Bridge Road"/>
    <m/>
    <n v="525222"/>
    <n v="174998"/>
    <x v="0"/>
    <m/>
    <m/>
    <n v="0"/>
    <n v="9"/>
    <n v="9"/>
    <n v="9"/>
    <n v="9"/>
    <m/>
    <s v="Demolition of existing building and redevelopment of the site to provide a five storey building comprising 360 sqm flexible Class A1/A2/A3/D1 use at ground floor, 958 sqm of Class B1a (Office) use at first and second floor and nine residential units on the upper floors, together with associated cycle parking, landscaping and infrastructure works."/>
    <s v="AF"/>
    <d v="2017-12-05T00:00:00"/>
    <m/>
    <x v="0"/>
    <s v="Nil"/>
    <m/>
    <s v="BF"/>
    <x v="0"/>
    <x v="0"/>
    <x v="0"/>
    <n v="4.8999998718500103E-2"/>
    <m/>
    <x v="0"/>
    <m/>
    <x v="0"/>
    <s v="P"/>
    <m/>
    <m/>
    <n v="0"/>
    <n v="8"/>
    <n v="0"/>
    <n v="1"/>
    <n v="0"/>
    <n v="4"/>
    <n v="5"/>
    <n v="0"/>
    <n v="0"/>
    <n v="0"/>
    <n v="0"/>
    <n v="0"/>
    <n v="4"/>
    <n v="5"/>
    <n v="0"/>
    <n v="0"/>
    <n v="0"/>
    <n v="0"/>
    <n v="0"/>
    <n v="0"/>
    <n v="0"/>
    <n v="0"/>
    <n v="0"/>
    <n v="0"/>
    <n v="0"/>
    <n v="0"/>
    <n v="0"/>
    <n v="0"/>
    <n v="0"/>
    <n v="0"/>
    <n v="0"/>
    <n v="0"/>
    <s v="West"/>
    <x v="0"/>
    <x v="0"/>
    <x v="0"/>
    <x v="0"/>
    <x v="0"/>
    <x v="0"/>
    <m/>
    <x v="0"/>
    <s v="Y"/>
    <n v="6"/>
    <m/>
    <n v="0"/>
    <n v="0"/>
    <n v="0"/>
    <n v="0"/>
    <n v="0"/>
    <n v="3"/>
    <n v="3"/>
    <n v="3"/>
    <n v="0"/>
    <n v="0"/>
    <n v="0"/>
    <n v="0"/>
    <n v="0"/>
    <n v="0"/>
    <n v="0"/>
    <n v="0"/>
    <n v="0"/>
    <n v="0"/>
    <n v="0"/>
    <n v="0"/>
    <n v="0"/>
    <n v="3"/>
    <n v="9"/>
  </r>
  <r>
    <n v="6758"/>
    <x v="4"/>
    <s v="2017/6478"/>
    <m/>
    <s v="St Boniface Church, Mitcham Road"/>
    <m/>
    <n v="527876"/>
    <n v="171066"/>
    <x v="8"/>
    <m/>
    <m/>
    <n v="0"/>
    <n v="10"/>
    <n v="10"/>
    <n v="10"/>
    <n v="10"/>
    <s v="Y"/>
    <s v="Demolition of existing church halls on the west side of St Boniface Church and erection of part two, part three-storey building to existing Mitcham Road terrace and two-storey, three-storey and four-storey buildings to the rear. To accommodate a mixed use development including a community centre  (Class D1) with ancillary offices and cafe, presbytery with four units for priests and two guest rooms, retail units (Class A1) and 10 residential units (5 x 2-bedroom and 5 x 3-bedroom). Associated car parking, cycle and refuse storage, boundary treatment and landscaping."/>
    <s v="AF"/>
    <d v="2017-12-06T00:00:00"/>
    <m/>
    <x v="0"/>
    <s v="Nil"/>
    <m/>
    <s v="BF"/>
    <x v="0"/>
    <x v="1"/>
    <x v="1"/>
    <n v="0.10700000077485999"/>
    <m/>
    <x v="0"/>
    <m/>
    <x v="0"/>
    <s v="P"/>
    <m/>
    <m/>
    <n v="0"/>
    <m/>
    <n v="0"/>
    <m/>
    <n v="0"/>
    <n v="0"/>
    <n v="5"/>
    <n v="5"/>
    <n v="0"/>
    <n v="0"/>
    <n v="0"/>
    <n v="0"/>
    <n v="0"/>
    <n v="5"/>
    <n v="5"/>
    <n v="0"/>
    <n v="0"/>
    <n v="0"/>
    <n v="0"/>
    <n v="0"/>
    <n v="0"/>
    <n v="0"/>
    <n v="0"/>
    <n v="0"/>
    <n v="0"/>
    <n v="0"/>
    <n v="0"/>
    <n v="0"/>
    <n v="0"/>
    <n v="0"/>
    <n v="0"/>
    <n v="0"/>
    <s v="East"/>
    <x v="1"/>
    <x v="0"/>
    <x v="1"/>
    <x v="0"/>
    <x v="0"/>
    <x v="0"/>
    <m/>
    <x v="0"/>
    <s v="Y"/>
    <n v="6"/>
    <m/>
    <n v="0"/>
    <n v="0"/>
    <n v="0"/>
    <n v="0"/>
    <n v="0"/>
    <n v="3.3333333333333335"/>
    <n v="3.3333333333333335"/>
    <n v="3.3333333333333335"/>
    <n v="0"/>
    <n v="0"/>
    <n v="0"/>
    <n v="0"/>
    <n v="0"/>
    <n v="0"/>
    <n v="0"/>
    <n v="0"/>
    <n v="0"/>
    <n v="0"/>
    <n v="0"/>
    <n v="0"/>
    <n v="0"/>
    <n v="3.3333333333333335"/>
    <n v="10"/>
  </r>
  <r>
    <n v="6764"/>
    <x v="4"/>
    <s v="2017/6531"/>
    <m/>
    <s v="Site adjacent to 1-8, 1-8 Arnal Crescent"/>
    <m/>
    <n v="524365"/>
    <n v="173954"/>
    <x v="19"/>
    <m/>
    <m/>
    <n v="0"/>
    <n v="4"/>
    <n v="4"/>
    <n v="4"/>
    <n v="4"/>
    <m/>
    <s v="Erection of four-storey building to provide 3 x 2-bedroom and 1 x 1-bedroom flats with balconies and associated landscaping and refuse/cycle storage."/>
    <s v="AF"/>
    <d v="2017-12-28T00:00:00"/>
    <m/>
    <x v="0"/>
    <s v="Nil"/>
    <m/>
    <s v="BF"/>
    <x v="0"/>
    <x v="0"/>
    <x v="0"/>
    <n v="2.9999999329447701E-2"/>
    <m/>
    <x v="0"/>
    <m/>
    <x v="2"/>
    <s v="C"/>
    <m/>
    <m/>
    <n v="0"/>
    <m/>
    <n v="0"/>
    <m/>
    <n v="0"/>
    <n v="1"/>
    <n v="3"/>
    <n v="0"/>
    <n v="0"/>
    <n v="0"/>
    <n v="0"/>
    <n v="0"/>
    <n v="1"/>
    <n v="3"/>
    <n v="0"/>
    <n v="0"/>
    <n v="0"/>
    <n v="0"/>
    <n v="0"/>
    <n v="0"/>
    <n v="0"/>
    <n v="0"/>
    <n v="0"/>
    <n v="0"/>
    <n v="0"/>
    <n v="0"/>
    <n v="0"/>
    <n v="0"/>
    <n v="0"/>
    <n v="0"/>
    <n v="0"/>
    <n v="0"/>
    <s v="West"/>
    <x v="0"/>
    <x v="0"/>
    <x v="1"/>
    <x v="0"/>
    <x v="0"/>
    <x v="0"/>
    <m/>
    <x v="0"/>
    <s v="Y"/>
    <n v="6"/>
    <m/>
    <n v="0"/>
    <n v="0"/>
    <n v="0"/>
    <n v="0"/>
    <n v="0"/>
    <n v="1.3333333333333333"/>
    <n v="1.3333333333333333"/>
    <n v="1.3333333333333333"/>
    <n v="0"/>
    <n v="0"/>
    <n v="0"/>
    <n v="0"/>
    <n v="0"/>
    <n v="0"/>
    <n v="0"/>
    <n v="0"/>
    <n v="0"/>
    <n v="0"/>
    <n v="0"/>
    <n v="0"/>
    <n v="0"/>
    <n v="1.3333333333333333"/>
    <n v="4"/>
  </r>
  <r>
    <n v="6765"/>
    <x v="4"/>
    <s v="2017/6846"/>
    <m/>
    <s v="Garages north of Fordyce House, Colson way"/>
    <m/>
    <n v="529291"/>
    <n v="171713"/>
    <x v="12"/>
    <m/>
    <m/>
    <n v="0"/>
    <n v="8"/>
    <n v="8"/>
    <n v="8"/>
    <n v="8"/>
    <m/>
    <s v="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
    <s v="AF"/>
    <d v="2017-12-21T00:00:00"/>
    <m/>
    <x v="0"/>
    <s v="Nil"/>
    <m/>
    <s v="BF"/>
    <x v="0"/>
    <x v="0"/>
    <x v="0"/>
    <n v="3.70000004768372E-2"/>
    <m/>
    <x v="0"/>
    <m/>
    <x v="2"/>
    <s v="C"/>
    <m/>
    <m/>
    <n v="0"/>
    <m/>
    <n v="0"/>
    <n v="2"/>
    <n v="0"/>
    <n v="8"/>
    <n v="0"/>
    <n v="0"/>
    <n v="0"/>
    <n v="0"/>
    <n v="0"/>
    <n v="0"/>
    <n v="8"/>
    <n v="0"/>
    <n v="0"/>
    <n v="0"/>
    <n v="0"/>
    <n v="0"/>
    <n v="0"/>
    <n v="0"/>
    <n v="0"/>
    <n v="0"/>
    <n v="0"/>
    <n v="0"/>
    <n v="0"/>
    <n v="0"/>
    <n v="0"/>
    <n v="0"/>
    <n v="0"/>
    <n v="0"/>
    <n v="0"/>
    <n v="0"/>
    <s v="East"/>
    <x v="0"/>
    <x v="0"/>
    <x v="1"/>
    <x v="0"/>
    <x v="0"/>
    <x v="0"/>
    <m/>
    <x v="0"/>
    <s v="Y"/>
    <n v="6"/>
    <m/>
    <n v="0"/>
    <n v="0"/>
    <n v="0"/>
    <n v="0"/>
    <n v="0"/>
    <n v="2.6666666666666665"/>
    <n v="2.6666666666666665"/>
    <n v="2.6666666666666665"/>
    <n v="0"/>
    <n v="0"/>
    <n v="0"/>
    <n v="0"/>
    <n v="0"/>
    <n v="0"/>
    <n v="0"/>
    <n v="0"/>
    <n v="0"/>
    <n v="0"/>
    <n v="0"/>
    <n v="0"/>
    <n v="0"/>
    <n v="2.6666666666666665"/>
    <n v="8"/>
  </r>
  <r>
    <n v="6766"/>
    <x v="4"/>
    <s v="2017/6864"/>
    <m/>
    <s v="Land north of Grant road incl parcels of land on c/o Plough/Winstanley, Grant Road"/>
    <s v="SOCIAL RENTED"/>
    <n v="526808"/>
    <n v="175510"/>
    <x v="2"/>
    <m/>
    <m/>
    <n v="0"/>
    <n v="46"/>
    <n v="46"/>
    <n v="139"/>
    <n v="139"/>
    <s v="Y"/>
    <s v="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quot;."/>
    <s v="AF"/>
    <d v="2017-12-18T00:00:00"/>
    <m/>
    <x v="0"/>
    <s v="Nil"/>
    <m/>
    <s v="BF"/>
    <x v="0"/>
    <x v="1"/>
    <x v="1"/>
    <n v="7.1000002324581105E-2"/>
    <m/>
    <x v="0"/>
    <m/>
    <x v="2"/>
    <s v="C"/>
    <m/>
    <m/>
    <n v="0"/>
    <n v="41"/>
    <n v="0"/>
    <n v="5"/>
    <n v="0"/>
    <n v="25"/>
    <n v="21"/>
    <n v="0"/>
    <n v="0"/>
    <n v="0"/>
    <n v="0"/>
    <n v="0"/>
    <n v="25"/>
    <n v="21"/>
    <n v="0"/>
    <n v="0"/>
    <n v="0"/>
    <n v="0"/>
    <n v="0"/>
    <n v="0"/>
    <n v="0"/>
    <n v="0"/>
    <n v="0"/>
    <n v="0"/>
    <n v="0"/>
    <n v="0"/>
    <n v="0"/>
    <n v="0"/>
    <n v="0"/>
    <n v="0"/>
    <n v="0"/>
    <n v="0"/>
    <s v="Strategic Planning/Nine Elms"/>
    <x v="0"/>
    <x v="0"/>
    <x v="1"/>
    <x v="1"/>
    <x v="0"/>
    <x v="0"/>
    <m/>
    <x v="0"/>
    <s v="N"/>
    <n v="15"/>
    <s v="0000/0279 used for phasing"/>
    <n v="0"/>
    <n v="0"/>
    <n v="0"/>
    <n v="0"/>
    <n v="0"/>
    <n v="0"/>
    <n v="0"/>
    <n v="0"/>
    <n v="0"/>
    <n v="0"/>
    <n v="0"/>
    <n v="0"/>
    <n v="0"/>
    <n v="0"/>
    <n v="0"/>
    <n v="0"/>
    <n v="0"/>
    <n v="0"/>
    <n v="0"/>
    <n v="0"/>
    <n v="0"/>
    <n v="0"/>
    <n v="0"/>
  </r>
  <r>
    <n v="6766"/>
    <x v="4"/>
    <s v="2017/6864"/>
    <m/>
    <s v="Land north of Grant road incl parcels of land on c/o Plough/Winstanley, Grant Road"/>
    <m/>
    <n v="526808"/>
    <n v="175510"/>
    <x v="2"/>
    <m/>
    <m/>
    <n v="0"/>
    <n v="93"/>
    <n v="93"/>
    <n v="139"/>
    <n v="139"/>
    <s v="Y"/>
    <s v="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quot;."/>
    <s v="AF"/>
    <d v="2017-12-18T00:00:00"/>
    <m/>
    <x v="0"/>
    <s v="Nil"/>
    <m/>
    <s v="BF"/>
    <x v="0"/>
    <x v="1"/>
    <x v="1"/>
    <n v="0.14300000667571999"/>
    <m/>
    <x v="0"/>
    <m/>
    <x v="0"/>
    <s v="P"/>
    <m/>
    <m/>
    <n v="0"/>
    <n v="84"/>
    <n v="0"/>
    <n v="9"/>
    <n v="3"/>
    <n v="30"/>
    <n v="52"/>
    <n v="8"/>
    <n v="0"/>
    <n v="0"/>
    <n v="0"/>
    <n v="3"/>
    <n v="30"/>
    <n v="52"/>
    <n v="8"/>
    <n v="0"/>
    <n v="0"/>
    <n v="0"/>
    <n v="0"/>
    <n v="0"/>
    <n v="0"/>
    <n v="0"/>
    <n v="0"/>
    <n v="0"/>
    <n v="0"/>
    <n v="0"/>
    <n v="0"/>
    <n v="0"/>
    <n v="0"/>
    <n v="0"/>
    <n v="0"/>
    <n v="0"/>
    <s v="Strategic Planning/Nine Elms"/>
    <x v="0"/>
    <x v="0"/>
    <x v="1"/>
    <x v="1"/>
    <x v="0"/>
    <x v="0"/>
    <m/>
    <x v="0"/>
    <s v="N"/>
    <n v="15"/>
    <s v="0000/0279 used for phasing"/>
    <n v="0"/>
    <n v="0"/>
    <n v="0"/>
    <n v="0"/>
    <n v="0"/>
    <n v="0"/>
    <n v="0"/>
    <n v="0"/>
    <n v="0"/>
    <n v="0"/>
    <n v="0"/>
    <n v="0"/>
    <n v="0"/>
    <n v="0"/>
    <n v="0"/>
    <n v="0"/>
    <n v="0"/>
    <n v="0"/>
    <n v="0"/>
    <n v="0"/>
    <n v="0"/>
    <n v="0"/>
    <n v="0"/>
  </r>
  <r>
    <n v="6767"/>
    <x v="4"/>
    <s v="2017/6854"/>
    <m/>
    <s v="24 Bellevue Road"/>
    <m/>
    <n v="527493"/>
    <n v="173327"/>
    <x v="11"/>
    <m/>
    <m/>
    <n v="1"/>
    <n v="4"/>
    <n v="3"/>
    <n v="4"/>
    <n v="3"/>
    <m/>
    <s v="Excavation to create a basement including formation of front and rear lightwells, erection of two-storey rear extension, erection of outbuilding, erection of dormer roof extensions to front and rear roof slopes in connection with conversion of property to 2 x 3-bedroom, 1 x 2-bedroom and 1 x 1-bedroom flats with associated cycle and refuse storage (corrected proposal description)."/>
    <s v="AF"/>
    <d v="2017-12-14T00:00:00"/>
    <m/>
    <x v="0"/>
    <s v="Nil"/>
    <m/>
    <s v="BF"/>
    <x v="4"/>
    <x v="0"/>
    <x v="8"/>
    <n v="2.19999998807907E-2"/>
    <m/>
    <x v="0"/>
    <m/>
    <x v="0"/>
    <s v="P"/>
    <m/>
    <m/>
    <n v="0"/>
    <m/>
    <n v="0"/>
    <m/>
    <n v="0"/>
    <n v="1"/>
    <n v="1"/>
    <n v="2"/>
    <n v="-1"/>
    <n v="0"/>
    <n v="0"/>
    <n v="0"/>
    <n v="1"/>
    <n v="1"/>
    <n v="2"/>
    <n v="0"/>
    <n v="0"/>
    <n v="0"/>
    <n v="0"/>
    <n v="0"/>
    <n v="0"/>
    <n v="0"/>
    <n v="-1"/>
    <n v="0"/>
    <n v="0"/>
    <n v="0"/>
    <n v="0"/>
    <n v="0"/>
    <n v="0"/>
    <n v="0"/>
    <n v="0"/>
    <n v="0"/>
    <s v="East"/>
    <x v="0"/>
    <x v="0"/>
    <x v="1"/>
    <x v="0"/>
    <x v="0"/>
    <x v="0"/>
    <m/>
    <x v="0"/>
    <s v="Y"/>
    <n v="10"/>
    <m/>
    <n v="0"/>
    <n v="0"/>
    <n v="0"/>
    <n v="0"/>
    <n v="0"/>
    <n v="1"/>
    <n v="1"/>
    <n v="1"/>
    <n v="0"/>
    <n v="0"/>
    <n v="0"/>
    <n v="0"/>
    <n v="0"/>
    <n v="0"/>
    <n v="0"/>
    <n v="0"/>
    <n v="0"/>
    <n v="0"/>
    <n v="0"/>
    <n v="0"/>
    <n v="0"/>
    <n v="1"/>
    <n v="3"/>
  </r>
  <r>
    <n v="6770"/>
    <x v="4"/>
    <s v="2017/6859"/>
    <m/>
    <s v="The Mews House, 22 Earlsfield Road"/>
    <m/>
    <n v="526509"/>
    <n v="174129"/>
    <x v="17"/>
    <m/>
    <m/>
    <n v="1"/>
    <n v="2"/>
    <n v="1"/>
    <n v="2"/>
    <n v="1"/>
    <m/>
    <s v="Alterations including erection of mansard roof extension to main rear roof and erection of part single/part two storey rear extension and formation of roof terrace above with glazed safety screen surround in connection with conversion of property into 2 x 3-bedrooom flats."/>
    <s v="AF"/>
    <d v="2017-12-14T00:00:00"/>
    <m/>
    <x v="0"/>
    <s v="Nil"/>
    <m/>
    <s v="BF"/>
    <x v="4"/>
    <x v="0"/>
    <x v="8"/>
    <n v="1.7999999225139601E-2"/>
    <m/>
    <x v="0"/>
    <m/>
    <x v="0"/>
    <s v="P"/>
    <m/>
    <m/>
    <n v="0"/>
    <m/>
    <n v="0"/>
    <m/>
    <n v="0"/>
    <n v="0"/>
    <n v="0"/>
    <n v="1"/>
    <n v="0"/>
    <n v="0"/>
    <n v="0"/>
    <n v="0"/>
    <n v="0"/>
    <n v="0"/>
    <n v="2"/>
    <n v="0"/>
    <n v="0"/>
    <n v="0"/>
    <n v="0"/>
    <n v="0"/>
    <n v="0"/>
    <n v="-1"/>
    <n v="0"/>
    <n v="0"/>
    <n v="0"/>
    <n v="0"/>
    <n v="0"/>
    <n v="0"/>
    <n v="0"/>
    <n v="0"/>
    <n v="0"/>
    <n v="0"/>
    <s v="West"/>
    <x v="0"/>
    <x v="0"/>
    <x v="1"/>
    <x v="0"/>
    <x v="0"/>
    <x v="0"/>
    <m/>
    <x v="0"/>
    <s v="Y"/>
    <n v="10"/>
    <m/>
    <n v="0"/>
    <n v="0"/>
    <n v="0"/>
    <n v="0"/>
    <n v="0"/>
    <n v="0.33333333333333331"/>
    <n v="0.33333333333333331"/>
    <n v="0.33333333333333331"/>
    <n v="0"/>
    <n v="0"/>
    <n v="0"/>
    <n v="0"/>
    <n v="0"/>
    <n v="0"/>
    <n v="0"/>
    <n v="0"/>
    <n v="0"/>
    <n v="0"/>
    <n v="0"/>
    <n v="0"/>
    <n v="0"/>
    <n v="0.33333333333333331"/>
    <n v="1"/>
  </r>
  <r>
    <n v="6772"/>
    <x v="4"/>
    <s v="2017/6929"/>
    <m/>
    <s v="30 Bramcote Road"/>
    <m/>
    <n v="522806"/>
    <n v="175115"/>
    <x v="7"/>
    <m/>
    <m/>
    <n v="1"/>
    <n v="1"/>
    <n v="0"/>
    <n v="1"/>
    <n v="0"/>
    <m/>
    <s v="Demolition of existing building and erection of a two-storey (plus basement and roof levels) 5-bedroom detached house."/>
    <s v="AF"/>
    <d v="2017-12-19T00:00:00"/>
    <m/>
    <x v="0"/>
    <s v="Nil"/>
    <m/>
    <s v="BF"/>
    <x v="0"/>
    <x v="0"/>
    <x v="0"/>
    <n v="3.0999999493360499E-2"/>
    <m/>
    <x v="0"/>
    <m/>
    <x v="0"/>
    <s v="P"/>
    <m/>
    <m/>
    <n v="0"/>
    <m/>
    <n v="0"/>
    <m/>
    <n v="0"/>
    <n v="0"/>
    <n v="-1"/>
    <n v="0"/>
    <n v="0"/>
    <n v="1"/>
    <n v="0"/>
    <n v="0"/>
    <n v="0"/>
    <n v="0"/>
    <n v="0"/>
    <n v="0"/>
    <n v="0"/>
    <n v="0"/>
    <n v="0"/>
    <n v="0"/>
    <n v="-1"/>
    <n v="0"/>
    <n v="0"/>
    <n v="1"/>
    <n v="0"/>
    <n v="0"/>
    <n v="0"/>
    <n v="0"/>
    <n v="0"/>
    <n v="0"/>
    <n v="0"/>
    <n v="0"/>
    <s v="West"/>
    <x v="0"/>
    <x v="0"/>
    <x v="1"/>
    <x v="0"/>
    <x v="0"/>
    <x v="0"/>
    <m/>
    <x v="0"/>
    <s v="Y"/>
    <n v="6"/>
    <m/>
    <n v="0"/>
    <n v="0"/>
    <n v="0"/>
    <n v="0"/>
    <n v="0"/>
    <n v="0"/>
    <n v="0"/>
    <n v="0"/>
    <n v="0"/>
    <n v="0"/>
    <n v="0"/>
    <n v="0"/>
    <n v="0"/>
    <n v="0"/>
    <n v="0"/>
    <n v="0"/>
    <n v="0"/>
    <n v="0"/>
    <n v="0"/>
    <n v="0"/>
    <n v="0"/>
    <n v="0"/>
    <n v="0"/>
  </r>
  <r>
    <n v="6774"/>
    <x v="4"/>
    <s v="2017/6977"/>
    <m/>
    <s v="Sherwood Lodge 5 bessborough road, Petersfield Rise"/>
    <m/>
    <n v="522514"/>
    <n v="173526"/>
    <x v="15"/>
    <m/>
    <m/>
    <n v="0"/>
    <n v="10"/>
    <n v="10"/>
    <n v="10"/>
    <n v="10"/>
    <s v="Y"/>
    <s v="The demolition of Sherwood Lodge and associated outbuildings and the construction of a four-storey building, comprising 10 residential (Class C3) units, plus improvements to existing open space and public realm, vehicular and cycle parking and refuse and recycling stores."/>
    <s v="AF"/>
    <d v="2018-01-05T00:00:00"/>
    <m/>
    <x v="0"/>
    <s v="Nil"/>
    <m/>
    <s v="BF"/>
    <x v="0"/>
    <x v="1"/>
    <x v="1"/>
    <n v="4.1000001132488299E-2"/>
    <m/>
    <x v="0"/>
    <m/>
    <x v="2"/>
    <s v="HASR"/>
    <m/>
    <m/>
    <n v="0"/>
    <n v="9"/>
    <n v="0"/>
    <n v="1"/>
    <n v="0"/>
    <n v="3"/>
    <n v="7"/>
    <n v="0"/>
    <n v="0"/>
    <n v="0"/>
    <n v="0"/>
    <n v="0"/>
    <n v="3"/>
    <n v="7"/>
    <n v="0"/>
    <n v="0"/>
    <n v="0"/>
    <n v="0"/>
    <n v="0"/>
    <n v="0"/>
    <n v="0"/>
    <n v="0"/>
    <n v="0"/>
    <n v="0"/>
    <n v="0"/>
    <n v="0"/>
    <n v="0"/>
    <n v="0"/>
    <n v="0"/>
    <n v="0"/>
    <n v="0"/>
    <n v="0"/>
    <s v="West"/>
    <x v="0"/>
    <x v="0"/>
    <x v="1"/>
    <x v="0"/>
    <x v="0"/>
    <x v="0"/>
    <m/>
    <x v="0"/>
    <s v="Y"/>
    <n v="6"/>
    <m/>
    <n v="0"/>
    <n v="0"/>
    <n v="0"/>
    <n v="0"/>
    <n v="0"/>
    <n v="3.3333333333333335"/>
    <n v="3.3333333333333335"/>
    <n v="3.3333333333333335"/>
    <n v="0"/>
    <n v="0"/>
    <n v="0"/>
    <n v="0"/>
    <n v="0"/>
    <n v="0"/>
    <n v="0"/>
    <n v="0"/>
    <n v="0"/>
    <n v="0"/>
    <n v="0"/>
    <n v="0"/>
    <n v="0"/>
    <n v="3.3333333333333335"/>
    <n v="10"/>
  </r>
  <r>
    <n v="6786"/>
    <x v="4"/>
    <s v="2017/6525"/>
    <m/>
    <s v="First Floor Flat, 5b Louisville Road"/>
    <m/>
    <n v="528170"/>
    <n v="172434"/>
    <x v="3"/>
    <m/>
    <m/>
    <n v="1"/>
    <n v="2"/>
    <n v="1"/>
    <n v="2"/>
    <n v="1"/>
    <m/>
    <s v="Alterations including erection of mansard roof extension to main rear roof (with french doors and safety railings) in connection with conversion of existing first and second floor self-contained maisonette into 1 x 1 bedroom and 1 x 2-bedroom self-contained flats."/>
    <s v="AF"/>
    <d v="2018-01-12T00:00:00"/>
    <m/>
    <x v="0"/>
    <s v="Nil"/>
    <m/>
    <s v="BF"/>
    <x v="4"/>
    <x v="0"/>
    <x v="10"/>
    <n v="1.60000007599592E-2"/>
    <m/>
    <x v="0"/>
    <m/>
    <x v="0"/>
    <s v="P"/>
    <m/>
    <m/>
    <n v="0"/>
    <m/>
    <n v="0"/>
    <m/>
    <n v="0"/>
    <n v="1"/>
    <n v="1"/>
    <n v="-1"/>
    <n v="0"/>
    <n v="0"/>
    <n v="0"/>
    <n v="0"/>
    <n v="1"/>
    <n v="1"/>
    <n v="-1"/>
    <n v="0"/>
    <n v="0"/>
    <n v="0"/>
    <n v="0"/>
    <n v="0"/>
    <n v="0"/>
    <n v="0"/>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789"/>
    <x v="4"/>
    <s v="2018/0219"/>
    <m/>
    <s v="47-51 Lavender Hill"/>
    <m/>
    <n v="528385"/>
    <n v="175721"/>
    <x v="10"/>
    <m/>
    <m/>
    <n v="0"/>
    <n v="3"/>
    <n v="3"/>
    <n v="3"/>
    <n v="3"/>
    <m/>
    <s v="Erection of a new storey of accommodation to main roof, extensions above back additions, formation of roof terraces above back additions with obscured glazed screen surround in coonection with creation of 2 x 1-bedroom  and 1 x 2-bedroom flats."/>
    <s v="AF"/>
    <d v="2018-01-16T00:00:00"/>
    <m/>
    <x v="0"/>
    <s v="Nil"/>
    <m/>
    <s v="BF"/>
    <x v="2"/>
    <x v="0"/>
    <x v="3"/>
    <n v="0"/>
    <m/>
    <x v="0"/>
    <m/>
    <x v="0"/>
    <s v="P"/>
    <m/>
    <m/>
    <n v="0"/>
    <m/>
    <n v="0"/>
    <m/>
    <n v="0"/>
    <n v="2"/>
    <n v="1"/>
    <n v="0"/>
    <n v="0"/>
    <n v="0"/>
    <n v="0"/>
    <n v="0"/>
    <n v="2"/>
    <n v="1"/>
    <n v="0"/>
    <n v="0"/>
    <n v="0"/>
    <n v="0"/>
    <n v="0"/>
    <n v="0"/>
    <n v="0"/>
    <n v="0"/>
    <n v="0"/>
    <n v="0"/>
    <n v="0"/>
    <n v="0"/>
    <n v="0"/>
    <n v="0"/>
    <n v="0"/>
    <n v="0"/>
    <n v="0"/>
    <n v="0"/>
    <s v="East"/>
    <x v="0"/>
    <x v="0"/>
    <x v="1"/>
    <x v="0"/>
    <x v="0"/>
    <x v="0"/>
    <m/>
    <x v="0"/>
    <s v="Y"/>
    <n v="10"/>
    <m/>
    <n v="0"/>
    <n v="0"/>
    <n v="0"/>
    <n v="0"/>
    <n v="0"/>
    <n v="1"/>
    <n v="1"/>
    <n v="1"/>
    <n v="0"/>
    <n v="0"/>
    <n v="0"/>
    <n v="0"/>
    <n v="0"/>
    <n v="0"/>
    <n v="0"/>
    <n v="0"/>
    <n v="0"/>
    <n v="0"/>
    <n v="0"/>
    <n v="0"/>
    <n v="0"/>
    <n v="1"/>
    <n v="3"/>
  </r>
  <r>
    <n v="6796"/>
    <x v="4"/>
    <s v="2018/0209"/>
    <m/>
    <s v="150 Elsenham Street"/>
    <m/>
    <n v="524850"/>
    <n v="172813"/>
    <x v="5"/>
    <m/>
    <m/>
    <n v="1"/>
    <n v="3"/>
    <n v="2"/>
    <n v="3"/>
    <n v="2"/>
    <m/>
    <s v="Conversion of property into 1 x 3-bedroom and 2 x 2-bedroom flats."/>
    <s v="AF"/>
    <d v="2018-01-19T00:00:00"/>
    <m/>
    <x v="0"/>
    <s v="Nil"/>
    <m/>
    <s v="BF"/>
    <x v="1"/>
    <x v="0"/>
    <x v="8"/>
    <n v="2.4000000208616298E-2"/>
    <m/>
    <x v="0"/>
    <m/>
    <x v="0"/>
    <s v="P"/>
    <m/>
    <m/>
    <n v="0"/>
    <m/>
    <n v="0"/>
    <m/>
    <n v="0"/>
    <n v="0"/>
    <n v="2"/>
    <n v="1"/>
    <n v="-1"/>
    <n v="0"/>
    <n v="0"/>
    <n v="0"/>
    <n v="0"/>
    <n v="2"/>
    <n v="1"/>
    <n v="0"/>
    <n v="0"/>
    <n v="0"/>
    <n v="0"/>
    <n v="0"/>
    <n v="0"/>
    <n v="0"/>
    <n v="-1"/>
    <n v="0"/>
    <n v="0"/>
    <n v="0"/>
    <n v="0"/>
    <n v="0"/>
    <n v="0"/>
    <n v="0"/>
    <n v="0"/>
    <n v="0"/>
    <s v="West"/>
    <x v="0"/>
    <x v="0"/>
    <x v="1"/>
    <x v="0"/>
    <x v="0"/>
    <x v="0"/>
    <m/>
    <x v="0"/>
    <s v="Y"/>
    <n v="10"/>
    <m/>
    <n v="0"/>
    <n v="0"/>
    <n v="0"/>
    <n v="0"/>
    <n v="0"/>
    <n v="0.66666666666666663"/>
    <n v="0.66666666666666663"/>
    <n v="0.66666666666666663"/>
    <n v="0"/>
    <n v="0"/>
    <n v="0"/>
    <n v="0"/>
    <n v="0"/>
    <n v="0"/>
    <n v="0"/>
    <n v="0"/>
    <n v="0"/>
    <n v="0"/>
    <n v="0"/>
    <n v="0"/>
    <n v="0"/>
    <n v="0.66666666666666663"/>
    <n v="2"/>
  </r>
  <r>
    <n v="6801"/>
    <x v="4"/>
    <s v="2018/0176"/>
    <m/>
    <s v="77 Vant Road"/>
    <m/>
    <n v="527991"/>
    <n v="171264"/>
    <x v="8"/>
    <m/>
    <m/>
    <n v="1"/>
    <n v="2"/>
    <n v="1"/>
    <n v="2"/>
    <n v="1"/>
    <m/>
    <s v="Continue use as two self-contained flats 1 x one-beroom over ground floor and 1 x three-bedroom over first floor and loft."/>
    <s v="AF"/>
    <d v="2018-02-05T00:00:00"/>
    <m/>
    <x v="0"/>
    <s v="Nil"/>
    <m/>
    <s v="BF"/>
    <x v="1"/>
    <x v="0"/>
    <x v="8"/>
    <n v="9.9999997764825804E-3"/>
    <m/>
    <x v="0"/>
    <m/>
    <x v="0"/>
    <s v="P"/>
    <m/>
    <m/>
    <n v="0"/>
    <m/>
    <n v="0"/>
    <m/>
    <n v="0"/>
    <n v="1"/>
    <n v="0"/>
    <n v="0"/>
    <n v="0"/>
    <n v="0"/>
    <n v="0"/>
    <n v="0"/>
    <n v="1"/>
    <n v="0"/>
    <n v="1"/>
    <n v="0"/>
    <n v="0"/>
    <n v="0"/>
    <n v="0"/>
    <n v="0"/>
    <n v="0"/>
    <n v="-1"/>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804"/>
    <x v="4"/>
    <s v="2018/0359"/>
    <m/>
    <s v="125 Lower Richmond Road"/>
    <m/>
    <n v="523594"/>
    <n v="175801"/>
    <x v="13"/>
    <m/>
    <m/>
    <n v="2"/>
    <n v="2"/>
    <n v="0"/>
    <n v="3"/>
    <n v="1"/>
    <m/>
    <s v="Alterations including excavation to enlarge basement including formation of rear/side lightwell with grille over; erection of part single-part two-storey rear/side extension and creation of roof terraces at first and second floor levels in connection with creation of 2 x 2-bedroom and 1 x 1-bedroom flats.  Change of use of ground floor to retail/office (Class A1/A2) and installation of new shopfront."/>
    <s v="AF"/>
    <d v="2018-01-23T00:00:00"/>
    <m/>
    <x v="0"/>
    <s v="Nil"/>
    <m/>
    <s v="BF"/>
    <x v="4"/>
    <x v="0"/>
    <x v="11"/>
    <n v="7.0000002160668399E-3"/>
    <m/>
    <x v="0"/>
    <m/>
    <x v="0"/>
    <s v="P"/>
    <m/>
    <m/>
    <n v="0"/>
    <m/>
    <n v="0"/>
    <m/>
    <n v="0"/>
    <n v="-2"/>
    <n v="2"/>
    <n v="0"/>
    <n v="0"/>
    <n v="0"/>
    <n v="0"/>
    <n v="0"/>
    <n v="-2"/>
    <n v="2"/>
    <n v="0"/>
    <n v="0"/>
    <n v="0"/>
    <n v="0"/>
    <n v="0"/>
    <n v="0"/>
    <n v="0"/>
    <n v="0"/>
    <n v="0"/>
    <n v="0"/>
    <n v="0"/>
    <n v="0"/>
    <n v="0"/>
    <n v="0"/>
    <n v="0"/>
    <n v="0"/>
    <n v="0"/>
    <n v="0"/>
    <s v="West"/>
    <x v="0"/>
    <x v="0"/>
    <x v="1"/>
    <x v="0"/>
    <x v="0"/>
    <x v="0"/>
    <m/>
    <x v="0"/>
    <s v="Y"/>
    <n v="10"/>
    <m/>
    <n v="0"/>
    <n v="0"/>
    <n v="0"/>
    <n v="0"/>
    <n v="0"/>
    <n v="0"/>
    <n v="0"/>
    <n v="0"/>
    <n v="0"/>
    <n v="0"/>
    <n v="0"/>
    <n v="0"/>
    <n v="0"/>
    <n v="0"/>
    <n v="0"/>
    <n v="0"/>
    <n v="0"/>
    <n v="0"/>
    <n v="0"/>
    <n v="0"/>
    <n v="0"/>
    <n v="0"/>
    <n v="0"/>
  </r>
  <r>
    <n v="6804"/>
    <x v="4"/>
    <s v="2018/0359"/>
    <m/>
    <s v="125 Lower Richmond Road"/>
    <m/>
    <n v="523594"/>
    <n v="175801"/>
    <x v="13"/>
    <m/>
    <m/>
    <n v="0"/>
    <n v="1"/>
    <n v="1"/>
    <n v="3"/>
    <n v="1"/>
    <m/>
    <s v="Alterations including excavation to enlarge basement including formation of rear/side lightwell with grille over; erection of part single-part two-storey rear/side extension and creation of roof terraces at first and second floor levels in connection with creation of 2 x 2-bedroom and 1 x 1-bedroom flats.  Change of use of ground floor to retail/office (Class A1/A2) and installation of new shopfront."/>
    <s v="AF"/>
    <d v="2018-01-23T00:00:00"/>
    <m/>
    <x v="0"/>
    <s v="Nil"/>
    <m/>
    <s v="BF"/>
    <x v="4"/>
    <x v="0"/>
    <x v="0"/>
    <n v="4.0000001899898104E-3"/>
    <m/>
    <x v="0"/>
    <m/>
    <x v="0"/>
    <s v="P"/>
    <m/>
    <m/>
    <n v="0"/>
    <m/>
    <n v="0"/>
    <m/>
    <n v="0"/>
    <n v="1"/>
    <n v="0"/>
    <n v="0"/>
    <n v="0"/>
    <n v="0"/>
    <n v="0"/>
    <n v="0"/>
    <n v="1"/>
    <n v="0"/>
    <n v="0"/>
    <n v="0"/>
    <n v="0"/>
    <n v="0"/>
    <n v="0"/>
    <n v="0"/>
    <n v="0"/>
    <n v="0"/>
    <n v="0"/>
    <n v="0"/>
    <n v="0"/>
    <n v="0"/>
    <n v="0"/>
    <n v="0"/>
    <n v="0"/>
    <n v="0"/>
    <n v="0"/>
    <n v="0"/>
    <s v="West"/>
    <x v="0"/>
    <x v="0"/>
    <x v="1"/>
    <x v="0"/>
    <x v="0"/>
    <x v="0"/>
    <m/>
    <x v="0"/>
    <s v="Y"/>
    <n v="10"/>
    <m/>
    <n v="0"/>
    <n v="0"/>
    <n v="0"/>
    <n v="0"/>
    <n v="0"/>
    <n v="0.33333333333333331"/>
    <n v="0.33333333333333331"/>
    <n v="0.33333333333333331"/>
    <n v="0"/>
    <n v="0"/>
    <n v="0"/>
    <n v="0"/>
    <n v="0"/>
    <n v="0"/>
    <n v="0"/>
    <n v="0"/>
    <n v="0"/>
    <n v="0"/>
    <n v="0"/>
    <n v="0"/>
    <n v="0"/>
    <n v="0.33333333333333331"/>
    <n v="1"/>
  </r>
  <r>
    <n v="6805"/>
    <x v="4"/>
    <s v="2018/0376"/>
    <m/>
    <s v="231 Putney Bridge Road"/>
    <m/>
    <n v="524490"/>
    <n v="175266"/>
    <x v="13"/>
    <m/>
    <m/>
    <n v="0"/>
    <n v="5"/>
    <n v="5"/>
    <n v="6"/>
    <n v="6"/>
    <m/>
    <s v="Alterations including erection of front and rear mansard extension to main roof and conversion of upper floors to 1 x 1-bedroom and 5 x 2-bedroom flats with roof terraces at all upper floors; refuse and cycle storage accessed from the rear."/>
    <s v="AF"/>
    <d v="2018-02-05T00:00:00"/>
    <m/>
    <x v="0"/>
    <s v="Nil"/>
    <m/>
    <s v="BF"/>
    <x v="4"/>
    <x v="0"/>
    <x v="5"/>
    <n v="1.4000000432133701E-2"/>
    <m/>
    <x v="0"/>
    <m/>
    <x v="0"/>
    <s v="P"/>
    <m/>
    <m/>
    <n v="0"/>
    <m/>
    <n v="0"/>
    <m/>
    <n v="0"/>
    <n v="0"/>
    <n v="5"/>
    <n v="0"/>
    <n v="0"/>
    <n v="0"/>
    <n v="0"/>
    <n v="0"/>
    <n v="0"/>
    <n v="5"/>
    <n v="0"/>
    <n v="0"/>
    <n v="0"/>
    <n v="0"/>
    <n v="0"/>
    <n v="0"/>
    <n v="0"/>
    <n v="0"/>
    <n v="0"/>
    <n v="0"/>
    <n v="0"/>
    <n v="0"/>
    <n v="0"/>
    <n v="0"/>
    <n v="0"/>
    <n v="0"/>
    <n v="0"/>
    <n v="0"/>
    <s v="West"/>
    <x v="0"/>
    <x v="0"/>
    <x v="1"/>
    <x v="0"/>
    <x v="0"/>
    <x v="0"/>
    <m/>
    <x v="0"/>
    <s v="Y"/>
    <n v="10"/>
    <m/>
    <n v="0"/>
    <n v="0"/>
    <n v="0"/>
    <n v="0"/>
    <n v="0"/>
    <n v="1.6666666666666667"/>
    <n v="1.6666666666666667"/>
    <n v="1.6666666666666667"/>
    <n v="0"/>
    <n v="0"/>
    <n v="0"/>
    <n v="0"/>
    <n v="0"/>
    <n v="0"/>
    <n v="0"/>
    <n v="0"/>
    <n v="0"/>
    <n v="0"/>
    <n v="0"/>
    <n v="0"/>
    <n v="0"/>
    <n v="1.6666666666666667"/>
    <n v="5"/>
  </r>
  <r>
    <n v="6805"/>
    <x v="4"/>
    <s v="2018/0376"/>
    <m/>
    <s v="231 Putney Bridge Road"/>
    <m/>
    <n v="524490"/>
    <n v="175266"/>
    <x v="13"/>
    <m/>
    <m/>
    <n v="0"/>
    <n v="1"/>
    <n v="1"/>
    <n v="6"/>
    <n v="6"/>
    <m/>
    <s v="Alterations including erection of front and rear mansard extension to main roof and conversion of upper floors to 1 x 1-bedroom and 5 x 2-bedroom flats with roof terraces at all upper floors; refuse and cycle storage accessed from the rear."/>
    <s v="AF"/>
    <d v="2018-02-05T00:00:00"/>
    <m/>
    <x v="0"/>
    <s v="Nil"/>
    <m/>
    <s v="BF"/>
    <x v="4"/>
    <x v="0"/>
    <x v="0"/>
    <n v="3.0000000260770299E-3"/>
    <m/>
    <x v="0"/>
    <m/>
    <x v="0"/>
    <s v="P"/>
    <m/>
    <m/>
    <n v="0"/>
    <m/>
    <n v="0"/>
    <m/>
    <n v="0"/>
    <n v="1"/>
    <n v="0"/>
    <n v="0"/>
    <n v="0"/>
    <n v="0"/>
    <n v="0"/>
    <n v="0"/>
    <n v="1"/>
    <n v="0"/>
    <n v="0"/>
    <n v="0"/>
    <n v="0"/>
    <n v="0"/>
    <n v="0"/>
    <n v="0"/>
    <n v="0"/>
    <n v="0"/>
    <n v="0"/>
    <n v="0"/>
    <n v="0"/>
    <n v="0"/>
    <n v="0"/>
    <n v="0"/>
    <n v="0"/>
    <n v="0"/>
    <n v="0"/>
    <n v="0"/>
    <s v="West"/>
    <x v="0"/>
    <x v="0"/>
    <x v="1"/>
    <x v="0"/>
    <x v="0"/>
    <x v="0"/>
    <m/>
    <x v="0"/>
    <s v="Y"/>
    <n v="10"/>
    <m/>
    <n v="0"/>
    <n v="0"/>
    <n v="0"/>
    <n v="0"/>
    <n v="0"/>
    <n v="0.33333333333333331"/>
    <n v="0.33333333333333331"/>
    <n v="0.33333333333333331"/>
    <n v="0"/>
    <n v="0"/>
    <n v="0"/>
    <n v="0"/>
    <n v="0"/>
    <n v="0"/>
    <n v="0"/>
    <n v="0"/>
    <n v="0"/>
    <n v="0"/>
    <n v="0"/>
    <n v="0"/>
    <n v="0"/>
    <n v="0.33333333333333331"/>
    <n v="1"/>
  </r>
  <r>
    <n v="6807"/>
    <x v="4"/>
    <s v="2018/0550"/>
    <m/>
    <s v="8 Bushnell Road"/>
    <m/>
    <n v="528715"/>
    <n v="172412"/>
    <x v="3"/>
    <m/>
    <m/>
    <n v="2"/>
    <n v="1"/>
    <n v="-1"/>
    <n v="1"/>
    <n v="-1"/>
    <m/>
    <s v="Alterations in connection with conversion of two flats into a single dwelling."/>
    <s v="AF"/>
    <d v="2018-02-15T00:00:00"/>
    <m/>
    <x v="0"/>
    <s v="Nil"/>
    <m/>
    <s v="BF"/>
    <x v="1"/>
    <x v="0"/>
    <x v="7"/>
    <n v="3.7999998778104803E-2"/>
    <m/>
    <x v="0"/>
    <m/>
    <x v="0"/>
    <s v="P"/>
    <m/>
    <m/>
    <n v="0"/>
    <m/>
    <n v="0"/>
    <m/>
    <n v="0"/>
    <n v="-1"/>
    <n v="0"/>
    <n v="-1"/>
    <n v="1"/>
    <n v="0"/>
    <n v="0"/>
    <n v="0"/>
    <n v="-1"/>
    <n v="0"/>
    <n v="-1"/>
    <n v="0"/>
    <n v="0"/>
    <n v="0"/>
    <n v="0"/>
    <n v="0"/>
    <n v="0"/>
    <n v="0"/>
    <n v="1"/>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810"/>
    <x v="4"/>
    <s v="2018/0576"/>
    <m/>
    <s v="123 Roehampton Vale"/>
    <m/>
    <n v="521688"/>
    <n v="172441"/>
    <x v="15"/>
    <m/>
    <m/>
    <n v="1"/>
    <n v="4"/>
    <n v="3"/>
    <n v="4"/>
    <n v="3"/>
    <m/>
    <s v="Erection of a side and rear roof extension; erection of a part-single, part-two-storey rear extension; conversion of property to 1 x 1-bedroom, 2 x 2-bedroom and 1 x 3-bedroom flats."/>
    <s v="AF"/>
    <d v="2018-02-16T00:00:00"/>
    <m/>
    <x v="0"/>
    <s v="Nil"/>
    <m/>
    <s v="BF"/>
    <x v="4"/>
    <x v="0"/>
    <x v="8"/>
    <n v="5.0000000745058101E-2"/>
    <m/>
    <x v="0"/>
    <m/>
    <x v="0"/>
    <s v="P"/>
    <m/>
    <m/>
    <n v="0"/>
    <m/>
    <n v="0"/>
    <m/>
    <n v="0"/>
    <n v="1"/>
    <n v="2"/>
    <n v="1"/>
    <n v="0"/>
    <n v="-1"/>
    <n v="0"/>
    <n v="0"/>
    <n v="1"/>
    <n v="2"/>
    <n v="1"/>
    <n v="0"/>
    <n v="0"/>
    <n v="0"/>
    <n v="0"/>
    <n v="0"/>
    <n v="0"/>
    <n v="0"/>
    <n v="0"/>
    <n v="-1"/>
    <n v="0"/>
    <n v="0"/>
    <n v="0"/>
    <n v="0"/>
    <n v="0"/>
    <n v="0"/>
    <n v="0"/>
    <n v="0"/>
    <s v="West"/>
    <x v="0"/>
    <x v="0"/>
    <x v="1"/>
    <x v="0"/>
    <x v="0"/>
    <x v="0"/>
    <m/>
    <x v="0"/>
    <s v="Y"/>
    <n v="10"/>
    <m/>
    <n v="0"/>
    <n v="0"/>
    <n v="0"/>
    <n v="0"/>
    <n v="0"/>
    <n v="1"/>
    <n v="1"/>
    <n v="1"/>
    <n v="0"/>
    <n v="0"/>
    <n v="0"/>
    <n v="0"/>
    <n v="0"/>
    <n v="0"/>
    <n v="0"/>
    <n v="0"/>
    <n v="0"/>
    <n v="0"/>
    <n v="0"/>
    <n v="0"/>
    <n v="0"/>
    <n v="1"/>
    <n v="3"/>
  </r>
  <r>
    <n v="6811"/>
    <x v="4"/>
    <s v="2018/0247"/>
    <m/>
    <s v="130 Brookwood Road"/>
    <m/>
    <n v="525229"/>
    <n v="173182"/>
    <x v="5"/>
    <m/>
    <m/>
    <n v="0"/>
    <n v="1"/>
    <n v="1"/>
    <n v="1"/>
    <n v="1"/>
    <m/>
    <s v="Change of use of ground floor from Class A2 to Class C3 forming a 1-bedroom flat. Erection of first floor level extension to building at rear including replacement screening to terrace and formation of ground floor cycle and refuse storage."/>
    <s v="AF"/>
    <d v="2018-02-16T00:00:00"/>
    <m/>
    <x v="0"/>
    <s v="Nil"/>
    <m/>
    <s v="BF"/>
    <x v="3"/>
    <x v="0"/>
    <x v="9"/>
    <n v="9.9999997764825804E-3"/>
    <m/>
    <x v="0"/>
    <m/>
    <x v="0"/>
    <s v="P"/>
    <m/>
    <m/>
    <n v="0"/>
    <m/>
    <n v="0"/>
    <m/>
    <n v="0"/>
    <n v="1"/>
    <n v="0"/>
    <n v="0"/>
    <n v="0"/>
    <n v="0"/>
    <n v="0"/>
    <n v="0"/>
    <n v="1"/>
    <n v="0"/>
    <n v="0"/>
    <n v="0"/>
    <n v="0"/>
    <n v="0"/>
    <n v="0"/>
    <n v="0"/>
    <n v="0"/>
    <n v="0"/>
    <n v="0"/>
    <n v="0"/>
    <n v="0"/>
    <n v="0"/>
    <n v="0"/>
    <n v="0"/>
    <n v="0"/>
    <n v="0"/>
    <n v="0"/>
    <n v="0"/>
    <s v="West"/>
    <x v="0"/>
    <x v="0"/>
    <x v="1"/>
    <x v="0"/>
    <x v="0"/>
    <x v="0"/>
    <m/>
    <x v="0"/>
    <s v="Y"/>
    <n v="10"/>
    <m/>
    <n v="0"/>
    <n v="0"/>
    <n v="0"/>
    <n v="0"/>
    <n v="0"/>
    <n v="0.33333333333333331"/>
    <n v="0.33333333333333331"/>
    <n v="0.33333333333333331"/>
    <n v="0"/>
    <n v="0"/>
    <n v="0"/>
    <n v="0"/>
    <n v="0"/>
    <n v="0"/>
    <n v="0"/>
    <n v="0"/>
    <n v="0"/>
    <n v="0"/>
    <n v="0"/>
    <n v="0"/>
    <n v="0"/>
    <n v="0.33333333333333331"/>
    <n v="1"/>
  </r>
  <r>
    <n v="6814"/>
    <x v="4"/>
    <s v="2018/0778"/>
    <m/>
    <s v="117 Putney High Street"/>
    <m/>
    <n v="524031"/>
    <n v="175248"/>
    <x v="13"/>
    <m/>
    <m/>
    <n v="0"/>
    <n v="3"/>
    <n v="3"/>
    <n v="3"/>
    <n v="3"/>
    <m/>
    <s v="Determination as to whether prior approval is required for change of use of office at first and second floor levels (Class B1a) to residential (Class C3) to provide 3 x 1-bedroom flats."/>
    <s v="NPA"/>
    <d v="2018-02-15T00:00:00"/>
    <m/>
    <x v="0"/>
    <s v="Nil"/>
    <m/>
    <s v="BF"/>
    <x v="3"/>
    <x v="0"/>
    <x v="9"/>
    <n v="1.7999999225139601E-2"/>
    <m/>
    <x v="0"/>
    <m/>
    <x v="0"/>
    <s v="P"/>
    <m/>
    <m/>
    <n v="0"/>
    <m/>
    <n v="0"/>
    <m/>
    <n v="0"/>
    <n v="3"/>
    <n v="0"/>
    <n v="0"/>
    <n v="0"/>
    <n v="0"/>
    <n v="0"/>
    <n v="0"/>
    <n v="3"/>
    <n v="0"/>
    <n v="0"/>
    <n v="0"/>
    <n v="0"/>
    <n v="0"/>
    <n v="0"/>
    <n v="0"/>
    <n v="0"/>
    <n v="0"/>
    <n v="0"/>
    <n v="0"/>
    <n v="0"/>
    <n v="0"/>
    <n v="0"/>
    <n v="0"/>
    <n v="0"/>
    <n v="0"/>
    <n v="0"/>
    <n v="0"/>
    <s v="West"/>
    <x v="3"/>
    <x v="0"/>
    <x v="1"/>
    <x v="0"/>
    <x v="0"/>
    <x v="0"/>
    <m/>
    <x v="0"/>
    <s v="Y"/>
    <n v="10"/>
    <m/>
    <n v="0"/>
    <n v="0"/>
    <n v="0"/>
    <n v="0"/>
    <n v="0"/>
    <n v="1"/>
    <n v="1"/>
    <n v="1"/>
    <n v="0"/>
    <n v="0"/>
    <n v="0"/>
    <n v="0"/>
    <n v="0"/>
    <n v="0"/>
    <n v="0"/>
    <n v="0"/>
    <n v="0"/>
    <n v="0"/>
    <n v="0"/>
    <n v="0"/>
    <n v="0"/>
    <n v="1"/>
    <n v="3"/>
  </r>
  <r>
    <n v="6815"/>
    <x v="4"/>
    <s v="2018/0585"/>
    <m/>
    <s v="The Surgery, Claudia Place"/>
    <m/>
    <n v="524144"/>
    <n v="173132"/>
    <x v="19"/>
    <m/>
    <m/>
    <n v="0"/>
    <n v="1"/>
    <n v="1"/>
    <n v="1"/>
    <n v="1"/>
    <m/>
    <s v="Demolition of existing building and erection of a part-single, part four-storey 3-bedroomed dwellinghouse including roof terrace, with one off-street parking space."/>
    <s v="AF"/>
    <d v="2018-02-15T00:00:00"/>
    <m/>
    <x v="0"/>
    <s v="Nil"/>
    <m/>
    <s v="BF"/>
    <x v="0"/>
    <x v="0"/>
    <x v="0"/>
    <n v="7.0000002160668399E-3"/>
    <m/>
    <x v="0"/>
    <m/>
    <x v="0"/>
    <s v="P"/>
    <m/>
    <m/>
    <n v="0"/>
    <m/>
    <n v="0"/>
    <m/>
    <n v="0"/>
    <n v="0"/>
    <n v="0"/>
    <n v="1"/>
    <n v="0"/>
    <n v="0"/>
    <n v="0"/>
    <n v="0"/>
    <n v="0"/>
    <n v="0"/>
    <n v="0"/>
    <n v="0"/>
    <n v="0"/>
    <n v="0"/>
    <n v="0"/>
    <n v="0"/>
    <n v="0"/>
    <n v="1"/>
    <n v="0"/>
    <n v="0"/>
    <n v="0"/>
    <n v="0"/>
    <n v="0"/>
    <n v="0"/>
    <n v="0"/>
    <n v="0"/>
    <n v="0"/>
    <n v="0"/>
    <s v="West"/>
    <x v="0"/>
    <x v="0"/>
    <x v="1"/>
    <x v="0"/>
    <x v="0"/>
    <x v="0"/>
    <m/>
    <x v="0"/>
    <s v="Y"/>
    <n v="6"/>
    <m/>
    <n v="0"/>
    <n v="0"/>
    <n v="0"/>
    <n v="0"/>
    <n v="0"/>
    <n v="0.33333333333333331"/>
    <n v="0.33333333333333331"/>
    <n v="0.33333333333333331"/>
    <n v="0"/>
    <n v="0"/>
    <n v="0"/>
    <n v="0"/>
    <n v="0"/>
    <n v="0"/>
    <n v="0"/>
    <n v="0"/>
    <n v="0"/>
    <n v="0"/>
    <n v="0"/>
    <n v="0"/>
    <n v="0"/>
    <n v="0.33333333333333331"/>
    <n v="1"/>
  </r>
  <r>
    <n v="6817"/>
    <x v="4"/>
    <s v="2017/6930"/>
    <m/>
    <s v="142-144, 142-144 Tooting Bec Road"/>
    <m/>
    <n v="528402"/>
    <n v="172041"/>
    <x v="3"/>
    <m/>
    <m/>
    <n v="0"/>
    <n v="4"/>
    <n v="4"/>
    <n v="6"/>
    <n v="5"/>
    <m/>
    <s v="Alterations including erection of dormer roof extension and erection of rear extension at first floor level (with french doors and safety railings) in connection conversion of two-bedroom flat and first floor office to 6 x 1-bedroom flats."/>
    <s v="AF"/>
    <d v="2018-02-22T00:00:00"/>
    <m/>
    <x v="0"/>
    <s v="Nil"/>
    <m/>
    <s v="BF"/>
    <x v="4"/>
    <x v="0"/>
    <x v="9"/>
    <n v="1.7000000923872001E-2"/>
    <m/>
    <x v="0"/>
    <m/>
    <x v="0"/>
    <s v="P"/>
    <m/>
    <m/>
    <n v="0"/>
    <m/>
    <n v="0"/>
    <m/>
    <n v="0"/>
    <n v="4"/>
    <n v="0"/>
    <n v="0"/>
    <n v="0"/>
    <n v="0"/>
    <n v="0"/>
    <n v="0"/>
    <n v="4"/>
    <n v="0"/>
    <n v="0"/>
    <n v="0"/>
    <n v="0"/>
    <n v="0"/>
    <n v="0"/>
    <n v="0"/>
    <n v="0"/>
    <n v="0"/>
    <n v="0"/>
    <n v="0"/>
    <n v="0"/>
    <n v="0"/>
    <n v="0"/>
    <n v="0"/>
    <n v="0"/>
    <n v="0"/>
    <n v="0"/>
    <n v="0"/>
    <s v="East"/>
    <x v="0"/>
    <x v="0"/>
    <x v="1"/>
    <x v="0"/>
    <x v="0"/>
    <x v="0"/>
    <m/>
    <x v="0"/>
    <s v="Y"/>
    <n v="10"/>
    <m/>
    <n v="0"/>
    <n v="0"/>
    <n v="0"/>
    <n v="0"/>
    <n v="0"/>
    <n v="1.3333333333333333"/>
    <n v="1.3333333333333333"/>
    <n v="1.3333333333333333"/>
    <n v="0"/>
    <n v="0"/>
    <n v="0"/>
    <n v="0"/>
    <n v="0"/>
    <n v="0"/>
    <n v="0"/>
    <n v="0"/>
    <n v="0"/>
    <n v="0"/>
    <n v="0"/>
    <n v="0"/>
    <n v="0"/>
    <n v="1.3333333333333333"/>
    <n v="4"/>
  </r>
  <r>
    <n v="6817"/>
    <x v="4"/>
    <s v="2017/6930"/>
    <m/>
    <s v="142-144, 142-144 Tooting Bec Road"/>
    <m/>
    <n v="528402"/>
    <n v="172041"/>
    <x v="3"/>
    <m/>
    <m/>
    <n v="0"/>
    <n v="1"/>
    <n v="1"/>
    <n v="6"/>
    <n v="5"/>
    <m/>
    <s v="Alterations including erection of dormer roof extension and erection of rear extension at first floor level (with french doors and safety railings) in connection conversion of two-bedroom flat and first floor office to 6 x 1-bedroom flats."/>
    <s v="AF"/>
    <d v="2018-02-22T00:00:00"/>
    <m/>
    <x v="0"/>
    <s v="Nil"/>
    <m/>
    <s v="BF"/>
    <x v="4"/>
    <x v="0"/>
    <x v="0"/>
    <n v="4.0000001899898104E-3"/>
    <m/>
    <x v="0"/>
    <m/>
    <x v="0"/>
    <s v="P"/>
    <m/>
    <m/>
    <n v="0"/>
    <m/>
    <n v="0"/>
    <m/>
    <n v="0"/>
    <n v="1"/>
    <n v="0"/>
    <n v="0"/>
    <n v="0"/>
    <n v="0"/>
    <n v="0"/>
    <n v="0"/>
    <n v="1"/>
    <n v="0"/>
    <n v="0"/>
    <n v="0"/>
    <n v="0"/>
    <n v="0"/>
    <n v="0"/>
    <n v="0"/>
    <n v="0"/>
    <n v="0"/>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817"/>
    <x v="4"/>
    <s v="2017/6930"/>
    <m/>
    <s v="142-144, 142-144 Tooting Bec Road"/>
    <m/>
    <n v="528402"/>
    <n v="172041"/>
    <x v="3"/>
    <m/>
    <m/>
    <n v="1"/>
    <n v="1"/>
    <n v="0"/>
    <n v="6"/>
    <n v="5"/>
    <m/>
    <s v="Alterations including erection of dormer roof extension and erection of rear extension at first floor level (with french doors and safety railings) in connection conversion of two-bedroom flat and first floor office to 6 x 1-bedroom flats."/>
    <s v="AF"/>
    <d v="2018-02-22T00:00:00"/>
    <m/>
    <x v="0"/>
    <s v="Nil"/>
    <m/>
    <s v="BF"/>
    <x v="4"/>
    <x v="0"/>
    <x v="2"/>
    <n v="4.0000001899898104E-3"/>
    <m/>
    <x v="0"/>
    <m/>
    <x v="0"/>
    <s v="P"/>
    <m/>
    <m/>
    <n v="0"/>
    <m/>
    <n v="0"/>
    <m/>
    <n v="0"/>
    <n v="1"/>
    <n v="-1"/>
    <n v="0"/>
    <n v="0"/>
    <n v="0"/>
    <n v="0"/>
    <n v="0"/>
    <n v="1"/>
    <n v="-1"/>
    <n v="0"/>
    <n v="0"/>
    <n v="0"/>
    <n v="0"/>
    <n v="0"/>
    <n v="0"/>
    <n v="0"/>
    <n v="0"/>
    <n v="0"/>
    <n v="0"/>
    <n v="0"/>
    <n v="0"/>
    <n v="0"/>
    <n v="0"/>
    <n v="0"/>
    <n v="0"/>
    <n v="0"/>
    <n v="0"/>
    <s v="East"/>
    <x v="0"/>
    <x v="0"/>
    <x v="1"/>
    <x v="0"/>
    <x v="0"/>
    <x v="0"/>
    <m/>
    <x v="0"/>
    <s v="Y"/>
    <n v="10"/>
    <m/>
    <n v="0"/>
    <n v="0"/>
    <n v="0"/>
    <n v="0"/>
    <n v="0"/>
    <n v="0"/>
    <n v="0"/>
    <n v="0"/>
    <n v="0"/>
    <n v="0"/>
    <n v="0"/>
    <n v="0"/>
    <n v="0"/>
    <n v="0"/>
    <n v="0"/>
    <n v="0"/>
    <n v="0"/>
    <n v="0"/>
    <n v="0"/>
    <n v="0"/>
    <n v="0"/>
    <n v="0"/>
    <n v="0"/>
  </r>
  <r>
    <n v="6818"/>
    <x v="4"/>
    <s v="2017/4531"/>
    <m/>
    <s v="152 Franciscan Road"/>
    <m/>
    <n v="527996"/>
    <n v="171537"/>
    <x v="8"/>
    <m/>
    <m/>
    <n v="1"/>
    <n v="2"/>
    <n v="1"/>
    <n v="2"/>
    <n v="1"/>
    <m/>
    <s v="Erection of single-storey side extension in connection with  conversion of property into 1 x two-bedroom and 1 x one-bedroom self-contained flats."/>
    <s v="AF"/>
    <d v="2018-02-19T00:00:00"/>
    <m/>
    <x v="0"/>
    <s v="Nil"/>
    <m/>
    <s v="BF"/>
    <x v="1"/>
    <x v="0"/>
    <x v="8"/>
    <n v="1.09999999403954E-2"/>
    <m/>
    <x v="0"/>
    <m/>
    <x v="0"/>
    <s v="P"/>
    <m/>
    <m/>
    <n v="0"/>
    <m/>
    <n v="0"/>
    <m/>
    <n v="0"/>
    <n v="1"/>
    <n v="1"/>
    <n v="0"/>
    <n v="-1"/>
    <n v="0"/>
    <n v="0"/>
    <n v="0"/>
    <n v="1"/>
    <n v="1"/>
    <n v="0"/>
    <n v="0"/>
    <n v="0"/>
    <n v="0"/>
    <n v="0"/>
    <n v="0"/>
    <n v="0"/>
    <n v="0"/>
    <n v="-1"/>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819"/>
    <x v="4"/>
    <s v="2018/0272"/>
    <m/>
    <s v="Pocklington Court 74, 74 Alton Road"/>
    <s v="BUILDING A - EXTRA CARE"/>
    <n v="522285"/>
    <n v="173138"/>
    <x v="15"/>
    <m/>
    <m/>
    <n v="64"/>
    <n v="41"/>
    <n v="-23"/>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AF"/>
    <d v="2018-02-19T00:00:00"/>
    <m/>
    <x v="0"/>
    <s v="Nil"/>
    <m/>
    <s v="BF"/>
    <x v="0"/>
    <x v="1"/>
    <x v="1"/>
    <n v="0.20399999618530301"/>
    <m/>
    <x v="0"/>
    <m/>
    <x v="2"/>
    <s v="HASR"/>
    <m/>
    <m/>
    <n v="0"/>
    <m/>
    <n v="0"/>
    <m/>
    <n v="-53"/>
    <n v="30"/>
    <n v="0"/>
    <n v="0"/>
    <n v="0"/>
    <n v="0"/>
    <n v="0"/>
    <n v="-53"/>
    <n v="30"/>
    <n v="0"/>
    <n v="0"/>
    <n v="0"/>
    <n v="0"/>
    <n v="0"/>
    <n v="0"/>
    <n v="0"/>
    <n v="0"/>
    <n v="0"/>
    <n v="0"/>
    <n v="0"/>
    <n v="0"/>
    <n v="0"/>
    <n v="0"/>
    <n v="0"/>
    <n v="0"/>
    <n v="0"/>
    <n v="0"/>
    <n v="0"/>
    <s v="West"/>
    <x v="0"/>
    <x v="0"/>
    <x v="1"/>
    <x v="0"/>
    <x v="0"/>
    <x v="0"/>
    <m/>
    <x v="0"/>
    <s v="Y"/>
    <n v="6"/>
    <m/>
    <n v="0"/>
    <n v="0"/>
    <n v="0"/>
    <n v="0"/>
    <n v="0"/>
    <n v="-7.666666666666667"/>
    <n v="-7.666666666666667"/>
    <n v="-7.666666666666667"/>
    <n v="0"/>
    <n v="0"/>
    <n v="0"/>
    <n v="0"/>
    <n v="0"/>
    <n v="0"/>
    <n v="0"/>
    <n v="0"/>
    <n v="0"/>
    <n v="0"/>
    <n v="0"/>
    <n v="0"/>
    <n v="0"/>
    <n v="-7.666666666666667"/>
    <n v="-23"/>
  </r>
  <r>
    <n v="6819"/>
    <x v="4"/>
    <s v="2018/0272"/>
    <m/>
    <s v="Pocklington Court 74, 74 Alton Road"/>
    <s v="BUILDING B - AFFORDABLE (INTERMEDIATE)"/>
    <n v="522285"/>
    <n v="173138"/>
    <x v="15"/>
    <m/>
    <m/>
    <n v="0"/>
    <n v="28"/>
    <n v="28"/>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AF"/>
    <d v="2018-02-19T00:00:00"/>
    <m/>
    <x v="0"/>
    <s v="Nil"/>
    <m/>
    <s v="BF"/>
    <x v="0"/>
    <x v="1"/>
    <x v="1"/>
    <n v="0.163000002503395"/>
    <m/>
    <x v="0"/>
    <m/>
    <x v="1"/>
    <s v="HAIR"/>
    <m/>
    <m/>
    <n v="0"/>
    <m/>
    <n v="0"/>
    <m/>
    <n v="0"/>
    <n v="15"/>
    <n v="10"/>
    <n v="3"/>
    <n v="0"/>
    <n v="0"/>
    <n v="0"/>
    <n v="0"/>
    <n v="15"/>
    <n v="10"/>
    <n v="3"/>
    <n v="0"/>
    <n v="0"/>
    <n v="0"/>
    <n v="0"/>
    <n v="0"/>
    <n v="0"/>
    <n v="0"/>
    <n v="0"/>
    <n v="0"/>
    <n v="0"/>
    <n v="0"/>
    <n v="0"/>
    <n v="0"/>
    <n v="0"/>
    <n v="0"/>
    <n v="0"/>
    <n v="0"/>
    <s v="West"/>
    <x v="0"/>
    <x v="0"/>
    <x v="1"/>
    <x v="0"/>
    <x v="0"/>
    <x v="0"/>
    <m/>
    <x v="0"/>
    <s v="Y"/>
    <n v="6"/>
    <m/>
    <n v="0"/>
    <n v="0"/>
    <n v="0"/>
    <n v="0"/>
    <n v="0"/>
    <n v="9.3333333333333339"/>
    <n v="9.3333333333333339"/>
    <n v="9.3333333333333339"/>
    <n v="0"/>
    <n v="0"/>
    <n v="0"/>
    <n v="0"/>
    <n v="0"/>
    <n v="0"/>
    <n v="0"/>
    <n v="0"/>
    <n v="0"/>
    <n v="0"/>
    <n v="0"/>
    <n v="0"/>
    <n v="0"/>
    <n v="9.3333333333333339"/>
    <n v="28"/>
  </r>
  <r>
    <n v="6819"/>
    <x v="4"/>
    <s v="2018/0272"/>
    <m/>
    <s v="Pocklington Court 74, 74 Alton Road"/>
    <m/>
    <n v="522285"/>
    <n v="173138"/>
    <x v="15"/>
    <m/>
    <m/>
    <n v="0"/>
    <n v="26"/>
    <n v="26"/>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AF"/>
    <d v="2018-02-19T00:00:00"/>
    <m/>
    <x v="0"/>
    <s v="Nil"/>
    <m/>
    <s v="BF"/>
    <x v="0"/>
    <x v="1"/>
    <x v="1"/>
    <n v="0.15600000321865101"/>
    <m/>
    <x v="0"/>
    <m/>
    <x v="1"/>
    <s v="HAIR"/>
    <m/>
    <m/>
    <n v="0"/>
    <m/>
    <n v="0"/>
    <m/>
    <n v="0"/>
    <n v="9"/>
    <n v="14"/>
    <n v="3"/>
    <n v="0"/>
    <n v="0"/>
    <n v="0"/>
    <n v="0"/>
    <n v="9"/>
    <n v="14"/>
    <n v="3"/>
    <n v="0"/>
    <n v="0"/>
    <n v="0"/>
    <n v="0"/>
    <n v="0"/>
    <n v="0"/>
    <n v="0"/>
    <n v="0"/>
    <n v="0"/>
    <n v="0"/>
    <n v="0"/>
    <n v="0"/>
    <n v="0"/>
    <n v="0"/>
    <n v="0"/>
    <n v="0"/>
    <n v="0"/>
    <s v="West"/>
    <x v="0"/>
    <x v="0"/>
    <x v="1"/>
    <x v="0"/>
    <x v="0"/>
    <x v="0"/>
    <m/>
    <x v="0"/>
    <s v="Y"/>
    <n v="6"/>
    <m/>
    <n v="0"/>
    <n v="0"/>
    <n v="0"/>
    <n v="0"/>
    <n v="0"/>
    <n v="8.6666666666666661"/>
    <n v="8.6666666666666661"/>
    <n v="8.6666666666666661"/>
    <n v="0"/>
    <n v="0"/>
    <n v="0"/>
    <n v="0"/>
    <n v="0"/>
    <n v="0"/>
    <n v="0"/>
    <n v="0"/>
    <n v="0"/>
    <n v="0"/>
    <n v="0"/>
    <n v="0"/>
    <n v="0"/>
    <n v="8.6666666666666661"/>
    <n v="26"/>
  </r>
  <r>
    <n v="6820"/>
    <x v="4"/>
    <s v="2018/0793"/>
    <m/>
    <s v="1 &amp; 1a, 1 Nepean Street"/>
    <m/>
    <n v="522422"/>
    <n v="173974"/>
    <x v="15"/>
    <m/>
    <m/>
    <n v="2"/>
    <n v="1"/>
    <n v="-1"/>
    <n v="1"/>
    <n v="-1"/>
    <m/>
    <s v="Alterations including erection of rear dormer, front rooflights and extension above two-storey back addition which would exxceed the main ridge height by 0.8m; erection of single-storey rear and side extensions in connection with use as a single dwelling house."/>
    <s v="AF"/>
    <d v="2018-02-22T00:00:00"/>
    <m/>
    <x v="0"/>
    <s v="Nil"/>
    <m/>
    <s v="BF"/>
    <x v="4"/>
    <x v="0"/>
    <x v="7"/>
    <n v="4.6000000089407002E-2"/>
    <m/>
    <x v="0"/>
    <m/>
    <x v="0"/>
    <s v="P"/>
    <m/>
    <m/>
    <n v="0"/>
    <m/>
    <n v="0"/>
    <m/>
    <n v="0"/>
    <n v="0"/>
    <n v="-1"/>
    <n v="-1"/>
    <n v="0"/>
    <n v="1"/>
    <n v="0"/>
    <n v="0"/>
    <n v="0"/>
    <n v="-1"/>
    <n v="-1"/>
    <n v="0"/>
    <n v="0"/>
    <n v="0"/>
    <n v="0"/>
    <n v="0"/>
    <n v="0"/>
    <n v="0"/>
    <n v="0"/>
    <n v="1"/>
    <n v="0"/>
    <n v="0"/>
    <n v="0"/>
    <n v="0"/>
    <n v="0"/>
    <n v="0"/>
    <n v="0"/>
    <n v="0"/>
    <s v="West"/>
    <x v="0"/>
    <x v="0"/>
    <x v="1"/>
    <x v="0"/>
    <x v="0"/>
    <x v="0"/>
    <m/>
    <x v="0"/>
    <s v="Y"/>
    <n v="10"/>
    <m/>
    <n v="0"/>
    <n v="0"/>
    <n v="0"/>
    <n v="0"/>
    <n v="0"/>
    <n v="-0.33333333333333331"/>
    <n v="-0.33333333333333331"/>
    <n v="-0.33333333333333331"/>
    <n v="0"/>
    <n v="0"/>
    <n v="0"/>
    <n v="0"/>
    <n v="0"/>
    <n v="0"/>
    <n v="0"/>
    <n v="0"/>
    <n v="0"/>
    <n v="0"/>
    <n v="0"/>
    <n v="0"/>
    <n v="0"/>
    <n v="-0.33333333333333331"/>
    <n v="-1"/>
  </r>
  <r>
    <n v="6821"/>
    <x v="4"/>
    <s v="2018/0807"/>
    <s v="Ransomes Dock Business Centre"/>
    <s v="Unit 31 Ransomes Dock Business Centre, 35-37 Parkgate Road"/>
    <m/>
    <n v="527311"/>
    <n v="177194"/>
    <x v="1"/>
    <m/>
    <m/>
    <n v="0"/>
    <n v="2"/>
    <n v="2"/>
    <n v="2"/>
    <n v="2"/>
    <m/>
    <s v="Determination as to whether prior approval is required for change of use from office at ground floor level (Use Class B1(a)) to residential (Use Class C3) to provide 1 x 1 bedroom and 1 x 2 bedroom flats."/>
    <s v="NPA"/>
    <d v="2018-02-20T00:00:00"/>
    <m/>
    <x v="0"/>
    <s v="Nil"/>
    <m/>
    <s v="BF"/>
    <x v="3"/>
    <x v="0"/>
    <x v="9"/>
    <n v="0"/>
    <m/>
    <x v="0"/>
    <m/>
    <x v="0"/>
    <s v="P"/>
    <m/>
    <m/>
    <n v="0"/>
    <m/>
    <n v="0"/>
    <m/>
    <n v="0"/>
    <n v="1"/>
    <n v="1"/>
    <n v="0"/>
    <n v="0"/>
    <n v="0"/>
    <n v="0"/>
    <n v="0"/>
    <n v="1"/>
    <n v="1"/>
    <n v="0"/>
    <n v="0"/>
    <n v="0"/>
    <n v="0"/>
    <n v="0"/>
    <n v="0"/>
    <n v="0"/>
    <n v="0"/>
    <n v="0"/>
    <n v="0"/>
    <n v="0"/>
    <n v="0"/>
    <n v="0"/>
    <n v="0"/>
    <n v="0"/>
    <n v="0"/>
    <n v="0"/>
    <n v="0"/>
    <s v="East"/>
    <x v="0"/>
    <x v="0"/>
    <x v="1"/>
    <x v="0"/>
    <x v="0"/>
    <x v="0"/>
    <s v="Y"/>
    <x v="0"/>
    <s v="Y"/>
    <n v="10"/>
    <m/>
    <n v="0"/>
    <n v="0"/>
    <n v="0"/>
    <n v="0"/>
    <n v="0"/>
    <n v="0.66666666666666663"/>
    <n v="0.66666666666666663"/>
    <n v="0.66666666666666663"/>
    <n v="0"/>
    <n v="0"/>
    <n v="0"/>
    <n v="0"/>
    <n v="0"/>
    <n v="0"/>
    <n v="0"/>
    <n v="0"/>
    <n v="0"/>
    <n v="0"/>
    <n v="0"/>
    <n v="0"/>
    <n v="0"/>
    <n v="0.66666666666666663"/>
    <n v="2"/>
  </r>
  <r>
    <n v="6821"/>
    <x v="4"/>
    <s v="2018/1604"/>
    <s v="Ransomes Dock Business Centre"/>
    <s v="Unit 31 Ransomes Dock Business Centre, 35-37 Parkgate Road"/>
    <m/>
    <n v="527311"/>
    <n v="177194"/>
    <x v="1"/>
    <m/>
    <m/>
    <n v="0"/>
    <n v="2"/>
    <n v="2"/>
    <n v="2"/>
    <n v="2"/>
    <m/>
    <s v="Determination as to whether prior approval is required for change of use from Business (Class B1a) to 1 x 1-bedroom and 1 x 2-bedroom flats Residential (Class C3)."/>
    <s v="NPA"/>
    <d v="2018-03-29T00:00:00"/>
    <m/>
    <x v="0"/>
    <s v="Nil"/>
    <m/>
    <s v="BF"/>
    <x v="3"/>
    <x v="0"/>
    <x v="9"/>
    <n v="0"/>
    <m/>
    <x v="0"/>
    <m/>
    <x v="0"/>
    <s v="P"/>
    <m/>
    <m/>
    <n v="0"/>
    <m/>
    <n v="0"/>
    <m/>
    <n v="0"/>
    <n v="1"/>
    <n v="1"/>
    <n v="0"/>
    <n v="0"/>
    <n v="0"/>
    <n v="0"/>
    <n v="0"/>
    <n v="1"/>
    <n v="1"/>
    <n v="0"/>
    <n v="0"/>
    <n v="0"/>
    <n v="0"/>
    <n v="0"/>
    <n v="0"/>
    <n v="0"/>
    <n v="0"/>
    <n v="0"/>
    <n v="0"/>
    <n v="0"/>
    <n v="0"/>
    <n v="0"/>
    <n v="0"/>
    <n v="0"/>
    <n v="0"/>
    <n v="0"/>
    <n v="0"/>
    <s v="East"/>
    <x v="0"/>
    <x v="0"/>
    <x v="1"/>
    <x v="0"/>
    <x v="0"/>
    <x v="0"/>
    <s v="Y"/>
    <x v="0"/>
    <s v="Y"/>
    <n v="10"/>
    <m/>
    <n v="0"/>
    <n v="0"/>
    <n v="0"/>
    <n v="0"/>
    <n v="0"/>
    <n v="0.66666666666666663"/>
    <n v="0.66666666666666663"/>
    <n v="0.66666666666666663"/>
    <n v="0"/>
    <n v="0"/>
    <n v="0"/>
    <n v="0"/>
    <n v="0"/>
    <n v="0"/>
    <n v="0"/>
    <n v="0"/>
    <n v="0"/>
    <n v="0"/>
    <n v="0"/>
    <n v="0"/>
    <n v="0"/>
    <n v="0.66666666666666663"/>
    <n v="2"/>
  </r>
  <r>
    <n v="6822"/>
    <x v="4"/>
    <s v="2018/0813"/>
    <s v="Ransomes Dock Business Centre"/>
    <s v="Unit 19 Ransomes Dock Business Centre, 35-37 Parkgate Road"/>
    <m/>
    <n v="527295"/>
    <n v="177182"/>
    <x v="1"/>
    <m/>
    <m/>
    <n v="0"/>
    <n v="1"/>
    <n v="1"/>
    <n v="1"/>
    <n v="1"/>
    <m/>
    <s v="Determination as to whether prior approval is required for change of use of office at first floor level (Use Class B1(a)) to residential (Use Class C3) to provide 1 x studio flat."/>
    <s v="NPA"/>
    <d v="2018-02-20T00:00:00"/>
    <m/>
    <x v="0"/>
    <s v="Nil"/>
    <m/>
    <s v="BF"/>
    <x v="3"/>
    <x v="0"/>
    <x v="9"/>
    <n v="0"/>
    <m/>
    <x v="0"/>
    <m/>
    <x v="0"/>
    <s v="P"/>
    <m/>
    <m/>
    <n v="0"/>
    <m/>
    <n v="0"/>
    <m/>
    <n v="1"/>
    <n v="0"/>
    <n v="0"/>
    <n v="0"/>
    <n v="0"/>
    <n v="0"/>
    <n v="0"/>
    <n v="1"/>
    <n v="0"/>
    <n v="0"/>
    <n v="0"/>
    <n v="0"/>
    <n v="0"/>
    <n v="0"/>
    <n v="0"/>
    <n v="0"/>
    <n v="0"/>
    <n v="0"/>
    <n v="0"/>
    <n v="0"/>
    <n v="0"/>
    <n v="0"/>
    <n v="0"/>
    <n v="0"/>
    <n v="0"/>
    <n v="0"/>
    <n v="0"/>
    <n v="0"/>
    <s v="East"/>
    <x v="0"/>
    <x v="0"/>
    <x v="1"/>
    <x v="0"/>
    <x v="0"/>
    <x v="0"/>
    <s v="Y"/>
    <x v="0"/>
    <s v="Y"/>
    <n v="10"/>
    <m/>
    <n v="0"/>
    <n v="0"/>
    <n v="0"/>
    <n v="0"/>
    <n v="0"/>
    <n v="0.33333333333333331"/>
    <n v="0.33333333333333331"/>
    <n v="0.33333333333333331"/>
    <n v="0"/>
    <n v="0"/>
    <n v="0"/>
    <n v="0"/>
    <n v="0"/>
    <n v="0"/>
    <n v="0"/>
    <n v="0"/>
    <n v="0"/>
    <n v="0"/>
    <n v="0"/>
    <n v="0"/>
    <n v="0"/>
    <n v="0.33333333333333331"/>
    <n v="1"/>
  </r>
  <r>
    <n v="6823"/>
    <x v="4"/>
    <s v="2018/0814"/>
    <s v="Ransomes Dock Business Centre"/>
    <s v="Unit 16 Ransomes Dock Business Centre, 35-37 Parkgate Road"/>
    <m/>
    <n v="527310"/>
    <n v="177159"/>
    <x v="1"/>
    <m/>
    <m/>
    <n v="0"/>
    <n v="2"/>
    <n v="2"/>
    <n v="2"/>
    <n v="2"/>
    <m/>
    <s v="Determination as to whether prior approval is required for change of use of office at ground floor level (Use Class B1(a)) to residential (Use Class C3) to provide 2 x 1 bedroom flats."/>
    <s v="NPA"/>
    <d v="2018-02-20T00:00:00"/>
    <m/>
    <x v="0"/>
    <s v="Nil"/>
    <m/>
    <s v="BF"/>
    <x v="3"/>
    <x v="0"/>
    <x v="9"/>
    <n v="0"/>
    <m/>
    <x v="0"/>
    <m/>
    <x v="0"/>
    <s v="P"/>
    <m/>
    <m/>
    <n v="0"/>
    <m/>
    <n v="0"/>
    <m/>
    <n v="0"/>
    <n v="2"/>
    <n v="0"/>
    <n v="0"/>
    <n v="0"/>
    <n v="0"/>
    <n v="0"/>
    <n v="0"/>
    <n v="2"/>
    <n v="0"/>
    <n v="0"/>
    <n v="0"/>
    <n v="0"/>
    <n v="0"/>
    <n v="0"/>
    <n v="0"/>
    <n v="0"/>
    <n v="0"/>
    <n v="0"/>
    <n v="0"/>
    <n v="0"/>
    <n v="0"/>
    <n v="0"/>
    <n v="0"/>
    <n v="0"/>
    <n v="0"/>
    <n v="0"/>
    <n v="0"/>
    <s v="East"/>
    <x v="0"/>
    <x v="0"/>
    <x v="1"/>
    <x v="0"/>
    <x v="0"/>
    <x v="0"/>
    <s v="Y"/>
    <x v="0"/>
    <s v="Y"/>
    <n v="10"/>
    <m/>
    <n v="0"/>
    <n v="0"/>
    <n v="0"/>
    <n v="0"/>
    <n v="0"/>
    <n v="0.66666666666666663"/>
    <n v="0.66666666666666663"/>
    <n v="0.66666666666666663"/>
    <n v="0"/>
    <n v="0"/>
    <n v="0"/>
    <n v="0"/>
    <n v="0"/>
    <n v="0"/>
    <n v="0"/>
    <n v="0"/>
    <n v="0"/>
    <n v="0"/>
    <n v="0"/>
    <n v="0"/>
    <n v="0"/>
    <n v="0.66666666666666663"/>
    <n v="2"/>
  </r>
  <r>
    <n v="6824"/>
    <x v="4"/>
    <s v="2018/0815"/>
    <s v="Ransomes Dock Business Centre"/>
    <s v="Unit 15 Ransomes Dock Business Centre, 35-37 Parkgate Road"/>
    <m/>
    <n v="527310"/>
    <n v="177159"/>
    <x v="1"/>
    <m/>
    <m/>
    <n v="0"/>
    <n v="1"/>
    <n v="1"/>
    <n v="1"/>
    <n v="1"/>
    <m/>
    <s v="Determination as to whether prior approval is required for change of use of office at first floor level (UseClass B1(a)) to residential (Use Class C3) to provide 1 x 2 bedroom flat."/>
    <s v="NPA"/>
    <d v="2018-02-20T00:00:00"/>
    <m/>
    <x v="0"/>
    <s v="Nil"/>
    <m/>
    <s v="BF"/>
    <x v="3"/>
    <x v="0"/>
    <x v="9"/>
    <n v="0"/>
    <m/>
    <x v="0"/>
    <m/>
    <x v="0"/>
    <s v="P"/>
    <m/>
    <m/>
    <n v="0"/>
    <m/>
    <n v="0"/>
    <m/>
    <n v="0"/>
    <n v="0"/>
    <n v="1"/>
    <n v="0"/>
    <n v="0"/>
    <n v="0"/>
    <n v="0"/>
    <n v="0"/>
    <n v="0"/>
    <n v="1"/>
    <n v="0"/>
    <n v="0"/>
    <n v="0"/>
    <n v="0"/>
    <n v="0"/>
    <n v="0"/>
    <n v="0"/>
    <n v="0"/>
    <n v="0"/>
    <n v="0"/>
    <n v="0"/>
    <n v="0"/>
    <n v="0"/>
    <n v="0"/>
    <n v="0"/>
    <n v="0"/>
    <n v="0"/>
    <n v="0"/>
    <s v="East"/>
    <x v="0"/>
    <x v="0"/>
    <x v="1"/>
    <x v="0"/>
    <x v="0"/>
    <x v="0"/>
    <s v="Y"/>
    <x v="0"/>
    <s v="Y"/>
    <n v="10"/>
    <m/>
    <n v="0"/>
    <n v="0"/>
    <n v="0"/>
    <n v="0"/>
    <n v="0"/>
    <n v="0.33333333333333331"/>
    <n v="0.33333333333333331"/>
    <n v="0.33333333333333331"/>
    <n v="0"/>
    <n v="0"/>
    <n v="0"/>
    <n v="0"/>
    <n v="0"/>
    <n v="0"/>
    <n v="0"/>
    <n v="0"/>
    <n v="0"/>
    <n v="0"/>
    <n v="0"/>
    <n v="0"/>
    <n v="0"/>
    <n v="0.33333333333333331"/>
    <n v="1"/>
  </r>
  <r>
    <n v="6825"/>
    <x v="4"/>
    <s v="2018/0816"/>
    <s v="Ransomes Dock Business Centre"/>
    <s v="Unit 11-12 Ransomes Dock Business Centre, 35-37 Parkgate Road"/>
    <m/>
    <n v="527310"/>
    <n v="177159"/>
    <x v="1"/>
    <m/>
    <m/>
    <n v="0"/>
    <n v="1"/>
    <n v="1"/>
    <n v="1"/>
    <n v="1"/>
    <m/>
    <s v="Determination as to whether prior approval is required for change of use of office at second floor level (Use Class B1(a) to residential (Use Class 3) to provide 1 x 2 bedroom flat."/>
    <s v="NPA"/>
    <d v="2018-02-20T00:00:00"/>
    <m/>
    <x v="0"/>
    <s v="Nil"/>
    <m/>
    <s v="BF"/>
    <x v="3"/>
    <x v="0"/>
    <x v="9"/>
    <n v="0"/>
    <m/>
    <x v="0"/>
    <m/>
    <x v="0"/>
    <s v="P"/>
    <m/>
    <m/>
    <n v="0"/>
    <m/>
    <n v="0"/>
    <m/>
    <n v="0"/>
    <n v="0"/>
    <n v="1"/>
    <n v="0"/>
    <n v="0"/>
    <n v="0"/>
    <n v="0"/>
    <n v="0"/>
    <n v="0"/>
    <n v="1"/>
    <n v="0"/>
    <n v="0"/>
    <n v="0"/>
    <n v="0"/>
    <n v="0"/>
    <n v="0"/>
    <n v="0"/>
    <n v="0"/>
    <n v="0"/>
    <n v="0"/>
    <n v="0"/>
    <n v="0"/>
    <n v="0"/>
    <n v="0"/>
    <n v="0"/>
    <n v="0"/>
    <n v="0"/>
    <n v="0"/>
    <s v="East"/>
    <x v="0"/>
    <x v="0"/>
    <x v="1"/>
    <x v="0"/>
    <x v="0"/>
    <x v="0"/>
    <s v="Y"/>
    <x v="0"/>
    <s v="Y"/>
    <n v="10"/>
    <m/>
    <n v="0"/>
    <n v="0"/>
    <n v="0"/>
    <n v="0"/>
    <n v="0"/>
    <n v="0.33333333333333331"/>
    <n v="0.33333333333333331"/>
    <n v="0.33333333333333331"/>
    <n v="0"/>
    <n v="0"/>
    <n v="0"/>
    <n v="0"/>
    <n v="0"/>
    <n v="0"/>
    <n v="0"/>
    <n v="0"/>
    <n v="0"/>
    <n v="0"/>
    <n v="0"/>
    <n v="0"/>
    <n v="0"/>
    <n v="0.33333333333333331"/>
    <n v="1"/>
  </r>
  <r>
    <n v="6826"/>
    <x v="4"/>
    <s v="2018/0817"/>
    <s v="Ransomes Dock Business Centre"/>
    <s v="Unit 7-10 Ransomes Dock Business Centre, 35-37 Parkgate Road"/>
    <m/>
    <n v="527310"/>
    <n v="177159"/>
    <x v="1"/>
    <m/>
    <m/>
    <n v="0"/>
    <n v="2"/>
    <n v="2"/>
    <n v="2"/>
    <n v="2"/>
    <m/>
    <s v="Determination as to whether prior approval is required for change of use of office at first floor level  (Use Class B1(a)) to residential (Use Class C3) to provide 1 x 1 bedroom flat and 1 x 2 bedroom flat."/>
    <s v="NPA"/>
    <d v="2018-02-20T00:00:00"/>
    <m/>
    <x v="0"/>
    <s v="Nil"/>
    <m/>
    <s v="BF"/>
    <x v="3"/>
    <x v="0"/>
    <x v="9"/>
    <n v="0"/>
    <m/>
    <x v="0"/>
    <m/>
    <x v="0"/>
    <s v="P"/>
    <m/>
    <m/>
    <n v="0"/>
    <m/>
    <n v="0"/>
    <m/>
    <n v="0"/>
    <n v="1"/>
    <n v="1"/>
    <n v="0"/>
    <n v="0"/>
    <n v="0"/>
    <n v="0"/>
    <n v="0"/>
    <n v="1"/>
    <n v="1"/>
    <n v="0"/>
    <n v="0"/>
    <n v="0"/>
    <n v="0"/>
    <n v="0"/>
    <n v="0"/>
    <n v="0"/>
    <n v="0"/>
    <n v="0"/>
    <n v="0"/>
    <n v="0"/>
    <n v="0"/>
    <n v="0"/>
    <n v="0"/>
    <n v="0"/>
    <n v="0"/>
    <n v="0"/>
    <n v="0"/>
    <s v="East"/>
    <x v="0"/>
    <x v="0"/>
    <x v="1"/>
    <x v="0"/>
    <x v="0"/>
    <x v="0"/>
    <s v="Y"/>
    <x v="0"/>
    <s v="Y"/>
    <n v="10"/>
    <m/>
    <n v="0"/>
    <n v="0"/>
    <n v="0"/>
    <n v="0"/>
    <n v="0"/>
    <n v="0.66666666666666663"/>
    <n v="0.66666666666666663"/>
    <n v="0.66666666666666663"/>
    <n v="0"/>
    <n v="0"/>
    <n v="0"/>
    <n v="0"/>
    <n v="0"/>
    <n v="0"/>
    <n v="0"/>
    <n v="0"/>
    <n v="0"/>
    <n v="0"/>
    <n v="0"/>
    <n v="0"/>
    <n v="0"/>
    <n v="0.66666666666666663"/>
    <n v="2"/>
  </r>
  <r>
    <n v="6828"/>
    <x v="4"/>
    <s v="2018/0663"/>
    <m/>
    <s v="74a, 74a Vant Road"/>
    <m/>
    <n v="527983"/>
    <n v="171216"/>
    <x v="8"/>
    <m/>
    <m/>
    <n v="1"/>
    <n v="4"/>
    <n v="3"/>
    <n v="4"/>
    <n v="3"/>
    <m/>
    <s v="Alterations including erection of rear roof extension to main rear roof, erection part single, part two-storey front and side extension with roof over, erection of single storey rear/side extension and excavation to create basement including formation of front, side and rear lightwells with grille over in connection with conversion to provide 2 x 3-bedroom, 1 x 1-bedroom and 1 x studio flats."/>
    <s v="AF"/>
    <d v="2018-03-01T00:00:00"/>
    <m/>
    <x v="0"/>
    <s v="Nil"/>
    <m/>
    <s v="BF"/>
    <x v="4"/>
    <x v="0"/>
    <x v="8"/>
    <n v="3.29999998211861E-2"/>
    <m/>
    <x v="0"/>
    <m/>
    <x v="0"/>
    <s v="P"/>
    <m/>
    <m/>
    <n v="0"/>
    <m/>
    <n v="0"/>
    <m/>
    <n v="1"/>
    <n v="1"/>
    <n v="0"/>
    <n v="2"/>
    <n v="0"/>
    <n v="-1"/>
    <n v="0"/>
    <n v="1"/>
    <n v="1"/>
    <n v="0"/>
    <n v="2"/>
    <n v="0"/>
    <n v="0"/>
    <n v="0"/>
    <n v="0"/>
    <n v="0"/>
    <n v="0"/>
    <n v="0"/>
    <n v="0"/>
    <n v="-1"/>
    <n v="0"/>
    <n v="0"/>
    <n v="0"/>
    <n v="0"/>
    <n v="0"/>
    <n v="0"/>
    <n v="0"/>
    <n v="0"/>
    <s v="East"/>
    <x v="0"/>
    <x v="0"/>
    <x v="1"/>
    <x v="0"/>
    <x v="0"/>
    <x v="0"/>
    <m/>
    <x v="0"/>
    <s v="Y"/>
    <n v="10"/>
    <m/>
    <n v="0"/>
    <n v="0"/>
    <n v="0"/>
    <n v="0"/>
    <n v="0"/>
    <n v="1"/>
    <n v="1"/>
    <n v="1"/>
    <n v="0"/>
    <n v="0"/>
    <n v="0"/>
    <n v="0"/>
    <n v="0"/>
    <n v="0"/>
    <n v="0"/>
    <n v="0"/>
    <n v="0"/>
    <n v="0"/>
    <n v="0"/>
    <n v="0"/>
    <n v="0"/>
    <n v="1"/>
    <n v="3"/>
  </r>
  <r>
    <n v="6830"/>
    <x v="4"/>
    <s v="2018/0881"/>
    <m/>
    <s v="125a &amp; 125c, 125a &amp; c Northcote Road"/>
    <m/>
    <n v="527581"/>
    <n v="174645"/>
    <x v="14"/>
    <m/>
    <m/>
    <n v="0"/>
    <n v="2"/>
    <n v="2"/>
    <n v="2"/>
    <n v="2"/>
    <m/>
    <s v="Remodelling and extension of existing building including addition of two additional storeys to provide 2 new 2 bedroom flats on a new 2nd floor and within a new 3rd floor/roof."/>
    <s v="AF"/>
    <d v="2018-03-01T00:00:00"/>
    <m/>
    <x v="0"/>
    <s v="Nil"/>
    <m/>
    <s v="BF"/>
    <x v="2"/>
    <x v="0"/>
    <x v="3"/>
    <n v="7.0000002160668399E-3"/>
    <m/>
    <x v="0"/>
    <m/>
    <x v="0"/>
    <s v="P"/>
    <m/>
    <m/>
    <n v="0"/>
    <m/>
    <n v="0"/>
    <m/>
    <n v="0"/>
    <n v="0"/>
    <n v="2"/>
    <n v="0"/>
    <n v="0"/>
    <n v="0"/>
    <n v="0"/>
    <n v="0"/>
    <n v="0"/>
    <n v="2"/>
    <n v="0"/>
    <n v="0"/>
    <n v="0"/>
    <n v="0"/>
    <n v="0"/>
    <n v="0"/>
    <n v="0"/>
    <n v="0"/>
    <n v="0"/>
    <n v="0"/>
    <n v="0"/>
    <n v="0"/>
    <n v="0"/>
    <n v="0"/>
    <n v="0"/>
    <n v="0"/>
    <n v="0"/>
    <n v="0"/>
    <s v="East"/>
    <x v="0"/>
    <x v="0"/>
    <x v="1"/>
    <x v="0"/>
    <x v="0"/>
    <x v="0"/>
    <m/>
    <x v="0"/>
    <s v="Y"/>
    <n v="10"/>
    <m/>
    <n v="0"/>
    <n v="0"/>
    <n v="0"/>
    <n v="0"/>
    <n v="0"/>
    <n v="0.66666666666666663"/>
    <n v="0.66666666666666663"/>
    <n v="0.66666666666666663"/>
    <n v="0"/>
    <n v="0"/>
    <n v="0"/>
    <n v="0"/>
    <n v="0"/>
    <n v="0"/>
    <n v="0"/>
    <n v="0"/>
    <n v="0"/>
    <n v="0"/>
    <n v="0"/>
    <n v="0"/>
    <n v="0"/>
    <n v="0.66666666666666663"/>
    <n v="2"/>
  </r>
  <r>
    <n v="6833"/>
    <x v="4"/>
    <s v="2018/0952"/>
    <m/>
    <s v="32 Cathles Road"/>
    <m/>
    <n v="528973"/>
    <n v="174014"/>
    <x v="9"/>
    <m/>
    <m/>
    <n v="1"/>
    <n v="2"/>
    <n v="1"/>
    <n v="2"/>
    <n v="1"/>
    <m/>
    <s v="Erection of a mansard extension to main rear roof and above part of two-storey rear addition. Erection of a single-storey rear/side extension and excavation to enlarge basement with the formation of side and rear lightwells with glass over in connection with the conversion of the property into 2 x 3-bedroom flats."/>
    <s v="AF"/>
    <d v="2018-03-06T00:00:00"/>
    <m/>
    <x v="0"/>
    <s v="Nil"/>
    <m/>
    <s v="BF"/>
    <x v="4"/>
    <x v="0"/>
    <x v="8"/>
    <n v="1.09999999403954E-2"/>
    <m/>
    <x v="0"/>
    <m/>
    <x v="0"/>
    <s v="P"/>
    <m/>
    <m/>
    <n v="0"/>
    <m/>
    <n v="0"/>
    <m/>
    <n v="0"/>
    <n v="0"/>
    <n v="0"/>
    <n v="1"/>
    <n v="0"/>
    <n v="0"/>
    <n v="0"/>
    <n v="0"/>
    <n v="0"/>
    <n v="0"/>
    <n v="2"/>
    <n v="0"/>
    <n v="0"/>
    <n v="0"/>
    <n v="0"/>
    <n v="0"/>
    <n v="0"/>
    <n v="-1"/>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834"/>
    <x v="4"/>
    <s v="2018/1009"/>
    <m/>
    <s v="4 Pretoria Road"/>
    <m/>
    <n v="529168"/>
    <n v="171180"/>
    <x v="12"/>
    <m/>
    <m/>
    <n v="2"/>
    <n v="1"/>
    <n v="-1"/>
    <n v="1"/>
    <n v="-1"/>
    <m/>
    <s v="Alterations including the de-conversion of the existing 1x1 bed and 1x2 bed self-contained flats into a single dwellinghouse"/>
    <s v="AF"/>
    <d v="2018-03-07T00:00:00"/>
    <m/>
    <x v="0"/>
    <s v="Nil"/>
    <m/>
    <s v="BF"/>
    <x v="1"/>
    <x v="0"/>
    <x v="7"/>
    <n v="1.7000000923872001E-2"/>
    <m/>
    <x v="0"/>
    <m/>
    <x v="0"/>
    <s v="P"/>
    <m/>
    <m/>
    <n v="0"/>
    <m/>
    <n v="0"/>
    <m/>
    <n v="0"/>
    <n v="-1"/>
    <n v="-1"/>
    <n v="0"/>
    <n v="0"/>
    <n v="1"/>
    <n v="0"/>
    <n v="0"/>
    <n v="-1"/>
    <n v="-1"/>
    <n v="0"/>
    <n v="0"/>
    <n v="0"/>
    <n v="0"/>
    <n v="0"/>
    <n v="0"/>
    <n v="0"/>
    <n v="0"/>
    <n v="0"/>
    <n v="1"/>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835"/>
    <x v="4"/>
    <s v="2018/1053"/>
    <m/>
    <s v="Land rear of 22, 22 Chillerton Road"/>
    <m/>
    <n v="528565"/>
    <n v="171318"/>
    <x v="12"/>
    <m/>
    <m/>
    <n v="0"/>
    <n v="1"/>
    <n v="1"/>
    <n v="1"/>
    <n v="1"/>
    <m/>
    <s v="Demolition of garage and erection of two-storey (plus basement with front lightwell) 1-bedroom dwellinghouse."/>
    <s v="AF"/>
    <d v="2018-03-07T00:00:00"/>
    <m/>
    <x v="0"/>
    <s v="Nil"/>
    <m/>
    <s v="BF"/>
    <x v="0"/>
    <x v="0"/>
    <x v="0"/>
    <n v="1.7000000923872001E-2"/>
    <m/>
    <x v="0"/>
    <m/>
    <x v="0"/>
    <s v="P"/>
    <m/>
    <m/>
    <n v="0"/>
    <m/>
    <n v="0"/>
    <m/>
    <n v="0"/>
    <n v="1"/>
    <n v="0"/>
    <n v="0"/>
    <n v="0"/>
    <n v="0"/>
    <n v="0"/>
    <n v="0"/>
    <n v="0"/>
    <n v="0"/>
    <n v="0"/>
    <n v="0"/>
    <n v="0"/>
    <n v="0"/>
    <n v="0"/>
    <n v="1"/>
    <n v="0"/>
    <n v="0"/>
    <n v="0"/>
    <n v="0"/>
    <n v="0"/>
    <n v="0"/>
    <n v="0"/>
    <n v="0"/>
    <n v="0"/>
    <n v="0"/>
    <n v="0"/>
    <n v="0"/>
    <s v="East"/>
    <x v="0"/>
    <x v="0"/>
    <x v="1"/>
    <x v="0"/>
    <x v="0"/>
    <x v="0"/>
    <m/>
    <x v="0"/>
    <s v="Y"/>
    <n v="6"/>
    <m/>
    <n v="0"/>
    <n v="0"/>
    <n v="0"/>
    <n v="0"/>
    <n v="0"/>
    <n v="0.33333333333333331"/>
    <n v="0.33333333333333331"/>
    <n v="0.33333333333333331"/>
    <n v="0"/>
    <n v="0"/>
    <n v="0"/>
    <n v="0"/>
    <n v="0"/>
    <n v="0"/>
    <n v="0"/>
    <n v="0"/>
    <n v="0"/>
    <n v="0"/>
    <n v="0"/>
    <n v="0"/>
    <n v="0"/>
    <n v="0.33333333333333331"/>
    <n v="1"/>
  </r>
  <r>
    <n v="6836"/>
    <x v="4"/>
    <s v="2018/0878"/>
    <m/>
    <s v="75 Sellincourt Road"/>
    <m/>
    <n v="527432"/>
    <n v="171027"/>
    <x v="8"/>
    <m/>
    <m/>
    <n v="1"/>
    <n v="2"/>
    <n v="1"/>
    <n v="2"/>
    <n v="1"/>
    <m/>
    <s v="Conversion of existing first floor and attic self-contained flat to 1 x two bedroom first floor flat and 1 x 1 bedroom self-contained attic flat."/>
    <s v="AF"/>
    <d v="2018-03-07T00:00:00"/>
    <m/>
    <x v="0"/>
    <s v="Nil"/>
    <m/>
    <s v="BF"/>
    <x v="1"/>
    <x v="0"/>
    <x v="10"/>
    <n v="1.2000000104308101E-2"/>
    <m/>
    <x v="0"/>
    <m/>
    <x v="0"/>
    <s v="P"/>
    <m/>
    <m/>
    <n v="0"/>
    <m/>
    <n v="0"/>
    <m/>
    <n v="0"/>
    <n v="1"/>
    <n v="1"/>
    <n v="-1"/>
    <n v="0"/>
    <n v="0"/>
    <n v="0"/>
    <n v="0"/>
    <n v="1"/>
    <n v="1"/>
    <n v="-1"/>
    <n v="0"/>
    <n v="0"/>
    <n v="0"/>
    <n v="0"/>
    <n v="0"/>
    <n v="0"/>
    <n v="0"/>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837"/>
    <x v="4"/>
    <s v="2018/1061"/>
    <m/>
    <s v="16 Vant Road"/>
    <m/>
    <n v="527827"/>
    <n v="171162"/>
    <x v="8"/>
    <m/>
    <m/>
    <n v="0"/>
    <n v="1"/>
    <n v="1"/>
    <n v="1"/>
    <n v="1"/>
    <m/>
    <s v="Excavation of basement with front and rear lightwells with 1.1m high safety railings, to create 1x2-bed flat."/>
    <s v="AF"/>
    <d v="2018-03-09T00:00:00"/>
    <m/>
    <x v="0"/>
    <s v="Nil"/>
    <m/>
    <s v="BF"/>
    <x v="2"/>
    <x v="0"/>
    <x v="3"/>
    <n v="6.0000000521540598E-3"/>
    <m/>
    <x v="0"/>
    <m/>
    <x v="0"/>
    <s v="P"/>
    <m/>
    <m/>
    <n v="0"/>
    <m/>
    <n v="0"/>
    <m/>
    <n v="0"/>
    <n v="0"/>
    <n v="1"/>
    <n v="0"/>
    <n v="0"/>
    <n v="0"/>
    <n v="0"/>
    <n v="0"/>
    <n v="0"/>
    <n v="1"/>
    <n v="0"/>
    <n v="0"/>
    <n v="0"/>
    <n v="0"/>
    <n v="0"/>
    <n v="0"/>
    <n v="0"/>
    <n v="0"/>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839"/>
    <x v="4"/>
    <s v="2018/1079"/>
    <m/>
    <s v="Land east of 57, 57 Putney Bridge Road"/>
    <m/>
    <n v="525097"/>
    <n v="175034"/>
    <x v="13"/>
    <m/>
    <m/>
    <n v="0"/>
    <n v="5"/>
    <n v="5"/>
    <n v="5"/>
    <n v="5"/>
    <m/>
    <s v="Erection of five storey building to provide 5 x studio flats with associated cycle and bin storage."/>
    <s v="AF"/>
    <d v="2018-03-09T00:00:00"/>
    <m/>
    <x v="0"/>
    <s v="Nil"/>
    <m/>
    <s v="BF"/>
    <x v="0"/>
    <x v="0"/>
    <x v="0"/>
    <n v="7.0000002160668399E-3"/>
    <m/>
    <x v="0"/>
    <m/>
    <x v="0"/>
    <s v="P"/>
    <m/>
    <m/>
    <n v="0"/>
    <n v="5"/>
    <n v="0"/>
    <m/>
    <n v="5"/>
    <n v="0"/>
    <n v="0"/>
    <n v="0"/>
    <n v="0"/>
    <n v="0"/>
    <n v="0"/>
    <n v="5"/>
    <n v="0"/>
    <n v="0"/>
    <n v="0"/>
    <n v="0"/>
    <n v="0"/>
    <n v="0"/>
    <n v="0"/>
    <n v="0"/>
    <n v="0"/>
    <n v="0"/>
    <n v="0"/>
    <n v="0"/>
    <n v="0"/>
    <n v="0"/>
    <n v="0"/>
    <n v="0"/>
    <n v="0"/>
    <n v="0"/>
    <n v="0"/>
    <n v="0"/>
    <s v="West"/>
    <x v="0"/>
    <x v="0"/>
    <x v="1"/>
    <x v="0"/>
    <x v="0"/>
    <x v="0"/>
    <m/>
    <x v="0"/>
    <s v="Y"/>
    <n v="6"/>
    <m/>
    <n v="0"/>
    <n v="0"/>
    <n v="0"/>
    <n v="0"/>
    <n v="0"/>
    <n v="1.6666666666666667"/>
    <n v="1.6666666666666667"/>
    <n v="1.6666666666666667"/>
    <n v="0"/>
    <n v="0"/>
    <n v="0"/>
    <n v="0"/>
    <n v="0"/>
    <n v="0"/>
    <n v="0"/>
    <n v="0"/>
    <n v="0"/>
    <n v="0"/>
    <n v="0"/>
    <n v="0"/>
    <n v="0"/>
    <n v="1.6666666666666667"/>
    <n v="5"/>
  </r>
  <r>
    <n v="6840"/>
    <x v="4"/>
    <s v="2018/0994"/>
    <m/>
    <s v="Flat A, 98 Coverton Road"/>
    <m/>
    <n v="527121"/>
    <n v="171520"/>
    <x v="4"/>
    <m/>
    <m/>
    <n v="1"/>
    <n v="2"/>
    <n v="1"/>
    <n v="2"/>
    <n v="1"/>
    <m/>
    <s v="Use of property as 1 x two-bedroom self-contained flat at first floor and 1 x studio self-contained flat at second floor."/>
    <s v="LDC"/>
    <d v="2018-03-07T00:00:00"/>
    <m/>
    <x v="0"/>
    <s v="Nil"/>
    <m/>
    <s v="BF"/>
    <x v="1"/>
    <x v="0"/>
    <x v="10"/>
    <n v="1.0999999940395401E-3"/>
    <m/>
    <x v="0"/>
    <m/>
    <x v="0"/>
    <s v="P"/>
    <m/>
    <m/>
    <n v="0"/>
    <m/>
    <n v="0"/>
    <m/>
    <n v="1"/>
    <n v="0"/>
    <n v="0"/>
    <n v="0"/>
    <n v="0"/>
    <n v="0"/>
    <n v="0"/>
    <n v="1"/>
    <n v="0"/>
    <n v="0"/>
    <n v="0"/>
    <n v="0"/>
    <n v="0"/>
    <n v="0"/>
    <n v="0"/>
    <n v="0"/>
    <n v="0"/>
    <n v="0"/>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841"/>
    <x v="4"/>
    <s v="2017/6139"/>
    <m/>
    <s v="Garages south of 156-232, 156-232 Whitlock Drive"/>
    <m/>
    <n v="524290"/>
    <n v="173418"/>
    <x v="19"/>
    <m/>
    <m/>
    <n v="0"/>
    <n v="9"/>
    <n v="9"/>
    <n v="9"/>
    <n v="9"/>
    <m/>
    <s v="Demolition of existing garages and erection of three-storey (plus basement) building to provide 9 x 2-bedroom flats with associated landscaping, underground parking, bin and cycle storage."/>
    <s v="AF"/>
    <d v="2018-03-09T00:00:00"/>
    <m/>
    <x v="0"/>
    <s v="Nil"/>
    <m/>
    <s v="BF"/>
    <x v="0"/>
    <x v="0"/>
    <x v="0"/>
    <n v="7.5000002980232197E-2"/>
    <m/>
    <x v="0"/>
    <m/>
    <x v="2"/>
    <s v="C"/>
    <m/>
    <m/>
    <n v="0"/>
    <m/>
    <n v="0"/>
    <m/>
    <n v="0"/>
    <n v="0"/>
    <n v="9"/>
    <n v="0"/>
    <n v="0"/>
    <n v="0"/>
    <n v="0"/>
    <n v="0"/>
    <n v="0"/>
    <n v="9"/>
    <n v="0"/>
    <n v="0"/>
    <n v="0"/>
    <n v="0"/>
    <n v="0"/>
    <n v="0"/>
    <n v="0"/>
    <n v="0"/>
    <n v="0"/>
    <n v="0"/>
    <n v="0"/>
    <n v="0"/>
    <n v="0"/>
    <n v="0"/>
    <n v="0"/>
    <n v="0"/>
    <n v="0"/>
    <n v="0"/>
    <s v="West"/>
    <x v="0"/>
    <x v="0"/>
    <x v="1"/>
    <x v="0"/>
    <x v="0"/>
    <x v="0"/>
    <m/>
    <x v="0"/>
    <s v="Y"/>
    <n v="6"/>
    <m/>
    <n v="0"/>
    <n v="0"/>
    <n v="0"/>
    <n v="0"/>
    <n v="0"/>
    <n v="3"/>
    <n v="3"/>
    <n v="3"/>
    <n v="0"/>
    <n v="0"/>
    <n v="0"/>
    <n v="0"/>
    <n v="0"/>
    <n v="0"/>
    <n v="0"/>
    <n v="0"/>
    <n v="0"/>
    <n v="0"/>
    <n v="0"/>
    <n v="0"/>
    <n v="0"/>
    <n v="3"/>
    <n v="9"/>
  </r>
  <r>
    <n v="6842"/>
    <x v="4"/>
    <s v="2018/0977"/>
    <m/>
    <s v="121 Drakefield Road"/>
    <s v="Conversion"/>
    <n v="528521"/>
    <n v="172221"/>
    <x v="3"/>
    <m/>
    <m/>
    <n v="0"/>
    <n v="2"/>
    <n v="2"/>
    <n v="6"/>
    <n v="3"/>
    <m/>
    <s v="Alterations including erection of dormer roof extension to main rear roof and extension above part of two-storey back addition; Erection of single-storey rear/side extension and excavation to create an enlarge basement including formation of front and rear lightwells with grille over in connection with conversion of property into 3 x 1 bedroom, 2 x 2 bedroom and 1 x 3 bedroom flats with associated cycle and refuse storage. Erection of low level wall boundary wall and Heaver Estate railings/gates to the front boundary."/>
    <s v="AF"/>
    <d v="2018-03-21T00:00:00"/>
    <m/>
    <x v="0"/>
    <s v="Nil"/>
    <m/>
    <s v="BF"/>
    <x v="4"/>
    <x v="0"/>
    <x v="10"/>
    <n v="9.9999997764825804E-3"/>
    <m/>
    <x v="0"/>
    <m/>
    <x v="0"/>
    <s v="P"/>
    <m/>
    <m/>
    <n v="0"/>
    <m/>
    <n v="0"/>
    <m/>
    <n v="0"/>
    <n v="0"/>
    <n v="2"/>
    <n v="0"/>
    <n v="0"/>
    <n v="0"/>
    <n v="0"/>
    <n v="0"/>
    <n v="0"/>
    <n v="2"/>
    <n v="0"/>
    <n v="0"/>
    <n v="0"/>
    <n v="0"/>
    <n v="0"/>
    <n v="0"/>
    <n v="0"/>
    <n v="0"/>
    <n v="0"/>
    <n v="0"/>
    <n v="0"/>
    <n v="0"/>
    <n v="0"/>
    <n v="0"/>
    <n v="0"/>
    <n v="0"/>
    <n v="0"/>
    <n v="0"/>
    <s v="East"/>
    <x v="0"/>
    <x v="0"/>
    <x v="1"/>
    <x v="0"/>
    <x v="0"/>
    <x v="0"/>
    <m/>
    <x v="0"/>
    <s v="N"/>
    <n v="15"/>
    <s v="2018/1178 used for phasing"/>
    <n v="0"/>
    <n v="0"/>
    <n v="0"/>
    <n v="0"/>
    <n v="0"/>
    <n v="0"/>
    <n v="0"/>
    <n v="0"/>
    <n v="0"/>
    <n v="0"/>
    <n v="0"/>
    <n v="0"/>
    <n v="0"/>
    <n v="0"/>
    <n v="0"/>
    <n v="0"/>
    <n v="0"/>
    <n v="0"/>
    <n v="0"/>
    <n v="0"/>
    <n v="0"/>
    <n v="0"/>
    <n v="0"/>
  </r>
  <r>
    <n v="6842"/>
    <x v="4"/>
    <s v="2018/0977"/>
    <m/>
    <s v="121 Drakefield Road"/>
    <s v="Extn to ex"/>
    <n v="528521"/>
    <n v="172221"/>
    <x v="3"/>
    <m/>
    <m/>
    <n v="3"/>
    <n v="4"/>
    <n v="1"/>
    <n v="6"/>
    <n v="3"/>
    <m/>
    <s v="Alterations including erection of dormer roof extension to main rear roof and extension above part of two-storey back addition; Erection of single-storey rear/side extension and excavation to create an enlarge basement including formation of front and rear lightwells with grille over in connection with conversion of property into 3 x 1 bedroom, 2 x 2 bedroom and 1 x 3 bedroom flats with associated cycle and refuse storage. Erection of low level wall boundary wall and Heaver Estate railings/gates to the front boundary."/>
    <s v="AF"/>
    <d v="2018-03-21T00:00:00"/>
    <m/>
    <x v="0"/>
    <s v="Nil"/>
    <m/>
    <s v="BF"/>
    <x v="4"/>
    <x v="0"/>
    <x v="0"/>
    <n v="1.7999999225139601E-2"/>
    <m/>
    <x v="0"/>
    <m/>
    <x v="0"/>
    <s v="P"/>
    <m/>
    <m/>
    <n v="0"/>
    <m/>
    <n v="0"/>
    <m/>
    <n v="0"/>
    <n v="3"/>
    <n v="-3"/>
    <n v="1"/>
    <n v="0"/>
    <n v="0"/>
    <n v="0"/>
    <n v="0"/>
    <n v="3"/>
    <n v="-3"/>
    <n v="1"/>
    <n v="0"/>
    <n v="0"/>
    <n v="0"/>
    <n v="0"/>
    <n v="0"/>
    <n v="0"/>
    <n v="0"/>
    <n v="0"/>
    <n v="0"/>
    <n v="0"/>
    <n v="0"/>
    <n v="0"/>
    <n v="0"/>
    <n v="0"/>
    <n v="0"/>
    <n v="0"/>
    <n v="0"/>
    <s v="East"/>
    <x v="0"/>
    <x v="0"/>
    <x v="1"/>
    <x v="0"/>
    <x v="0"/>
    <x v="0"/>
    <m/>
    <x v="0"/>
    <s v="N"/>
    <n v="15"/>
    <s v="2018/1178 used for phasing"/>
    <n v="0"/>
    <n v="0"/>
    <n v="0"/>
    <n v="0"/>
    <n v="0"/>
    <n v="0"/>
    <n v="0"/>
    <n v="0"/>
    <n v="0"/>
    <n v="0"/>
    <n v="0"/>
    <n v="0"/>
    <n v="0"/>
    <n v="0"/>
    <n v="0"/>
    <n v="0"/>
    <n v="0"/>
    <n v="0"/>
    <n v="0"/>
    <n v="0"/>
    <n v="0"/>
    <n v="0"/>
    <n v="0"/>
  </r>
  <r>
    <n v="6842"/>
    <x v="4"/>
    <s v="2018/1178"/>
    <m/>
    <s v="121 Drakefield Road"/>
    <s v="conversion"/>
    <n v="528521"/>
    <n v="172221"/>
    <x v="3"/>
    <m/>
    <m/>
    <n v="3"/>
    <n v="2"/>
    <n v="-1"/>
    <n v="6"/>
    <n v="3"/>
    <m/>
    <s v="Alterations including erection of dormer roof extension to main rear roof and roof extension over part of three-storey back addition, erection of single storey rear/side extension and excavation to enlarge basement including formation of front, side and rear lightwells with grill over in connection with conversion of building into 3 x 1-bedroom, 2 x 2-bedroom and 1 x 3-bedroom flats. Erection of front boundary wall and installaton of Heaver Estate railings and gates."/>
    <s v="AF"/>
    <d v="2018-03-15T00:00:00"/>
    <m/>
    <x v="0"/>
    <s v="Nil"/>
    <m/>
    <s v="BF"/>
    <x v="4"/>
    <x v="0"/>
    <x v="10"/>
    <n v="1.09999999403954E-2"/>
    <m/>
    <x v="0"/>
    <m/>
    <x v="0"/>
    <s v="P"/>
    <m/>
    <m/>
    <n v="0"/>
    <m/>
    <n v="0"/>
    <m/>
    <n v="0"/>
    <n v="0"/>
    <n v="-1"/>
    <n v="0"/>
    <n v="0"/>
    <n v="0"/>
    <n v="0"/>
    <n v="0"/>
    <n v="0"/>
    <n v="-1"/>
    <n v="0"/>
    <n v="0"/>
    <n v="0"/>
    <n v="0"/>
    <n v="0"/>
    <n v="0"/>
    <n v="0"/>
    <n v="0"/>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842"/>
    <x v="4"/>
    <s v="2018/1178"/>
    <m/>
    <s v="121 Drakefield Road"/>
    <s v="extn to ex"/>
    <n v="528521"/>
    <n v="172221"/>
    <x v="3"/>
    <m/>
    <m/>
    <n v="0"/>
    <n v="4"/>
    <n v="4"/>
    <n v="6"/>
    <n v="3"/>
    <m/>
    <s v="Alterations including erection of dormer roof extension to main rear roof and roof extension over part of three-storey back addition, erection of single storey rear/side extension and excavation to enlarge basement including formation of front, side and rear lightwells with grill over in connection with conversion of building into 3 x 1-bedroom, 2 x 2-bedroom and 1 x 3-bedroom flats. Erection of front boundary wall and installaton of Heaver Estate railings and gates."/>
    <s v="AF"/>
    <d v="2018-03-15T00:00:00"/>
    <m/>
    <x v="0"/>
    <s v="Nil"/>
    <m/>
    <s v="BF"/>
    <x v="4"/>
    <x v="0"/>
    <x v="0"/>
    <n v="1.7000000923872001E-2"/>
    <m/>
    <x v="0"/>
    <m/>
    <x v="0"/>
    <s v="P"/>
    <m/>
    <m/>
    <n v="0"/>
    <m/>
    <n v="0"/>
    <m/>
    <n v="0"/>
    <n v="3"/>
    <n v="0"/>
    <n v="1"/>
    <n v="0"/>
    <n v="0"/>
    <n v="0"/>
    <n v="0"/>
    <n v="3"/>
    <n v="0"/>
    <n v="1"/>
    <n v="0"/>
    <n v="0"/>
    <n v="0"/>
    <n v="0"/>
    <n v="0"/>
    <n v="0"/>
    <n v="0"/>
    <n v="0"/>
    <n v="0"/>
    <n v="0"/>
    <n v="0"/>
    <n v="0"/>
    <n v="0"/>
    <n v="0"/>
    <n v="0"/>
    <n v="0"/>
    <n v="0"/>
    <s v="East"/>
    <x v="0"/>
    <x v="0"/>
    <x v="1"/>
    <x v="0"/>
    <x v="0"/>
    <x v="0"/>
    <m/>
    <x v="0"/>
    <s v="Y"/>
    <n v="10"/>
    <m/>
    <n v="0"/>
    <n v="0"/>
    <n v="0"/>
    <n v="0"/>
    <n v="0"/>
    <n v="1.3333333333333333"/>
    <n v="1.3333333333333333"/>
    <n v="1.3333333333333333"/>
    <n v="0"/>
    <n v="0"/>
    <n v="0"/>
    <n v="0"/>
    <n v="0"/>
    <n v="0"/>
    <n v="0"/>
    <n v="0"/>
    <n v="0"/>
    <n v="0"/>
    <n v="0"/>
    <n v="0"/>
    <n v="0"/>
    <n v="1.3333333333333333"/>
    <n v="4"/>
  </r>
  <r>
    <n v="6844"/>
    <x v="4"/>
    <s v="2018/1169"/>
    <m/>
    <s v="43 Leverson Street"/>
    <m/>
    <n v="529391"/>
    <n v="170726"/>
    <x v="12"/>
    <m/>
    <m/>
    <n v="0"/>
    <n v="1"/>
    <n v="1"/>
    <n v="1"/>
    <n v="1"/>
    <m/>
    <s v="Conversion of the ground floor property from retail (Class A1) to a one-bedroom flat (Class C3 Residential) with access to the rear garden and alterations including new shopfront."/>
    <s v="AF"/>
    <d v="2018-03-15T00:00:00"/>
    <m/>
    <x v="0"/>
    <s v="Nil"/>
    <m/>
    <s v="BF"/>
    <x v="3"/>
    <x v="0"/>
    <x v="4"/>
    <n v="4.9999998882412902E-3"/>
    <m/>
    <x v="0"/>
    <m/>
    <x v="0"/>
    <s v="P"/>
    <m/>
    <m/>
    <n v="0"/>
    <m/>
    <n v="0"/>
    <m/>
    <n v="0"/>
    <n v="1"/>
    <n v="0"/>
    <n v="0"/>
    <n v="0"/>
    <n v="0"/>
    <n v="0"/>
    <n v="0"/>
    <n v="1"/>
    <n v="0"/>
    <n v="0"/>
    <n v="0"/>
    <n v="0"/>
    <n v="0"/>
    <n v="0"/>
    <n v="0"/>
    <n v="0"/>
    <n v="0"/>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846"/>
    <x v="4"/>
    <s v="2018/1104"/>
    <m/>
    <s v="52 Northcote Road"/>
    <m/>
    <n v="527474"/>
    <n v="174921"/>
    <x v="14"/>
    <m/>
    <m/>
    <n v="0"/>
    <n v="1"/>
    <n v="1"/>
    <n v="1"/>
    <n v="1"/>
    <m/>
    <s v="Alterations including erection of rear roof extension to main rear roof, erection of rear extensions at first and second floor level including formation of roof terrace with 1.7m high screen surrounds at first and second floors in connection with the conversion of the upper floor flat into 2 x 2-bedroom flats. Provision of bin/cycle storage."/>
    <s v="AF"/>
    <d v="2018-03-15T00:00:00"/>
    <m/>
    <x v="0"/>
    <s v="Nil"/>
    <m/>
    <s v="BF"/>
    <x v="2"/>
    <x v="0"/>
    <x v="3"/>
    <n v="4.0000001899898104E-3"/>
    <m/>
    <x v="0"/>
    <m/>
    <x v="0"/>
    <s v="P"/>
    <m/>
    <m/>
    <n v="0"/>
    <m/>
    <n v="0"/>
    <m/>
    <n v="0"/>
    <n v="0"/>
    <n v="1"/>
    <n v="0"/>
    <n v="0"/>
    <n v="0"/>
    <n v="0"/>
    <n v="0"/>
    <n v="0"/>
    <n v="1"/>
    <n v="0"/>
    <n v="0"/>
    <n v="0"/>
    <n v="0"/>
    <n v="0"/>
    <n v="0"/>
    <n v="0"/>
    <n v="0"/>
    <n v="0"/>
    <n v="0"/>
    <n v="0"/>
    <n v="0"/>
    <n v="0"/>
    <n v="0"/>
    <n v="0"/>
    <n v="0"/>
    <n v="0"/>
    <n v="0"/>
    <s v="East"/>
    <x v="5"/>
    <x v="0"/>
    <x v="1"/>
    <x v="0"/>
    <x v="0"/>
    <x v="0"/>
    <m/>
    <x v="0"/>
    <s v="N"/>
    <n v="15"/>
    <s v="2017/5836 used for phasing"/>
    <n v="0"/>
    <n v="0"/>
    <n v="0"/>
    <n v="0"/>
    <n v="0"/>
    <n v="0"/>
    <n v="0"/>
    <n v="0"/>
    <n v="0"/>
    <n v="0"/>
    <n v="0"/>
    <n v="0"/>
    <n v="0"/>
    <n v="0"/>
    <n v="0"/>
    <n v="0"/>
    <n v="0"/>
    <n v="0"/>
    <n v="0"/>
    <n v="0"/>
    <n v="0"/>
    <n v="0"/>
    <n v="0"/>
  </r>
  <r>
    <n v="6847"/>
    <x v="4"/>
    <s v="2018/1212"/>
    <m/>
    <s v="Glassmill 1, 1 Battersea Bridge Road"/>
    <m/>
    <n v="527092"/>
    <n v="177253"/>
    <x v="1"/>
    <m/>
    <m/>
    <n v="0"/>
    <n v="27"/>
    <n v="27"/>
    <n v="27"/>
    <n v="27"/>
    <s v="Y"/>
    <s v="Determination as to whether prior approval is required for change of use from offices on first, second, third, fourth and fifth floors (Class B1(a)) to residential (Class C3) to provide 12 x 1-bedroom, 13 x 2-bedroom, 1 x 3-bedroom and 1 x 4-bedroom flats with associated basement bin/cycle storage and 23 parking spaces."/>
    <s v="NPA"/>
    <d v="2018-03-15T00:00:00"/>
    <m/>
    <x v="0"/>
    <s v="Nil"/>
    <m/>
    <s v="BF"/>
    <x v="3"/>
    <x v="5"/>
    <x v="1"/>
    <n v="0.108999997377396"/>
    <m/>
    <x v="0"/>
    <m/>
    <x v="0"/>
    <s v="P"/>
    <m/>
    <m/>
    <n v="0"/>
    <m/>
    <n v="0"/>
    <m/>
    <n v="0"/>
    <n v="12"/>
    <n v="13"/>
    <n v="1"/>
    <n v="1"/>
    <n v="0"/>
    <n v="0"/>
    <n v="0"/>
    <n v="12"/>
    <n v="13"/>
    <n v="1"/>
    <n v="1"/>
    <n v="0"/>
    <n v="0"/>
    <n v="0"/>
    <n v="0"/>
    <n v="0"/>
    <n v="0"/>
    <n v="0"/>
    <n v="0"/>
    <n v="0"/>
    <n v="0"/>
    <n v="0"/>
    <n v="0"/>
    <n v="0"/>
    <n v="0"/>
    <n v="0"/>
    <n v="0"/>
    <s v="East"/>
    <x v="0"/>
    <x v="0"/>
    <x v="1"/>
    <x v="0"/>
    <x v="0"/>
    <x v="0"/>
    <s v="Y"/>
    <x v="0"/>
    <s v="N"/>
    <n v="15"/>
    <s v="2018/1311 used for phasing"/>
    <n v="0"/>
    <n v="0"/>
    <n v="0"/>
    <n v="0"/>
    <n v="0"/>
    <n v="0"/>
    <n v="0"/>
    <n v="0"/>
    <n v="0"/>
    <n v="0"/>
    <n v="0"/>
    <n v="0"/>
    <n v="0"/>
    <n v="0"/>
    <n v="0"/>
    <n v="0"/>
    <n v="0"/>
    <n v="0"/>
    <n v="0"/>
    <n v="0"/>
    <n v="0"/>
    <n v="0"/>
    <n v="0"/>
  </r>
  <r>
    <n v="6847"/>
    <x v="4"/>
    <s v="2018/1311"/>
    <m/>
    <s v="Glassmill 1, 1 Battersea Bridge Road"/>
    <m/>
    <n v="527092"/>
    <n v="177253"/>
    <x v="1"/>
    <m/>
    <m/>
    <n v="0"/>
    <n v="28"/>
    <n v="28"/>
    <n v="28"/>
    <n v="28"/>
    <s v="Y"/>
    <s v="Determination as to whether prior approval is required for change of use from offices on first, second, third, fourth and fifth floors (Class B1(a)) to residential (Class C3) to provide 13 x 1-bedroom, 14 x 2-bedroom and 1 x 3-bedroom flats with associated basement bin/cycle storage and 23 parking spaces."/>
    <s v="NPA"/>
    <d v="2018-03-21T00:00:00"/>
    <m/>
    <x v="0"/>
    <s v="Nil"/>
    <m/>
    <s v="BF"/>
    <x v="3"/>
    <x v="5"/>
    <x v="1"/>
    <n v="0"/>
    <m/>
    <x v="0"/>
    <m/>
    <x v="0"/>
    <s v="P"/>
    <m/>
    <m/>
    <n v="0"/>
    <m/>
    <n v="0"/>
    <m/>
    <n v="0"/>
    <n v="13"/>
    <n v="14"/>
    <n v="1"/>
    <n v="0"/>
    <n v="0"/>
    <n v="0"/>
    <n v="0"/>
    <n v="13"/>
    <n v="14"/>
    <n v="1"/>
    <n v="0"/>
    <n v="0"/>
    <n v="0"/>
    <n v="0"/>
    <n v="0"/>
    <n v="0"/>
    <n v="0"/>
    <n v="0"/>
    <n v="0"/>
    <n v="0"/>
    <n v="0"/>
    <n v="0"/>
    <n v="0"/>
    <n v="0"/>
    <n v="0"/>
    <n v="0"/>
    <n v="0"/>
    <s v="East"/>
    <x v="0"/>
    <x v="0"/>
    <x v="1"/>
    <x v="0"/>
    <x v="0"/>
    <x v="0"/>
    <s v="Y"/>
    <x v="0"/>
    <s v="Y"/>
    <n v="10"/>
    <m/>
    <n v="0"/>
    <n v="0"/>
    <n v="0"/>
    <n v="0"/>
    <n v="0"/>
    <n v="9.3333333333333339"/>
    <n v="9.3333333333333339"/>
    <n v="9.3333333333333339"/>
    <n v="0"/>
    <n v="0"/>
    <n v="0"/>
    <n v="0"/>
    <n v="0"/>
    <n v="0"/>
    <n v="0"/>
    <n v="0"/>
    <n v="0"/>
    <n v="0"/>
    <n v="0"/>
    <n v="0"/>
    <n v="0"/>
    <n v="9.3333333333333339"/>
    <n v="28"/>
  </r>
  <r>
    <n v="6858"/>
    <x v="4"/>
    <s v="2017/6992"/>
    <m/>
    <s v="24 Romberg Road"/>
    <m/>
    <n v="528202"/>
    <n v="172108"/>
    <x v="3"/>
    <m/>
    <m/>
    <n v="0"/>
    <n v="1"/>
    <n v="1"/>
    <n v="1"/>
    <n v="1"/>
    <m/>
    <s v="Demolition of garage and erection of 1 x 2-bedroom two-storey house with associated refuse and cycle storage."/>
    <s v="AF"/>
    <d v="2018-03-22T00:00:00"/>
    <m/>
    <x v="0"/>
    <s v="Nil"/>
    <m/>
    <s v="BF"/>
    <x v="0"/>
    <x v="0"/>
    <x v="0"/>
    <n v="8.0000003799796104E-3"/>
    <m/>
    <x v="0"/>
    <m/>
    <x v="0"/>
    <s v="P"/>
    <m/>
    <m/>
    <n v="0"/>
    <m/>
    <n v="0"/>
    <m/>
    <n v="0"/>
    <n v="0"/>
    <n v="1"/>
    <n v="0"/>
    <n v="0"/>
    <n v="0"/>
    <n v="0"/>
    <n v="0"/>
    <n v="0"/>
    <n v="0"/>
    <n v="0"/>
    <n v="0"/>
    <n v="0"/>
    <n v="0"/>
    <n v="0"/>
    <n v="0"/>
    <n v="1"/>
    <n v="0"/>
    <n v="0"/>
    <n v="0"/>
    <n v="0"/>
    <n v="0"/>
    <n v="0"/>
    <n v="0"/>
    <n v="0"/>
    <n v="0"/>
    <n v="0"/>
    <n v="0"/>
    <s v="East"/>
    <x v="0"/>
    <x v="0"/>
    <x v="1"/>
    <x v="0"/>
    <x v="0"/>
    <x v="0"/>
    <m/>
    <x v="0"/>
    <s v="Y"/>
    <n v="6"/>
    <m/>
    <n v="0"/>
    <n v="0"/>
    <n v="0"/>
    <n v="0"/>
    <n v="0"/>
    <n v="0.33333333333333331"/>
    <n v="0.33333333333333331"/>
    <n v="0.33333333333333331"/>
    <n v="0"/>
    <n v="0"/>
    <n v="0"/>
    <n v="0"/>
    <n v="0"/>
    <n v="0"/>
    <n v="0"/>
    <n v="0"/>
    <n v="0"/>
    <n v="0"/>
    <n v="0"/>
    <n v="0"/>
    <n v="0"/>
    <n v="0.33333333333333331"/>
    <n v="1"/>
  </r>
  <r>
    <n v="6859"/>
    <x v="4"/>
    <s v="2018/1293"/>
    <m/>
    <s v="221 Lower Richmond Road"/>
    <m/>
    <n v="523223"/>
    <n v="175846"/>
    <x v="13"/>
    <m/>
    <m/>
    <n v="1"/>
    <n v="3"/>
    <n v="2"/>
    <n v="3"/>
    <n v="2"/>
    <m/>
    <s v="Alterations including formation of rear roof terrace at first floor level in connection with conversion into 1x1, 1x2 and 1x3 bedroom flats with associated refuse storage in front garden; part of boundary wall with no.219 to be raised."/>
    <s v="AF"/>
    <d v="2018-03-22T00:00:00"/>
    <m/>
    <x v="0"/>
    <s v="Nil"/>
    <m/>
    <s v="BF"/>
    <x v="1"/>
    <x v="0"/>
    <x v="8"/>
    <n v="1.7999999225139601E-2"/>
    <m/>
    <x v="0"/>
    <m/>
    <x v="0"/>
    <s v="P"/>
    <m/>
    <m/>
    <n v="0"/>
    <m/>
    <n v="0"/>
    <m/>
    <n v="0"/>
    <n v="1"/>
    <n v="1"/>
    <n v="1"/>
    <n v="-1"/>
    <n v="0"/>
    <n v="0"/>
    <n v="0"/>
    <n v="1"/>
    <n v="1"/>
    <n v="1"/>
    <n v="0"/>
    <n v="0"/>
    <n v="0"/>
    <n v="0"/>
    <n v="0"/>
    <n v="0"/>
    <n v="0"/>
    <n v="-1"/>
    <n v="0"/>
    <n v="0"/>
    <n v="0"/>
    <n v="0"/>
    <n v="0"/>
    <n v="0"/>
    <n v="0"/>
    <n v="0"/>
    <n v="0"/>
    <s v="West"/>
    <x v="0"/>
    <x v="0"/>
    <x v="1"/>
    <x v="0"/>
    <x v="0"/>
    <x v="0"/>
    <m/>
    <x v="0"/>
    <s v="Y"/>
    <n v="10"/>
    <m/>
    <n v="0"/>
    <n v="0"/>
    <n v="0"/>
    <n v="0"/>
    <n v="0"/>
    <n v="0.66666666666666663"/>
    <n v="0.66666666666666663"/>
    <n v="0.66666666666666663"/>
    <n v="0"/>
    <n v="0"/>
    <n v="0"/>
    <n v="0"/>
    <n v="0"/>
    <n v="0"/>
    <n v="0"/>
    <n v="0"/>
    <n v="0"/>
    <n v="0"/>
    <n v="0"/>
    <n v="0"/>
    <n v="0"/>
    <n v="0.66666666666666663"/>
    <n v="2"/>
  </r>
  <r>
    <n v="6860"/>
    <x v="4"/>
    <s v="2018/1248"/>
    <m/>
    <s v="116 Tooting High Street"/>
    <m/>
    <n v="527312"/>
    <n v="171270"/>
    <x v="4"/>
    <m/>
    <m/>
    <n v="1"/>
    <n v="2"/>
    <n v="1"/>
    <n v="2"/>
    <n v="1"/>
    <m/>
    <s v="Alterations including erection of rear roof extension above two-storey back addition, relocation of rear external staircase and alterations to shopfront including new front door in connection with conversion of upper floor flat into 1 x 2-bedroom flat and 1 x 1-bedroom flat."/>
    <s v="AF"/>
    <d v="2018-03-21T00:00:00"/>
    <m/>
    <x v="0"/>
    <s v="Nil"/>
    <m/>
    <s v="BF"/>
    <x v="4"/>
    <x v="0"/>
    <x v="10"/>
    <n v="1.30000002682209E-2"/>
    <m/>
    <x v="0"/>
    <m/>
    <x v="0"/>
    <s v="P"/>
    <m/>
    <m/>
    <n v="0"/>
    <m/>
    <n v="0"/>
    <m/>
    <n v="0"/>
    <n v="1"/>
    <n v="1"/>
    <n v="-1"/>
    <n v="0"/>
    <n v="0"/>
    <n v="0"/>
    <n v="0"/>
    <n v="1"/>
    <n v="1"/>
    <n v="-1"/>
    <n v="0"/>
    <n v="0"/>
    <n v="0"/>
    <n v="0"/>
    <n v="0"/>
    <n v="0"/>
    <n v="0"/>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862"/>
    <x v="4"/>
    <s v="2018/1448"/>
    <m/>
    <s v="1 Chertsey Street"/>
    <m/>
    <n v="528095"/>
    <n v="171407"/>
    <x v="8"/>
    <m/>
    <m/>
    <n v="0"/>
    <n v="1"/>
    <n v="1"/>
    <n v="1"/>
    <n v="1"/>
    <m/>
    <s v="Alterations including erection of roof extension including raising the ridge by 400mm to provide a new 1x2 bedroom self-contained flat. Erection of ground floor rear extension; provision of refuse and cycle storage."/>
    <s v="AF"/>
    <d v="2018-03-29T00:00:00"/>
    <m/>
    <x v="0"/>
    <s v="Nil"/>
    <m/>
    <s v="BF"/>
    <x v="2"/>
    <x v="0"/>
    <x v="3"/>
    <n v="4.0000001899898104E-3"/>
    <m/>
    <x v="0"/>
    <m/>
    <x v="0"/>
    <s v="P"/>
    <m/>
    <m/>
    <n v="0"/>
    <m/>
    <n v="0"/>
    <m/>
    <n v="0"/>
    <n v="0"/>
    <n v="1"/>
    <n v="0"/>
    <n v="0"/>
    <n v="0"/>
    <n v="0"/>
    <n v="0"/>
    <n v="0"/>
    <n v="1"/>
    <n v="0"/>
    <n v="0"/>
    <n v="0"/>
    <n v="0"/>
    <n v="0"/>
    <n v="0"/>
    <n v="0"/>
    <n v="0"/>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863"/>
    <x v="4"/>
    <s v="2018/1076"/>
    <m/>
    <s v="1005 Garratt Lane"/>
    <m/>
    <n v="527223"/>
    <n v="171655"/>
    <x v="4"/>
    <m/>
    <m/>
    <n v="1"/>
    <n v="2"/>
    <n v="1"/>
    <n v="2"/>
    <n v="1"/>
    <m/>
    <s v="Conversion of property into 1 x 2-bedroom and 1 x 3-bedroom flats."/>
    <s v="AF"/>
    <d v="2018-03-29T00:00:00"/>
    <m/>
    <x v="0"/>
    <s v="Nil"/>
    <m/>
    <s v="BF"/>
    <x v="1"/>
    <x v="0"/>
    <x v="8"/>
    <n v="2.0999999716877899E-2"/>
    <m/>
    <x v="0"/>
    <m/>
    <x v="0"/>
    <s v="P"/>
    <m/>
    <m/>
    <n v="0"/>
    <m/>
    <n v="0"/>
    <m/>
    <n v="0"/>
    <n v="0"/>
    <n v="0"/>
    <n v="1"/>
    <n v="0"/>
    <n v="0"/>
    <n v="0"/>
    <n v="0"/>
    <n v="0"/>
    <n v="1"/>
    <n v="1"/>
    <n v="0"/>
    <n v="0"/>
    <n v="0"/>
    <n v="0"/>
    <n v="0"/>
    <n v="-1"/>
    <n v="0"/>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6881"/>
    <x v="4"/>
    <s v="2017/6252"/>
    <m/>
    <s v="109-111 Eustace Building, Queenstown Road"/>
    <m/>
    <n v="528629"/>
    <n v="177531"/>
    <x v="6"/>
    <m/>
    <m/>
    <n v="3"/>
    <n v="1"/>
    <n v="-2"/>
    <n v="1"/>
    <n v="-2"/>
    <m/>
    <s v="Certificate of Lawful Development (existing use) for the use of 109-111 Eustace Building  as a single residential flat (Class C3)."/>
    <s v="LDC"/>
    <d v="2017-11-10T00:00:00"/>
    <m/>
    <x v="0"/>
    <s v="Nil"/>
    <m/>
    <s v="BF"/>
    <x v="1"/>
    <x v="0"/>
    <x v="7"/>
    <n v="0"/>
    <m/>
    <x v="0"/>
    <m/>
    <x v="0"/>
    <s v="P"/>
    <m/>
    <m/>
    <n v="0"/>
    <m/>
    <n v="0"/>
    <m/>
    <n v="0"/>
    <n v="0"/>
    <n v="-3"/>
    <n v="0"/>
    <n v="0"/>
    <n v="1"/>
    <n v="0"/>
    <n v="0"/>
    <n v="0"/>
    <n v="-3"/>
    <n v="0"/>
    <n v="0"/>
    <n v="0"/>
    <n v="0"/>
    <n v="0"/>
    <n v="0"/>
    <n v="0"/>
    <n v="0"/>
    <n v="0"/>
    <n v="1"/>
    <n v="0"/>
    <n v="0"/>
    <n v="0"/>
    <n v="0"/>
    <n v="0"/>
    <n v="0"/>
    <n v="0"/>
    <n v="0"/>
    <s v="Strategic Planning/Nine Elms"/>
    <x v="0"/>
    <x v="1"/>
    <x v="1"/>
    <x v="0"/>
    <x v="0"/>
    <x v="0"/>
    <m/>
    <x v="0"/>
    <s v="Y"/>
    <n v="10"/>
    <m/>
    <n v="0"/>
    <n v="0"/>
    <n v="0"/>
    <n v="0"/>
    <n v="0"/>
    <n v="-0.66666666666666663"/>
    <n v="-0.66666666666666663"/>
    <n v="-0.66666666666666663"/>
    <n v="0"/>
    <n v="0"/>
    <n v="0"/>
    <n v="0"/>
    <n v="0"/>
    <n v="0"/>
    <n v="0"/>
    <n v="0"/>
    <n v="0"/>
    <n v="0"/>
    <n v="0"/>
    <n v="0"/>
    <n v="0"/>
    <n v="-0.66666666666666663"/>
    <n v="-2"/>
  </r>
  <r>
    <n v="6882"/>
    <x v="4"/>
    <s v="2017/2418"/>
    <m/>
    <s v="1 Penge House, 2 Wye Street"/>
    <m/>
    <n v="526839"/>
    <n v="175995"/>
    <x v="2"/>
    <m/>
    <m/>
    <n v="0"/>
    <n v="5"/>
    <n v="5"/>
    <n v="5"/>
    <n v="5"/>
    <m/>
    <s v="The proposals include re-cladding the tower, new windows throughout, the addition of winter gardens to all existing flats (70No. flats), addition of tower pinnacle, reconfiguration of ground floor entrance and five new flats at ground floor level. (4No. two bedroom flats, and 1No. three bedroom)"/>
    <s v="AF"/>
    <d v="2017-04-27T00:00:00"/>
    <m/>
    <x v="0"/>
    <s v="Nil"/>
    <m/>
    <s v="BF"/>
    <x v="0"/>
    <x v="0"/>
    <x v="0"/>
    <n v="6.0000000521540598E-3"/>
    <m/>
    <x v="0"/>
    <m/>
    <x v="2"/>
    <s v="C"/>
    <m/>
    <m/>
    <n v="0"/>
    <n v="5"/>
    <n v="0"/>
    <m/>
    <n v="0"/>
    <n v="0"/>
    <n v="4"/>
    <n v="1"/>
    <n v="0"/>
    <n v="0"/>
    <n v="0"/>
    <n v="0"/>
    <n v="0"/>
    <n v="4"/>
    <n v="1"/>
    <n v="0"/>
    <n v="0"/>
    <n v="0"/>
    <n v="0"/>
    <n v="0"/>
    <n v="0"/>
    <n v="0"/>
    <n v="0"/>
    <n v="0"/>
    <n v="0"/>
    <n v="0"/>
    <n v="0"/>
    <n v="0"/>
    <n v="0"/>
    <n v="0"/>
    <n v="0"/>
    <n v="0"/>
    <s v="Strategic Planning/Nine Elms"/>
    <x v="0"/>
    <x v="0"/>
    <x v="1"/>
    <x v="1"/>
    <x v="0"/>
    <x v="0"/>
    <m/>
    <x v="0"/>
    <s v="Y"/>
    <n v="6"/>
    <m/>
    <n v="0"/>
    <n v="0"/>
    <n v="0"/>
    <n v="0"/>
    <n v="0"/>
    <n v="1.6666666666666667"/>
    <n v="1.6666666666666667"/>
    <n v="1.6666666666666667"/>
    <n v="0"/>
    <n v="0"/>
    <n v="0"/>
    <n v="0"/>
    <n v="0"/>
    <n v="0"/>
    <n v="0"/>
    <n v="0"/>
    <n v="0"/>
    <n v="0"/>
    <n v="0"/>
    <n v="0"/>
    <n v="0"/>
    <n v="1.6666666666666667"/>
    <n v="5"/>
  </r>
  <r>
    <n v="6883"/>
    <x v="4"/>
    <s v="2018/1423"/>
    <m/>
    <s v="5 &amp; 5a, 5 &amp; 5a Kyrle road"/>
    <m/>
    <n v="528003"/>
    <n v="174423"/>
    <x v="9"/>
    <m/>
    <m/>
    <n v="2"/>
    <n v="2"/>
    <n v="0"/>
    <n v="2"/>
    <n v="0"/>
    <m/>
    <s v="Alterations including the erection of dormer extension to main rear roof; erection of a part-single/part two-storey rear extension; excavation to form a basement with formation of two front lightwells with grilles over; in connection with the conversion of 2 flats into 2 x 4-bedroom houses."/>
    <s v="AF"/>
    <d v="2018-03-20T00:00:00"/>
    <m/>
    <x v="0"/>
    <s v="Nil"/>
    <m/>
    <s v="BF"/>
    <x v="4"/>
    <x v="0"/>
    <x v="7"/>
    <n v="0"/>
    <m/>
    <x v="0"/>
    <m/>
    <x v="0"/>
    <s v="P"/>
    <m/>
    <m/>
    <n v="0"/>
    <m/>
    <n v="0"/>
    <m/>
    <n v="0"/>
    <n v="0"/>
    <n v="-2"/>
    <n v="0"/>
    <n v="2"/>
    <n v="0"/>
    <n v="0"/>
    <n v="0"/>
    <n v="0"/>
    <n v="-2"/>
    <n v="0"/>
    <n v="0"/>
    <n v="0"/>
    <n v="0"/>
    <n v="0"/>
    <n v="0"/>
    <n v="0"/>
    <n v="0"/>
    <n v="2"/>
    <n v="0"/>
    <n v="0"/>
    <n v="0"/>
    <n v="0"/>
    <n v="0"/>
    <n v="0"/>
    <n v="0"/>
    <n v="0"/>
    <n v="0"/>
    <s v="East"/>
    <x v="0"/>
    <x v="0"/>
    <x v="1"/>
    <x v="0"/>
    <x v="0"/>
    <x v="0"/>
    <m/>
    <x v="0"/>
    <s v="Y"/>
    <n v="10"/>
    <m/>
    <n v="0"/>
    <n v="0"/>
    <n v="0"/>
    <n v="0"/>
    <n v="0"/>
    <n v="0"/>
    <n v="0"/>
    <n v="0"/>
    <n v="0"/>
    <n v="0"/>
    <n v="0"/>
    <n v="0"/>
    <n v="0"/>
    <n v="0"/>
    <n v="0"/>
    <n v="0"/>
    <n v="0"/>
    <n v="0"/>
    <n v="0"/>
    <n v="0"/>
    <n v="0"/>
    <n v="0"/>
    <n v="0"/>
  </r>
  <r>
    <n v="6884"/>
    <x v="4"/>
    <s v="2018/0144"/>
    <m/>
    <s v="34 Putney High Street"/>
    <s v="EXTENSION TO EXISTING"/>
    <n v="524096"/>
    <n v="175530"/>
    <x v="13"/>
    <m/>
    <m/>
    <n v="0"/>
    <n v="2"/>
    <n v="2"/>
    <n v="3"/>
    <n v="3"/>
    <m/>
    <s v="Alterations including erecton of single to three-storey rear extensions including first floor level rear terraces in connection with use of rear ground floor and upper floors to provide 1 x 1-bed and 2 x 2-bed flats with associated refuse and cycle storage to rear; alterations to shopfront."/>
    <s v="AF"/>
    <d v="2018-03-21T00:00:00"/>
    <m/>
    <x v="0"/>
    <s v="Nil"/>
    <m/>
    <s v="BF"/>
    <x v="4"/>
    <x v="0"/>
    <x v="0"/>
    <n v="8.0000003799796104E-3"/>
    <m/>
    <x v="0"/>
    <m/>
    <x v="0"/>
    <s v="P"/>
    <m/>
    <m/>
    <n v="0"/>
    <m/>
    <n v="0"/>
    <m/>
    <n v="0"/>
    <n v="0"/>
    <n v="2"/>
    <n v="0"/>
    <n v="0"/>
    <n v="0"/>
    <n v="0"/>
    <n v="0"/>
    <n v="0"/>
    <n v="2"/>
    <n v="0"/>
    <n v="0"/>
    <n v="0"/>
    <n v="0"/>
    <n v="0"/>
    <n v="0"/>
    <n v="0"/>
    <n v="0"/>
    <n v="0"/>
    <n v="0"/>
    <n v="0"/>
    <n v="0"/>
    <n v="0"/>
    <n v="0"/>
    <n v="0"/>
    <n v="0"/>
    <n v="0"/>
    <n v="0"/>
    <s v="West"/>
    <x v="3"/>
    <x v="0"/>
    <x v="1"/>
    <x v="0"/>
    <x v="0"/>
    <x v="0"/>
    <m/>
    <x v="0"/>
    <s v="Y"/>
    <n v="10"/>
    <m/>
    <n v="0"/>
    <n v="0"/>
    <n v="0"/>
    <n v="0"/>
    <n v="0"/>
    <n v="0.66666666666666663"/>
    <n v="0.66666666666666663"/>
    <n v="0.66666666666666663"/>
    <n v="0"/>
    <n v="0"/>
    <n v="0"/>
    <n v="0"/>
    <n v="0"/>
    <n v="0"/>
    <n v="0"/>
    <n v="0"/>
    <n v="0"/>
    <n v="0"/>
    <n v="0"/>
    <n v="0"/>
    <n v="0"/>
    <n v="0.66666666666666663"/>
    <n v="2"/>
  </r>
  <r>
    <n v="6884"/>
    <x v="4"/>
    <s v="2018/0144"/>
    <m/>
    <s v="34 Putney High Street"/>
    <m/>
    <n v="524096"/>
    <n v="175530"/>
    <x v="13"/>
    <m/>
    <m/>
    <n v="0"/>
    <n v="1"/>
    <n v="1"/>
    <n v="3"/>
    <n v="3"/>
    <m/>
    <s v="Alterations including erecton of single to three-storey rear extensions including first floor level rear terraces in connection with use of rear ground floor and upper floors to provide 1 x 1-bed and 2 x 2-bed flats with associated refuse and cycle storage to rear; alterations to shopfront."/>
    <s v="AF"/>
    <d v="2018-03-21T00:00:00"/>
    <m/>
    <x v="0"/>
    <s v="Nil"/>
    <m/>
    <s v="BF"/>
    <x v="4"/>
    <x v="0"/>
    <x v="0"/>
    <n v="2.0000000949949E-3"/>
    <m/>
    <x v="0"/>
    <m/>
    <x v="0"/>
    <s v="P"/>
    <m/>
    <m/>
    <n v="0"/>
    <m/>
    <n v="0"/>
    <m/>
    <n v="0"/>
    <n v="1"/>
    <n v="0"/>
    <n v="0"/>
    <n v="0"/>
    <n v="0"/>
    <n v="0"/>
    <n v="0"/>
    <n v="1"/>
    <n v="0"/>
    <n v="0"/>
    <n v="0"/>
    <n v="0"/>
    <n v="0"/>
    <n v="0"/>
    <n v="0"/>
    <n v="0"/>
    <n v="0"/>
    <n v="0"/>
    <n v="0"/>
    <n v="0"/>
    <n v="0"/>
    <n v="0"/>
    <n v="0"/>
    <n v="0"/>
    <n v="0"/>
    <n v="0"/>
    <n v="0"/>
    <s v="West"/>
    <x v="3"/>
    <x v="0"/>
    <x v="1"/>
    <x v="0"/>
    <x v="0"/>
    <x v="0"/>
    <m/>
    <x v="0"/>
    <s v="Y"/>
    <n v="10"/>
    <m/>
    <n v="0"/>
    <n v="0"/>
    <n v="0"/>
    <n v="0"/>
    <n v="0"/>
    <n v="0.33333333333333331"/>
    <n v="0.33333333333333331"/>
    <n v="0.33333333333333331"/>
    <n v="0"/>
    <n v="0"/>
    <n v="0"/>
    <n v="0"/>
    <n v="0"/>
    <n v="0"/>
    <n v="0"/>
    <n v="0"/>
    <n v="0"/>
    <n v="0"/>
    <n v="0"/>
    <n v="0"/>
    <n v="0"/>
    <n v="0.33333333333333331"/>
    <n v="1"/>
  </r>
  <r>
    <n v="6885"/>
    <x v="4"/>
    <s v="2018/1377"/>
    <m/>
    <s v="217 Garratt Lane"/>
    <m/>
    <n v="525906"/>
    <n v="173856"/>
    <x v="18"/>
    <m/>
    <m/>
    <n v="2"/>
    <n v="3"/>
    <n v="1"/>
    <n v="3"/>
    <n v="1"/>
    <m/>
    <s v="Alterations including erection of part single/part two storey rear/side extension,  in connection with use of front part of ground floor as a shop and the remainder as, 2 x 2-bedroom and 1 x 1-bedroom flats with rear first floor terrace."/>
    <s v="AF"/>
    <d v="2018-03-27T00:00:00"/>
    <m/>
    <x v="0"/>
    <s v="Nil"/>
    <m/>
    <s v="BF"/>
    <x v="4"/>
    <x v="0"/>
    <x v="10"/>
    <n v="1.09999999403954E-2"/>
    <m/>
    <x v="0"/>
    <m/>
    <x v="0"/>
    <s v="P"/>
    <m/>
    <m/>
    <n v="0"/>
    <m/>
    <n v="0"/>
    <m/>
    <n v="-1"/>
    <n v="1"/>
    <n v="1"/>
    <n v="0"/>
    <n v="0"/>
    <n v="0"/>
    <n v="0"/>
    <n v="-1"/>
    <n v="1"/>
    <n v="1"/>
    <n v="0"/>
    <n v="0"/>
    <n v="0"/>
    <n v="0"/>
    <n v="0"/>
    <n v="0"/>
    <n v="0"/>
    <n v="0"/>
    <n v="0"/>
    <n v="0"/>
    <n v="0"/>
    <n v="0"/>
    <n v="0"/>
    <n v="0"/>
    <n v="0"/>
    <n v="0"/>
    <n v="0"/>
    <n v="0"/>
    <s v="West"/>
    <x v="0"/>
    <x v="0"/>
    <x v="1"/>
    <x v="0"/>
    <x v="0"/>
    <x v="0"/>
    <m/>
    <x v="0"/>
    <s v="Y"/>
    <n v="10"/>
    <m/>
    <n v="0"/>
    <n v="0"/>
    <n v="0"/>
    <n v="0"/>
    <n v="0"/>
    <n v="0.33333333333333331"/>
    <n v="0.33333333333333331"/>
    <n v="0.33333333333333331"/>
    <n v="0"/>
    <n v="0"/>
    <n v="0"/>
    <n v="0"/>
    <n v="0"/>
    <n v="0"/>
    <n v="0"/>
    <n v="0"/>
    <n v="0"/>
    <n v="0"/>
    <n v="0"/>
    <n v="0"/>
    <n v="0"/>
    <n v="0.33333333333333331"/>
    <n v="1"/>
  </r>
  <r>
    <n v="6921"/>
    <x v="4"/>
    <s v="2018/0126"/>
    <m/>
    <s v="117 Battersea High Street"/>
    <s v="Extension to existing"/>
    <n v="526971"/>
    <n v="176456"/>
    <x v="1"/>
    <m/>
    <m/>
    <n v="0"/>
    <n v="1"/>
    <n v="1"/>
    <n v="1"/>
    <n v="1"/>
    <m/>
    <s v="Erection of a fourth floor of accommodation to provide 1 x two-bedroom self-contained flat."/>
    <s v="AF"/>
    <d v="2018-03-07T00:00:00"/>
    <m/>
    <x v="0"/>
    <s v="Nil"/>
    <m/>
    <s v="BF"/>
    <x v="2"/>
    <x v="0"/>
    <x v="3"/>
    <n v="6.0000000521540598E-3"/>
    <m/>
    <x v="0"/>
    <m/>
    <x v="0"/>
    <s v="P"/>
    <m/>
    <m/>
    <n v="0"/>
    <m/>
    <n v="0"/>
    <m/>
    <n v="0"/>
    <n v="0"/>
    <n v="1"/>
    <n v="0"/>
    <n v="0"/>
    <n v="0"/>
    <n v="0"/>
    <n v="0"/>
    <n v="0"/>
    <n v="1"/>
    <n v="0"/>
    <n v="0"/>
    <n v="0"/>
    <n v="0"/>
    <n v="0"/>
    <n v="0"/>
    <n v="0"/>
    <n v="0"/>
    <n v="0"/>
    <n v="0"/>
    <n v="0"/>
    <n v="0"/>
    <n v="0"/>
    <n v="0"/>
    <n v="0"/>
    <n v="0"/>
    <n v="0"/>
    <n v="0"/>
    <s v="East"/>
    <x v="0"/>
    <x v="0"/>
    <x v="1"/>
    <x v="0"/>
    <x v="0"/>
    <x v="0"/>
    <m/>
    <x v="0"/>
    <s v="Y"/>
    <n v="10"/>
    <m/>
    <n v="0"/>
    <n v="0"/>
    <n v="0"/>
    <n v="0"/>
    <n v="0"/>
    <n v="0.33333333333333331"/>
    <n v="0.33333333333333331"/>
    <n v="0.33333333333333331"/>
    <n v="0"/>
    <n v="0"/>
    <n v="0"/>
    <n v="0"/>
    <n v="0"/>
    <n v="0"/>
    <n v="0"/>
    <n v="0"/>
    <n v="0"/>
    <n v="0"/>
    <n v="0"/>
    <n v="0"/>
    <n v="0"/>
    <n v="0.33333333333333331"/>
    <n v="1"/>
  </r>
  <r>
    <n v="3523"/>
    <x v="5"/>
    <s v="0000/0250"/>
    <s v="1 Marl Road"/>
    <s v="McDonald's, Swandon Way"/>
    <m/>
    <n v="526043"/>
    <n v="175254"/>
    <x v="0"/>
    <m/>
    <m/>
    <n v="0"/>
    <n v="3"/>
    <n v="3"/>
    <n v="3"/>
    <n v="3"/>
    <m/>
    <s v="Redevelopment"/>
    <s v="NONE"/>
    <m/>
    <m/>
    <x v="0"/>
    <s v="Nil"/>
    <m/>
    <s v="BF"/>
    <x v="0"/>
    <x v="0"/>
    <x v="0"/>
    <n v="0"/>
    <m/>
    <x v="0"/>
    <m/>
    <x v="0"/>
    <s v="P"/>
    <s v="3.8"/>
    <n v="17320120"/>
    <n v="0"/>
    <m/>
    <n v="0"/>
    <m/>
    <n v="0"/>
    <n v="0"/>
    <n v="0"/>
    <n v="0"/>
    <n v="0"/>
    <n v="0"/>
    <n v="3"/>
    <n v="0"/>
    <n v="0"/>
    <n v="0"/>
    <n v="0"/>
    <n v="0"/>
    <n v="0"/>
    <n v="3"/>
    <n v="0"/>
    <n v="0"/>
    <n v="0"/>
    <n v="0"/>
    <n v="0"/>
    <n v="0"/>
    <n v="0"/>
    <n v="0"/>
    <n v="0"/>
    <n v="0"/>
    <n v="0"/>
    <n v="0"/>
    <n v="0"/>
    <n v="0"/>
    <s v="West"/>
    <x v="0"/>
    <x v="0"/>
    <x v="0"/>
    <x v="0"/>
    <x v="0"/>
    <x v="0"/>
    <m/>
    <x v="0"/>
    <s v="Y"/>
    <n v="11"/>
    <m/>
    <n v="0"/>
    <n v="0"/>
    <n v="0"/>
    <n v="0"/>
    <n v="0"/>
    <n v="0"/>
    <n v="0"/>
    <n v="0"/>
    <n v="0"/>
    <n v="0"/>
    <n v="0"/>
    <n v="0"/>
    <n v="0.25"/>
    <n v="0.25"/>
    <n v="0.25"/>
    <n v="0.25"/>
    <n v="0.25"/>
    <n v="0.25"/>
    <n v="0.25"/>
    <n v="0.25"/>
    <n v="0.25"/>
    <n v="0"/>
    <n v="0"/>
  </r>
  <r>
    <n v="3955"/>
    <x v="5"/>
    <s v="0000/0251"/>
    <m/>
    <s v="Mercedes Benz and Bemco, Bridgend Road"/>
    <m/>
    <n v="526045"/>
    <n v="175348"/>
    <x v="0"/>
    <m/>
    <m/>
    <n v="0"/>
    <n v="42"/>
    <n v="42"/>
    <n v="62"/>
    <n v="62"/>
    <s v="Y"/>
    <s v="Redevelopment"/>
    <s v="NONE"/>
    <m/>
    <m/>
    <x v="0"/>
    <s v="Nil"/>
    <m/>
    <s v="BF"/>
    <x v="0"/>
    <x v="1"/>
    <x v="1"/>
    <n v="0"/>
    <m/>
    <x v="0"/>
    <m/>
    <x v="0"/>
    <s v="P"/>
    <s v="3.9"/>
    <m/>
    <n v="0"/>
    <m/>
    <n v="0"/>
    <m/>
    <n v="0"/>
    <n v="0"/>
    <n v="0"/>
    <n v="0"/>
    <n v="0"/>
    <n v="0"/>
    <n v="42"/>
    <n v="0"/>
    <n v="0"/>
    <n v="0"/>
    <n v="0"/>
    <n v="0"/>
    <n v="0"/>
    <n v="42"/>
    <n v="0"/>
    <n v="0"/>
    <n v="0"/>
    <n v="0"/>
    <n v="0"/>
    <n v="0"/>
    <n v="0"/>
    <n v="0"/>
    <n v="0"/>
    <n v="0"/>
    <n v="0"/>
    <n v="0"/>
    <n v="0"/>
    <n v="0"/>
    <s v="West"/>
    <x v="0"/>
    <x v="0"/>
    <x v="0"/>
    <x v="0"/>
    <x v="0"/>
    <x v="0"/>
    <m/>
    <x v="0"/>
    <s v="Y"/>
    <n v="11"/>
    <m/>
    <n v="0"/>
    <n v="0"/>
    <n v="0"/>
    <n v="0"/>
    <n v="0"/>
    <n v="0"/>
    <n v="0"/>
    <n v="2.4705882352941178"/>
    <n v="2.4705882352941178"/>
    <n v="2.4705882352941178"/>
    <n v="2.4705882352941178"/>
    <n v="2.4705882352941178"/>
    <n v="2.4705882352941178"/>
    <n v="2.4705882352941178"/>
    <n v="2.4705882352941178"/>
    <n v="2.4705882352941178"/>
    <n v="2.4705882352941178"/>
    <n v="2.4705882352941178"/>
    <n v="2.4705882352941178"/>
    <n v="2.4705882352941178"/>
    <n v="2.4705882352941178"/>
    <n v="0"/>
    <n v="9.882352941176471"/>
  </r>
  <r>
    <n v="3955"/>
    <x v="5"/>
    <s v="0000/0251"/>
    <m/>
    <s v="Mercedes Benz and Bemco, Bridgend Road"/>
    <m/>
    <n v="526045"/>
    <n v="175348"/>
    <x v="0"/>
    <m/>
    <m/>
    <n v="0"/>
    <n v="12"/>
    <n v="12"/>
    <n v="62"/>
    <n v="62"/>
    <s v="Y"/>
    <s v="Redevelopment"/>
    <s v="NONE"/>
    <m/>
    <m/>
    <x v="0"/>
    <s v="Nil"/>
    <m/>
    <s v="BF"/>
    <x v="0"/>
    <x v="1"/>
    <x v="1"/>
    <n v="0"/>
    <m/>
    <x v="0"/>
    <m/>
    <x v="2"/>
    <s v="HAAR"/>
    <s v="3.9"/>
    <m/>
    <n v="0"/>
    <m/>
    <n v="0"/>
    <m/>
    <n v="0"/>
    <n v="0"/>
    <n v="0"/>
    <n v="0"/>
    <n v="0"/>
    <n v="0"/>
    <n v="12"/>
    <n v="0"/>
    <n v="0"/>
    <n v="0"/>
    <n v="0"/>
    <n v="0"/>
    <n v="0"/>
    <n v="12"/>
    <n v="0"/>
    <n v="0"/>
    <n v="0"/>
    <n v="0"/>
    <n v="0"/>
    <n v="0"/>
    <n v="0"/>
    <n v="0"/>
    <n v="0"/>
    <n v="0"/>
    <n v="0"/>
    <n v="0"/>
    <n v="0"/>
    <n v="0"/>
    <s v="West"/>
    <x v="0"/>
    <x v="0"/>
    <x v="0"/>
    <x v="0"/>
    <x v="0"/>
    <x v="0"/>
    <m/>
    <x v="0"/>
    <s v="Y"/>
    <n v="11"/>
    <m/>
    <n v="0"/>
    <n v="0"/>
    <n v="0"/>
    <n v="0"/>
    <n v="0"/>
    <n v="0"/>
    <n v="0"/>
    <n v="0.70588235294117652"/>
    <n v="0.70588235294117652"/>
    <n v="0.70588235294117652"/>
    <n v="0.70588235294117652"/>
    <n v="0.70588235294117652"/>
    <n v="0.70588235294117652"/>
    <n v="0.70588235294117652"/>
    <n v="0.70588235294117652"/>
    <n v="0.70588235294117652"/>
    <n v="0.70588235294117652"/>
    <n v="0.70588235294117652"/>
    <n v="0.70588235294117652"/>
    <n v="0.70588235294117652"/>
    <n v="0.70588235294117652"/>
    <n v="0"/>
    <n v="2.8235294117647061"/>
  </r>
  <r>
    <n v="3955"/>
    <x v="5"/>
    <s v="0000/0251"/>
    <m/>
    <s v="Mercedes Benz and Bemco, Bridgend Road"/>
    <m/>
    <n v="526045"/>
    <n v="175348"/>
    <x v="0"/>
    <m/>
    <m/>
    <n v="0"/>
    <n v="8"/>
    <n v="8"/>
    <n v="62"/>
    <n v="62"/>
    <s v="Y"/>
    <s v="Redevelopment"/>
    <s v="NONE"/>
    <m/>
    <m/>
    <x v="0"/>
    <s v="Nil"/>
    <m/>
    <s v="BF"/>
    <x v="0"/>
    <x v="1"/>
    <x v="1"/>
    <n v="0"/>
    <m/>
    <x v="0"/>
    <m/>
    <x v="1"/>
    <s v="HAIU"/>
    <s v="3.9"/>
    <m/>
    <n v="0"/>
    <m/>
    <n v="0"/>
    <m/>
    <n v="0"/>
    <n v="0"/>
    <n v="0"/>
    <n v="0"/>
    <n v="0"/>
    <n v="0"/>
    <n v="8"/>
    <n v="0"/>
    <n v="0"/>
    <n v="0"/>
    <n v="0"/>
    <n v="0"/>
    <n v="0"/>
    <n v="8"/>
    <n v="0"/>
    <n v="0"/>
    <n v="0"/>
    <n v="0"/>
    <n v="0"/>
    <n v="0"/>
    <n v="0"/>
    <n v="0"/>
    <n v="0"/>
    <n v="0"/>
    <n v="0"/>
    <n v="0"/>
    <n v="0"/>
    <n v="0"/>
    <s v="West"/>
    <x v="0"/>
    <x v="0"/>
    <x v="0"/>
    <x v="0"/>
    <x v="0"/>
    <x v="0"/>
    <m/>
    <x v="0"/>
    <s v="Y"/>
    <n v="11"/>
    <m/>
    <n v="0"/>
    <n v="0"/>
    <n v="0"/>
    <n v="0"/>
    <n v="0"/>
    <n v="0"/>
    <n v="0"/>
    <n v="0.47058823529411764"/>
    <n v="0.47058823529411764"/>
    <n v="0.47058823529411764"/>
    <n v="0.47058823529411764"/>
    <n v="0.47058823529411764"/>
    <n v="0.47058823529411764"/>
    <n v="0.47058823529411764"/>
    <n v="0.47058823529411764"/>
    <n v="0.47058823529411764"/>
    <n v="0.47058823529411764"/>
    <n v="0.47058823529411764"/>
    <n v="0.47058823529411764"/>
    <n v="0.47058823529411764"/>
    <n v="0.47058823529411764"/>
    <n v="0"/>
    <n v="1.8823529411764706"/>
  </r>
  <r>
    <n v="3956"/>
    <x v="5"/>
    <s v="0000/0248"/>
    <m/>
    <s v="Wandsworth Bridge Roundabout"/>
    <m/>
    <n v="526150"/>
    <n v="175269"/>
    <x v="2"/>
    <m/>
    <m/>
    <n v="0"/>
    <n v="7"/>
    <n v="7"/>
    <n v="7"/>
    <n v="7"/>
    <m/>
    <s v="Redevelopment"/>
    <s v="NONE"/>
    <m/>
    <m/>
    <x v="0"/>
    <s v="Nil"/>
    <m/>
    <s v="BF"/>
    <x v="0"/>
    <x v="1"/>
    <x v="1"/>
    <n v="0"/>
    <m/>
    <x v="0"/>
    <m/>
    <x v="0"/>
    <s v="P"/>
    <s v="3.10"/>
    <n v="17320282"/>
    <n v="0"/>
    <m/>
    <n v="0"/>
    <m/>
    <n v="0"/>
    <n v="0"/>
    <n v="0"/>
    <n v="0"/>
    <n v="0"/>
    <n v="0"/>
    <n v="7"/>
    <n v="0"/>
    <n v="0"/>
    <n v="0"/>
    <n v="0"/>
    <n v="0"/>
    <n v="0"/>
    <n v="7"/>
    <n v="0"/>
    <n v="0"/>
    <n v="0"/>
    <n v="0"/>
    <n v="0"/>
    <n v="0"/>
    <n v="0"/>
    <n v="0"/>
    <n v="0"/>
    <n v="0"/>
    <n v="0"/>
    <n v="0"/>
    <n v="0"/>
    <n v="0"/>
    <s v="East"/>
    <x v="0"/>
    <x v="0"/>
    <x v="0"/>
    <x v="0"/>
    <x v="0"/>
    <x v="0"/>
    <m/>
    <x v="0"/>
    <s v="Y"/>
    <n v="11"/>
    <m/>
    <n v="0"/>
    <n v="0"/>
    <n v="0"/>
    <n v="0"/>
    <n v="0"/>
    <n v="0"/>
    <n v="0"/>
    <n v="0"/>
    <n v="0"/>
    <n v="0"/>
    <n v="0"/>
    <n v="0"/>
    <n v="0.58333333333333337"/>
    <n v="0.58333333333333337"/>
    <n v="0.58333333333333337"/>
    <n v="0.58333333333333337"/>
    <n v="0.58333333333333337"/>
    <n v="0.58333333333333337"/>
    <n v="0.58333333333333337"/>
    <n v="0.58333333333333337"/>
    <n v="0.58333333333333337"/>
    <n v="0"/>
    <n v="0"/>
  </r>
  <r>
    <n v="3970"/>
    <x v="5"/>
    <s v="0000/0254"/>
    <m/>
    <s v="Sainsbury's, 2-6 Werter Road"/>
    <m/>
    <n v="524058"/>
    <n v="175199"/>
    <x v="13"/>
    <m/>
    <m/>
    <n v="0"/>
    <n v="3"/>
    <n v="3"/>
    <n v="3"/>
    <n v="3"/>
    <m/>
    <s v="Redevelopment"/>
    <s v="NONE"/>
    <m/>
    <m/>
    <x v="0"/>
    <s v="Nil"/>
    <m/>
    <s v="BF"/>
    <x v="0"/>
    <x v="0"/>
    <x v="0"/>
    <n v="0"/>
    <m/>
    <x v="0"/>
    <m/>
    <x v="0"/>
    <s v="P"/>
    <s v="6.3"/>
    <m/>
    <n v="0"/>
    <m/>
    <n v="0"/>
    <m/>
    <n v="0"/>
    <n v="0"/>
    <n v="0"/>
    <n v="0"/>
    <n v="0"/>
    <n v="0"/>
    <n v="3"/>
    <n v="0"/>
    <n v="0"/>
    <n v="0"/>
    <n v="0"/>
    <n v="0"/>
    <n v="0"/>
    <n v="3"/>
    <n v="0"/>
    <n v="0"/>
    <n v="0"/>
    <n v="0"/>
    <n v="0"/>
    <n v="0"/>
    <n v="0"/>
    <n v="0"/>
    <n v="0"/>
    <n v="0"/>
    <n v="0"/>
    <n v="0"/>
    <n v="0"/>
    <n v="0"/>
    <s v="West"/>
    <x v="3"/>
    <x v="0"/>
    <x v="1"/>
    <x v="0"/>
    <x v="0"/>
    <x v="0"/>
    <m/>
    <x v="0"/>
    <s v="Y"/>
    <n v="11"/>
    <m/>
    <n v="0"/>
    <n v="0"/>
    <n v="0"/>
    <n v="0"/>
    <n v="0"/>
    <n v="0"/>
    <n v="0"/>
    <n v="0"/>
    <n v="0"/>
    <n v="0"/>
    <n v="0"/>
    <n v="0"/>
    <n v="0.25"/>
    <n v="0.25"/>
    <n v="0.25"/>
    <n v="0.25"/>
    <n v="0.25"/>
    <n v="0.25"/>
    <n v="0.25"/>
    <n v="0.25"/>
    <n v="0.25"/>
    <n v="0"/>
    <n v="0"/>
  </r>
  <r>
    <n v="4221"/>
    <x v="5"/>
    <s v="0000/0256"/>
    <m/>
    <s v="Asda, Roehampton Vale"/>
    <m/>
    <n v="521988"/>
    <n v="172610"/>
    <x v="15"/>
    <m/>
    <m/>
    <n v="0"/>
    <n v="229"/>
    <n v="229"/>
    <n v="342"/>
    <n v="342"/>
    <s v="Y"/>
    <s v="Redevelopment"/>
    <s v="NONE"/>
    <m/>
    <m/>
    <x v="0"/>
    <s v="Nil"/>
    <m/>
    <s v="BF"/>
    <x v="0"/>
    <x v="1"/>
    <x v="1"/>
    <n v="0"/>
    <m/>
    <x v="0"/>
    <m/>
    <x v="0"/>
    <s v="P"/>
    <s v="8.2"/>
    <n v="17320018"/>
    <n v="0"/>
    <m/>
    <n v="0"/>
    <m/>
    <n v="0"/>
    <n v="0"/>
    <n v="0"/>
    <n v="0"/>
    <n v="0"/>
    <n v="0"/>
    <n v="229"/>
    <n v="0"/>
    <n v="0"/>
    <n v="0"/>
    <n v="0"/>
    <n v="0"/>
    <n v="0"/>
    <n v="229"/>
    <n v="0"/>
    <n v="0"/>
    <n v="0"/>
    <n v="0"/>
    <n v="0"/>
    <n v="0"/>
    <n v="0"/>
    <n v="0"/>
    <n v="0"/>
    <n v="0"/>
    <n v="0"/>
    <n v="0"/>
    <n v="0"/>
    <n v="0"/>
    <s v="West"/>
    <x v="0"/>
    <x v="0"/>
    <x v="1"/>
    <x v="0"/>
    <x v="0"/>
    <x v="0"/>
    <m/>
    <x v="0"/>
    <s v="Y"/>
    <n v="11"/>
    <m/>
    <n v="0"/>
    <n v="0"/>
    <n v="0"/>
    <n v="0"/>
    <n v="0"/>
    <n v="0"/>
    <n v="0"/>
    <n v="13.470588235294118"/>
    <n v="13.470588235294118"/>
    <n v="13.470588235294118"/>
    <n v="13.470588235294118"/>
    <n v="13.470588235294118"/>
    <n v="13.470588235294118"/>
    <n v="13.470588235294118"/>
    <n v="13.470588235294118"/>
    <n v="13.470588235294118"/>
    <n v="13.470588235294118"/>
    <n v="13.470588235294118"/>
    <n v="13.470588235294118"/>
    <n v="13.470588235294118"/>
    <n v="13.470588235294118"/>
    <n v="0"/>
    <n v="53.882352941176471"/>
  </r>
  <r>
    <n v="4221"/>
    <x v="5"/>
    <s v="0000/0256"/>
    <m/>
    <s v="Asda, Roehampton Vale"/>
    <m/>
    <n v="521988"/>
    <n v="172610"/>
    <x v="15"/>
    <m/>
    <m/>
    <n v="0"/>
    <n v="68"/>
    <n v="68"/>
    <n v="342"/>
    <n v="342"/>
    <s v="Y"/>
    <s v="Redevelopment"/>
    <s v="NONE"/>
    <m/>
    <m/>
    <x v="0"/>
    <s v="Nil"/>
    <m/>
    <s v="BF"/>
    <x v="0"/>
    <x v="1"/>
    <x v="1"/>
    <n v="0"/>
    <m/>
    <x v="0"/>
    <m/>
    <x v="2"/>
    <s v="HAAR"/>
    <s v="8.2"/>
    <n v="17320018"/>
    <n v="0"/>
    <m/>
    <n v="0"/>
    <m/>
    <n v="0"/>
    <n v="0"/>
    <n v="0"/>
    <n v="0"/>
    <n v="0"/>
    <n v="0"/>
    <n v="68"/>
    <n v="0"/>
    <n v="0"/>
    <n v="0"/>
    <n v="0"/>
    <n v="0"/>
    <n v="0"/>
    <n v="68"/>
    <n v="0"/>
    <n v="0"/>
    <n v="0"/>
    <n v="0"/>
    <n v="0"/>
    <n v="0"/>
    <n v="0"/>
    <n v="0"/>
    <n v="0"/>
    <n v="0"/>
    <n v="0"/>
    <n v="0"/>
    <n v="0"/>
    <n v="0"/>
    <s v="West"/>
    <x v="0"/>
    <x v="0"/>
    <x v="1"/>
    <x v="0"/>
    <x v="0"/>
    <x v="0"/>
    <m/>
    <x v="0"/>
    <s v="Y"/>
    <n v="11"/>
    <m/>
    <n v="0"/>
    <n v="0"/>
    <n v="0"/>
    <n v="0"/>
    <n v="0"/>
    <n v="0"/>
    <n v="0"/>
    <n v="4"/>
    <n v="4"/>
    <n v="4"/>
    <n v="4"/>
    <n v="4"/>
    <n v="4"/>
    <n v="4"/>
    <n v="4"/>
    <n v="4"/>
    <n v="4"/>
    <n v="4"/>
    <n v="4"/>
    <n v="4"/>
    <n v="4"/>
    <n v="0"/>
    <n v="16"/>
  </r>
  <r>
    <n v="4221"/>
    <x v="5"/>
    <s v="0000/0256"/>
    <m/>
    <s v="Asda, Roehampton Vale"/>
    <m/>
    <n v="521988"/>
    <n v="172610"/>
    <x v="15"/>
    <m/>
    <m/>
    <n v="0"/>
    <n v="45"/>
    <n v="45"/>
    <n v="342"/>
    <n v="342"/>
    <s v="Y"/>
    <s v="Redevelopment"/>
    <s v="NONE"/>
    <m/>
    <m/>
    <x v="0"/>
    <s v="Nil"/>
    <m/>
    <s v="BF"/>
    <x v="0"/>
    <x v="1"/>
    <x v="1"/>
    <n v="0"/>
    <m/>
    <x v="0"/>
    <m/>
    <x v="1"/>
    <s v="HAIS"/>
    <s v="8.2"/>
    <n v="17320018"/>
    <n v="0"/>
    <m/>
    <n v="0"/>
    <m/>
    <n v="0"/>
    <n v="0"/>
    <n v="0"/>
    <n v="0"/>
    <n v="0"/>
    <n v="0"/>
    <n v="45"/>
    <n v="0"/>
    <n v="0"/>
    <n v="0"/>
    <n v="0"/>
    <n v="0"/>
    <n v="0"/>
    <n v="45"/>
    <n v="0"/>
    <n v="0"/>
    <n v="0"/>
    <n v="0"/>
    <n v="0"/>
    <n v="0"/>
    <n v="0"/>
    <n v="0"/>
    <n v="0"/>
    <n v="0"/>
    <n v="0"/>
    <n v="0"/>
    <n v="0"/>
    <n v="0"/>
    <s v="West"/>
    <x v="0"/>
    <x v="0"/>
    <x v="1"/>
    <x v="0"/>
    <x v="0"/>
    <x v="0"/>
    <m/>
    <x v="0"/>
    <s v="Y"/>
    <n v="11"/>
    <m/>
    <n v="0"/>
    <n v="0"/>
    <n v="0"/>
    <n v="0"/>
    <n v="0"/>
    <n v="0"/>
    <n v="0"/>
    <n v="2.6470588235294117"/>
    <n v="2.6470588235294117"/>
    <n v="2.6470588235294117"/>
    <n v="2.6470588235294117"/>
    <n v="2.6470588235294117"/>
    <n v="2.6470588235294117"/>
    <n v="2.6470588235294117"/>
    <n v="2.6470588235294117"/>
    <n v="2.6470588235294117"/>
    <n v="2.6470588235294117"/>
    <n v="2.6470588235294117"/>
    <n v="2.6470588235294117"/>
    <n v="2.6470588235294117"/>
    <n v="2.6470588235294117"/>
    <n v="0"/>
    <n v="10.588235294117647"/>
  </r>
  <r>
    <n v="4283"/>
    <x v="5"/>
    <s v="0000/0249"/>
    <m/>
    <s v="Wandsworth Bus Garage, Jews Row"/>
    <m/>
    <n v="525979"/>
    <n v="175334"/>
    <x v="0"/>
    <m/>
    <m/>
    <n v="0"/>
    <n v="3"/>
    <n v="3"/>
    <n v="3"/>
    <n v="3"/>
    <m/>
    <s v="Redevelopment"/>
    <s v="NONE"/>
    <m/>
    <m/>
    <x v="0"/>
    <s v="Nil"/>
    <m/>
    <s v="BF"/>
    <x v="4"/>
    <x v="0"/>
    <x v="0"/>
    <n v="0"/>
    <m/>
    <x v="0"/>
    <m/>
    <x v="0"/>
    <s v="P"/>
    <s v="3.11"/>
    <n v="17320046"/>
    <n v="0"/>
    <m/>
    <n v="0"/>
    <m/>
    <n v="0"/>
    <n v="0"/>
    <n v="0"/>
    <n v="0"/>
    <n v="0"/>
    <n v="0"/>
    <n v="3"/>
    <n v="0"/>
    <n v="0"/>
    <n v="0"/>
    <n v="0"/>
    <n v="0"/>
    <n v="0"/>
    <n v="3"/>
    <n v="0"/>
    <n v="0"/>
    <n v="0"/>
    <n v="0"/>
    <n v="0"/>
    <n v="0"/>
    <n v="0"/>
    <n v="0"/>
    <n v="0"/>
    <n v="0"/>
    <n v="0"/>
    <n v="0"/>
    <n v="0"/>
    <n v="0"/>
    <s v="West"/>
    <x v="0"/>
    <x v="0"/>
    <x v="0"/>
    <x v="0"/>
    <x v="0"/>
    <x v="0"/>
    <m/>
    <x v="0"/>
    <s v="Y"/>
    <n v="11"/>
    <m/>
    <n v="0"/>
    <n v="0"/>
    <n v="0"/>
    <n v="0"/>
    <n v="0"/>
    <n v="0"/>
    <n v="0"/>
    <n v="0"/>
    <n v="0"/>
    <n v="0"/>
    <n v="0"/>
    <n v="0"/>
    <n v="0.25"/>
    <n v="0.25"/>
    <n v="0.25"/>
    <n v="0.25"/>
    <n v="0.25"/>
    <n v="0.25"/>
    <n v="0.25"/>
    <n v="0.25"/>
    <n v="0.25"/>
    <n v="0"/>
    <n v="0"/>
  </r>
  <r>
    <n v="4472"/>
    <x v="5"/>
    <s v="0000/0310"/>
    <s v="Brooks Court"/>
    <s v="1-10, Cringle Street"/>
    <m/>
    <n v="529267"/>
    <n v="177387"/>
    <x v="6"/>
    <m/>
    <m/>
    <n v="0"/>
    <n v="39"/>
    <n v="39"/>
    <n v="46"/>
    <n v="46"/>
    <s v="Y"/>
    <s v="Redevelopment"/>
    <s v="NONE"/>
    <m/>
    <m/>
    <x v="0"/>
    <s v="Nil"/>
    <m/>
    <s v="BF"/>
    <x v="0"/>
    <x v="1"/>
    <x v="1"/>
    <n v="0"/>
    <m/>
    <x v="0"/>
    <m/>
    <x v="0"/>
    <s v="P"/>
    <s v="2.1.23"/>
    <m/>
    <n v="0"/>
    <m/>
    <n v="0"/>
    <m/>
    <n v="0"/>
    <n v="0"/>
    <n v="0"/>
    <n v="0"/>
    <n v="0"/>
    <n v="0"/>
    <n v="39"/>
    <n v="0"/>
    <n v="0"/>
    <n v="0"/>
    <n v="0"/>
    <n v="0"/>
    <n v="0"/>
    <n v="39"/>
    <n v="0"/>
    <n v="0"/>
    <n v="0"/>
    <n v="0"/>
    <n v="0"/>
    <n v="0"/>
    <n v="0"/>
    <n v="0"/>
    <n v="0"/>
    <n v="0"/>
    <n v="0"/>
    <n v="0"/>
    <n v="0"/>
    <n v="0"/>
    <s v="Strategic Planning/Nine Elms"/>
    <x v="0"/>
    <x v="1"/>
    <x v="1"/>
    <x v="0"/>
    <x v="0"/>
    <x v="0"/>
    <m/>
    <x v="0"/>
    <s v="Y"/>
    <n v="12"/>
    <m/>
    <n v="0"/>
    <n v="0"/>
    <n v="0"/>
    <n v="0"/>
    <n v="0"/>
    <n v="0"/>
    <n v="0"/>
    <n v="0"/>
    <n v="39"/>
    <n v="0"/>
    <n v="0"/>
    <n v="0"/>
    <n v="0"/>
    <n v="0"/>
    <n v="0"/>
    <n v="0"/>
    <n v="0"/>
    <n v="0"/>
    <n v="0"/>
    <n v="0"/>
    <n v="0"/>
    <n v="0"/>
    <n v="39"/>
  </r>
  <r>
    <n v="4472"/>
    <x v="5"/>
    <s v="0000/0310"/>
    <s v="Brooks Court"/>
    <s v="1-10, Cringle Street"/>
    <m/>
    <n v="529267"/>
    <n v="177387"/>
    <x v="6"/>
    <m/>
    <m/>
    <n v="0"/>
    <n v="4"/>
    <n v="4"/>
    <n v="46"/>
    <n v="46"/>
    <s v="Y"/>
    <s v="Redevelopment"/>
    <s v="NONE"/>
    <m/>
    <m/>
    <x v="0"/>
    <s v="Nil"/>
    <m/>
    <s v="BF"/>
    <x v="0"/>
    <x v="1"/>
    <x v="1"/>
    <n v="0"/>
    <m/>
    <x v="0"/>
    <m/>
    <x v="2"/>
    <s v="HAAR"/>
    <s v="2.1.23"/>
    <m/>
    <n v="0"/>
    <m/>
    <n v="0"/>
    <m/>
    <n v="0"/>
    <n v="0"/>
    <n v="0"/>
    <n v="0"/>
    <n v="0"/>
    <n v="0"/>
    <n v="4"/>
    <n v="0"/>
    <n v="0"/>
    <n v="0"/>
    <n v="0"/>
    <n v="0"/>
    <n v="0"/>
    <n v="4"/>
    <n v="0"/>
    <n v="0"/>
    <n v="0"/>
    <n v="0"/>
    <n v="0"/>
    <n v="0"/>
    <n v="0"/>
    <n v="0"/>
    <n v="0"/>
    <n v="0"/>
    <n v="0"/>
    <n v="0"/>
    <n v="0"/>
    <n v="0"/>
    <s v="Strategic Planning/Nine Elms"/>
    <x v="0"/>
    <x v="1"/>
    <x v="1"/>
    <x v="0"/>
    <x v="0"/>
    <x v="0"/>
    <m/>
    <x v="0"/>
    <s v="Y"/>
    <n v="12"/>
    <m/>
    <n v="0"/>
    <n v="0"/>
    <n v="0"/>
    <n v="0"/>
    <n v="0"/>
    <n v="0"/>
    <n v="0"/>
    <n v="0"/>
    <n v="4"/>
    <n v="0"/>
    <n v="0"/>
    <n v="0"/>
    <n v="0"/>
    <n v="0"/>
    <n v="0"/>
    <n v="0"/>
    <n v="0"/>
    <n v="0"/>
    <n v="0"/>
    <n v="0"/>
    <n v="0"/>
    <n v="0"/>
    <n v="4"/>
  </r>
  <r>
    <n v="4472"/>
    <x v="5"/>
    <s v="0000/0310"/>
    <s v="Brooks Court"/>
    <s v="1-10, Cringle Street"/>
    <m/>
    <n v="529267"/>
    <n v="177387"/>
    <x v="6"/>
    <m/>
    <m/>
    <n v="0"/>
    <n v="3"/>
    <n v="3"/>
    <n v="46"/>
    <n v="46"/>
    <s v="Y"/>
    <s v="Redevelopment"/>
    <s v="NONE"/>
    <m/>
    <m/>
    <x v="0"/>
    <s v="Nil"/>
    <m/>
    <s v="BF"/>
    <x v="0"/>
    <x v="1"/>
    <x v="1"/>
    <n v="0"/>
    <m/>
    <x v="0"/>
    <m/>
    <x v="1"/>
    <s v="HAIU"/>
    <s v="2.1.23"/>
    <m/>
    <n v="0"/>
    <m/>
    <n v="0"/>
    <m/>
    <n v="0"/>
    <n v="0"/>
    <n v="0"/>
    <n v="0"/>
    <n v="0"/>
    <n v="0"/>
    <n v="3"/>
    <n v="0"/>
    <n v="0"/>
    <n v="0"/>
    <n v="0"/>
    <n v="0"/>
    <n v="0"/>
    <n v="3"/>
    <n v="0"/>
    <n v="0"/>
    <n v="0"/>
    <n v="0"/>
    <n v="0"/>
    <n v="0"/>
    <n v="0"/>
    <n v="0"/>
    <n v="0"/>
    <n v="0"/>
    <n v="0"/>
    <n v="0"/>
    <n v="0"/>
    <n v="0"/>
    <s v="Strategic Planning/Nine Elms"/>
    <x v="0"/>
    <x v="1"/>
    <x v="1"/>
    <x v="0"/>
    <x v="0"/>
    <x v="0"/>
    <m/>
    <x v="0"/>
    <s v="Y"/>
    <n v="12"/>
    <m/>
    <n v="0"/>
    <n v="0"/>
    <n v="0"/>
    <n v="0"/>
    <n v="0"/>
    <n v="0"/>
    <n v="0"/>
    <n v="0"/>
    <n v="3"/>
    <n v="0"/>
    <n v="0"/>
    <n v="0"/>
    <n v="0"/>
    <n v="0"/>
    <n v="0"/>
    <n v="0"/>
    <n v="0"/>
    <n v="0"/>
    <n v="0"/>
    <n v="0"/>
    <n v="0"/>
    <n v="0"/>
    <n v="3"/>
  </r>
  <r>
    <n v="4510"/>
    <x v="5"/>
    <s v="0000/0311"/>
    <s v="Kirtling Wharf"/>
    <s v="Cemex Battersea Plant, Cringle Street"/>
    <m/>
    <n v="529218"/>
    <n v="177561"/>
    <x v="6"/>
    <m/>
    <m/>
    <n v="0"/>
    <n v="70"/>
    <n v="70"/>
    <n v="82"/>
    <n v="82"/>
    <s v="Y"/>
    <s v="Redevelopment"/>
    <s v="NONE"/>
    <m/>
    <m/>
    <x v="0"/>
    <s v="Nil"/>
    <m/>
    <s v="BF"/>
    <x v="4"/>
    <x v="1"/>
    <x v="1"/>
    <n v="0"/>
    <m/>
    <x v="0"/>
    <m/>
    <x v="0"/>
    <s v="P"/>
    <s v="2.1.7"/>
    <n v="17320059"/>
    <n v="0"/>
    <n v="0"/>
    <n v="0"/>
    <n v="0"/>
    <n v="0"/>
    <n v="0"/>
    <n v="0"/>
    <n v="0"/>
    <n v="0"/>
    <n v="0"/>
    <n v="70"/>
    <n v="0"/>
    <n v="0"/>
    <n v="0"/>
    <n v="0"/>
    <n v="0"/>
    <n v="0"/>
    <n v="70"/>
    <n v="0"/>
    <n v="0"/>
    <n v="0"/>
    <n v="0"/>
    <n v="0"/>
    <n v="0"/>
    <n v="0"/>
    <n v="0"/>
    <n v="0"/>
    <n v="0"/>
    <n v="0"/>
    <n v="0"/>
    <n v="0"/>
    <n v="0"/>
    <s v="Strategic Planning/Nine Elms"/>
    <x v="0"/>
    <x v="1"/>
    <x v="1"/>
    <x v="0"/>
    <x v="0"/>
    <x v="0"/>
    <m/>
    <x v="0"/>
    <s v="Y"/>
    <n v="12"/>
    <m/>
    <n v="0"/>
    <n v="0"/>
    <n v="0"/>
    <n v="0"/>
    <n v="0"/>
    <n v="0"/>
    <n v="0"/>
    <n v="0"/>
    <n v="70"/>
    <n v="0"/>
    <n v="0"/>
    <n v="0"/>
    <n v="0"/>
    <n v="0"/>
    <n v="0"/>
    <n v="0"/>
    <n v="0"/>
    <n v="0"/>
    <n v="0"/>
    <n v="0"/>
    <n v="0"/>
    <n v="0"/>
    <n v="70"/>
  </r>
  <r>
    <n v="4510"/>
    <x v="5"/>
    <s v="0000/0312"/>
    <s v="Kirtling Wharf"/>
    <s v="Cemex Battersea Plant, Cringle Street"/>
    <m/>
    <n v="529218"/>
    <n v="177561"/>
    <x v="6"/>
    <m/>
    <m/>
    <n v="0"/>
    <n v="7"/>
    <n v="7"/>
    <n v="82"/>
    <n v="82"/>
    <s v="Y"/>
    <s v="Redevelopment"/>
    <s v="NONE"/>
    <m/>
    <m/>
    <x v="0"/>
    <s v="Nil"/>
    <m/>
    <s v="BF"/>
    <x v="4"/>
    <x v="1"/>
    <x v="1"/>
    <n v="0"/>
    <m/>
    <x v="0"/>
    <m/>
    <x v="2"/>
    <s v="HAAR"/>
    <s v="2.1.7"/>
    <n v="17320059"/>
    <n v="0"/>
    <n v="0"/>
    <n v="0"/>
    <n v="0"/>
    <n v="0"/>
    <n v="0"/>
    <n v="0"/>
    <n v="0"/>
    <n v="0"/>
    <n v="0"/>
    <n v="7"/>
    <n v="0"/>
    <n v="0"/>
    <n v="0"/>
    <n v="0"/>
    <n v="0"/>
    <n v="0"/>
    <n v="7"/>
    <n v="0"/>
    <n v="0"/>
    <n v="0"/>
    <n v="0"/>
    <n v="0"/>
    <n v="0"/>
    <n v="0"/>
    <n v="0"/>
    <n v="0"/>
    <n v="0"/>
    <n v="0"/>
    <n v="0"/>
    <n v="0"/>
    <n v="0"/>
    <s v="Strategic Planning/Nine Elms"/>
    <x v="0"/>
    <x v="1"/>
    <x v="1"/>
    <x v="0"/>
    <x v="0"/>
    <x v="0"/>
    <m/>
    <x v="0"/>
    <s v="Y"/>
    <n v="12"/>
    <m/>
    <n v="0"/>
    <n v="0"/>
    <n v="0"/>
    <n v="0"/>
    <n v="0"/>
    <n v="0"/>
    <n v="0"/>
    <n v="0"/>
    <n v="7"/>
    <n v="0"/>
    <n v="0"/>
    <n v="0"/>
    <n v="0"/>
    <n v="0"/>
    <n v="0"/>
    <n v="0"/>
    <n v="0"/>
    <n v="0"/>
    <n v="0"/>
    <n v="0"/>
    <n v="0"/>
    <n v="0"/>
    <n v="7"/>
  </r>
  <r>
    <n v="4510"/>
    <x v="5"/>
    <s v="0000/0313"/>
    <s v="Kirtling Wharf"/>
    <s v="Cemex Battersea Plant, Cringle Street"/>
    <m/>
    <n v="529218"/>
    <n v="177561"/>
    <x v="6"/>
    <m/>
    <m/>
    <n v="0"/>
    <n v="5"/>
    <n v="5"/>
    <n v="82"/>
    <n v="82"/>
    <s v="Y"/>
    <s v="Redevelopment"/>
    <s v="NONE"/>
    <m/>
    <m/>
    <x v="0"/>
    <s v="Nil"/>
    <m/>
    <s v="BF"/>
    <x v="4"/>
    <x v="1"/>
    <x v="1"/>
    <n v="0"/>
    <m/>
    <x v="0"/>
    <m/>
    <x v="1"/>
    <s v="HAIU"/>
    <s v="2.1.7"/>
    <n v="17320059"/>
    <n v="0"/>
    <n v="0"/>
    <n v="0"/>
    <n v="0"/>
    <n v="0"/>
    <n v="0"/>
    <n v="0"/>
    <n v="0"/>
    <n v="0"/>
    <n v="0"/>
    <n v="5"/>
    <n v="0"/>
    <n v="0"/>
    <n v="0"/>
    <n v="0"/>
    <n v="0"/>
    <n v="0"/>
    <n v="5"/>
    <n v="0"/>
    <n v="0"/>
    <n v="0"/>
    <n v="0"/>
    <n v="0"/>
    <n v="0"/>
    <n v="0"/>
    <n v="0"/>
    <n v="0"/>
    <n v="0"/>
    <n v="0"/>
    <n v="0"/>
    <n v="0"/>
    <n v="0"/>
    <s v="Strategic Planning/Nine Elms"/>
    <x v="0"/>
    <x v="1"/>
    <x v="1"/>
    <x v="0"/>
    <x v="0"/>
    <x v="0"/>
    <m/>
    <x v="0"/>
    <s v="Y"/>
    <n v="12"/>
    <m/>
    <n v="0"/>
    <n v="0"/>
    <n v="0"/>
    <n v="0"/>
    <n v="0"/>
    <n v="0"/>
    <n v="0"/>
    <n v="0"/>
    <n v="5"/>
    <n v="0"/>
    <n v="0"/>
    <n v="0"/>
    <n v="0"/>
    <n v="0"/>
    <n v="0"/>
    <n v="0"/>
    <n v="0"/>
    <n v="0"/>
    <n v="0"/>
    <n v="0"/>
    <n v="0"/>
    <n v="0"/>
    <n v="5"/>
  </r>
  <r>
    <n v="6856"/>
    <x v="5"/>
    <s v="0000/0307"/>
    <s v="Car Park adjacent to Day Centre"/>
    <s v="Surrey Lane Estate, Randall Close"/>
    <m/>
    <n v="527181"/>
    <n v="176864"/>
    <x v="1"/>
    <m/>
    <m/>
    <n v="0"/>
    <n v="40"/>
    <n v="40"/>
    <n v="57"/>
    <n v="57"/>
    <s v="Y"/>
    <s v="Redevelopment of car park, providing 57 units"/>
    <s v="NONE"/>
    <m/>
    <m/>
    <x v="0"/>
    <s v="Nil"/>
    <m/>
    <s v="BF"/>
    <x v="0"/>
    <x v="1"/>
    <x v="1"/>
    <n v="0"/>
    <m/>
    <x v="0"/>
    <m/>
    <x v="0"/>
    <s v="CM"/>
    <m/>
    <m/>
    <n v="0"/>
    <m/>
    <n v="0"/>
    <m/>
    <n v="0"/>
    <n v="0"/>
    <n v="0"/>
    <n v="0"/>
    <n v="0"/>
    <n v="0"/>
    <n v="40"/>
    <n v="0"/>
    <n v="0"/>
    <n v="0"/>
    <n v="0"/>
    <n v="0"/>
    <n v="0"/>
    <n v="40"/>
    <n v="0"/>
    <n v="0"/>
    <n v="0"/>
    <n v="0"/>
    <n v="0"/>
    <n v="0"/>
    <n v="0"/>
    <n v="0"/>
    <n v="0"/>
    <n v="0"/>
    <n v="0"/>
    <n v="0"/>
    <n v="0"/>
    <n v="0"/>
    <s v="East"/>
    <x v="0"/>
    <x v="0"/>
    <x v="1"/>
    <x v="0"/>
    <x v="0"/>
    <x v="0"/>
    <m/>
    <x v="0"/>
    <s v="Y"/>
    <n v="11"/>
    <m/>
    <n v="0"/>
    <n v="0"/>
    <n v="0"/>
    <n v="0"/>
    <n v="0"/>
    <n v="0"/>
    <n v="13.333333333333334"/>
    <n v="13.333333333333334"/>
    <n v="13.333333333333334"/>
    <n v="0"/>
    <n v="0"/>
    <n v="0"/>
    <n v="0"/>
    <n v="0"/>
    <n v="0"/>
    <n v="0"/>
    <n v="0"/>
    <n v="0"/>
    <n v="0"/>
    <n v="0"/>
    <n v="0"/>
    <n v="0"/>
    <n v="40"/>
  </r>
  <r>
    <n v="6856"/>
    <x v="5"/>
    <s v="0000/0307"/>
    <s v="Car Park adjacent to Day Centre"/>
    <s v="Surrey Lane Estate, Randall Close"/>
    <m/>
    <n v="527181"/>
    <n v="176864"/>
    <x v="1"/>
    <m/>
    <m/>
    <n v="0"/>
    <n v="17"/>
    <n v="17"/>
    <n v="57"/>
    <n v="57"/>
    <s v="Y"/>
    <s v="Redevelopment of car park, providing 57 units"/>
    <s v="NONE"/>
    <m/>
    <m/>
    <x v="0"/>
    <s v="Nil"/>
    <m/>
    <s v="BF"/>
    <x v="0"/>
    <x v="1"/>
    <x v="1"/>
    <n v="0"/>
    <m/>
    <x v="0"/>
    <m/>
    <x v="2"/>
    <s v="C"/>
    <m/>
    <m/>
    <n v="0"/>
    <m/>
    <n v="0"/>
    <m/>
    <n v="0"/>
    <n v="0"/>
    <n v="0"/>
    <n v="0"/>
    <n v="0"/>
    <n v="0"/>
    <n v="17"/>
    <n v="0"/>
    <n v="0"/>
    <n v="0"/>
    <n v="0"/>
    <n v="0"/>
    <n v="0"/>
    <n v="17"/>
    <n v="0"/>
    <n v="0"/>
    <n v="0"/>
    <n v="0"/>
    <n v="0"/>
    <n v="0"/>
    <n v="0"/>
    <n v="0"/>
    <n v="0"/>
    <n v="0"/>
    <n v="0"/>
    <n v="0"/>
    <n v="0"/>
    <n v="0"/>
    <s v="East"/>
    <x v="0"/>
    <x v="0"/>
    <x v="1"/>
    <x v="0"/>
    <x v="0"/>
    <x v="0"/>
    <m/>
    <x v="0"/>
    <s v="Y"/>
    <n v="11"/>
    <m/>
    <n v="0"/>
    <n v="0"/>
    <n v="0"/>
    <n v="0"/>
    <n v="0"/>
    <n v="0"/>
    <n v="5.666666666666667"/>
    <n v="5.666666666666667"/>
    <n v="5.666666666666667"/>
    <n v="0"/>
    <n v="0"/>
    <n v="0"/>
    <n v="0"/>
    <n v="0"/>
    <n v="0"/>
    <n v="0"/>
    <n v="0"/>
    <n v="0"/>
    <n v="0"/>
    <n v="0"/>
    <n v="0"/>
    <n v="0"/>
    <n v="17"/>
  </r>
  <r>
    <n v="6857"/>
    <x v="5"/>
    <s v="0000/0308"/>
    <m/>
    <s v="Day Centre, 2 Randall Close"/>
    <m/>
    <n v="527247"/>
    <n v="176890"/>
    <x v="1"/>
    <m/>
    <m/>
    <n v="0"/>
    <n v="32"/>
    <n v="32"/>
    <n v="40"/>
    <n v="40"/>
    <s v="Y"/>
    <s v="Redevelopment of day centre, providing 40 dwellings"/>
    <s v="NONE"/>
    <m/>
    <m/>
    <x v="0"/>
    <s v="Nil"/>
    <m/>
    <s v="BF"/>
    <x v="0"/>
    <x v="1"/>
    <x v="1"/>
    <n v="0"/>
    <m/>
    <x v="0"/>
    <m/>
    <x v="0"/>
    <s v="CM"/>
    <m/>
    <m/>
    <n v="0"/>
    <m/>
    <n v="0"/>
    <m/>
    <n v="0"/>
    <n v="0"/>
    <n v="0"/>
    <n v="0"/>
    <n v="0"/>
    <n v="0"/>
    <n v="32"/>
    <n v="0"/>
    <n v="0"/>
    <n v="0"/>
    <n v="0"/>
    <n v="0"/>
    <n v="0"/>
    <n v="32"/>
    <n v="0"/>
    <n v="0"/>
    <n v="0"/>
    <n v="0"/>
    <n v="0"/>
    <n v="0"/>
    <n v="0"/>
    <n v="0"/>
    <n v="0"/>
    <n v="0"/>
    <n v="0"/>
    <n v="0"/>
    <n v="0"/>
    <n v="0"/>
    <s v="East"/>
    <x v="0"/>
    <x v="0"/>
    <x v="1"/>
    <x v="0"/>
    <x v="0"/>
    <x v="0"/>
    <m/>
    <x v="0"/>
    <s v="Y"/>
    <n v="11"/>
    <m/>
    <n v="0"/>
    <n v="0"/>
    <n v="0"/>
    <n v="0"/>
    <n v="0"/>
    <n v="0"/>
    <n v="10.666666666666666"/>
    <n v="10.666666666666666"/>
    <n v="10.666666666666666"/>
    <n v="0"/>
    <n v="0"/>
    <n v="0"/>
    <n v="0"/>
    <n v="0"/>
    <n v="0"/>
    <n v="0"/>
    <n v="0"/>
    <n v="0"/>
    <n v="0"/>
    <n v="0"/>
    <n v="0"/>
    <n v="0"/>
    <n v="32"/>
  </r>
  <r>
    <n v="6857"/>
    <x v="5"/>
    <s v="0000/0308"/>
    <m/>
    <s v="Day Centre, 2 Randall Close"/>
    <m/>
    <n v="527247"/>
    <n v="176890"/>
    <x v="1"/>
    <m/>
    <m/>
    <n v="0"/>
    <n v="8"/>
    <n v="8"/>
    <n v="40"/>
    <n v="40"/>
    <s v="Y"/>
    <s v="Redevelopment of day centre, providing 40 dwellings"/>
    <s v="NONE"/>
    <m/>
    <m/>
    <x v="0"/>
    <s v="Nil"/>
    <m/>
    <s v="BF"/>
    <x v="0"/>
    <x v="1"/>
    <x v="1"/>
    <n v="0"/>
    <m/>
    <x v="0"/>
    <m/>
    <x v="2"/>
    <s v="C"/>
    <m/>
    <m/>
    <n v="0"/>
    <m/>
    <n v="0"/>
    <m/>
    <n v="0"/>
    <n v="0"/>
    <n v="0"/>
    <n v="0"/>
    <n v="0"/>
    <n v="0"/>
    <n v="8"/>
    <n v="0"/>
    <n v="0"/>
    <n v="0"/>
    <n v="0"/>
    <n v="0"/>
    <n v="0"/>
    <n v="8"/>
    <n v="0"/>
    <n v="0"/>
    <n v="0"/>
    <n v="0"/>
    <n v="0"/>
    <n v="0"/>
    <n v="0"/>
    <n v="0"/>
    <n v="0"/>
    <n v="0"/>
    <n v="0"/>
    <n v="0"/>
    <n v="0"/>
    <n v="0"/>
    <s v="East"/>
    <x v="0"/>
    <x v="0"/>
    <x v="1"/>
    <x v="0"/>
    <x v="0"/>
    <x v="0"/>
    <m/>
    <x v="0"/>
    <s v="Y"/>
    <n v="11"/>
    <m/>
    <n v="0"/>
    <n v="0"/>
    <n v="0"/>
    <n v="0"/>
    <n v="0"/>
    <n v="0"/>
    <n v="2.6666666666666665"/>
    <n v="2.6666666666666665"/>
    <n v="2.6666666666666665"/>
    <n v="0"/>
    <n v="0"/>
    <n v="0"/>
    <n v="0"/>
    <n v="0"/>
    <n v="0"/>
    <n v="0"/>
    <n v="0"/>
    <n v="0"/>
    <n v="0"/>
    <n v="0"/>
    <n v="0"/>
    <n v="0"/>
    <n v="8"/>
  </r>
  <r>
    <n v="6864"/>
    <x v="5"/>
    <s v="0000/0252"/>
    <m/>
    <s v="Market Area, Tooting High Street"/>
    <m/>
    <n v="527567"/>
    <n v="175349"/>
    <x v="8"/>
    <m/>
    <m/>
    <n v="0"/>
    <n v="211"/>
    <n v="211"/>
    <n v="315"/>
    <n v="315"/>
    <s v="Y"/>
    <s v="Redevelopment"/>
    <s v="NONE"/>
    <m/>
    <m/>
    <x v="0"/>
    <s v="Nil"/>
    <m/>
    <s v="BF"/>
    <x v="0"/>
    <x v="1"/>
    <x v="1"/>
    <n v="0"/>
    <m/>
    <x v="0"/>
    <m/>
    <x v="0"/>
    <s v="P"/>
    <s v="5.2"/>
    <n v="17320280"/>
    <n v="0"/>
    <m/>
    <n v="0"/>
    <m/>
    <n v="0"/>
    <n v="0"/>
    <n v="0"/>
    <n v="0"/>
    <n v="0"/>
    <n v="0"/>
    <n v="211"/>
    <n v="0"/>
    <n v="0"/>
    <n v="0"/>
    <n v="0"/>
    <n v="0"/>
    <n v="0"/>
    <n v="211"/>
    <n v="0"/>
    <n v="0"/>
    <n v="0"/>
    <n v="0"/>
    <n v="0"/>
    <n v="0"/>
    <n v="0"/>
    <n v="0"/>
    <n v="0"/>
    <n v="0"/>
    <n v="0"/>
    <n v="0"/>
    <n v="0"/>
    <n v="0"/>
    <s v="East"/>
    <x v="0"/>
    <x v="0"/>
    <x v="1"/>
    <x v="0"/>
    <x v="0"/>
    <x v="0"/>
    <m/>
    <x v="0"/>
    <s v="Y"/>
    <n v="11"/>
    <m/>
    <n v="0"/>
    <n v="0"/>
    <n v="0"/>
    <n v="0"/>
    <n v="0"/>
    <n v="0"/>
    <n v="0"/>
    <n v="0"/>
    <n v="0"/>
    <n v="0"/>
    <n v="0"/>
    <n v="0"/>
    <n v="17.583333333333332"/>
    <n v="17.583333333333332"/>
    <n v="17.583333333333332"/>
    <n v="17.583333333333332"/>
    <n v="17.583333333333332"/>
    <n v="17.583333333333332"/>
    <n v="17.583333333333332"/>
    <n v="17.583333333333332"/>
    <n v="17.583333333333332"/>
    <n v="0"/>
    <n v="0"/>
  </r>
  <r>
    <n v="6864"/>
    <x v="5"/>
    <s v="0000/0252"/>
    <m/>
    <s v="Market Area, Tooting High Street"/>
    <m/>
    <n v="527567"/>
    <n v="175349"/>
    <x v="8"/>
    <m/>
    <m/>
    <n v="0"/>
    <n v="62"/>
    <n v="62"/>
    <n v="315"/>
    <n v="315"/>
    <s v="Y"/>
    <s v="Redevelopment"/>
    <s v="NONE"/>
    <m/>
    <m/>
    <x v="0"/>
    <s v="Nil"/>
    <m/>
    <s v="BF"/>
    <x v="0"/>
    <x v="1"/>
    <x v="1"/>
    <n v="0"/>
    <m/>
    <x v="0"/>
    <m/>
    <x v="2"/>
    <s v="HAAR"/>
    <s v="5.2"/>
    <n v="17320280"/>
    <n v="0"/>
    <m/>
    <n v="0"/>
    <m/>
    <n v="0"/>
    <n v="0"/>
    <n v="0"/>
    <n v="0"/>
    <n v="0"/>
    <n v="0"/>
    <n v="62"/>
    <n v="0"/>
    <n v="0"/>
    <n v="0"/>
    <n v="0"/>
    <n v="0"/>
    <n v="0"/>
    <n v="62"/>
    <n v="0"/>
    <n v="0"/>
    <n v="0"/>
    <n v="0"/>
    <n v="0"/>
    <n v="0"/>
    <n v="0"/>
    <n v="0"/>
    <n v="0"/>
    <n v="0"/>
    <n v="0"/>
    <n v="0"/>
    <n v="0"/>
    <n v="0"/>
    <s v="East"/>
    <x v="0"/>
    <x v="0"/>
    <x v="1"/>
    <x v="0"/>
    <x v="0"/>
    <x v="0"/>
    <m/>
    <x v="0"/>
    <s v="Y"/>
    <n v="11"/>
    <m/>
    <n v="0"/>
    <n v="0"/>
    <n v="0"/>
    <n v="0"/>
    <n v="0"/>
    <n v="0"/>
    <n v="0"/>
    <n v="0"/>
    <n v="0"/>
    <n v="0"/>
    <n v="0"/>
    <n v="0"/>
    <n v="5.166666666666667"/>
    <n v="5.166666666666667"/>
    <n v="5.166666666666667"/>
    <n v="5.166666666666667"/>
    <n v="5.166666666666667"/>
    <n v="5.166666666666667"/>
    <n v="5.166666666666667"/>
    <n v="5.166666666666667"/>
    <n v="5.166666666666667"/>
    <n v="0"/>
    <n v="0"/>
  </r>
  <r>
    <n v="6864"/>
    <x v="5"/>
    <s v="0000/0252"/>
    <m/>
    <s v="Market Area, Tooting High Street"/>
    <m/>
    <n v="527567"/>
    <n v="175349"/>
    <x v="8"/>
    <m/>
    <m/>
    <n v="0"/>
    <n v="42"/>
    <n v="42"/>
    <n v="315"/>
    <n v="315"/>
    <s v="Y"/>
    <s v="Redevelopment"/>
    <s v="NONE"/>
    <m/>
    <m/>
    <x v="0"/>
    <s v="Nil"/>
    <m/>
    <s v="BF"/>
    <x v="0"/>
    <x v="1"/>
    <x v="1"/>
    <n v="0"/>
    <m/>
    <x v="0"/>
    <m/>
    <x v="1"/>
    <s v="HAIS"/>
    <s v="5.2"/>
    <n v="17320280"/>
    <n v="0"/>
    <m/>
    <n v="0"/>
    <m/>
    <n v="0"/>
    <n v="0"/>
    <n v="0"/>
    <n v="0"/>
    <n v="0"/>
    <n v="0"/>
    <n v="42"/>
    <n v="0"/>
    <n v="0"/>
    <n v="0"/>
    <n v="0"/>
    <n v="0"/>
    <n v="0"/>
    <n v="42"/>
    <n v="0"/>
    <n v="0"/>
    <n v="0"/>
    <n v="0"/>
    <n v="0"/>
    <n v="0"/>
    <n v="0"/>
    <n v="0"/>
    <n v="0"/>
    <n v="0"/>
    <n v="0"/>
    <n v="0"/>
    <n v="0"/>
    <n v="0"/>
    <s v="East"/>
    <x v="0"/>
    <x v="0"/>
    <x v="1"/>
    <x v="0"/>
    <x v="0"/>
    <x v="0"/>
    <m/>
    <x v="0"/>
    <s v="Y"/>
    <n v="11"/>
    <m/>
    <n v="0"/>
    <n v="0"/>
    <n v="0"/>
    <n v="0"/>
    <n v="0"/>
    <n v="0"/>
    <n v="0"/>
    <n v="0"/>
    <n v="0"/>
    <n v="0"/>
    <n v="0"/>
    <n v="0"/>
    <n v="3.5"/>
    <n v="3.5"/>
    <n v="3.5"/>
    <n v="3.5"/>
    <n v="3.5"/>
    <n v="3.5"/>
    <n v="3.5"/>
    <n v="3.5"/>
    <n v="3.5"/>
    <n v="0"/>
    <n v="0"/>
  </r>
  <r>
    <n v="6865"/>
    <x v="5"/>
    <s v="0000/0253"/>
    <m/>
    <s v="St Georges Hospital Car Park, Maybury Street"/>
    <m/>
    <n v="527052"/>
    <n v="171137"/>
    <x v="4"/>
    <m/>
    <m/>
    <n v="0"/>
    <n v="103"/>
    <n v="103"/>
    <n v="153"/>
    <n v="153"/>
    <s v="Y"/>
    <s v="Redevelopment"/>
    <s v="NONE"/>
    <m/>
    <m/>
    <x v="0"/>
    <s v="Nil"/>
    <m/>
    <s v="BF"/>
    <x v="0"/>
    <x v="1"/>
    <x v="1"/>
    <n v="0"/>
    <m/>
    <x v="0"/>
    <m/>
    <x v="0"/>
    <s v="P"/>
    <s v="5.5"/>
    <n v="17320189"/>
    <n v="0"/>
    <m/>
    <n v="0"/>
    <m/>
    <n v="0"/>
    <n v="0"/>
    <n v="0"/>
    <n v="0"/>
    <n v="0"/>
    <n v="0"/>
    <n v="103"/>
    <n v="0"/>
    <n v="0"/>
    <n v="0"/>
    <n v="0"/>
    <n v="0"/>
    <n v="0"/>
    <n v="103"/>
    <n v="0"/>
    <n v="0"/>
    <n v="0"/>
    <n v="0"/>
    <n v="0"/>
    <n v="0"/>
    <n v="0"/>
    <n v="0"/>
    <n v="0"/>
    <n v="0"/>
    <n v="0"/>
    <n v="0"/>
    <n v="0"/>
    <n v="0"/>
    <s v="East"/>
    <x v="0"/>
    <x v="0"/>
    <x v="1"/>
    <x v="0"/>
    <x v="0"/>
    <x v="0"/>
    <m/>
    <x v="0"/>
    <s v="Y"/>
    <n v="11"/>
    <m/>
    <n v="0"/>
    <n v="0"/>
    <n v="0"/>
    <n v="0"/>
    <n v="0"/>
    <n v="0"/>
    <n v="0"/>
    <n v="6.0588235294117645"/>
    <n v="6.0588235294117645"/>
    <n v="6.0588235294117645"/>
    <n v="6.0588235294117645"/>
    <n v="6.0588235294117645"/>
    <n v="6.0588235294117645"/>
    <n v="6.0588235294117645"/>
    <n v="6.0588235294117645"/>
    <n v="6.0588235294117645"/>
    <n v="6.0588235294117645"/>
    <n v="6.0588235294117645"/>
    <n v="6.0588235294117645"/>
    <n v="6.0588235294117645"/>
    <n v="6.0588235294117645"/>
    <n v="0"/>
    <n v="24.235294117647058"/>
  </r>
  <r>
    <n v="6865"/>
    <x v="5"/>
    <s v="0000/0253"/>
    <m/>
    <s v="St Georges Hospital Car Park, Maybury Street"/>
    <m/>
    <n v="527052"/>
    <n v="171137"/>
    <x v="4"/>
    <m/>
    <m/>
    <n v="0"/>
    <n v="30"/>
    <n v="30"/>
    <n v="153"/>
    <n v="153"/>
    <s v="Y"/>
    <s v="Redevelopment"/>
    <s v="NONE"/>
    <m/>
    <m/>
    <x v="0"/>
    <s v="Nil"/>
    <m/>
    <s v="BF"/>
    <x v="0"/>
    <x v="1"/>
    <x v="1"/>
    <n v="0"/>
    <m/>
    <x v="0"/>
    <m/>
    <x v="2"/>
    <s v="HAAR"/>
    <s v="5.5"/>
    <n v="17320189"/>
    <n v="0"/>
    <m/>
    <n v="0"/>
    <m/>
    <n v="0"/>
    <n v="0"/>
    <n v="0"/>
    <n v="0"/>
    <n v="0"/>
    <n v="0"/>
    <n v="30"/>
    <n v="0"/>
    <n v="0"/>
    <n v="0"/>
    <n v="0"/>
    <n v="0"/>
    <n v="0"/>
    <n v="30"/>
    <n v="0"/>
    <n v="0"/>
    <n v="0"/>
    <n v="0"/>
    <n v="0"/>
    <n v="0"/>
    <n v="0"/>
    <n v="0"/>
    <n v="0"/>
    <n v="0"/>
    <n v="0"/>
    <n v="0"/>
    <n v="0"/>
    <n v="0"/>
    <s v="East"/>
    <x v="0"/>
    <x v="0"/>
    <x v="1"/>
    <x v="0"/>
    <x v="0"/>
    <x v="0"/>
    <m/>
    <x v="0"/>
    <s v="Y"/>
    <n v="11"/>
    <m/>
    <n v="0"/>
    <n v="0"/>
    <n v="0"/>
    <n v="0"/>
    <n v="0"/>
    <n v="0"/>
    <n v="0"/>
    <n v="1.7647058823529411"/>
    <n v="1.7647058823529411"/>
    <n v="1.7647058823529411"/>
    <n v="1.7647058823529411"/>
    <n v="1.7647058823529411"/>
    <n v="1.7647058823529411"/>
    <n v="1.7647058823529411"/>
    <n v="1.7647058823529411"/>
    <n v="1.7647058823529411"/>
    <n v="1.7647058823529411"/>
    <n v="1.7647058823529411"/>
    <n v="1.7647058823529411"/>
    <n v="1.7647058823529411"/>
    <n v="1.7647058823529411"/>
    <n v="0"/>
    <n v="7.0588235294117645"/>
  </r>
  <r>
    <n v="6865"/>
    <x v="5"/>
    <s v="0000/0253"/>
    <m/>
    <s v="St Georges Hospital Car Park, Maybury Street"/>
    <m/>
    <n v="527052"/>
    <n v="171137"/>
    <x v="4"/>
    <m/>
    <m/>
    <n v="0"/>
    <n v="20"/>
    <n v="20"/>
    <n v="153"/>
    <n v="153"/>
    <s v="Y"/>
    <s v="Redevelopment"/>
    <s v="NONE"/>
    <m/>
    <m/>
    <x v="0"/>
    <s v="Nil"/>
    <m/>
    <s v="BF"/>
    <x v="0"/>
    <x v="1"/>
    <x v="1"/>
    <n v="0"/>
    <m/>
    <x v="0"/>
    <m/>
    <x v="1"/>
    <s v="HAIS"/>
    <s v="5.5"/>
    <n v="17320189"/>
    <n v="0"/>
    <m/>
    <n v="0"/>
    <m/>
    <n v="0"/>
    <n v="0"/>
    <n v="0"/>
    <n v="0"/>
    <n v="0"/>
    <n v="0"/>
    <n v="20"/>
    <n v="0"/>
    <n v="0"/>
    <n v="0"/>
    <n v="0"/>
    <n v="0"/>
    <n v="0"/>
    <n v="20"/>
    <n v="0"/>
    <n v="0"/>
    <n v="0"/>
    <n v="0"/>
    <n v="0"/>
    <n v="0"/>
    <n v="0"/>
    <n v="0"/>
    <n v="0"/>
    <n v="0"/>
    <n v="0"/>
    <n v="0"/>
    <n v="0"/>
    <n v="0"/>
    <s v="East"/>
    <x v="0"/>
    <x v="0"/>
    <x v="1"/>
    <x v="0"/>
    <x v="0"/>
    <x v="0"/>
    <m/>
    <x v="0"/>
    <s v="Y"/>
    <n v="11"/>
    <m/>
    <n v="0"/>
    <n v="0"/>
    <n v="0"/>
    <n v="0"/>
    <n v="0"/>
    <n v="0"/>
    <n v="0"/>
    <n v="1.1764705882352942"/>
    <n v="1.1764705882352942"/>
    <n v="1.1764705882352942"/>
    <n v="1.1764705882352942"/>
    <n v="1.1764705882352942"/>
    <n v="1.1764705882352942"/>
    <n v="1.1764705882352942"/>
    <n v="1.1764705882352942"/>
    <n v="1.1764705882352942"/>
    <n v="1.1764705882352942"/>
    <n v="1.1764705882352942"/>
    <n v="1.1764705882352942"/>
    <n v="1.1764705882352942"/>
    <n v="1.1764705882352942"/>
    <n v="0"/>
    <n v="4.7058823529411766"/>
  </r>
  <r>
    <n v="6866"/>
    <x v="5"/>
    <s v="0000/0255"/>
    <m/>
    <s v="Sainsbury's Car Park, Bedford Hill"/>
    <m/>
    <n v="528629"/>
    <n v="175199"/>
    <x v="9"/>
    <m/>
    <m/>
    <n v="0"/>
    <n v="54"/>
    <n v="54"/>
    <n v="81"/>
    <n v="81"/>
    <s v="Y"/>
    <s v="Redevelopment"/>
    <s v="NONE"/>
    <m/>
    <m/>
    <x v="0"/>
    <s v="Nil"/>
    <m/>
    <s v="BF"/>
    <x v="0"/>
    <x v="1"/>
    <x v="1"/>
    <n v="0"/>
    <m/>
    <x v="0"/>
    <m/>
    <x v="0"/>
    <s v="P"/>
    <s v="7.1"/>
    <n v="17320339"/>
    <n v="0"/>
    <m/>
    <n v="0"/>
    <m/>
    <n v="0"/>
    <n v="0"/>
    <n v="0"/>
    <n v="0"/>
    <n v="0"/>
    <n v="0"/>
    <n v="54"/>
    <n v="0"/>
    <n v="0"/>
    <n v="0"/>
    <n v="0"/>
    <n v="0"/>
    <n v="0"/>
    <n v="54"/>
    <n v="0"/>
    <n v="0"/>
    <n v="0"/>
    <n v="0"/>
    <n v="0"/>
    <n v="0"/>
    <n v="0"/>
    <n v="0"/>
    <n v="0"/>
    <n v="0"/>
    <n v="0"/>
    <n v="0"/>
    <n v="0"/>
    <n v="0"/>
    <s v="East"/>
    <x v="0"/>
    <x v="0"/>
    <x v="1"/>
    <x v="0"/>
    <x v="0"/>
    <x v="0"/>
    <m/>
    <x v="0"/>
    <s v="Y"/>
    <n v="11"/>
    <m/>
    <n v="0"/>
    <n v="0"/>
    <n v="0"/>
    <n v="0"/>
    <n v="0"/>
    <n v="0"/>
    <n v="0"/>
    <n v="0"/>
    <n v="0"/>
    <n v="0"/>
    <n v="0"/>
    <n v="0"/>
    <n v="4.5"/>
    <n v="4.5"/>
    <n v="4.5"/>
    <n v="4.5"/>
    <n v="4.5"/>
    <n v="4.5"/>
    <n v="4.5"/>
    <n v="4.5"/>
    <n v="4.5"/>
    <n v="0"/>
    <n v="0"/>
  </r>
  <r>
    <n v="6866"/>
    <x v="5"/>
    <s v="0000/0255"/>
    <m/>
    <s v="Sainsbury's Car Park, Bedford Hill"/>
    <m/>
    <n v="528629"/>
    <n v="175199"/>
    <x v="9"/>
    <m/>
    <m/>
    <n v="0"/>
    <n v="16"/>
    <n v="16"/>
    <n v="81"/>
    <n v="81"/>
    <s v="Y"/>
    <s v="Redevelopment"/>
    <s v="NONE"/>
    <m/>
    <m/>
    <x v="0"/>
    <s v="Nil"/>
    <m/>
    <s v="BF"/>
    <x v="0"/>
    <x v="1"/>
    <x v="1"/>
    <n v="0"/>
    <m/>
    <x v="0"/>
    <m/>
    <x v="2"/>
    <s v="HAAR"/>
    <s v="7.1"/>
    <n v="17320339"/>
    <n v="0"/>
    <m/>
    <n v="0"/>
    <m/>
    <n v="0"/>
    <n v="0"/>
    <n v="0"/>
    <n v="0"/>
    <n v="0"/>
    <n v="0"/>
    <n v="16"/>
    <n v="0"/>
    <n v="0"/>
    <n v="0"/>
    <n v="0"/>
    <n v="0"/>
    <n v="0"/>
    <n v="16"/>
    <n v="0"/>
    <n v="0"/>
    <n v="0"/>
    <n v="0"/>
    <n v="0"/>
    <n v="0"/>
    <n v="0"/>
    <n v="0"/>
    <n v="0"/>
    <n v="0"/>
    <n v="0"/>
    <n v="0"/>
    <n v="0"/>
    <n v="0"/>
    <s v="East"/>
    <x v="0"/>
    <x v="0"/>
    <x v="1"/>
    <x v="0"/>
    <x v="0"/>
    <x v="0"/>
    <m/>
    <x v="0"/>
    <s v="Y"/>
    <n v="11"/>
    <m/>
    <n v="0"/>
    <n v="0"/>
    <n v="0"/>
    <n v="0"/>
    <n v="0"/>
    <n v="0"/>
    <n v="0"/>
    <n v="0"/>
    <n v="0"/>
    <n v="0"/>
    <n v="0"/>
    <n v="0"/>
    <n v="1.3333333333333333"/>
    <n v="1.3333333333333333"/>
    <n v="1.3333333333333333"/>
    <n v="1.3333333333333333"/>
    <n v="1.3333333333333333"/>
    <n v="1.3333333333333333"/>
    <n v="1.3333333333333333"/>
    <n v="1.3333333333333333"/>
    <n v="1.3333333333333333"/>
    <n v="0"/>
    <n v="0"/>
  </r>
  <r>
    <n v="6866"/>
    <x v="5"/>
    <s v="0000/0255"/>
    <m/>
    <s v="Sainsbury's Car Park, Bedford Hill"/>
    <m/>
    <n v="528629"/>
    <n v="175199"/>
    <x v="9"/>
    <m/>
    <m/>
    <n v="0"/>
    <n v="11"/>
    <n v="11"/>
    <n v="81"/>
    <n v="81"/>
    <s v="Y"/>
    <s v="Redevelopment"/>
    <s v="NONE"/>
    <m/>
    <m/>
    <x v="0"/>
    <s v="Nil"/>
    <m/>
    <s v="BF"/>
    <x v="0"/>
    <x v="1"/>
    <x v="1"/>
    <n v="0"/>
    <m/>
    <x v="0"/>
    <m/>
    <x v="1"/>
    <s v="HAIS"/>
    <s v="7.1"/>
    <n v="17320339"/>
    <n v="0"/>
    <m/>
    <n v="0"/>
    <m/>
    <n v="0"/>
    <n v="0"/>
    <n v="0"/>
    <n v="0"/>
    <n v="0"/>
    <n v="0"/>
    <n v="11"/>
    <n v="0"/>
    <n v="0"/>
    <n v="0"/>
    <n v="0"/>
    <n v="0"/>
    <n v="0"/>
    <n v="11"/>
    <n v="0"/>
    <n v="0"/>
    <n v="0"/>
    <n v="0"/>
    <n v="0"/>
    <n v="0"/>
    <n v="0"/>
    <n v="0"/>
    <n v="0"/>
    <n v="0"/>
    <n v="0"/>
    <n v="0"/>
    <n v="0"/>
    <n v="0"/>
    <s v="East"/>
    <x v="0"/>
    <x v="0"/>
    <x v="1"/>
    <x v="0"/>
    <x v="0"/>
    <x v="0"/>
    <m/>
    <x v="0"/>
    <s v="Y"/>
    <n v="11"/>
    <m/>
    <n v="0"/>
    <n v="0"/>
    <n v="0"/>
    <n v="0"/>
    <n v="0"/>
    <n v="0"/>
    <n v="0"/>
    <n v="0"/>
    <n v="0"/>
    <n v="0"/>
    <n v="0"/>
    <n v="0"/>
    <n v="0.91666666666666663"/>
    <n v="0.91666666666666663"/>
    <n v="0.91666666666666663"/>
    <n v="0.91666666666666663"/>
    <n v="0.91666666666666663"/>
    <n v="0.91666666666666663"/>
    <n v="0.91666666666666663"/>
    <n v="0.91666666666666663"/>
    <n v="0.91666666666666663"/>
    <n v="0"/>
    <n v="0"/>
  </r>
  <r>
    <n v="6867"/>
    <x v="5"/>
    <s v="0000/0257"/>
    <m/>
    <s v="259-311 Battersea Park road"/>
    <m/>
    <n v="528366"/>
    <n v="176677"/>
    <x v="6"/>
    <m/>
    <m/>
    <n v="0"/>
    <n v="8"/>
    <n v="8"/>
    <n v="8"/>
    <n v="8"/>
    <m/>
    <s v="Redevelopment"/>
    <s v="NONE"/>
    <m/>
    <m/>
    <x v="0"/>
    <s v="Nil"/>
    <m/>
    <s v="BF"/>
    <x v="0"/>
    <x v="0"/>
    <x v="0"/>
    <n v="0"/>
    <m/>
    <x v="0"/>
    <m/>
    <x v="0"/>
    <s v="P"/>
    <s v="9.10"/>
    <n v="17320343"/>
    <n v="0"/>
    <m/>
    <n v="0"/>
    <m/>
    <n v="0"/>
    <n v="0"/>
    <n v="0"/>
    <n v="0"/>
    <n v="0"/>
    <n v="0"/>
    <n v="8"/>
    <n v="0"/>
    <n v="0"/>
    <n v="0"/>
    <n v="0"/>
    <n v="0"/>
    <n v="0"/>
    <n v="8"/>
    <n v="0"/>
    <n v="0"/>
    <n v="0"/>
    <n v="0"/>
    <n v="0"/>
    <n v="0"/>
    <n v="0"/>
    <n v="0"/>
    <n v="0"/>
    <n v="0"/>
    <n v="0"/>
    <n v="0"/>
    <n v="0"/>
    <n v="0"/>
    <s v="East"/>
    <x v="0"/>
    <x v="0"/>
    <x v="1"/>
    <x v="0"/>
    <x v="0"/>
    <x v="0"/>
    <m/>
    <x v="0"/>
    <s v="Y"/>
    <n v="11"/>
    <m/>
    <n v="0"/>
    <n v="0"/>
    <n v="0"/>
    <n v="0"/>
    <n v="0"/>
    <n v="0"/>
    <n v="0"/>
    <n v="0"/>
    <n v="0"/>
    <n v="0"/>
    <n v="0"/>
    <n v="0"/>
    <n v="0.66666666666666663"/>
    <n v="0.66666666666666663"/>
    <n v="0.66666666666666663"/>
    <n v="0.66666666666666663"/>
    <n v="0.66666666666666663"/>
    <n v="0.66666666666666663"/>
    <n v="0.66666666666666663"/>
    <n v="0.66666666666666663"/>
    <n v="0.66666666666666663"/>
    <n v="0"/>
    <n v="0"/>
  </r>
  <r>
    <n v="6868"/>
    <x v="5"/>
    <s v="0000/0258"/>
    <m/>
    <s v="Atheldene, Garratt Lane"/>
    <m/>
    <n v="526007"/>
    <n v="173636"/>
    <x v="18"/>
    <m/>
    <m/>
    <n v="0"/>
    <n v="90"/>
    <n v="90"/>
    <n v="135"/>
    <n v="135"/>
    <s v="Y"/>
    <s v="Redevelopment"/>
    <s v="NONE"/>
    <m/>
    <m/>
    <x v="0"/>
    <s v="Nil"/>
    <m/>
    <s v="BF"/>
    <x v="0"/>
    <x v="1"/>
    <x v="1"/>
    <n v="0"/>
    <m/>
    <x v="0"/>
    <m/>
    <x v="0"/>
    <s v="P"/>
    <s v="9.11"/>
    <n v="17320135"/>
    <n v="0"/>
    <m/>
    <n v="0"/>
    <m/>
    <n v="0"/>
    <n v="0"/>
    <n v="0"/>
    <n v="0"/>
    <n v="0"/>
    <n v="0"/>
    <n v="90"/>
    <n v="0"/>
    <n v="0"/>
    <n v="0"/>
    <n v="0"/>
    <n v="0"/>
    <n v="0"/>
    <n v="90"/>
    <n v="0"/>
    <n v="0"/>
    <n v="0"/>
    <n v="0"/>
    <n v="0"/>
    <n v="0"/>
    <n v="0"/>
    <n v="0"/>
    <n v="0"/>
    <n v="0"/>
    <n v="0"/>
    <n v="0"/>
    <n v="0"/>
    <n v="0"/>
    <s v="West"/>
    <x v="0"/>
    <x v="0"/>
    <x v="1"/>
    <x v="0"/>
    <x v="0"/>
    <x v="0"/>
    <m/>
    <x v="0"/>
    <s v="Y"/>
    <n v="11"/>
    <m/>
    <n v="0"/>
    <n v="0"/>
    <n v="18"/>
    <n v="18"/>
    <n v="18"/>
    <n v="18"/>
    <n v="18"/>
    <n v="0"/>
    <n v="0"/>
    <n v="0"/>
    <n v="0"/>
    <n v="0"/>
    <n v="0"/>
    <n v="0"/>
    <n v="0"/>
    <n v="0"/>
    <n v="0"/>
    <n v="0"/>
    <n v="0"/>
    <n v="0"/>
    <n v="0"/>
    <n v="72"/>
    <n v="90"/>
  </r>
  <r>
    <n v="6868"/>
    <x v="5"/>
    <s v="0000/0258"/>
    <m/>
    <s v="Atheldene, Garratt Lane"/>
    <m/>
    <n v="526007"/>
    <n v="173636"/>
    <x v="18"/>
    <m/>
    <m/>
    <n v="0"/>
    <n v="27"/>
    <n v="27"/>
    <n v="135"/>
    <n v="135"/>
    <s v="Y"/>
    <s v="Redevelopment"/>
    <s v="NONE"/>
    <m/>
    <m/>
    <x v="0"/>
    <s v="Nil"/>
    <m/>
    <s v="BF"/>
    <x v="0"/>
    <x v="1"/>
    <x v="1"/>
    <n v="0"/>
    <m/>
    <x v="0"/>
    <m/>
    <x v="2"/>
    <s v="HAAR"/>
    <s v="9.11"/>
    <n v="17320135"/>
    <n v="0"/>
    <m/>
    <n v="0"/>
    <m/>
    <n v="0"/>
    <n v="0"/>
    <n v="0"/>
    <n v="0"/>
    <n v="0"/>
    <n v="0"/>
    <n v="27"/>
    <n v="0"/>
    <n v="0"/>
    <n v="0"/>
    <n v="0"/>
    <n v="0"/>
    <n v="0"/>
    <n v="27"/>
    <n v="0"/>
    <n v="0"/>
    <n v="0"/>
    <n v="0"/>
    <n v="0"/>
    <n v="0"/>
    <n v="0"/>
    <n v="0"/>
    <n v="0"/>
    <n v="0"/>
    <n v="0"/>
    <n v="0"/>
    <n v="0"/>
    <n v="0"/>
    <s v="West"/>
    <x v="0"/>
    <x v="0"/>
    <x v="1"/>
    <x v="0"/>
    <x v="0"/>
    <x v="0"/>
    <m/>
    <x v="0"/>
    <s v="Y"/>
    <n v="11"/>
    <m/>
    <n v="0"/>
    <n v="0"/>
    <n v="5.4"/>
    <n v="5.4"/>
    <n v="5.4"/>
    <n v="5.4"/>
    <n v="5.4"/>
    <n v="0"/>
    <n v="0"/>
    <n v="0"/>
    <n v="0"/>
    <n v="0"/>
    <n v="0"/>
    <n v="0"/>
    <n v="0"/>
    <n v="0"/>
    <n v="0"/>
    <n v="0"/>
    <n v="0"/>
    <n v="0"/>
    <n v="0"/>
    <n v="21.6"/>
    <n v="27"/>
  </r>
  <r>
    <n v="6868"/>
    <x v="5"/>
    <s v="0000/0258"/>
    <m/>
    <s v="Atheldene, Garratt Lane"/>
    <m/>
    <n v="526007"/>
    <n v="173636"/>
    <x v="18"/>
    <m/>
    <m/>
    <n v="0"/>
    <n v="18"/>
    <n v="18"/>
    <n v="135"/>
    <n v="135"/>
    <s v="Y"/>
    <s v="Redevelopment"/>
    <s v="NONE"/>
    <m/>
    <m/>
    <x v="0"/>
    <s v="Nil"/>
    <m/>
    <s v="BF"/>
    <x v="0"/>
    <x v="1"/>
    <x v="1"/>
    <n v="0"/>
    <m/>
    <x v="0"/>
    <m/>
    <x v="1"/>
    <s v="HAIS"/>
    <s v="9.11"/>
    <n v="17320135"/>
    <n v="0"/>
    <m/>
    <n v="0"/>
    <m/>
    <n v="0"/>
    <n v="0"/>
    <n v="0"/>
    <n v="0"/>
    <n v="0"/>
    <n v="0"/>
    <n v="18"/>
    <n v="0"/>
    <n v="0"/>
    <n v="0"/>
    <n v="0"/>
    <n v="0"/>
    <n v="0"/>
    <n v="18"/>
    <n v="0"/>
    <n v="0"/>
    <n v="0"/>
    <n v="0"/>
    <n v="0"/>
    <n v="0"/>
    <n v="0"/>
    <n v="0"/>
    <n v="0"/>
    <n v="0"/>
    <n v="0"/>
    <n v="0"/>
    <n v="0"/>
    <n v="0"/>
    <s v="West"/>
    <x v="0"/>
    <x v="0"/>
    <x v="1"/>
    <x v="0"/>
    <x v="0"/>
    <x v="0"/>
    <m/>
    <x v="0"/>
    <s v="Y"/>
    <n v="11"/>
    <m/>
    <n v="0"/>
    <n v="0"/>
    <n v="3.6"/>
    <n v="3.6"/>
    <n v="3.6"/>
    <n v="3.6"/>
    <n v="3.6"/>
    <n v="0"/>
    <n v="0"/>
    <n v="0"/>
    <n v="0"/>
    <n v="0"/>
    <n v="0"/>
    <n v="0"/>
    <n v="0"/>
    <n v="0"/>
    <n v="0"/>
    <n v="0"/>
    <n v="0"/>
    <n v="0"/>
    <n v="0"/>
    <n v="14.4"/>
    <n v="18"/>
  </r>
  <r>
    <n v="6869"/>
    <x v="5"/>
    <s v="0000/0259"/>
    <m/>
    <s v="36 Lombard Road"/>
    <m/>
    <n v="526639"/>
    <n v="176128"/>
    <x v="1"/>
    <m/>
    <m/>
    <n v="0"/>
    <n v="47"/>
    <n v="47"/>
    <n v="70"/>
    <n v="70"/>
    <s v="Y"/>
    <s v="Redevelopment"/>
    <s v="NONE"/>
    <m/>
    <m/>
    <x v="0"/>
    <s v="Nil"/>
    <m/>
    <s v="BF"/>
    <x v="0"/>
    <x v="1"/>
    <x v="1"/>
    <n v="0"/>
    <m/>
    <x v="0"/>
    <m/>
    <x v="0"/>
    <s v="P"/>
    <s v="10.11"/>
    <n v="17320212"/>
    <n v="0"/>
    <m/>
    <n v="0"/>
    <m/>
    <n v="0"/>
    <n v="0"/>
    <n v="0"/>
    <n v="0"/>
    <n v="0"/>
    <n v="0"/>
    <n v="47"/>
    <n v="0"/>
    <n v="0"/>
    <n v="0"/>
    <n v="0"/>
    <n v="0"/>
    <n v="0"/>
    <n v="47"/>
    <n v="0"/>
    <n v="0"/>
    <n v="0"/>
    <n v="0"/>
    <n v="0"/>
    <n v="0"/>
    <n v="0"/>
    <n v="0"/>
    <n v="0"/>
    <n v="0"/>
    <n v="0"/>
    <n v="0"/>
    <n v="0"/>
    <n v="0"/>
    <s v="East"/>
    <x v="0"/>
    <x v="0"/>
    <x v="1"/>
    <x v="0"/>
    <x v="0"/>
    <x v="0"/>
    <s v="Y"/>
    <x v="0"/>
    <s v="Y"/>
    <n v="11"/>
    <m/>
    <n v="0"/>
    <n v="0"/>
    <n v="3.1333333333333333"/>
    <n v="3.1333333333333333"/>
    <n v="3.1333333333333333"/>
    <n v="3.1333333333333333"/>
    <n v="3.1333333333333333"/>
    <n v="3.1333333333333333"/>
    <n v="3.1333333333333333"/>
    <n v="3.1333333333333333"/>
    <n v="3.1333333333333333"/>
    <n v="3.1333333333333333"/>
    <n v="3.1333333333333333"/>
    <n v="3.1333333333333333"/>
    <n v="3.1333333333333333"/>
    <n v="3.1333333333333333"/>
    <n v="3.1333333333333333"/>
    <n v="0"/>
    <n v="0"/>
    <n v="0"/>
    <n v="0"/>
    <n v="12.533333333333333"/>
    <n v="28.2"/>
  </r>
  <r>
    <n v="6869"/>
    <x v="5"/>
    <s v="0000/0259"/>
    <m/>
    <s v="36 Lombard Road"/>
    <m/>
    <n v="526639"/>
    <n v="176128"/>
    <x v="1"/>
    <m/>
    <m/>
    <n v="0"/>
    <n v="14"/>
    <n v="14"/>
    <n v="70"/>
    <n v="70"/>
    <s v="Y"/>
    <s v="Redevelopment"/>
    <s v="NONE"/>
    <m/>
    <m/>
    <x v="0"/>
    <s v="Nil"/>
    <m/>
    <s v="BF"/>
    <x v="0"/>
    <x v="1"/>
    <x v="1"/>
    <n v="0"/>
    <m/>
    <x v="0"/>
    <m/>
    <x v="2"/>
    <s v="HAAR"/>
    <s v="10.11"/>
    <n v="17320212"/>
    <n v="0"/>
    <m/>
    <n v="0"/>
    <m/>
    <n v="0"/>
    <n v="0"/>
    <n v="0"/>
    <n v="0"/>
    <n v="0"/>
    <n v="0"/>
    <n v="14"/>
    <n v="0"/>
    <n v="0"/>
    <n v="0"/>
    <n v="0"/>
    <n v="0"/>
    <n v="0"/>
    <n v="14"/>
    <n v="0"/>
    <n v="0"/>
    <n v="0"/>
    <n v="0"/>
    <n v="0"/>
    <n v="0"/>
    <n v="0"/>
    <n v="0"/>
    <n v="0"/>
    <n v="0"/>
    <n v="0"/>
    <n v="0"/>
    <n v="0"/>
    <n v="0"/>
    <s v="East"/>
    <x v="0"/>
    <x v="0"/>
    <x v="1"/>
    <x v="0"/>
    <x v="0"/>
    <x v="0"/>
    <s v="Y"/>
    <x v="0"/>
    <s v="Y"/>
    <n v="11"/>
    <m/>
    <n v="0"/>
    <n v="0"/>
    <n v="0.93333333333333335"/>
    <n v="0.93333333333333335"/>
    <n v="0.93333333333333335"/>
    <n v="0.93333333333333335"/>
    <n v="0.93333333333333335"/>
    <n v="0.93333333333333335"/>
    <n v="0.93333333333333335"/>
    <n v="0.93333333333333335"/>
    <n v="0.93333333333333335"/>
    <n v="0.93333333333333335"/>
    <n v="0.93333333333333335"/>
    <n v="0.93333333333333335"/>
    <n v="0.93333333333333335"/>
    <n v="0.93333333333333335"/>
    <n v="0.93333333333333335"/>
    <n v="0"/>
    <n v="0"/>
    <n v="0"/>
    <n v="0"/>
    <n v="3.7333333333333334"/>
    <n v="8.4"/>
  </r>
  <r>
    <n v="6869"/>
    <x v="5"/>
    <s v="0000/0259"/>
    <m/>
    <s v="36 Lombard Road"/>
    <m/>
    <n v="526639"/>
    <n v="176128"/>
    <x v="1"/>
    <m/>
    <m/>
    <n v="0"/>
    <n v="9"/>
    <n v="9"/>
    <n v="70"/>
    <n v="70"/>
    <s v="Y"/>
    <s v="Redevelopment"/>
    <s v="NONE"/>
    <m/>
    <m/>
    <x v="0"/>
    <s v="Nil"/>
    <m/>
    <s v="BF"/>
    <x v="0"/>
    <x v="1"/>
    <x v="1"/>
    <n v="0"/>
    <m/>
    <x v="0"/>
    <m/>
    <x v="1"/>
    <s v="HAIS"/>
    <s v="10.11"/>
    <n v="17320212"/>
    <n v="0"/>
    <m/>
    <n v="0"/>
    <m/>
    <n v="0"/>
    <n v="0"/>
    <n v="0"/>
    <n v="0"/>
    <n v="0"/>
    <n v="0"/>
    <n v="9"/>
    <n v="0"/>
    <n v="0"/>
    <n v="0"/>
    <n v="0"/>
    <n v="0"/>
    <n v="0"/>
    <n v="9"/>
    <n v="0"/>
    <n v="0"/>
    <n v="0"/>
    <n v="0"/>
    <n v="0"/>
    <n v="0"/>
    <n v="0"/>
    <n v="0"/>
    <n v="0"/>
    <n v="0"/>
    <n v="0"/>
    <n v="0"/>
    <n v="0"/>
    <n v="0"/>
    <s v="East"/>
    <x v="0"/>
    <x v="0"/>
    <x v="1"/>
    <x v="0"/>
    <x v="0"/>
    <x v="0"/>
    <s v="Y"/>
    <x v="0"/>
    <s v="Y"/>
    <n v="11"/>
    <m/>
    <n v="0"/>
    <n v="0"/>
    <n v="0.6"/>
    <n v="0.6"/>
    <n v="0.6"/>
    <n v="0.6"/>
    <n v="0.6"/>
    <n v="0.6"/>
    <n v="0.6"/>
    <n v="0.6"/>
    <n v="0.6"/>
    <n v="0.6"/>
    <n v="0.6"/>
    <n v="0.6"/>
    <n v="0.6"/>
    <n v="0.6"/>
    <n v="0.6"/>
    <n v="0"/>
    <n v="0"/>
    <n v="0"/>
    <n v="0"/>
    <n v="2.4"/>
    <n v="5.3999999999999995"/>
  </r>
  <r>
    <n v="6870"/>
    <x v="5"/>
    <s v="0000/0260"/>
    <m/>
    <s v="Travis Perkins, 37 Lombard Road"/>
    <m/>
    <n v="526722"/>
    <n v="176263"/>
    <x v="1"/>
    <m/>
    <m/>
    <n v="0"/>
    <n v="70"/>
    <n v="70"/>
    <n v="105"/>
    <n v="105"/>
    <s v="Y"/>
    <s v="Redevelopment"/>
    <s v="NONE"/>
    <m/>
    <m/>
    <x v="0"/>
    <s v="Nil"/>
    <m/>
    <s v="BF"/>
    <x v="0"/>
    <x v="1"/>
    <x v="1"/>
    <n v="0"/>
    <m/>
    <x v="0"/>
    <m/>
    <x v="0"/>
    <s v="P"/>
    <s v="10.12"/>
    <n v="17320112"/>
    <n v="0"/>
    <m/>
    <n v="0"/>
    <m/>
    <n v="0"/>
    <n v="0"/>
    <n v="0"/>
    <n v="0"/>
    <n v="0"/>
    <n v="0"/>
    <n v="70"/>
    <n v="0"/>
    <n v="0"/>
    <n v="0"/>
    <n v="0"/>
    <n v="0"/>
    <n v="0"/>
    <n v="70"/>
    <n v="0"/>
    <n v="0"/>
    <n v="0"/>
    <n v="0"/>
    <n v="0"/>
    <n v="0"/>
    <n v="0"/>
    <n v="0"/>
    <n v="0"/>
    <n v="0"/>
    <n v="0"/>
    <n v="0"/>
    <n v="0"/>
    <n v="0"/>
    <s v="East"/>
    <x v="0"/>
    <x v="0"/>
    <x v="1"/>
    <x v="0"/>
    <x v="0"/>
    <x v="0"/>
    <m/>
    <x v="0"/>
    <s v="Y"/>
    <n v="11"/>
    <m/>
    <n v="0"/>
    <n v="0"/>
    <n v="4.666666666666667"/>
    <n v="4.666666666666667"/>
    <n v="4.666666666666667"/>
    <n v="4.666666666666667"/>
    <n v="4.666666666666667"/>
    <n v="4.666666666666667"/>
    <n v="4.666666666666667"/>
    <n v="4.666666666666667"/>
    <n v="4.666666666666667"/>
    <n v="4.666666666666667"/>
    <n v="4.666666666666667"/>
    <n v="4.666666666666667"/>
    <n v="4.666666666666667"/>
    <n v="4.666666666666667"/>
    <n v="4.666666666666667"/>
    <n v="0"/>
    <n v="0"/>
    <n v="0"/>
    <n v="0"/>
    <n v="18.666666666666668"/>
    <n v="42"/>
  </r>
  <r>
    <n v="6870"/>
    <x v="5"/>
    <s v="0000/0260"/>
    <m/>
    <s v="Travis Perkins, 37 Lombard Road"/>
    <m/>
    <n v="526722"/>
    <n v="176263"/>
    <x v="1"/>
    <m/>
    <m/>
    <n v="0"/>
    <n v="21"/>
    <n v="21"/>
    <n v="105"/>
    <n v="105"/>
    <s v="Y"/>
    <s v="Redevelopment"/>
    <s v="NONE"/>
    <m/>
    <m/>
    <x v="0"/>
    <s v="Nil"/>
    <m/>
    <s v="BF"/>
    <x v="0"/>
    <x v="1"/>
    <x v="1"/>
    <n v="0"/>
    <m/>
    <x v="0"/>
    <m/>
    <x v="2"/>
    <s v="HAAR"/>
    <s v="10.12"/>
    <n v="17320112"/>
    <n v="0"/>
    <m/>
    <n v="0"/>
    <m/>
    <n v="0"/>
    <n v="0"/>
    <n v="0"/>
    <n v="0"/>
    <n v="0"/>
    <n v="0"/>
    <n v="21"/>
    <n v="0"/>
    <n v="0"/>
    <n v="0"/>
    <n v="0"/>
    <n v="0"/>
    <n v="0"/>
    <n v="21"/>
    <n v="0"/>
    <n v="0"/>
    <n v="0"/>
    <n v="0"/>
    <n v="0"/>
    <n v="0"/>
    <n v="0"/>
    <n v="0"/>
    <n v="0"/>
    <n v="0"/>
    <n v="0"/>
    <n v="0"/>
    <n v="0"/>
    <n v="0"/>
    <s v="East"/>
    <x v="0"/>
    <x v="0"/>
    <x v="1"/>
    <x v="0"/>
    <x v="0"/>
    <x v="0"/>
    <m/>
    <x v="0"/>
    <s v="Y"/>
    <n v="11"/>
    <m/>
    <n v="0"/>
    <n v="0"/>
    <n v="1.4"/>
    <n v="1.4"/>
    <n v="1.4"/>
    <n v="1.4"/>
    <n v="1.4"/>
    <n v="1.4"/>
    <n v="1.4"/>
    <n v="1.4"/>
    <n v="1.4"/>
    <n v="1.4"/>
    <n v="1.4"/>
    <n v="1.4"/>
    <n v="1.4"/>
    <n v="1.4"/>
    <n v="1.4"/>
    <n v="0"/>
    <n v="0"/>
    <n v="0"/>
    <n v="0"/>
    <n v="5.6"/>
    <n v="12.600000000000001"/>
  </r>
  <r>
    <n v="6870"/>
    <x v="5"/>
    <s v="0000/0260"/>
    <m/>
    <s v="Travis Perkins, 37 Lombard Road"/>
    <m/>
    <n v="526722"/>
    <n v="176263"/>
    <x v="1"/>
    <m/>
    <m/>
    <n v="0"/>
    <n v="14"/>
    <n v="14"/>
    <n v="105"/>
    <n v="105"/>
    <s v="Y"/>
    <s v="Redevelopment"/>
    <s v="NONE"/>
    <m/>
    <m/>
    <x v="0"/>
    <s v="Nil"/>
    <m/>
    <s v="BF"/>
    <x v="0"/>
    <x v="1"/>
    <x v="1"/>
    <n v="0"/>
    <m/>
    <x v="0"/>
    <m/>
    <x v="1"/>
    <s v="HAIU"/>
    <s v="10.12"/>
    <n v="17320112"/>
    <n v="0"/>
    <m/>
    <n v="0"/>
    <m/>
    <n v="0"/>
    <n v="0"/>
    <n v="0"/>
    <n v="0"/>
    <n v="0"/>
    <n v="0"/>
    <n v="14"/>
    <n v="0"/>
    <n v="0"/>
    <n v="0"/>
    <n v="0"/>
    <n v="0"/>
    <n v="0"/>
    <n v="14"/>
    <n v="0"/>
    <n v="0"/>
    <n v="0"/>
    <n v="0"/>
    <n v="0"/>
    <n v="0"/>
    <n v="0"/>
    <n v="0"/>
    <n v="0"/>
    <n v="0"/>
    <n v="0"/>
    <n v="0"/>
    <n v="0"/>
    <n v="0"/>
    <s v="East"/>
    <x v="0"/>
    <x v="0"/>
    <x v="1"/>
    <x v="0"/>
    <x v="0"/>
    <x v="0"/>
    <m/>
    <x v="0"/>
    <s v="Y"/>
    <n v="11"/>
    <m/>
    <n v="0"/>
    <n v="0"/>
    <n v="0.93333333333333335"/>
    <n v="0.93333333333333335"/>
    <n v="0.93333333333333335"/>
    <n v="0.93333333333333335"/>
    <n v="0.93333333333333335"/>
    <n v="0.93333333333333335"/>
    <n v="0.93333333333333335"/>
    <n v="0.93333333333333335"/>
    <n v="0.93333333333333335"/>
    <n v="0.93333333333333335"/>
    <n v="0.93333333333333335"/>
    <n v="0.93333333333333335"/>
    <n v="0.93333333333333335"/>
    <n v="0.93333333333333335"/>
    <n v="0.93333333333333335"/>
    <n v="0"/>
    <n v="0"/>
    <n v="0"/>
    <n v="0"/>
    <n v="3.7333333333333334"/>
    <n v="8.4"/>
  </r>
  <r>
    <n v="6871"/>
    <x v="5"/>
    <s v="0000/0261"/>
    <m/>
    <s v="80 Gwynne Road, 19 Lombard Road"/>
    <m/>
    <n v="526746"/>
    <n v="176345"/>
    <x v="1"/>
    <m/>
    <m/>
    <n v="0"/>
    <n v="101"/>
    <n v="101"/>
    <n v="151"/>
    <n v="151"/>
    <s v="Y"/>
    <s v="Redevelopment"/>
    <s v="NONE"/>
    <m/>
    <m/>
    <x v="0"/>
    <s v="Nil"/>
    <m/>
    <s v="BF"/>
    <x v="0"/>
    <x v="1"/>
    <x v="1"/>
    <n v="0"/>
    <m/>
    <x v="0"/>
    <m/>
    <x v="0"/>
    <s v="P"/>
    <s v="10.13"/>
    <n v="17320211"/>
    <n v="0"/>
    <m/>
    <n v="0"/>
    <m/>
    <n v="0"/>
    <n v="0"/>
    <n v="0"/>
    <n v="0"/>
    <n v="0"/>
    <n v="0"/>
    <n v="101"/>
    <n v="0"/>
    <n v="0"/>
    <n v="0"/>
    <n v="0"/>
    <n v="0"/>
    <n v="0"/>
    <n v="101"/>
    <n v="0"/>
    <n v="0"/>
    <n v="0"/>
    <n v="0"/>
    <n v="0"/>
    <n v="0"/>
    <n v="0"/>
    <n v="0"/>
    <n v="0"/>
    <n v="0"/>
    <n v="0"/>
    <n v="0"/>
    <n v="0"/>
    <n v="0"/>
    <s v="East"/>
    <x v="0"/>
    <x v="0"/>
    <x v="1"/>
    <x v="0"/>
    <x v="0"/>
    <x v="0"/>
    <m/>
    <x v="0"/>
    <s v="Y"/>
    <n v="11"/>
    <m/>
    <n v="0"/>
    <n v="0"/>
    <n v="6.7333333333333334"/>
    <n v="6.7333333333333334"/>
    <n v="6.7333333333333334"/>
    <n v="6.7333333333333334"/>
    <n v="6.7333333333333334"/>
    <n v="6.7333333333333334"/>
    <n v="6.7333333333333334"/>
    <n v="6.7333333333333334"/>
    <n v="6.7333333333333334"/>
    <n v="6.7333333333333334"/>
    <n v="6.7333333333333334"/>
    <n v="6.7333333333333334"/>
    <n v="6.7333333333333334"/>
    <n v="6.7333333333333334"/>
    <n v="6.7333333333333334"/>
    <n v="0"/>
    <n v="0"/>
    <n v="0"/>
    <n v="0"/>
    <n v="26.933333333333334"/>
    <n v="60.6"/>
  </r>
  <r>
    <n v="6871"/>
    <x v="5"/>
    <s v="0000/0261"/>
    <m/>
    <s v="80 Gwynne Road, 19 Lombard Road"/>
    <m/>
    <n v="526746"/>
    <n v="176345"/>
    <x v="1"/>
    <m/>
    <m/>
    <n v="0"/>
    <n v="30"/>
    <n v="30"/>
    <n v="151"/>
    <n v="151"/>
    <s v="Y"/>
    <s v="Redevelopment"/>
    <s v="NONE"/>
    <m/>
    <m/>
    <x v="0"/>
    <s v="Nil"/>
    <m/>
    <s v="BF"/>
    <x v="0"/>
    <x v="1"/>
    <x v="1"/>
    <n v="0"/>
    <m/>
    <x v="0"/>
    <m/>
    <x v="2"/>
    <s v="HAAR"/>
    <s v="10.13"/>
    <n v="17320211"/>
    <n v="0"/>
    <m/>
    <n v="0"/>
    <m/>
    <n v="0"/>
    <n v="0"/>
    <n v="0"/>
    <n v="0"/>
    <n v="0"/>
    <n v="0"/>
    <n v="30"/>
    <n v="0"/>
    <n v="0"/>
    <n v="0"/>
    <n v="0"/>
    <n v="0"/>
    <n v="0"/>
    <n v="30"/>
    <n v="0"/>
    <n v="0"/>
    <n v="0"/>
    <n v="0"/>
    <n v="0"/>
    <n v="0"/>
    <n v="0"/>
    <n v="0"/>
    <n v="0"/>
    <n v="0"/>
    <n v="0"/>
    <n v="0"/>
    <n v="0"/>
    <n v="0"/>
    <s v="East"/>
    <x v="0"/>
    <x v="0"/>
    <x v="1"/>
    <x v="0"/>
    <x v="0"/>
    <x v="0"/>
    <m/>
    <x v="0"/>
    <s v="Y"/>
    <n v="11"/>
    <m/>
    <n v="0"/>
    <n v="0"/>
    <n v="2"/>
    <n v="2"/>
    <n v="2"/>
    <n v="2"/>
    <n v="2"/>
    <n v="2"/>
    <n v="2"/>
    <n v="2"/>
    <n v="2"/>
    <n v="2"/>
    <n v="2"/>
    <n v="2"/>
    <n v="2"/>
    <n v="2"/>
    <n v="2"/>
    <n v="0"/>
    <n v="0"/>
    <n v="0"/>
    <n v="0"/>
    <n v="8"/>
    <n v="18"/>
  </r>
  <r>
    <n v="6871"/>
    <x v="5"/>
    <s v="0000/0261"/>
    <m/>
    <s v="80 Gwynne Road, 19 Lombard Road"/>
    <m/>
    <n v="526746"/>
    <n v="176345"/>
    <x v="1"/>
    <m/>
    <m/>
    <n v="0"/>
    <n v="20"/>
    <n v="20"/>
    <n v="151"/>
    <n v="151"/>
    <s v="Y"/>
    <s v="Redevelopment"/>
    <s v="NONE"/>
    <m/>
    <m/>
    <x v="0"/>
    <s v="Nil"/>
    <m/>
    <s v="BF"/>
    <x v="0"/>
    <x v="1"/>
    <x v="1"/>
    <n v="0"/>
    <m/>
    <x v="0"/>
    <m/>
    <x v="1"/>
    <s v="HAIS"/>
    <s v="10.13"/>
    <n v="17320211"/>
    <n v="0"/>
    <m/>
    <n v="0"/>
    <m/>
    <n v="0"/>
    <n v="0"/>
    <n v="0"/>
    <n v="0"/>
    <n v="0"/>
    <n v="0"/>
    <n v="20"/>
    <n v="0"/>
    <n v="0"/>
    <n v="0"/>
    <n v="0"/>
    <n v="0"/>
    <n v="0"/>
    <n v="20"/>
    <n v="0"/>
    <n v="0"/>
    <n v="0"/>
    <n v="0"/>
    <n v="0"/>
    <n v="0"/>
    <n v="0"/>
    <n v="0"/>
    <n v="0"/>
    <n v="0"/>
    <n v="0"/>
    <n v="0"/>
    <n v="0"/>
    <n v="0"/>
    <s v="East"/>
    <x v="0"/>
    <x v="0"/>
    <x v="1"/>
    <x v="0"/>
    <x v="0"/>
    <x v="0"/>
    <m/>
    <x v="0"/>
    <s v="Y"/>
    <n v="11"/>
    <m/>
    <n v="0"/>
    <n v="0"/>
    <n v="1.3333333333333333"/>
    <n v="1.3333333333333333"/>
    <n v="1.3333333333333333"/>
    <n v="1.3333333333333333"/>
    <n v="1.3333333333333333"/>
    <n v="1.3333333333333333"/>
    <n v="1.3333333333333333"/>
    <n v="1.3333333333333333"/>
    <n v="1.3333333333333333"/>
    <n v="1.3333333333333333"/>
    <n v="1.3333333333333333"/>
    <n v="1.3333333333333333"/>
    <n v="1.3333333333333333"/>
    <n v="1.3333333333333333"/>
    <n v="1.3333333333333333"/>
    <n v="0"/>
    <n v="0"/>
    <n v="0"/>
    <n v="0"/>
    <n v="5.333333333333333"/>
    <n v="12"/>
  </r>
  <r>
    <n v="6872"/>
    <x v="5"/>
    <s v="0000/0262"/>
    <m/>
    <s v="Tavelodge, 200 York Road"/>
    <m/>
    <n v="526497"/>
    <n v="175661"/>
    <x v="1"/>
    <m/>
    <m/>
    <n v="0"/>
    <n v="3"/>
    <n v="3"/>
    <n v="3"/>
    <n v="3"/>
    <m/>
    <s v="Redevelopment"/>
    <s v="NONE"/>
    <m/>
    <m/>
    <x v="0"/>
    <s v="Nil"/>
    <m/>
    <s v="BF"/>
    <x v="0"/>
    <x v="0"/>
    <x v="0"/>
    <n v="0"/>
    <m/>
    <x v="0"/>
    <m/>
    <x v="0"/>
    <s v="P"/>
    <s v="10.16"/>
    <n v="17320342"/>
    <n v="0"/>
    <m/>
    <n v="0"/>
    <m/>
    <n v="0"/>
    <n v="0"/>
    <n v="0"/>
    <n v="0"/>
    <n v="0"/>
    <n v="0"/>
    <n v="3"/>
    <n v="0"/>
    <n v="0"/>
    <n v="0"/>
    <n v="0"/>
    <n v="0"/>
    <n v="0"/>
    <n v="3"/>
    <n v="0"/>
    <n v="0"/>
    <n v="0"/>
    <n v="0"/>
    <n v="0"/>
    <n v="0"/>
    <n v="0"/>
    <n v="0"/>
    <n v="0"/>
    <n v="0"/>
    <n v="0"/>
    <n v="0"/>
    <n v="0"/>
    <n v="0"/>
    <s v="East"/>
    <x v="0"/>
    <x v="0"/>
    <x v="1"/>
    <x v="0"/>
    <x v="0"/>
    <x v="0"/>
    <s v="Y"/>
    <x v="0"/>
    <s v="Y"/>
    <n v="11"/>
    <m/>
    <n v="0"/>
    <n v="0"/>
    <n v="0"/>
    <n v="0"/>
    <n v="0"/>
    <n v="0"/>
    <n v="0"/>
    <n v="0"/>
    <n v="0"/>
    <n v="0"/>
    <n v="0"/>
    <n v="0"/>
    <n v="0.25"/>
    <n v="0.25"/>
    <n v="0.25"/>
    <n v="0.25"/>
    <n v="0.25"/>
    <n v="0.25"/>
    <n v="0.25"/>
    <n v="0.25"/>
    <n v="0.25"/>
    <n v="0"/>
    <n v="0"/>
  </r>
  <r>
    <n v="6873"/>
    <x v="5"/>
    <s v="0000/0263"/>
    <m/>
    <s v="41-47 Chatfield Road"/>
    <m/>
    <n v="526409"/>
    <n v="175595"/>
    <x v="1"/>
    <m/>
    <m/>
    <n v="0"/>
    <n v="30"/>
    <n v="30"/>
    <n v="45"/>
    <n v="45"/>
    <s v="Y"/>
    <s v="Redevelopment"/>
    <s v="NONE"/>
    <m/>
    <m/>
    <x v="0"/>
    <s v="Nil"/>
    <m/>
    <s v="BF"/>
    <x v="0"/>
    <x v="1"/>
    <x v="1"/>
    <n v="0"/>
    <m/>
    <x v="0"/>
    <m/>
    <x v="0"/>
    <s v="P"/>
    <s v="10.6"/>
    <n v="17320215"/>
    <n v="0"/>
    <m/>
    <n v="0"/>
    <m/>
    <n v="0"/>
    <n v="0"/>
    <n v="0"/>
    <n v="0"/>
    <n v="0"/>
    <n v="0"/>
    <n v="30"/>
    <n v="0"/>
    <n v="0"/>
    <n v="0"/>
    <n v="0"/>
    <n v="0"/>
    <n v="0"/>
    <n v="30"/>
    <n v="0"/>
    <n v="0"/>
    <n v="0"/>
    <n v="0"/>
    <n v="0"/>
    <n v="0"/>
    <n v="0"/>
    <n v="0"/>
    <n v="0"/>
    <n v="0"/>
    <n v="0"/>
    <n v="0"/>
    <n v="0"/>
    <n v="0"/>
    <s v="East"/>
    <x v="0"/>
    <x v="0"/>
    <x v="1"/>
    <x v="0"/>
    <x v="0"/>
    <x v="0"/>
    <s v="Y"/>
    <x v="0"/>
    <s v="Y"/>
    <n v="11"/>
    <m/>
    <n v="0"/>
    <n v="0"/>
    <n v="0"/>
    <n v="0"/>
    <n v="0"/>
    <n v="0"/>
    <n v="0"/>
    <n v="1.7647058823529411"/>
    <n v="1.7647058823529411"/>
    <n v="1.7647058823529411"/>
    <n v="1.7647058823529411"/>
    <n v="1.7647058823529411"/>
    <n v="1.7647058823529411"/>
    <n v="1.7647058823529411"/>
    <n v="1.7647058823529411"/>
    <n v="1.7647058823529411"/>
    <n v="1.7647058823529411"/>
    <n v="1.7647058823529411"/>
    <n v="1.7647058823529411"/>
    <n v="1.7647058823529411"/>
    <n v="1.7647058823529411"/>
    <n v="0"/>
    <n v="7.0588235294117645"/>
  </r>
  <r>
    <n v="6873"/>
    <x v="5"/>
    <s v="0000/0263"/>
    <m/>
    <s v="41-47 Chatfield Road"/>
    <m/>
    <n v="526409"/>
    <n v="175595"/>
    <x v="1"/>
    <m/>
    <m/>
    <n v="0"/>
    <n v="9"/>
    <n v="9"/>
    <n v="45"/>
    <n v="45"/>
    <s v="Y"/>
    <s v="Redevelopment"/>
    <s v="NONE"/>
    <m/>
    <m/>
    <x v="0"/>
    <s v="Nil"/>
    <m/>
    <s v="BF"/>
    <x v="0"/>
    <x v="0"/>
    <x v="0"/>
    <n v="0"/>
    <m/>
    <x v="0"/>
    <m/>
    <x v="2"/>
    <s v="HAAR"/>
    <s v="10.6"/>
    <n v="17320215"/>
    <n v="0"/>
    <m/>
    <n v="0"/>
    <m/>
    <n v="0"/>
    <n v="0"/>
    <n v="0"/>
    <n v="0"/>
    <n v="0"/>
    <n v="0"/>
    <n v="9"/>
    <n v="0"/>
    <n v="0"/>
    <n v="0"/>
    <n v="0"/>
    <n v="0"/>
    <n v="0"/>
    <n v="9"/>
    <n v="0"/>
    <n v="0"/>
    <n v="0"/>
    <n v="0"/>
    <n v="0"/>
    <n v="0"/>
    <n v="0"/>
    <n v="0"/>
    <n v="0"/>
    <n v="0"/>
    <n v="0"/>
    <n v="0"/>
    <n v="0"/>
    <n v="0"/>
    <s v="East"/>
    <x v="0"/>
    <x v="0"/>
    <x v="1"/>
    <x v="0"/>
    <x v="0"/>
    <x v="0"/>
    <s v="Y"/>
    <x v="0"/>
    <s v="Y"/>
    <n v="11"/>
    <m/>
    <n v="0"/>
    <n v="0"/>
    <n v="0"/>
    <n v="0"/>
    <n v="0"/>
    <n v="0"/>
    <n v="0"/>
    <n v="0.52941176470588236"/>
    <n v="0.52941176470588236"/>
    <n v="0.52941176470588236"/>
    <n v="0.52941176470588236"/>
    <n v="0.52941176470588236"/>
    <n v="0.52941176470588236"/>
    <n v="0.52941176470588236"/>
    <n v="0.52941176470588236"/>
    <n v="0.52941176470588236"/>
    <n v="0.52941176470588236"/>
    <n v="0.52941176470588236"/>
    <n v="0.52941176470588236"/>
    <n v="0.52941176470588236"/>
    <n v="0.52941176470588236"/>
    <n v="0"/>
    <n v="2.1176470588235294"/>
  </r>
  <r>
    <n v="6873"/>
    <x v="5"/>
    <s v="0000/0263"/>
    <m/>
    <s v="41-47 Chatfield Road"/>
    <m/>
    <n v="526409"/>
    <n v="175595"/>
    <x v="1"/>
    <m/>
    <m/>
    <n v="0"/>
    <n v="6"/>
    <n v="6"/>
    <n v="45"/>
    <n v="45"/>
    <s v="Y"/>
    <s v="Redevelopment"/>
    <s v="NONE"/>
    <m/>
    <m/>
    <x v="0"/>
    <s v="Nil"/>
    <m/>
    <s v="BF"/>
    <x v="0"/>
    <x v="0"/>
    <x v="0"/>
    <n v="0"/>
    <m/>
    <x v="0"/>
    <m/>
    <x v="1"/>
    <s v="HAIS"/>
    <s v="10.6"/>
    <n v="17320215"/>
    <n v="0"/>
    <m/>
    <n v="0"/>
    <m/>
    <n v="0"/>
    <n v="0"/>
    <n v="0"/>
    <n v="0"/>
    <n v="0"/>
    <n v="0"/>
    <n v="6"/>
    <n v="0"/>
    <n v="0"/>
    <n v="0"/>
    <n v="0"/>
    <n v="0"/>
    <n v="0"/>
    <n v="6"/>
    <n v="0"/>
    <n v="0"/>
    <n v="0"/>
    <n v="0"/>
    <n v="0"/>
    <n v="0"/>
    <n v="0"/>
    <n v="0"/>
    <n v="0"/>
    <n v="0"/>
    <n v="0"/>
    <n v="0"/>
    <n v="0"/>
    <n v="0"/>
    <s v="East"/>
    <x v="0"/>
    <x v="0"/>
    <x v="1"/>
    <x v="0"/>
    <x v="0"/>
    <x v="0"/>
    <s v="Y"/>
    <x v="0"/>
    <s v="Y"/>
    <n v="11"/>
    <m/>
    <n v="0"/>
    <n v="0"/>
    <n v="0"/>
    <n v="0"/>
    <n v="0"/>
    <n v="0"/>
    <n v="0"/>
    <n v="0.35294117647058826"/>
    <n v="0.35294117647058826"/>
    <n v="0.35294117647058826"/>
    <n v="0.35294117647058826"/>
    <n v="0.35294117647058826"/>
    <n v="0.35294117647058826"/>
    <n v="0.35294117647058826"/>
    <n v="0.35294117647058826"/>
    <n v="0.35294117647058826"/>
    <n v="0.35294117647058826"/>
    <n v="0.35294117647058826"/>
    <n v="0.35294117647058826"/>
    <n v="0.35294117647058826"/>
    <n v="0.35294117647058826"/>
    <n v="0"/>
    <n v="1.411764705882353"/>
  </r>
  <r>
    <n v="6874"/>
    <x v="5"/>
    <s v="0000/0264"/>
    <m/>
    <s v="Gartons Industrial Estate, Gartons Way"/>
    <m/>
    <n v="526442"/>
    <n v="175680"/>
    <x v="1"/>
    <m/>
    <m/>
    <n v="0"/>
    <n v="35"/>
    <n v="35"/>
    <n v="52"/>
    <n v="52"/>
    <s v="Y"/>
    <s v="Redevelopment"/>
    <s v="NONE"/>
    <m/>
    <m/>
    <x v="0"/>
    <s v="Nil"/>
    <m/>
    <s v="BF"/>
    <x v="0"/>
    <x v="1"/>
    <x v="1"/>
    <n v="0"/>
    <m/>
    <x v="0"/>
    <m/>
    <x v="0"/>
    <s v="P"/>
    <s v="10.8"/>
    <n v="17320341"/>
    <n v="0"/>
    <m/>
    <n v="0"/>
    <m/>
    <n v="0"/>
    <n v="0"/>
    <n v="0"/>
    <n v="0"/>
    <n v="0"/>
    <n v="0"/>
    <n v="35"/>
    <n v="0"/>
    <n v="0"/>
    <n v="0"/>
    <n v="0"/>
    <n v="0"/>
    <n v="0"/>
    <n v="35"/>
    <n v="0"/>
    <n v="0"/>
    <n v="0"/>
    <n v="0"/>
    <n v="0"/>
    <n v="0"/>
    <n v="0"/>
    <n v="0"/>
    <n v="0"/>
    <n v="0"/>
    <n v="0"/>
    <n v="0"/>
    <n v="0"/>
    <n v="0"/>
    <s v="East"/>
    <x v="0"/>
    <x v="0"/>
    <x v="1"/>
    <x v="0"/>
    <x v="0"/>
    <x v="0"/>
    <s v="Y"/>
    <x v="0"/>
    <s v="Y"/>
    <n v="11"/>
    <m/>
    <n v="0"/>
    <n v="0"/>
    <n v="0"/>
    <n v="0"/>
    <n v="0"/>
    <n v="0"/>
    <n v="0"/>
    <n v="2.0588235294117645"/>
    <n v="2.0588235294117645"/>
    <n v="2.0588235294117645"/>
    <n v="2.0588235294117645"/>
    <n v="2.0588235294117645"/>
    <n v="2.0588235294117645"/>
    <n v="2.0588235294117645"/>
    <n v="2.0588235294117645"/>
    <n v="2.0588235294117645"/>
    <n v="2.0588235294117645"/>
    <n v="2.0588235294117645"/>
    <n v="2.0588235294117645"/>
    <n v="2.0588235294117645"/>
    <n v="2.0588235294117645"/>
    <n v="0"/>
    <n v="8.235294117647058"/>
  </r>
  <r>
    <n v="6874"/>
    <x v="5"/>
    <s v="0000/0264"/>
    <m/>
    <s v="Gartons Industrial Estate, Gartons Way"/>
    <m/>
    <n v="526442"/>
    <n v="175680"/>
    <x v="1"/>
    <m/>
    <m/>
    <n v="0"/>
    <n v="10"/>
    <n v="10"/>
    <n v="52"/>
    <n v="52"/>
    <s v="Y"/>
    <s v="Redevelopment"/>
    <s v="NONE"/>
    <m/>
    <m/>
    <x v="0"/>
    <s v="Nil"/>
    <m/>
    <s v="BF"/>
    <x v="0"/>
    <x v="1"/>
    <x v="1"/>
    <n v="0"/>
    <m/>
    <x v="0"/>
    <m/>
    <x v="2"/>
    <s v="HAAR"/>
    <s v="10.8"/>
    <n v="17320341"/>
    <n v="0"/>
    <m/>
    <n v="0"/>
    <m/>
    <n v="0"/>
    <n v="0"/>
    <n v="0"/>
    <n v="0"/>
    <n v="0"/>
    <n v="0"/>
    <n v="10"/>
    <n v="0"/>
    <n v="0"/>
    <n v="0"/>
    <n v="0"/>
    <n v="0"/>
    <n v="0"/>
    <n v="10"/>
    <n v="0"/>
    <n v="0"/>
    <n v="0"/>
    <n v="0"/>
    <n v="0"/>
    <n v="0"/>
    <n v="0"/>
    <n v="0"/>
    <n v="0"/>
    <n v="0"/>
    <n v="0"/>
    <n v="0"/>
    <n v="0"/>
    <n v="0"/>
    <s v="East"/>
    <x v="0"/>
    <x v="0"/>
    <x v="1"/>
    <x v="0"/>
    <x v="0"/>
    <x v="0"/>
    <s v="Y"/>
    <x v="0"/>
    <s v="Y"/>
    <n v="11"/>
    <m/>
    <n v="0"/>
    <n v="0"/>
    <n v="0"/>
    <n v="0"/>
    <n v="0"/>
    <n v="0"/>
    <n v="0"/>
    <n v="0.58823529411764708"/>
    <n v="0.58823529411764708"/>
    <n v="0.58823529411764708"/>
    <n v="0.58823529411764708"/>
    <n v="0.58823529411764708"/>
    <n v="0.58823529411764708"/>
    <n v="0.58823529411764708"/>
    <n v="0.58823529411764708"/>
    <n v="0.58823529411764708"/>
    <n v="0.58823529411764708"/>
    <n v="0.58823529411764708"/>
    <n v="0.58823529411764708"/>
    <n v="0.58823529411764708"/>
    <n v="0.58823529411764708"/>
    <n v="0"/>
    <n v="2.3529411764705883"/>
  </r>
  <r>
    <n v="6874"/>
    <x v="5"/>
    <s v="0000/0264"/>
    <m/>
    <s v="Gartons Industrial Estate, Gartons Way"/>
    <m/>
    <n v="526442"/>
    <n v="175680"/>
    <x v="1"/>
    <m/>
    <m/>
    <n v="0"/>
    <n v="7"/>
    <n v="7"/>
    <n v="52"/>
    <n v="52"/>
    <s v="Y"/>
    <s v="Redevelopment"/>
    <s v="NONE"/>
    <m/>
    <m/>
    <x v="0"/>
    <s v="Nil"/>
    <m/>
    <s v="BF"/>
    <x v="0"/>
    <x v="0"/>
    <x v="0"/>
    <n v="0"/>
    <m/>
    <x v="0"/>
    <m/>
    <x v="1"/>
    <s v="HAIS"/>
    <s v="10.8"/>
    <n v="17320341"/>
    <n v="0"/>
    <m/>
    <n v="0"/>
    <m/>
    <n v="0"/>
    <n v="0"/>
    <n v="0"/>
    <n v="0"/>
    <n v="0"/>
    <n v="0"/>
    <n v="7"/>
    <n v="0"/>
    <n v="0"/>
    <n v="0"/>
    <n v="0"/>
    <n v="0"/>
    <n v="0"/>
    <n v="7"/>
    <n v="0"/>
    <n v="0"/>
    <n v="0"/>
    <n v="0"/>
    <n v="0"/>
    <n v="0"/>
    <n v="0"/>
    <n v="0"/>
    <n v="0"/>
    <n v="0"/>
    <n v="0"/>
    <n v="0"/>
    <n v="0"/>
    <n v="0"/>
    <s v="East"/>
    <x v="0"/>
    <x v="0"/>
    <x v="1"/>
    <x v="0"/>
    <x v="0"/>
    <x v="0"/>
    <s v="Y"/>
    <x v="0"/>
    <s v="Y"/>
    <n v="11"/>
    <m/>
    <n v="0"/>
    <n v="0"/>
    <n v="0"/>
    <n v="0"/>
    <n v="0"/>
    <n v="0"/>
    <n v="0"/>
    <n v="0.41176470588235292"/>
    <n v="0.41176470588235292"/>
    <n v="0.41176470588235292"/>
    <n v="0.41176470588235292"/>
    <n v="0.41176470588235292"/>
    <n v="0.41176470588235292"/>
    <n v="0.41176470588235292"/>
    <n v="0.41176470588235292"/>
    <n v="0.41176470588235292"/>
    <n v="0.41176470588235292"/>
    <n v="0.41176470588235292"/>
    <n v="0.41176470588235292"/>
    <n v="0.41176470588235292"/>
    <n v="0.41176470588235292"/>
    <n v="0"/>
    <n v="1.6470588235294117"/>
  </r>
  <r>
    <n v="6875"/>
    <x v="5"/>
    <s v="0000/0265"/>
    <m/>
    <s v="York Road Business Centre, Yelverton Road"/>
    <m/>
    <n v="526741"/>
    <n v="176126"/>
    <x v="1"/>
    <m/>
    <m/>
    <n v="0"/>
    <n v="127"/>
    <n v="127"/>
    <n v="190"/>
    <n v="190"/>
    <s v="Y"/>
    <s v="Redevelopment"/>
    <s v="NONE"/>
    <m/>
    <m/>
    <x v="0"/>
    <s v="Nil"/>
    <m/>
    <s v="BF"/>
    <x v="0"/>
    <x v="1"/>
    <x v="1"/>
    <n v="0"/>
    <m/>
    <x v="0"/>
    <m/>
    <x v="0"/>
    <s v="P"/>
    <s v="10.9"/>
    <n v="17320210"/>
    <n v="0"/>
    <m/>
    <n v="0"/>
    <m/>
    <n v="0"/>
    <n v="0"/>
    <n v="0"/>
    <n v="0"/>
    <n v="0"/>
    <n v="0"/>
    <n v="127"/>
    <n v="0"/>
    <n v="0"/>
    <n v="0"/>
    <n v="0"/>
    <n v="0"/>
    <n v="0"/>
    <n v="127"/>
    <n v="0"/>
    <n v="0"/>
    <n v="0"/>
    <n v="0"/>
    <n v="0"/>
    <n v="0"/>
    <n v="0"/>
    <n v="0"/>
    <n v="0"/>
    <n v="0"/>
    <n v="0"/>
    <n v="0"/>
    <n v="0"/>
    <n v="0"/>
    <s v="East"/>
    <x v="0"/>
    <x v="0"/>
    <x v="1"/>
    <x v="0"/>
    <x v="0"/>
    <x v="0"/>
    <m/>
    <x v="0"/>
    <s v="Y"/>
    <n v="11"/>
    <m/>
    <n v="0"/>
    <n v="0"/>
    <n v="12.7"/>
    <n v="12.7"/>
    <n v="12.7"/>
    <n v="12.7"/>
    <n v="12.7"/>
    <n v="12.7"/>
    <n v="12.7"/>
    <n v="12.7"/>
    <n v="12.7"/>
    <n v="12.7"/>
    <n v="0"/>
    <n v="0"/>
    <n v="0"/>
    <n v="0"/>
    <n v="0"/>
    <n v="0"/>
    <n v="0"/>
    <n v="0"/>
    <n v="0"/>
    <n v="50.8"/>
    <n v="114.30000000000001"/>
  </r>
  <r>
    <n v="6875"/>
    <x v="5"/>
    <s v="0000/0265"/>
    <m/>
    <s v="York Road Business Centre, Yelverton Road"/>
    <m/>
    <n v="526741"/>
    <n v="176126"/>
    <x v="1"/>
    <m/>
    <m/>
    <n v="0"/>
    <n v="38"/>
    <n v="38"/>
    <n v="190"/>
    <n v="190"/>
    <s v="Y"/>
    <s v="Redevelopment"/>
    <s v="NONE"/>
    <m/>
    <m/>
    <x v="0"/>
    <s v="Nil"/>
    <m/>
    <s v="BF"/>
    <x v="0"/>
    <x v="1"/>
    <x v="1"/>
    <n v="0"/>
    <m/>
    <x v="0"/>
    <m/>
    <x v="2"/>
    <s v="HAAR"/>
    <s v="10.9"/>
    <n v="17320210"/>
    <n v="0"/>
    <m/>
    <n v="0"/>
    <m/>
    <n v="0"/>
    <n v="0"/>
    <n v="0"/>
    <n v="0"/>
    <n v="0"/>
    <n v="0"/>
    <n v="38"/>
    <n v="0"/>
    <n v="0"/>
    <n v="0"/>
    <n v="0"/>
    <n v="0"/>
    <n v="0"/>
    <n v="38"/>
    <n v="0"/>
    <n v="0"/>
    <n v="0"/>
    <n v="0"/>
    <n v="0"/>
    <n v="0"/>
    <n v="0"/>
    <n v="0"/>
    <n v="0"/>
    <n v="0"/>
    <n v="0"/>
    <n v="0"/>
    <n v="0"/>
    <n v="0"/>
    <s v="East"/>
    <x v="0"/>
    <x v="0"/>
    <x v="1"/>
    <x v="0"/>
    <x v="0"/>
    <x v="0"/>
    <m/>
    <x v="0"/>
    <s v="Y"/>
    <n v="11"/>
    <m/>
    <n v="0"/>
    <n v="0"/>
    <n v="3.8"/>
    <n v="3.8"/>
    <n v="3.8"/>
    <n v="3.8"/>
    <n v="3.8"/>
    <n v="3.8"/>
    <n v="3.8"/>
    <n v="3.8"/>
    <n v="3.8"/>
    <n v="3.8"/>
    <n v="0"/>
    <n v="0"/>
    <n v="0"/>
    <n v="0"/>
    <n v="0"/>
    <n v="0"/>
    <n v="0"/>
    <n v="0"/>
    <n v="0"/>
    <n v="15.2"/>
    <n v="34.200000000000003"/>
  </r>
  <r>
    <n v="6875"/>
    <x v="5"/>
    <s v="0000/0265"/>
    <m/>
    <s v="York Road Business Centre, Yelverton Road"/>
    <m/>
    <n v="526741"/>
    <n v="176126"/>
    <x v="1"/>
    <m/>
    <m/>
    <n v="0"/>
    <n v="25"/>
    <n v="25"/>
    <n v="190"/>
    <n v="190"/>
    <s v="Y"/>
    <s v="Redevelopment"/>
    <s v="NONE"/>
    <m/>
    <m/>
    <x v="0"/>
    <s v="Nil"/>
    <m/>
    <s v="BF"/>
    <x v="0"/>
    <x v="1"/>
    <x v="1"/>
    <n v="0"/>
    <m/>
    <x v="0"/>
    <m/>
    <x v="1"/>
    <s v="HAIS"/>
    <s v="10.9"/>
    <n v="17320210"/>
    <n v="0"/>
    <m/>
    <n v="0"/>
    <m/>
    <n v="0"/>
    <n v="0"/>
    <n v="0"/>
    <n v="0"/>
    <n v="0"/>
    <n v="0"/>
    <n v="25"/>
    <n v="0"/>
    <n v="0"/>
    <n v="0"/>
    <n v="0"/>
    <n v="0"/>
    <n v="0"/>
    <n v="25"/>
    <n v="0"/>
    <n v="0"/>
    <n v="0"/>
    <n v="0"/>
    <n v="0"/>
    <n v="0"/>
    <n v="0"/>
    <n v="0"/>
    <n v="0"/>
    <n v="0"/>
    <n v="0"/>
    <n v="0"/>
    <n v="0"/>
    <n v="0"/>
    <s v="East"/>
    <x v="0"/>
    <x v="0"/>
    <x v="1"/>
    <x v="0"/>
    <x v="0"/>
    <x v="0"/>
    <m/>
    <x v="0"/>
    <s v="Y"/>
    <n v="11"/>
    <m/>
    <n v="0"/>
    <n v="0"/>
    <n v="2.5"/>
    <n v="2.5"/>
    <n v="2.5"/>
    <n v="2.5"/>
    <n v="2.5"/>
    <n v="2.5"/>
    <n v="2.5"/>
    <n v="2.5"/>
    <n v="2.5"/>
    <n v="2.5"/>
    <n v="0"/>
    <n v="0"/>
    <n v="0"/>
    <n v="0"/>
    <n v="0"/>
    <n v="0"/>
    <n v="0"/>
    <n v="0"/>
    <n v="0"/>
    <n v="10"/>
    <n v="22.5"/>
  </r>
  <r>
    <n v="6876"/>
    <x v="5"/>
    <s v="0000/0266"/>
    <m/>
    <s v="Heliport Estate, Lombard Road"/>
    <m/>
    <n v="526665"/>
    <n v="176051"/>
    <x v="1"/>
    <m/>
    <m/>
    <n v="0"/>
    <n v="60"/>
    <n v="60"/>
    <n v="90"/>
    <n v="90"/>
    <s v="Y"/>
    <s v="Redevelopment"/>
    <s v="NONE"/>
    <m/>
    <m/>
    <x v="0"/>
    <s v="Nil"/>
    <m/>
    <s v="BF"/>
    <x v="0"/>
    <x v="1"/>
    <x v="1"/>
    <n v="0"/>
    <m/>
    <x v="0"/>
    <m/>
    <x v="0"/>
    <s v="P"/>
    <s v="10.3"/>
    <n v="17320216"/>
    <n v="0"/>
    <m/>
    <n v="0"/>
    <m/>
    <n v="0"/>
    <n v="0"/>
    <n v="0"/>
    <n v="0"/>
    <n v="0"/>
    <n v="0"/>
    <n v="60"/>
    <n v="0"/>
    <n v="0"/>
    <n v="0"/>
    <n v="0"/>
    <n v="0"/>
    <n v="0"/>
    <n v="60"/>
    <n v="0"/>
    <n v="0"/>
    <n v="0"/>
    <n v="0"/>
    <n v="0"/>
    <n v="0"/>
    <n v="0"/>
    <n v="0"/>
    <n v="0"/>
    <n v="0"/>
    <n v="0"/>
    <n v="0"/>
    <n v="0"/>
    <n v="0"/>
    <s v="East"/>
    <x v="0"/>
    <x v="0"/>
    <x v="1"/>
    <x v="0"/>
    <x v="0"/>
    <x v="0"/>
    <s v="Y"/>
    <x v="0"/>
    <s v="Y"/>
    <n v="11"/>
    <m/>
    <n v="0"/>
    <n v="0"/>
    <n v="0"/>
    <n v="0"/>
    <n v="0"/>
    <n v="0"/>
    <n v="0"/>
    <n v="3.5294117647058822"/>
    <n v="3.5294117647058822"/>
    <n v="3.5294117647058822"/>
    <n v="3.5294117647058822"/>
    <n v="3.5294117647058822"/>
    <n v="3.5294117647058822"/>
    <n v="3.5294117647058822"/>
    <n v="3.5294117647058822"/>
    <n v="3.5294117647058822"/>
    <n v="3.5294117647058822"/>
    <n v="3.5294117647058822"/>
    <n v="3.5294117647058822"/>
    <n v="3.5294117647058822"/>
    <n v="3.5294117647058822"/>
    <n v="0"/>
    <n v="14.117647058823529"/>
  </r>
  <r>
    <n v="6876"/>
    <x v="5"/>
    <s v="0000/0266"/>
    <m/>
    <s v="Heliport Estate, Lombard Road"/>
    <m/>
    <n v="526665"/>
    <n v="176051"/>
    <x v="1"/>
    <m/>
    <m/>
    <n v="0"/>
    <n v="18"/>
    <n v="18"/>
    <n v="90"/>
    <n v="90"/>
    <s v="Y"/>
    <s v="Redevelopment"/>
    <s v="NONE"/>
    <m/>
    <m/>
    <x v="0"/>
    <s v="Nil"/>
    <m/>
    <s v="BF"/>
    <x v="0"/>
    <x v="1"/>
    <x v="1"/>
    <n v="0"/>
    <m/>
    <x v="0"/>
    <m/>
    <x v="2"/>
    <s v="HAAR"/>
    <s v="10.3"/>
    <n v="17320216"/>
    <n v="0"/>
    <m/>
    <n v="0"/>
    <m/>
    <n v="0"/>
    <n v="0"/>
    <n v="0"/>
    <n v="0"/>
    <n v="0"/>
    <n v="0"/>
    <n v="18"/>
    <n v="0"/>
    <n v="0"/>
    <n v="0"/>
    <n v="0"/>
    <n v="0"/>
    <n v="0"/>
    <n v="18"/>
    <n v="0"/>
    <n v="0"/>
    <n v="0"/>
    <n v="0"/>
    <n v="0"/>
    <n v="0"/>
    <n v="0"/>
    <n v="0"/>
    <n v="0"/>
    <n v="0"/>
    <n v="0"/>
    <n v="0"/>
    <n v="0"/>
    <n v="0"/>
    <s v="East"/>
    <x v="0"/>
    <x v="0"/>
    <x v="1"/>
    <x v="0"/>
    <x v="0"/>
    <x v="0"/>
    <s v="Y"/>
    <x v="0"/>
    <s v="Y"/>
    <n v="11"/>
    <m/>
    <n v="0"/>
    <n v="0"/>
    <n v="0"/>
    <n v="0"/>
    <n v="0"/>
    <n v="0"/>
    <n v="0"/>
    <n v="1.0588235294117647"/>
    <n v="1.0588235294117647"/>
    <n v="1.0588235294117647"/>
    <n v="1.0588235294117647"/>
    <n v="1.0588235294117647"/>
    <n v="1.0588235294117647"/>
    <n v="1.0588235294117647"/>
    <n v="1.0588235294117647"/>
    <n v="1.0588235294117647"/>
    <n v="1.0588235294117647"/>
    <n v="1.0588235294117647"/>
    <n v="1.0588235294117647"/>
    <n v="1.0588235294117647"/>
    <n v="1.0588235294117647"/>
    <n v="0"/>
    <n v="4.2352941176470589"/>
  </r>
  <r>
    <n v="6876"/>
    <x v="5"/>
    <s v="0000/0266"/>
    <m/>
    <s v="Heliport Estate, Lombard Road"/>
    <m/>
    <n v="526665"/>
    <n v="176051"/>
    <x v="1"/>
    <m/>
    <m/>
    <n v="0"/>
    <n v="12"/>
    <n v="12"/>
    <n v="90"/>
    <n v="90"/>
    <s v="Y"/>
    <s v="Redevelopment"/>
    <s v="NONE"/>
    <m/>
    <m/>
    <x v="0"/>
    <s v="Nil"/>
    <m/>
    <s v="BF"/>
    <x v="0"/>
    <x v="1"/>
    <x v="1"/>
    <n v="0"/>
    <m/>
    <x v="0"/>
    <m/>
    <x v="1"/>
    <s v="HAIS"/>
    <s v="10.3"/>
    <n v="17320216"/>
    <n v="0"/>
    <m/>
    <n v="0"/>
    <m/>
    <n v="0"/>
    <n v="0"/>
    <n v="0"/>
    <n v="0"/>
    <n v="0"/>
    <n v="0"/>
    <n v="12"/>
    <n v="0"/>
    <n v="0"/>
    <n v="0"/>
    <n v="0"/>
    <n v="0"/>
    <n v="0"/>
    <n v="12"/>
    <n v="0"/>
    <n v="0"/>
    <n v="0"/>
    <n v="0"/>
    <n v="0"/>
    <n v="0"/>
    <n v="0"/>
    <n v="0"/>
    <n v="0"/>
    <n v="0"/>
    <n v="0"/>
    <n v="0"/>
    <n v="0"/>
    <n v="0"/>
    <s v="East"/>
    <x v="0"/>
    <x v="0"/>
    <x v="1"/>
    <x v="0"/>
    <x v="0"/>
    <x v="0"/>
    <s v="Y"/>
    <x v="0"/>
    <s v="Y"/>
    <n v="11"/>
    <m/>
    <n v="0"/>
    <n v="0"/>
    <n v="0"/>
    <n v="0"/>
    <n v="0"/>
    <n v="0"/>
    <n v="0"/>
    <n v="0.70588235294117652"/>
    <n v="0.70588235294117652"/>
    <n v="0.70588235294117652"/>
    <n v="0.70588235294117652"/>
    <n v="0.70588235294117652"/>
    <n v="0.70588235294117652"/>
    <n v="0.70588235294117652"/>
    <n v="0.70588235294117652"/>
    <n v="0.70588235294117652"/>
    <n v="0.70588235294117652"/>
    <n v="0.70588235294117652"/>
    <n v="0.70588235294117652"/>
    <n v="0.70588235294117652"/>
    <n v="0.70588235294117652"/>
    <n v="0"/>
    <n v="2.8235294117647061"/>
  </r>
  <r>
    <n v="6877"/>
    <x v="5"/>
    <s v="0000/0267"/>
    <m/>
    <s v="Cable and Wireless Ballymore Site 6, 2a Battersea Park Road"/>
    <m/>
    <n v="529311"/>
    <n v="177427"/>
    <x v="6"/>
    <m/>
    <m/>
    <n v="0"/>
    <n v="59"/>
    <n v="59"/>
    <n v="69"/>
    <n v="69"/>
    <s v="Y"/>
    <s v="Redevelopment"/>
    <s v="NONE"/>
    <m/>
    <m/>
    <x v="0"/>
    <s v="Nil"/>
    <m/>
    <s v="BF"/>
    <x v="0"/>
    <x v="1"/>
    <x v="1"/>
    <n v="0"/>
    <m/>
    <x v="0"/>
    <m/>
    <x v="0"/>
    <s v="P"/>
    <s v="2.1.11"/>
    <n v="17320349"/>
    <n v="0"/>
    <m/>
    <n v="0"/>
    <m/>
    <n v="0"/>
    <n v="0"/>
    <n v="0"/>
    <n v="0"/>
    <n v="0"/>
    <n v="0"/>
    <n v="59"/>
    <n v="0"/>
    <n v="0"/>
    <n v="0"/>
    <n v="0"/>
    <n v="0"/>
    <n v="0"/>
    <n v="59"/>
    <n v="0"/>
    <n v="0"/>
    <n v="0"/>
    <n v="0"/>
    <n v="0"/>
    <n v="0"/>
    <n v="0"/>
    <n v="0"/>
    <n v="0"/>
    <n v="0"/>
    <n v="0"/>
    <n v="0"/>
    <n v="0"/>
    <n v="0"/>
    <s v="Strategic Planning/Nine Elms"/>
    <x v="0"/>
    <x v="1"/>
    <x v="1"/>
    <x v="0"/>
    <x v="0"/>
    <x v="0"/>
    <m/>
    <x v="0"/>
    <s v="Y"/>
    <n v="12"/>
    <m/>
    <n v="0"/>
    <n v="0"/>
    <n v="0"/>
    <n v="0"/>
    <n v="0"/>
    <n v="0"/>
    <n v="0"/>
    <n v="0"/>
    <n v="59"/>
    <n v="0"/>
    <n v="0"/>
    <n v="0"/>
    <n v="0"/>
    <n v="0"/>
    <n v="0"/>
    <n v="0"/>
    <n v="0"/>
    <n v="0"/>
    <n v="0"/>
    <n v="0"/>
    <n v="0"/>
    <n v="0"/>
    <n v="59"/>
  </r>
  <r>
    <n v="6877"/>
    <x v="5"/>
    <s v="0000/0267"/>
    <m/>
    <s v="Cable and Wireless Ballymore Site 6, 2a Battersea Park Road"/>
    <m/>
    <n v="529311"/>
    <n v="177427"/>
    <x v="6"/>
    <m/>
    <m/>
    <n v="0"/>
    <n v="6"/>
    <n v="6"/>
    <n v="69"/>
    <n v="69"/>
    <s v="Y"/>
    <s v="Redevelopment"/>
    <s v="NONE"/>
    <m/>
    <m/>
    <x v="0"/>
    <s v="Nil"/>
    <m/>
    <s v="BF"/>
    <x v="0"/>
    <x v="0"/>
    <x v="0"/>
    <n v="0"/>
    <m/>
    <x v="0"/>
    <m/>
    <x v="2"/>
    <s v="HAAR"/>
    <s v="2.1.11"/>
    <n v="17320349"/>
    <n v="0"/>
    <m/>
    <n v="0"/>
    <m/>
    <n v="0"/>
    <n v="0"/>
    <n v="0"/>
    <n v="0"/>
    <n v="0"/>
    <n v="0"/>
    <n v="6"/>
    <n v="0"/>
    <n v="0"/>
    <n v="0"/>
    <n v="0"/>
    <n v="0"/>
    <n v="0"/>
    <n v="6"/>
    <n v="0"/>
    <n v="0"/>
    <n v="0"/>
    <n v="0"/>
    <n v="0"/>
    <n v="0"/>
    <n v="0"/>
    <n v="0"/>
    <n v="0"/>
    <n v="0"/>
    <n v="0"/>
    <n v="0"/>
    <n v="0"/>
    <n v="0"/>
    <s v="Strategic Planning/Nine Elms"/>
    <x v="0"/>
    <x v="1"/>
    <x v="1"/>
    <x v="0"/>
    <x v="0"/>
    <x v="0"/>
    <m/>
    <x v="0"/>
    <s v="Y"/>
    <n v="12"/>
    <m/>
    <n v="0"/>
    <n v="0"/>
    <n v="0"/>
    <n v="0"/>
    <n v="0"/>
    <n v="0"/>
    <n v="0"/>
    <n v="0"/>
    <n v="6"/>
    <n v="0"/>
    <n v="0"/>
    <n v="0"/>
    <n v="0"/>
    <n v="0"/>
    <n v="0"/>
    <n v="0"/>
    <n v="0"/>
    <n v="0"/>
    <n v="0"/>
    <n v="0"/>
    <n v="0"/>
    <n v="0"/>
    <n v="6"/>
  </r>
  <r>
    <n v="6877"/>
    <x v="5"/>
    <s v="0000/0267"/>
    <m/>
    <s v="Cable and Wireless Ballymore Site 6, 2a Battersea Park Road"/>
    <m/>
    <n v="529311"/>
    <n v="177427"/>
    <x v="6"/>
    <m/>
    <m/>
    <n v="0"/>
    <n v="4"/>
    <n v="4"/>
    <n v="69"/>
    <n v="69"/>
    <s v="Y"/>
    <s v="Redevelopment"/>
    <s v="NONE"/>
    <m/>
    <m/>
    <x v="0"/>
    <s v="Nil"/>
    <m/>
    <s v="BF"/>
    <x v="0"/>
    <x v="0"/>
    <x v="0"/>
    <n v="0"/>
    <m/>
    <x v="0"/>
    <m/>
    <x v="1"/>
    <s v="HAIS"/>
    <s v="2.1.11"/>
    <n v="17320349"/>
    <n v="0"/>
    <m/>
    <n v="0"/>
    <m/>
    <n v="0"/>
    <n v="0"/>
    <n v="0"/>
    <n v="0"/>
    <n v="0"/>
    <n v="0"/>
    <n v="4"/>
    <n v="0"/>
    <n v="0"/>
    <n v="0"/>
    <n v="0"/>
    <n v="0"/>
    <n v="0"/>
    <n v="4"/>
    <n v="0"/>
    <n v="0"/>
    <n v="0"/>
    <n v="0"/>
    <n v="0"/>
    <n v="0"/>
    <n v="0"/>
    <n v="0"/>
    <n v="0"/>
    <n v="0"/>
    <n v="0"/>
    <n v="0"/>
    <n v="0"/>
    <n v="0"/>
    <s v="Strategic Planning/Nine Elms"/>
    <x v="0"/>
    <x v="1"/>
    <x v="1"/>
    <x v="0"/>
    <x v="0"/>
    <x v="0"/>
    <m/>
    <x v="0"/>
    <s v="Y"/>
    <n v="12"/>
    <m/>
    <n v="0"/>
    <n v="0"/>
    <n v="0"/>
    <n v="0"/>
    <n v="0"/>
    <n v="0"/>
    <n v="0"/>
    <n v="0"/>
    <n v="4"/>
    <n v="0"/>
    <n v="0"/>
    <n v="0"/>
    <n v="0"/>
    <n v="0"/>
    <n v="0"/>
    <n v="0"/>
    <n v="0"/>
    <n v="0"/>
    <n v="0"/>
    <n v="0"/>
    <n v="0"/>
    <n v="0"/>
    <n v="4"/>
  </r>
  <r>
    <n v="6889"/>
    <x v="5"/>
    <s v="0000/0268"/>
    <m/>
    <s v="Securicor Site, 80 Kirtling Street"/>
    <s v="INTERMEDIATE"/>
    <n v="529292"/>
    <n v="177503"/>
    <x v="6"/>
    <m/>
    <m/>
    <n v="0"/>
    <n v="6"/>
    <n v="6"/>
    <n v="93"/>
    <n v="93"/>
    <s v="Y"/>
    <s v="Redevelopment"/>
    <s v="NONE"/>
    <m/>
    <m/>
    <x v="0"/>
    <s v="Nil"/>
    <m/>
    <s v="BF"/>
    <x v="0"/>
    <x v="0"/>
    <x v="0"/>
    <n v="0"/>
    <m/>
    <x v="0"/>
    <m/>
    <x v="1"/>
    <s v="HAIS"/>
    <s v="2.1.17"/>
    <n v="17320103"/>
    <n v="0"/>
    <m/>
    <n v="0"/>
    <m/>
    <n v="0"/>
    <n v="0"/>
    <n v="0"/>
    <n v="0"/>
    <n v="0"/>
    <n v="0"/>
    <n v="6"/>
    <n v="0"/>
    <n v="0"/>
    <n v="0"/>
    <n v="0"/>
    <n v="0"/>
    <n v="0"/>
    <n v="6"/>
    <n v="0"/>
    <n v="0"/>
    <n v="0"/>
    <n v="0"/>
    <n v="0"/>
    <n v="0"/>
    <n v="0"/>
    <n v="0"/>
    <n v="0"/>
    <n v="0"/>
    <n v="0"/>
    <n v="0"/>
    <n v="0"/>
    <n v="0"/>
    <s v="Strategic Planning/Nine Elms"/>
    <x v="0"/>
    <x v="1"/>
    <x v="1"/>
    <x v="0"/>
    <x v="0"/>
    <x v="0"/>
    <m/>
    <x v="0"/>
    <s v="Y"/>
    <n v="12"/>
    <m/>
    <n v="0"/>
    <n v="0"/>
    <n v="0"/>
    <n v="0"/>
    <n v="0"/>
    <n v="0"/>
    <n v="0"/>
    <n v="0"/>
    <n v="6"/>
    <n v="0"/>
    <n v="0"/>
    <n v="0"/>
    <n v="0"/>
    <n v="0"/>
    <n v="0"/>
    <n v="0"/>
    <n v="0"/>
    <n v="0"/>
    <n v="0"/>
    <n v="0"/>
    <n v="0"/>
    <n v="0"/>
    <n v="6"/>
  </r>
  <r>
    <n v="6889"/>
    <x v="5"/>
    <s v="0000/0268"/>
    <m/>
    <s v="Securicor Site, 80 Kirtling Street"/>
    <s v="PRIVATE"/>
    <n v="529292"/>
    <n v="177503"/>
    <x v="6"/>
    <m/>
    <m/>
    <n v="0"/>
    <n v="79"/>
    <n v="79"/>
    <n v="93"/>
    <n v="93"/>
    <s v="Y"/>
    <s v="Redevelopment"/>
    <s v="NONE"/>
    <m/>
    <m/>
    <x v="0"/>
    <s v="Nil"/>
    <m/>
    <s v="BF"/>
    <x v="0"/>
    <x v="1"/>
    <x v="1"/>
    <n v="0"/>
    <m/>
    <x v="0"/>
    <m/>
    <x v="0"/>
    <s v="P"/>
    <s v="2.1.17"/>
    <n v="17320103"/>
    <n v="0"/>
    <m/>
    <n v="0"/>
    <m/>
    <n v="0"/>
    <n v="0"/>
    <n v="0"/>
    <n v="0"/>
    <n v="0"/>
    <n v="0"/>
    <n v="79"/>
    <n v="0"/>
    <n v="0"/>
    <n v="0"/>
    <n v="0"/>
    <n v="0"/>
    <n v="0"/>
    <n v="79"/>
    <n v="0"/>
    <n v="0"/>
    <n v="0"/>
    <n v="0"/>
    <n v="0"/>
    <n v="0"/>
    <n v="0"/>
    <n v="0"/>
    <n v="0"/>
    <n v="0"/>
    <n v="0"/>
    <n v="0"/>
    <n v="0"/>
    <n v="0"/>
    <s v="Strategic Planning/Nine Elms"/>
    <x v="0"/>
    <x v="1"/>
    <x v="1"/>
    <x v="0"/>
    <x v="0"/>
    <x v="0"/>
    <m/>
    <x v="0"/>
    <s v="Y"/>
    <n v="12"/>
    <m/>
    <n v="0"/>
    <n v="0"/>
    <n v="0"/>
    <n v="0"/>
    <n v="0"/>
    <n v="0"/>
    <n v="0"/>
    <n v="0"/>
    <n v="79"/>
    <n v="0"/>
    <n v="0"/>
    <n v="0"/>
    <n v="0"/>
    <n v="0"/>
    <n v="0"/>
    <n v="0"/>
    <n v="0"/>
    <n v="0"/>
    <n v="0"/>
    <n v="0"/>
    <n v="0"/>
    <n v="0"/>
    <n v="79"/>
  </r>
  <r>
    <n v="6889"/>
    <x v="5"/>
    <s v="0000/0268"/>
    <m/>
    <s v="Securicor Site, 80 Kirtling Street"/>
    <s v="SOCIAL/AFFORDABLE RENT"/>
    <n v="529292"/>
    <n v="177503"/>
    <x v="6"/>
    <m/>
    <m/>
    <n v="0"/>
    <n v="8"/>
    <n v="8"/>
    <n v="93"/>
    <n v="93"/>
    <s v="Y"/>
    <s v="Redevelopment"/>
    <s v="NONE"/>
    <m/>
    <m/>
    <x v="0"/>
    <s v="Nil"/>
    <m/>
    <s v="BF"/>
    <x v="0"/>
    <x v="0"/>
    <x v="0"/>
    <n v="0"/>
    <m/>
    <x v="0"/>
    <m/>
    <x v="2"/>
    <s v="HAAR"/>
    <s v="2.1.17"/>
    <n v="17320103"/>
    <n v="0"/>
    <m/>
    <n v="0"/>
    <m/>
    <n v="0"/>
    <n v="0"/>
    <n v="0"/>
    <n v="0"/>
    <n v="0"/>
    <n v="0"/>
    <n v="8"/>
    <n v="0"/>
    <n v="0"/>
    <n v="0"/>
    <n v="0"/>
    <n v="0"/>
    <n v="0"/>
    <n v="8"/>
    <n v="0"/>
    <n v="0"/>
    <n v="0"/>
    <n v="0"/>
    <n v="0"/>
    <n v="0"/>
    <n v="0"/>
    <n v="0"/>
    <n v="0"/>
    <n v="0"/>
    <n v="0"/>
    <n v="0"/>
    <n v="0"/>
    <n v="0"/>
    <s v="Strategic Planning/Nine Elms"/>
    <x v="0"/>
    <x v="1"/>
    <x v="1"/>
    <x v="0"/>
    <x v="0"/>
    <x v="0"/>
    <m/>
    <x v="0"/>
    <s v="Y"/>
    <n v="12"/>
    <m/>
    <n v="0"/>
    <n v="0"/>
    <n v="0"/>
    <n v="0"/>
    <n v="0"/>
    <n v="0"/>
    <n v="0"/>
    <n v="0"/>
    <n v="8"/>
    <n v="0"/>
    <n v="0"/>
    <n v="0"/>
    <n v="0"/>
    <n v="0"/>
    <n v="0"/>
    <n v="0"/>
    <n v="0"/>
    <n v="0"/>
    <n v="0"/>
    <n v="0"/>
    <n v="0"/>
    <n v="0"/>
    <n v="8"/>
  </r>
  <r>
    <n v="6890"/>
    <x v="5"/>
    <s v="0000/0269"/>
    <m/>
    <s v="Metropolitan Police Warehouse Garage, Ponton Road"/>
    <s v="INTERMEDIATE"/>
    <n v="529517"/>
    <n v="177263"/>
    <x v="6"/>
    <m/>
    <m/>
    <n v="0"/>
    <n v="3"/>
    <n v="3"/>
    <n v="51"/>
    <n v="51"/>
    <s v="Y"/>
    <s v="Redevelopment"/>
    <s v="NONE"/>
    <m/>
    <m/>
    <x v="0"/>
    <s v="Nil"/>
    <m/>
    <s v="BF"/>
    <x v="0"/>
    <x v="0"/>
    <x v="0"/>
    <n v="0"/>
    <m/>
    <x v="0"/>
    <m/>
    <x v="1"/>
    <s v="HAIS"/>
    <s v="2.1.21"/>
    <n v="17320133"/>
    <n v="0"/>
    <m/>
    <n v="0"/>
    <m/>
    <n v="0"/>
    <n v="0"/>
    <n v="0"/>
    <n v="0"/>
    <n v="0"/>
    <n v="0"/>
    <n v="3"/>
    <n v="0"/>
    <n v="0"/>
    <n v="0"/>
    <n v="0"/>
    <n v="0"/>
    <n v="0"/>
    <n v="3"/>
    <n v="0"/>
    <n v="0"/>
    <n v="0"/>
    <n v="0"/>
    <n v="0"/>
    <n v="0"/>
    <n v="0"/>
    <n v="0"/>
    <n v="0"/>
    <n v="0"/>
    <n v="0"/>
    <n v="0"/>
    <n v="0"/>
    <n v="0"/>
    <s v="Strategic Planning/Nine Elms"/>
    <x v="0"/>
    <x v="1"/>
    <x v="1"/>
    <x v="0"/>
    <x v="0"/>
    <x v="0"/>
    <m/>
    <x v="0"/>
    <s v="Y"/>
    <n v="12"/>
    <m/>
    <n v="0"/>
    <n v="0"/>
    <n v="0"/>
    <n v="0"/>
    <n v="0"/>
    <n v="3"/>
    <n v="0"/>
    <n v="0"/>
    <n v="0"/>
    <n v="0"/>
    <n v="0"/>
    <n v="0"/>
    <n v="0"/>
    <n v="0"/>
    <n v="0"/>
    <n v="0"/>
    <n v="0"/>
    <n v="0"/>
    <n v="0"/>
    <n v="0"/>
    <n v="0"/>
    <n v="3"/>
    <n v="3"/>
  </r>
  <r>
    <n v="6890"/>
    <x v="5"/>
    <s v="0000/0269"/>
    <m/>
    <s v="Metropolitan Police Warehouse Garage, Ponton Road"/>
    <s v="PRIVATE"/>
    <n v="529517"/>
    <n v="177263"/>
    <x v="6"/>
    <m/>
    <m/>
    <n v="0"/>
    <n v="43"/>
    <n v="43"/>
    <n v="51"/>
    <n v="51"/>
    <s v="Y"/>
    <s v="Redevelopment"/>
    <s v="NONE"/>
    <m/>
    <m/>
    <x v="0"/>
    <s v="Nil"/>
    <m/>
    <s v="BF"/>
    <x v="0"/>
    <x v="1"/>
    <x v="1"/>
    <n v="0"/>
    <m/>
    <x v="0"/>
    <m/>
    <x v="0"/>
    <s v="P"/>
    <s v="2.1.21"/>
    <n v="17320133"/>
    <n v="0"/>
    <m/>
    <n v="0"/>
    <m/>
    <n v="0"/>
    <n v="0"/>
    <n v="0"/>
    <n v="0"/>
    <n v="0"/>
    <n v="0"/>
    <n v="43"/>
    <n v="0"/>
    <n v="0"/>
    <n v="0"/>
    <n v="0"/>
    <n v="0"/>
    <n v="0"/>
    <n v="43"/>
    <n v="0"/>
    <n v="0"/>
    <n v="0"/>
    <n v="0"/>
    <n v="0"/>
    <n v="0"/>
    <n v="0"/>
    <n v="0"/>
    <n v="0"/>
    <n v="0"/>
    <n v="0"/>
    <n v="0"/>
    <n v="0"/>
    <n v="0"/>
    <s v="Strategic Planning/Nine Elms"/>
    <x v="0"/>
    <x v="1"/>
    <x v="1"/>
    <x v="0"/>
    <x v="0"/>
    <x v="0"/>
    <m/>
    <x v="0"/>
    <s v="Y"/>
    <n v="12"/>
    <m/>
    <n v="0"/>
    <n v="0"/>
    <n v="0"/>
    <n v="0"/>
    <n v="0"/>
    <n v="43"/>
    <n v="0"/>
    <n v="0"/>
    <n v="0"/>
    <n v="0"/>
    <n v="0"/>
    <n v="0"/>
    <n v="0"/>
    <n v="0"/>
    <n v="0"/>
    <n v="0"/>
    <n v="0"/>
    <n v="0"/>
    <n v="0"/>
    <n v="0"/>
    <n v="0"/>
    <n v="43"/>
    <n v="43"/>
  </r>
  <r>
    <n v="6890"/>
    <x v="5"/>
    <s v="0000/0269"/>
    <m/>
    <s v="Metropolitan Police Warehouse Garage, Ponton Road"/>
    <s v="SOCIAL/AFFORDABLE HOUSING"/>
    <n v="529517"/>
    <n v="177263"/>
    <x v="6"/>
    <m/>
    <m/>
    <n v="0"/>
    <n v="5"/>
    <n v="5"/>
    <n v="51"/>
    <n v="51"/>
    <s v="Y"/>
    <s v="Redevelopment"/>
    <s v="NONE"/>
    <m/>
    <m/>
    <x v="0"/>
    <s v="Nil"/>
    <m/>
    <s v="BF"/>
    <x v="0"/>
    <x v="0"/>
    <x v="0"/>
    <n v="0"/>
    <m/>
    <x v="0"/>
    <m/>
    <x v="2"/>
    <s v="HAAR"/>
    <s v="2.1.21"/>
    <n v="17320133"/>
    <n v="0"/>
    <m/>
    <n v="0"/>
    <m/>
    <n v="0"/>
    <n v="0"/>
    <n v="0"/>
    <n v="0"/>
    <n v="0"/>
    <n v="0"/>
    <n v="5"/>
    <n v="0"/>
    <n v="0"/>
    <n v="0"/>
    <n v="0"/>
    <n v="0"/>
    <n v="0"/>
    <n v="5"/>
    <n v="0"/>
    <n v="0"/>
    <n v="0"/>
    <n v="0"/>
    <n v="0"/>
    <n v="0"/>
    <n v="0"/>
    <n v="0"/>
    <n v="0"/>
    <n v="0"/>
    <n v="0"/>
    <n v="0"/>
    <n v="0"/>
    <n v="0"/>
    <s v="Strategic Planning/Nine Elms"/>
    <x v="0"/>
    <x v="1"/>
    <x v="1"/>
    <x v="0"/>
    <x v="0"/>
    <x v="0"/>
    <m/>
    <x v="0"/>
    <s v="Y"/>
    <n v="12"/>
    <m/>
    <n v="0"/>
    <n v="0"/>
    <n v="0"/>
    <n v="0"/>
    <n v="0"/>
    <n v="5"/>
    <n v="0"/>
    <n v="0"/>
    <n v="0"/>
    <n v="0"/>
    <n v="0"/>
    <n v="0"/>
    <n v="0"/>
    <n v="0"/>
    <n v="0"/>
    <n v="0"/>
    <n v="0"/>
    <n v="0"/>
    <n v="0"/>
    <n v="0"/>
    <n v="0"/>
    <n v="5"/>
    <n v="5"/>
  </r>
  <r>
    <n v="6891"/>
    <x v="5"/>
    <s v="0000/0270"/>
    <m/>
    <s v="Causeway Island including Land to the east, The Causeway"/>
    <s v="INTERMEDIATE"/>
    <n v="525542"/>
    <n v="175021"/>
    <x v="0"/>
    <m/>
    <m/>
    <n v="0"/>
    <n v="7"/>
    <n v="7"/>
    <n v="52"/>
    <n v="52"/>
    <s v="Y"/>
    <s v="Redevelopment"/>
    <s v="NONE"/>
    <m/>
    <m/>
    <x v="0"/>
    <s v="Nil"/>
    <m/>
    <s v="BF"/>
    <x v="0"/>
    <x v="0"/>
    <x v="0"/>
    <n v="0"/>
    <m/>
    <x v="0"/>
    <m/>
    <x v="1"/>
    <s v="HAIS"/>
    <s v="3.2.1"/>
    <n v="17320319"/>
    <n v="0"/>
    <m/>
    <n v="0"/>
    <m/>
    <n v="0"/>
    <n v="0"/>
    <n v="0"/>
    <n v="0"/>
    <n v="0"/>
    <n v="0"/>
    <n v="7"/>
    <n v="0"/>
    <n v="0"/>
    <n v="0"/>
    <n v="0"/>
    <n v="0"/>
    <n v="0"/>
    <n v="7"/>
    <n v="0"/>
    <n v="0"/>
    <n v="0"/>
    <n v="0"/>
    <n v="0"/>
    <n v="0"/>
    <n v="0"/>
    <n v="0"/>
    <n v="0"/>
    <n v="0"/>
    <n v="0"/>
    <n v="0"/>
    <n v="0"/>
    <n v="0"/>
    <s v="West"/>
    <x v="0"/>
    <x v="0"/>
    <x v="0"/>
    <x v="0"/>
    <x v="0"/>
    <x v="0"/>
    <m/>
    <x v="0"/>
    <s v="Y"/>
    <n v="11"/>
    <m/>
    <n v="0"/>
    <n v="0"/>
    <n v="0"/>
    <n v="0"/>
    <n v="0"/>
    <n v="0"/>
    <n v="0"/>
    <n v="0.41176470588235292"/>
    <n v="0.41176470588235292"/>
    <n v="0.41176470588235292"/>
    <n v="0.41176470588235292"/>
    <n v="0.41176470588235292"/>
    <n v="0.41176470588235292"/>
    <n v="0.41176470588235292"/>
    <n v="0.41176470588235292"/>
    <n v="0.41176470588235292"/>
    <n v="0.41176470588235292"/>
    <n v="0.41176470588235292"/>
    <n v="0.41176470588235292"/>
    <n v="0.41176470588235292"/>
    <n v="0.41176470588235292"/>
    <n v="0"/>
    <n v="1.6470588235294117"/>
  </r>
  <r>
    <n v="6891"/>
    <x v="5"/>
    <s v="0000/0270"/>
    <m/>
    <s v="Causeway Island including Land to the east, The Causeway"/>
    <s v="PRIVATE"/>
    <n v="525542"/>
    <n v="175021"/>
    <x v="0"/>
    <m/>
    <m/>
    <n v="0"/>
    <n v="35"/>
    <n v="35"/>
    <n v="52"/>
    <n v="52"/>
    <s v="Y"/>
    <s v="Redevelopment"/>
    <s v="NONE"/>
    <m/>
    <m/>
    <x v="0"/>
    <s v="Nil"/>
    <m/>
    <s v="BF"/>
    <x v="0"/>
    <x v="1"/>
    <x v="1"/>
    <n v="0"/>
    <m/>
    <x v="0"/>
    <m/>
    <x v="0"/>
    <s v="P"/>
    <s v="3.2.1"/>
    <n v="17320319"/>
    <n v="0"/>
    <m/>
    <n v="0"/>
    <m/>
    <n v="0"/>
    <n v="0"/>
    <n v="0"/>
    <n v="0"/>
    <n v="0"/>
    <n v="0"/>
    <n v="35"/>
    <n v="0"/>
    <n v="0"/>
    <n v="0"/>
    <n v="0"/>
    <n v="0"/>
    <n v="0"/>
    <n v="35"/>
    <n v="0"/>
    <n v="0"/>
    <n v="0"/>
    <n v="0"/>
    <n v="0"/>
    <n v="0"/>
    <n v="0"/>
    <n v="0"/>
    <n v="0"/>
    <n v="0"/>
    <n v="0"/>
    <n v="0"/>
    <n v="0"/>
    <n v="0"/>
    <s v="West"/>
    <x v="0"/>
    <x v="0"/>
    <x v="0"/>
    <x v="0"/>
    <x v="0"/>
    <x v="0"/>
    <m/>
    <x v="0"/>
    <s v="Y"/>
    <n v="11"/>
    <m/>
    <n v="0"/>
    <n v="0"/>
    <n v="0"/>
    <n v="0"/>
    <n v="0"/>
    <n v="0"/>
    <n v="0"/>
    <n v="2.0588235294117645"/>
    <n v="2.0588235294117645"/>
    <n v="2.0588235294117645"/>
    <n v="2.0588235294117645"/>
    <n v="2.0588235294117645"/>
    <n v="2.0588235294117645"/>
    <n v="2.0588235294117645"/>
    <n v="2.0588235294117645"/>
    <n v="2.0588235294117645"/>
    <n v="2.0588235294117645"/>
    <n v="2.0588235294117645"/>
    <n v="2.0588235294117645"/>
    <n v="2.0588235294117645"/>
    <n v="2.0588235294117645"/>
    <n v="0"/>
    <n v="8.235294117647058"/>
  </r>
  <r>
    <n v="6891"/>
    <x v="5"/>
    <s v="0000/0270"/>
    <m/>
    <s v="Causeway Island including Land to the east, The Causeway"/>
    <s v="SOCIAL/AFFORDABLE RENT"/>
    <n v="525542"/>
    <n v="175021"/>
    <x v="0"/>
    <m/>
    <m/>
    <n v="0"/>
    <n v="10"/>
    <n v="10"/>
    <n v="52"/>
    <n v="52"/>
    <s v="Y"/>
    <s v="Redevelopment"/>
    <s v="NONE"/>
    <m/>
    <m/>
    <x v="0"/>
    <s v="Nil"/>
    <m/>
    <s v="BF"/>
    <x v="0"/>
    <x v="1"/>
    <x v="1"/>
    <n v="0"/>
    <m/>
    <x v="0"/>
    <m/>
    <x v="2"/>
    <s v="HAAR"/>
    <s v="3.2.1"/>
    <n v="17320319"/>
    <n v="0"/>
    <m/>
    <n v="0"/>
    <m/>
    <n v="0"/>
    <n v="0"/>
    <n v="0"/>
    <n v="0"/>
    <n v="0"/>
    <n v="0"/>
    <n v="10"/>
    <n v="0"/>
    <n v="0"/>
    <n v="0"/>
    <n v="0"/>
    <n v="0"/>
    <n v="0"/>
    <n v="10"/>
    <n v="0"/>
    <n v="0"/>
    <n v="0"/>
    <n v="0"/>
    <n v="0"/>
    <n v="0"/>
    <n v="0"/>
    <n v="0"/>
    <n v="0"/>
    <n v="0"/>
    <n v="0"/>
    <n v="0"/>
    <n v="0"/>
    <n v="0"/>
    <s v="West"/>
    <x v="0"/>
    <x v="0"/>
    <x v="0"/>
    <x v="0"/>
    <x v="0"/>
    <x v="0"/>
    <m/>
    <x v="0"/>
    <s v="Y"/>
    <n v="11"/>
    <m/>
    <n v="0"/>
    <n v="0"/>
    <n v="0"/>
    <n v="0"/>
    <n v="0"/>
    <n v="0"/>
    <n v="0"/>
    <n v="0.58823529411764708"/>
    <n v="0.58823529411764708"/>
    <n v="0.58823529411764708"/>
    <n v="0.58823529411764708"/>
    <n v="0.58823529411764708"/>
    <n v="0.58823529411764708"/>
    <n v="0.58823529411764708"/>
    <n v="0.58823529411764708"/>
    <n v="0.58823529411764708"/>
    <n v="0.58823529411764708"/>
    <n v="0.58823529411764708"/>
    <n v="0.58823529411764708"/>
    <n v="0.58823529411764708"/>
    <n v="0.58823529411764708"/>
    <n v="0"/>
    <n v="2.3529411764705883"/>
  </r>
  <r>
    <n v="6892"/>
    <x v="5"/>
    <s v="0000/0271"/>
    <m/>
    <s v="Hunts Trucks and adjoining gasholder, Armoury Way"/>
    <s v="INTERNEDIATE"/>
    <n v="525690"/>
    <n v="174971"/>
    <x v="0"/>
    <m/>
    <m/>
    <n v="0"/>
    <n v="94"/>
    <n v="94"/>
    <n v="713"/>
    <n v="713"/>
    <s v="Y"/>
    <s v="Redevelopment"/>
    <s v="NONE"/>
    <m/>
    <m/>
    <x v="0"/>
    <s v="Nil"/>
    <m/>
    <s v="BF"/>
    <x v="0"/>
    <x v="1"/>
    <x v="1"/>
    <n v="0"/>
    <m/>
    <x v="0"/>
    <m/>
    <x v="1"/>
    <s v="HAIS"/>
    <s v="3.2.2"/>
    <n v="17320108"/>
    <n v="0"/>
    <m/>
    <n v="0"/>
    <m/>
    <n v="0"/>
    <n v="0"/>
    <n v="0"/>
    <n v="0"/>
    <n v="0"/>
    <n v="0"/>
    <n v="94"/>
    <n v="0"/>
    <n v="0"/>
    <n v="0"/>
    <n v="0"/>
    <n v="0"/>
    <n v="0"/>
    <n v="94"/>
    <n v="0"/>
    <n v="0"/>
    <n v="0"/>
    <n v="0"/>
    <n v="0"/>
    <n v="0"/>
    <n v="0"/>
    <n v="0"/>
    <n v="0"/>
    <n v="0"/>
    <n v="0"/>
    <n v="0"/>
    <n v="0"/>
    <n v="0"/>
    <s v="West"/>
    <x v="0"/>
    <x v="0"/>
    <x v="0"/>
    <x v="0"/>
    <x v="0"/>
    <x v="0"/>
    <m/>
    <x v="0"/>
    <s v="Y"/>
    <n v="11"/>
    <m/>
    <n v="0"/>
    <n v="0"/>
    <n v="9.4"/>
    <n v="9.4"/>
    <n v="9.4"/>
    <n v="9.4"/>
    <n v="9.4"/>
    <n v="9.4"/>
    <n v="9.4"/>
    <n v="9.4"/>
    <n v="9.4"/>
    <n v="9.4"/>
    <n v="0"/>
    <n v="0"/>
    <n v="0"/>
    <n v="0"/>
    <n v="0"/>
    <n v="0"/>
    <n v="0"/>
    <n v="0"/>
    <n v="0"/>
    <n v="37.6"/>
    <n v="84.600000000000009"/>
  </r>
  <r>
    <n v="6892"/>
    <x v="5"/>
    <s v="0000/0271"/>
    <m/>
    <s v="Hunts Trucks and adjoining gasholder, Armoury Way"/>
    <s v="PRIVATE"/>
    <n v="525690"/>
    <n v="174971"/>
    <x v="0"/>
    <m/>
    <m/>
    <n v="0"/>
    <n v="478"/>
    <n v="478"/>
    <n v="713"/>
    <n v="713"/>
    <s v="Y"/>
    <s v="Redevelopment"/>
    <s v="NONE"/>
    <m/>
    <m/>
    <x v="0"/>
    <s v="Nil"/>
    <m/>
    <s v="BF"/>
    <x v="0"/>
    <x v="1"/>
    <x v="1"/>
    <n v="0"/>
    <m/>
    <x v="0"/>
    <m/>
    <x v="0"/>
    <s v="P"/>
    <s v="3.2.2"/>
    <n v="17320108"/>
    <n v="0"/>
    <m/>
    <n v="0"/>
    <m/>
    <n v="0"/>
    <n v="0"/>
    <n v="0"/>
    <n v="0"/>
    <n v="0"/>
    <n v="0"/>
    <n v="478"/>
    <n v="0"/>
    <n v="0"/>
    <n v="0"/>
    <n v="0"/>
    <n v="0"/>
    <n v="0"/>
    <n v="478"/>
    <n v="0"/>
    <n v="0"/>
    <n v="0"/>
    <n v="0"/>
    <n v="0"/>
    <n v="0"/>
    <n v="0"/>
    <n v="0"/>
    <n v="0"/>
    <n v="0"/>
    <n v="0"/>
    <n v="0"/>
    <n v="0"/>
    <n v="0"/>
    <s v="West"/>
    <x v="0"/>
    <x v="0"/>
    <x v="0"/>
    <x v="0"/>
    <x v="0"/>
    <x v="0"/>
    <m/>
    <x v="0"/>
    <s v="Y"/>
    <n v="11"/>
    <m/>
    <n v="0"/>
    <n v="0"/>
    <n v="47.8"/>
    <n v="47.8"/>
    <n v="47.8"/>
    <n v="47.8"/>
    <n v="47.8"/>
    <n v="47.8"/>
    <n v="47.8"/>
    <n v="47.8"/>
    <n v="47.8"/>
    <n v="47.8"/>
    <n v="0"/>
    <n v="0"/>
    <n v="0"/>
    <n v="0"/>
    <n v="0"/>
    <n v="0"/>
    <n v="0"/>
    <n v="0"/>
    <n v="0"/>
    <n v="191.2"/>
    <n v="430.20000000000005"/>
  </r>
  <r>
    <n v="6892"/>
    <x v="5"/>
    <s v="0000/0271"/>
    <m/>
    <s v="Hunts Trucks and adjoining gasholder, Armoury Way"/>
    <s v="SOCIAL/AFFORDABLE RENT"/>
    <n v="525690"/>
    <n v="174971"/>
    <x v="0"/>
    <m/>
    <m/>
    <n v="0"/>
    <n v="141"/>
    <n v="141"/>
    <n v="713"/>
    <n v="713"/>
    <s v="Y"/>
    <s v="Redevelopment"/>
    <s v="NONE"/>
    <m/>
    <m/>
    <x v="0"/>
    <s v="Nil"/>
    <m/>
    <s v="BF"/>
    <x v="0"/>
    <x v="1"/>
    <x v="1"/>
    <n v="0"/>
    <m/>
    <x v="0"/>
    <m/>
    <x v="2"/>
    <s v="HAAR"/>
    <s v="3.2.2"/>
    <n v="17320108"/>
    <n v="0"/>
    <m/>
    <n v="0"/>
    <m/>
    <n v="0"/>
    <n v="0"/>
    <n v="0"/>
    <n v="0"/>
    <n v="0"/>
    <n v="0"/>
    <n v="141"/>
    <n v="0"/>
    <n v="0"/>
    <n v="0"/>
    <n v="0"/>
    <n v="0"/>
    <n v="0"/>
    <n v="141"/>
    <n v="0"/>
    <n v="0"/>
    <n v="0"/>
    <n v="0"/>
    <n v="0"/>
    <n v="0"/>
    <n v="0"/>
    <n v="0"/>
    <n v="0"/>
    <n v="0"/>
    <n v="0"/>
    <n v="0"/>
    <n v="0"/>
    <n v="0"/>
    <s v="West"/>
    <x v="0"/>
    <x v="0"/>
    <x v="0"/>
    <x v="0"/>
    <x v="0"/>
    <x v="0"/>
    <m/>
    <x v="0"/>
    <s v="Y"/>
    <n v="11"/>
    <m/>
    <n v="0"/>
    <n v="0"/>
    <n v="14.1"/>
    <n v="14.1"/>
    <n v="14.1"/>
    <n v="14.1"/>
    <n v="14.1"/>
    <n v="14.1"/>
    <n v="14.1"/>
    <n v="14.1"/>
    <n v="14.1"/>
    <n v="14.1"/>
    <n v="0"/>
    <n v="0"/>
    <n v="0"/>
    <n v="0"/>
    <n v="0"/>
    <n v="0"/>
    <n v="0"/>
    <n v="0"/>
    <n v="0"/>
    <n v="56.4"/>
    <n v="126.89999999999998"/>
  </r>
  <r>
    <n v="6893"/>
    <x v="5"/>
    <s v="0000/0272"/>
    <m/>
    <s v="Keltbray Site Wentworth House and adjacent land at, Dormay Street"/>
    <s v="INTERMEDIATE"/>
    <n v="525561"/>
    <n v="174936"/>
    <x v="0"/>
    <m/>
    <m/>
    <n v="0"/>
    <n v="10"/>
    <n v="10"/>
    <n v="73"/>
    <n v="73"/>
    <s v="Y"/>
    <s v="Redevelopment"/>
    <s v="NONE"/>
    <m/>
    <m/>
    <x v="0"/>
    <s v="Nil"/>
    <m/>
    <s v="BF"/>
    <x v="0"/>
    <x v="1"/>
    <x v="1"/>
    <n v="0"/>
    <m/>
    <x v="0"/>
    <m/>
    <x v="1"/>
    <s v="HAIS"/>
    <s v="3.2.3"/>
    <n v="17320320"/>
    <n v="0"/>
    <m/>
    <n v="0"/>
    <m/>
    <n v="0"/>
    <n v="0"/>
    <n v="0"/>
    <n v="0"/>
    <n v="0"/>
    <n v="0"/>
    <n v="10"/>
    <n v="0"/>
    <n v="0"/>
    <n v="0"/>
    <n v="0"/>
    <n v="0"/>
    <n v="0"/>
    <n v="10"/>
    <n v="0"/>
    <n v="0"/>
    <n v="0"/>
    <n v="0"/>
    <n v="0"/>
    <n v="0"/>
    <n v="0"/>
    <n v="0"/>
    <n v="0"/>
    <n v="0"/>
    <n v="0"/>
    <n v="0"/>
    <n v="0"/>
    <n v="0"/>
    <s v="West"/>
    <x v="0"/>
    <x v="0"/>
    <x v="0"/>
    <x v="0"/>
    <x v="0"/>
    <x v="0"/>
    <m/>
    <x v="0"/>
    <s v="Y"/>
    <n v="11"/>
    <m/>
    <n v="0"/>
    <n v="0"/>
    <n v="0"/>
    <n v="0"/>
    <n v="0"/>
    <n v="0"/>
    <n v="0"/>
    <n v="0.58823529411764708"/>
    <n v="0.58823529411764708"/>
    <n v="0.58823529411764708"/>
    <n v="0.58823529411764708"/>
    <n v="0.58823529411764708"/>
    <n v="0.58823529411764708"/>
    <n v="0.58823529411764708"/>
    <n v="0.58823529411764708"/>
    <n v="0.58823529411764708"/>
    <n v="0.58823529411764708"/>
    <n v="0.58823529411764708"/>
    <n v="0.58823529411764708"/>
    <n v="0.58823529411764708"/>
    <n v="0.58823529411764708"/>
    <n v="0"/>
    <n v="2.3529411764705883"/>
  </r>
  <r>
    <n v="6893"/>
    <x v="5"/>
    <s v="0000/0272"/>
    <m/>
    <s v="Keltbray Site Wentworth House and adjacent land at, Dormay Street"/>
    <s v="PRIVATE"/>
    <n v="525561"/>
    <n v="174936"/>
    <x v="0"/>
    <m/>
    <m/>
    <n v="0"/>
    <n v="49"/>
    <n v="49"/>
    <n v="73"/>
    <n v="73"/>
    <s v="Y"/>
    <s v="Redevelopment"/>
    <s v="NONE"/>
    <m/>
    <m/>
    <x v="0"/>
    <s v="Nil"/>
    <m/>
    <s v="BF"/>
    <x v="0"/>
    <x v="1"/>
    <x v="1"/>
    <n v="0"/>
    <m/>
    <x v="0"/>
    <m/>
    <x v="0"/>
    <s v="P"/>
    <s v="3.2.3"/>
    <n v="17320320"/>
    <n v="0"/>
    <m/>
    <n v="0"/>
    <m/>
    <n v="0"/>
    <n v="0"/>
    <n v="0"/>
    <n v="0"/>
    <n v="0"/>
    <n v="0"/>
    <n v="49"/>
    <n v="0"/>
    <n v="0"/>
    <n v="0"/>
    <n v="0"/>
    <n v="0"/>
    <n v="0"/>
    <n v="49"/>
    <n v="0"/>
    <n v="0"/>
    <n v="0"/>
    <n v="0"/>
    <n v="0"/>
    <n v="0"/>
    <n v="0"/>
    <n v="0"/>
    <n v="0"/>
    <n v="0"/>
    <n v="0"/>
    <n v="0"/>
    <n v="0"/>
    <n v="0"/>
    <s v="West"/>
    <x v="0"/>
    <x v="0"/>
    <x v="0"/>
    <x v="0"/>
    <x v="0"/>
    <x v="0"/>
    <m/>
    <x v="0"/>
    <s v="Y"/>
    <n v="11"/>
    <m/>
    <n v="0"/>
    <n v="0"/>
    <n v="0"/>
    <n v="0"/>
    <n v="0"/>
    <n v="0"/>
    <n v="0"/>
    <n v="2.8823529411764706"/>
    <n v="2.8823529411764706"/>
    <n v="2.8823529411764706"/>
    <n v="2.8823529411764706"/>
    <n v="2.8823529411764706"/>
    <n v="2.8823529411764706"/>
    <n v="2.8823529411764706"/>
    <n v="2.8823529411764706"/>
    <n v="2.8823529411764706"/>
    <n v="2.8823529411764706"/>
    <n v="2.8823529411764706"/>
    <n v="2.8823529411764706"/>
    <n v="2.8823529411764706"/>
    <n v="2.8823529411764706"/>
    <n v="0"/>
    <n v="11.529411764705882"/>
  </r>
  <r>
    <n v="6893"/>
    <x v="5"/>
    <s v="0000/0272"/>
    <m/>
    <s v="Keltbray Site Wentworth House and adjacent land at, Dormay Street"/>
    <s v="SOCIAL/AFFORDABLE RENT"/>
    <n v="525561"/>
    <n v="174936"/>
    <x v="0"/>
    <m/>
    <m/>
    <n v="0"/>
    <n v="14"/>
    <n v="14"/>
    <n v="73"/>
    <n v="73"/>
    <s v="Y"/>
    <s v="Redevelopment"/>
    <s v="NONE"/>
    <m/>
    <m/>
    <x v="0"/>
    <s v="Nil"/>
    <m/>
    <s v="BF"/>
    <x v="0"/>
    <x v="1"/>
    <x v="1"/>
    <n v="0"/>
    <m/>
    <x v="0"/>
    <m/>
    <x v="2"/>
    <s v="HAAR"/>
    <s v="3.2.3"/>
    <n v="17320320"/>
    <n v="0"/>
    <m/>
    <n v="0"/>
    <m/>
    <n v="0"/>
    <n v="0"/>
    <n v="0"/>
    <n v="0"/>
    <n v="0"/>
    <n v="0"/>
    <n v="14"/>
    <n v="0"/>
    <n v="0"/>
    <n v="0"/>
    <n v="0"/>
    <n v="0"/>
    <n v="0"/>
    <n v="14"/>
    <n v="0"/>
    <n v="0"/>
    <n v="0"/>
    <n v="0"/>
    <n v="0"/>
    <n v="0"/>
    <n v="0"/>
    <n v="0"/>
    <n v="0"/>
    <n v="0"/>
    <n v="0"/>
    <n v="0"/>
    <n v="0"/>
    <n v="0"/>
    <s v="West"/>
    <x v="0"/>
    <x v="0"/>
    <x v="0"/>
    <x v="0"/>
    <x v="0"/>
    <x v="0"/>
    <m/>
    <x v="0"/>
    <s v="Y"/>
    <n v="11"/>
    <m/>
    <n v="0"/>
    <n v="0"/>
    <n v="0"/>
    <n v="0"/>
    <n v="0"/>
    <n v="0"/>
    <n v="0"/>
    <n v="0.82352941176470584"/>
    <n v="0.82352941176470584"/>
    <n v="0.82352941176470584"/>
    <n v="0.82352941176470584"/>
    <n v="0.82352941176470584"/>
    <n v="0.82352941176470584"/>
    <n v="0.82352941176470584"/>
    <n v="0.82352941176470584"/>
    <n v="0.82352941176470584"/>
    <n v="0.82352941176470584"/>
    <n v="0.82352941176470584"/>
    <n v="0.82352941176470584"/>
    <n v="0.82352941176470584"/>
    <n v="0.82352941176470584"/>
    <n v="0"/>
    <n v="3.2941176470588234"/>
  </r>
  <r>
    <n v="6894"/>
    <x v="5"/>
    <s v="0000/0273"/>
    <m/>
    <s v="9, 11 and 19, Osiers Road"/>
    <s v="INTERMEDIATE"/>
    <n v="525337"/>
    <n v="175127"/>
    <x v="13"/>
    <m/>
    <m/>
    <n v="0"/>
    <n v="9"/>
    <n v="9"/>
    <n v="66"/>
    <n v="66"/>
    <s v="Y"/>
    <s v="Redevelopment"/>
    <s v="NONE"/>
    <m/>
    <m/>
    <x v="0"/>
    <s v="Nil"/>
    <m/>
    <s v="BF"/>
    <x v="0"/>
    <x v="0"/>
    <x v="0"/>
    <n v="0"/>
    <m/>
    <x v="0"/>
    <m/>
    <x v="1"/>
    <s v="HAIS"/>
    <s v="3.3.3"/>
    <n v="17320283"/>
    <n v="0"/>
    <m/>
    <n v="0"/>
    <m/>
    <n v="0"/>
    <n v="0"/>
    <n v="0"/>
    <n v="0"/>
    <n v="0"/>
    <n v="0"/>
    <n v="9"/>
    <n v="0"/>
    <n v="0"/>
    <n v="0"/>
    <n v="0"/>
    <n v="0"/>
    <n v="0"/>
    <n v="9"/>
    <n v="0"/>
    <n v="0"/>
    <n v="0"/>
    <n v="0"/>
    <n v="0"/>
    <n v="0"/>
    <n v="0"/>
    <n v="0"/>
    <n v="0"/>
    <n v="0"/>
    <n v="0"/>
    <n v="0"/>
    <n v="0"/>
    <n v="0"/>
    <s v="West"/>
    <x v="0"/>
    <x v="0"/>
    <x v="0"/>
    <x v="0"/>
    <x v="0"/>
    <x v="0"/>
    <m/>
    <x v="0"/>
    <s v="Y"/>
    <n v="11"/>
    <m/>
    <n v="0"/>
    <n v="0"/>
    <n v="0.6"/>
    <n v="0.6"/>
    <n v="0.6"/>
    <n v="0.6"/>
    <n v="0.6"/>
    <n v="0.6"/>
    <n v="0.6"/>
    <n v="0.6"/>
    <n v="0.6"/>
    <n v="0.6"/>
    <n v="0.6"/>
    <n v="0.6"/>
    <n v="0.6"/>
    <n v="0.6"/>
    <n v="0.6"/>
    <n v="0"/>
    <n v="0"/>
    <n v="0"/>
    <n v="0"/>
    <n v="2.4"/>
    <n v="5.3999999999999995"/>
  </r>
  <r>
    <n v="6894"/>
    <x v="5"/>
    <s v="0000/0273"/>
    <m/>
    <s v="9, 11 and 19, Osiers Road"/>
    <s v="PRIVATE"/>
    <n v="525337"/>
    <n v="175127"/>
    <x v="13"/>
    <m/>
    <m/>
    <n v="0"/>
    <n v="44"/>
    <n v="44"/>
    <n v="66"/>
    <n v="66"/>
    <s v="Y"/>
    <s v="Redevelopment"/>
    <s v="NONE"/>
    <m/>
    <m/>
    <x v="0"/>
    <s v="Nil"/>
    <m/>
    <s v="BF"/>
    <x v="0"/>
    <x v="1"/>
    <x v="1"/>
    <n v="0"/>
    <m/>
    <x v="0"/>
    <m/>
    <x v="0"/>
    <s v="P"/>
    <s v="3.3.3"/>
    <n v="17320283"/>
    <n v="0"/>
    <m/>
    <n v="0"/>
    <m/>
    <n v="0"/>
    <n v="0"/>
    <n v="0"/>
    <n v="0"/>
    <n v="0"/>
    <n v="0"/>
    <n v="44"/>
    <n v="0"/>
    <n v="0"/>
    <n v="0"/>
    <n v="0"/>
    <n v="0"/>
    <n v="0"/>
    <n v="44"/>
    <n v="0"/>
    <n v="0"/>
    <n v="0"/>
    <n v="0"/>
    <n v="0"/>
    <n v="0"/>
    <n v="0"/>
    <n v="0"/>
    <n v="0"/>
    <n v="0"/>
    <n v="0"/>
    <n v="0"/>
    <n v="0"/>
    <n v="0"/>
    <s v="West"/>
    <x v="0"/>
    <x v="0"/>
    <x v="0"/>
    <x v="0"/>
    <x v="0"/>
    <x v="0"/>
    <m/>
    <x v="0"/>
    <s v="Y"/>
    <n v="11"/>
    <m/>
    <n v="0"/>
    <n v="0"/>
    <n v="2.9333333333333331"/>
    <n v="2.9333333333333331"/>
    <n v="2.9333333333333331"/>
    <n v="2.9333333333333331"/>
    <n v="2.9333333333333331"/>
    <n v="2.9333333333333331"/>
    <n v="2.9333333333333331"/>
    <n v="2.9333333333333331"/>
    <n v="2.9333333333333331"/>
    <n v="2.9333333333333331"/>
    <n v="2.9333333333333331"/>
    <n v="2.9333333333333331"/>
    <n v="2.9333333333333331"/>
    <n v="2.9333333333333331"/>
    <n v="2.9333333333333331"/>
    <n v="0"/>
    <n v="0"/>
    <n v="0"/>
    <n v="0"/>
    <n v="11.733333333333333"/>
    <n v="26.4"/>
  </r>
  <r>
    <n v="6894"/>
    <x v="5"/>
    <s v="0000/0273"/>
    <m/>
    <s v="9, 11 and 19, Osiers Road"/>
    <s v="SOCIAL/AFFORDABLE RENT"/>
    <n v="525337"/>
    <n v="175127"/>
    <x v="13"/>
    <m/>
    <m/>
    <n v="0"/>
    <n v="13"/>
    <n v="13"/>
    <n v="66"/>
    <n v="66"/>
    <s v="Y"/>
    <s v="Redevelopment"/>
    <s v="NONE"/>
    <m/>
    <m/>
    <x v="0"/>
    <s v="Nil"/>
    <m/>
    <s v="BF"/>
    <x v="0"/>
    <x v="1"/>
    <x v="1"/>
    <n v="0"/>
    <m/>
    <x v="0"/>
    <m/>
    <x v="2"/>
    <s v="HAAR"/>
    <s v="3.3.3"/>
    <n v="17320283"/>
    <n v="0"/>
    <m/>
    <n v="0"/>
    <m/>
    <n v="0"/>
    <n v="0"/>
    <n v="0"/>
    <n v="0"/>
    <n v="0"/>
    <n v="0"/>
    <n v="13"/>
    <n v="0"/>
    <n v="0"/>
    <n v="0"/>
    <n v="0"/>
    <n v="0"/>
    <n v="0"/>
    <n v="13"/>
    <n v="0"/>
    <n v="0"/>
    <n v="0"/>
    <n v="0"/>
    <n v="0"/>
    <n v="0"/>
    <n v="0"/>
    <n v="0"/>
    <n v="0"/>
    <n v="0"/>
    <n v="0"/>
    <n v="0"/>
    <n v="0"/>
    <n v="0"/>
    <s v="West"/>
    <x v="0"/>
    <x v="0"/>
    <x v="0"/>
    <x v="0"/>
    <x v="0"/>
    <x v="0"/>
    <m/>
    <x v="0"/>
    <s v="Y"/>
    <n v="11"/>
    <m/>
    <n v="0"/>
    <n v="0"/>
    <n v="0.8666666666666667"/>
    <n v="0.8666666666666667"/>
    <n v="0.8666666666666667"/>
    <n v="0.8666666666666667"/>
    <n v="0.8666666666666667"/>
    <n v="0.8666666666666667"/>
    <n v="0.8666666666666667"/>
    <n v="0.8666666666666667"/>
    <n v="0.8666666666666667"/>
    <n v="0.8666666666666667"/>
    <n v="0.8666666666666667"/>
    <n v="0.8666666666666667"/>
    <n v="0.8666666666666667"/>
    <n v="0.8666666666666667"/>
    <n v="0.8666666666666667"/>
    <n v="0"/>
    <n v="0"/>
    <n v="0"/>
    <n v="0"/>
    <n v="3.4666666666666668"/>
    <n v="7.8000000000000025"/>
  </r>
  <r>
    <n v="6895"/>
    <x v="5"/>
    <s v="0000/0274"/>
    <m/>
    <s v="Feathers Wharf, The Causeway"/>
    <s v="INTERMEDIATE"/>
    <n v="525545"/>
    <n v="175231"/>
    <x v="0"/>
    <m/>
    <m/>
    <n v="0"/>
    <n v="2"/>
    <n v="2"/>
    <n v="16"/>
    <n v="16"/>
    <s v="Y"/>
    <s v="Redevelopment"/>
    <s v="NONE"/>
    <m/>
    <m/>
    <x v="0"/>
    <s v="Nil"/>
    <m/>
    <s v="BF"/>
    <x v="0"/>
    <x v="0"/>
    <x v="0"/>
    <n v="0"/>
    <m/>
    <x v="0"/>
    <m/>
    <x v="1"/>
    <s v="HAIS"/>
    <s v="3.3.5"/>
    <n v="17320067"/>
    <n v="0"/>
    <m/>
    <n v="0"/>
    <m/>
    <n v="0"/>
    <n v="0"/>
    <n v="0"/>
    <n v="0"/>
    <n v="0"/>
    <n v="0"/>
    <n v="2"/>
    <n v="0"/>
    <n v="0"/>
    <n v="0"/>
    <n v="0"/>
    <n v="0"/>
    <n v="0"/>
    <n v="2"/>
    <n v="0"/>
    <n v="0"/>
    <n v="0"/>
    <n v="0"/>
    <n v="0"/>
    <n v="0"/>
    <n v="0"/>
    <n v="0"/>
    <n v="0"/>
    <n v="0"/>
    <n v="0"/>
    <n v="0"/>
    <n v="0"/>
    <n v="0"/>
    <s v="West"/>
    <x v="0"/>
    <x v="0"/>
    <x v="0"/>
    <x v="0"/>
    <x v="0"/>
    <x v="0"/>
    <m/>
    <x v="0"/>
    <s v="Y"/>
    <n v="11"/>
    <m/>
    <n v="0"/>
    <n v="0"/>
    <n v="0"/>
    <n v="0"/>
    <n v="0"/>
    <n v="0"/>
    <n v="0"/>
    <n v="0"/>
    <n v="0"/>
    <n v="0"/>
    <n v="0"/>
    <n v="0"/>
    <n v="0.16666666666666666"/>
    <n v="0.16666666666666666"/>
    <n v="0.16666666666666666"/>
    <n v="0.16666666666666666"/>
    <n v="0.16666666666666666"/>
    <n v="0.16666666666666666"/>
    <n v="0.16666666666666666"/>
    <n v="0.16666666666666666"/>
    <n v="0.16666666666666666"/>
    <n v="0"/>
    <n v="0"/>
  </r>
  <r>
    <n v="6895"/>
    <x v="5"/>
    <s v="0000/0274"/>
    <m/>
    <s v="Feathers Wharf, The Causeway"/>
    <s v="PRIVATE"/>
    <n v="525545"/>
    <n v="175231"/>
    <x v="0"/>
    <m/>
    <m/>
    <n v="0"/>
    <n v="11"/>
    <n v="11"/>
    <n v="16"/>
    <n v="16"/>
    <s v="Y"/>
    <s v="Redevelopment"/>
    <s v="NONE"/>
    <m/>
    <m/>
    <x v="0"/>
    <s v="Nil"/>
    <m/>
    <s v="BF"/>
    <x v="0"/>
    <x v="1"/>
    <x v="1"/>
    <n v="0"/>
    <m/>
    <x v="0"/>
    <m/>
    <x v="0"/>
    <s v="P"/>
    <s v="3.3.5"/>
    <n v="17320067"/>
    <n v="0"/>
    <m/>
    <n v="0"/>
    <m/>
    <n v="0"/>
    <n v="0"/>
    <n v="0"/>
    <n v="0"/>
    <n v="0"/>
    <n v="0"/>
    <n v="11"/>
    <n v="0"/>
    <n v="0"/>
    <n v="0"/>
    <n v="0"/>
    <n v="0"/>
    <n v="0"/>
    <n v="11"/>
    <n v="0"/>
    <n v="0"/>
    <n v="0"/>
    <n v="0"/>
    <n v="0"/>
    <n v="0"/>
    <n v="0"/>
    <n v="0"/>
    <n v="0"/>
    <n v="0"/>
    <n v="0"/>
    <n v="0"/>
    <n v="0"/>
    <n v="0"/>
    <s v="West"/>
    <x v="0"/>
    <x v="0"/>
    <x v="0"/>
    <x v="0"/>
    <x v="0"/>
    <x v="0"/>
    <m/>
    <x v="0"/>
    <s v="Y"/>
    <n v="11"/>
    <m/>
    <n v="0"/>
    <n v="0"/>
    <n v="0"/>
    <n v="0"/>
    <n v="0"/>
    <n v="0"/>
    <n v="0"/>
    <n v="0"/>
    <n v="0"/>
    <n v="0"/>
    <n v="0"/>
    <n v="0"/>
    <n v="0.91666666666666663"/>
    <n v="0.91666666666666663"/>
    <n v="0.91666666666666663"/>
    <n v="0.91666666666666663"/>
    <n v="0.91666666666666663"/>
    <n v="0.91666666666666663"/>
    <n v="0.91666666666666663"/>
    <n v="0.91666666666666663"/>
    <n v="0.91666666666666663"/>
    <n v="0"/>
    <n v="0"/>
  </r>
  <r>
    <n v="6895"/>
    <x v="5"/>
    <s v="0000/0274"/>
    <m/>
    <s v="Feathers Wharf, The Causeway"/>
    <s v="SOCIAL/AFFORDABLE RENT"/>
    <n v="525545"/>
    <n v="175231"/>
    <x v="0"/>
    <m/>
    <m/>
    <n v="0"/>
    <n v="3"/>
    <n v="3"/>
    <n v="16"/>
    <n v="16"/>
    <s v="Y"/>
    <s v="Redevelopment"/>
    <s v="NONE"/>
    <m/>
    <m/>
    <x v="0"/>
    <s v="Nil"/>
    <m/>
    <s v="BF"/>
    <x v="0"/>
    <x v="0"/>
    <x v="0"/>
    <n v="0"/>
    <m/>
    <x v="0"/>
    <m/>
    <x v="2"/>
    <s v="HAAR"/>
    <s v="3.3.5"/>
    <n v="17320067"/>
    <n v="0"/>
    <m/>
    <n v="0"/>
    <m/>
    <n v="0"/>
    <n v="0"/>
    <n v="0"/>
    <n v="0"/>
    <n v="0"/>
    <n v="0"/>
    <n v="3"/>
    <n v="0"/>
    <n v="0"/>
    <n v="0"/>
    <n v="0"/>
    <n v="0"/>
    <n v="0"/>
    <n v="3"/>
    <n v="0"/>
    <n v="0"/>
    <n v="0"/>
    <n v="0"/>
    <n v="0"/>
    <n v="0"/>
    <n v="0"/>
    <n v="0"/>
    <n v="0"/>
    <n v="0"/>
    <n v="0"/>
    <n v="0"/>
    <n v="0"/>
    <n v="0"/>
    <s v="West"/>
    <x v="0"/>
    <x v="0"/>
    <x v="0"/>
    <x v="0"/>
    <x v="0"/>
    <x v="0"/>
    <m/>
    <x v="0"/>
    <s v="Y"/>
    <n v="11"/>
    <m/>
    <n v="0"/>
    <n v="0"/>
    <n v="0"/>
    <n v="0"/>
    <n v="0"/>
    <n v="0"/>
    <n v="0"/>
    <n v="0"/>
    <n v="0"/>
    <n v="0"/>
    <n v="0"/>
    <n v="0"/>
    <n v="0.25"/>
    <n v="0.25"/>
    <n v="0.25"/>
    <n v="0.25"/>
    <n v="0.25"/>
    <n v="0.25"/>
    <n v="0.25"/>
    <n v="0.25"/>
    <n v="0.25"/>
    <n v="0"/>
    <n v="0"/>
  </r>
  <r>
    <n v="6896"/>
    <x v="5"/>
    <s v="0000/0275"/>
    <m/>
    <s v="Land at the Causeway, The Causeway"/>
    <s v="PRIVATE"/>
    <n v="525597"/>
    <n v="175113"/>
    <x v="0"/>
    <m/>
    <m/>
    <n v="0"/>
    <n v="4"/>
    <n v="4"/>
    <n v="4"/>
    <n v="4"/>
    <m/>
    <s v="Redevelopment"/>
    <s v="NONE"/>
    <m/>
    <m/>
    <x v="0"/>
    <s v="Nil"/>
    <m/>
    <s v="BF"/>
    <x v="0"/>
    <x v="0"/>
    <x v="0"/>
    <n v="0"/>
    <m/>
    <x v="0"/>
    <m/>
    <x v="0"/>
    <s v="P"/>
    <s v="3.3.6"/>
    <n v="17320113"/>
    <n v="0"/>
    <m/>
    <n v="0"/>
    <m/>
    <n v="0"/>
    <n v="0"/>
    <n v="0"/>
    <n v="0"/>
    <n v="0"/>
    <n v="0"/>
    <n v="4"/>
    <n v="0"/>
    <n v="0"/>
    <n v="0"/>
    <n v="0"/>
    <n v="0"/>
    <n v="0"/>
    <n v="4"/>
    <n v="0"/>
    <n v="0"/>
    <n v="0"/>
    <n v="0"/>
    <n v="0"/>
    <n v="0"/>
    <n v="0"/>
    <n v="0"/>
    <n v="0"/>
    <n v="0"/>
    <n v="0"/>
    <n v="0"/>
    <n v="0"/>
    <n v="0"/>
    <s v="West"/>
    <x v="0"/>
    <x v="0"/>
    <x v="0"/>
    <x v="0"/>
    <x v="0"/>
    <x v="0"/>
    <m/>
    <x v="0"/>
    <s v="Y"/>
    <n v="11"/>
    <m/>
    <n v="0"/>
    <n v="0"/>
    <n v="0"/>
    <n v="0"/>
    <n v="0"/>
    <n v="0"/>
    <n v="0"/>
    <n v="0"/>
    <n v="0"/>
    <n v="0"/>
    <n v="0"/>
    <n v="0"/>
    <n v="0"/>
    <n v="0"/>
    <n v="0"/>
    <n v="0"/>
    <n v="0"/>
    <n v="0.5714285714285714"/>
    <n v="0.5714285714285714"/>
    <n v="0.5714285714285714"/>
    <n v="0.5714285714285714"/>
    <n v="0"/>
    <n v="0"/>
  </r>
  <r>
    <n v="6897"/>
    <x v="5"/>
    <s v="0000/0276"/>
    <m/>
    <s v="Asda, Lidl and Boots Sites, Falcon Lane"/>
    <s v="INTERMEDIATE"/>
    <n v="527569"/>
    <n v="175602"/>
    <x v="10"/>
    <m/>
    <m/>
    <n v="0"/>
    <n v="3"/>
    <n v="3"/>
    <n v="20"/>
    <n v="20"/>
    <s v="Y"/>
    <s v="Redevelopment"/>
    <s v="NONE"/>
    <m/>
    <m/>
    <x v="0"/>
    <s v="Nil"/>
    <m/>
    <s v="BF"/>
    <x v="0"/>
    <x v="0"/>
    <x v="0"/>
    <n v="0"/>
    <m/>
    <x v="0"/>
    <m/>
    <x v="1"/>
    <s v="HAIS"/>
    <s v="4.1.1"/>
    <n v="17320204"/>
    <n v="0"/>
    <m/>
    <n v="0"/>
    <m/>
    <n v="0"/>
    <n v="0"/>
    <n v="0"/>
    <n v="0"/>
    <n v="0"/>
    <n v="0"/>
    <n v="3"/>
    <n v="0"/>
    <n v="0"/>
    <n v="0"/>
    <n v="0"/>
    <n v="0"/>
    <n v="0"/>
    <n v="3"/>
    <n v="0"/>
    <n v="0"/>
    <n v="0"/>
    <n v="0"/>
    <n v="0"/>
    <n v="0"/>
    <n v="0"/>
    <n v="0"/>
    <n v="0"/>
    <n v="0"/>
    <n v="0"/>
    <n v="0"/>
    <n v="0"/>
    <n v="0"/>
    <s v="East"/>
    <x v="5"/>
    <x v="0"/>
    <x v="1"/>
    <x v="1"/>
    <x v="0"/>
    <x v="0"/>
    <m/>
    <x v="0"/>
    <s v="Y"/>
    <n v="11"/>
    <m/>
    <n v="0"/>
    <n v="0"/>
    <n v="0"/>
    <n v="0"/>
    <n v="0"/>
    <n v="0"/>
    <n v="0"/>
    <n v="0"/>
    <n v="0"/>
    <n v="0"/>
    <n v="0"/>
    <n v="0"/>
    <n v="0.25"/>
    <n v="0.25"/>
    <n v="0.25"/>
    <n v="0.25"/>
    <n v="0.25"/>
    <n v="0.25"/>
    <n v="0.25"/>
    <n v="0.25"/>
    <n v="0.25"/>
    <n v="0"/>
    <n v="0"/>
  </r>
  <r>
    <n v="6897"/>
    <x v="5"/>
    <s v="0000/0276"/>
    <m/>
    <s v="Asda, Lidl and Boots Sites, Falcon Lane"/>
    <s v="PRIVATE"/>
    <n v="527569"/>
    <n v="175602"/>
    <x v="10"/>
    <m/>
    <m/>
    <n v="0"/>
    <n v="13"/>
    <n v="13"/>
    <n v="20"/>
    <n v="20"/>
    <s v="Y"/>
    <s v="Redevelopment"/>
    <s v="NONE"/>
    <m/>
    <m/>
    <x v="0"/>
    <s v="Nil"/>
    <m/>
    <s v="BF"/>
    <x v="0"/>
    <x v="1"/>
    <x v="1"/>
    <n v="0"/>
    <m/>
    <x v="0"/>
    <m/>
    <x v="0"/>
    <s v="P"/>
    <s v="4.1.1"/>
    <n v="17320204"/>
    <n v="0"/>
    <m/>
    <n v="0"/>
    <m/>
    <n v="0"/>
    <n v="0"/>
    <n v="0"/>
    <n v="0"/>
    <n v="0"/>
    <n v="0"/>
    <n v="13"/>
    <n v="0"/>
    <n v="0"/>
    <n v="0"/>
    <n v="0"/>
    <n v="0"/>
    <n v="0"/>
    <n v="13"/>
    <n v="0"/>
    <n v="0"/>
    <n v="0"/>
    <n v="0"/>
    <n v="0"/>
    <n v="0"/>
    <n v="0"/>
    <n v="0"/>
    <n v="0"/>
    <n v="0"/>
    <n v="0"/>
    <n v="0"/>
    <n v="0"/>
    <n v="0"/>
    <s v="East"/>
    <x v="5"/>
    <x v="0"/>
    <x v="1"/>
    <x v="1"/>
    <x v="0"/>
    <x v="0"/>
    <m/>
    <x v="0"/>
    <s v="Y"/>
    <n v="11"/>
    <m/>
    <n v="0"/>
    <n v="0"/>
    <n v="0"/>
    <n v="0"/>
    <n v="0"/>
    <n v="0"/>
    <n v="0"/>
    <n v="0"/>
    <n v="0"/>
    <n v="0"/>
    <n v="0"/>
    <n v="0"/>
    <n v="1.0833333333333333"/>
    <n v="1.0833333333333333"/>
    <n v="1.0833333333333333"/>
    <n v="1.0833333333333333"/>
    <n v="1.0833333333333333"/>
    <n v="1.0833333333333333"/>
    <n v="1.0833333333333333"/>
    <n v="1.0833333333333333"/>
    <n v="1.0833333333333333"/>
    <n v="0"/>
    <n v="0"/>
  </r>
  <r>
    <n v="6897"/>
    <x v="5"/>
    <s v="0000/0276"/>
    <m/>
    <s v="Asda, Lidl and Boots Sites, Falcon Lane"/>
    <s v="SOCIAL/AFFORDABLE RENT"/>
    <n v="527569"/>
    <n v="175602"/>
    <x v="10"/>
    <m/>
    <m/>
    <n v="0"/>
    <n v="4"/>
    <n v="4"/>
    <n v="20"/>
    <n v="20"/>
    <s v="Y"/>
    <s v="Redevelopment"/>
    <s v="NONE"/>
    <m/>
    <m/>
    <x v="0"/>
    <s v="Nil"/>
    <m/>
    <s v="BF"/>
    <x v="0"/>
    <x v="0"/>
    <x v="0"/>
    <n v="0"/>
    <m/>
    <x v="0"/>
    <m/>
    <x v="2"/>
    <s v="HAAR"/>
    <s v="4.1.1"/>
    <n v="17320204"/>
    <n v="0"/>
    <m/>
    <n v="0"/>
    <m/>
    <n v="0"/>
    <n v="0"/>
    <n v="0"/>
    <n v="0"/>
    <n v="0"/>
    <n v="0"/>
    <n v="4"/>
    <n v="0"/>
    <n v="0"/>
    <n v="0"/>
    <n v="0"/>
    <n v="0"/>
    <n v="0"/>
    <n v="4"/>
    <n v="0"/>
    <n v="0"/>
    <n v="0"/>
    <n v="0"/>
    <n v="0"/>
    <n v="0"/>
    <n v="0"/>
    <n v="0"/>
    <n v="0"/>
    <n v="0"/>
    <n v="0"/>
    <n v="0"/>
    <n v="0"/>
    <n v="0"/>
    <s v="East"/>
    <x v="5"/>
    <x v="0"/>
    <x v="1"/>
    <x v="1"/>
    <x v="0"/>
    <x v="0"/>
    <m/>
    <x v="0"/>
    <s v="Y"/>
    <n v="11"/>
    <m/>
    <n v="0"/>
    <n v="0"/>
    <n v="0"/>
    <n v="0"/>
    <n v="0"/>
    <n v="0"/>
    <n v="0"/>
    <n v="0"/>
    <n v="0"/>
    <n v="0"/>
    <n v="0"/>
    <n v="0"/>
    <n v="0.33333333333333331"/>
    <n v="0.33333333333333331"/>
    <n v="0.33333333333333331"/>
    <n v="0.33333333333333331"/>
    <n v="0.33333333333333331"/>
    <n v="0.33333333333333331"/>
    <n v="0.33333333333333331"/>
    <n v="0.33333333333333331"/>
    <n v="0.33333333333333331"/>
    <n v="0"/>
    <n v="0"/>
  </r>
  <r>
    <n v="6898"/>
    <x v="5"/>
    <s v="0000/0277"/>
    <m/>
    <s v="Clapham Junction Station, St Johns Hill"/>
    <s v="INTERMEDIATE"/>
    <n v="527216"/>
    <n v="175541"/>
    <x v="14"/>
    <m/>
    <m/>
    <n v="0"/>
    <n v="21"/>
    <n v="21"/>
    <n v="157"/>
    <n v="157"/>
    <s v="Y"/>
    <s v="Redevelopment"/>
    <s v="NONE"/>
    <m/>
    <m/>
    <x v="0"/>
    <s v="Nil"/>
    <m/>
    <s v="BF"/>
    <x v="0"/>
    <x v="1"/>
    <x v="1"/>
    <n v="0"/>
    <m/>
    <x v="0"/>
    <m/>
    <x v="1"/>
    <s v="HAIS"/>
    <s v="4.1.4"/>
    <n v="17320350"/>
    <n v="0"/>
    <m/>
    <n v="0"/>
    <m/>
    <n v="0"/>
    <n v="0"/>
    <n v="0"/>
    <n v="0"/>
    <n v="0"/>
    <n v="0"/>
    <n v="21"/>
    <n v="0"/>
    <n v="0"/>
    <n v="0"/>
    <n v="0"/>
    <n v="0"/>
    <n v="0"/>
    <n v="21"/>
    <n v="0"/>
    <n v="0"/>
    <n v="0"/>
    <n v="0"/>
    <n v="0"/>
    <n v="0"/>
    <n v="0"/>
    <n v="0"/>
    <n v="0"/>
    <n v="0"/>
    <n v="0"/>
    <n v="0"/>
    <n v="0"/>
    <n v="0"/>
    <s v="East"/>
    <x v="5"/>
    <x v="0"/>
    <x v="1"/>
    <x v="1"/>
    <x v="0"/>
    <x v="0"/>
    <m/>
    <x v="0"/>
    <s v="Y"/>
    <n v="11"/>
    <m/>
    <n v="0"/>
    <n v="0"/>
    <n v="0"/>
    <n v="0"/>
    <n v="0"/>
    <n v="0"/>
    <n v="0"/>
    <n v="0"/>
    <n v="0"/>
    <n v="0"/>
    <n v="0"/>
    <n v="0"/>
    <n v="1.75"/>
    <n v="1.75"/>
    <n v="1.75"/>
    <n v="1.75"/>
    <n v="1.75"/>
    <n v="1.75"/>
    <n v="1.75"/>
    <n v="1.75"/>
    <n v="1.75"/>
    <n v="0"/>
    <n v="0"/>
  </r>
  <r>
    <n v="6898"/>
    <x v="5"/>
    <s v="0000/0277"/>
    <m/>
    <s v="Clapham Junction Station, St Johns Hill"/>
    <s v="PRIVATE"/>
    <n v="527216"/>
    <n v="175541"/>
    <x v="14"/>
    <m/>
    <m/>
    <n v="0"/>
    <n v="105"/>
    <n v="105"/>
    <n v="157"/>
    <n v="157"/>
    <s v="Y"/>
    <s v="Redevelopment"/>
    <s v="NONE"/>
    <m/>
    <m/>
    <x v="0"/>
    <s v="Nil"/>
    <m/>
    <s v="BF"/>
    <x v="0"/>
    <x v="1"/>
    <x v="1"/>
    <n v="0"/>
    <m/>
    <x v="0"/>
    <m/>
    <x v="0"/>
    <s v="P"/>
    <s v="4.1.4"/>
    <n v="17320350"/>
    <n v="0"/>
    <m/>
    <n v="0"/>
    <m/>
    <n v="0"/>
    <n v="0"/>
    <n v="0"/>
    <n v="0"/>
    <n v="0"/>
    <n v="0"/>
    <n v="105"/>
    <n v="0"/>
    <n v="0"/>
    <n v="0"/>
    <n v="0"/>
    <n v="0"/>
    <n v="0"/>
    <n v="105"/>
    <n v="0"/>
    <n v="0"/>
    <n v="0"/>
    <n v="0"/>
    <n v="0"/>
    <n v="0"/>
    <n v="0"/>
    <n v="0"/>
    <n v="0"/>
    <n v="0"/>
    <n v="0"/>
    <n v="0"/>
    <n v="0"/>
    <n v="0"/>
    <s v="East"/>
    <x v="5"/>
    <x v="0"/>
    <x v="1"/>
    <x v="1"/>
    <x v="0"/>
    <x v="0"/>
    <m/>
    <x v="0"/>
    <s v="Y"/>
    <n v="11"/>
    <m/>
    <n v="0"/>
    <n v="0"/>
    <n v="0"/>
    <n v="0"/>
    <n v="0"/>
    <n v="0"/>
    <n v="0"/>
    <n v="0"/>
    <n v="0"/>
    <n v="0"/>
    <n v="0"/>
    <n v="0"/>
    <n v="8.75"/>
    <n v="8.75"/>
    <n v="8.75"/>
    <n v="8.75"/>
    <n v="8.75"/>
    <n v="8.75"/>
    <n v="8.75"/>
    <n v="8.75"/>
    <n v="8.75"/>
    <n v="0"/>
    <n v="0"/>
  </r>
  <r>
    <n v="6898"/>
    <x v="5"/>
    <s v="0000/0277"/>
    <m/>
    <s v="Clapham Junction Station, St Johns Hill"/>
    <s v="SOCIAL/AFFORDABLE RENT"/>
    <n v="527216"/>
    <n v="175541"/>
    <x v="14"/>
    <m/>
    <m/>
    <n v="0"/>
    <n v="31"/>
    <n v="31"/>
    <n v="157"/>
    <n v="157"/>
    <s v="Y"/>
    <s v="Redevelopment"/>
    <s v="NONE"/>
    <m/>
    <m/>
    <x v="0"/>
    <s v="Nil"/>
    <m/>
    <s v="BF"/>
    <x v="0"/>
    <x v="1"/>
    <x v="1"/>
    <n v="0"/>
    <m/>
    <x v="0"/>
    <m/>
    <x v="2"/>
    <s v="HAAR"/>
    <s v="4.1.4"/>
    <n v="17320350"/>
    <n v="0"/>
    <m/>
    <n v="0"/>
    <m/>
    <n v="0"/>
    <n v="0"/>
    <n v="0"/>
    <n v="0"/>
    <n v="0"/>
    <n v="0"/>
    <n v="31"/>
    <n v="0"/>
    <n v="0"/>
    <n v="0"/>
    <n v="0"/>
    <n v="0"/>
    <n v="0"/>
    <n v="31"/>
    <n v="0"/>
    <n v="0"/>
    <n v="0"/>
    <n v="0"/>
    <n v="0"/>
    <n v="0"/>
    <n v="0"/>
    <n v="0"/>
    <n v="0"/>
    <n v="0"/>
    <n v="0"/>
    <n v="0"/>
    <n v="0"/>
    <n v="0"/>
    <s v="East"/>
    <x v="5"/>
    <x v="0"/>
    <x v="1"/>
    <x v="1"/>
    <x v="0"/>
    <x v="0"/>
    <m/>
    <x v="0"/>
    <s v="Y"/>
    <n v="11"/>
    <m/>
    <n v="0"/>
    <n v="0"/>
    <n v="0"/>
    <n v="0"/>
    <n v="0"/>
    <n v="0"/>
    <n v="0"/>
    <n v="0"/>
    <n v="0"/>
    <n v="0"/>
    <n v="0"/>
    <n v="0"/>
    <n v="2.5833333333333335"/>
    <n v="2.5833333333333335"/>
    <n v="2.5833333333333335"/>
    <n v="2.5833333333333335"/>
    <n v="2.5833333333333335"/>
    <n v="2.5833333333333335"/>
    <n v="2.5833333333333335"/>
    <n v="2.5833333333333335"/>
    <n v="2.5833333333333335"/>
    <n v="0"/>
    <n v="0"/>
  </r>
  <r>
    <n v="6899"/>
    <x v="5"/>
    <s v="0000/0278"/>
    <m/>
    <s v="Land on the corner of Grant Road and, Falcon Road"/>
    <s v="INTERMEDIATE"/>
    <n v="527207"/>
    <n v="175690"/>
    <x v="2"/>
    <m/>
    <m/>
    <n v="0"/>
    <n v="28"/>
    <n v="28"/>
    <n v="209"/>
    <n v="209"/>
    <s v="Y"/>
    <s v="Redevelopment"/>
    <s v="NONE"/>
    <m/>
    <m/>
    <x v="0"/>
    <s v="Nil"/>
    <m/>
    <s v="BF"/>
    <x v="0"/>
    <x v="1"/>
    <x v="1"/>
    <n v="0"/>
    <m/>
    <x v="0"/>
    <m/>
    <x v="1"/>
    <s v="HAIS"/>
    <s v="4.1.3"/>
    <n v="17320338"/>
    <n v="0"/>
    <m/>
    <n v="0"/>
    <m/>
    <n v="0"/>
    <n v="0"/>
    <n v="0"/>
    <n v="0"/>
    <n v="0"/>
    <n v="0"/>
    <n v="28"/>
    <n v="0"/>
    <n v="0"/>
    <n v="0"/>
    <n v="0"/>
    <n v="0"/>
    <n v="0"/>
    <n v="28"/>
    <n v="0"/>
    <n v="0"/>
    <n v="0"/>
    <n v="0"/>
    <n v="0"/>
    <n v="0"/>
    <n v="0"/>
    <n v="0"/>
    <n v="0"/>
    <n v="0"/>
    <n v="0"/>
    <n v="0"/>
    <n v="0"/>
    <n v="0"/>
    <s v="Strategic Planning/Nine Elms"/>
    <x v="5"/>
    <x v="0"/>
    <x v="1"/>
    <x v="1"/>
    <x v="0"/>
    <x v="0"/>
    <m/>
    <x v="0"/>
    <s v="Y"/>
    <n v="11"/>
    <m/>
    <n v="0"/>
    <n v="0"/>
    <n v="0"/>
    <n v="0"/>
    <n v="0"/>
    <n v="0"/>
    <n v="0"/>
    <n v="0"/>
    <n v="0"/>
    <n v="0"/>
    <n v="0"/>
    <n v="0"/>
    <n v="0"/>
    <n v="0"/>
    <n v="0"/>
    <n v="0"/>
    <n v="0"/>
    <n v="4"/>
    <n v="4"/>
    <n v="4"/>
    <n v="4"/>
    <n v="0"/>
    <n v="0"/>
  </r>
  <r>
    <n v="6899"/>
    <x v="5"/>
    <s v="0000/0278"/>
    <m/>
    <s v="Land on the corner of Grant Road and, Falcon Road"/>
    <s v="PRIVATE"/>
    <n v="527207"/>
    <n v="175690"/>
    <x v="2"/>
    <m/>
    <m/>
    <n v="0"/>
    <n v="140"/>
    <n v="140"/>
    <n v="209"/>
    <n v="209"/>
    <s v="Y"/>
    <s v="Redevelopment"/>
    <s v="NONE"/>
    <m/>
    <m/>
    <x v="0"/>
    <s v="Nil"/>
    <m/>
    <s v="BF"/>
    <x v="0"/>
    <x v="1"/>
    <x v="1"/>
    <n v="0"/>
    <m/>
    <x v="0"/>
    <m/>
    <x v="0"/>
    <s v="P"/>
    <s v="4.1.3"/>
    <n v="17320338"/>
    <n v="0"/>
    <m/>
    <n v="0"/>
    <m/>
    <n v="0"/>
    <n v="0"/>
    <n v="0"/>
    <n v="0"/>
    <n v="0"/>
    <n v="0"/>
    <n v="140"/>
    <n v="0"/>
    <n v="0"/>
    <n v="0"/>
    <n v="0"/>
    <n v="0"/>
    <n v="0"/>
    <n v="140"/>
    <n v="0"/>
    <n v="0"/>
    <n v="0"/>
    <n v="0"/>
    <n v="0"/>
    <n v="0"/>
    <n v="0"/>
    <n v="0"/>
    <n v="0"/>
    <n v="0"/>
    <n v="0"/>
    <n v="0"/>
    <n v="0"/>
    <n v="0"/>
    <s v="Strategic Planning/Nine Elms"/>
    <x v="5"/>
    <x v="0"/>
    <x v="1"/>
    <x v="1"/>
    <x v="0"/>
    <x v="0"/>
    <m/>
    <x v="0"/>
    <s v="Y"/>
    <n v="11"/>
    <m/>
    <n v="0"/>
    <n v="0"/>
    <n v="0"/>
    <n v="0"/>
    <n v="0"/>
    <n v="0"/>
    <n v="0"/>
    <n v="0"/>
    <n v="0"/>
    <n v="0"/>
    <n v="0"/>
    <n v="0"/>
    <n v="0"/>
    <n v="0"/>
    <n v="0"/>
    <n v="0"/>
    <n v="0"/>
    <n v="20"/>
    <n v="20"/>
    <n v="20"/>
    <n v="20"/>
    <n v="0"/>
    <n v="0"/>
  </r>
  <r>
    <n v="6899"/>
    <x v="5"/>
    <s v="0000/0278"/>
    <m/>
    <s v="Land on the corner of Grant Road and, Falcon Road"/>
    <s v="SOCIAL/AFFORDABLE RENT"/>
    <n v="527207"/>
    <n v="175690"/>
    <x v="2"/>
    <m/>
    <m/>
    <n v="0"/>
    <n v="41"/>
    <n v="41"/>
    <n v="209"/>
    <n v="209"/>
    <s v="Y"/>
    <s v="Redevelopment"/>
    <s v="NONE"/>
    <m/>
    <m/>
    <x v="0"/>
    <s v="Nil"/>
    <m/>
    <s v="BF"/>
    <x v="0"/>
    <x v="1"/>
    <x v="1"/>
    <n v="0"/>
    <m/>
    <x v="0"/>
    <m/>
    <x v="2"/>
    <s v="HAAR"/>
    <s v="4.1.3"/>
    <n v="17320338"/>
    <n v="0"/>
    <m/>
    <n v="0"/>
    <m/>
    <n v="0"/>
    <n v="0"/>
    <n v="0"/>
    <n v="0"/>
    <n v="0"/>
    <n v="0"/>
    <n v="41"/>
    <n v="0"/>
    <n v="0"/>
    <n v="0"/>
    <n v="0"/>
    <n v="0"/>
    <n v="0"/>
    <n v="41"/>
    <n v="0"/>
    <n v="0"/>
    <n v="0"/>
    <n v="0"/>
    <n v="0"/>
    <n v="0"/>
    <n v="0"/>
    <n v="0"/>
    <n v="0"/>
    <n v="0"/>
    <n v="0"/>
    <n v="0"/>
    <n v="0"/>
    <n v="0"/>
    <s v="Strategic Planning/Nine Elms"/>
    <x v="5"/>
    <x v="0"/>
    <x v="1"/>
    <x v="1"/>
    <x v="0"/>
    <x v="0"/>
    <m/>
    <x v="0"/>
    <s v="Y"/>
    <n v="11"/>
    <m/>
    <n v="0"/>
    <n v="0"/>
    <n v="0"/>
    <n v="0"/>
    <n v="0"/>
    <n v="0"/>
    <n v="0"/>
    <n v="0"/>
    <n v="0"/>
    <n v="0"/>
    <n v="0"/>
    <n v="0"/>
    <n v="0"/>
    <n v="0"/>
    <n v="0"/>
    <n v="0"/>
    <n v="0"/>
    <n v="5.8571428571428568"/>
    <n v="5.8571428571428568"/>
    <n v="5.8571428571428568"/>
    <n v="5.8571428571428568"/>
    <n v="0"/>
    <n v="0"/>
  </r>
  <r>
    <n v="6900"/>
    <x v="5"/>
    <s v="0000/0279"/>
    <m/>
    <s v="Winstanley/York Road Estates, Winstanley Road"/>
    <s v="PRIVATE"/>
    <n v="526850"/>
    <n v="175749"/>
    <x v="2"/>
    <m/>
    <m/>
    <n v="0"/>
    <n v="436"/>
    <n v="436"/>
    <n v="486"/>
    <n v="486"/>
    <s v="Y"/>
    <s v="Redevelopment"/>
    <s v="NONE"/>
    <m/>
    <m/>
    <x v="0"/>
    <s v="Nil"/>
    <m/>
    <s v="BF"/>
    <x v="0"/>
    <x v="1"/>
    <x v="1"/>
    <n v="0"/>
    <m/>
    <x v="0"/>
    <m/>
    <x v="0"/>
    <s v="P"/>
    <s v="4.1.7"/>
    <n v="17320111"/>
    <n v="0"/>
    <m/>
    <n v="0"/>
    <m/>
    <n v="0"/>
    <n v="0"/>
    <n v="0"/>
    <n v="0"/>
    <n v="0"/>
    <n v="0"/>
    <n v="436"/>
    <n v="0"/>
    <n v="0"/>
    <n v="0"/>
    <n v="0"/>
    <n v="0"/>
    <n v="0"/>
    <n v="436"/>
    <n v="0"/>
    <n v="0"/>
    <n v="0"/>
    <n v="0"/>
    <n v="0"/>
    <n v="0"/>
    <n v="0"/>
    <n v="0"/>
    <n v="0"/>
    <n v="0"/>
    <n v="0"/>
    <n v="0"/>
    <n v="0"/>
    <n v="0"/>
    <s v="Strategic Planning/Nine Elms"/>
    <x v="0"/>
    <x v="0"/>
    <x v="1"/>
    <x v="1"/>
    <x v="0"/>
    <x v="0"/>
    <m/>
    <x v="0"/>
    <s v="Y"/>
    <n v="11"/>
    <m/>
    <n v="0"/>
    <n v="21.530864197530864"/>
    <n v="53.288888888888891"/>
    <n v="53.288888888888891"/>
    <n v="53.288888888888891"/>
    <n v="53.288888888888891"/>
    <n v="53.288888888888891"/>
    <n v="29.604938271604937"/>
    <n v="29.604938271604937"/>
    <n v="29.604938271604937"/>
    <n v="29.604938271604937"/>
    <n v="29.604938271604937"/>
    <n v="0"/>
    <n v="0"/>
    <n v="0"/>
    <n v="0"/>
    <n v="0"/>
    <n v="0"/>
    <n v="0"/>
    <n v="0"/>
    <n v="0"/>
    <n v="234.68641975308643"/>
    <n v="406.39506172839515"/>
  </r>
  <r>
    <n v="6900"/>
    <x v="5"/>
    <s v="0000/0279"/>
    <m/>
    <s v="Winstanley/York Road Estates, Winstanley Road"/>
    <s v="SOCIAL/AFFORDABLE RENT"/>
    <n v="526850"/>
    <n v="175749"/>
    <x v="2"/>
    <m/>
    <m/>
    <n v="0"/>
    <n v="50"/>
    <n v="50"/>
    <n v="486"/>
    <n v="486"/>
    <s v="Y"/>
    <s v="Redevelopment"/>
    <s v="NONE"/>
    <m/>
    <m/>
    <x v="0"/>
    <s v="Nil"/>
    <m/>
    <s v="BF"/>
    <x v="0"/>
    <x v="1"/>
    <x v="1"/>
    <n v="0"/>
    <m/>
    <x v="0"/>
    <m/>
    <x v="2"/>
    <s v="HAAR"/>
    <s v="4.1.7"/>
    <n v="17320111"/>
    <n v="0"/>
    <m/>
    <n v="0"/>
    <m/>
    <n v="0"/>
    <n v="0"/>
    <n v="0"/>
    <n v="0"/>
    <n v="0"/>
    <n v="0"/>
    <n v="50"/>
    <n v="0"/>
    <n v="0"/>
    <n v="0"/>
    <n v="0"/>
    <n v="0"/>
    <n v="0"/>
    <n v="50"/>
    <n v="0"/>
    <n v="0"/>
    <n v="0"/>
    <n v="0"/>
    <n v="0"/>
    <n v="0"/>
    <n v="0"/>
    <n v="0"/>
    <n v="0"/>
    <n v="0"/>
    <n v="0"/>
    <n v="0"/>
    <n v="0"/>
    <n v="0"/>
    <s v="Strategic Planning/Nine Elms"/>
    <x v="0"/>
    <x v="0"/>
    <x v="1"/>
    <x v="1"/>
    <x v="0"/>
    <x v="0"/>
    <m/>
    <x v="0"/>
    <s v="Y"/>
    <n v="11"/>
    <m/>
    <n v="0"/>
    <n v="2.4691358024691357"/>
    <n v="6.1111111111111116"/>
    <n v="6.1111111111111116"/>
    <n v="6.1111111111111116"/>
    <n v="6.1111111111111116"/>
    <n v="6.1111111111111116"/>
    <n v="3.3950617283950622"/>
    <n v="3.3950617283950622"/>
    <n v="3.3950617283950622"/>
    <n v="3.3950617283950622"/>
    <n v="3.3950617283950622"/>
    <n v="0"/>
    <n v="0"/>
    <n v="0"/>
    <n v="0"/>
    <n v="0"/>
    <n v="0"/>
    <n v="0"/>
    <n v="0"/>
    <n v="0"/>
    <n v="26.913580246913579"/>
    <n v="46.604938271604944"/>
  </r>
  <r>
    <n v="6901"/>
    <x v="5"/>
    <s v="0000/0280"/>
    <m/>
    <s v="Jubilee House and cinema, 230-232 Putney Bridge Road"/>
    <s v="PRIVATE"/>
    <n v="524170"/>
    <n v="175517"/>
    <x v="13"/>
    <m/>
    <m/>
    <n v="0"/>
    <n v="8"/>
    <n v="8"/>
    <n v="8"/>
    <n v="8"/>
    <m/>
    <s v="Redevelopment"/>
    <s v="NONE"/>
    <m/>
    <m/>
    <x v="0"/>
    <s v="Nil"/>
    <m/>
    <s v="BF"/>
    <x v="0"/>
    <x v="0"/>
    <x v="0"/>
    <n v="0"/>
    <m/>
    <x v="0"/>
    <m/>
    <x v="0"/>
    <s v="P"/>
    <s v="6.1.2"/>
    <n v="17320038"/>
    <n v="0"/>
    <m/>
    <n v="0"/>
    <m/>
    <n v="0"/>
    <n v="0"/>
    <n v="0"/>
    <n v="0"/>
    <n v="0"/>
    <n v="0"/>
    <n v="8"/>
    <n v="0"/>
    <n v="0"/>
    <n v="0"/>
    <n v="0"/>
    <n v="0"/>
    <n v="0"/>
    <n v="8"/>
    <n v="0"/>
    <n v="0"/>
    <n v="0"/>
    <n v="0"/>
    <n v="0"/>
    <n v="0"/>
    <n v="0"/>
    <n v="0"/>
    <n v="0"/>
    <n v="0"/>
    <n v="0"/>
    <n v="0"/>
    <n v="0"/>
    <n v="0"/>
    <s v="West"/>
    <x v="3"/>
    <x v="0"/>
    <x v="1"/>
    <x v="0"/>
    <x v="0"/>
    <x v="0"/>
    <s v="Y"/>
    <x v="0"/>
    <s v="Y"/>
    <n v="11"/>
    <m/>
    <n v="0"/>
    <n v="0"/>
    <n v="0"/>
    <n v="0"/>
    <n v="0"/>
    <n v="0"/>
    <n v="0"/>
    <n v="0"/>
    <n v="0"/>
    <n v="0"/>
    <n v="0"/>
    <n v="0"/>
    <n v="0.66666666666666663"/>
    <n v="0.66666666666666663"/>
    <n v="0.66666666666666663"/>
    <n v="0.66666666666666663"/>
    <n v="0.66666666666666663"/>
    <n v="0.66666666666666663"/>
    <n v="0.66666666666666663"/>
    <n v="0.66666666666666663"/>
    <n v="0.66666666666666663"/>
    <n v="0"/>
    <n v="0"/>
  </r>
  <r>
    <n v="6902"/>
    <x v="5"/>
    <s v="0000/0281"/>
    <m/>
    <s v="Putney Telephone Exchange, Montserrat Road"/>
    <s v="PRIVATE"/>
    <n v="524118"/>
    <n v="175366"/>
    <x v="13"/>
    <m/>
    <m/>
    <n v="0"/>
    <n v="5"/>
    <n v="5"/>
    <n v="5"/>
    <n v="5"/>
    <m/>
    <s v="Redevelopment"/>
    <s v="NONE"/>
    <m/>
    <m/>
    <x v="0"/>
    <s v="Nil"/>
    <m/>
    <s v="BF"/>
    <x v="0"/>
    <x v="0"/>
    <x v="0"/>
    <n v="0"/>
    <m/>
    <x v="0"/>
    <m/>
    <x v="0"/>
    <s v="P"/>
    <s v="6.1.4"/>
    <n v="17320340"/>
    <n v="0"/>
    <m/>
    <n v="0"/>
    <m/>
    <n v="0"/>
    <n v="0"/>
    <n v="0"/>
    <n v="0"/>
    <n v="0"/>
    <n v="0"/>
    <n v="5"/>
    <n v="0"/>
    <n v="0"/>
    <n v="0"/>
    <n v="0"/>
    <n v="0"/>
    <n v="0"/>
    <n v="5"/>
    <n v="0"/>
    <n v="0"/>
    <n v="0"/>
    <n v="0"/>
    <n v="0"/>
    <n v="0"/>
    <n v="0"/>
    <n v="0"/>
    <n v="0"/>
    <n v="0"/>
    <n v="0"/>
    <n v="0"/>
    <n v="0"/>
    <n v="0"/>
    <s v="West"/>
    <x v="3"/>
    <x v="0"/>
    <x v="1"/>
    <x v="0"/>
    <x v="0"/>
    <x v="0"/>
    <m/>
    <x v="0"/>
    <s v="Y"/>
    <n v="11"/>
    <m/>
    <n v="0"/>
    <n v="0"/>
    <n v="0"/>
    <n v="0"/>
    <n v="0"/>
    <n v="0"/>
    <n v="0"/>
    <n v="0.29411764705882354"/>
    <n v="0.29411764705882354"/>
    <n v="0.29411764705882354"/>
    <n v="0.29411764705882354"/>
    <n v="0.29411764705882354"/>
    <n v="0.29411764705882354"/>
    <n v="0.29411764705882354"/>
    <n v="0.29411764705882354"/>
    <n v="0.29411764705882354"/>
    <n v="0.29411764705882354"/>
    <n v="0.29411764705882354"/>
    <n v="0.29411764705882354"/>
    <n v="0.29411764705882354"/>
    <n v="0.29411764705882354"/>
    <n v="0"/>
    <n v="1.1764705882352942"/>
  </r>
  <r>
    <n v="6903"/>
    <x v="5"/>
    <s v="0000/0282"/>
    <m/>
    <s v="Alton Estate, Danebury Avenue"/>
    <s v="PRIVATE"/>
    <n v="522165"/>
    <n v="173843"/>
    <x v="15"/>
    <m/>
    <m/>
    <n v="0"/>
    <n v="626"/>
    <n v="626"/>
    <n v="656"/>
    <n v="656"/>
    <s v="Y"/>
    <s v="Redevelopment"/>
    <s v="NONE"/>
    <m/>
    <m/>
    <x v="0"/>
    <s v="Nil"/>
    <m/>
    <s v="BF"/>
    <x v="0"/>
    <x v="1"/>
    <x v="1"/>
    <n v="0"/>
    <m/>
    <x v="0"/>
    <m/>
    <x v="0"/>
    <s v="P"/>
    <s v="8.1.1"/>
    <n v="17320170"/>
    <n v="0"/>
    <m/>
    <n v="0"/>
    <m/>
    <n v="0"/>
    <n v="0"/>
    <n v="0"/>
    <n v="0"/>
    <n v="0"/>
    <n v="0"/>
    <n v="626"/>
    <n v="0"/>
    <n v="0"/>
    <n v="0"/>
    <n v="0"/>
    <n v="0"/>
    <n v="0"/>
    <n v="626"/>
    <n v="0"/>
    <n v="0"/>
    <n v="0"/>
    <n v="0"/>
    <n v="0"/>
    <n v="0"/>
    <n v="0"/>
    <n v="0"/>
    <n v="0"/>
    <n v="0"/>
    <n v="0"/>
    <n v="0"/>
    <n v="0"/>
    <n v="0"/>
    <s v="Strategic Planning/Nine Elms"/>
    <x v="0"/>
    <x v="0"/>
    <x v="1"/>
    <x v="0"/>
    <x v="0"/>
    <x v="0"/>
    <m/>
    <x v="0"/>
    <s v="Y"/>
    <n v="11"/>
    <m/>
    <n v="0"/>
    <n v="0"/>
    <n v="62.6"/>
    <n v="62.6"/>
    <n v="62.6"/>
    <n v="62.6"/>
    <n v="62.6"/>
    <n v="62.6"/>
    <n v="62.6"/>
    <n v="62.6"/>
    <n v="62.6"/>
    <n v="62.6"/>
    <n v="0"/>
    <n v="0"/>
    <n v="0"/>
    <n v="0"/>
    <n v="0"/>
    <n v="0"/>
    <n v="0"/>
    <n v="0"/>
    <n v="0"/>
    <n v="250.4"/>
    <n v="563.40000000000009"/>
  </r>
  <r>
    <n v="6903"/>
    <x v="5"/>
    <s v="0000/0282"/>
    <m/>
    <s v="Alton Estate, Danebury Avenue"/>
    <s v="SOCIAL/AFFORDABLE RENT"/>
    <n v="522165"/>
    <n v="173843"/>
    <x v="15"/>
    <m/>
    <m/>
    <n v="0"/>
    <n v="30"/>
    <n v="30"/>
    <n v="656"/>
    <n v="656"/>
    <s v="Y"/>
    <s v="Redevelopment"/>
    <s v="NONE"/>
    <m/>
    <m/>
    <x v="0"/>
    <s v="Nil"/>
    <m/>
    <s v="BF"/>
    <x v="0"/>
    <x v="1"/>
    <x v="1"/>
    <n v="0"/>
    <m/>
    <x v="0"/>
    <m/>
    <x v="2"/>
    <s v="HAAR"/>
    <s v="8.1.1"/>
    <n v="17320170"/>
    <n v="0"/>
    <m/>
    <n v="0"/>
    <m/>
    <n v="0"/>
    <n v="0"/>
    <n v="0"/>
    <n v="0"/>
    <n v="0"/>
    <n v="0"/>
    <n v="30"/>
    <n v="0"/>
    <n v="0"/>
    <n v="0"/>
    <n v="0"/>
    <n v="0"/>
    <n v="0"/>
    <n v="30"/>
    <n v="0"/>
    <n v="0"/>
    <n v="0"/>
    <n v="0"/>
    <n v="0"/>
    <n v="0"/>
    <n v="0"/>
    <n v="0"/>
    <n v="0"/>
    <n v="0"/>
    <n v="0"/>
    <n v="0"/>
    <n v="0"/>
    <n v="0"/>
    <s v="Strategic Planning/Nine Elms"/>
    <x v="0"/>
    <x v="0"/>
    <x v="1"/>
    <x v="0"/>
    <x v="0"/>
    <x v="0"/>
    <m/>
    <x v="0"/>
    <s v="Y"/>
    <n v="11"/>
    <m/>
    <n v="0"/>
    <n v="0"/>
    <n v="3"/>
    <n v="3"/>
    <n v="3"/>
    <n v="3"/>
    <n v="3"/>
    <n v="3"/>
    <n v="3"/>
    <n v="3"/>
    <n v="3"/>
    <n v="3"/>
    <n v="0"/>
    <n v="0"/>
    <n v="0"/>
    <n v="0"/>
    <n v="0"/>
    <n v="0"/>
    <n v="0"/>
    <n v="0"/>
    <n v="0"/>
    <n v="12"/>
    <n v="27"/>
  </r>
  <r>
    <n v="6904"/>
    <x v="5"/>
    <s v="0000/0283"/>
    <m/>
    <s v="Chelsea Cars and KwikFit, Armoury Way"/>
    <s v="INTERMEDIATE"/>
    <n v="525354"/>
    <n v="174734"/>
    <x v="0"/>
    <m/>
    <m/>
    <n v="0"/>
    <n v="8"/>
    <n v="8"/>
    <n v="64"/>
    <n v="64"/>
    <s v="Y"/>
    <s v="Redevelopment"/>
    <s v="NONE"/>
    <m/>
    <m/>
    <x v="0"/>
    <s v="Nil"/>
    <m/>
    <s v="BF"/>
    <x v="0"/>
    <x v="0"/>
    <x v="0"/>
    <n v="0"/>
    <m/>
    <x v="0"/>
    <m/>
    <x v="1"/>
    <s v="HAIS"/>
    <m/>
    <n v="17320284"/>
    <n v="0"/>
    <m/>
    <n v="0"/>
    <m/>
    <n v="0"/>
    <n v="0"/>
    <n v="0"/>
    <n v="0"/>
    <n v="0"/>
    <n v="0"/>
    <n v="8"/>
    <n v="0"/>
    <n v="0"/>
    <n v="0"/>
    <n v="0"/>
    <n v="0"/>
    <n v="0"/>
    <n v="8"/>
    <n v="0"/>
    <n v="0"/>
    <n v="0"/>
    <n v="0"/>
    <n v="0"/>
    <n v="0"/>
    <n v="0"/>
    <n v="0"/>
    <n v="0"/>
    <n v="0"/>
    <n v="0"/>
    <n v="0"/>
    <n v="0"/>
    <n v="0"/>
    <s v="West"/>
    <x v="4"/>
    <x v="0"/>
    <x v="0"/>
    <x v="0"/>
    <x v="0"/>
    <x v="0"/>
    <m/>
    <x v="0"/>
    <s v="Y"/>
    <n v="13"/>
    <m/>
    <n v="0"/>
    <n v="0"/>
    <n v="0.8"/>
    <n v="0.8"/>
    <n v="0.8"/>
    <n v="0.8"/>
    <n v="0.8"/>
    <n v="0.8"/>
    <n v="0.8"/>
    <n v="0.8"/>
    <n v="0.8"/>
    <n v="0.8"/>
    <n v="0"/>
    <n v="0"/>
    <n v="0"/>
    <n v="0"/>
    <n v="0"/>
    <n v="0"/>
    <n v="0"/>
    <n v="0"/>
    <n v="0"/>
    <n v="3.2"/>
    <n v="7.1999999999999993"/>
  </r>
  <r>
    <n v="6904"/>
    <x v="5"/>
    <s v="0000/0283"/>
    <m/>
    <s v="Chelsea Cars and KwikFit, Armoury Way"/>
    <s v="PRIVATE"/>
    <n v="525354"/>
    <n v="174734"/>
    <x v="0"/>
    <m/>
    <m/>
    <n v="0"/>
    <n v="43"/>
    <n v="43"/>
    <n v="64"/>
    <n v="64"/>
    <s v="Y"/>
    <s v="Redevelopment"/>
    <s v="NONE"/>
    <m/>
    <m/>
    <x v="0"/>
    <s v="Nil"/>
    <m/>
    <s v="BF"/>
    <x v="0"/>
    <x v="1"/>
    <x v="1"/>
    <n v="0"/>
    <m/>
    <x v="0"/>
    <m/>
    <x v="0"/>
    <s v="P"/>
    <m/>
    <n v="17320284"/>
    <n v="0"/>
    <m/>
    <n v="0"/>
    <m/>
    <n v="0"/>
    <n v="0"/>
    <n v="0"/>
    <n v="0"/>
    <n v="0"/>
    <n v="0"/>
    <n v="43"/>
    <n v="0"/>
    <n v="0"/>
    <n v="0"/>
    <n v="0"/>
    <n v="0"/>
    <n v="0"/>
    <n v="43"/>
    <n v="0"/>
    <n v="0"/>
    <n v="0"/>
    <n v="0"/>
    <n v="0"/>
    <n v="0"/>
    <n v="0"/>
    <n v="0"/>
    <n v="0"/>
    <n v="0"/>
    <n v="0"/>
    <n v="0"/>
    <n v="0"/>
    <n v="0"/>
    <s v="West"/>
    <x v="4"/>
    <x v="0"/>
    <x v="0"/>
    <x v="0"/>
    <x v="0"/>
    <x v="0"/>
    <m/>
    <x v="0"/>
    <s v="Y"/>
    <n v="13"/>
    <m/>
    <n v="0"/>
    <n v="0"/>
    <n v="4.3"/>
    <n v="4.3"/>
    <n v="4.3"/>
    <n v="4.3"/>
    <n v="4.3"/>
    <n v="4.3"/>
    <n v="4.3"/>
    <n v="4.3"/>
    <n v="4.3"/>
    <n v="4.3"/>
    <n v="0"/>
    <n v="0"/>
    <n v="0"/>
    <n v="0"/>
    <n v="0"/>
    <n v="0"/>
    <n v="0"/>
    <n v="0"/>
    <n v="0"/>
    <n v="17.2"/>
    <n v="38.699999999999996"/>
  </r>
  <r>
    <n v="6904"/>
    <x v="5"/>
    <s v="0000/0283"/>
    <m/>
    <s v="Chelsea Cars and KwikFit, Armoury Way"/>
    <s v="SOCIAL/AFFORDABLE RENT"/>
    <n v="525354"/>
    <n v="174734"/>
    <x v="0"/>
    <m/>
    <m/>
    <n v="0"/>
    <n v="13"/>
    <n v="13"/>
    <n v="64"/>
    <n v="64"/>
    <s v="Y"/>
    <s v="Redevelopment"/>
    <s v="NONE"/>
    <m/>
    <m/>
    <x v="0"/>
    <s v="Nil"/>
    <m/>
    <s v="BF"/>
    <x v="0"/>
    <x v="1"/>
    <x v="1"/>
    <n v="0"/>
    <m/>
    <x v="0"/>
    <m/>
    <x v="2"/>
    <s v="HAAR"/>
    <m/>
    <n v="17320284"/>
    <n v="0"/>
    <m/>
    <n v="0"/>
    <m/>
    <n v="0"/>
    <n v="0"/>
    <n v="0"/>
    <n v="0"/>
    <n v="0"/>
    <n v="0"/>
    <n v="13"/>
    <n v="0"/>
    <n v="0"/>
    <n v="0"/>
    <n v="0"/>
    <n v="0"/>
    <n v="0"/>
    <n v="13"/>
    <n v="0"/>
    <n v="0"/>
    <n v="0"/>
    <n v="0"/>
    <n v="0"/>
    <n v="0"/>
    <n v="0"/>
    <n v="0"/>
    <n v="0"/>
    <n v="0"/>
    <n v="0"/>
    <n v="0"/>
    <n v="0"/>
    <n v="0"/>
    <s v="West"/>
    <x v="4"/>
    <x v="0"/>
    <x v="0"/>
    <x v="0"/>
    <x v="0"/>
    <x v="0"/>
    <m/>
    <x v="0"/>
    <s v="Y"/>
    <n v="13"/>
    <m/>
    <n v="0"/>
    <n v="0"/>
    <n v="1.3"/>
    <n v="1.3"/>
    <n v="1.3"/>
    <n v="1.3"/>
    <n v="1.3"/>
    <n v="1.3"/>
    <n v="1.3"/>
    <n v="1.3"/>
    <n v="1.3"/>
    <n v="1.3"/>
    <n v="0"/>
    <n v="0"/>
    <n v="0"/>
    <n v="0"/>
    <n v="0"/>
    <n v="0"/>
    <n v="0"/>
    <n v="0"/>
    <n v="0"/>
    <n v="5.2"/>
    <n v="11.700000000000001"/>
  </r>
  <r>
    <n v="6905"/>
    <x v="5"/>
    <s v="0000/0284"/>
    <m/>
    <s v="Frogmore Depot, Dormay Street"/>
    <s v="INTERMEDIATE"/>
    <n v="525428"/>
    <n v="174978"/>
    <x v="0"/>
    <m/>
    <m/>
    <n v="0"/>
    <n v="33"/>
    <n v="33"/>
    <n v="252"/>
    <n v="252"/>
    <s v="Y"/>
    <s v="Redevelopment"/>
    <s v="NONE"/>
    <m/>
    <m/>
    <x v="0"/>
    <s v="Nil"/>
    <m/>
    <s v="BF"/>
    <x v="0"/>
    <x v="1"/>
    <x v="1"/>
    <n v="0"/>
    <m/>
    <x v="0"/>
    <m/>
    <x v="1"/>
    <s v="HAIS"/>
    <m/>
    <n v="17320057"/>
    <n v="0"/>
    <m/>
    <n v="0"/>
    <m/>
    <n v="0"/>
    <n v="0"/>
    <n v="0"/>
    <n v="0"/>
    <n v="0"/>
    <n v="0"/>
    <n v="33"/>
    <n v="0"/>
    <n v="0"/>
    <n v="0"/>
    <n v="0"/>
    <n v="0"/>
    <n v="0"/>
    <n v="33"/>
    <n v="0"/>
    <n v="0"/>
    <n v="0"/>
    <n v="0"/>
    <n v="0"/>
    <n v="0"/>
    <n v="0"/>
    <n v="0"/>
    <n v="0"/>
    <n v="0"/>
    <n v="0"/>
    <n v="0"/>
    <n v="0"/>
    <n v="0"/>
    <s v="West"/>
    <x v="0"/>
    <x v="0"/>
    <x v="0"/>
    <x v="0"/>
    <x v="0"/>
    <x v="0"/>
    <m/>
    <x v="0"/>
    <s v="Y"/>
    <n v="13"/>
    <m/>
    <n v="0"/>
    <n v="0"/>
    <n v="2.2000000000000002"/>
    <n v="2.2000000000000002"/>
    <n v="2.2000000000000002"/>
    <n v="2.2000000000000002"/>
    <n v="2.2000000000000002"/>
    <n v="2.2000000000000002"/>
    <n v="2.2000000000000002"/>
    <n v="2.2000000000000002"/>
    <n v="2.2000000000000002"/>
    <n v="2.2000000000000002"/>
    <n v="2.2000000000000002"/>
    <n v="2.2000000000000002"/>
    <n v="2.2000000000000002"/>
    <n v="2.2000000000000002"/>
    <n v="2.2000000000000002"/>
    <n v="0"/>
    <n v="0"/>
    <n v="0"/>
    <n v="0"/>
    <n v="8.8000000000000007"/>
    <n v="19.799999999999997"/>
  </r>
  <r>
    <n v="6905"/>
    <x v="5"/>
    <s v="0000/0284"/>
    <m/>
    <s v="Frogmore Depot, Dormay Street"/>
    <s v="PRIVATE"/>
    <n v="525428"/>
    <n v="174978"/>
    <x v="0"/>
    <m/>
    <m/>
    <n v="0"/>
    <n v="169"/>
    <n v="169"/>
    <n v="252"/>
    <n v="252"/>
    <s v="Y"/>
    <s v="Redevelopment"/>
    <s v="NONE"/>
    <m/>
    <m/>
    <x v="0"/>
    <s v="Nil"/>
    <m/>
    <s v="BF"/>
    <x v="0"/>
    <x v="1"/>
    <x v="1"/>
    <n v="0"/>
    <m/>
    <x v="0"/>
    <m/>
    <x v="0"/>
    <s v="P"/>
    <m/>
    <n v="17320057"/>
    <n v="0"/>
    <m/>
    <n v="0"/>
    <m/>
    <n v="0"/>
    <n v="0"/>
    <n v="0"/>
    <n v="0"/>
    <n v="0"/>
    <n v="0"/>
    <n v="169"/>
    <n v="0"/>
    <n v="0"/>
    <n v="0"/>
    <n v="0"/>
    <n v="0"/>
    <n v="0"/>
    <n v="169"/>
    <n v="0"/>
    <n v="0"/>
    <n v="0"/>
    <n v="0"/>
    <n v="0"/>
    <n v="0"/>
    <n v="0"/>
    <n v="0"/>
    <n v="0"/>
    <n v="0"/>
    <n v="0"/>
    <n v="0"/>
    <n v="0"/>
    <n v="0"/>
    <s v="West"/>
    <x v="0"/>
    <x v="0"/>
    <x v="0"/>
    <x v="0"/>
    <x v="0"/>
    <x v="0"/>
    <m/>
    <x v="0"/>
    <s v="Y"/>
    <n v="13"/>
    <m/>
    <n v="0"/>
    <n v="0"/>
    <n v="11.266666666666667"/>
    <n v="11.266666666666667"/>
    <n v="11.266666666666667"/>
    <n v="11.266666666666667"/>
    <n v="11.266666666666667"/>
    <n v="11.266666666666667"/>
    <n v="11.266666666666667"/>
    <n v="11.266666666666667"/>
    <n v="11.266666666666667"/>
    <n v="11.266666666666667"/>
    <n v="11.266666666666667"/>
    <n v="11.266666666666667"/>
    <n v="11.266666666666667"/>
    <n v="11.266666666666667"/>
    <n v="11.266666666666667"/>
    <n v="0"/>
    <n v="0"/>
    <n v="0"/>
    <n v="0"/>
    <n v="45.06666666666667"/>
    <n v="101.4"/>
  </r>
  <r>
    <n v="6905"/>
    <x v="5"/>
    <s v="0000/0284"/>
    <m/>
    <s v="Frogmore Depot, Dormay Street"/>
    <s v="SOCIAL/AFFORDABLE RENT"/>
    <n v="525428"/>
    <n v="174978"/>
    <x v="0"/>
    <m/>
    <m/>
    <n v="0"/>
    <n v="50"/>
    <n v="50"/>
    <n v="252"/>
    <n v="252"/>
    <s v="Y"/>
    <s v="Redevelopment"/>
    <s v="NONE"/>
    <m/>
    <m/>
    <x v="0"/>
    <s v="Nil"/>
    <m/>
    <s v="BF"/>
    <x v="0"/>
    <x v="1"/>
    <x v="1"/>
    <n v="0"/>
    <m/>
    <x v="0"/>
    <m/>
    <x v="2"/>
    <s v="HAAR"/>
    <m/>
    <n v="17320057"/>
    <n v="0"/>
    <m/>
    <n v="0"/>
    <m/>
    <n v="0"/>
    <n v="0"/>
    <n v="0"/>
    <n v="0"/>
    <n v="0"/>
    <n v="0"/>
    <n v="50"/>
    <n v="0"/>
    <n v="0"/>
    <n v="0"/>
    <n v="0"/>
    <n v="0"/>
    <n v="0"/>
    <n v="50"/>
    <n v="0"/>
    <n v="0"/>
    <n v="0"/>
    <n v="0"/>
    <n v="0"/>
    <n v="0"/>
    <n v="0"/>
    <n v="0"/>
    <n v="0"/>
    <n v="0"/>
    <n v="0"/>
    <n v="0"/>
    <n v="0"/>
    <n v="0"/>
    <s v="West"/>
    <x v="0"/>
    <x v="0"/>
    <x v="0"/>
    <x v="0"/>
    <x v="0"/>
    <x v="0"/>
    <m/>
    <x v="0"/>
    <s v="Y"/>
    <n v="13"/>
    <m/>
    <n v="0"/>
    <n v="0"/>
    <n v="3.3333333333333335"/>
    <n v="3.3333333333333335"/>
    <n v="3.3333333333333335"/>
    <n v="3.3333333333333335"/>
    <n v="3.3333333333333335"/>
    <n v="3.3333333333333335"/>
    <n v="3.3333333333333335"/>
    <n v="3.3333333333333335"/>
    <n v="3.3333333333333335"/>
    <n v="3.3333333333333335"/>
    <n v="3.3333333333333335"/>
    <n v="3.3333333333333335"/>
    <n v="3.3333333333333335"/>
    <n v="3.3333333333333335"/>
    <n v="3.3333333333333335"/>
    <n v="0"/>
    <n v="0"/>
    <n v="0"/>
    <n v="0"/>
    <n v="13.333333333333334"/>
    <n v="29.999999999999996"/>
  </r>
  <r>
    <n v="6906"/>
    <x v="5"/>
    <s v="0000/0285"/>
    <m/>
    <s v="Panorama Antennas, Dormay Street"/>
    <s v="INTERMEDIATE"/>
    <n v="525504"/>
    <n v="174901"/>
    <x v="0"/>
    <m/>
    <m/>
    <n v="0"/>
    <n v="1"/>
    <n v="1"/>
    <n v="10"/>
    <n v="10"/>
    <s v="Y"/>
    <s v="Redevelopment"/>
    <s v="NONE"/>
    <m/>
    <m/>
    <x v="0"/>
    <s v="Nil"/>
    <m/>
    <s v="BF"/>
    <x v="0"/>
    <x v="0"/>
    <x v="0"/>
    <n v="0"/>
    <m/>
    <x v="0"/>
    <m/>
    <x v="1"/>
    <s v="HAIS"/>
    <m/>
    <n v="17320063"/>
    <n v="0"/>
    <m/>
    <n v="0"/>
    <m/>
    <n v="0"/>
    <n v="0"/>
    <n v="0"/>
    <n v="0"/>
    <n v="0"/>
    <n v="0"/>
    <n v="1"/>
    <n v="0"/>
    <n v="0"/>
    <n v="0"/>
    <n v="0"/>
    <n v="0"/>
    <n v="0"/>
    <n v="1"/>
    <n v="0"/>
    <n v="0"/>
    <n v="0"/>
    <n v="0"/>
    <n v="0"/>
    <n v="0"/>
    <n v="0"/>
    <n v="0"/>
    <n v="0"/>
    <n v="0"/>
    <n v="0"/>
    <n v="0"/>
    <n v="0"/>
    <n v="0"/>
    <s v="West"/>
    <x v="0"/>
    <x v="0"/>
    <x v="0"/>
    <x v="0"/>
    <x v="0"/>
    <x v="0"/>
    <m/>
    <x v="0"/>
    <s v="Y"/>
    <n v="13"/>
    <m/>
    <n v="0"/>
    <n v="0"/>
    <n v="6.6666666666666666E-2"/>
    <n v="6.6666666666666666E-2"/>
    <n v="6.6666666666666666E-2"/>
    <n v="6.6666666666666666E-2"/>
    <n v="6.6666666666666666E-2"/>
    <n v="6.6666666666666666E-2"/>
    <n v="6.6666666666666666E-2"/>
    <n v="6.6666666666666666E-2"/>
    <n v="6.6666666666666666E-2"/>
    <n v="6.6666666666666666E-2"/>
    <n v="6.6666666666666666E-2"/>
    <n v="6.6666666666666666E-2"/>
    <n v="6.6666666666666666E-2"/>
    <n v="6.6666666666666666E-2"/>
    <n v="6.6666666666666666E-2"/>
    <n v="0"/>
    <n v="0"/>
    <n v="0"/>
    <n v="0"/>
    <n v="0.26666666666666666"/>
    <n v="0.6"/>
  </r>
  <r>
    <n v="6906"/>
    <x v="5"/>
    <s v="0000/0285"/>
    <m/>
    <s v="Panorama Antennas, Dormay Street"/>
    <s v="PRIVATE"/>
    <n v="525504"/>
    <n v="174901"/>
    <x v="0"/>
    <m/>
    <m/>
    <n v="0"/>
    <n v="7"/>
    <n v="7"/>
    <n v="10"/>
    <n v="10"/>
    <s v="Y"/>
    <s v="Redevelopment"/>
    <s v="NONE"/>
    <m/>
    <m/>
    <x v="0"/>
    <s v="Nil"/>
    <m/>
    <s v="BF"/>
    <x v="0"/>
    <x v="0"/>
    <x v="0"/>
    <n v="0"/>
    <m/>
    <x v="0"/>
    <m/>
    <x v="0"/>
    <s v="P"/>
    <m/>
    <n v="17320063"/>
    <n v="0"/>
    <m/>
    <n v="0"/>
    <m/>
    <n v="0"/>
    <n v="0"/>
    <n v="0"/>
    <n v="0"/>
    <n v="0"/>
    <n v="0"/>
    <n v="7"/>
    <n v="0"/>
    <n v="0"/>
    <n v="0"/>
    <n v="0"/>
    <n v="0"/>
    <n v="0"/>
    <n v="7"/>
    <n v="0"/>
    <n v="0"/>
    <n v="0"/>
    <n v="0"/>
    <n v="0"/>
    <n v="0"/>
    <n v="0"/>
    <n v="0"/>
    <n v="0"/>
    <n v="0"/>
    <n v="0"/>
    <n v="0"/>
    <n v="0"/>
    <n v="0"/>
    <s v="West"/>
    <x v="0"/>
    <x v="0"/>
    <x v="0"/>
    <x v="0"/>
    <x v="0"/>
    <x v="0"/>
    <m/>
    <x v="0"/>
    <s v="Y"/>
    <n v="13"/>
    <m/>
    <n v="0"/>
    <n v="0"/>
    <n v="0.46666666666666667"/>
    <n v="0.46666666666666667"/>
    <n v="0.46666666666666667"/>
    <n v="0.46666666666666667"/>
    <n v="0.46666666666666667"/>
    <n v="0.46666666666666667"/>
    <n v="0.46666666666666667"/>
    <n v="0.46666666666666667"/>
    <n v="0.46666666666666667"/>
    <n v="0.46666666666666667"/>
    <n v="0.46666666666666667"/>
    <n v="0.46666666666666667"/>
    <n v="0.46666666666666667"/>
    <n v="0.46666666666666667"/>
    <n v="0.46666666666666667"/>
    <n v="0"/>
    <n v="0"/>
    <n v="0"/>
    <n v="0"/>
    <n v="1.8666666666666667"/>
    <n v="4.2"/>
  </r>
  <r>
    <n v="6906"/>
    <x v="5"/>
    <s v="0000/0285"/>
    <m/>
    <s v="Panorama Antennas, Dormay Street"/>
    <s v="SOCIAL/AFFORDABLE RENT"/>
    <n v="525504"/>
    <n v="174901"/>
    <x v="0"/>
    <m/>
    <m/>
    <n v="0"/>
    <n v="2"/>
    <n v="2"/>
    <n v="10"/>
    <n v="10"/>
    <s v="Y"/>
    <s v="Redevelopment"/>
    <s v="NONE"/>
    <m/>
    <m/>
    <x v="0"/>
    <s v="Nil"/>
    <m/>
    <s v="BF"/>
    <x v="0"/>
    <x v="0"/>
    <x v="0"/>
    <n v="0"/>
    <m/>
    <x v="0"/>
    <m/>
    <x v="2"/>
    <s v="HAAR"/>
    <m/>
    <n v="17320063"/>
    <n v="0"/>
    <m/>
    <n v="0"/>
    <m/>
    <n v="0"/>
    <n v="0"/>
    <n v="0"/>
    <n v="0"/>
    <n v="0"/>
    <n v="0"/>
    <n v="2"/>
    <n v="0"/>
    <n v="0"/>
    <n v="0"/>
    <n v="0"/>
    <n v="0"/>
    <n v="0"/>
    <n v="2"/>
    <n v="0"/>
    <n v="0"/>
    <n v="0"/>
    <n v="0"/>
    <n v="0"/>
    <n v="0"/>
    <n v="0"/>
    <n v="0"/>
    <n v="0"/>
    <n v="0"/>
    <n v="0"/>
    <n v="0"/>
    <n v="0"/>
    <n v="0"/>
    <s v="West"/>
    <x v="0"/>
    <x v="0"/>
    <x v="0"/>
    <x v="0"/>
    <x v="0"/>
    <x v="0"/>
    <m/>
    <x v="0"/>
    <s v="Y"/>
    <n v="13"/>
    <m/>
    <n v="0"/>
    <n v="0"/>
    <n v="0.13333333333333333"/>
    <n v="0.13333333333333333"/>
    <n v="0.13333333333333333"/>
    <n v="0.13333333333333333"/>
    <n v="0.13333333333333333"/>
    <n v="0.13333333333333333"/>
    <n v="0.13333333333333333"/>
    <n v="0.13333333333333333"/>
    <n v="0.13333333333333333"/>
    <n v="0.13333333333333333"/>
    <n v="0.13333333333333333"/>
    <n v="0.13333333333333333"/>
    <n v="0.13333333333333333"/>
    <n v="0.13333333333333333"/>
    <n v="0.13333333333333333"/>
    <n v="0"/>
    <n v="0"/>
    <n v="0"/>
    <n v="0"/>
    <n v="0.53333333333333333"/>
    <n v="1.2"/>
  </r>
  <r>
    <n v="6907"/>
    <x v="5"/>
    <s v="0000/0286"/>
    <m/>
    <s v="Ferrier Industrial Estate, Ferrier Street"/>
    <s v="INTERMEDIATE"/>
    <n v="525866"/>
    <n v="175039"/>
    <x v="0"/>
    <m/>
    <m/>
    <n v="0"/>
    <n v="8"/>
    <n v="8"/>
    <n v="62"/>
    <n v="62"/>
    <s v="Y"/>
    <s v="Redevelopment"/>
    <s v="NONE"/>
    <m/>
    <m/>
    <x v="0"/>
    <s v="Nil"/>
    <m/>
    <s v="BF"/>
    <x v="0"/>
    <x v="0"/>
    <x v="0"/>
    <n v="0"/>
    <m/>
    <x v="0"/>
    <m/>
    <x v="1"/>
    <s v="HAIS"/>
    <m/>
    <n v="17320347"/>
    <n v="0"/>
    <m/>
    <n v="0"/>
    <m/>
    <n v="0"/>
    <n v="0"/>
    <n v="0"/>
    <n v="0"/>
    <n v="0"/>
    <n v="0"/>
    <n v="8"/>
    <n v="0"/>
    <n v="0"/>
    <n v="0"/>
    <n v="0"/>
    <n v="0"/>
    <n v="0"/>
    <n v="8"/>
    <n v="0"/>
    <n v="0"/>
    <n v="0"/>
    <n v="0"/>
    <n v="0"/>
    <n v="0"/>
    <n v="0"/>
    <n v="0"/>
    <n v="0"/>
    <n v="0"/>
    <n v="0"/>
    <n v="0"/>
    <n v="0"/>
    <n v="0"/>
    <s v="West"/>
    <x v="0"/>
    <x v="0"/>
    <x v="0"/>
    <x v="0"/>
    <x v="0"/>
    <x v="0"/>
    <m/>
    <x v="0"/>
    <s v="Y"/>
    <n v="13"/>
    <m/>
    <n v="0"/>
    <n v="0"/>
    <n v="0"/>
    <n v="0"/>
    <n v="0"/>
    <n v="0"/>
    <n v="0"/>
    <n v="0.47058823529411764"/>
    <n v="0.47058823529411764"/>
    <n v="0.47058823529411764"/>
    <n v="0.47058823529411764"/>
    <n v="0.47058823529411764"/>
    <n v="0.47058823529411764"/>
    <n v="0.47058823529411764"/>
    <n v="0.47058823529411764"/>
    <n v="0.47058823529411764"/>
    <n v="0.47058823529411764"/>
    <n v="0.47058823529411764"/>
    <n v="0.47058823529411764"/>
    <n v="0.47058823529411764"/>
    <n v="0.47058823529411764"/>
    <n v="0"/>
    <n v="1.8823529411764706"/>
  </r>
  <r>
    <n v="6907"/>
    <x v="5"/>
    <s v="0000/0286"/>
    <m/>
    <s v="Ferrier Industrial Estate, Ferrier Street"/>
    <s v="PRIVATE"/>
    <n v="525866"/>
    <n v="175039"/>
    <x v="0"/>
    <m/>
    <m/>
    <n v="0"/>
    <n v="42"/>
    <n v="42"/>
    <n v="62"/>
    <n v="62"/>
    <s v="Y"/>
    <s v="Redevelopment"/>
    <s v="NONE"/>
    <m/>
    <m/>
    <x v="0"/>
    <s v="Nil"/>
    <m/>
    <s v="BF"/>
    <x v="0"/>
    <x v="1"/>
    <x v="1"/>
    <n v="0"/>
    <m/>
    <x v="0"/>
    <m/>
    <x v="0"/>
    <s v="P"/>
    <m/>
    <n v="17320347"/>
    <n v="0"/>
    <m/>
    <n v="0"/>
    <m/>
    <n v="0"/>
    <n v="0"/>
    <n v="0"/>
    <n v="0"/>
    <n v="0"/>
    <n v="0"/>
    <n v="42"/>
    <n v="0"/>
    <n v="0"/>
    <n v="0"/>
    <n v="0"/>
    <n v="0"/>
    <n v="0"/>
    <n v="42"/>
    <n v="0"/>
    <n v="0"/>
    <n v="0"/>
    <n v="0"/>
    <n v="0"/>
    <n v="0"/>
    <n v="0"/>
    <n v="0"/>
    <n v="0"/>
    <n v="0"/>
    <n v="0"/>
    <n v="0"/>
    <n v="0"/>
    <n v="0"/>
    <s v="West"/>
    <x v="0"/>
    <x v="0"/>
    <x v="0"/>
    <x v="0"/>
    <x v="0"/>
    <x v="0"/>
    <m/>
    <x v="0"/>
    <s v="Y"/>
    <n v="13"/>
    <m/>
    <n v="0"/>
    <n v="0"/>
    <n v="0"/>
    <n v="0"/>
    <n v="0"/>
    <n v="0"/>
    <n v="0"/>
    <n v="2.4705882352941178"/>
    <n v="2.4705882352941178"/>
    <n v="2.4705882352941178"/>
    <n v="2.4705882352941178"/>
    <n v="2.4705882352941178"/>
    <n v="2.4705882352941178"/>
    <n v="2.4705882352941178"/>
    <n v="2.4705882352941178"/>
    <n v="2.4705882352941178"/>
    <n v="2.4705882352941178"/>
    <n v="2.4705882352941178"/>
    <n v="2.4705882352941178"/>
    <n v="2.4705882352941178"/>
    <n v="2.4705882352941178"/>
    <n v="0"/>
    <n v="9.882352941176471"/>
  </r>
  <r>
    <n v="6907"/>
    <x v="5"/>
    <s v="0000/0286"/>
    <m/>
    <s v="Ferrier Industrial Estate, Ferrier Street"/>
    <s v="SOCIAL/AFFORDABLE RENT"/>
    <n v="525866"/>
    <n v="175039"/>
    <x v="0"/>
    <m/>
    <m/>
    <n v="0"/>
    <n v="12"/>
    <n v="12"/>
    <n v="62"/>
    <n v="62"/>
    <s v="Y"/>
    <s v="Redevelopment"/>
    <s v="NONE"/>
    <m/>
    <m/>
    <x v="0"/>
    <s v="Nil"/>
    <m/>
    <s v="BF"/>
    <x v="0"/>
    <x v="1"/>
    <x v="1"/>
    <n v="0"/>
    <m/>
    <x v="0"/>
    <m/>
    <x v="2"/>
    <s v="HAAR"/>
    <m/>
    <n v="17320347"/>
    <n v="0"/>
    <m/>
    <n v="0"/>
    <m/>
    <n v="0"/>
    <n v="0"/>
    <n v="0"/>
    <n v="0"/>
    <n v="0"/>
    <n v="0"/>
    <n v="12"/>
    <n v="0"/>
    <n v="0"/>
    <n v="0"/>
    <n v="0"/>
    <n v="0"/>
    <n v="0"/>
    <n v="12"/>
    <n v="0"/>
    <n v="0"/>
    <n v="0"/>
    <n v="0"/>
    <n v="0"/>
    <n v="0"/>
    <n v="0"/>
    <n v="0"/>
    <n v="0"/>
    <n v="0"/>
    <n v="0"/>
    <n v="0"/>
    <n v="0"/>
    <n v="0"/>
    <s v="West"/>
    <x v="0"/>
    <x v="0"/>
    <x v="0"/>
    <x v="0"/>
    <x v="0"/>
    <x v="0"/>
    <m/>
    <x v="0"/>
    <s v="Y"/>
    <n v="13"/>
    <m/>
    <n v="0"/>
    <n v="0"/>
    <n v="0"/>
    <n v="0"/>
    <n v="0"/>
    <n v="0"/>
    <n v="0"/>
    <n v="0.70588235294117652"/>
    <n v="0.70588235294117652"/>
    <n v="0.70588235294117652"/>
    <n v="0.70588235294117652"/>
    <n v="0.70588235294117652"/>
    <n v="0.70588235294117652"/>
    <n v="0.70588235294117652"/>
    <n v="0.70588235294117652"/>
    <n v="0.70588235294117652"/>
    <n v="0.70588235294117652"/>
    <n v="0.70588235294117652"/>
    <n v="0.70588235294117652"/>
    <n v="0.70588235294117652"/>
    <n v="0.70588235294117652"/>
    <n v="0"/>
    <n v="2.8235294117647061"/>
  </r>
  <r>
    <n v="6908"/>
    <x v="5"/>
    <s v="0000/0287"/>
    <m/>
    <s v="Riverside Business Centre and Former Bingo Hall, Bendon Valley"/>
    <s v="INTERMEDIATE"/>
    <n v="525716"/>
    <n v="173464"/>
    <x v="18"/>
    <m/>
    <m/>
    <n v="0"/>
    <n v="53"/>
    <n v="53"/>
    <n v="400"/>
    <n v="400"/>
    <s v="Y"/>
    <s v="Redevelopment"/>
    <s v="NONE"/>
    <m/>
    <m/>
    <x v="0"/>
    <s v="Nil"/>
    <m/>
    <s v="BF"/>
    <x v="0"/>
    <x v="1"/>
    <x v="1"/>
    <n v="0"/>
    <m/>
    <x v="0"/>
    <m/>
    <x v="1"/>
    <s v="HAIS"/>
    <m/>
    <n v="17320085"/>
    <n v="0"/>
    <m/>
    <n v="0"/>
    <m/>
    <n v="0"/>
    <n v="0"/>
    <n v="0"/>
    <n v="0"/>
    <n v="0"/>
    <n v="0"/>
    <n v="53"/>
    <n v="0"/>
    <n v="0"/>
    <n v="0"/>
    <n v="0"/>
    <n v="0"/>
    <n v="0"/>
    <n v="53"/>
    <n v="0"/>
    <n v="0"/>
    <n v="0"/>
    <n v="0"/>
    <n v="0"/>
    <n v="0"/>
    <n v="0"/>
    <n v="0"/>
    <n v="0"/>
    <n v="0"/>
    <n v="0"/>
    <n v="0"/>
    <n v="0"/>
    <n v="0"/>
    <s v="West"/>
    <x v="0"/>
    <x v="0"/>
    <x v="1"/>
    <x v="0"/>
    <x v="0"/>
    <x v="0"/>
    <m/>
    <x v="1"/>
    <s v="Y"/>
    <n v="13"/>
    <m/>
    <n v="0"/>
    <n v="0"/>
    <n v="3.5333333333333332"/>
    <n v="3.5333333333333332"/>
    <n v="3.5333333333333332"/>
    <n v="3.5333333333333332"/>
    <n v="3.5333333333333332"/>
    <n v="3.5333333333333332"/>
    <n v="3.5333333333333332"/>
    <n v="3.5333333333333332"/>
    <n v="3.5333333333333332"/>
    <n v="3.5333333333333332"/>
    <n v="3.5333333333333332"/>
    <n v="3.5333333333333332"/>
    <n v="3.5333333333333332"/>
    <n v="3.5333333333333332"/>
    <n v="3.5333333333333332"/>
    <n v="0"/>
    <n v="0"/>
    <n v="0"/>
    <n v="0"/>
    <n v="14.133333333333333"/>
    <n v="31.79999999999999"/>
  </r>
  <r>
    <n v="6908"/>
    <x v="5"/>
    <s v="0000/0287"/>
    <m/>
    <s v="Riverside Business Centre and Former Bingo Hall, Bendon Valley"/>
    <s v="PRIVATE"/>
    <n v="525716"/>
    <n v="173464"/>
    <x v="18"/>
    <m/>
    <m/>
    <n v="0"/>
    <n v="268"/>
    <n v="268"/>
    <n v="400"/>
    <n v="400"/>
    <s v="Y"/>
    <s v="Redevelopment"/>
    <s v="NONE"/>
    <m/>
    <m/>
    <x v="0"/>
    <s v="Nil"/>
    <m/>
    <s v="BF"/>
    <x v="0"/>
    <x v="1"/>
    <x v="1"/>
    <n v="0"/>
    <m/>
    <x v="0"/>
    <m/>
    <x v="0"/>
    <s v="P"/>
    <m/>
    <n v="17320085"/>
    <n v="0"/>
    <m/>
    <n v="0"/>
    <m/>
    <n v="0"/>
    <n v="0"/>
    <n v="0"/>
    <n v="0"/>
    <n v="0"/>
    <n v="0"/>
    <n v="268"/>
    <n v="0"/>
    <n v="0"/>
    <n v="0"/>
    <n v="0"/>
    <n v="0"/>
    <n v="0"/>
    <n v="268"/>
    <n v="0"/>
    <n v="0"/>
    <n v="0"/>
    <n v="0"/>
    <n v="0"/>
    <n v="0"/>
    <n v="0"/>
    <n v="0"/>
    <n v="0"/>
    <n v="0"/>
    <n v="0"/>
    <n v="0"/>
    <n v="0"/>
    <n v="0"/>
    <s v="West"/>
    <x v="0"/>
    <x v="0"/>
    <x v="1"/>
    <x v="0"/>
    <x v="0"/>
    <x v="0"/>
    <m/>
    <x v="1"/>
    <s v="Y"/>
    <n v="13"/>
    <m/>
    <n v="0"/>
    <n v="0"/>
    <n v="17.866666666666667"/>
    <n v="17.866666666666667"/>
    <n v="17.866666666666667"/>
    <n v="17.866666666666667"/>
    <n v="17.866666666666667"/>
    <n v="17.866666666666667"/>
    <n v="17.866666666666667"/>
    <n v="17.866666666666667"/>
    <n v="17.866666666666667"/>
    <n v="17.866666666666667"/>
    <n v="17.866666666666667"/>
    <n v="17.866666666666667"/>
    <n v="17.866666666666667"/>
    <n v="17.866666666666667"/>
    <n v="17.866666666666667"/>
    <n v="0"/>
    <n v="0"/>
    <n v="0"/>
    <n v="0"/>
    <n v="71.466666666666669"/>
    <n v="160.80000000000004"/>
  </r>
  <r>
    <n v="6908"/>
    <x v="5"/>
    <s v="0000/0287"/>
    <m/>
    <s v="Riverside Business Centre and Former Bingo Hall, Bendon Valley"/>
    <s v="SOCIAL/AFFORDABLE RENT"/>
    <n v="525716"/>
    <n v="173464"/>
    <x v="18"/>
    <m/>
    <m/>
    <n v="0"/>
    <n v="79"/>
    <n v="79"/>
    <n v="400"/>
    <n v="400"/>
    <s v="Y"/>
    <s v="Redevelopment"/>
    <s v="NONE"/>
    <m/>
    <m/>
    <x v="0"/>
    <s v="Nil"/>
    <m/>
    <s v="BF"/>
    <x v="0"/>
    <x v="1"/>
    <x v="1"/>
    <n v="0"/>
    <m/>
    <x v="0"/>
    <m/>
    <x v="2"/>
    <s v="HAAR"/>
    <m/>
    <n v="17320085"/>
    <n v="0"/>
    <m/>
    <n v="0"/>
    <m/>
    <n v="0"/>
    <n v="0"/>
    <n v="0"/>
    <n v="0"/>
    <n v="0"/>
    <n v="0"/>
    <n v="79"/>
    <n v="0"/>
    <n v="0"/>
    <n v="0"/>
    <n v="0"/>
    <n v="0"/>
    <n v="0"/>
    <n v="79"/>
    <n v="0"/>
    <n v="0"/>
    <n v="0"/>
    <n v="0"/>
    <n v="0"/>
    <n v="0"/>
    <n v="0"/>
    <n v="0"/>
    <n v="0"/>
    <n v="0"/>
    <n v="0"/>
    <n v="0"/>
    <n v="0"/>
    <n v="0"/>
    <s v="West"/>
    <x v="0"/>
    <x v="0"/>
    <x v="1"/>
    <x v="0"/>
    <x v="0"/>
    <x v="0"/>
    <m/>
    <x v="1"/>
    <s v="Y"/>
    <n v="13"/>
    <m/>
    <n v="0"/>
    <n v="0"/>
    <n v="5.2666666666666666"/>
    <n v="5.2666666666666666"/>
    <n v="5.2666666666666666"/>
    <n v="5.2666666666666666"/>
    <n v="5.2666666666666666"/>
    <n v="5.2666666666666666"/>
    <n v="5.2666666666666666"/>
    <n v="5.2666666666666666"/>
    <n v="5.2666666666666666"/>
    <n v="5.2666666666666666"/>
    <n v="5.2666666666666666"/>
    <n v="5.2666666666666666"/>
    <n v="5.2666666666666666"/>
    <n v="5.2666666666666666"/>
    <n v="5.2666666666666666"/>
    <n v="0"/>
    <n v="0"/>
    <n v="0"/>
    <n v="0"/>
    <n v="21.066666666666666"/>
    <n v="47.4"/>
  </r>
  <r>
    <m/>
    <x v="6"/>
    <m/>
    <m/>
    <m/>
    <s v="Intermediate"/>
    <m/>
    <m/>
    <x v="20"/>
    <m/>
    <m/>
    <n v="0"/>
    <n v="99"/>
    <n v="99"/>
    <n v="745"/>
    <n v="745"/>
    <s v="Y"/>
    <m/>
    <s v="NONE"/>
    <m/>
    <m/>
    <x v="0"/>
    <s v="Nil"/>
    <m/>
    <s v="BF"/>
    <x v="0"/>
    <x v="1"/>
    <x v="1"/>
    <n v="0"/>
    <m/>
    <x v="0"/>
    <m/>
    <x v="1"/>
    <m/>
    <m/>
    <m/>
    <n v="0"/>
    <m/>
    <n v="0"/>
    <m/>
    <n v="0"/>
    <n v="0"/>
    <n v="0"/>
    <n v="0"/>
    <n v="0"/>
    <n v="0"/>
    <n v="99"/>
    <n v="0"/>
    <n v="0"/>
    <n v="0"/>
    <n v="0"/>
    <n v="0"/>
    <n v="0"/>
    <n v="99"/>
    <n v="0"/>
    <n v="0"/>
    <n v="0"/>
    <n v="0"/>
    <n v="0"/>
    <n v="0"/>
    <n v="0"/>
    <n v="0"/>
    <n v="0"/>
    <n v="0"/>
    <n v="0"/>
    <n v="0"/>
    <n v="0"/>
    <n v="0"/>
    <m/>
    <x v="0"/>
    <x v="0"/>
    <x v="1"/>
    <x v="0"/>
    <x v="0"/>
    <x v="0"/>
    <m/>
    <x v="0"/>
    <s v="Y"/>
    <n v="13"/>
    <m/>
    <n v="0"/>
    <n v="0"/>
    <n v="0.26666666666666666"/>
    <n v="0.26666666666666666"/>
    <n v="0.26666666666666666"/>
    <n v="0.26666666666666666"/>
    <n v="0.26666666666666666"/>
    <n v="2.2078431372549021"/>
    <n v="2.2078431372549021"/>
    <n v="2.2078431372549021"/>
    <n v="2.2078431372549021"/>
    <n v="2.2078431372549021"/>
    <n v="6.6911764705882346"/>
    <n v="6.6911764705882346"/>
    <n v="6.6911764705882346"/>
    <n v="6.6911764705882346"/>
    <n v="6.6911764705882346"/>
    <n v="7.5959383753501388"/>
    <n v="7.5959383753501388"/>
    <n v="7.5959383753501388"/>
    <n v="7.5959383753501388"/>
    <n v="1.0666666666666667"/>
    <n v="10.164705882352941"/>
  </r>
  <r>
    <m/>
    <x v="6"/>
    <m/>
    <m/>
    <m/>
    <s v="Private"/>
    <m/>
    <m/>
    <x v="20"/>
    <m/>
    <m/>
    <n v="0"/>
    <n v="499"/>
    <n v="499"/>
    <n v="745"/>
    <n v="745"/>
    <s v="Y"/>
    <m/>
    <s v="NONE"/>
    <m/>
    <m/>
    <x v="0"/>
    <s v="Nil"/>
    <m/>
    <s v="BF"/>
    <x v="0"/>
    <x v="1"/>
    <x v="1"/>
    <n v="0"/>
    <m/>
    <x v="0"/>
    <m/>
    <x v="0"/>
    <m/>
    <m/>
    <m/>
    <n v="0"/>
    <m/>
    <n v="0"/>
    <m/>
    <n v="0"/>
    <n v="0"/>
    <n v="0"/>
    <n v="0"/>
    <n v="0"/>
    <n v="0"/>
    <n v="499"/>
    <n v="0"/>
    <n v="0"/>
    <n v="0"/>
    <n v="0"/>
    <n v="0"/>
    <n v="0"/>
    <n v="499"/>
    <n v="0"/>
    <n v="0"/>
    <n v="0"/>
    <n v="0"/>
    <n v="0"/>
    <n v="0"/>
    <n v="0"/>
    <n v="0"/>
    <n v="0"/>
    <n v="0"/>
    <n v="0"/>
    <n v="0"/>
    <n v="0"/>
    <n v="0"/>
    <m/>
    <x v="0"/>
    <x v="0"/>
    <x v="1"/>
    <x v="0"/>
    <x v="0"/>
    <x v="0"/>
    <m/>
    <x v="0"/>
    <s v="Y"/>
    <n v="13"/>
    <m/>
    <n v="0"/>
    <n v="0"/>
    <n v="1.2666666666666666"/>
    <n v="1.2666666666666666"/>
    <n v="1.2666666666666666"/>
    <n v="1.2666666666666666"/>
    <n v="1.2666666666666666"/>
    <n v="11.031372549019608"/>
    <n v="11.031372549019608"/>
    <n v="11.031372549019608"/>
    <n v="11.031372549019608"/>
    <n v="11.031372549019608"/>
    <n v="33.848039215686271"/>
    <n v="33.848039215686271"/>
    <n v="33.848039215686271"/>
    <n v="33.848039215686271"/>
    <n v="33.848039215686271"/>
    <n v="38.324229691876752"/>
    <n v="38.324229691876752"/>
    <n v="38.324229691876752"/>
    <n v="38.324229691876752"/>
    <n v="5.0666666666666664"/>
    <n v="50.45882352941176"/>
  </r>
  <r>
    <m/>
    <x v="6"/>
    <m/>
    <m/>
    <m/>
    <s v="Social/Affordable Rent"/>
    <m/>
    <m/>
    <x v="20"/>
    <m/>
    <m/>
    <n v="0"/>
    <n v="147"/>
    <n v="147"/>
    <n v="745"/>
    <n v="745"/>
    <s v="Y"/>
    <m/>
    <s v="NONE"/>
    <m/>
    <m/>
    <x v="0"/>
    <s v="Nil"/>
    <m/>
    <s v="BF"/>
    <x v="0"/>
    <x v="1"/>
    <x v="1"/>
    <n v="0"/>
    <m/>
    <x v="0"/>
    <m/>
    <x v="2"/>
    <m/>
    <m/>
    <m/>
    <n v="0"/>
    <m/>
    <n v="0"/>
    <m/>
    <n v="0"/>
    <n v="0"/>
    <n v="0"/>
    <n v="0"/>
    <n v="0"/>
    <n v="0"/>
    <n v="147"/>
    <n v="0"/>
    <n v="0"/>
    <n v="0"/>
    <n v="0"/>
    <n v="0"/>
    <n v="0"/>
    <n v="147"/>
    <n v="0"/>
    <n v="0"/>
    <n v="0"/>
    <n v="0"/>
    <n v="0"/>
    <n v="0"/>
    <n v="0"/>
    <n v="0"/>
    <n v="0"/>
    <n v="0"/>
    <n v="0"/>
    <n v="0"/>
    <n v="0"/>
    <n v="0"/>
    <m/>
    <x v="0"/>
    <x v="0"/>
    <x v="1"/>
    <x v="0"/>
    <x v="0"/>
    <x v="0"/>
    <m/>
    <x v="0"/>
    <s v="Y"/>
    <n v="13"/>
    <m/>
    <n v="0"/>
    <n v="0"/>
    <n v="0.4"/>
    <n v="0.4"/>
    <n v="0.4"/>
    <n v="0.4"/>
    <n v="0.4"/>
    <n v="3.2823529411764705"/>
    <n v="3.2823529411764705"/>
    <n v="3.2823529411764705"/>
    <n v="3.2823529411764705"/>
    <n v="3.2823529411764705"/>
    <n v="9.8656862745098053"/>
    <n v="9.8656862745098053"/>
    <n v="9.8656862745098053"/>
    <n v="9.8656862745098053"/>
    <n v="9.8656862745098053"/>
    <n v="11.322829131652661"/>
    <n v="11.322829131652661"/>
    <n v="11.322829131652661"/>
    <n v="11.322829131652661"/>
    <n v="1.6"/>
    <n v="15.129411764705882"/>
  </r>
  <r>
    <m/>
    <x v="7"/>
    <m/>
    <m/>
    <m/>
    <m/>
    <m/>
    <m/>
    <x v="20"/>
    <m/>
    <m/>
    <n v="0"/>
    <n v="7362"/>
    <n v="7362"/>
    <n v="7362"/>
    <n v="7362"/>
    <m/>
    <m/>
    <s v="NONE"/>
    <m/>
    <m/>
    <x v="0"/>
    <s v="Nil"/>
    <m/>
    <s v="BF"/>
    <x v="4"/>
    <x v="0"/>
    <x v="8"/>
    <n v="0"/>
    <m/>
    <x v="0"/>
    <m/>
    <x v="0"/>
    <s v="P"/>
    <m/>
    <m/>
    <n v="0"/>
    <m/>
    <n v="0"/>
    <m/>
    <n v="0"/>
    <n v="0"/>
    <n v="0"/>
    <n v="0"/>
    <n v="0"/>
    <n v="0"/>
    <n v="0"/>
    <n v="0"/>
    <n v="0"/>
    <n v="0"/>
    <n v="0"/>
    <n v="0"/>
    <n v="0"/>
    <n v="0"/>
    <n v="0"/>
    <n v="0"/>
    <n v="0"/>
    <n v="0"/>
    <n v="0"/>
    <n v="0"/>
    <n v="0"/>
    <n v="0"/>
    <n v="0"/>
    <n v="0"/>
    <n v="0"/>
    <n v="0"/>
    <n v="0"/>
    <n v="0"/>
    <m/>
    <x v="0"/>
    <x v="0"/>
    <x v="1"/>
    <x v="0"/>
    <x v="0"/>
    <x v="0"/>
    <m/>
    <x v="0"/>
    <s v="Y"/>
    <n v="14"/>
    <m/>
    <n v="0"/>
    <n v="0"/>
    <n v="0"/>
    <n v="409"/>
    <n v="409"/>
    <n v="409"/>
    <n v="409"/>
    <n v="409"/>
    <n v="409"/>
    <n v="409"/>
    <n v="409"/>
    <n v="409"/>
    <n v="409"/>
    <n v="409"/>
    <n v="409"/>
    <n v="409"/>
    <n v="409"/>
    <n v="409"/>
    <n v="409"/>
    <n v="409"/>
    <n v="409"/>
    <n v="1227"/>
    <n v="3272"/>
  </r>
  <r>
    <n v="116"/>
    <x v="8"/>
    <s v="2011/5618"/>
    <m/>
    <s v="257 Putney Bridge Road"/>
    <m/>
    <n v="524382"/>
    <n v="175284"/>
    <x v="13"/>
    <d v="2013-03-31T00:00:00"/>
    <d v="2015-03-31T00:00:00"/>
    <n v="3"/>
    <n v="0"/>
    <n v="-3"/>
    <n v="0"/>
    <n v="-7"/>
    <m/>
    <s v="Demolition of existing commercial buildings at rear and erection of three storey building to provide 3 x 2-bedroom flats; alterations to frontage building including erection of four storey side and two storey rear extensions and roof extension to provide 3 x 1-bedroom and 1 x 2-bedroom flats with second floor level rear roof terraces and cafe (Class A3) on the ground floor including provision of 6 off street parking spaces and cycle parking accessed from adjoining site at no.255."/>
    <s v="EX"/>
    <d v="2012-03-02T00:00:00"/>
    <d v="2012-05-29T00:00:00"/>
    <x v="0"/>
    <s v="Nil"/>
    <m/>
    <s v="BF"/>
    <x v="4"/>
    <x v="0"/>
    <x v="0"/>
    <n v="2.4E-2"/>
    <d v="2013-03-31T00:00:00"/>
    <x v="0"/>
    <d v="2015-03-31T00:00:00"/>
    <x v="0"/>
    <s v="P"/>
    <m/>
    <m/>
    <n v="0"/>
    <m/>
    <n v="0"/>
    <m/>
    <n v="0"/>
    <n v="0"/>
    <n v="-3"/>
    <n v="0"/>
    <n v="0"/>
    <n v="0"/>
    <n v="0"/>
    <n v="0"/>
    <n v="0"/>
    <n v="-3"/>
    <n v="0"/>
    <n v="0"/>
    <n v="0"/>
    <n v="0"/>
    <n v="0"/>
    <n v="0"/>
    <n v="0"/>
    <n v="0"/>
    <n v="0"/>
    <n v="0"/>
    <n v="0"/>
    <n v="0"/>
    <n v="0"/>
    <n v="0"/>
    <n v="0"/>
    <n v="0"/>
    <n v="0"/>
    <n v="0"/>
    <s v="West"/>
    <x v="0"/>
    <x v="0"/>
    <x v="1"/>
    <x v="0"/>
    <x v="0"/>
    <x v="0"/>
    <m/>
    <x v="0"/>
    <s v="Y"/>
    <n v="16"/>
    <m/>
    <n v="-3"/>
    <n v="0"/>
    <n v="0"/>
    <n v="0"/>
    <n v="0"/>
    <n v="0"/>
    <n v="0"/>
    <n v="0"/>
    <n v="0"/>
    <n v="0"/>
    <n v="0"/>
    <n v="0"/>
    <n v="0"/>
    <n v="0"/>
    <n v="0"/>
    <n v="0"/>
    <n v="0"/>
    <n v="0"/>
    <n v="0"/>
    <n v="0"/>
    <n v="0"/>
    <n v="0"/>
    <n v="0"/>
  </r>
  <r>
    <n v="116"/>
    <x v="8"/>
    <s v="2011/5618"/>
    <m/>
    <s v="257 Putney Bridge Road"/>
    <m/>
    <n v="524382"/>
    <n v="175284"/>
    <x v="13"/>
    <d v="2013-03-31T00:00:00"/>
    <d v="2015-03-31T00:00:00"/>
    <n v="4"/>
    <n v="0"/>
    <n v="-4"/>
    <n v="0"/>
    <n v="-7"/>
    <m/>
    <s v="Demolition of existing commercial buildings at rear and erection of three storey building to provide 3 x 2-bedroom flats; alterations to frontage building including erection of four storey side and two storey rear extensions and roof extension to provide 3 x 1-bedroom and 1 x 2-bedroom flats with second floor level rear roof terraces and cafe (Class A3) on the ground floor including provision of 6 off street parking spaces and cycle parking accessed from adjoining site at no.255."/>
    <s v="EX"/>
    <d v="2012-03-02T00:00:00"/>
    <d v="2012-05-29T00:00:00"/>
    <x v="0"/>
    <s v="Nil"/>
    <m/>
    <s v="BF"/>
    <x v="4"/>
    <x v="0"/>
    <x v="2"/>
    <n v="1.0999999999999999E-2"/>
    <d v="2013-03-31T00:00:00"/>
    <x v="0"/>
    <d v="2015-03-31T00:00:00"/>
    <x v="0"/>
    <s v="P"/>
    <m/>
    <m/>
    <n v="0"/>
    <m/>
    <n v="0"/>
    <m/>
    <n v="0"/>
    <n v="-3"/>
    <n v="-1"/>
    <n v="0"/>
    <n v="0"/>
    <n v="0"/>
    <n v="0"/>
    <n v="0"/>
    <n v="-3"/>
    <n v="-1"/>
    <n v="0"/>
    <n v="0"/>
    <n v="0"/>
    <n v="0"/>
    <n v="0"/>
    <n v="0"/>
    <n v="0"/>
    <n v="0"/>
    <n v="0"/>
    <n v="0"/>
    <n v="0"/>
    <n v="0"/>
    <n v="0"/>
    <n v="0"/>
    <n v="0"/>
    <n v="0"/>
    <n v="0"/>
    <n v="0"/>
    <s v="West"/>
    <x v="0"/>
    <x v="0"/>
    <x v="1"/>
    <x v="0"/>
    <x v="0"/>
    <x v="0"/>
    <m/>
    <x v="0"/>
    <s v="Y"/>
    <n v="16"/>
    <m/>
    <n v="-4"/>
    <n v="0"/>
    <n v="0"/>
    <n v="0"/>
    <n v="0"/>
    <n v="0"/>
    <n v="0"/>
    <n v="0"/>
    <n v="0"/>
    <n v="0"/>
    <n v="0"/>
    <n v="0"/>
    <n v="0"/>
    <n v="0"/>
    <n v="0"/>
    <n v="0"/>
    <n v="0"/>
    <n v="0"/>
    <n v="0"/>
    <n v="0"/>
    <n v="0"/>
    <n v="0"/>
    <n v="0"/>
  </r>
  <r>
    <n v="4984"/>
    <x v="8"/>
    <s v="2013/6131"/>
    <m/>
    <s v="Southfields Post Office and St Pauls Church Hall, 265-271 Wimbledon Park Road"/>
    <m/>
    <n v="524707"/>
    <n v="173200"/>
    <x v="19"/>
    <d v="2015-04-01T00:00:00"/>
    <d v="2016-07-01T00:00:00"/>
    <n v="8"/>
    <n v="1"/>
    <n v="-7"/>
    <n v="1"/>
    <n v="-7"/>
    <m/>
    <s v="Re-modelling of the existing building including the erection of two additional storeys and four-storey rear extension to the building to provide 8 residential units with terraces; two Class A1 retail units at ground floor. Car and cycle parking at rear lower ground floor level."/>
    <s v="EX"/>
    <d v="2013-12-04T00:00:00"/>
    <d v="2014-12-18T00:00:00"/>
    <x v="0"/>
    <s v="Nil"/>
    <m/>
    <s v="BF"/>
    <x v="4"/>
    <x v="0"/>
    <x v="0"/>
    <n v="5.2999999374151202E-2"/>
    <d v="2015-04-01T00:00:00"/>
    <x v="0"/>
    <d v="2016-07-01T00:00:00"/>
    <x v="0"/>
    <s v="P"/>
    <m/>
    <m/>
    <n v="0"/>
    <m/>
    <n v="0"/>
    <m/>
    <n v="-1"/>
    <n v="-1"/>
    <n v="-5"/>
    <n v="-1"/>
    <n v="1"/>
    <n v="0"/>
    <n v="0"/>
    <n v="-1"/>
    <n v="-1"/>
    <n v="-5"/>
    <n v="-1"/>
    <n v="1"/>
    <n v="0"/>
    <n v="0"/>
    <n v="0"/>
    <n v="0"/>
    <n v="0"/>
    <n v="0"/>
    <n v="0"/>
    <n v="0"/>
    <n v="0"/>
    <n v="0"/>
    <n v="0"/>
    <n v="0"/>
    <n v="0"/>
    <n v="0"/>
    <n v="0"/>
    <n v="0"/>
    <s v="West"/>
    <x v="0"/>
    <x v="0"/>
    <x v="1"/>
    <x v="0"/>
    <x v="0"/>
    <x v="0"/>
    <m/>
    <x v="0"/>
    <s v="Y"/>
    <n v="16"/>
    <m/>
    <n v="-7"/>
    <n v="0"/>
    <n v="0"/>
    <n v="0"/>
    <n v="0"/>
    <n v="0"/>
    <n v="0"/>
    <n v="0"/>
    <n v="0"/>
    <n v="0"/>
    <n v="0"/>
    <n v="0"/>
    <n v="0"/>
    <n v="0"/>
    <n v="0"/>
    <n v="0"/>
    <n v="0"/>
    <n v="0"/>
    <n v="0"/>
    <n v="0"/>
    <n v="0"/>
    <n v="0"/>
    <n v="0"/>
  </r>
  <r>
    <n v="5640"/>
    <x v="8"/>
    <s v="2014/5052"/>
    <m/>
    <s v="160 Falcon Road"/>
    <m/>
    <n v="527333"/>
    <n v="175518"/>
    <x v="14"/>
    <d v="2016-12-12T00:00:00"/>
    <d v="2017-02-17T00:00:00"/>
    <n v="62"/>
    <n v="0"/>
    <n v="-62"/>
    <n v="0"/>
    <n v="-62"/>
    <m/>
    <s v="Change of use of ground, first, second, third and fourth floors from office (B1 use class) to residential (C3 use Class), to provide 62 residential flats comprising of a mix of 18 x  1 bedroom, 36 x 2 bedroom and 8 x 3 bedroom flats. (Prior Approval Application)."/>
    <s v="PAG"/>
    <d v="2014-09-02T00:00:00"/>
    <d v="2014-10-28T00:00:00"/>
    <x v="0"/>
    <s v="Nil"/>
    <m/>
    <s v="BF"/>
    <x v="3"/>
    <x v="5"/>
    <x v="1"/>
    <n v="0.122"/>
    <d v="2016-12-12T00:00:00"/>
    <x v="0"/>
    <d v="2017-02-17T00:00:00"/>
    <x v="0"/>
    <s v="P"/>
    <m/>
    <m/>
    <n v="0"/>
    <m/>
    <n v="0"/>
    <m/>
    <n v="0"/>
    <n v="-18"/>
    <n v="-36"/>
    <n v="-8"/>
    <n v="0"/>
    <n v="0"/>
    <n v="0"/>
    <n v="0"/>
    <n v="-18"/>
    <n v="-36"/>
    <n v="-8"/>
    <n v="0"/>
    <n v="0"/>
    <n v="0"/>
    <n v="0"/>
    <n v="0"/>
    <n v="0"/>
    <n v="0"/>
    <n v="0"/>
    <n v="0"/>
    <n v="0"/>
    <n v="0"/>
    <n v="0"/>
    <n v="0"/>
    <n v="0"/>
    <n v="0"/>
    <n v="0"/>
    <n v="0"/>
    <s v="East"/>
    <x v="0"/>
    <x v="0"/>
    <x v="1"/>
    <x v="0"/>
    <x v="0"/>
    <x v="0"/>
    <m/>
    <x v="0"/>
    <s v="Y"/>
    <n v="16"/>
    <m/>
    <n v="-62"/>
    <n v="0"/>
    <n v="0"/>
    <n v="0"/>
    <n v="0"/>
    <n v="0"/>
    <n v="0"/>
    <n v="0"/>
    <n v="0"/>
    <n v="0"/>
    <n v="0"/>
    <n v="0"/>
    <n v="0"/>
    <n v="0"/>
    <n v="0"/>
    <n v="0"/>
    <n v="0"/>
    <n v="0"/>
    <n v="0"/>
    <n v="0"/>
    <n v="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
  <r>
    <n v="1333"/>
    <x v="0"/>
    <s v="2016/1515"/>
    <s v="Laetus Lodge Care Home"/>
    <s v="171-173 Tooting High Street"/>
    <n v="527289"/>
    <n v="171131"/>
    <s v="Graveney"/>
    <d v="2017-03-31T00:00:00"/>
    <d v="2018-03-31T00:00:00"/>
    <n v="0"/>
    <n v="0"/>
    <n v="0"/>
    <n v="0"/>
    <n v="3"/>
    <n v="3"/>
    <n v="0"/>
    <n v="0"/>
    <n v="0"/>
    <n v="0"/>
    <n v="0"/>
    <n v="0"/>
    <n v="0"/>
    <n v="0"/>
    <n v="0"/>
    <n v="0"/>
    <n v="3"/>
    <n v="3"/>
    <s v="Erection of roof extension to rear addition (on Sellincourt Road frontage) to form an additional floor to provide 3 bedrooms to care home supported living facility for the purpose of adults with learning disabilities."/>
    <s v="PF"/>
    <d v="2016-03-16T00:00:00"/>
    <d v="2016-09-13T00:00:00"/>
    <s v="Nil"/>
    <m/>
    <m/>
    <m/>
    <m/>
    <s v="P"/>
    <m/>
    <m/>
    <m/>
    <s v="Learning Difficulties"/>
    <s v="Y"/>
    <n v="1"/>
    <m/>
    <n v="3"/>
    <n v="0"/>
    <n v="0"/>
    <n v="0"/>
    <n v="0"/>
    <n v="0"/>
    <n v="0"/>
    <n v="0"/>
    <n v="0"/>
    <n v="0"/>
    <n v="0"/>
    <n v="0"/>
    <n v="0"/>
    <n v="0"/>
    <n v="0"/>
    <n v="0"/>
    <n v="0"/>
    <n v="0"/>
    <n v="0"/>
    <n v="0"/>
    <n v="0"/>
    <n v="0"/>
    <n v="0"/>
  </r>
  <r>
    <n v="4811"/>
    <x v="0"/>
    <s v="2017/4893"/>
    <m/>
    <s v="22 Melrose Road"/>
    <n v="524902"/>
    <n v="174155"/>
    <s v="East Putney"/>
    <d v="2017-10-31T00:00:00"/>
    <d v="2018-03-31T00:00:00"/>
    <n v="0"/>
    <n v="7"/>
    <n v="7"/>
    <n v="0"/>
    <n v="0"/>
    <n v="0"/>
    <n v="0"/>
    <n v="0"/>
    <n v="0"/>
    <n v="0"/>
    <n v="0"/>
    <n v="0"/>
    <n v="0"/>
    <n v="0"/>
    <n v="0"/>
    <n v="0"/>
    <n v="7"/>
    <n v="7"/>
    <s v="Retention of alterations in connection with continued use as a house in multiple occupation (Class C4)."/>
    <s v="PF"/>
    <d v="2017-09-05T00:00:00"/>
    <d v="2017-10-31T00:00:00"/>
    <s v="Nil"/>
    <m/>
    <d v="2017-10-31T00:00:00"/>
    <d v="2018-03-31T00:00:00"/>
    <m/>
    <m/>
    <m/>
    <m/>
    <m/>
    <m/>
    <s v="Y"/>
    <n v="1"/>
    <m/>
    <n v="7"/>
    <n v="0"/>
    <n v="0"/>
    <n v="0"/>
    <n v="0"/>
    <n v="0"/>
    <n v="0"/>
    <n v="0"/>
    <n v="0"/>
    <n v="0"/>
    <n v="0"/>
    <n v="0"/>
    <n v="0"/>
    <n v="0"/>
    <n v="0"/>
    <n v="0"/>
    <n v="0"/>
    <n v="0"/>
    <n v="0"/>
    <n v="0"/>
    <n v="0"/>
    <n v="0"/>
    <n v="0"/>
  </r>
  <r>
    <n v="5526"/>
    <x v="0"/>
    <s v="2015/5408"/>
    <s v="Former care home"/>
    <s v="10 Fontenoy Road"/>
    <n v="529051"/>
    <n v="172623"/>
    <s v="Bedford"/>
    <d v="2016-06-01T00:00:00"/>
    <d v="2017-12-22T00:00:00"/>
    <n v="0"/>
    <n v="0"/>
    <n v="0"/>
    <n v="16"/>
    <n v="0"/>
    <n v="-16"/>
    <n v="0"/>
    <n v="0"/>
    <n v="0"/>
    <n v="0"/>
    <n v="0"/>
    <n v="0"/>
    <n v="0"/>
    <n v="0"/>
    <n v="0"/>
    <n v="16"/>
    <n v="0"/>
    <n v="-16"/>
    <s v="Demolition of a 3 storey detached building (formerly serving as a care home) and the construction of a four storey block (with accommodation within the roof) to provide 9 flats (3 x 3 bedroom flats and 6 x 2 bedroom flats)."/>
    <s v="PF"/>
    <d v="2015-09-25T00:00:00"/>
    <d v="2016-04-04T00:00:00"/>
    <s v="Nil"/>
    <m/>
    <m/>
    <m/>
    <m/>
    <m/>
    <m/>
    <m/>
    <m/>
    <m/>
    <s v="Y"/>
    <n v="1"/>
    <m/>
    <n v="-16"/>
    <n v="0"/>
    <n v="0"/>
    <n v="0"/>
    <n v="0"/>
    <n v="0"/>
    <n v="0"/>
    <n v="0"/>
    <n v="0"/>
    <n v="0"/>
    <n v="0"/>
    <n v="0"/>
    <n v="0"/>
    <n v="0"/>
    <n v="0"/>
    <n v="0"/>
    <n v="0"/>
    <n v="0"/>
    <n v="0"/>
    <n v="0"/>
    <n v="0"/>
    <n v="0"/>
    <n v="0"/>
  </r>
  <r>
    <n v="5813"/>
    <x v="0"/>
    <s v="2014/6901"/>
    <m/>
    <s v="194 Lavender Hill"/>
    <n v="527658"/>
    <n v="175538"/>
    <s v="Shaftesbury"/>
    <d v="2015-12-16T00:00:00"/>
    <d v="2017-05-04T00:00:00"/>
    <n v="0"/>
    <n v="0"/>
    <n v="0"/>
    <n v="0"/>
    <n v="0"/>
    <n v="0"/>
    <n v="0"/>
    <n v="0"/>
    <n v="0"/>
    <n v="0"/>
    <n v="0"/>
    <n v="0"/>
    <n v="3"/>
    <n v="0"/>
    <n v="-3"/>
    <n v="3"/>
    <n v="0"/>
    <n v="-3"/>
    <s v="Erection of a part single-storey part two-storey rear extension, in connection with the change of use of first floor and part of the ground floor commercial space to form two residential flats (1 x 1 bed, 1 x studio) accessed off Dorothy Road."/>
    <s v="PF"/>
    <d v="2014-12-15T00:00:00"/>
    <d v="2015-02-09T00:00:00"/>
    <s v="Nil"/>
    <m/>
    <d v="2017-05-04T00:00:00"/>
    <d v="2017-05-04T00:00:00"/>
    <m/>
    <m/>
    <m/>
    <m/>
    <m/>
    <m/>
    <s v="Y"/>
    <n v="1"/>
    <m/>
    <n v="-3"/>
    <n v="0"/>
    <n v="0"/>
    <n v="0"/>
    <n v="0"/>
    <n v="0"/>
    <n v="0"/>
    <n v="0"/>
    <n v="0"/>
    <n v="0"/>
    <n v="0"/>
    <n v="0"/>
    <n v="0"/>
    <n v="0"/>
    <n v="0"/>
    <n v="0"/>
    <n v="0"/>
    <n v="0"/>
    <n v="0"/>
    <n v="0"/>
    <n v="0"/>
    <n v="0"/>
    <n v="0"/>
  </r>
  <r>
    <n v="5847"/>
    <x v="0"/>
    <s v="2015/0260"/>
    <m/>
    <s v="63 Elspeth Road"/>
    <n v="527837"/>
    <n v="175357"/>
    <s v="Shaftesbury"/>
    <d v="2017-04-01T00:00:00"/>
    <d v="2018-03-31T00:00:00"/>
    <n v="0"/>
    <n v="7"/>
    <n v="7"/>
    <n v="0"/>
    <n v="0"/>
    <n v="0"/>
    <n v="0"/>
    <n v="0"/>
    <n v="0"/>
    <n v="0"/>
    <n v="0"/>
    <n v="0"/>
    <n v="6"/>
    <n v="0"/>
    <n v="-6"/>
    <n v="6"/>
    <n v="7"/>
    <n v="1"/>
    <s v="Change of use of property from House of Multiple Occupancy (6 residents, Class Use C4) to large House of Multiple Occupancy (7 residents, Class Use sui-generis)."/>
    <s v="PF"/>
    <d v="2015-01-22T00:00:00"/>
    <d v="2015-03-19T00:00:00"/>
    <s v="Nil"/>
    <m/>
    <m/>
    <m/>
    <m/>
    <m/>
    <m/>
    <m/>
    <m/>
    <m/>
    <s v="Y"/>
    <n v="1"/>
    <m/>
    <n v="1"/>
    <n v="0"/>
    <n v="0"/>
    <n v="0"/>
    <n v="0"/>
    <n v="0"/>
    <n v="0"/>
    <n v="0"/>
    <n v="0"/>
    <n v="0"/>
    <n v="0"/>
    <n v="0"/>
    <n v="0"/>
    <n v="0"/>
    <n v="0"/>
    <n v="0"/>
    <n v="0"/>
    <n v="0"/>
    <n v="0"/>
    <n v="0"/>
    <n v="0"/>
    <n v="0"/>
    <n v="0"/>
  </r>
  <r>
    <n v="6014"/>
    <x v="0"/>
    <s v="2015/5954"/>
    <m/>
    <s v="47 Thurleigh Road"/>
    <n v="527855"/>
    <n v="174092"/>
    <s v="Northcote"/>
    <d v="2016-11-28T00:00:00"/>
    <d v="2018-01-16T00:00:00"/>
    <n v="0"/>
    <n v="0"/>
    <n v="0"/>
    <n v="0"/>
    <n v="0"/>
    <n v="0"/>
    <n v="0"/>
    <n v="0"/>
    <n v="0"/>
    <n v="0"/>
    <n v="0"/>
    <n v="0"/>
    <n v="9"/>
    <n v="0"/>
    <n v="-9"/>
    <n v="9"/>
    <n v="0"/>
    <n v="-9"/>
    <s v="Erection of single-storey rear/side extension, external alterations, excavation to enlarge basement including formation of front lightwell (with railings surround), replacement windows and insertion of rooflights in connection with the conversion of existing nine bedroom (House of Multiple Occupation - Use Class sui generis) to a six bedroom family dwelling house (Use Class C3). Formation of hard landscaping to front garden and vehicle crossover in connection with the provision of one car parking space."/>
    <s v="RP"/>
    <d v="2015-10-22T00:00:00"/>
    <d v="2016-01-22T00:00:00"/>
    <s v="APG"/>
    <d v="2016-07-26T00:00:00"/>
    <m/>
    <m/>
    <m/>
    <m/>
    <m/>
    <m/>
    <m/>
    <m/>
    <s v="Y"/>
    <n v="1"/>
    <m/>
    <n v="-9"/>
    <n v="0"/>
    <n v="0"/>
    <n v="0"/>
    <n v="0"/>
    <n v="0"/>
    <n v="0"/>
    <n v="0"/>
    <n v="0"/>
    <n v="0"/>
    <n v="0"/>
    <n v="0"/>
    <n v="0"/>
    <n v="0"/>
    <n v="0"/>
    <n v="0"/>
    <n v="0"/>
    <n v="0"/>
    <n v="0"/>
    <n v="0"/>
    <n v="0"/>
    <n v="0"/>
    <n v="0"/>
  </r>
  <r>
    <n v="6288"/>
    <x v="0"/>
    <s v="2016/4742"/>
    <m/>
    <s v="27 Southolm Street"/>
    <n v="528742"/>
    <n v="176723"/>
    <s v="Queenstown"/>
    <d v="2017-01-06T00:00:00"/>
    <d v="2017-07-28T00:00:00"/>
    <n v="0"/>
    <n v="7"/>
    <n v="7"/>
    <n v="0"/>
    <n v="0"/>
    <n v="0"/>
    <n v="0"/>
    <n v="0"/>
    <n v="0"/>
    <n v="0"/>
    <n v="0"/>
    <n v="0"/>
    <n v="0"/>
    <n v="0"/>
    <n v="0"/>
    <n v="0"/>
    <n v="7"/>
    <n v="7"/>
    <s v="Erection of three-storey rear extension and replacement sash windows in UPVC in connection with use of property as a House of Multiple Occupation - 7 rooms (Class Sui Generis)."/>
    <s v="PF"/>
    <d v="2016-08-09T00:00:00"/>
    <d v="2016-10-04T00:00:00"/>
    <s v="Nil"/>
    <m/>
    <m/>
    <m/>
    <m/>
    <m/>
    <m/>
    <m/>
    <m/>
    <m/>
    <s v="Y"/>
    <n v="1"/>
    <m/>
    <n v="7"/>
    <n v="0"/>
    <n v="0"/>
    <n v="0"/>
    <n v="0"/>
    <n v="0"/>
    <n v="0"/>
    <n v="0"/>
    <n v="0"/>
    <n v="0"/>
    <n v="0"/>
    <n v="0"/>
    <n v="0"/>
    <n v="0"/>
    <n v="0"/>
    <n v="0"/>
    <n v="0"/>
    <n v="0"/>
    <n v="0"/>
    <n v="0"/>
    <n v="0"/>
    <n v="0"/>
    <n v="0"/>
  </r>
  <r>
    <n v="6309"/>
    <x v="0"/>
    <s v="2017/0883"/>
    <m/>
    <s v="164 East Hill"/>
    <n v="526019"/>
    <n v="174719"/>
    <s v="Fairfield"/>
    <d v="2017-03-31T00:00:00"/>
    <d v="2017-11-14T00:00:00"/>
    <n v="7"/>
    <n v="0"/>
    <n v="-7"/>
    <n v="0"/>
    <n v="0"/>
    <n v="0"/>
    <n v="0"/>
    <n v="0"/>
    <n v="0"/>
    <n v="0"/>
    <n v="0"/>
    <n v="0"/>
    <n v="0"/>
    <n v="0"/>
    <n v="0"/>
    <n v="7"/>
    <n v="0"/>
    <n v="-7"/>
    <s v="Alterations including the erection of two dormer roof extensions to main rear roof; part three, part four storey (including basement) rear/side extension including formation of rear roof terrace with 1.5m high surround at second floor level; provision of cycle and refuse storage in rear garden in connection with use as 3 x 2 and 1 x 3 bedroom flats."/>
    <s v="PF"/>
    <d v="2017-02-15T00:00:00"/>
    <d v="2017-05-17T00:00:00"/>
    <s v="Nil"/>
    <m/>
    <m/>
    <m/>
    <m/>
    <s v="HAKW"/>
    <m/>
    <m/>
    <m/>
    <m/>
    <s v="Y"/>
    <n v="1"/>
    <m/>
    <n v="-7"/>
    <n v="0"/>
    <n v="0"/>
    <n v="0"/>
    <n v="0"/>
    <n v="0"/>
    <n v="0"/>
    <n v="0"/>
    <n v="0"/>
    <n v="0"/>
    <n v="0"/>
    <n v="0"/>
    <n v="0"/>
    <n v="0"/>
    <n v="0"/>
    <n v="0"/>
    <n v="0"/>
    <n v="0"/>
    <n v="0"/>
    <n v="0"/>
    <n v="0"/>
    <n v="0"/>
    <n v="0"/>
  </r>
  <r>
    <n v="6752"/>
    <x v="0"/>
    <s v="2017/6493"/>
    <m/>
    <s v="20 Manville Road"/>
    <n v="528477"/>
    <n v="172519"/>
    <s v="Bedford"/>
    <d v="2018-01-25T00:00:00"/>
    <d v="2018-01-25T00:00:00"/>
    <n v="0"/>
    <n v="0"/>
    <n v="0"/>
    <n v="0"/>
    <n v="0"/>
    <n v="0"/>
    <n v="0"/>
    <n v="0"/>
    <n v="0"/>
    <n v="0"/>
    <n v="0"/>
    <n v="0"/>
    <n v="0"/>
    <n v="6"/>
    <n v="6"/>
    <n v="0"/>
    <n v="6"/>
    <n v="6"/>
    <s v="Use of the property as a 6-bedroom HMO (Use Class C4)"/>
    <s v="LDC Exist"/>
    <d v="2017-11-30T00:00:00"/>
    <d v="2018-01-25T00:00:00"/>
    <s v="Nil"/>
    <m/>
    <d v="2018-01-25T00:00:00"/>
    <d v="2018-01-25T00:00:00"/>
    <m/>
    <m/>
    <m/>
    <m/>
    <m/>
    <m/>
    <s v="Y"/>
    <n v="1"/>
    <m/>
    <n v="6"/>
    <n v="0"/>
    <n v="0"/>
    <n v="0"/>
    <n v="0"/>
    <n v="0"/>
    <n v="0"/>
    <n v="0"/>
    <n v="0"/>
    <n v="0"/>
    <n v="0"/>
    <n v="0"/>
    <n v="0"/>
    <n v="0"/>
    <n v="0"/>
    <n v="0"/>
    <n v="0"/>
    <n v="0"/>
    <n v="0"/>
    <n v="0"/>
    <n v="0"/>
    <n v="0"/>
    <n v="0"/>
  </r>
  <r>
    <n v="786"/>
    <x v="1"/>
    <s v="2017/3296"/>
    <m/>
    <s v="Laglin Lodge, 7 Eardley Road"/>
    <n v="529441"/>
    <n v="171210"/>
    <s v="Furzedown"/>
    <d v="2017-09-01T00:00:00"/>
    <m/>
    <n v="0"/>
    <n v="0"/>
    <n v="0"/>
    <n v="7"/>
    <n v="0"/>
    <n v="-7"/>
    <n v="0"/>
    <n v="0"/>
    <n v="0"/>
    <n v="0"/>
    <n v="0"/>
    <n v="0"/>
    <n v="0"/>
    <n v="0"/>
    <n v="0"/>
    <n v="7"/>
    <n v="0"/>
    <n v="-7"/>
    <s v="Alterations including erection of dormer roof extension to main rear roof, installation of a basement, erection of part single, part three-storey rear extension with balcony at first floor and cycle storage to front in connection with change of use of property from residential care home (Class C2) to 3 x 2-bedroom and 1 x 3-bedroom flats (Class C3)"/>
    <s v="PF"/>
    <d v="2017-06-12T00:00:00"/>
    <d v="2017-08-14T00:00:00"/>
    <s v="Nil"/>
    <m/>
    <m/>
    <m/>
    <m/>
    <m/>
    <m/>
    <m/>
    <m/>
    <s v="Other"/>
    <s v="Y"/>
    <s v="2A"/>
    <m/>
    <n v="0"/>
    <n v="-7"/>
    <n v="0"/>
    <n v="0"/>
    <n v="0"/>
    <n v="0"/>
    <n v="0"/>
    <n v="0"/>
    <n v="0"/>
    <n v="0"/>
    <n v="0"/>
    <n v="0"/>
    <n v="0"/>
    <n v="0"/>
    <n v="0"/>
    <n v="0"/>
    <n v="0"/>
    <n v="0"/>
    <n v="0"/>
    <n v="0"/>
    <n v="0"/>
    <n v="-7"/>
    <n v="-7"/>
  </r>
  <r>
    <n v="2502"/>
    <x v="1"/>
    <s v="2010/3703"/>
    <m/>
    <s v="Springfield Hospital site, 61 Glenburnie Road"/>
    <n v="527221"/>
    <n v="172443"/>
    <s v="Wandsworth Common"/>
    <d v="2015-08-28T00:00:00"/>
    <m/>
    <n v="0"/>
    <n v="0"/>
    <n v="0"/>
    <n v="0"/>
    <n v="50"/>
    <n v="50"/>
    <n v="0"/>
    <n v="0"/>
    <n v="0"/>
    <n v="0"/>
    <n v="0"/>
    <n v="0"/>
    <n v="0"/>
    <n v="0"/>
    <n v="0"/>
    <n v="0"/>
    <n v="50"/>
    <n v="5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s v="APG"/>
    <d v="2012-06-22T00:00:00"/>
    <m/>
    <m/>
    <m/>
    <s v="U"/>
    <s v="9.1"/>
    <m/>
    <s v="Y"/>
    <s v="Elderly With Warden"/>
    <s v="Y"/>
    <s v="3A"/>
    <m/>
    <n v="0"/>
    <n v="0"/>
    <n v="0"/>
    <n v="50"/>
    <n v="0"/>
    <n v="0"/>
    <n v="0"/>
    <n v="0"/>
    <n v="0"/>
    <n v="0"/>
    <n v="0"/>
    <n v="0"/>
    <n v="0"/>
    <n v="0"/>
    <n v="0"/>
    <n v="0"/>
    <n v="0"/>
    <n v="0"/>
    <n v="0"/>
    <n v="0"/>
    <n v="0"/>
    <n v="50"/>
    <n v="50"/>
  </r>
  <r>
    <n v="3978"/>
    <x v="1"/>
    <s v="2016/6438"/>
    <m/>
    <s v="Former Garage, 39-41 East Hill"/>
    <n v="526357"/>
    <n v="174832"/>
    <s v="Fairfield"/>
    <d v="2017-07-20T00:00:00"/>
    <m/>
    <n v="0"/>
    <n v="0"/>
    <n v="0"/>
    <n v="0"/>
    <n v="98"/>
    <n v="98"/>
    <n v="0"/>
    <n v="0"/>
    <n v="0"/>
    <n v="0"/>
    <n v="0"/>
    <n v="0"/>
    <n v="0"/>
    <n v="0"/>
    <n v="0"/>
    <n v="0"/>
    <n v="98"/>
    <n v="98"/>
    <s v="Demolition of existing buildings and erection of four to six storey (plus basement) care home (Class C2) to accommodate 100 residents; west facing roof terraces and associated landscaping, parking (cycle store, 17 spaces for cars and 2 minibus spaces in basement) accessed from Huguenot Place."/>
    <s v="PFLA"/>
    <d v="2016-11-07T00:00:00"/>
    <d v="2017-04-11T00:00:00"/>
    <s v="Nil"/>
    <m/>
    <d v="2017-07-20T00:00:00"/>
    <m/>
    <m/>
    <m/>
    <s v="9.5"/>
    <m/>
    <m/>
    <m/>
    <s v="Y"/>
    <s v="3A"/>
    <m/>
    <n v="0"/>
    <n v="0"/>
    <n v="98"/>
    <n v="0"/>
    <n v="0"/>
    <n v="0"/>
    <n v="0"/>
    <n v="0"/>
    <n v="0"/>
    <n v="0"/>
    <n v="0"/>
    <n v="0"/>
    <n v="0"/>
    <n v="0"/>
    <n v="0"/>
    <n v="0"/>
    <n v="0"/>
    <n v="0"/>
    <n v="0"/>
    <n v="0"/>
    <n v="0"/>
    <n v="98"/>
    <n v="98"/>
  </r>
  <r>
    <n v="4817"/>
    <x v="1"/>
    <s v="2016/5617"/>
    <m/>
    <s v="Longhedge, 313 Battersea Park Road"/>
    <n v="528244"/>
    <n v="176622"/>
    <s v="Queenstown"/>
    <d v="2018-03-31T00:00:00"/>
    <m/>
    <n v="0"/>
    <n v="0"/>
    <n v="0"/>
    <n v="59"/>
    <n v="108"/>
    <n v="49"/>
    <n v="0"/>
    <n v="0"/>
    <n v="0"/>
    <n v="0"/>
    <n v="0"/>
    <n v="0"/>
    <n v="0"/>
    <n v="0"/>
    <n v="0"/>
    <n v="59"/>
    <n v="108"/>
    <n v="49"/>
    <s v="Alterations and extensions to existing (Class C2) care home, including the creation of two additional storeys at third and fourth floor, single-storey side extension and partial infill of existing courtyard to provide a 108 bed care home (78 care beds and 30 new assisted living suites). Alterations to main entrance, amendments to existing facades including installation of new windows, creation of glazed garden room, enhancements to landscaping, remodelling of car park and associated works."/>
    <s v="PFLA"/>
    <d v="2016-10-13T00:00:00"/>
    <d v="2017-08-18T00:00:00"/>
    <s v="Nil"/>
    <m/>
    <d v="2018-03-31T00:00:00"/>
    <m/>
    <m/>
    <m/>
    <m/>
    <m/>
    <m/>
    <s v="Other"/>
    <s v="Y"/>
    <s v="3A"/>
    <m/>
    <n v="0"/>
    <n v="0"/>
    <n v="49"/>
    <n v="0"/>
    <n v="0"/>
    <n v="0"/>
    <n v="0"/>
    <n v="0"/>
    <n v="0"/>
    <n v="0"/>
    <n v="0"/>
    <n v="0"/>
    <n v="0"/>
    <n v="0"/>
    <n v="0"/>
    <n v="0"/>
    <n v="0"/>
    <n v="0"/>
    <n v="0"/>
    <n v="0"/>
    <n v="0"/>
    <n v="49"/>
    <n v="49"/>
  </r>
  <r>
    <n v="5348"/>
    <x v="1"/>
    <s v="2013/3041"/>
    <m/>
    <s v="5 Mayford Road"/>
    <n v="527772"/>
    <n v="173569"/>
    <s v="Nightingale"/>
    <d v="2018-03-31T00:00:00"/>
    <m/>
    <n v="0"/>
    <n v="0"/>
    <n v="0"/>
    <n v="26"/>
    <n v="0"/>
    <n v="-26"/>
    <n v="0"/>
    <n v="0"/>
    <n v="0"/>
    <n v="0"/>
    <n v="0"/>
    <n v="0"/>
    <n v="0"/>
    <n v="0"/>
    <n v="0"/>
    <n v="26"/>
    <n v="0"/>
    <n v="-26"/>
    <s v="Change of use from children's home (currently vacant) to 6 flats. Demolition of rear dormer, construction of two storey rear extension and dormer.  Removal of external stairs.  Demolition of garage and formation of 3 no parking bays.  Demolition of first floor bay to rear elevation."/>
    <s v="RP"/>
    <d v="2013-07-02T00:00:00"/>
    <d v="2014-10-24T00:00:00"/>
    <s v="APG"/>
    <d v="2015-09-22T00:00:00"/>
    <d v="2018-03-31T00:00:00"/>
    <m/>
    <m/>
    <s v="P"/>
    <m/>
    <m/>
    <m/>
    <m/>
    <s v="Y"/>
    <s v="2B"/>
    <m/>
    <n v="0"/>
    <n v="-13"/>
    <n v="-13"/>
    <n v="0"/>
    <n v="0"/>
    <n v="0"/>
    <n v="0"/>
    <n v="0"/>
    <n v="0"/>
    <n v="0"/>
    <n v="0"/>
    <n v="0"/>
    <n v="0"/>
    <n v="0"/>
    <n v="0"/>
    <n v="0"/>
    <n v="0"/>
    <n v="0"/>
    <n v="0"/>
    <n v="0"/>
    <n v="0"/>
    <n v="-26"/>
    <n v="-26"/>
  </r>
  <r>
    <n v="6047"/>
    <x v="1"/>
    <s v="2015/4414"/>
    <m/>
    <s v="89 Lavender Hill"/>
    <n v="528267"/>
    <n v="175679"/>
    <s v="Shaftesbury"/>
    <d v="2016-08-14T00:00:00"/>
    <m/>
    <n v="0"/>
    <n v="0"/>
    <n v="0"/>
    <n v="0"/>
    <n v="0"/>
    <n v="0"/>
    <n v="0"/>
    <n v="0"/>
    <n v="0"/>
    <n v="0"/>
    <n v="0"/>
    <n v="0"/>
    <n v="0"/>
    <n v="5"/>
    <n v="5"/>
    <n v="0"/>
    <n v="5"/>
    <n v="5"/>
    <s v="Erection of a rear roof extension and extension to increase the height and length of the existing two-storey rear addition. Formation of recessed first floor balcony to rear."/>
    <s v="PF"/>
    <d v="2015-09-08T00:00:00"/>
    <d v="2016-01-07T00:00:00"/>
    <s v="Nil"/>
    <m/>
    <d v="2016-08-14T00:00:00"/>
    <m/>
    <m/>
    <m/>
    <m/>
    <m/>
    <m/>
    <m/>
    <s v="Y"/>
    <s v="2A"/>
    <m/>
    <n v="0"/>
    <n v="5"/>
    <n v="0"/>
    <n v="0"/>
    <n v="0"/>
    <n v="0"/>
    <n v="0"/>
    <n v="0"/>
    <n v="0"/>
    <n v="0"/>
    <n v="0"/>
    <n v="0"/>
    <n v="0"/>
    <n v="0"/>
    <n v="0"/>
    <n v="0"/>
    <n v="0"/>
    <n v="0"/>
    <n v="0"/>
    <n v="0"/>
    <n v="0"/>
    <n v="5"/>
    <n v="5"/>
  </r>
  <r>
    <n v="6071"/>
    <x v="1"/>
    <s v="2015/4036"/>
    <m/>
    <s v="Palladino House &amp; Wood House 6 &amp; 7, Laurel Close"/>
    <n v="527421"/>
    <n v="171301"/>
    <s v="Graveney"/>
    <d v="2017-02-22T00:00:00"/>
    <m/>
    <n v="0"/>
    <n v="0"/>
    <n v="0"/>
    <n v="87"/>
    <n v="0"/>
    <n v="-87"/>
    <n v="0"/>
    <n v="0"/>
    <n v="0"/>
    <n v="0"/>
    <n v="0"/>
    <n v="0"/>
    <n v="0"/>
    <n v="0"/>
    <n v="0"/>
    <n v="87"/>
    <n v="0"/>
    <n v="-87"/>
    <s v="Change of use of existing three storey building from retirement housing, residential care home and general needs housing (Use Class C2) to 49 self contained flats (Use Class C3) as 18 x 1-bedroom, 14 x 2-bedroom, 6 x 3-bedroom, 10 x 4-bedroom units and 1 x 4-bedroom maisonette, to provide temporary emergency family accommodation prior to permanent housing allocation."/>
    <s v="PF"/>
    <d v="2015-09-30T00:00:00"/>
    <d v="2015-12-17T00:00:00"/>
    <s v="Nil"/>
    <m/>
    <m/>
    <m/>
    <m/>
    <m/>
    <s v="5.4"/>
    <m/>
    <m/>
    <m/>
    <s v="Y"/>
    <s v="2A"/>
    <m/>
    <n v="0"/>
    <n v="-87"/>
    <n v="0"/>
    <n v="0"/>
    <n v="0"/>
    <n v="0"/>
    <n v="0"/>
    <n v="0"/>
    <n v="0"/>
    <n v="0"/>
    <n v="0"/>
    <n v="0"/>
    <n v="0"/>
    <n v="0"/>
    <n v="0"/>
    <n v="0"/>
    <n v="0"/>
    <n v="0"/>
    <n v="0"/>
    <n v="0"/>
    <n v="0"/>
    <n v="-87"/>
    <n v="-87"/>
  </r>
  <r>
    <n v="1917"/>
    <x v="2"/>
    <s v="2016/2580"/>
    <m/>
    <s v="207 Arabella Drive"/>
    <n v="521657"/>
    <n v="175440"/>
    <s v="Roehampton and Putney Heath"/>
    <m/>
    <m/>
    <n v="0"/>
    <n v="0"/>
    <n v="0"/>
    <n v="0"/>
    <n v="25"/>
    <n v="25"/>
    <n v="0"/>
    <n v="0"/>
    <n v="0"/>
    <n v="0"/>
    <n v="0"/>
    <n v="0"/>
    <n v="0"/>
    <n v="0"/>
    <n v="0"/>
    <n v="0"/>
    <n v="25"/>
    <n v="25"/>
    <s v="Erection of an additional storey over the existing three storey building with external alterations and second floor extension to the south elevation, to create an additional 25 client rooms. Extension to refuse store and provision of covered cycle area."/>
    <s v="PF"/>
    <d v="2016-06-15T00:00:00"/>
    <d v="2016-08-10T00:00:00"/>
    <s v="Nil"/>
    <m/>
    <m/>
    <m/>
    <m/>
    <m/>
    <m/>
    <m/>
    <m/>
    <m/>
    <s v="Y"/>
    <n v="4"/>
    <m/>
    <n v="0"/>
    <n v="0"/>
    <n v="6.25"/>
    <n v="6.25"/>
    <n v="6.25"/>
    <n v="6.25"/>
    <n v="0"/>
    <n v="0"/>
    <n v="0"/>
    <n v="0"/>
    <n v="0"/>
    <n v="0"/>
    <n v="0"/>
    <n v="0"/>
    <n v="0"/>
    <n v="0"/>
    <n v="0"/>
    <n v="0"/>
    <n v="0"/>
    <n v="0"/>
    <n v="0"/>
    <n v="25"/>
    <n v="25"/>
  </r>
  <r>
    <n v="4886"/>
    <x v="2"/>
    <s v="2015/2602"/>
    <m/>
    <s v="The Crown Hotel, 102 Lavender Hill"/>
    <n v="528185"/>
    <n v="175700"/>
    <s v="Shaftesbury"/>
    <m/>
    <m/>
    <n v="16"/>
    <n v="0"/>
    <n v="-16"/>
    <n v="0"/>
    <n v="0"/>
    <n v="0"/>
    <n v="0"/>
    <n v="0"/>
    <n v="0"/>
    <n v="0"/>
    <n v="0"/>
    <n v="0"/>
    <n v="0"/>
    <n v="0"/>
    <n v="0"/>
    <n v="16"/>
    <n v="0"/>
    <n v="-16"/>
    <s v="Change of use of the upper floors and rear yard area from public house (Use Class A4) to six residential units (Use Class C3).  Erection of additional storey and formation of roof terrace with balustrade to rear.  Erection part-four storey part-two storey extension to rear and side addition, including formation of roof terraces on 1st and 2nd floors with safety balustrade. Alterations to lower ground level including cycle storage and refuse storage."/>
    <s v="PF"/>
    <d v="2015-05-18T00:00:00"/>
    <d v="2015-11-16T00:00:00"/>
    <s v="Nil"/>
    <m/>
    <m/>
    <m/>
    <m/>
    <m/>
    <m/>
    <m/>
    <m/>
    <m/>
    <s v="Y"/>
    <n v="4"/>
    <m/>
    <n v="0"/>
    <n v="0"/>
    <n v="-4"/>
    <n v="-4"/>
    <n v="-4"/>
    <n v="-4"/>
    <n v="0"/>
    <n v="0"/>
    <n v="0"/>
    <n v="0"/>
    <n v="0"/>
    <n v="0"/>
    <n v="0"/>
    <n v="0"/>
    <n v="0"/>
    <n v="0"/>
    <n v="0"/>
    <n v="0"/>
    <n v="0"/>
    <n v="0"/>
    <n v="0"/>
    <n v="-16"/>
    <n v="-16"/>
  </r>
  <r>
    <n v="5170"/>
    <x v="2"/>
    <s v="2012/4983"/>
    <m/>
    <s v="180-186 Upper Tooting Road"/>
    <n v="527648"/>
    <n v="171878"/>
    <s v="Tooting"/>
    <m/>
    <m/>
    <n v="0"/>
    <n v="0"/>
    <n v="0"/>
    <n v="0"/>
    <n v="0"/>
    <n v="0"/>
    <n v="0"/>
    <n v="0"/>
    <n v="0"/>
    <n v="0"/>
    <n v="75"/>
    <n v="75"/>
    <n v="0"/>
    <n v="0"/>
    <n v="0"/>
    <n v="0"/>
    <n v="75"/>
    <n v="75"/>
    <s v="Demolition of the existing buildings, with the retention &amp; restoration of the RACS building facade and redevelopment of the remainder of the site to provide a part single/part four/part five-storey building to provide up to 4 new shops for use within classes A1-A5 (retail, financial and professional services, restaurant, pub and bar, takeaway); a hotel (83 bedrooms);  a non residential Institution/community use (Class D1) : student accommodation 75 rooms; 60 car parking spaces and 62 cycle parking space, servicing and landscaping."/>
    <s v="PFLA"/>
    <d v="2012-10-25T00:00:00"/>
    <d v="2014-04-17T00:00:00"/>
    <s v="Nil"/>
    <m/>
    <m/>
    <m/>
    <m/>
    <s v="P"/>
    <s v="5.1"/>
    <m/>
    <m/>
    <m/>
    <s v="N"/>
    <n v="15"/>
    <s v="2017/4726 used for phasing"/>
    <n v="0"/>
    <n v="0"/>
    <n v="0"/>
    <n v="0"/>
    <n v="0"/>
    <n v="0"/>
    <n v="0"/>
    <n v="0"/>
    <n v="0"/>
    <n v="0"/>
    <n v="0"/>
    <n v="0"/>
    <n v="0"/>
    <n v="0"/>
    <n v="0"/>
    <n v="0"/>
    <n v="0"/>
    <n v="0"/>
    <n v="0"/>
    <n v="0"/>
    <n v="0"/>
    <n v="0"/>
    <n v="0"/>
  </r>
  <r>
    <n v="5923"/>
    <x v="2"/>
    <s v="2015/1735"/>
    <m/>
    <s v="Queen Elizabeth House, 99 Nightingale Lane"/>
    <n v="528084"/>
    <n v="173918"/>
    <s v="Nightingale"/>
    <m/>
    <m/>
    <n v="0"/>
    <n v="0"/>
    <n v="0"/>
    <n v="2"/>
    <n v="2"/>
    <n v="0"/>
    <n v="1"/>
    <n v="0"/>
    <n v="-1"/>
    <n v="0"/>
    <n v="0"/>
    <n v="0"/>
    <n v="0"/>
    <n v="0"/>
    <n v="0"/>
    <n v="3"/>
    <n v="2"/>
    <n v="-1"/>
    <s v="Conversion of former caretakers apartment into 2 self-contained supported living studios (Class C2 use)."/>
    <s v="PF"/>
    <d v="2015-05-01T00:00:00"/>
    <d v="2015-07-22T00:00:00"/>
    <s v="Nil"/>
    <m/>
    <m/>
    <m/>
    <m/>
    <s v="HAUK"/>
    <m/>
    <m/>
    <m/>
    <m/>
    <s v="Y"/>
    <n v="4"/>
    <m/>
    <n v="0"/>
    <n v="0"/>
    <n v="-0.25"/>
    <n v="-0.25"/>
    <n v="-0.25"/>
    <n v="-0.25"/>
    <n v="0"/>
    <n v="0"/>
    <n v="0"/>
    <n v="0"/>
    <n v="0"/>
    <n v="0"/>
    <n v="0"/>
    <n v="0"/>
    <n v="0"/>
    <n v="0"/>
    <n v="0"/>
    <n v="0"/>
    <n v="0"/>
    <n v="0"/>
    <n v="0"/>
    <n v="-1"/>
    <n v="-1"/>
  </r>
  <r>
    <n v="6165"/>
    <x v="2"/>
    <s v="2015/7536"/>
    <m/>
    <s v="St Anthonys Court, 49 Foxbourne Road"/>
    <n v="528364"/>
    <n v="172774"/>
    <s v="Bedford"/>
    <m/>
    <m/>
    <n v="0"/>
    <n v="0"/>
    <n v="0"/>
    <n v="0"/>
    <n v="13"/>
    <n v="13"/>
    <n v="0"/>
    <n v="0"/>
    <n v="0"/>
    <n v="0"/>
    <n v="0"/>
    <n v="0"/>
    <n v="0"/>
    <n v="0"/>
    <n v="0"/>
    <n v="0"/>
    <n v="13"/>
    <n v="13"/>
    <s v="Erection of an additional storey (within a pitched roof and including raising the ridge height) to create 13 additional self contained units for sheltered housing (Use Class C2).  Alterations to the building including widening of the two existing fire escape staircases located on north-eastern and western elevations and provision of refuse and cycle storage."/>
    <s v="PF"/>
    <d v="2016-01-11T00:00:00"/>
    <d v="2016-10-20T00:00:00"/>
    <s v="Nil"/>
    <m/>
    <m/>
    <m/>
    <m/>
    <m/>
    <m/>
    <m/>
    <m/>
    <m/>
    <s v="Y"/>
    <n v="4"/>
    <m/>
    <n v="0"/>
    <n v="0"/>
    <n v="3.25"/>
    <n v="3.25"/>
    <n v="3.25"/>
    <n v="3.25"/>
    <n v="0"/>
    <n v="0"/>
    <n v="0"/>
    <n v="0"/>
    <n v="0"/>
    <n v="0"/>
    <n v="0"/>
    <n v="0"/>
    <n v="0"/>
    <n v="0"/>
    <n v="0"/>
    <n v="0"/>
    <n v="0"/>
    <n v="0"/>
    <n v="0"/>
    <n v="13"/>
    <n v="13"/>
  </r>
  <r>
    <n v="6497"/>
    <x v="2"/>
    <s v="2017/0153"/>
    <m/>
    <s v="64-64c, 64-64c Battersea Rise"/>
    <n v="527487"/>
    <n v="175150"/>
    <s v="Northcote"/>
    <m/>
    <m/>
    <n v="0"/>
    <n v="0"/>
    <n v="0"/>
    <n v="0"/>
    <n v="0"/>
    <n v="0"/>
    <n v="0"/>
    <n v="0"/>
    <n v="0"/>
    <n v="0"/>
    <n v="0"/>
    <n v="0"/>
    <n v="0"/>
    <n v="13"/>
    <n v="13"/>
    <n v="0"/>
    <n v="13"/>
    <n v="13"/>
    <s v="Excavation to extend basement and alterations to ground floor level of restaurant (Class A3). Change of use of first, second and third floor from two flats (Class C3) to a House in Multiple Occupation (HMO - 13 tenancy units) with shared faciliites.  Extensions to rear at first floor and second floor (including french doors) and to roof level (including changes to front roof pitch, side roof extension and third floor extension), and creation of roof terraces at second and third floor levels.  Replacement extract flue."/>
    <s v="PF"/>
    <d v="2017-01-17T00:00:00"/>
    <d v="2017-05-02T00:00:00"/>
    <s v="Nil"/>
    <m/>
    <m/>
    <m/>
    <m/>
    <m/>
    <m/>
    <m/>
    <m/>
    <m/>
    <s v="Y"/>
    <n v="4"/>
    <m/>
    <n v="0"/>
    <n v="0"/>
    <n v="3.25"/>
    <n v="3.25"/>
    <n v="3.25"/>
    <n v="3.25"/>
    <n v="0"/>
    <n v="0"/>
    <n v="0"/>
    <n v="0"/>
    <n v="0"/>
    <n v="0"/>
    <n v="0"/>
    <n v="0"/>
    <n v="0"/>
    <n v="0"/>
    <n v="0"/>
    <n v="0"/>
    <n v="0"/>
    <n v="0"/>
    <n v="0"/>
    <n v="13"/>
    <n v="13"/>
  </r>
  <r>
    <n v="6531"/>
    <x v="2"/>
    <s v="2017/0258"/>
    <m/>
    <s v="9 Clavering Place"/>
    <n v="528465"/>
    <n v="174118"/>
    <s v="Balham"/>
    <m/>
    <m/>
    <n v="0"/>
    <n v="0"/>
    <n v="0"/>
    <n v="0"/>
    <n v="0"/>
    <n v="0"/>
    <n v="0"/>
    <n v="0"/>
    <n v="0"/>
    <n v="0"/>
    <n v="0"/>
    <n v="0"/>
    <n v="6"/>
    <n v="7"/>
    <n v="1"/>
    <n v="6"/>
    <n v="7"/>
    <n v="1"/>
    <s v="Change of use from a House of Multiple Occupation (Class C4) to a larger House of Multiple Occupation (Sui Generis) by allowing an additional bedroom to be used."/>
    <s v="PF"/>
    <d v="2017-03-13T00:00:00"/>
    <d v="2017-07-03T00:00:00"/>
    <s v="Nil"/>
    <m/>
    <m/>
    <m/>
    <m/>
    <m/>
    <m/>
    <m/>
    <m/>
    <m/>
    <s v="Y"/>
    <n v="4"/>
    <m/>
    <n v="0"/>
    <n v="0"/>
    <n v="0.25"/>
    <n v="0.25"/>
    <n v="0.25"/>
    <n v="0.25"/>
    <n v="0"/>
    <n v="0"/>
    <n v="0"/>
    <n v="0"/>
    <n v="0"/>
    <n v="0"/>
    <n v="0"/>
    <n v="0"/>
    <n v="0"/>
    <n v="0"/>
    <n v="0"/>
    <n v="0"/>
    <n v="0"/>
    <n v="0"/>
    <n v="0"/>
    <n v="1"/>
    <n v="1"/>
  </r>
  <r>
    <n v="6535"/>
    <x v="2"/>
    <s v="2016/7186"/>
    <m/>
    <s v="The Platt Christian Centre, Felsham Road"/>
    <n v="523949"/>
    <n v="175565"/>
    <s v="Thamesfield"/>
    <m/>
    <m/>
    <n v="0"/>
    <n v="0"/>
    <n v="0"/>
    <n v="0"/>
    <n v="10"/>
    <n v="10"/>
    <n v="0"/>
    <n v="0"/>
    <n v="0"/>
    <n v="0"/>
    <n v="0"/>
    <n v="0"/>
    <n v="0"/>
    <n v="0"/>
    <n v="0"/>
    <n v="0"/>
    <n v="10"/>
    <n v="10"/>
    <s v="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
    <s v="PF"/>
    <d v="2016-12-16T00:00:00"/>
    <d v="2017-06-23T00:00:00"/>
    <s v="Nil"/>
    <m/>
    <m/>
    <m/>
    <m/>
    <s v="P"/>
    <m/>
    <m/>
    <m/>
    <s v="Elderly With Warden"/>
    <s v="Y"/>
    <n v="4"/>
    <m/>
    <n v="0"/>
    <n v="0"/>
    <n v="2.5"/>
    <n v="2.5"/>
    <n v="2.5"/>
    <n v="2.5"/>
    <n v="0"/>
    <n v="0"/>
    <n v="0"/>
    <n v="0"/>
    <n v="0"/>
    <n v="0"/>
    <n v="0"/>
    <n v="0"/>
    <n v="0"/>
    <n v="0"/>
    <n v="0"/>
    <n v="0"/>
    <n v="0"/>
    <n v="0"/>
    <n v="0"/>
    <n v="10"/>
    <n v="10"/>
  </r>
  <r>
    <n v="6617"/>
    <x v="2"/>
    <s v="2017/5495"/>
    <m/>
    <s v="57 Louisville Road"/>
    <n v="528284"/>
    <n v="172328"/>
    <s v="Bedford"/>
    <m/>
    <m/>
    <n v="0"/>
    <n v="0"/>
    <n v="0"/>
    <n v="0"/>
    <n v="0"/>
    <n v="0"/>
    <n v="0"/>
    <n v="0"/>
    <n v="0"/>
    <n v="0"/>
    <n v="0"/>
    <n v="0"/>
    <n v="4"/>
    <n v="0"/>
    <n v="-4"/>
    <n v="4"/>
    <n v="0"/>
    <n v="-4"/>
    <s v="Alterations including erection of mansard roof extension (with French doors and safety railings) and erection of single-storey side/rear extension in connection with the change of use of the property from HMO (Class Sui Generis) into 1 x 1-bedroom, 1 x 2-bedroom and 1 x 3-bedroom flats (Class C3) with associated cycle and refuse storage.  Alterations and restoration of front elevation and front boundary treatment."/>
    <s v="PF"/>
    <d v="2017-10-03T00:00:00"/>
    <d v="2018-01-29T00:00:00"/>
    <s v="Nil"/>
    <m/>
    <m/>
    <m/>
    <m/>
    <m/>
    <m/>
    <m/>
    <m/>
    <m/>
    <s v="Y"/>
    <n v="4"/>
    <m/>
    <n v="0"/>
    <n v="0"/>
    <n v="-1"/>
    <n v="-1"/>
    <n v="-1"/>
    <n v="-1"/>
    <n v="0"/>
    <n v="0"/>
    <n v="0"/>
    <n v="0"/>
    <n v="0"/>
    <n v="0"/>
    <n v="0"/>
    <n v="0"/>
    <n v="0"/>
    <n v="0"/>
    <n v="0"/>
    <n v="0"/>
    <n v="0"/>
    <n v="0"/>
    <n v="0"/>
    <n v="-4"/>
    <n v="-4"/>
  </r>
  <r>
    <n v="6672"/>
    <x v="2"/>
    <s v="2017/4020"/>
    <m/>
    <s v="104 Streathbourne Road"/>
    <n v="528523"/>
    <n v="172269"/>
    <s v="Bedford"/>
    <m/>
    <m/>
    <n v="0"/>
    <n v="0"/>
    <n v="0"/>
    <n v="0"/>
    <n v="0"/>
    <n v="0"/>
    <n v="0"/>
    <n v="0"/>
    <n v="0"/>
    <n v="0"/>
    <n v="0"/>
    <n v="0"/>
    <n v="5"/>
    <n v="0"/>
    <n v="-5"/>
    <n v="5"/>
    <n v="0"/>
    <n v="-5"/>
    <s v="Erection of single-storey rear extension and conversion of property to 1 x 3-bedroom and 2 x 2-bedroom flats."/>
    <s v="PF"/>
    <d v="2017-08-07T00:00:00"/>
    <d v="2017-10-24T00:00:00"/>
    <s v="Nil"/>
    <m/>
    <m/>
    <m/>
    <m/>
    <m/>
    <m/>
    <m/>
    <m/>
    <m/>
    <s v="Y"/>
    <n v="4"/>
    <m/>
    <n v="0"/>
    <n v="0"/>
    <n v="-1.25"/>
    <n v="-1.25"/>
    <n v="-1.25"/>
    <n v="-1.25"/>
    <n v="0"/>
    <n v="0"/>
    <n v="0"/>
    <n v="0"/>
    <n v="0"/>
    <n v="0"/>
    <n v="0"/>
    <n v="0"/>
    <n v="0"/>
    <n v="0"/>
    <n v="0"/>
    <n v="0"/>
    <n v="0"/>
    <n v="0"/>
    <n v="0"/>
    <n v="-5"/>
    <n v="-5"/>
  </r>
  <r>
    <n v="6751"/>
    <x v="2"/>
    <s v="2017/5993"/>
    <m/>
    <s v="30 Sisters Avenue"/>
    <n v="527935"/>
    <n v="175416"/>
    <s v="Shaftesbury"/>
    <m/>
    <m/>
    <n v="7"/>
    <n v="0"/>
    <n v="-7"/>
    <n v="0"/>
    <n v="0"/>
    <n v="0"/>
    <n v="0"/>
    <n v="0"/>
    <n v="0"/>
    <n v="0"/>
    <n v="0"/>
    <n v="0"/>
    <n v="0"/>
    <n v="0"/>
    <n v="0"/>
    <n v="7"/>
    <n v="0"/>
    <n v="-7"/>
    <s v="Alterations including the erection of mansard extension to main rear roof including raising the ridge; erection of extension above part of rear addition, and raising of the eaves of the rear addition; formation of roof terrace above rear addition; single-storey side and rear extension, excavation of basement with formation of front and rear lightwells (with stairs) in connection with change of use of the property into 5 x 1-bedroom and 2 x 2 bedroom flats with associated cycle parking and refuse store."/>
    <s v="PF"/>
    <d v="2017-11-21T00:00:00"/>
    <d v="2018-03-05T00:00:00"/>
    <s v="Nil"/>
    <m/>
    <m/>
    <m/>
    <m/>
    <m/>
    <m/>
    <m/>
    <m/>
    <m/>
    <s v="Y"/>
    <n v="4"/>
    <m/>
    <n v="0"/>
    <n v="0"/>
    <n v="-1.75"/>
    <n v="-1.75"/>
    <n v="-1.75"/>
    <n v="-1.75"/>
    <n v="0"/>
    <n v="0"/>
    <n v="0"/>
    <n v="0"/>
    <n v="0"/>
    <n v="0"/>
    <n v="0"/>
    <n v="0"/>
    <n v="0"/>
    <n v="0"/>
    <n v="0"/>
    <n v="0"/>
    <n v="0"/>
    <n v="0"/>
    <n v="0"/>
    <n v="-7"/>
    <n v="-7"/>
  </r>
  <r>
    <n v="6792"/>
    <x v="2"/>
    <s v="2018/0263"/>
    <m/>
    <s v="The Bedford, 77 Bedford Hill"/>
    <n v="528718"/>
    <n v="173146"/>
    <s v="Balham"/>
    <m/>
    <m/>
    <n v="0"/>
    <n v="0"/>
    <n v="0"/>
    <n v="0"/>
    <n v="0"/>
    <n v="0"/>
    <n v="10"/>
    <n v="0"/>
    <n v="-10"/>
    <n v="0"/>
    <n v="0"/>
    <n v="0"/>
    <n v="0"/>
    <n v="0"/>
    <n v="0"/>
    <n v="10"/>
    <n v="0"/>
    <n v="-10"/>
    <s v="Alterations including change of second floor function room, kitchen and ancillary rooms to guest bedrooms (increase total from 10 to 15 bedrooms at second and third floor levels) (Class A4/C1 use - public house with guest rooms). Erection of a single-storey rear extension. (Accompanying listed building application ref.2018/0341)"/>
    <s v="PF"/>
    <d v="2018-01-18T00:00:00"/>
    <d v="2018-03-15T00:00:00"/>
    <s v="Nil"/>
    <m/>
    <m/>
    <m/>
    <m/>
    <m/>
    <m/>
    <m/>
    <m/>
    <m/>
    <s v="Y"/>
    <n v="4"/>
    <m/>
    <n v="0"/>
    <n v="0"/>
    <n v="-2.5"/>
    <n v="-2.5"/>
    <n v="-2.5"/>
    <n v="-2.5"/>
    <n v="0"/>
    <n v="0"/>
    <n v="0"/>
    <n v="0"/>
    <n v="0"/>
    <n v="0"/>
    <n v="0"/>
    <n v="0"/>
    <n v="0"/>
    <n v="0"/>
    <n v="0"/>
    <n v="0"/>
    <n v="0"/>
    <n v="0"/>
    <n v="0"/>
    <n v="-10"/>
    <n v="-10"/>
  </r>
  <r>
    <n v="13"/>
    <x v="3"/>
    <s v="2017/4355"/>
    <m/>
    <s v="Trinity Court Nursing Home, 165-167 Trinity Road"/>
    <n v="527592"/>
    <n v="172887"/>
    <s v="Nightingale"/>
    <m/>
    <m/>
    <n v="0"/>
    <n v="0"/>
    <n v="0"/>
    <n v="0"/>
    <n v="10"/>
    <n v="10"/>
    <n v="0"/>
    <n v="0"/>
    <n v="0"/>
    <n v="0"/>
    <n v="0"/>
    <n v="0"/>
    <n v="0"/>
    <n v="0"/>
    <n v="0"/>
    <n v="0"/>
    <n v="10"/>
    <n v="10"/>
    <s v="Erection of single storey (plus habitable roofspace) detached 10-bedroom residential building ancillary to Trinity Court Nursing Home."/>
    <s v="RP"/>
    <d v="2017-10-19T00:00:00"/>
    <d v="2017-12-14T00:00:00"/>
    <s v="APP"/>
    <m/>
    <m/>
    <m/>
    <m/>
    <m/>
    <m/>
    <m/>
    <m/>
    <s v="Other"/>
    <s v="N"/>
    <n v="15"/>
    <s v="2018/1058 used for phasing"/>
    <n v="0"/>
    <n v="0"/>
    <n v="0"/>
    <n v="0"/>
    <n v="0"/>
    <n v="0"/>
    <n v="0"/>
    <n v="0"/>
    <n v="0"/>
    <n v="0"/>
    <n v="0"/>
    <n v="0"/>
    <n v="0"/>
    <n v="0"/>
    <n v="0"/>
    <n v="0"/>
    <n v="0"/>
    <n v="0"/>
    <n v="0"/>
    <n v="0"/>
    <n v="0"/>
    <n v="0"/>
    <n v="0"/>
  </r>
  <r>
    <n v="13"/>
    <x v="3"/>
    <s v="2018/1058"/>
    <m/>
    <s v="Trinity Court Nursing Home, 165-167 Trinity Road"/>
    <n v="527592"/>
    <n v="172887"/>
    <s v="Nightingale"/>
    <m/>
    <m/>
    <n v="0"/>
    <n v="0"/>
    <n v="0"/>
    <n v="0"/>
    <n v="8"/>
    <n v="8"/>
    <n v="0"/>
    <n v="0"/>
    <n v="0"/>
    <n v="0"/>
    <n v="0"/>
    <n v="0"/>
    <n v="0"/>
    <n v="0"/>
    <n v="0"/>
    <n v="0"/>
    <n v="8"/>
    <n v="8"/>
    <s v="Erection of single storey (plus habitable roofspace) detached 8-bedroom residential building ancillary to Trinity Court Nursing Home."/>
    <s v="AF"/>
    <d v="2018-03-08T00:00:00"/>
    <m/>
    <s v="Nil"/>
    <m/>
    <m/>
    <m/>
    <m/>
    <s v="P"/>
    <m/>
    <m/>
    <m/>
    <s v="Other"/>
    <s v="Y"/>
    <n v="6"/>
    <m/>
    <n v="0"/>
    <n v="0"/>
    <n v="0"/>
    <n v="0"/>
    <n v="0"/>
    <n v="2.6666666666666665"/>
    <n v="2.6666666666666665"/>
    <n v="2.6666666666666665"/>
    <n v="0"/>
    <n v="0"/>
    <n v="0"/>
    <n v="0"/>
    <n v="0"/>
    <n v="0"/>
    <n v="0"/>
    <n v="0"/>
    <n v="0"/>
    <n v="0"/>
    <n v="0"/>
    <n v="0"/>
    <n v="0"/>
    <n v="2.6666666666666665"/>
    <n v="8"/>
  </r>
  <r>
    <n v="700"/>
    <x v="3"/>
    <s v="2018/1481"/>
    <m/>
    <s v="54 Balham Park Road"/>
    <n v="528024"/>
    <n v="173250"/>
    <s v="Nightingale"/>
    <m/>
    <m/>
    <n v="0"/>
    <n v="0"/>
    <n v="0"/>
    <n v="0"/>
    <n v="0"/>
    <n v="0"/>
    <n v="0"/>
    <n v="0"/>
    <n v="0"/>
    <n v="0"/>
    <n v="0"/>
    <n v="0"/>
    <n v="5"/>
    <n v="0"/>
    <n v="-5"/>
    <n v="5"/>
    <n v="0"/>
    <n v="-5"/>
    <s v="Alterations including erection of domer roof extension to main rear roof including raising the ridge by 300mm and roof extension above part three-storey back addition. Erection of part two/part single-storey rear extension and single-storey side extension and formation roof terrace at third floor level with 1.7m high screen surround.  Replacement windows at rear and rooflights to front roof slope. Conversion of the existing two bedroom flat and 5 bedroom HMO into 4 self-contained flats (2 x 3 bedroom, 1 x 2 bedroom flats and 1x studio flat.)  Erection of a garden room in rear garden."/>
    <s v="AF"/>
    <d v="2018-03-21T00:00:00"/>
    <m/>
    <s v="Nil"/>
    <m/>
    <m/>
    <m/>
    <m/>
    <m/>
    <m/>
    <m/>
    <m/>
    <m/>
    <s v="Y"/>
    <n v="6"/>
    <m/>
    <n v="0"/>
    <n v="0"/>
    <n v="0"/>
    <n v="0"/>
    <n v="0"/>
    <n v="-1.6666666666666667"/>
    <n v="-1.6666666666666667"/>
    <n v="-1.6666666666666667"/>
    <n v="0"/>
    <n v="0"/>
    <n v="0"/>
    <n v="0"/>
    <n v="0"/>
    <n v="0"/>
    <n v="0"/>
    <n v="0"/>
    <n v="0"/>
    <n v="0"/>
    <n v="0"/>
    <n v="0"/>
    <n v="0"/>
    <n v="-1.6666666666666667"/>
    <n v="-5"/>
  </r>
  <r>
    <n v="2589"/>
    <x v="3"/>
    <s v="2018/0153"/>
    <m/>
    <s v="24 Southolm Street"/>
    <n v="528730"/>
    <n v="176714"/>
    <s v="Queenstown"/>
    <m/>
    <m/>
    <n v="0"/>
    <n v="0"/>
    <n v="0"/>
    <n v="0"/>
    <n v="0"/>
    <n v="0"/>
    <n v="0"/>
    <n v="0"/>
    <n v="0"/>
    <n v="0"/>
    <n v="0"/>
    <n v="0"/>
    <n v="7"/>
    <n v="0"/>
    <n v="-7"/>
    <n v="7"/>
    <n v="0"/>
    <n v="-7"/>
    <s v="Erection of an extension above rear addition with formation of dormer access to main rear roof in connection with the conversion of the property from HMO to a single dwelling."/>
    <s v="AF"/>
    <d v="2018-01-23T00:00:00"/>
    <m/>
    <s v="Nil"/>
    <m/>
    <m/>
    <m/>
    <m/>
    <m/>
    <m/>
    <m/>
    <m/>
    <m/>
    <s v="Y"/>
    <n v="6"/>
    <m/>
    <n v="0"/>
    <n v="0"/>
    <n v="0"/>
    <n v="0"/>
    <n v="0"/>
    <n v="-2.3333333333333335"/>
    <n v="-2.3333333333333335"/>
    <n v="-2.3333333333333335"/>
    <n v="0"/>
    <n v="0"/>
    <n v="0"/>
    <n v="0"/>
    <n v="0"/>
    <n v="0"/>
    <n v="0"/>
    <n v="0"/>
    <n v="0"/>
    <n v="0"/>
    <n v="0"/>
    <n v="0"/>
    <n v="0"/>
    <n v="-2.3333333333333335"/>
    <n v="-7"/>
  </r>
  <r>
    <n v="3588"/>
    <x v="3"/>
    <s v="2017/6631"/>
    <m/>
    <s v="83 Lavender Hill"/>
    <n v="528283"/>
    <n v="175682"/>
    <s v="Shaftesbury"/>
    <m/>
    <m/>
    <n v="0"/>
    <n v="0"/>
    <n v="0"/>
    <n v="0"/>
    <n v="0"/>
    <n v="0"/>
    <n v="0"/>
    <n v="0"/>
    <n v="0"/>
    <n v="0"/>
    <n v="0"/>
    <n v="0"/>
    <n v="0"/>
    <n v="9"/>
    <n v="9"/>
    <n v="0"/>
    <n v="9"/>
    <n v="9"/>
    <s v="Erection of a mansard roof extension to main rear roof and extensions at first, second and third floors and conversion of the property into 9-bedroom HMO (from Class C3 to Class Sui Genres)."/>
    <s v="AF"/>
    <d v="2017-12-01T00:00:00"/>
    <m/>
    <s v="Nil"/>
    <m/>
    <m/>
    <m/>
    <m/>
    <m/>
    <m/>
    <m/>
    <m/>
    <m/>
    <s v="Y"/>
    <n v="6"/>
    <m/>
    <n v="0"/>
    <n v="0"/>
    <n v="0"/>
    <n v="0"/>
    <n v="0"/>
    <n v="3"/>
    <n v="3"/>
    <n v="3"/>
    <n v="0"/>
    <n v="0"/>
    <n v="0"/>
    <n v="0"/>
    <n v="0"/>
    <n v="0"/>
    <n v="0"/>
    <n v="0"/>
    <n v="0"/>
    <n v="0"/>
    <n v="0"/>
    <n v="0"/>
    <n v="0"/>
    <n v="3"/>
    <n v="9"/>
  </r>
  <r>
    <n v="4886"/>
    <x v="3"/>
    <s v="2018/1201"/>
    <m/>
    <s v="The Crown Hotel, 102 Lavender Hill"/>
    <n v="528185"/>
    <n v="175700"/>
    <s v="Shaftesbury"/>
    <m/>
    <m/>
    <n v="0"/>
    <n v="68"/>
    <n v="68"/>
    <n v="0"/>
    <n v="0"/>
    <n v="0"/>
    <n v="0"/>
    <n v="0"/>
    <n v="0"/>
    <n v="0"/>
    <n v="0"/>
    <n v="0"/>
    <n v="0"/>
    <n v="0"/>
    <n v="0"/>
    <n v="0"/>
    <n v="68"/>
    <n v="68"/>
    <s v="Retention of use of upper two floors as backpackers hostel (Sui Generis)"/>
    <s v="AF"/>
    <d v="2018-03-15T00:00:00"/>
    <m/>
    <s v="Nil"/>
    <m/>
    <m/>
    <m/>
    <m/>
    <m/>
    <m/>
    <m/>
    <m/>
    <m/>
    <s v="Y"/>
    <n v="6"/>
    <m/>
    <n v="0"/>
    <n v="0"/>
    <n v="0"/>
    <n v="0"/>
    <n v="0"/>
    <n v="22.666666666666668"/>
    <n v="22.666666666666668"/>
    <n v="22.666666666666668"/>
    <n v="0"/>
    <n v="0"/>
    <n v="0"/>
    <n v="0"/>
    <n v="0"/>
    <n v="0"/>
    <n v="0"/>
    <n v="0"/>
    <n v="0"/>
    <n v="0"/>
    <n v="0"/>
    <n v="0"/>
    <n v="0"/>
    <n v="22.666666666666668"/>
    <n v="68"/>
  </r>
  <r>
    <n v="6827"/>
    <x v="3"/>
    <s v="2018/0669"/>
    <m/>
    <s v="Cedars Hall 141, 141 Welham Road"/>
    <n v="528519"/>
    <n v="170963"/>
    <s v="Furzedown"/>
    <m/>
    <m/>
    <n v="0"/>
    <n v="0"/>
    <n v="0"/>
    <n v="0"/>
    <n v="0"/>
    <n v="0"/>
    <n v="0"/>
    <n v="0"/>
    <n v="0"/>
    <n v="0"/>
    <n v="34"/>
    <n v="34"/>
    <n v="0"/>
    <n v="0"/>
    <n v="0"/>
    <n v="0"/>
    <n v="34"/>
    <n v="34"/>
    <s v="Erection of two-storey extension over the existing two-storey element of the existing student accommodation building at the Cedars Hall to provide 34 x 1 bed 1 person units."/>
    <s v="AF"/>
    <d v="2018-02-28T00:00:00"/>
    <m/>
    <s v="Nil"/>
    <m/>
    <m/>
    <m/>
    <m/>
    <s v="P"/>
    <m/>
    <m/>
    <m/>
    <m/>
    <s v="Y"/>
    <n v="6"/>
    <m/>
    <n v="0"/>
    <n v="0"/>
    <n v="0"/>
    <n v="0"/>
    <n v="0"/>
    <n v="11.333333333333334"/>
    <n v="11.333333333333334"/>
    <n v="11.333333333333334"/>
    <n v="0"/>
    <n v="0"/>
    <n v="0"/>
    <n v="0"/>
    <n v="0"/>
    <n v="0"/>
    <n v="0"/>
    <n v="0"/>
    <n v="0"/>
    <n v="0"/>
    <n v="0"/>
    <n v="0"/>
    <n v="0"/>
    <n v="11.333333333333334"/>
    <n v="3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2" cacheId="2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1:B4" firstHeaderRow="1" firstDataRow="1" firstDataCol="1"/>
  <pivotFields count="103">
    <pivotField showAll="0"/>
    <pivotField axis="axisRow" showAll="0">
      <items count="10">
        <item x="0"/>
        <item h="1" x="2"/>
        <item h="1" x="1"/>
        <item h="1" x="3"/>
        <item h="1" x="4"/>
        <item h="1" x="5"/>
        <item h="1" x="6"/>
        <item h="1" x="7"/>
        <item x="8"/>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8"/>
    </i>
    <i t="grand">
      <x/>
    </i>
  </rowItems>
  <colItems count="1">
    <i/>
  </colItems>
  <dataFields count="1">
    <dataField name="Sum of Phase Net Units" fld="13"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PivotTable6" cacheId="2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6:A7" firstHeaderRow="1" firstDataRow="1" firstDataCol="0" rowPageCount="4" colPageCount="1"/>
  <pivotFields count="103">
    <pivotField showAll="0"/>
    <pivotField axis="axisPage" multipleItemSelectionAllowed="1" showAll="0">
      <items count="10">
        <item x="0"/>
        <item x="2"/>
        <item x="1"/>
        <item h="1" x="3"/>
        <item h="1" x="4"/>
        <item h="1" x="5"/>
        <item h="1" x="6"/>
        <item h="1" x="7"/>
        <item x="8"/>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multipleItemSelectionAllowed="1" showAll="0"/>
    <pivotField axis="axisPage" multipleItemSelectionAllowed="1" showAll="0">
      <items count="8">
        <item h="1" x="2"/>
        <item h="1" x="4"/>
        <item x="0"/>
        <item x="1"/>
        <item h="1" x="5"/>
        <item h="1" x="3"/>
        <item m="1" x="6"/>
        <item t="default"/>
      </items>
    </pivotField>
    <pivotField axis="axisPage" multipleItemSelectionAllowed="1" showAll="0">
      <items count="16">
        <item h="1" x="8"/>
        <item h="1" x="7"/>
        <item h="1" x="2"/>
        <item h="1" x="10"/>
        <item h="1" x="11"/>
        <item h="1" x="4"/>
        <item h="1" x="9"/>
        <item h="1" x="5"/>
        <item h="1" x="6"/>
        <item h="1" x="13"/>
        <item h="1" x="12"/>
        <item h="1" x="3"/>
        <item x="0"/>
        <item x="1"/>
        <item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4">
    <pageField fld="21" item="0" hier="-1"/>
    <pageField fld="26" hier="-1"/>
    <pageField fld="27" hier="-1"/>
    <pageField fld="1" hier="-1"/>
  </pageFields>
  <dataFields count="1">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PivotTable1" cacheId="2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6:A7" firstHeaderRow="1" firstDataRow="1" firstDataCol="0" rowPageCount="4" colPageCount="1"/>
  <pivotFields count="103">
    <pivotField showAll="0"/>
    <pivotField axis="axisPage" multipleItemSelectionAllowed="1" showAll="0">
      <items count="10">
        <item x="0"/>
        <item x="2"/>
        <item x="1"/>
        <item h="1" x="3"/>
        <item h="1" x="4"/>
        <item h="1" x="5"/>
        <item h="1" x="6"/>
        <item h="1" x="7"/>
        <item x="8"/>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multipleItemSelectionAllowed="1" showAll="0"/>
    <pivotField axis="axisPage" multipleItemSelectionAllowed="1" showAll="0">
      <items count="8">
        <item x="2"/>
        <item x="4"/>
        <item x="0"/>
        <item h="1" x="1"/>
        <item x="5"/>
        <item x="3"/>
        <item m="1" x="6"/>
        <item t="default"/>
      </items>
    </pivotField>
    <pivotField axis="axisPage" multipleItemSelectionAllowed="1" showAll="0">
      <items count="16">
        <item x="8"/>
        <item x="7"/>
        <item x="2"/>
        <item x="10"/>
        <item x="11"/>
        <item x="4"/>
        <item x="9"/>
        <item x="5"/>
        <item x="6"/>
        <item x="13"/>
        <item x="12"/>
        <item x="3"/>
        <item h="1" x="0"/>
        <item x="1"/>
        <item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4">
    <pageField fld="21" item="0" hier="-1"/>
    <pageField fld="26" hier="-1"/>
    <pageField fld="27" hier="-1"/>
    <pageField fld="1" hier="-1"/>
  </pageFields>
  <dataFields count="1">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PivotTable7" cacheId="2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6:A7" firstHeaderRow="1" firstDataRow="1" firstDataCol="0" rowPageCount="4" colPageCount="1"/>
  <pivotFields count="103">
    <pivotField showAll="0"/>
    <pivotField axis="axisPage" multipleItemSelectionAllowed="1" showAll="0">
      <items count="10">
        <item x="0"/>
        <item x="2"/>
        <item x="1"/>
        <item x="3"/>
        <item x="4"/>
        <item x="5"/>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axis="axisPage" multipleItemSelectionAllowed="1" showAll="0">
      <items count="8">
        <item h="1" x="2"/>
        <item h="1" x="4"/>
        <item x="0"/>
        <item x="1"/>
        <item h="1" x="5"/>
        <item h="1" x="3"/>
        <item m="1" x="6"/>
        <item t="default"/>
      </items>
    </pivotField>
    <pivotField axis="axisPage" multipleItemSelectionAllowed="1" showAll="0">
      <items count="16">
        <item h="1" x="8"/>
        <item h="1" x="7"/>
        <item h="1" x="2"/>
        <item h="1" x="10"/>
        <item h="1" x="11"/>
        <item h="1" x="4"/>
        <item h="1" x="9"/>
        <item h="1" x="5"/>
        <item h="1" x="6"/>
        <item h="1" x="13"/>
        <item h="1" x="12"/>
        <item h="1" x="3"/>
        <item x="0"/>
        <item x="1"/>
        <item m="1" x="14"/>
        <item t="default"/>
      </items>
    </pivotField>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4">
    <pageField fld="30" item="0" hier="-1"/>
    <pageField fld="26" hier="-1"/>
    <pageField fld="27" hier="-1"/>
    <pageField fld="1" hier="-1"/>
  </pageFields>
  <dataFields count="1">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7" cacheId="2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6:A7" firstHeaderRow="1" firstDataRow="1" firstDataCol="0" rowPageCount="4" colPageCount="1"/>
  <pivotFields count="103">
    <pivotField showAll="0"/>
    <pivotField axis="axisPage" multipleItemSelectionAllowed="1" showAll="0">
      <items count="10">
        <item x="0"/>
        <item x="2"/>
        <item x="1"/>
        <item x="3"/>
        <item x="4"/>
        <item x="5"/>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axis="axisPage" multipleItemSelectionAllowed="1" showAll="0">
      <items count="8">
        <item x="2"/>
        <item x="4"/>
        <item x="0"/>
        <item h="1" x="1"/>
        <item x="5"/>
        <item x="3"/>
        <item m="1" x="6"/>
        <item t="default"/>
      </items>
    </pivotField>
    <pivotField axis="axisPage" multipleItemSelectionAllowed="1" showAll="0">
      <items count="16">
        <item x="8"/>
        <item x="7"/>
        <item x="2"/>
        <item x="10"/>
        <item x="11"/>
        <item x="4"/>
        <item x="9"/>
        <item x="5"/>
        <item x="6"/>
        <item x="13"/>
        <item x="12"/>
        <item x="3"/>
        <item h="1" x="0"/>
        <item x="1"/>
        <item m="1" x="14"/>
        <item t="default"/>
      </items>
    </pivotField>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4">
    <pageField fld="30" item="0" hier="-1"/>
    <pageField fld="26" hier="-1"/>
    <pageField fld="27" hier="-1"/>
    <pageField fld="1" hier="-1"/>
  </pageFields>
  <dataFields count="1">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1600-000000000000}" name="PivotTable8" cacheId="2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E8" firstHeaderRow="1" firstDataRow="2" firstDataCol="1" rowPageCount="1" colPageCount="1"/>
  <pivotFields count="103">
    <pivotField showAll="0"/>
    <pivotField axis="axisRow" showAll="0">
      <items count="10">
        <item x="0"/>
        <item x="2"/>
        <item x="1"/>
        <item h="1" x="3"/>
        <item h="1" x="4"/>
        <item h="1" x="5"/>
        <item h="1" x="6"/>
        <item h="1" x="7"/>
        <item x="8"/>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multipleItemSelectionAllowed="1" showAll="0"/>
    <pivotField showAll="0"/>
    <pivotField showAll="0"/>
    <pivotField showAll="0"/>
    <pivotField showAll="0"/>
    <pivotField showAll="0"/>
    <pivotField showAll="0"/>
    <pivotField axis="axisCol" showAll="0">
      <items count="5">
        <item x="0"/>
        <item x="1"/>
        <item x="2"/>
        <item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32"/>
  </colFields>
  <colItems count="4">
    <i>
      <x/>
    </i>
    <i>
      <x v="1"/>
    </i>
    <i>
      <x v="2"/>
    </i>
    <i t="grand">
      <x/>
    </i>
  </colItems>
  <pageFields count="1">
    <pageField fld="21" item="0" hier="-1"/>
  </pageFields>
  <dataFields count="1">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1700-000000000000}" name="PivotTable9" cacheId="2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E7" firstHeaderRow="1" firstDataRow="2" firstDataCol="1" rowPageCount="1" colPageCount="1"/>
  <pivotFields count="103">
    <pivotField showAll="0"/>
    <pivotField axis="axisRow" showAll="0">
      <items count="10">
        <item x="0"/>
        <item x="2"/>
        <item x="1"/>
        <item h="1" x="3"/>
        <item h="1" x="4"/>
        <item h="1" x="5"/>
        <item h="1" x="6"/>
        <item h="1" x="7"/>
        <item x="8"/>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axis="axisPage" showAll="0">
      <items count="3">
        <item x="1"/>
        <item x="0"/>
        <item t="default"/>
      </items>
    </pivotField>
    <pivotField showAll="0"/>
    <pivotField axis="axisCol" showAll="0">
      <items count="5">
        <item x="0"/>
        <item x="1"/>
        <item x="2"/>
        <item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Fields count="1">
    <field x="32"/>
  </colFields>
  <colItems count="4">
    <i>
      <x/>
    </i>
    <i>
      <x v="1"/>
    </i>
    <i>
      <x v="2"/>
    </i>
    <i t="grand">
      <x/>
    </i>
  </colItems>
  <pageFields count="1">
    <pageField fld="30" item="0" hier="-1"/>
  </pageFields>
  <dataFields count="1">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1800-000000000000}" name="PivotTable10" cacheId="2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1:J6" firstHeaderRow="1" firstDataRow="3" firstDataCol="1"/>
  <pivotFields count="103">
    <pivotField showAll="0"/>
    <pivotField axis="axisRow" showAll="0">
      <items count="10">
        <item x="0"/>
        <item h="1" x="2"/>
        <item h="1" x="1"/>
        <item h="1" x="3"/>
        <item h="1" x="4"/>
        <item h="1" x="5"/>
        <item h="1" x="6"/>
        <item h="1" x="7"/>
        <item x="8"/>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axis="axisCol" showAll="0">
      <items count="5">
        <item x="0"/>
        <item x="1"/>
        <item x="2"/>
        <item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8"/>
    </i>
    <i t="grand">
      <x/>
    </i>
  </rowItems>
  <colFields count="2">
    <field x="70"/>
    <field x="32"/>
  </colFields>
  <colItems count="9">
    <i>
      <x/>
      <x/>
    </i>
    <i r="1">
      <x v="1"/>
    </i>
    <i r="1">
      <x v="2"/>
    </i>
    <i t="default">
      <x/>
    </i>
    <i>
      <x v="1"/>
      <x/>
    </i>
    <i r="1">
      <x v="1"/>
    </i>
    <i r="1">
      <x v="2"/>
    </i>
    <i t="default">
      <x v="1"/>
    </i>
    <i t="grand">
      <x/>
    </i>
  </colItems>
  <dataFields count="1">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1900-000000000000}" name="PivotTable11" cacheId="2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6:B7" firstHeaderRow="0" firstDataRow="1" firstDataCol="0" rowPageCount="4" colPageCount="1"/>
  <pivotFields count="103">
    <pivotField showAll="0"/>
    <pivotField axis="axisPage" multipleItemSelectionAllowed="1" showAll="0">
      <items count="10">
        <item x="0"/>
        <item x="2"/>
        <item x="1"/>
        <item h="1" x="3"/>
        <item h="1" x="4"/>
        <item h="1" x="5"/>
        <item h="1" x="6"/>
        <item h="1" x="7"/>
        <item x="8"/>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multipleItemSelectionAllowed="1" showAll="0"/>
    <pivotField axis="axisPage" multipleItemSelectionAllowed="1" showAll="0">
      <items count="8">
        <item h="1" x="2"/>
        <item h="1" x="4"/>
        <item x="0"/>
        <item x="1"/>
        <item h="1" x="5"/>
        <item h="1" x="3"/>
        <item m="1" x="6"/>
        <item t="default"/>
      </items>
    </pivotField>
    <pivotField axis="axisPage" multipleItemSelectionAllowed="1" showAll="0">
      <items count="16">
        <item h="1" x="8"/>
        <item h="1" x="7"/>
        <item h="1" x="2"/>
        <item h="1" x="10"/>
        <item h="1" x="11"/>
        <item h="1" x="4"/>
        <item h="1" x="9"/>
        <item h="1" x="5"/>
        <item h="1" x="6"/>
        <item h="1" x="13"/>
        <item h="1" x="12"/>
        <item h="1" x="3"/>
        <item x="0"/>
        <item x="1"/>
        <item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2">
    <i>
      <x/>
    </i>
    <i i="1">
      <x v="1"/>
    </i>
  </colItems>
  <pageFields count="4">
    <pageField fld="21" item="0" hier="-1"/>
    <pageField fld="1" hier="-1"/>
    <pageField fld="26" hier="-1"/>
    <pageField fld="27" hier="-1"/>
  </pageFields>
  <dataFields count="2">
    <dataField name="Sum of Phase Proposed Units" fld="12" baseField="0" baseItem="0"/>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1A00-000000000000}" name="PivotTable12" cacheId="2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6:B7" firstHeaderRow="0" firstDataRow="1" firstDataCol="0" rowPageCount="4" colPageCount="1"/>
  <pivotFields count="103">
    <pivotField showAll="0"/>
    <pivotField axis="axisPage" multipleItemSelectionAllowed="1" showAll="0">
      <items count="10">
        <item x="0"/>
        <item x="2"/>
        <item x="1"/>
        <item h="1" x="3"/>
        <item h="1" x="4"/>
        <item h="1" x="5"/>
        <item h="1" x="6"/>
        <item h="1" x="7"/>
        <item x="8"/>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multipleItemSelectionAllowed="1" showAll="0"/>
    <pivotField axis="axisPage" multipleItemSelectionAllowed="1" showAll="0">
      <items count="8">
        <item x="2"/>
        <item x="4"/>
        <item x="0"/>
        <item h="1" x="1"/>
        <item x="5"/>
        <item x="3"/>
        <item m="1" x="6"/>
        <item t="default"/>
      </items>
    </pivotField>
    <pivotField axis="axisPage" multipleItemSelectionAllowed="1" showAll="0">
      <items count="16">
        <item x="8"/>
        <item x="7"/>
        <item x="2"/>
        <item x="10"/>
        <item x="11"/>
        <item x="4"/>
        <item x="9"/>
        <item x="5"/>
        <item x="6"/>
        <item x="13"/>
        <item x="12"/>
        <item x="3"/>
        <item h="1" x="0"/>
        <item x="1"/>
        <item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2">
    <i>
      <x/>
    </i>
    <i i="1">
      <x v="1"/>
    </i>
  </colItems>
  <pageFields count="4">
    <pageField fld="21" item="0" hier="-1"/>
    <pageField fld="1" hier="-1"/>
    <pageField fld="26" hier="-1"/>
    <pageField fld="27" hier="-1"/>
  </pageFields>
  <dataFields count="2">
    <dataField name="Sum of Phase Proposed Units" fld="12" baseField="0" baseItem="0"/>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1B00-000000000000}" name="PivotTable13" cacheId="2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B9" firstHeaderRow="1" firstDataRow="1" firstDataCol="1" rowPageCount="1" colPageCount="1"/>
  <pivotFields count="103">
    <pivotField showAll="0"/>
    <pivotField axis="axisPage" multipleItemSelectionAllowed="1" showAll="0">
      <items count="10">
        <item x="0"/>
        <item h="1" x="2"/>
        <item h="1" x="1"/>
        <item h="1" x="3"/>
        <item h="1" x="4"/>
        <item h="1" x="5"/>
        <item h="1" x="6"/>
        <item h="1" x="7"/>
        <item x="8"/>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2"/>
        <item x="5"/>
        <item x="3"/>
        <item x="1"/>
        <item x="4"/>
        <item h="1" x="0"/>
        <item t="default"/>
      </items>
    </pivotField>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9"/>
  </rowFields>
  <rowItems count="6">
    <i>
      <x/>
    </i>
    <i>
      <x v="1"/>
    </i>
    <i>
      <x v="2"/>
    </i>
    <i>
      <x v="3"/>
    </i>
    <i>
      <x v="4"/>
    </i>
    <i t="grand">
      <x/>
    </i>
  </rowItems>
  <colItems count="1">
    <i/>
  </colItems>
  <pageFields count="1">
    <pageField fld="1" hier="-1"/>
  </pageFields>
  <dataFields count="1">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3" cacheId="25"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1:B3" firstHeaderRow="1" firstDataRow="1" firstDataCol="1"/>
  <pivotFields count="68">
    <pivotField showAll="0"/>
    <pivotField axis="axisRow"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Items count="1">
    <i/>
  </colItems>
  <dataFields count="1">
    <dataField name="Sum of Net Non-Self-Contained Rooms" fld="2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1C00-000000000000}" name="PivotTable14" cacheId="2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B24" firstHeaderRow="1" firstDataRow="1" firstDataCol="1" rowPageCount="1" colPageCount="1"/>
  <pivotFields count="103">
    <pivotField showAll="0"/>
    <pivotField axis="axisPage" multipleItemSelectionAllowed="1" showAll="0">
      <items count="10">
        <item x="0"/>
        <item h="1" x="2"/>
        <item h="1" x="1"/>
        <item h="1" x="3"/>
        <item h="1" x="4"/>
        <item h="1" x="5"/>
        <item h="1" x="6"/>
        <item h="1" x="7"/>
        <item x="8"/>
        <item t="default"/>
      </items>
    </pivotField>
    <pivotField showAll="0"/>
    <pivotField showAll="0"/>
    <pivotField showAll="0"/>
    <pivotField showAll="0"/>
    <pivotField showAll="0"/>
    <pivotField showAll="0"/>
    <pivotField axis="axisRow" showAll="0">
      <items count="22">
        <item x="9"/>
        <item x="3"/>
        <item x="18"/>
        <item x="16"/>
        <item x="0"/>
        <item x="12"/>
        <item x="8"/>
        <item x="2"/>
        <item x="11"/>
        <item x="14"/>
        <item x="6"/>
        <item x="15"/>
        <item x="10"/>
        <item x="5"/>
        <item x="1"/>
        <item x="13"/>
        <item x="4"/>
        <item x="17"/>
        <item x="19"/>
        <item x="7"/>
        <item x="20"/>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
  </rowFields>
  <rowItems count="21">
    <i>
      <x/>
    </i>
    <i>
      <x v="1"/>
    </i>
    <i>
      <x v="2"/>
    </i>
    <i>
      <x v="3"/>
    </i>
    <i>
      <x v="4"/>
    </i>
    <i>
      <x v="5"/>
    </i>
    <i>
      <x v="6"/>
    </i>
    <i>
      <x v="7"/>
    </i>
    <i>
      <x v="8"/>
    </i>
    <i>
      <x v="9"/>
    </i>
    <i>
      <x v="10"/>
    </i>
    <i>
      <x v="11"/>
    </i>
    <i>
      <x v="12"/>
    </i>
    <i>
      <x v="13"/>
    </i>
    <i>
      <x v="14"/>
    </i>
    <i>
      <x v="15"/>
    </i>
    <i>
      <x v="16"/>
    </i>
    <i>
      <x v="17"/>
    </i>
    <i>
      <x v="18"/>
    </i>
    <i>
      <x v="19"/>
    </i>
    <i t="grand">
      <x/>
    </i>
  </rowItems>
  <colItems count="1">
    <i/>
  </colItems>
  <pageFields count="1">
    <pageField fld="1" hier="-1"/>
  </pageFields>
  <dataFields count="1">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1D00-000000000000}" name="PivotTable16" cacheId="2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4:A5" firstHeaderRow="1" firstDataRow="1" firstDataCol="0" rowPageCount="2" colPageCount="1"/>
  <pivotFields count="103">
    <pivotField showAll="0"/>
    <pivotField axis="axisPage" multipleItemSelectionAllowed="1" showAll="0">
      <items count="10">
        <item x="0"/>
        <item h="1" x="2"/>
        <item h="1" x="1"/>
        <item h="1" x="3"/>
        <item h="1" x="4"/>
        <item h="1" x="5"/>
        <item h="1" x="6"/>
        <item h="1" x="7"/>
        <item x="8"/>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71" item="0" hier="-1"/>
  </pageFields>
  <dataFields count="1">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1E00-000000000000}" name="PivotTable17" cacheId="22" applyNumberFormats="0" applyBorderFormats="0" applyFontFormats="0" applyPatternFormats="0" applyAlignmentFormats="0" applyWidthHeightFormats="1" dataCaption="Values" missingCaption="0" updatedVersion="6" minRefreshableVersion="3" useAutoFormatting="1" itemPrintTitles="1" createdVersion="4" indent="0" outline="1" outlineData="1" multipleFieldFilters="0">
  <location ref="A4:A5" firstHeaderRow="1" firstDataRow="1" firstDataCol="0" rowPageCount="2" colPageCount="1"/>
  <pivotFields count="103">
    <pivotField showAll="0"/>
    <pivotField axis="axisPage" multipleItemSelectionAllowed="1" showAll="0">
      <items count="10">
        <item x="0"/>
        <item h="1" x="2"/>
        <item h="1" x="1"/>
        <item h="1" x="3"/>
        <item h="1" x="4"/>
        <item h="1" x="5"/>
        <item h="1" x="6"/>
        <item h="1" x="7"/>
        <item x="8"/>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72" item="0" hier="-1"/>
  </pageFields>
  <dataFields count="1">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1F00-000000000000}" name="PivotTable18" cacheId="22" applyNumberFormats="0" applyBorderFormats="0" applyFontFormats="0" applyPatternFormats="0" applyAlignmentFormats="0" applyWidthHeightFormats="1" dataCaption="Values" missingCaption="0" updatedVersion="6" minRefreshableVersion="3" useAutoFormatting="1" itemPrintTitles="1" createdVersion="4" indent="0" outline="1" outlineData="1" multipleFieldFilters="0">
  <location ref="A3:B5" firstHeaderRow="1" firstDataRow="1" firstDataCol="1" rowPageCount="1" colPageCount="1"/>
  <pivotFields count="103">
    <pivotField showAll="0"/>
    <pivotField axis="axisPage" multipleItemSelectionAllowed="1" showAll="0">
      <items count="10">
        <item x="0"/>
        <item h="1" x="2"/>
        <item h="1" x="1"/>
        <item h="1" x="3"/>
        <item h="1" x="4"/>
        <item h="1" x="5"/>
        <item h="1" x="6"/>
        <item h="1" x="7"/>
        <item x="8"/>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h="1" x="0"/>
        <item t="default"/>
      </items>
    </pivotField>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0"/>
  </rowFields>
  <rowItems count="2">
    <i>
      <x/>
    </i>
    <i t="grand">
      <x/>
    </i>
  </rowItems>
  <colItems count="1">
    <i/>
  </colItems>
  <pageFields count="1">
    <pageField fld="1" hier="-1"/>
  </pageFields>
  <dataFields count="1">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2000-000000000000}" name="PivotTable19" cacheId="22" applyNumberFormats="0" applyBorderFormats="0" applyFontFormats="0" applyPatternFormats="0" applyAlignmentFormats="0" applyWidthHeightFormats="1" dataCaption="Values" missingCaption="0" updatedVersion="6" minRefreshableVersion="3" useAutoFormatting="1" itemPrintTitles="1" createdVersion="4" indent="0" outline="1" outlineData="1" multipleFieldFilters="0">
  <location ref="A3:A4" firstHeaderRow="1" firstDataRow="1" firstDataCol="0" rowPageCount="1" colPageCount="1"/>
  <pivotFields count="103">
    <pivotField showAll="0"/>
    <pivotField axis="axisPage" multipleItemSelectionAllowed="1" showAll="0">
      <items count="10">
        <item x="0"/>
        <item h="1" x="2"/>
        <item h="1" x="1"/>
        <item h="1" x="3"/>
        <item h="1" x="4"/>
        <item h="1" x="5"/>
        <item h="1" x="6"/>
        <item h="1" x="7"/>
        <item x="8"/>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1" hier="-1"/>
  </pageFields>
  <dataFields count="1">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2100-000000000000}" name="PivotTable20" cacheId="22" applyNumberFormats="0" applyBorderFormats="0" applyFontFormats="0" applyPatternFormats="0" applyAlignmentFormats="0" applyWidthHeightFormats="1" dataCaption="Values" missingCaption="0" updatedVersion="6" minRefreshableVersion="3" useAutoFormatting="1" itemPrintTitles="1" createdVersion="4" indent="0" outline="1" outlineData="1" multipleFieldFilters="0">
  <location ref="A4:A5" firstHeaderRow="1" firstDataRow="1" firstDataCol="0" rowPageCount="2" colPageCount="1"/>
  <pivotFields count="103">
    <pivotField showAll="0"/>
    <pivotField axis="axisPage" multipleItemSelectionAllowed="1" showAll="0">
      <items count="10">
        <item x="0"/>
        <item h="1" x="2"/>
        <item h="1" x="1"/>
        <item h="1" x="3"/>
        <item h="1" x="4"/>
        <item h="1" x="5"/>
        <item h="1" x="6"/>
        <item h="1" x="7"/>
        <item x="8"/>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76" item="0" hier="-1"/>
  </pageFields>
  <dataFields count="1">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2200-000000000000}" name="PivotTable21" cacheId="22" applyNumberFormats="0" applyBorderFormats="0" applyFontFormats="0" applyPatternFormats="0" applyAlignmentFormats="0" applyWidthHeightFormats="1" dataCaption="Values" missingCaption="0" updatedVersion="6" minRefreshableVersion="3" useAutoFormatting="1" itemPrintTitles="1" createdVersion="4" indent="0" outline="1" outlineData="1" multipleFieldFilters="0">
  <location ref="A3:B5" firstHeaderRow="1" firstDataRow="1" firstDataCol="1" rowPageCount="1" colPageCount="1"/>
  <pivotFields count="103">
    <pivotField showAll="0"/>
    <pivotField axis="axisPage" multipleItemSelectionAllowed="1" showAll="0">
      <items count="10">
        <item x="0"/>
        <item h="1" x="2"/>
        <item h="1" x="1"/>
        <item h="1" x="3"/>
        <item h="1" x="4"/>
        <item h="1" x="5"/>
        <item h="1" x="6"/>
        <item h="1" x="7"/>
        <item x="8"/>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
        <item x="0"/>
        <item t="default"/>
      </items>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4"/>
  </rowFields>
  <rowItems count="2">
    <i>
      <x/>
    </i>
    <i t="grand">
      <x/>
    </i>
  </rowItems>
  <colItems count="1">
    <i/>
  </colItems>
  <pageFields count="1">
    <pageField fld="1" hier="-1"/>
  </pageFields>
  <dataFields count="1">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2300-000000000000}" name="PivotTable22" cacheId="22" applyNumberFormats="0" applyBorderFormats="0" applyFontFormats="0" applyPatternFormats="0" applyAlignmentFormats="0" applyWidthHeightFormats="1" dataCaption="Values" missingCaption="0" updatedVersion="6" minRefreshableVersion="3" useAutoFormatting="1" itemPrintTitles="1" createdVersion="4" indent="0" outline="1" outlineData="1" multipleFieldFilters="0">
  <location ref="A4:A5" firstHeaderRow="1" firstDataRow="1" firstDataCol="0" rowPageCount="2" colPageCount="1"/>
  <pivotFields count="103">
    <pivotField showAll="0"/>
    <pivotField axis="axisPage" multipleItemSelectionAllowed="1" showAll="0">
      <items count="10">
        <item x="0"/>
        <item h="1" x="2"/>
        <item h="1" x="1"/>
        <item h="1" x="3"/>
        <item h="1" x="4"/>
        <item h="1" x="5"/>
        <item h="1" x="6"/>
        <item h="1" x="7"/>
        <item x="8"/>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73" item="0" hier="-1"/>
  </pageFields>
  <dataFields count="1">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2400-000000000000}" name="PivotTable23" cacheId="22" applyNumberFormats="0" applyBorderFormats="0" applyFontFormats="0" applyPatternFormats="0" applyAlignmentFormats="0" applyWidthHeightFormats="1" dataCaption="Values" missingCaption="0" updatedVersion="6" minRefreshableVersion="3" useAutoFormatting="1" itemPrintTitles="1" createdVersion="4" indent="0" outline="1" outlineData="1" multipleFieldFilters="0">
  <location ref="A1:F23" firstHeaderRow="1" firstDataRow="2" firstDataCol="1"/>
  <pivotFields count="103">
    <pivotField showAll="0"/>
    <pivotField axis="axisCol" multipleItemSelectionAllowed="1" showAll="0">
      <items count="10">
        <item x="0"/>
        <item x="8"/>
        <item x="2"/>
        <item x="1"/>
        <item h="1" x="3"/>
        <item h="1" x="4"/>
        <item h="1" x="5"/>
        <item h="1" x="6"/>
        <item h="1" x="7"/>
        <item t="default"/>
      </items>
    </pivotField>
    <pivotField showAll="0"/>
    <pivotField showAll="0"/>
    <pivotField showAll="0"/>
    <pivotField showAll="0"/>
    <pivotField showAll="0"/>
    <pivotField showAll="0"/>
    <pivotField axis="axisRow" showAll="0">
      <items count="22">
        <item x="9"/>
        <item x="3"/>
        <item x="18"/>
        <item x="16"/>
        <item x="0"/>
        <item x="12"/>
        <item x="8"/>
        <item x="2"/>
        <item x="11"/>
        <item x="14"/>
        <item x="6"/>
        <item x="15"/>
        <item x="10"/>
        <item x="5"/>
        <item x="1"/>
        <item x="13"/>
        <item x="4"/>
        <item x="17"/>
        <item x="19"/>
        <item x="7"/>
        <item x="20"/>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
  </rowFields>
  <rowItems count="21">
    <i>
      <x/>
    </i>
    <i>
      <x v="1"/>
    </i>
    <i>
      <x v="2"/>
    </i>
    <i>
      <x v="3"/>
    </i>
    <i>
      <x v="4"/>
    </i>
    <i>
      <x v="5"/>
    </i>
    <i>
      <x v="6"/>
    </i>
    <i>
      <x v="7"/>
    </i>
    <i>
      <x v="8"/>
    </i>
    <i>
      <x v="9"/>
    </i>
    <i>
      <x v="10"/>
    </i>
    <i>
      <x v="11"/>
    </i>
    <i>
      <x v="12"/>
    </i>
    <i>
      <x v="13"/>
    </i>
    <i>
      <x v="14"/>
    </i>
    <i>
      <x v="15"/>
    </i>
    <i>
      <x v="16"/>
    </i>
    <i>
      <x v="17"/>
    </i>
    <i>
      <x v="18"/>
    </i>
    <i>
      <x v="19"/>
    </i>
    <i t="grand">
      <x/>
    </i>
  </rowItems>
  <colFields count="1">
    <field x="1"/>
  </colFields>
  <colItems count="5">
    <i>
      <x/>
    </i>
    <i>
      <x v="1"/>
    </i>
    <i>
      <x v="2"/>
    </i>
    <i>
      <x v="3"/>
    </i>
    <i t="grand">
      <x/>
    </i>
  </colItems>
  <dataFields count="1">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2500-000000000000}" name="PivotTable24" cacheId="22" applyNumberFormats="0" applyBorderFormats="0" applyFontFormats="0" applyPatternFormats="0" applyAlignmentFormats="0" applyWidthHeightFormats="1" dataCaption="Values" missingCaption="0" updatedVersion="6" minRefreshableVersion="3" useAutoFormatting="1" itemPrintTitles="1" createdVersion="4" indent="0" outline="1" outlineData="1" multipleFieldFilters="0">
  <location ref="A1:P6" firstHeaderRow="1" firstDataRow="3" firstDataCol="1"/>
  <pivotFields count="103">
    <pivotField showAll="0"/>
    <pivotField axis="axisCol" multipleItemSelectionAllowed="1" showAll="0">
      <items count="10">
        <item x="1"/>
        <item x="2"/>
        <item x="0"/>
        <item x="8"/>
        <item h="1" x="3"/>
        <item h="1" x="4"/>
        <item h="1" x="5"/>
        <item h="1" x="6"/>
        <item h="1" x="7"/>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axis="axisCol" showAll="0">
      <items count="5">
        <item x="0"/>
        <item x="1"/>
        <item x="2"/>
        <item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3">
        <item x="1"/>
        <item x="0"/>
        <item t="default"/>
      </items>
    </pivotField>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0"/>
  </rowFields>
  <rowItems count="3">
    <i>
      <x/>
    </i>
    <i>
      <x v="1"/>
    </i>
    <i t="grand">
      <x/>
    </i>
  </rowItems>
  <colFields count="2">
    <field x="1"/>
    <field x="32"/>
  </colFields>
  <colItems count="15">
    <i>
      <x/>
      <x/>
    </i>
    <i r="1">
      <x v="1"/>
    </i>
    <i r="1">
      <x v="2"/>
    </i>
    <i t="default">
      <x/>
    </i>
    <i>
      <x v="1"/>
      <x/>
    </i>
    <i r="1">
      <x v="1"/>
    </i>
    <i r="1">
      <x v="2"/>
    </i>
    <i t="default">
      <x v="1"/>
    </i>
    <i>
      <x v="2"/>
      <x/>
    </i>
    <i r="1">
      <x v="1"/>
    </i>
    <i r="1">
      <x v="2"/>
    </i>
    <i t="default">
      <x v="2"/>
    </i>
    <i>
      <x v="3"/>
      <x/>
    </i>
    <i t="default">
      <x v="3"/>
    </i>
    <i t="grand">
      <x/>
    </i>
  </colItems>
  <dataFields count="1">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2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1:E5" firstHeaderRow="1" firstDataRow="2" firstDataCol="1"/>
  <pivotFields count="103">
    <pivotField showAll="0"/>
    <pivotField axis="axisRow" showAll="0">
      <items count="10">
        <item x="0"/>
        <item h="1" x="2"/>
        <item h="1" x="1"/>
        <item h="1" x="3"/>
        <item h="1" x="4"/>
        <item h="1" x="5"/>
        <item h="1" x="6"/>
        <item h="1" x="7"/>
        <item x="8"/>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1"/>
        <item x="0"/>
        <item x="2"/>
        <item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8"/>
    </i>
    <i t="grand">
      <x/>
    </i>
  </rowItems>
  <colFields count="1">
    <field x="32"/>
  </colFields>
  <colItems count="4">
    <i>
      <x/>
    </i>
    <i>
      <x v="1"/>
    </i>
    <i>
      <x v="2"/>
    </i>
    <i t="grand">
      <x/>
    </i>
  </colItems>
  <dataFields count="1">
    <dataField name="Sum of Phase Net Units" fld="13"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2600-000000000000}" name="PivotTable1" cacheId="22" applyNumberFormats="0" applyBorderFormats="0" applyFontFormats="0" applyPatternFormats="0" applyAlignmentFormats="0" applyWidthHeightFormats="1" dataCaption="Values" missingCaption="0" updatedVersion="6" minRefreshableVersion="3" useAutoFormatting="1" itemPrintTitles="1" createdVersion="4" indent="0" outline="1" outlineData="1" multipleFieldFilters="0">
  <location ref="A4:I8" firstHeaderRow="0" firstDataRow="1" firstDataCol="1" rowPageCount="2" colPageCount="1"/>
  <pivotFields count="103">
    <pivotField showAll="0"/>
    <pivotField axis="axisPage" multipleItemSelectionAllowed="1" showAll="0">
      <items count="10">
        <item x="0"/>
        <item h="1" x="2"/>
        <item h="1" x="1"/>
        <item h="1" x="3"/>
        <item h="1" x="4"/>
        <item h="1" x="5"/>
        <item h="1" x="6"/>
        <item h="1" x="7"/>
        <item x="8"/>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x="0"/>
        <item h="1" x="1"/>
        <item h="1" x="3"/>
        <item h="1" x="2"/>
        <item h="1" x="4"/>
        <item m="1" x="5"/>
        <item t="default"/>
      </items>
    </pivotField>
    <pivotField showAll="0"/>
    <pivotField showAll="0"/>
    <pivotField showAll="0"/>
    <pivotField showAll="0"/>
    <pivotField showAll="0"/>
    <pivotField showAll="0"/>
    <pivotField axis="axisRow" showAll="0">
      <items count="5">
        <item x="0"/>
        <item x="1"/>
        <item x="2"/>
        <item m="1" x="3"/>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2"/>
  </rowFields>
  <rowItems count="4">
    <i>
      <x/>
    </i>
    <i>
      <x v="1"/>
    </i>
    <i>
      <x v="2"/>
    </i>
    <i t="grand">
      <x/>
    </i>
  </rowItems>
  <colFields count="1">
    <field x="-2"/>
  </colFields>
  <colItems count="8">
    <i>
      <x/>
    </i>
    <i i="1">
      <x v="1"/>
    </i>
    <i i="2">
      <x v="2"/>
    </i>
    <i i="3">
      <x v="3"/>
    </i>
    <i i="4">
      <x v="4"/>
    </i>
    <i i="5">
      <x v="5"/>
    </i>
    <i i="6">
      <x v="6"/>
    </i>
    <i i="7">
      <x v="7"/>
    </i>
  </colItems>
  <pageFields count="2">
    <pageField fld="1" hier="-1"/>
    <pageField fld="25" hier="-1"/>
  </pageFields>
  <dataFields count="8">
    <dataField name="Sum of Net Studio Units" fld="40" baseField="0" baseItem="0"/>
    <dataField name="Sum of Net 1 Bed Units" fld="41" baseField="0" baseItem="0"/>
    <dataField name="Sum of Net 2 Bed Units" fld="42" baseField="0" baseItem="0"/>
    <dataField name="Sum of Net 3 Bed Units" fld="43" baseField="0" baseItem="0"/>
    <dataField name="Sum of Net 4 Bed Units" fld="44" baseField="0" baseItem="0"/>
    <dataField name="Sum of Net 5+ Bed Units" fld="45" baseField="0" baseItem="0"/>
    <dataField name="Sum of Net Not Known Bed Units" fld="46" baseField="0" baseItem="0"/>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2700-000000000000}" name="PivotTable2" cacheId="22" applyNumberFormats="0" applyBorderFormats="0" applyFontFormats="0" applyPatternFormats="0" applyAlignmentFormats="0" applyWidthHeightFormats="1" dataCaption="Values" missingCaption="0" updatedVersion="6" minRefreshableVersion="3" useAutoFormatting="1" itemPrintTitles="1" createdVersion="4" indent="0" outline="1" outlineData="1" multipleFieldFilters="0">
  <location ref="A4:I8" firstHeaderRow="0" firstDataRow="1" firstDataCol="1" rowPageCount="2" colPageCount="1"/>
  <pivotFields count="103">
    <pivotField showAll="0"/>
    <pivotField axis="axisPage" multipleItemSelectionAllowed="1" showAll="0">
      <items count="10">
        <item h="1" x="0"/>
        <item x="2"/>
        <item x="1"/>
        <item h="1" x="3"/>
        <item h="1" x="4"/>
        <item h="1" x="5"/>
        <item h="1" x="6"/>
        <item h="1" x="7"/>
        <item h="1" x="8"/>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x="0"/>
        <item h="1" x="1"/>
        <item h="1" x="3"/>
        <item h="1" x="2"/>
        <item h="1" x="4"/>
        <item m="1" x="5"/>
        <item t="default"/>
      </items>
    </pivotField>
    <pivotField showAll="0"/>
    <pivotField showAll="0"/>
    <pivotField showAll="0"/>
    <pivotField showAll="0"/>
    <pivotField showAll="0"/>
    <pivotField showAll="0"/>
    <pivotField axis="axisRow" showAll="0">
      <items count="5">
        <item x="0"/>
        <item x="1"/>
        <item x="2"/>
        <item m="1" x="3"/>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2"/>
  </rowFields>
  <rowItems count="4">
    <i>
      <x/>
    </i>
    <i>
      <x v="1"/>
    </i>
    <i>
      <x v="2"/>
    </i>
    <i t="grand">
      <x/>
    </i>
  </rowItems>
  <colFields count="1">
    <field x="-2"/>
  </colFields>
  <colItems count="8">
    <i>
      <x/>
    </i>
    <i i="1">
      <x v="1"/>
    </i>
    <i i="2">
      <x v="2"/>
    </i>
    <i i="3">
      <x v="3"/>
    </i>
    <i i="4">
      <x v="4"/>
    </i>
    <i i="5">
      <x v="5"/>
    </i>
    <i i="6">
      <x v="6"/>
    </i>
    <i i="7">
      <x v="7"/>
    </i>
  </colItems>
  <pageFields count="2">
    <pageField fld="1" hier="-1"/>
    <pageField fld="25" hier="-1"/>
  </pageFields>
  <dataFields count="8">
    <dataField name="Sum of Net Studio Units" fld="40" baseField="0" baseItem="0"/>
    <dataField name="Sum of Net 1 Bed Units" fld="41" baseField="0" baseItem="0"/>
    <dataField name="Sum of Net 2 Bed Units" fld="42" baseField="0" baseItem="0"/>
    <dataField name="Sum of Net 3 Bed Units" fld="43" baseField="0" baseItem="0"/>
    <dataField name="Sum of Net 4 Bed Units" fld="44" baseField="0" baseItem="0"/>
    <dataField name="Sum of Net 5+ Bed Units" fld="45" baseField="0" baseItem="0"/>
    <dataField name="Sum of Net Not Known Bed Units" fld="46" baseField="0" baseItem="0"/>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2800-000000000000}" name="PivotTable3" cacheId="22" applyNumberFormats="0" applyBorderFormats="0" applyFontFormats="0" applyPatternFormats="0" applyAlignmentFormats="0" applyWidthHeightFormats="1" dataCaption="Values" missingCaption="0" updatedVersion="6" minRefreshableVersion="3" useAutoFormatting="1" itemPrintTitles="1" createdVersion="4" indent="0" outline="1" outlineData="1" multipleFieldFilters="0">
  <location ref="A3:N7" firstHeaderRow="1" firstDataRow="2" firstDataCol="1" rowPageCount="1" colPageCount="1"/>
  <pivotFields count="103">
    <pivotField showAll="0"/>
    <pivotField axis="axisPage" multipleItemSelectionAllowed="1" showAll="0">
      <items count="10">
        <item x="0"/>
        <item h="1" x="2"/>
        <item h="1" x="1"/>
        <item h="1" x="3"/>
        <item h="1" x="4"/>
        <item h="1" x="5"/>
        <item h="1" x="6"/>
        <item h="1" x="7"/>
        <item x="8"/>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axis="axisRow" multipleItemSelectionAllowed="1" showAll="0">
      <items count="8">
        <item x="4"/>
        <item x="0"/>
        <item h="1" x="1"/>
        <item x="5"/>
        <item x="3"/>
        <item m="1" x="6"/>
        <item x="2"/>
        <item t="default"/>
      </items>
    </pivotField>
    <pivotField axis="axisCol" multipleItemSelectionAllowed="1" showAll="0">
      <items count="16">
        <item x="8"/>
        <item x="7"/>
        <item x="2"/>
        <item x="10"/>
        <item x="11"/>
        <item x="4"/>
        <item x="9"/>
        <item x="5"/>
        <item x="6"/>
        <item x="13"/>
        <item h="1" x="0"/>
        <item x="1"/>
        <item m="1" x="14"/>
        <item x="3"/>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6"/>
  </rowFields>
  <rowItems count="3">
    <i>
      <x v="1"/>
    </i>
    <i>
      <x v="3"/>
    </i>
    <i t="grand">
      <x/>
    </i>
  </rowItems>
  <colFields count="1">
    <field x="27"/>
  </colFields>
  <colItems count="13">
    <i>
      <x/>
    </i>
    <i>
      <x v="1"/>
    </i>
    <i>
      <x v="2"/>
    </i>
    <i>
      <x v="3"/>
    </i>
    <i>
      <x v="4"/>
    </i>
    <i>
      <x v="5"/>
    </i>
    <i>
      <x v="6"/>
    </i>
    <i>
      <x v="7"/>
    </i>
    <i>
      <x v="8"/>
    </i>
    <i>
      <x v="11"/>
    </i>
    <i>
      <x v="13"/>
    </i>
    <i>
      <x v="14"/>
    </i>
    <i t="grand">
      <x/>
    </i>
  </colItems>
  <pageFields count="1">
    <pageField fld="1" hier="-1"/>
  </pageFields>
  <dataFields count="1">
    <dataField name="Sum of Phase Proposed Units"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2900-000000000000}" name="PivotTable4" cacheId="22" applyNumberFormats="0" applyBorderFormats="0" applyFontFormats="0" applyPatternFormats="0" applyAlignmentFormats="0" applyWidthHeightFormats="1" dataCaption="Values" missingCaption="0" updatedVersion="6" minRefreshableVersion="3" useAutoFormatting="1" itemPrintTitles="1" createdVersion="4" indent="0" outline="1" outlineData="1" multipleFieldFilters="0">
  <location ref="A3:N10" firstHeaderRow="1" firstDataRow="2" firstDataCol="1" rowPageCount="1" colPageCount="1"/>
  <pivotFields count="103">
    <pivotField showAll="0"/>
    <pivotField axis="axisPage" multipleItemSelectionAllowed="1" showAll="0">
      <items count="10">
        <item h="1" x="0"/>
        <item x="2"/>
        <item x="1"/>
        <item h="1" x="3"/>
        <item h="1" x="4"/>
        <item h="1" x="5"/>
        <item h="1" x="6"/>
        <item h="1" x="7"/>
        <item h="1" x="8"/>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axis="axisRow" multipleItemSelectionAllowed="1" showAll="0">
      <items count="8">
        <item x="4"/>
        <item x="0"/>
        <item h="1" x="1"/>
        <item x="5"/>
        <item x="3"/>
        <item m="1" x="6"/>
        <item x="2"/>
        <item t="default"/>
      </items>
    </pivotField>
    <pivotField axis="axisCol" multipleItemSelectionAllowed="1" showAll="0">
      <items count="16">
        <item x="8"/>
        <item x="7"/>
        <item x="2"/>
        <item x="10"/>
        <item x="11"/>
        <item x="4"/>
        <item x="9"/>
        <item x="5"/>
        <item x="6"/>
        <item x="13"/>
        <item h="1" x="0"/>
        <item x="1"/>
        <item m="1" x="14"/>
        <item x="3"/>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6"/>
  </rowFields>
  <rowItems count="6">
    <i>
      <x/>
    </i>
    <i>
      <x v="1"/>
    </i>
    <i>
      <x v="3"/>
    </i>
    <i>
      <x v="4"/>
    </i>
    <i>
      <x v="6"/>
    </i>
    <i t="grand">
      <x/>
    </i>
  </rowItems>
  <colFields count="1">
    <field x="27"/>
  </colFields>
  <colItems count="13">
    <i>
      <x/>
    </i>
    <i>
      <x v="1"/>
    </i>
    <i>
      <x v="2"/>
    </i>
    <i>
      <x v="3"/>
    </i>
    <i>
      <x v="4"/>
    </i>
    <i>
      <x v="5"/>
    </i>
    <i>
      <x v="6"/>
    </i>
    <i>
      <x v="7"/>
    </i>
    <i>
      <x v="8"/>
    </i>
    <i>
      <x v="9"/>
    </i>
    <i>
      <x v="11"/>
    </i>
    <i>
      <x v="13"/>
    </i>
    <i t="grand">
      <x/>
    </i>
  </colItems>
  <pageFields count="1">
    <pageField fld="1" hier="-1"/>
  </pageFields>
  <dataFields count="1">
    <dataField name="Sum of Phase Proposed Units"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2" cacheId="2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4:C13" firstHeaderRow="0" firstDataRow="1" firstDataCol="1" rowPageCount="2" colPageCount="1"/>
  <pivotFields count="103">
    <pivotField showAll="0"/>
    <pivotField axis="axisRow" showAll="0">
      <items count="10">
        <item x="0"/>
        <item x="2"/>
        <item x="1"/>
        <item x="3"/>
        <item x="4"/>
        <item x="5"/>
        <item x="6"/>
        <item x="7"/>
        <item x="8"/>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h="1" x="4"/>
        <item x="0"/>
        <item x="1"/>
        <item h="1" x="5"/>
        <item h="1" x="3"/>
        <item m="1" x="6"/>
        <item h="1" x="2"/>
        <item t="default"/>
      </items>
    </pivotField>
    <pivotField axis="axisPage" multipleItemSelectionAllowed="1" showAll="0">
      <items count="16">
        <item h="1" x="8"/>
        <item h="1" x="7"/>
        <item h="1" x="2"/>
        <item h="1" x="10"/>
        <item h="1" x="11"/>
        <item h="1" x="4"/>
        <item h="1" x="9"/>
        <item h="1" x="5"/>
        <item h="1" x="6"/>
        <item h="1" x="13"/>
        <item x="0"/>
        <item x="1"/>
        <item m="1" x="14"/>
        <item h="1" x="3"/>
        <item h="1"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i>
    <i>
      <x v="1"/>
    </i>
    <i>
      <x v="2"/>
    </i>
    <i>
      <x v="3"/>
    </i>
    <i>
      <x v="4"/>
    </i>
    <i>
      <x v="5"/>
    </i>
    <i>
      <x v="6"/>
    </i>
    <i>
      <x v="8"/>
    </i>
    <i t="grand">
      <x/>
    </i>
  </rowItems>
  <colFields count="1">
    <field x="-2"/>
  </colFields>
  <colItems count="2">
    <i>
      <x/>
    </i>
    <i i="1">
      <x v="1"/>
    </i>
  </colItems>
  <pageFields count="2">
    <pageField fld="26" hier="-1"/>
    <pageField fld="27" hier="-1"/>
  </pageFields>
  <dataFields count="2">
    <dataField name="Sum of Phase Proposed Units" fld="12" baseField="1" baseItem="1"/>
    <dataField name="Sum of Phase Net Units" fld="13"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3" cacheId="2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4:C12" firstHeaderRow="0" firstDataRow="1" firstDataCol="1" rowPageCount="2" colPageCount="1"/>
  <pivotFields count="103">
    <pivotField showAll="0"/>
    <pivotField axis="axisRow" showAll="0">
      <items count="10">
        <item x="0"/>
        <item x="2"/>
        <item x="1"/>
        <item x="3"/>
        <item x="4"/>
        <item x="5"/>
        <item x="6"/>
        <item x="7"/>
        <item x="8"/>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x="2"/>
        <item x="4"/>
        <item x="0"/>
        <item h="1" x="1"/>
        <item x="5"/>
        <item x="3"/>
        <item m="1" x="6"/>
        <item t="default"/>
      </items>
    </pivotField>
    <pivotField axis="axisPage" multipleItemSelectionAllowed="1" showAll="0">
      <items count="16">
        <item x="8"/>
        <item x="7"/>
        <item x="2"/>
        <item x="10"/>
        <item x="11"/>
        <item x="4"/>
        <item x="9"/>
        <item x="5"/>
        <item x="6"/>
        <item x="13"/>
        <item x="12"/>
        <item x="3"/>
        <item h="1" x="0"/>
        <item x="1"/>
        <item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8">
    <i>
      <x/>
    </i>
    <i>
      <x v="1"/>
    </i>
    <i>
      <x v="2"/>
    </i>
    <i>
      <x v="3"/>
    </i>
    <i>
      <x v="4"/>
    </i>
    <i>
      <x v="7"/>
    </i>
    <i>
      <x v="8"/>
    </i>
    <i t="grand">
      <x/>
    </i>
  </rowItems>
  <colFields count="1">
    <field x="-2"/>
  </colFields>
  <colItems count="2">
    <i>
      <x/>
    </i>
    <i i="1">
      <x v="1"/>
    </i>
  </colItems>
  <pageFields count="2">
    <pageField fld="26" hier="-1"/>
    <pageField fld="27" hier="-1"/>
  </pageFields>
  <dataFields count="2">
    <dataField name="Sum of Phase Proposed Units" fld="12" baseField="1" baseItem="1"/>
    <dataField name="Sum of Phase Net Units" fld="13"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4" cacheId="2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1:I13" firstHeaderRow="1" firstDataRow="3" firstDataCol="1"/>
  <pivotFields count="103">
    <pivotField showAll="0"/>
    <pivotField axis="axisRow" showAll="0">
      <items count="10">
        <item x="0"/>
        <item x="2"/>
        <item x="1"/>
        <item x="3"/>
        <item x="4"/>
        <item x="5"/>
        <item x="6"/>
        <item x="7"/>
        <item x="8"/>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0"/>
        <item x="1"/>
        <item x="2"/>
        <item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3"/>
    </i>
    <i>
      <x v="4"/>
    </i>
    <i>
      <x v="5"/>
    </i>
    <i>
      <x v="6"/>
    </i>
    <i>
      <x v="7"/>
    </i>
    <i>
      <x v="8"/>
    </i>
    <i t="grand">
      <x/>
    </i>
  </rowItems>
  <colFields count="2">
    <field x="32"/>
    <field x="-2"/>
  </colFields>
  <colItems count="8">
    <i>
      <x/>
      <x/>
    </i>
    <i r="1" i="1">
      <x v="1"/>
    </i>
    <i>
      <x v="1"/>
      <x/>
    </i>
    <i r="1" i="1">
      <x v="1"/>
    </i>
    <i>
      <x v="2"/>
      <x/>
    </i>
    <i r="1" i="1">
      <x v="1"/>
    </i>
    <i t="grand">
      <x/>
    </i>
    <i t="grand" i="1">
      <x/>
    </i>
  </colItems>
  <dataFields count="2">
    <dataField name="Sum of Phase Proposed Units" fld="12" baseField="0" baseItem="0"/>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PivotTable4" cacheId="2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I13" firstHeaderRow="1" firstDataRow="3" firstDataCol="1" rowPageCount="1" colPageCount="1"/>
  <pivotFields count="103">
    <pivotField showAll="0"/>
    <pivotField axis="axisRow" showAll="0">
      <items count="10">
        <item x="0"/>
        <item x="2"/>
        <item x="1"/>
        <item x="3"/>
        <item x="4"/>
        <item x="5"/>
        <item x="6"/>
        <item x="7"/>
        <item x="8"/>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h="1" x="1"/>
        <item h="1" x="3"/>
        <item h="1" x="2"/>
        <item h="1" x="4"/>
        <item x="0"/>
        <item h="1" m="1" x="5"/>
        <item t="default"/>
      </items>
    </pivotField>
    <pivotField showAll="0"/>
    <pivotField showAll="0"/>
    <pivotField showAll="0"/>
    <pivotField showAll="0"/>
    <pivotField showAll="0"/>
    <pivotField showAll="0"/>
    <pivotField axis="axisCol" showAll="0">
      <items count="5">
        <item x="0"/>
        <item x="1"/>
        <item x="2"/>
        <item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8">
    <i>
      <x/>
    </i>
    <i>
      <x v="1"/>
    </i>
    <i>
      <x v="2"/>
    </i>
    <i>
      <x v="3"/>
    </i>
    <i>
      <x v="4"/>
    </i>
    <i>
      <x v="5"/>
    </i>
    <i>
      <x v="6"/>
    </i>
    <i t="grand">
      <x/>
    </i>
  </rowItems>
  <colFields count="2">
    <field x="32"/>
    <field x="-2"/>
  </colFields>
  <colItems count="8">
    <i>
      <x/>
      <x/>
    </i>
    <i r="1" i="1">
      <x v="1"/>
    </i>
    <i>
      <x v="1"/>
      <x/>
    </i>
    <i r="1" i="1">
      <x v="1"/>
    </i>
    <i>
      <x v="2"/>
      <x/>
    </i>
    <i r="1" i="1">
      <x v="1"/>
    </i>
    <i t="grand">
      <x/>
    </i>
    <i t="grand" i="1">
      <x/>
    </i>
  </colItems>
  <pageFields count="1">
    <pageField fld="25" hier="-1"/>
  </pageFields>
  <dataFields count="2">
    <dataField name="Sum of Phase Proposed Units" fld="12" baseField="0" baseItem="0"/>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PivotTable5" cacheId="2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B8" firstHeaderRow="1" firstDataRow="1" firstDataCol="1" rowPageCount="1" colPageCount="1"/>
  <pivotFields count="103">
    <pivotField showAll="0"/>
    <pivotField axis="axisRow" showAll="0">
      <items count="10">
        <item x="0"/>
        <item x="2"/>
        <item x="1"/>
        <item x="3"/>
        <item x="4"/>
        <item x="5"/>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5">
    <i>
      <x/>
    </i>
    <i>
      <x v="1"/>
    </i>
    <i>
      <x v="2"/>
    </i>
    <i>
      <x v="4"/>
    </i>
    <i t="grand">
      <x/>
    </i>
  </rowItems>
  <colItems count="1">
    <i/>
  </colItems>
  <pageFields count="1">
    <pageField fld="21" item="0" hier="-1"/>
  </pageFields>
  <dataFields count="1">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5" cacheId="2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B6" firstHeaderRow="1" firstDataRow="1" firstDataCol="1" rowPageCount="1" colPageCount="1"/>
  <pivotFields count="103">
    <pivotField showAll="0"/>
    <pivotField axis="axisRow" showAll="0">
      <items count="10">
        <item x="0"/>
        <item x="2"/>
        <item x="1"/>
        <item x="3"/>
        <item x="4"/>
        <item x="5"/>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1">
    <pageField fld="30" item="0" hier="-1"/>
  </pageFields>
  <dataFields count="1">
    <dataField name="Sum of Phase Net Uni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Wandsworth Council">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2.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3.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4.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5.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6.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7.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8.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9.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1.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12.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ivotTable" Target="../pivotTables/pivotTable13.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ivotTable" Target="../pivotTables/pivotTable14.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ivotTable" Target="../pivotTables/pivotTable15.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ivotTable" Target="../pivotTables/pivotTable16.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ivotTable" Target="../pivotTables/pivotTable17.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ivotTable" Target="../pivotTables/pivotTable18.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ivotTable" Target="../pivotTables/pivotTable19.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ivotTable" Target="../pivotTables/pivotTable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ivotTable" Target="../pivotTables/pivotTable21.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ivotTable" Target="../pivotTables/pivotTable22.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ivotTable" Target="../pivotTables/pivotTable23.xm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ivotTable" Target="../pivotTables/pivotTable24.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ivotTable" Target="../pivotTables/pivotTable25.xm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ivotTable" Target="../pivotTables/pivotTable26.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ivotTable" Target="../pivotTables/pivotTable27.xm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ivotTable" Target="../pivotTables/pivotTable28.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ivotTable" Target="../pivotTables/pivotTable29.xm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ivotTable" Target="../pivotTables/pivotTable3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ivotTable" Target="../pivotTables/pivotTable31.xm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ivotTable" Target="../pivotTables/pivotTable32.xm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ivotTable" Target="../pivotTables/pivotTable3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Q360"/>
  <sheetViews>
    <sheetView tabSelected="1" zoomScaleNormal="100" zoomScaleSheetLayoutView="100" workbookViewId="0">
      <selection sqref="A1:Q1"/>
    </sheetView>
  </sheetViews>
  <sheetFormatPr defaultColWidth="9.140625" defaultRowHeight="12.75" x14ac:dyDescent="0.2"/>
  <cols>
    <col min="1" max="16384" width="9.140625" style="55"/>
  </cols>
  <sheetData>
    <row r="1" spans="1:17" ht="39" customHeight="1" x14ac:dyDescent="0.2">
      <c r="A1" s="303" t="s">
        <v>3747</v>
      </c>
      <c r="B1" s="303"/>
      <c r="C1" s="303"/>
      <c r="D1" s="303"/>
      <c r="E1" s="303"/>
      <c r="F1" s="303"/>
      <c r="G1" s="303"/>
      <c r="H1" s="303"/>
      <c r="I1" s="303"/>
      <c r="J1" s="303"/>
      <c r="K1" s="303"/>
      <c r="L1" s="303"/>
      <c r="M1" s="303"/>
      <c r="N1" s="303"/>
      <c r="O1" s="303"/>
      <c r="P1" s="303"/>
      <c r="Q1" s="303"/>
    </row>
    <row r="2" spans="1:17" ht="12.75" customHeight="1" x14ac:dyDescent="0.2">
      <c r="A2" s="121"/>
      <c r="B2" s="121"/>
      <c r="C2" s="121"/>
      <c r="D2" s="121"/>
      <c r="E2" s="121"/>
      <c r="F2" s="121"/>
      <c r="G2" s="121"/>
      <c r="H2" s="121"/>
      <c r="I2" s="121"/>
      <c r="J2" s="121"/>
      <c r="K2" s="121"/>
      <c r="L2" s="121"/>
      <c r="M2" s="121"/>
      <c r="N2" s="121"/>
      <c r="O2" s="121"/>
      <c r="P2" s="121"/>
      <c r="Q2" s="121"/>
    </row>
    <row r="3" spans="1:17" s="95" customFormat="1" ht="18" x14ac:dyDescent="0.25">
      <c r="A3" s="107" t="s">
        <v>3897</v>
      </c>
      <c r="B3" s="98"/>
      <c r="C3" s="98"/>
      <c r="D3" s="98"/>
      <c r="E3" s="98"/>
      <c r="F3" s="98"/>
      <c r="G3" s="98"/>
      <c r="H3" s="98"/>
      <c r="I3" s="98"/>
      <c r="J3" s="98"/>
      <c r="K3" s="98"/>
      <c r="L3" s="98"/>
      <c r="M3" s="98"/>
      <c r="N3" s="98"/>
      <c r="O3" s="98"/>
      <c r="P3" s="98"/>
      <c r="Q3" s="98"/>
    </row>
    <row r="4" spans="1:17" x14ac:dyDescent="0.2">
      <c r="A4" s="59"/>
      <c r="B4" s="59"/>
      <c r="C4" s="59"/>
      <c r="D4" s="59"/>
      <c r="E4" s="59"/>
      <c r="F4" s="59"/>
      <c r="G4" s="59"/>
      <c r="H4" s="59"/>
      <c r="I4" s="59"/>
      <c r="J4" s="59"/>
      <c r="K4" s="59"/>
      <c r="L4" s="59"/>
      <c r="M4" s="59"/>
      <c r="N4" s="59"/>
      <c r="O4" s="59"/>
      <c r="P4" s="59"/>
      <c r="Q4" s="59"/>
    </row>
    <row r="5" spans="1:17" x14ac:dyDescent="0.2">
      <c r="A5" s="52" t="s">
        <v>831</v>
      </c>
      <c r="B5" s="52" t="s">
        <v>3825</v>
      </c>
      <c r="C5" s="53"/>
      <c r="D5" s="53"/>
      <c r="E5" s="53"/>
      <c r="F5" s="53"/>
      <c r="G5" s="53"/>
      <c r="H5" s="53"/>
      <c r="I5" s="53"/>
      <c r="J5" s="53"/>
      <c r="K5" s="53"/>
      <c r="L5" s="53"/>
      <c r="M5" s="53"/>
      <c r="N5" s="53"/>
      <c r="O5" s="53"/>
      <c r="P5" s="53"/>
      <c r="Q5" s="53"/>
    </row>
    <row r="6" spans="1:17" ht="12.75" customHeight="1" x14ac:dyDescent="0.2">
      <c r="A6" s="227" t="s">
        <v>3896</v>
      </c>
      <c r="B6" s="228"/>
      <c r="C6" s="228"/>
      <c r="D6" s="229"/>
      <c r="E6" s="207" t="s">
        <v>164</v>
      </c>
      <c r="F6" s="207" t="s">
        <v>1827</v>
      </c>
      <c r="G6" s="217" t="s">
        <v>3850</v>
      </c>
      <c r="H6" s="239"/>
      <c r="I6" s="218"/>
      <c r="J6" s="207" t="s">
        <v>1829</v>
      </c>
      <c r="K6" s="207" t="s">
        <v>1828</v>
      </c>
      <c r="L6" s="53"/>
      <c r="M6" s="53"/>
      <c r="N6" s="53"/>
      <c r="O6" s="53"/>
      <c r="P6" s="53"/>
      <c r="Q6" s="53"/>
    </row>
    <row r="7" spans="1:17" ht="12.75" customHeight="1" x14ac:dyDescent="0.2">
      <c r="A7" s="227"/>
      <c r="B7" s="228"/>
      <c r="C7" s="228"/>
      <c r="D7" s="229"/>
      <c r="E7" s="208"/>
      <c r="F7" s="208"/>
      <c r="G7" s="240"/>
      <c r="H7" s="241"/>
      <c r="I7" s="242"/>
      <c r="J7" s="208"/>
      <c r="K7" s="208"/>
      <c r="L7" s="53"/>
      <c r="M7" s="53"/>
      <c r="N7" s="53"/>
      <c r="O7" s="53"/>
      <c r="P7" s="53"/>
      <c r="Q7" s="53"/>
    </row>
    <row r="8" spans="1:17" x14ac:dyDescent="0.2">
      <c r="A8" s="227"/>
      <c r="B8" s="228"/>
      <c r="C8" s="228"/>
      <c r="D8" s="229"/>
      <c r="E8" s="209"/>
      <c r="F8" s="209"/>
      <c r="G8" s="203" t="s">
        <v>0</v>
      </c>
      <c r="H8" s="203" t="s">
        <v>1</v>
      </c>
      <c r="I8" s="203" t="s">
        <v>2</v>
      </c>
      <c r="J8" s="209"/>
      <c r="K8" s="209"/>
      <c r="L8" s="53"/>
      <c r="M8" s="53"/>
      <c r="N8" s="53"/>
      <c r="O8" s="53"/>
      <c r="P8" s="53"/>
      <c r="Q8" s="53"/>
    </row>
    <row r="9" spans="1:17" x14ac:dyDescent="0.2">
      <c r="A9" s="230" t="s">
        <v>165</v>
      </c>
      <c r="B9" s="231"/>
      <c r="C9" s="231"/>
      <c r="D9" s="232"/>
      <c r="E9" s="92">
        <v>17240</v>
      </c>
      <c r="F9" s="92">
        <v>1724</v>
      </c>
      <c r="G9" s="93">
        <v>2776</v>
      </c>
      <c r="H9" s="93">
        <v>2345</v>
      </c>
      <c r="I9" s="93">
        <f>GETPIVOTDATA("Phase Net Units",'1a Conv'!$A$1)</f>
        <v>2036</v>
      </c>
      <c r="J9" s="92">
        <f>SUM(G9:I9)</f>
        <v>7157</v>
      </c>
      <c r="K9" s="94">
        <f>J9/E9</f>
        <v>0.41513921113689095</v>
      </c>
      <c r="L9" s="53"/>
      <c r="M9" s="53"/>
      <c r="N9" s="53"/>
      <c r="O9" s="53"/>
      <c r="P9" s="53"/>
      <c r="Q9" s="53"/>
    </row>
    <row r="10" spans="1:17" x14ac:dyDescent="0.2">
      <c r="A10" s="233" t="s">
        <v>1845</v>
      </c>
      <c r="B10" s="234"/>
      <c r="C10" s="234"/>
      <c r="D10" s="235"/>
      <c r="E10" s="47">
        <v>880</v>
      </c>
      <c r="F10" s="47">
        <v>88</v>
      </c>
      <c r="G10" s="49">
        <v>-41</v>
      </c>
      <c r="H10" s="49">
        <v>365</v>
      </c>
      <c r="I10" s="49">
        <f>GETPIVOTDATA("Net Non-Self-Contained Rooms",'1a NSC'!$A$1)</f>
        <v>-11</v>
      </c>
      <c r="J10" s="47">
        <f>SUM(G10:I10)</f>
        <v>313</v>
      </c>
      <c r="K10" s="27">
        <f>J10/E10</f>
        <v>0.35568181818181815</v>
      </c>
      <c r="L10" s="53"/>
      <c r="M10" s="53"/>
      <c r="N10" s="53"/>
      <c r="O10" s="53"/>
      <c r="P10" s="53"/>
      <c r="Q10" s="53"/>
    </row>
    <row r="11" spans="1:17" ht="12.75" customHeight="1" x14ac:dyDescent="0.2">
      <c r="A11" s="236" t="s">
        <v>62</v>
      </c>
      <c r="B11" s="237"/>
      <c r="C11" s="237"/>
      <c r="D11" s="238"/>
      <c r="E11" s="28">
        <f t="shared" ref="E11:J11" si="0">SUM(E9:E10)</f>
        <v>18120</v>
      </c>
      <c r="F11" s="28">
        <f t="shared" si="0"/>
        <v>1812</v>
      </c>
      <c r="G11" s="48">
        <f t="shared" si="0"/>
        <v>2735</v>
      </c>
      <c r="H11" s="48">
        <f t="shared" si="0"/>
        <v>2710</v>
      </c>
      <c r="I11" s="48">
        <f t="shared" si="0"/>
        <v>2025</v>
      </c>
      <c r="J11" s="48">
        <f t="shared" si="0"/>
        <v>7470</v>
      </c>
      <c r="K11" s="29">
        <f>J11/E11</f>
        <v>0.41225165562913907</v>
      </c>
      <c r="L11" s="53"/>
      <c r="M11" s="53"/>
      <c r="N11" s="53"/>
      <c r="O11" s="53"/>
      <c r="P11" s="53"/>
      <c r="Q11" s="53"/>
    </row>
    <row r="12" spans="1:17" ht="12.75" customHeight="1" x14ac:dyDescent="0.2">
      <c r="A12" s="52"/>
      <c r="B12" s="52"/>
      <c r="C12" s="53"/>
      <c r="D12" s="53"/>
      <c r="E12" s="53"/>
      <c r="F12" s="53"/>
      <c r="G12" s="53"/>
      <c r="H12" s="53"/>
      <c r="I12" s="53"/>
      <c r="J12" s="53"/>
      <c r="K12" s="53"/>
      <c r="L12" s="53"/>
      <c r="M12" s="53"/>
      <c r="N12" s="53"/>
      <c r="O12" s="53"/>
      <c r="P12" s="53"/>
      <c r="Q12" s="53"/>
    </row>
    <row r="13" spans="1:17" x14ac:dyDescent="0.2">
      <c r="A13" s="52" t="s">
        <v>875</v>
      </c>
      <c r="B13" s="52" t="s">
        <v>3888</v>
      </c>
      <c r="C13" s="53"/>
      <c r="D13" s="53"/>
      <c r="E13" s="53"/>
      <c r="F13" s="53"/>
      <c r="G13" s="53"/>
      <c r="H13" s="53"/>
      <c r="I13" s="53"/>
      <c r="J13" s="53"/>
      <c r="K13" s="53"/>
      <c r="L13" s="18"/>
      <c r="M13" s="18"/>
      <c r="N13" s="53"/>
      <c r="O13" s="53"/>
      <c r="P13" s="53"/>
      <c r="Q13" s="53"/>
    </row>
    <row r="14" spans="1:17" ht="12.75" customHeight="1" x14ac:dyDescent="0.2">
      <c r="A14" s="139"/>
      <c r="B14" s="86"/>
      <c r="C14" s="86"/>
      <c r="D14" s="86"/>
      <c r="E14" s="86"/>
      <c r="F14" s="86"/>
      <c r="G14" s="86"/>
      <c r="H14" s="86"/>
      <c r="I14" s="140"/>
      <c r="J14" s="87"/>
      <c r="K14" s="88"/>
      <c r="L14" s="18"/>
      <c r="M14" s="53"/>
      <c r="N14" s="53"/>
      <c r="O14" s="53"/>
      <c r="P14" s="53"/>
      <c r="Q14" s="53"/>
    </row>
    <row r="15" spans="1:17" ht="12.75" customHeight="1" x14ac:dyDescent="0.2">
      <c r="A15" s="141" t="s">
        <v>120</v>
      </c>
      <c r="B15" s="106" t="s">
        <v>3826</v>
      </c>
      <c r="C15" s="104"/>
      <c r="D15" s="104"/>
      <c r="E15" s="104"/>
      <c r="F15" s="104"/>
      <c r="G15" s="104"/>
      <c r="H15" s="104"/>
      <c r="I15" s="25">
        <f>E11</f>
        <v>18120</v>
      </c>
      <c r="J15" s="84"/>
      <c r="K15" s="91"/>
      <c r="L15" s="53"/>
      <c r="M15" s="53"/>
      <c r="N15" s="53"/>
      <c r="O15" s="53"/>
      <c r="P15" s="53"/>
      <c r="Q15" s="53"/>
    </row>
    <row r="16" spans="1:17" ht="12.75" customHeight="1" x14ac:dyDescent="0.2">
      <c r="A16" s="141" t="s">
        <v>336</v>
      </c>
      <c r="B16" s="106" t="s">
        <v>3827</v>
      </c>
      <c r="C16" s="104"/>
      <c r="D16" s="104"/>
      <c r="E16" s="104"/>
      <c r="F16" s="104"/>
      <c r="G16" s="104"/>
      <c r="H16" s="104"/>
      <c r="I16" s="25">
        <f>J11</f>
        <v>7470</v>
      </c>
      <c r="J16" s="84"/>
      <c r="K16" s="91"/>
      <c r="L16" s="53"/>
      <c r="M16" s="53"/>
      <c r="N16" s="53"/>
      <c r="O16" s="53"/>
      <c r="P16" s="53"/>
      <c r="Q16" s="53"/>
    </row>
    <row r="17" spans="1:17" ht="12.75" customHeight="1" x14ac:dyDescent="0.2">
      <c r="A17" s="141" t="s">
        <v>868</v>
      </c>
      <c r="B17" s="106" t="s">
        <v>3828</v>
      </c>
      <c r="C17" s="104"/>
      <c r="D17" s="104"/>
      <c r="E17" s="104"/>
      <c r="F17" s="104"/>
      <c r="G17" s="104"/>
      <c r="H17" s="83" t="s">
        <v>3824</v>
      </c>
      <c r="I17" s="25">
        <f>I15-I16</f>
        <v>10650</v>
      </c>
      <c r="J17" s="85"/>
      <c r="K17" s="91"/>
      <c r="L17" s="53"/>
      <c r="M17" s="53"/>
      <c r="N17" s="53"/>
      <c r="O17" s="53"/>
      <c r="P17" s="53"/>
      <c r="Q17" s="53"/>
    </row>
    <row r="18" spans="1:17" ht="12.75" customHeight="1" x14ac:dyDescent="0.2">
      <c r="A18" s="141" t="s">
        <v>298</v>
      </c>
      <c r="B18" s="106" t="s">
        <v>869</v>
      </c>
      <c r="C18" s="104"/>
      <c r="D18" s="104"/>
      <c r="E18" s="104"/>
      <c r="F18" s="104"/>
      <c r="G18" s="104"/>
      <c r="H18" s="83" t="s">
        <v>3829</v>
      </c>
      <c r="I18" s="25">
        <f>I17/7</f>
        <v>1521.4285714285713</v>
      </c>
      <c r="J18" s="85"/>
      <c r="K18" s="91"/>
      <c r="L18" s="53"/>
      <c r="M18" s="53"/>
      <c r="N18" s="53"/>
      <c r="O18" s="53"/>
      <c r="P18" s="53"/>
      <c r="Q18" s="53"/>
    </row>
    <row r="19" spans="1:17" ht="12.75" customHeight="1" x14ac:dyDescent="0.2">
      <c r="A19" s="141" t="s">
        <v>102</v>
      </c>
      <c r="B19" s="106" t="s">
        <v>870</v>
      </c>
      <c r="C19" s="104"/>
      <c r="D19" s="104"/>
      <c r="E19" s="104"/>
      <c r="F19" s="104"/>
      <c r="G19" s="104"/>
      <c r="H19" s="83" t="s">
        <v>3821</v>
      </c>
      <c r="I19" s="25">
        <f>I18*5</f>
        <v>7607.1428571428569</v>
      </c>
      <c r="J19" s="85"/>
      <c r="K19" s="91"/>
      <c r="L19" s="53"/>
      <c r="M19" s="53"/>
      <c r="N19" s="53"/>
      <c r="O19" s="53"/>
      <c r="P19" s="53"/>
      <c r="Q19" s="53"/>
    </row>
    <row r="20" spans="1:17" ht="12.75" customHeight="1" x14ac:dyDescent="0.2">
      <c r="A20" s="141" t="s">
        <v>399</v>
      </c>
      <c r="B20" s="106" t="s">
        <v>871</v>
      </c>
      <c r="C20" s="104"/>
      <c r="D20" s="104"/>
      <c r="E20" s="104"/>
      <c r="F20" s="104"/>
      <c r="G20" s="104"/>
      <c r="H20" s="83" t="s">
        <v>3822</v>
      </c>
      <c r="I20" s="25">
        <f>I19*0.05</f>
        <v>380.35714285714289</v>
      </c>
      <c r="J20" s="85"/>
      <c r="K20" s="91"/>
      <c r="L20" s="53"/>
      <c r="M20" s="53"/>
      <c r="N20" s="53"/>
      <c r="O20" s="53"/>
      <c r="P20" s="53"/>
      <c r="Q20" s="53"/>
    </row>
    <row r="21" spans="1:17" ht="12.75" customHeight="1" x14ac:dyDescent="0.2">
      <c r="A21" s="141" t="s">
        <v>311</v>
      </c>
      <c r="B21" s="106" t="s">
        <v>3830</v>
      </c>
      <c r="C21" s="104"/>
      <c r="D21" s="104"/>
      <c r="E21" s="104"/>
      <c r="F21" s="104"/>
      <c r="G21" s="104"/>
      <c r="H21" s="83" t="s">
        <v>872</v>
      </c>
      <c r="I21" s="25">
        <f>I19+I20</f>
        <v>7987.5</v>
      </c>
      <c r="J21" s="85"/>
      <c r="K21" s="91"/>
      <c r="L21" s="53"/>
      <c r="M21" s="53"/>
      <c r="N21" s="53"/>
      <c r="O21" s="53"/>
      <c r="P21" s="53"/>
      <c r="Q21" s="53"/>
    </row>
    <row r="22" spans="1:17" ht="12.75" customHeight="1" x14ac:dyDescent="0.2">
      <c r="A22" s="141" t="s">
        <v>105</v>
      </c>
      <c r="B22" s="106" t="s">
        <v>873</v>
      </c>
      <c r="C22" s="104"/>
      <c r="D22" s="104"/>
      <c r="E22" s="104"/>
      <c r="F22" s="104"/>
      <c r="G22" s="104"/>
      <c r="H22" s="83"/>
      <c r="I22" s="25">
        <f>SUM('Conventional Supply Scenario 1'!CD2:CH1479)+SUM('Non-Self-Contained Supply'!AU2:BN36)</f>
        <v>16445.100000000017</v>
      </c>
      <c r="J22" s="85"/>
      <c r="K22" s="91"/>
      <c r="L22" s="53"/>
      <c r="M22" s="53"/>
      <c r="N22" s="53"/>
      <c r="O22" s="53"/>
      <c r="P22" s="53"/>
      <c r="Q22" s="53"/>
    </row>
    <row r="23" spans="1:17" ht="12.75" customHeight="1" x14ac:dyDescent="0.2">
      <c r="A23" s="141" t="s">
        <v>346</v>
      </c>
      <c r="B23" s="222" t="s">
        <v>3831</v>
      </c>
      <c r="C23" s="223"/>
      <c r="D23" s="223"/>
      <c r="E23" s="223"/>
      <c r="F23" s="223"/>
      <c r="G23" s="223"/>
      <c r="H23" s="83" t="s">
        <v>3898</v>
      </c>
      <c r="I23" s="71">
        <f>I22/I19</f>
        <v>2.161797183098594</v>
      </c>
      <c r="J23" s="85"/>
      <c r="K23" s="91"/>
      <c r="L23" s="53"/>
      <c r="M23" s="53"/>
      <c r="N23" s="53"/>
      <c r="O23" s="53"/>
      <c r="P23" s="53"/>
      <c r="Q23" s="53"/>
    </row>
    <row r="24" spans="1:17" ht="12.75" customHeight="1" x14ac:dyDescent="0.2">
      <c r="A24" s="141" t="s">
        <v>874</v>
      </c>
      <c r="B24" s="106" t="s">
        <v>3832</v>
      </c>
      <c r="C24" s="104"/>
      <c r="D24" s="104"/>
      <c r="E24" s="104"/>
      <c r="F24" s="104"/>
      <c r="G24" s="104"/>
      <c r="H24" s="83" t="s">
        <v>3823</v>
      </c>
      <c r="I24" s="25">
        <f>I22/I18</f>
        <v>10.80898591549297</v>
      </c>
      <c r="J24" s="85"/>
      <c r="K24" s="91"/>
      <c r="L24" s="53"/>
      <c r="M24" s="53"/>
      <c r="N24" s="53"/>
      <c r="O24" s="53"/>
      <c r="P24" s="53"/>
      <c r="Q24" s="53"/>
    </row>
    <row r="25" spans="1:17" ht="12.75" customHeight="1" x14ac:dyDescent="0.2">
      <c r="A25" s="152"/>
      <c r="B25" s="153"/>
      <c r="C25" s="153"/>
      <c r="D25" s="153"/>
      <c r="E25" s="153"/>
      <c r="F25" s="153"/>
      <c r="G25" s="153"/>
      <c r="H25" s="57"/>
      <c r="I25" s="161"/>
      <c r="J25" s="85"/>
      <c r="K25" s="91"/>
      <c r="L25" s="53"/>
      <c r="M25" s="53"/>
      <c r="N25" s="53"/>
      <c r="O25" s="53"/>
      <c r="P25" s="53"/>
      <c r="Q25" s="53"/>
    </row>
    <row r="26" spans="1:17" ht="12.75" customHeight="1" x14ac:dyDescent="0.2">
      <c r="A26" s="224" t="s">
        <v>3932</v>
      </c>
      <c r="B26" s="225"/>
      <c r="C26" s="225"/>
      <c r="D26" s="225"/>
      <c r="E26" s="225"/>
      <c r="F26" s="225"/>
      <c r="G26" s="225"/>
      <c r="H26" s="225"/>
      <c r="I26" s="226"/>
      <c r="J26" s="160"/>
      <c r="K26" s="160"/>
      <c r="L26" s="160"/>
      <c r="M26" s="160"/>
      <c r="N26" s="160"/>
      <c r="O26" s="160"/>
      <c r="P26" s="160"/>
      <c r="Q26" s="160"/>
    </row>
    <row r="27" spans="1:17" ht="12.75" customHeight="1" x14ac:dyDescent="0.2">
      <c r="A27" s="57"/>
      <c r="B27" s="56"/>
      <c r="C27" s="56"/>
      <c r="D27" s="56"/>
      <c r="E27" s="56"/>
      <c r="F27" s="56"/>
      <c r="G27" s="56"/>
      <c r="H27" s="56"/>
      <c r="I27" s="57"/>
      <c r="J27" s="57"/>
      <c r="K27" s="58"/>
      <c r="L27" s="59"/>
      <c r="M27" s="53"/>
      <c r="N27" s="53"/>
      <c r="O27" s="53"/>
      <c r="P27" s="53"/>
      <c r="Q27" s="53"/>
    </row>
    <row r="28" spans="1:17" ht="12.75" customHeight="1" x14ac:dyDescent="0.2">
      <c r="A28" s="122" t="s">
        <v>1832</v>
      </c>
      <c r="B28" s="60" t="s">
        <v>3863</v>
      </c>
      <c r="C28" s="56"/>
      <c r="D28" s="56"/>
      <c r="E28" s="56"/>
      <c r="F28" s="56"/>
      <c r="G28" s="56"/>
      <c r="H28" s="56"/>
      <c r="I28" s="57"/>
      <c r="J28" s="57"/>
      <c r="K28" s="58"/>
      <c r="L28" s="59"/>
      <c r="M28" s="53"/>
      <c r="N28" s="53"/>
      <c r="O28" s="53"/>
      <c r="P28" s="53"/>
      <c r="Q28" s="53"/>
    </row>
    <row r="29" spans="1:17" ht="12.75" customHeight="1" x14ac:dyDescent="0.2">
      <c r="A29" s="206" t="s">
        <v>409</v>
      </c>
      <c r="B29" s="206"/>
      <c r="C29" s="206" t="s">
        <v>1833</v>
      </c>
      <c r="D29" s="206" t="s">
        <v>4034</v>
      </c>
      <c r="E29" s="206"/>
      <c r="F29" s="206"/>
      <c r="G29" s="206" t="s">
        <v>62</v>
      </c>
      <c r="H29" s="221" t="s">
        <v>1834</v>
      </c>
      <c r="I29" s="57"/>
      <c r="J29" s="57"/>
      <c r="K29" s="58"/>
      <c r="L29" s="59"/>
      <c r="M29" s="53"/>
      <c r="N29" s="53"/>
      <c r="O29" s="53"/>
      <c r="P29" s="53"/>
      <c r="Q29" s="53"/>
    </row>
    <row r="30" spans="1:17" ht="12.75" customHeight="1" x14ac:dyDescent="0.2">
      <c r="A30" s="206"/>
      <c r="B30" s="206"/>
      <c r="C30" s="206"/>
      <c r="D30" s="206"/>
      <c r="E30" s="206"/>
      <c r="F30" s="206"/>
      <c r="G30" s="206"/>
      <c r="H30" s="221"/>
      <c r="I30" s="57"/>
      <c r="J30" s="57"/>
      <c r="K30" s="58"/>
      <c r="L30" s="59"/>
      <c r="M30" s="53"/>
      <c r="N30" s="53"/>
      <c r="O30" s="53"/>
      <c r="P30" s="53"/>
      <c r="Q30" s="53"/>
    </row>
    <row r="31" spans="1:17" x14ac:dyDescent="0.2">
      <c r="A31" s="206"/>
      <c r="B31" s="206"/>
      <c r="C31" s="206"/>
      <c r="D31" s="103" t="s">
        <v>0</v>
      </c>
      <c r="E31" s="103" t="s">
        <v>1</v>
      </c>
      <c r="F31" s="103" t="s">
        <v>2</v>
      </c>
      <c r="G31" s="206"/>
      <c r="H31" s="221"/>
      <c r="I31" s="57"/>
      <c r="J31" s="57"/>
      <c r="K31" s="58"/>
      <c r="L31" s="59"/>
      <c r="M31" s="53"/>
      <c r="N31" s="53"/>
      <c r="O31" s="53"/>
      <c r="P31" s="53"/>
      <c r="Q31" s="53"/>
    </row>
    <row r="32" spans="1:17" ht="12.75" customHeight="1" x14ac:dyDescent="0.2">
      <c r="A32" s="246" t="s">
        <v>74</v>
      </c>
      <c r="B32" s="247"/>
      <c r="C32" s="62">
        <v>918</v>
      </c>
      <c r="D32" s="63">
        <v>325</v>
      </c>
      <c r="E32" s="63">
        <v>298</v>
      </c>
      <c r="F32" s="63">
        <f>GETPIVOTDATA("Phase Net Units",'1c'!$A$1,"Status","01 Completion","Tenure","Intermediate")</f>
        <v>142</v>
      </c>
      <c r="G32" s="63">
        <f>SUM(D32:F32)</f>
        <v>765</v>
      </c>
      <c r="H32" s="64">
        <f>G32/C32</f>
        <v>0.83333333333333337</v>
      </c>
      <c r="I32" s="57"/>
      <c r="J32" s="57"/>
      <c r="K32" s="58"/>
      <c r="L32" s="59"/>
      <c r="M32" s="53"/>
      <c r="N32" s="53"/>
      <c r="O32" s="53"/>
      <c r="P32" s="53"/>
      <c r="Q32" s="53"/>
    </row>
    <row r="33" spans="1:17" ht="12.75" customHeight="1" x14ac:dyDescent="0.2">
      <c r="A33" s="142" t="s">
        <v>154</v>
      </c>
      <c r="B33" s="61"/>
      <c r="C33" s="62">
        <v>522</v>
      </c>
      <c r="D33" s="63">
        <v>239</v>
      </c>
      <c r="E33" s="63">
        <v>79</v>
      </c>
      <c r="F33" s="63">
        <f>GETPIVOTDATA("Phase Net Units",'1c'!$A$1,"Status","01 Completion","Tenure","Social/Affordable Rent")</f>
        <v>60</v>
      </c>
      <c r="G33" s="63">
        <f>SUM(D33:F33)</f>
        <v>378</v>
      </c>
      <c r="H33" s="64">
        <f>G33/C33</f>
        <v>0.72413793103448276</v>
      </c>
      <c r="I33" s="57"/>
      <c r="J33" s="57"/>
      <c r="K33" s="58"/>
      <c r="L33" s="59"/>
      <c r="M33" s="53"/>
      <c r="N33" s="53"/>
      <c r="O33" s="53"/>
      <c r="P33" s="53"/>
      <c r="Q33" s="53"/>
    </row>
    <row r="34" spans="1:17" ht="12.75" customHeight="1" x14ac:dyDescent="0.2">
      <c r="A34" s="248" t="s">
        <v>62</v>
      </c>
      <c r="B34" s="249"/>
      <c r="C34" s="65">
        <v>1470</v>
      </c>
      <c r="D34" s="66">
        <f>SUM(D32:D33)</f>
        <v>564</v>
      </c>
      <c r="E34" s="66">
        <f>SUM(E32:E33)</f>
        <v>377</v>
      </c>
      <c r="F34" s="66">
        <f>SUM(F32:F33)</f>
        <v>202</v>
      </c>
      <c r="G34" s="66">
        <f>SUM(D34:F34)</f>
        <v>1143</v>
      </c>
      <c r="H34" s="67">
        <f>G34/C34</f>
        <v>0.77755102040816326</v>
      </c>
      <c r="I34" s="57"/>
      <c r="J34" s="57"/>
      <c r="K34" s="58"/>
      <c r="L34" s="59"/>
      <c r="M34" s="53"/>
      <c r="N34" s="53"/>
      <c r="O34" s="53"/>
      <c r="P34" s="53"/>
      <c r="Q34" s="53"/>
    </row>
    <row r="35" spans="1:17" ht="12.75" customHeight="1" x14ac:dyDescent="0.2">
      <c r="A35" s="149"/>
      <c r="B35" s="149"/>
      <c r="C35" s="69"/>
      <c r="D35" s="150"/>
      <c r="E35" s="150"/>
      <c r="F35" s="150"/>
      <c r="G35" s="150"/>
      <c r="H35" s="151"/>
      <c r="I35" s="57"/>
      <c r="J35" s="57"/>
      <c r="K35" s="58"/>
      <c r="L35" s="59"/>
      <c r="M35" s="53"/>
      <c r="N35" s="53"/>
      <c r="O35" s="53"/>
      <c r="P35" s="53"/>
      <c r="Q35" s="53"/>
    </row>
    <row r="36" spans="1:17" x14ac:dyDescent="0.2">
      <c r="A36" s="52" t="s">
        <v>133</v>
      </c>
      <c r="B36" s="52" t="s">
        <v>3862</v>
      </c>
      <c r="C36" s="53"/>
      <c r="D36" s="53"/>
      <c r="E36" s="53"/>
      <c r="F36" s="53"/>
      <c r="G36" s="53"/>
      <c r="H36" s="53"/>
      <c r="I36" s="53"/>
      <c r="J36" s="53"/>
      <c r="K36" s="53"/>
      <c r="L36" s="53"/>
      <c r="M36" s="53"/>
      <c r="N36" s="53"/>
      <c r="O36" s="53"/>
      <c r="P36" s="53"/>
      <c r="Q36" s="53"/>
    </row>
    <row r="37" spans="1:17" ht="12.75" customHeight="1" x14ac:dyDescent="0.2">
      <c r="A37" s="217" t="s">
        <v>146</v>
      </c>
      <c r="B37" s="239"/>
      <c r="C37" s="218"/>
      <c r="D37" s="214" t="s">
        <v>137</v>
      </c>
      <c r="E37" s="215"/>
      <c r="F37" s="214" t="s">
        <v>138</v>
      </c>
      <c r="G37" s="215"/>
      <c r="H37" s="214" t="s">
        <v>62</v>
      </c>
      <c r="I37" s="215"/>
      <c r="J37" s="53"/>
      <c r="K37" s="53"/>
      <c r="L37" s="53"/>
      <c r="M37" s="53"/>
      <c r="N37" s="53"/>
      <c r="O37" s="53"/>
      <c r="P37" s="53"/>
      <c r="Q37" s="53"/>
    </row>
    <row r="38" spans="1:17" x14ac:dyDescent="0.2">
      <c r="A38" s="240"/>
      <c r="B38" s="241"/>
      <c r="C38" s="242"/>
      <c r="D38" s="100" t="s">
        <v>147</v>
      </c>
      <c r="E38" s="100" t="s">
        <v>140</v>
      </c>
      <c r="F38" s="100" t="s">
        <v>147</v>
      </c>
      <c r="G38" s="100" t="s">
        <v>140</v>
      </c>
      <c r="H38" s="100" t="s">
        <v>147</v>
      </c>
      <c r="I38" s="100" t="s">
        <v>140</v>
      </c>
      <c r="J38" s="53"/>
      <c r="K38" s="53"/>
      <c r="L38" s="53"/>
      <c r="M38" s="53"/>
      <c r="N38" s="53"/>
      <c r="O38" s="53"/>
      <c r="P38" s="53"/>
      <c r="Q38" s="53"/>
    </row>
    <row r="39" spans="1:17" ht="12.75" customHeight="1" x14ac:dyDescent="0.2">
      <c r="A39" s="308" t="s">
        <v>3855</v>
      </c>
      <c r="B39" s="309"/>
      <c r="C39" s="310"/>
      <c r="D39" s="45">
        <f>GETPIVOTDATA("Sum of Phase Proposed Units",'2 NB'!$A$4,"Status","01 Completion")+GETPIVOTDATA("Sum of Phase Proposed Units",'2 NB'!$A$4,"Status","09 Completion Correction")</f>
        <v>1943</v>
      </c>
      <c r="E39" s="45">
        <f>GETPIVOTDATA("Sum of Phase Net Units",'2 NB'!$A$4,"Status","01 Completion")+GETPIVOTDATA("Sum of Phase Net Units",'2 NB'!$A$4,"Status","09 Completion Correction")</f>
        <v>1912</v>
      </c>
      <c r="F39" s="45">
        <f>GETPIVOTDATA("Sum of Phase Proposed Units",'2 CON'!$A$4,"Status","01 Completion")+GETPIVOTDATA("Sum of Phase Proposed Units",'2 CON'!$A$4,"Status","09 Completion Correction")</f>
        <v>356</v>
      </c>
      <c r="G39" s="45">
        <f>GETPIVOTDATA("Sum of Phase Net Units",'2 CON'!$A$4,"Status","01 Completion")+GETPIVOTDATA("Sum of Phase Net Units",'2 CON'!$A$4,"Status","09 Completion Correction")</f>
        <v>124</v>
      </c>
      <c r="H39" s="45">
        <f t="shared" ref="H39:I44" si="1">D39+F39</f>
        <v>2299</v>
      </c>
      <c r="I39" s="45">
        <f t="shared" si="1"/>
        <v>2036</v>
      </c>
      <c r="J39" s="53"/>
      <c r="K39" s="53"/>
      <c r="L39" s="9"/>
      <c r="M39" s="9"/>
      <c r="N39" s="9"/>
      <c r="O39" s="9"/>
      <c r="P39" s="9"/>
      <c r="Q39" s="9"/>
    </row>
    <row r="40" spans="1:17" ht="12.75" customHeight="1" x14ac:dyDescent="0.2">
      <c r="A40" s="305" t="s">
        <v>833</v>
      </c>
      <c r="B40" s="306"/>
      <c r="C40" s="307"/>
      <c r="D40" s="25">
        <f>GETPIVOTDATA("Sum of Phase Proposed Units",'2 NB'!$A$4,"Status","02 Under Construction")</f>
        <v>12747</v>
      </c>
      <c r="E40" s="25">
        <f>GETPIVOTDATA("Sum of Phase Net Units",'2 NB'!$A$4,"Status","02 Under Construction")</f>
        <v>12431</v>
      </c>
      <c r="F40" s="25">
        <f>GETPIVOTDATA("Sum of Phase Proposed Units",'2 CON'!$A$4,"Status","02 Under Construction")</f>
        <v>930</v>
      </c>
      <c r="G40" s="25">
        <f>GETPIVOTDATA("Sum of Phase Net Units",'2 CON'!$A$4,"Status","02 Under Construction")</f>
        <v>826</v>
      </c>
      <c r="H40" s="25">
        <f t="shared" si="1"/>
        <v>13677</v>
      </c>
      <c r="I40" s="25">
        <f t="shared" si="1"/>
        <v>13257</v>
      </c>
      <c r="J40" s="53"/>
      <c r="K40" s="53"/>
      <c r="L40" s="9"/>
      <c r="M40" s="9"/>
      <c r="N40" s="9"/>
      <c r="O40" s="9"/>
      <c r="P40" s="9"/>
      <c r="Q40" s="9"/>
    </row>
    <row r="41" spans="1:17" ht="12.75" customHeight="1" x14ac:dyDescent="0.2">
      <c r="A41" s="305" t="s">
        <v>834</v>
      </c>
      <c r="B41" s="306"/>
      <c r="C41" s="307"/>
      <c r="D41" s="25">
        <f>GETPIVOTDATA("Sum of Phase Proposed Units",'2 NB'!$A$4,"Status","03 Planning")</f>
        <v>3975</v>
      </c>
      <c r="E41" s="25">
        <f>GETPIVOTDATA("Sum of Phase Net Units",'2 NB'!$A$4,"Status","03 Planning")</f>
        <v>3932</v>
      </c>
      <c r="F41" s="25">
        <f>GETPIVOTDATA("Sum of Phase Proposed Units",'2 CON'!$A$4,"Status","03 Planning")</f>
        <v>770</v>
      </c>
      <c r="G41" s="25">
        <f>GETPIVOTDATA("Sum of Phase Net Units",'2 CON'!$A$4,"Status","03 Planning")</f>
        <v>579</v>
      </c>
      <c r="H41" s="25">
        <f t="shared" si="1"/>
        <v>4745</v>
      </c>
      <c r="I41" s="25">
        <f t="shared" si="1"/>
        <v>4511</v>
      </c>
      <c r="J41" s="53"/>
      <c r="K41" s="53"/>
      <c r="L41" s="9"/>
      <c r="M41" s="9"/>
      <c r="N41" s="9"/>
      <c r="O41" s="9"/>
      <c r="P41" s="9"/>
      <c r="Q41" s="9"/>
    </row>
    <row r="42" spans="1:17" ht="12.75" customHeight="1" x14ac:dyDescent="0.2">
      <c r="A42" s="305" t="s">
        <v>835</v>
      </c>
      <c r="B42" s="306"/>
      <c r="C42" s="307"/>
      <c r="D42" s="25">
        <f>GETPIVOTDATA("Sum of Phase Proposed Units",'2 NB'!$A$4,"Status","04 Subject to Legal Agreement")+GETPIVOTDATA("Sum of Phase Proposed Units",'2 NB'!$A$4,"Status","05 Pending or at Appeal")</f>
        <v>2586</v>
      </c>
      <c r="E42" s="25">
        <f>GETPIVOTDATA("Sum of Phase Net Units",'2 NB'!$A$4,"Status","04 Subject to Legal Agreement")+GETPIVOTDATA("Sum of Phase Net Units",'2 NB'!$A$4,"Status","05 Pending or at Appeal")</f>
        <v>2501</v>
      </c>
      <c r="F42" s="25">
        <f>GETPIVOTDATA("Sum of Phase Proposed Units",'2 CON'!$A$4,"Status","04 Subject to Legal Agreement")+GETPIVOTDATA("Sum of Phase Proposed Units",'2 CON'!$A$4,"Status","05 Pending or at Appeal")</f>
        <v>334</v>
      </c>
      <c r="G42" s="25">
        <f>GETPIVOTDATA("Sum of Phase Net Units",'2 CON'!$A$4,"Status","04 Subject to Legal Agreement")+GETPIVOTDATA("Sum of Phase Net Units",'2 CON'!$A$4,"Status","05 Pending or at Appeal")</f>
        <v>271</v>
      </c>
      <c r="H42" s="25">
        <f t="shared" si="1"/>
        <v>2920</v>
      </c>
      <c r="I42" s="25">
        <f t="shared" si="1"/>
        <v>2772</v>
      </c>
      <c r="J42" s="53"/>
      <c r="K42" s="53"/>
      <c r="L42" s="9"/>
      <c r="M42" s="9"/>
      <c r="N42" s="9"/>
      <c r="O42" s="9"/>
      <c r="P42" s="9"/>
      <c r="Q42" s="9"/>
    </row>
    <row r="43" spans="1:17" ht="12.75" customHeight="1" x14ac:dyDescent="0.2">
      <c r="A43" s="305" t="s">
        <v>844</v>
      </c>
      <c r="B43" s="306"/>
      <c r="C43" s="307"/>
      <c r="D43" s="25">
        <f>GETPIVOTDATA("Sum of Phase Proposed Units",'2 NB'!$A$4,"Status","06 Identified Site")+GETPIVOTDATA("Sum of Phase Proposed Units",'2 NB'!$A$4,"Status","07 SHLAA Potential Sites")</f>
        <v>6254</v>
      </c>
      <c r="E43" s="25">
        <f>GETPIVOTDATA("Sum of Phase Net Units",'2 NB'!$A$4,"Status","06 Identified Site")+GETPIVOTDATA("Sum of Phase Net Units",'2 NB'!$A$4,"Status","07 SHLAA Potential Sites")</f>
        <v>6254</v>
      </c>
      <c r="F43" s="25">
        <v>0</v>
      </c>
      <c r="G43" s="25">
        <v>0</v>
      </c>
      <c r="H43" s="25">
        <f t="shared" si="1"/>
        <v>6254</v>
      </c>
      <c r="I43" s="25">
        <f t="shared" si="1"/>
        <v>6254</v>
      </c>
      <c r="J43" s="21"/>
      <c r="K43" s="53"/>
      <c r="L43" s="9"/>
      <c r="M43" s="9"/>
      <c r="N43" s="9"/>
      <c r="O43" s="9"/>
      <c r="P43" s="9"/>
      <c r="Q43" s="9"/>
    </row>
    <row r="44" spans="1:17" ht="12.75" customHeight="1" x14ac:dyDescent="0.2">
      <c r="A44" s="285" t="s">
        <v>3856</v>
      </c>
      <c r="B44" s="286"/>
      <c r="C44" s="287"/>
      <c r="D44" s="65">
        <f>SUM(D40:D43)</f>
        <v>25562</v>
      </c>
      <c r="E44" s="65">
        <f>SUM(E40:E43)</f>
        <v>25118</v>
      </c>
      <c r="F44" s="65">
        <f>SUM(F40:F43)</f>
        <v>2034</v>
      </c>
      <c r="G44" s="65">
        <f>SUM(G40:G43)</f>
        <v>1676</v>
      </c>
      <c r="H44" s="65">
        <f t="shared" si="1"/>
        <v>27596</v>
      </c>
      <c r="I44" s="65">
        <f t="shared" si="1"/>
        <v>26794</v>
      </c>
      <c r="J44" s="53"/>
      <c r="K44" s="53"/>
      <c r="L44" s="9"/>
      <c r="M44" s="9"/>
      <c r="N44" s="9"/>
      <c r="O44" s="9"/>
      <c r="P44" s="9"/>
      <c r="Q44" s="9"/>
    </row>
    <row r="45" spans="1:17" x14ac:dyDescent="0.2">
      <c r="A45" s="123"/>
      <c r="B45" s="10"/>
      <c r="C45" s="10"/>
      <c r="D45" s="11"/>
      <c r="E45" s="11"/>
      <c r="F45" s="11"/>
      <c r="G45" s="11"/>
      <c r="H45" s="11"/>
      <c r="I45" s="11"/>
      <c r="J45" s="53"/>
      <c r="K45" s="53"/>
      <c r="L45" s="9"/>
      <c r="M45" s="9"/>
      <c r="N45" s="9"/>
      <c r="O45" s="9"/>
      <c r="P45" s="9"/>
      <c r="Q45" s="9"/>
    </row>
    <row r="46" spans="1:17" x14ac:dyDescent="0.2">
      <c r="A46" s="52" t="s">
        <v>141</v>
      </c>
      <c r="B46" s="52" t="s">
        <v>3861</v>
      </c>
      <c r="C46" s="53"/>
      <c r="D46" s="53"/>
      <c r="E46" s="53"/>
      <c r="F46" s="53"/>
      <c r="G46" s="53"/>
      <c r="H46" s="53"/>
      <c r="I46" s="53"/>
      <c r="J46" s="53"/>
      <c r="K46" s="53"/>
      <c r="L46" s="53"/>
      <c r="M46" s="53"/>
      <c r="N46" s="53"/>
      <c r="O46" s="53"/>
      <c r="P46" s="53"/>
      <c r="Q46" s="53"/>
    </row>
    <row r="47" spans="1:17" ht="12.75" customHeight="1" x14ac:dyDescent="0.2">
      <c r="A47" s="315" t="s">
        <v>197</v>
      </c>
      <c r="B47" s="315"/>
      <c r="C47" s="315"/>
      <c r="D47" s="210" t="s">
        <v>238</v>
      </c>
      <c r="E47" s="211"/>
      <c r="F47" s="216" t="s">
        <v>66</v>
      </c>
      <c r="G47" s="216"/>
      <c r="H47" s="216"/>
      <c r="I47" s="216"/>
      <c r="J47" s="217" t="s">
        <v>128</v>
      </c>
      <c r="K47" s="218"/>
      <c r="L47" s="210" t="s">
        <v>134</v>
      </c>
      <c r="M47" s="211"/>
      <c r="N47" s="210" t="s">
        <v>198</v>
      </c>
      <c r="O47" s="211"/>
      <c r="P47" s="210" t="s">
        <v>62</v>
      </c>
      <c r="Q47" s="211"/>
    </row>
    <row r="48" spans="1:17" x14ac:dyDescent="0.2">
      <c r="A48" s="315"/>
      <c r="B48" s="315"/>
      <c r="C48" s="315"/>
      <c r="D48" s="212"/>
      <c r="E48" s="213"/>
      <c r="F48" s="210" t="s">
        <v>74</v>
      </c>
      <c r="G48" s="211"/>
      <c r="H48" s="217" t="s">
        <v>154</v>
      </c>
      <c r="I48" s="218"/>
      <c r="J48" s="219"/>
      <c r="K48" s="220"/>
      <c r="L48" s="212"/>
      <c r="M48" s="213"/>
      <c r="N48" s="212"/>
      <c r="O48" s="213"/>
      <c r="P48" s="212"/>
      <c r="Q48" s="213"/>
    </row>
    <row r="49" spans="1:17" x14ac:dyDescent="0.2">
      <c r="A49" s="315"/>
      <c r="B49" s="315"/>
      <c r="C49" s="315"/>
      <c r="D49" s="100" t="s">
        <v>139</v>
      </c>
      <c r="E49" s="100" t="s">
        <v>140</v>
      </c>
      <c r="F49" s="100" t="s">
        <v>139</v>
      </c>
      <c r="G49" s="100" t="s">
        <v>140</v>
      </c>
      <c r="H49" s="100" t="s">
        <v>139</v>
      </c>
      <c r="I49" s="100" t="s">
        <v>140</v>
      </c>
      <c r="J49" s="100" t="s">
        <v>139</v>
      </c>
      <c r="K49" s="100" t="s">
        <v>140</v>
      </c>
      <c r="L49" s="100" t="s">
        <v>139</v>
      </c>
      <c r="M49" s="100" t="s">
        <v>140</v>
      </c>
      <c r="N49" s="100" t="s">
        <v>139</v>
      </c>
      <c r="O49" s="100" t="s">
        <v>140</v>
      </c>
      <c r="P49" s="100" t="s">
        <v>139</v>
      </c>
      <c r="Q49" s="100" t="s">
        <v>140</v>
      </c>
    </row>
    <row r="50" spans="1:17" x14ac:dyDescent="0.2">
      <c r="A50" s="288" t="s">
        <v>3855</v>
      </c>
      <c r="B50" s="289"/>
      <c r="C50" s="289"/>
      <c r="D50" s="30">
        <f>GETPIVOTDATA("Sum of Phase Proposed Units",'3'!$A$1,"Status","01 Completion","Tenure","Open Market")+GETPIVOTDATA("Sum of Phase Proposed Units",'3'!$A$1,"Status","09 Completion Correction","Tenure","Open Market")</f>
        <v>2097</v>
      </c>
      <c r="E50" s="30">
        <f>GETPIVOTDATA("Sum of Phase Net Units",'3'!$A$1,"Status","01 Completion","Tenure","Open Market")+GETPIVOTDATA("Sum of Phase Net Units",'3'!$A$1,"Status","09 Completion Correction","Tenure","Open Market")</f>
        <v>1834</v>
      </c>
      <c r="F50" s="30">
        <f>GETPIVOTDATA("Sum of Phase Proposed Units",'3'!$A$1,"Status","01 Completion","Tenure","Intermediate")+GETPIVOTDATA("Sum of Phase Proposed Units",'3'!$A$1,"Status","09 Completion Correction","Tenure","Intermediate")</f>
        <v>142</v>
      </c>
      <c r="G50" s="30">
        <f>GETPIVOTDATA("Sum of Phase Net Units",'3'!$A$1,"Status","01 Completion","Tenure","Intermediate")+GETPIVOTDATA("Sum of Phase Net Units",'3'!$A$1,"Status","09 Completion Correction","Tenure","Intermediate")</f>
        <v>142</v>
      </c>
      <c r="H50" s="30">
        <f>GETPIVOTDATA("Sum of Phase Proposed Units",'3'!$A$1,"Status","01 Completion","Tenure","Social/Affordable Rent")+GETPIVOTDATA("Sum of Phase Proposed Units",'3'!$A$1,"Status","09 Completion Correction","Tenure","Social/Affordable Rent")</f>
        <v>60</v>
      </c>
      <c r="I50" s="30">
        <f>GETPIVOTDATA("Sum of Phase Net Units",'3'!$A$1,"Status","01 Completion","Tenure","Social/Affordable Rent")+GETPIVOTDATA("Sum of Phase Net Units",'3'!$A$1,"Status","09 Completion Correction","Tenure","Social/Affordable Rent")</f>
        <v>60</v>
      </c>
      <c r="J50" s="30">
        <v>0</v>
      </c>
      <c r="K50" s="30">
        <v>0</v>
      </c>
      <c r="L50" s="30">
        <f t="shared" ref="L50:L56" si="2">H50+F50</f>
        <v>202</v>
      </c>
      <c r="M50" s="30">
        <f t="shared" ref="M50:M56" si="3">I50+G50</f>
        <v>202</v>
      </c>
      <c r="N50" s="24">
        <f t="shared" ref="N50:N57" si="4">L50/P50</f>
        <v>8.7864288821226627E-2</v>
      </c>
      <c r="O50" s="24">
        <f t="shared" ref="O50:O55" si="5">M50/Q50</f>
        <v>9.9214145383104121E-2</v>
      </c>
      <c r="P50" s="30">
        <f>D50+L50</f>
        <v>2299</v>
      </c>
      <c r="Q50" s="30">
        <f>E50+M50</f>
        <v>2036</v>
      </c>
    </row>
    <row r="51" spans="1:17" x14ac:dyDescent="0.2">
      <c r="A51" s="260" t="s">
        <v>833</v>
      </c>
      <c r="B51" s="259"/>
      <c r="C51" s="259"/>
      <c r="D51" s="25">
        <f>GETPIVOTDATA("Sum of Phase Proposed Units",'3'!$A$1,"Status","02 Under Construction","Tenure","Open Market")</f>
        <v>11311</v>
      </c>
      <c r="E51" s="25">
        <f>GETPIVOTDATA("Sum of Phase Net Units",'3'!$A$1,"Status","02 Under Construction","Tenure","Open Market")</f>
        <v>11056</v>
      </c>
      <c r="F51" s="25">
        <f>GETPIVOTDATA("Sum of Phase Proposed Units",'3'!$A$1,"Status","02 Under Construction","Tenure","Intermediate")</f>
        <v>1104</v>
      </c>
      <c r="G51" s="25">
        <f>GETPIVOTDATA("Sum of Phase Net Units",'3'!$A$1,"Status","02 Under Construction","Tenure","Intermediate")</f>
        <v>1104</v>
      </c>
      <c r="H51" s="25">
        <f>GETPIVOTDATA("Sum of Phase Proposed Units",'3'!$A$1,"Status","02 Under Construction","Tenure","Social/Affordable Rent")</f>
        <v>1262</v>
      </c>
      <c r="I51" s="25">
        <f>GETPIVOTDATA("Sum of Phase Net Units",'3'!$A$1,"Status","02 Under Construction","Tenure","Social/Affordable Rent")</f>
        <v>1097</v>
      </c>
      <c r="J51" s="25">
        <v>0</v>
      </c>
      <c r="K51" s="25">
        <v>0</v>
      </c>
      <c r="L51" s="25">
        <f t="shared" si="2"/>
        <v>2366</v>
      </c>
      <c r="M51" s="25">
        <f t="shared" si="3"/>
        <v>2201</v>
      </c>
      <c r="N51" s="36">
        <f t="shared" si="4"/>
        <v>0.17299115303063536</v>
      </c>
      <c r="O51" s="36">
        <f t="shared" si="5"/>
        <v>0.16602549596439617</v>
      </c>
      <c r="P51" s="34">
        <f t="shared" ref="P51:P57" si="6">D51+L51</f>
        <v>13677</v>
      </c>
      <c r="Q51" s="34">
        <f t="shared" ref="Q51:Q57" si="7">E51+M51</f>
        <v>13257</v>
      </c>
    </row>
    <row r="52" spans="1:17" x14ac:dyDescent="0.2">
      <c r="A52" s="260" t="s">
        <v>834</v>
      </c>
      <c r="B52" s="259"/>
      <c r="C52" s="259"/>
      <c r="D52" s="34">
        <f>GETPIVOTDATA("Sum of Phase Proposed Units",'3'!$A$1,"Status","03 Planning","Tenure","Open Market")</f>
        <v>3884</v>
      </c>
      <c r="E52" s="34">
        <f>GETPIVOTDATA("Sum of Phase Net Units",'3'!$A$1,"Status","03 Planning","Tenure","Open Market")</f>
        <v>3652</v>
      </c>
      <c r="F52" s="25">
        <f>GETPIVOTDATA("Sum of Phase Proposed Units",'3'!$A$1,"Status","03 Planning","Tenure","Intermediate")</f>
        <v>691</v>
      </c>
      <c r="G52" s="25">
        <f>GETPIVOTDATA("Sum of Phase Net Units",'3'!$A$1,"Status","03 Planning","Tenure","Intermediate")</f>
        <v>689</v>
      </c>
      <c r="H52" s="25">
        <f>GETPIVOTDATA("Sum of Phase Proposed Units",'3'!$A$1,"Status","03 Planning","Tenure","Social/Affordable Rent")</f>
        <v>170</v>
      </c>
      <c r="I52" s="25">
        <f>GETPIVOTDATA("Sum of Phase Net Units",'3'!$A$1,"Status","03 Planning","Tenure","Social/Affordable Rent")</f>
        <v>170</v>
      </c>
      <c r="J52" s="25">
        <v>0</v>
      </c>
      <c r="K52" s="25">
        <v>0</v>
      </c>
      <c r="L52" s="34">
        <f t="shared" si="2"/>
        <v>861</v>
      </c>
      <c r="M52" s="34">
        <f t="shared" si="3"/>
        <v>859</v>
      </c>
      <c r="N52" s="36">
        <f t="shared" si="4"/>
        <v>0.18145416227608008</v>
      </c>
      <c r="O52" s="36">
        <f t="shared" si="5"/>
        <v>0.19042340944358235</v>
      </c>
      <c r="P52" s="34">
        <f t="shared" si="6"/>
        <v>4745</v>
      </c>
      <c r="Q52" s="34">
        <f t="shared" si="7"/>
        <v>4511</v>
      </c>
    </row>
    <row r="53" spans="1:17" x14ac:dyDescent="0.2">
      <c r="A53" s="314" t="s">
        <v>845</v>
      </c>
      <c r="B53" s="258"/>
      <c r="C53" s="258"/>
      <c r="D53" s="25">
        <f>GETPIVOTDATA("Sum of Phase Proposed Units",'3'!$A$1,"Status","04 Subject to Legal Agreement","Tenure","Open Market")+GETPIVOTDATA("Sum of Phase Proposed Units",'3'!$A$1,"Status","05 Pending or at Appeal","Tenure","Open Market")</f>
        <v>2209</v>
      </c>
      <c r="E53" s="25">
        <f>GETPIVOTDATA("Sum of Phase Net Units",'3'!$A$1,"Status","04 Subject to Legal Agreement","Tenure","Open Market")+GETPIVOTDATA("Sum of Phase Net Units",'3'!$A$1,"Status","05 Pending or at Appeal","Tenure","Open Market")</f>
        <v>2125</v>
      </c>
      <c r="F53" s="25">
        <f>GETPIVOTDATA("Sum of Phase Proposed Units",'3'!$A$1,"Status","04 Subject to Legal Agreement","Tenure","Intermediate")+GETPIVOTDATA("Sum of Phase Proposed Units",'3'!$A$1,"Status","05 Pending or at Appeal","Tenure","Intermediate")</f>
        <v>545</v>
      </c>
      <c r="G53" s="25">
        <f>GETPIVOTDATA("Sum of Phase Net Units",'3'!$A$1,"Status","04 Subject to Legal Agreement","Tenure","Intermediate")+GETPIVOTDATA("Sum of Phase Net Units",'3'!$A$1,"Status","05 Pending or at Appeal","Tenure","Intermediate")</f>
        <v>545</v>
      </c>
      <c r="H53" s="25">
        <f>GETPIVOTDATA("Sum of Phase Proposed Units",'3'!$A$1,"Status","04 Subject to Legal Agreement","Tenure","Social/Affordable Rent")+GETPIVOTDATA("Sum of Phase Proposed Units",'3'!$A$1,"Status","05 Pending or at Appeal","Tenure","Social/Affordable Rent")</f>
        <v>166</v>
      </c>
      <c r="I53" s="25">
        <f>GETPIVOTDATA("Sum of Phase Net Units",'3'!$A$1,"Status","04 Subject to Legal Agreement","Tenure","Social/Affordable Rent")+GETPIVOTDATA("Sum of Phase Net Units",'3'!$A$1,"Status","05 Pending or at Appeal","Tenure","Social/Affordable Rent")</f>
        <v>102</v>
      </c>
      <c r="J53" s="25">
        <v>0</v>
      </c>
      <c r="K53" s="25">
        <v>0</v>
      </c>
      <c r="L53" s="34">
        <f t="shared" si="2"/>
        <v>711</v>
      </c>
      <c r="M53" s="34">
        <f t="shared" si="3"/>
        <v>647</v>
      </c>
      <c r="N53" s="36">
        <f t="shared" si="4"/>
        <v>0.24349315068493152</v>
      </c>
      <c r="O53" s="36">
        <f t="shared" si="5"/>
        <v>0.23340548340548339</v>
      </c>
      <c r="P53" s="34">
        <f t="shared" si="6"/>
        <v>2920</v>
      </c>
      <c r="Q53" s="34">
        <f t="shared" si="7"/>
        <v>2772</v>
      </c>
    </row>
    <row r="54" spans="1:17" x14ac:dyDescent="0.2">
      <c r="A54" s="300" t="s">
        <v>846</v>
      </c>
      <c r="B54" s="301"/>
      <c r="C54" s="301"/>
      <c r="D54" s="34">
        <f>GETPIVOTDATA("Sum of Phase Proposed Units",'3'!$A$1,"Status","06 Identified Site","Tenure","Open Market")</f>
        <v>4071</v>
      </c>
      <c r="E54" s="34">
        <f>GETPIVOTDATA("Sum of Phase Net Units",'3'!$A$1,"Status","06 Identified Site","Tenure","Open Market")</f>
        <v>4071</v>
      </c>
      <c r="F54" s="25">
        <f>GETPIVOTDATA("Sum of Phase Proposed Units",'3'!$A$1,"Status","06 Identified Site","Tenure","Intermediate")</f>
        <v>535</v>
      </c>
      <c r="G54" s="25">
        <f>GETPIVOTDATA("Sum of Phase Net Units",'3'!$A$1,"Status","06 Identified Site","Tenure","Intermediate")</f>
        <v>535</v>
      </c>
      <c r="H54" s="25">
        <f>GETPIVOTDATA("Sum of Phase Proposed Units",'3'!$A$1,"Status","06 Identified Site","Tenure","Social/Affordable Rent")</f>
        <v>903</v>
      </c>
      <c r="I54" s="25">
        <f>GETPIVOTDATA("Sum of Phase Net Units",'3'!$A$1,"Status","06 Identified Site","Tenure","Social/Affordable Rent")</f>
        <v>903</v>
      </c>
      <c r="J54" s="25">
        <v>0</v>
      </c>
      <c r="K54" s="25">
        <v>0</v>
      </c>
      <c r="L54" s="34">
        <f t="shared" si="2"/>
        <v>1438</v>
      </c>
      <c r="M54" s="34">
        <f t="shared" si="3"/>
        <v>1438</v>
      </c>
      <c r="N54" s="36">
        <f t="shared" si="4"/>
        <v>0.26102740969322924</v>
      </c>
      <c r="O54" s="36">
        <f t="shared" si="5"/>
        <v>0.26102740969322924</v>
      </c>
      <c r="P54" s="34">
        <f t="shared" si="6"/>
        <v>5509</v>
      </c>
      <c r="Q54" s="34">
        <f t="shared" si="7"/>
        <v>5509</v>
      </c>
    </row>
    <row r="55" spans="1:17" x14ac:dyDescent="0.2">
      <c r="A55" s="300" t="s">
        <v>844</v>
      </c>
      <c r="B55" s="301"/>
      <c r="C55" s="301"/>
      <c r="D55" s="34">
        <f>GETPIVOTDATA("Sum of Phase Proposed Units",'3'!$A$1,"Status","07 SHLAA Potential Sites","Tenure","Open Market")</f>
        <v>499</v>
      </c>
      <c r="E55" s="34">
        <f>GETPIVOTDATA("Sum of Phase Net Units",'3'!$A$1,"Status","07 SHLAA Potential Sites","Tenure","Open Market")</f>
        <v>499</v>
      </c>
      <c r="F55" s="34">
        <f>GETPIVOTDATA("Sum of Phase Proposed Units",'3'!$A$1,"Status","07 SHLAA Potential Sites","Tenure","Intermediate")</f>
        <v>99</v>
      </c>
      <c r="G55" s="34">
        <f>GETPIVOTDATA("Sum of Phase Net Units",'3'!$A$1,"Status","07 SHLAA Potential Sites","Tenure","Intermediate")</f>
        <v>99</v>
      </c>
      <c r="H55" s="34">
        <f>GETPIVOTDATA("Sum of Phase Proposed Units",'3'!$A$1,"Status","07 SHLAA Potential Sites","Tenure","Social/Affordable Rent")</f>
        <v>147</v>
      </c>
      <c r="I55" s="34">
        <f>GETPIVOTDATA("Sum of Phase Net Units",'3'!$A$1,"Status","07 SHLAA Potential Sites","Tenure","Social/Affordable Rent")</f>
        <v>147</v>
      </c>
      <c r="J55" s="25">
        <v>0</v>
      </c>
      <c r="K55" s="25">
        <v>0</v>
      </c>
      <c r="L55" s="34">
        <f t="shared" si="2"/>
        <v>246</v>
      </c>
      <c r="M55" s="34">
        <f t="shared" si="3"/>
        <v>246</v>
      </c>
      <c r="N55" s="36">
        <f t="shared" si="4"/>
        <v>0.3302013422818792</v>
      </c>
      <c r="O55" s="36">
        <f t="shared" si="5"/>
        <v>0.3302013422818792</v>
      </c>
      <c r="P55" s="34">
        <f t="shared" si="6"/>
        <v>745</v>
      </c>
      <c r="Q55" s="34">
        <f t="shared" si="7"/>
        <v>745</v>
      </c>
    </row>
    <row r="56" spans="1:17" x14ac:dyDescent="0.2">
      <c r="A56" s="300" t="s">
        <v>847</v>
      </c>
      <c r="B56" s="301"/>
      <c r="C56" s="301"/>
      <c r="D56" s="34">
        <f>GETPIVOTDATA("Sum of Phase Proposed Units",'3'!$A$1,"Status","08 SHLAA Small Sites","Tenure","Open Market")</f>
        <v>7362</v>
      </c>
      <c r="E56" s="34">
        <f>GETPIVOTDATA("Sum of Phase Net Units",'3'!$A$1,"Status","08 SHLAA Small Sites","Tenure","Open Market")</f>
        <v>7362</v>
      </c>
      <c r="F56" s="34">
        <f>GETPIVOTDATA("Sum of Phase Proposed Units",'3'!$A$1,"Status","08 SHLAA Small Sites","Tenure","Intermediate")</f>
        <v>0</v>
      </c>
      <c r="G56" s="34">
        <f>GETPIVOTDATA("Sum of Phase Net Units",'3'!$A$1,"Status","08 SHLAA Small Sites","Tenure","Intermediate")</f>
        <v>0</v>
      </c>
      <c r="H56" s="34">
        <f>GETPIVOTDATA("Sum of Phase Proposed Units",'3'!$A$1,"Status","08 SHLAA Small Sites","Tenure","Social/Affordable Rent")</f>
        <v>0</v>
      </c>
      <c r="I56" s="34">
        <f>GETPIVOTDATA("Sum of Phase Net Units",'3'!$A$1,"Status","08 SHLAA Small Sites","Tenure","Social/Affordable Rent")</f>
        <v>0</v>
      </c>
      <c r="J56" s="25">
        <v>0</v>
      </c>
      <c r="K56" s="25">
        <v>0</v>
      </c>
      <c r="L56" s="34">
        <f t="shared" si="2"/>
        <v>0</v>
      </c>
      <c r="M56" s="34">
        <f t="shared" si="3"/>
        <v>0</v>
      </c>
      <c r="N56" s="36">
        <v>0</v>
      </c>
      <c r="O56" s="36">
        <v>0</v>
      </c>
      <c r="P56" s="34">
        <f t="shared" si="6"/>
        <v>7362</v>
      </c>
      <c r="Q56" s="34">
        <f t="shared" si="7"/>
        <v>7362</v>
      </c>
    </row>
    <row r="57" spans="1:17" x14ac:dyDescent="0.2">
      <c r="A57" s="290" t="s">
        <v>3856</v>
      </c>
      <c r="B57" s="290"/>
      <c r="C57" s="290"/>
      <c r="D57" s="65">
        <f>SUM(D51:D56)</f>
        <v>29336</v>
      </c>
      <c r="E57" s="65">
        <f>SUM(E51:E56)</f>
        <v>28765</v>
      </c>
      <c r="F57" s="65">
        <f t="shared" ref="F57:M57" si="8">SUM(F51:F56)</f>
        <v>2974</v>
      </c>
      <c r="G57" s="65">
        <f t="shared" si="8"/>
        <v>2972</v>
      </c>
      <c r="H57" s="65">
        <f t="shared" si="8"/>
        <v>2648</v>
      </c>
      <c r="I57" s="65">
        <f>SUM(I51:I56)</f>
        <v>2419</v>
      </c>
      <c r="J57" s="65">
        <f>SUM(J51:J56)</f>
        <v>0</v>
      </c>
      <c r="K57" s="65">
        <f>SUM(K51:K56)</f>
        <v>0</v>
      </c>
      <c r="L57" s="65">
        <f t="shared" si="8"/>
        <v>5622</v>
      </c>
      <c r="M57" s="65">
        <f t="shared" si="8"/>
        <v>5391</v>
      </c>
      <c r="N57" s="26">
        <f t="shared" si="4"/>
        <v>0.16082155729732822</v>
      </c>
      <c r="O57" s="26">
        <f>M57/Q57</f>
        <v>0.15783464105867198</v>
      </c>
      <c r="P57" s="65">
        <f t="shared" si="6"/>
        <v>34958</v>
      </c>
      <c r="Q57" s="65">
        <f t="shared" si="7"/>
        <v>34156</v>
      </c>
    </row>
    <row r="58" spans="1:17" x14ac:dyDescent="0.2">
      <c r="A58" s="124" t="s">
        <v>3899</v>
      </c>
      <c r="B58" s="68"/>
      <c r="C58" s="68"/>
      <c r="D58" s="69"/>
      <c r="E58" s="69"/>
      <c r="F58" s="69"/>
      <c r="G58" s="69"/>
      <c r="H58" s="69"/>
      <c r="I58" s="69"/>
      <c r="J58" s="69"/>
      <c r="K58" s="69"/>
      <c r="L58" s="69"/>
      <c r="M58" s="69"/>
      <c r="N58" s="70"/>
      <c r="O58" s="70"/>
      <c r="P58" s="69"/>
      <c r="Q58" s="125"/>
    </row>
    <row r="59" spans="1:17" x14ac:dyDescent="0.2">
      <c r="A59" s="18"/>
      <c r="B59" s="18"/>
      <c r="C59" s="18"/>
      <c r="D59" s="18"/>
      <c r="E59" s="18"/>
      <c r="F59" s="18"/>
      <c r="G59" s="18"/>
      <c r="H59" s="18"/>
      <c r="I59" s="18"/>
      <c r="J59" s="18"/>
      <c r="K59" s="18"/>
      <c r="L59" s="18"/>
      <c r="M59" s="18"/>
      <c r="N59" s="18"/>
      <c r="O59" s="18"/>
      <c r="P59" s="18"/>
      <c r="Q59" s="18"/>
    </row>
    <row r="60" spans="1:17" x14ac:dyDescent="0.2">
      <c r="A60" s="52" t="s">
        <v>142</v>
      </c>
      <c r="B60" s="52" t="s">
        <v>1766</v>
      </c>
      <c r="C60" s="53"/>
      <c r="D60" s="53"/>
      <c r="E60" s="53"/>
      <c r="F60" s="53"/>
      <c r="G60" s="53"/>
      <c r="H60" s="53"/>
      <c r="I60" s="53"/>
      <c r="J60" s="53"/>
      <c r="K60" s="53"/>
      <c r="L60" s="53"/>
      <c r="M60" s="53"/>
      <c r="N60" s="53"/>
      <c r="O60" s="53"/>
      <c r="P60" s="53"/>
      <c r="Q60" s="53"/>
    </row>
    <row r="61" spans="1:17" ht="12.75" customHeight="1" x14ac:dyDescent="0.2">
      <c r="A61" s="315" t="s">
        <v>197</v>
      </c>
      <c r="B61" s="315"/>
      <c r="C61" s="315"/>
      <c r="D61" s="210" t="s">
        <v>238</v>
      </c>
      <c r="E61" s="211"/>
      <c r="F61" s="216" t="s">
        <v>66</v>
      </c>
      <c r="G61" s="216"/>
      <c r="H61" s="216"/>
      <c r="I61" s="216"/>
      <c r="J61" s="217" t="s">
        <v>128</v>
      </c>
      <c r="K61" s="218"/>
      <c r="L61" s="210" t="s">
        <v>134</v>
      </c>
      <c r="M61" s="211"/>
      <c r="N61" s="210" t="s">
        <v>198</v>
      </c>
      <c r="O61" s="211"/>
      <c r="P61" s="210" t="s">
        <v>62</v>
      </c>
      <c r="Q61" s="211"/>
    </row>
    <row r="62" spans="1:17" x14ac:dyDescent="0.2">
      <c r="A62" s="315"/>
      <c r="B62" s="315"/>
      <c r="C62" s="315"/>
      <c r="D62" s="212"/>
      <c r="E62" s="213"/>
      <c r="F62" s="210" t="s">
        <v>74</v>
      </c>
      <c r="G62" s="211"/>
      <c r="H62" s="217" t="s">
        <v>154</v>
      </c>
      <c r="I62" s="218"/>
      <c r="J62" s="219"/>
      <c r="K62" s="220"/>
      <c r="L62" s="212"/>
      <c r="M62" s="213"/>
      <c r="N62" s="212"/>
      <c r="O62" s="213"/>
      <c r="P62" s="212"/>
      <c r="Q62" s="213"/>
    </row>
    <row r="63" spans="1:17" x14ac:dyDescent="0.2">
      <c r="A63" s="315"/>
      <c r="B63" s="315"/>
      <c r="C63" s="315"/>
      <c r="D63" s="100" t="s">
        <v>139</v>
      </c>
      <c r="E63" s="100" t="s">
        <v>140</v>
      </c>
      <c r="F63" s="100" t="s">
        <v>139</v>
      </c>
      <c r="G63" s="100" t="s">
        <v>140</v>
      </c>
      <c r="H63" s="100" t="s">
        <v>139</v>
      </c>
      <c r="I63" s="100" t="s">
        <v>140</v>
      </c>
      <c r="J63" s="100" t="s">
        <v>139</v>
      </c>
      <c r="K63" s="100" t="s">
        <v>140</v>
      </c>
      <c r="L63" s="100" t="s">
        <v>139</v>
      </c>
      <c r="M63" s="100" t="s">
        <v>140</v>
      </c>
      <c r="N63" s="100" t="s">
        <v>139</v>
      </c>
      <c r="O63" s="100" t="s">
        <v>140</v>
      </c>
      <c r="P63" s="100" t="s">
        <v>139</v>
      </c>
      <c r="Q63" s="100" t="s">
        <v>140</v>
      </c>
    </row>
    <row r="64" spans="1:17" x14ac:dyDescent="0.2">
      <c r="A64" s="288" t="s">
        <v>3855</v>
      </c>
      <c r="B64" s="289"/>
      <c r="C64" s="289"/>
      <c r="D64" s="30">
        <f>GETPIVOTDATA("Sum of Phase Proposed Units",'4'!$A$3,"Status","01 Completion","Tenure","Open Market")</f>
        <v>1686</v>
      </c>
      <c r="E64" s="30">
        <f>GETPIVOTDATA("Sum of Phase Net Units",'4'!$A$3,"Status","01 Completion","Tenure","Open Market")</f>
        <v>1672</v>
      </c>
      <c r="F64" s="30">
        <f>GETPIVOTDATA("Sum of Phase Proposed Units",'4'!$A$3,"Status","01 Completion","Tenure","Intermediate")</f>
        <v>140</v>
      </c>
      <c r="G64" s="30">
        <f>GETPIVOTDATA("Sum of Phase Net Units",'4'!$A$3,"Status","01 Completion","Tenure","Intermediate")</f>
        <v>140</v>
      </c>
      <c r="H64" s="30">
        <f>GETPIVOTDATA("Sum of Phase Proposed Units",'4'!$A$3,"Status","01 Completion","Tenure","Social/Affordable Rent")</f>
        <v>58</v>
      </c>
      <c r="I64" s="30">
        <f>GETPIVOTDATA("Sum of Phase Net Units",'4'!$A$3,"Status","01 Completion","Tenure","Social/Affordable Rent")</f>
        <v>58</v>
      </c>
      <c r="J64" s="30">
        <v>0</v>
      </c>
      <c r="K64" s="30">
        <v>0</v>
      </c>
      <c r="L64" s="30">
        <f t="shared" ref="L64:L70" si="9">H64+F64</f>
        <v>198</v>
      </c>
      <c r="M64" s="30">
        <f t="shared" ref="M64:M70" si="10">I64+G64</f>
        <v>198</v>
      </c>
      <c r="N64" s="24">
        <f t="shared" ref="N64:N71" si="11">L64/P64</f>
        <v>0.10509554140127389</v>
      </c>
      <c r="O64" s="24">
        <f t="shared" ref="O64:O71" si="12">M64/Q64</f>
        <v>0.10588235294117647</v>
      </c>
      <c r="P64" s="30">
        <f t="shared" ref="P64:Q71" si="13">L64+D64</f>
        <v>1884</v>
      </c>
      <c r="Q64" s="30">
        <f t="shared" si="13"/>
        <v>1870</v>
      </c>
    </row>
    <row r="65" spans="1:17" x14ac:dyDescent="0.2">
      <c r="A65" s="260" t="s">
        <v>833</v>
      </c>
      <c r="B65" s="259"/>
      <c r="C65" s="259"/>
      <c r="D65" s="25">
        <f>GETPIVOTDATA("Sum of Phase Proposed Units",'4'!$A$3,"Status","02 Under Construction","Tenure","Open Market")</f>
        <v>9811</v>
      </c>
      <c r="E65" s="25">
        <f>GETPIVOTDATA("Sum of Phase Net Units",'4'!$A$3,"Status","02 Under Construction","Tenure","Open Market")</f>
        <v>9672</v>
      </c>
      <c r="F65" s="25">
        <f>GETPIVOTDATA("Sum of Phase Proposed Units",'4'!$A$3,"Status","02 Under Construction","Tenure","Intermediate")</f>
        <v>1030</v>
      </c>
      <c r="G65" s="25">
        <f>GETPIVOTDATA("Sum of Phase Net Units",'4'!$A$3,"Status","02 Under Construction","Tenure","Intermediate")</f>
        <v>1030</v>
      </c>
      <c r="H65" s="25">
        <f>GETPIVOTDATA("Sum of Phase Proposed Units",'4'!$A$3,"Status","02 Under Construction","Tenure","Social/Affordable Rent")</f>
        <v>1066</v>
      </c>
      <c r="I65" s="25">
        <f>GETPIVOTDATA("Sum of Phase Net Units",'4'!$A$3,"Status","02 Under Construction","Tenure","Social/Affordable Rent")</f>
        <v>901</v>
      </c>
      <c r="J65" s="25">
        <v>0</v>
      </c>
      <c r="K65" s="25">
        <v>0</v>
      </c>
      <c r="L65" s="25">
        <f t="shared" si="9"/>
        <v>2096</v>
      </c>
      <c r="M65" s="25">
        <f t="shared" si="10"/>
        <v>1931</v>
      </c>
      <c r="N65" s="42">
        <f t="shared" si="11"/>
        <v>0.17603090618963635</v>
      </c>
      <c r="O65" s="42">
        <f t="shared" si="12"/>
        <v>0.16642247694561751</v>
      </c>
      <c r="P65" s="34">
        <f t="shared" si="13"/>
        <v>11907</v>
      </c>
      <c r="Q65" s="34">
        <f t="shared" si="13"/>
        <v>11603</v>
      </c>
    </row>
    <row r="66" spans="1:17" x14ac:dyDescent="0.2">
      <c r="A66" s="260" t="s">
        <v>834</v>
      </c>
      <c r="B66" s="259"/>
      <c r="C66" s="259"/>
      <c r="D66" s="25">
        <f>GETPIVOTDATA("Sum of Phase Proposed Units",'4'!$A$3,"Status","03 Planning","Tenure","Open Market")</f>
        <v>2968</v>
      </c>
      <c r="E66" s="25">
        <f>GETPIVOTDATA("Sum of Phase Net Units",'4'!$A$3,"Status","03 Planning","Tenure","Open Market")</f>
        <v>2935</v>
      </c>
      <c r="F66" s="25">
        <f>GETPIVOTDATA("Sum of Phase Proposed Units",'4'!$A$3,"Status","03 Planning","Tenure","Intermediate")</f>
        <v>691</v>
      </c>
      <c r="G66" s="25">
        <f>GETPIVOTDATA("Sum of Phase Net Units",'4'!$A$3,"Status","03 Planning","Tenure","Intermediate")</f>
        <v>689</v>
      </c>
      <c r="H66" s="25">
        <f>GETPIVOTDATA("Sum of Phase Proposed Units",'4'!$A$3,"Status","03 Planning","Tenure","Social/Affordable Rent")</f>
        <v>163</v>
      </c>
      <c r="I66" s="25">
        <f>GETPIVOTDATA("Sum of Phase Net Units",'4'!$A$3,"Status","03 Planning","Tenure","Social/Affordable Rent")</f>
        <v>163</v>
      </c>
      <c r="J66" s="25">
        <v>0</v>
      </c>
      <c r="K66" s="25">
        <v>0</v>
      </c>
      <c r="L66" s="25">
        <f t="shared" si="9"/>
        <v>854</v>
      </c>
      <c r="M66" s="25">
        <f t="shared" si="10"/>
        <v>852</v>
      </c>
      <c r="N66" s="42">
        <f t="shared" si="11"/>
        <v>0.22344322344322345</v>
      </c>
      <c r="O66" s="42">
        <f t="shared" si="12"/>
        <v>0.22498019540533404</v>
      </c>
      <c r="P66" s="34">
        <f t="shared" si="13"/>
        <v>3822</v>
      </c>
      <c r="Q66" s="34">
        <f t="shared" si="13"/>
        <v>3787</v>
      </c>
    </row>
    <row r="67" spans="1:17" x14ac:dyDescent="0.2">
      <c r="A67" s="260" t="s">
        <v>835</v>
      </c>
      <c r="B67" s="259"/>
      <c r="C67" s="259"/>
      <c r="D67" s="25">
        <f>GETPIVOTDATA("Sum of Phase Proposed Units",'4'!$A$3,"Status","04 Subject to Legal Agreement","Tenure","Open Market")+GETPIVOTDATA("Sum of Phase Proposed Units",'4'!$A$3,"Status","05 Pending or at Appeal","Tenure","Open Market")</f>
        <v>1829</v>
      </c>
      <c r="E67" s="25">
        <f>GETPIVOTDATA("Sum of Phase Net Units",'4'!$A$3,"Status","04 Subject to Legal Agreement","Tenure","Open Market")+GETPIVOTDATA("Sum of Phase Net Units",'4'!$A$3,"Status","05 Pending or at Appeal","Tenure","Open Market")</f>
        <v>1817</v>
      </c>
      <c r="F67" s="25">
        <f>GETPIVOTDATA("Sum of Phase Proposed Units",'4'!$A$3,"Status","04 Subject to Legal Agreement","Tenure","Intermediate")+GETPIVOTDATA("Sum of Phase Proposed Units",'4'!$A$3,"Status","05 Pending or at Appeal","Tenure","Intermediate")</f>
        <v>545</v>
      </c>
      <c r="G67" s="25">
        <f>GETPIVOTDATA("Sum of Phase Net Units",'4'!$A$3,"Status","04 Subject to Legal Agreement","Tenure","Intermediate")+GETPIVOTDATA("Sum of Phase Net Units",'4'!$A$3,"Status","05 Pending or at Appeal","Tenure","Intermediate")</f>
        <v>545</v>
      </c>
      <c r="H67" s="25">
        <f>GETPIVOTDATA("Sum of Phase Proposed Units",'4'!$A$3,"Status","04 Subject to Legal Agreement","Tenure","Social/Affordable Rent")+GETPIVOTDATA("Sum of Phase Proposed Units",'4'!$A$3,"Status","05 Pending or at Appeal","Tenure","Social/Affordable Rent")</f>
        <v>157</v>
      </c>
      <c r="I67" s="25">
        <f>GETPIVOTDATA("Sum of Phase Net Units",'4'!$A$3,"Status","04 Subject to Legal Agreement","Tenure","Social/Affordable Rent")+GETPIVOTDATA("Sum of Phase Net Units",'4'!$A$3,"Status","05 Pending or at Appeal","Tenure","Social/Affordable Rent")</f>
        <v>93</v>
      </c>
      <c r="J67" s="25">
        <v>0</v>
      </c>
      <c r="K67" s="25">
        <v>0</v>
      </c>
      <c r="L67" s="25">
        <f t="shared" si="9"/>
        <v>702</v>
      </c>
      <c r="M67" s="25">
        <f t="shared" si="10"/>
        <v>638</v>
      </c>
      <c r="N67" s="42">
        <f t="shared" si="11"/>
        <v>0.27736072698538128</v>
      </c>
      <c r="O67" s="42">
        <f t="shared" si="12"/>
        <v>0.25987780040733199</v>
      </c>
      <c r="P67" s="34">
        <f t="shared" si="13"/>
        <v>2531</v>
      </c>
      <c r="Q67" s="34">
        <f t="shared" si="13"/>
        <v>2455</v>
      </c>
    </row>
    <row r="68" spans="1:17" x14ac:dyDescent="0.2">
      <c r="A68" s="295" t="s">
        <v>846</v>
      </c>
      <c r="B68" s="298"/>
      <c r="C68" s="299"/>
      <c r="D68" s="34">
        <f>GETPIVOTDATA("Sum of Phase Proposed Units",'4'!$A$3,"Status","06 Identified Site","Tenure","Open Market")</f>
        <v>3998</v>
      </c>
      <c r="E68" s="34">
        <f>GETPIVOTDATA("Sum of Phase Net Units",'4'!$A$3,"Status","06 Identified Site","Tenure","Open Market")</f>
        <v>3998</v>
      </c>
      <c r="F68" s="25">
        <f>GETPIVOTDATA("Sum of Phase Proposed Units",'4'!$A$3,"Status","06 Identified Site","Tenure","Intermediate")</f>
        <v>530</v>
      </c>
      <c r="G68" s="25">
        <f>GETPIVOTDATA("Sum of Phase Net Units",'4'!$A$3,"Status","06 Identified Site","Tenure","Intermediate")</f>
        <v>530</v>
      </c>
      <c r="H68" s="25">
        <f>GETPIVOTDATA("Sum of Phase Proposed Units",'4'!$A$3,"Status","06 Identified Site","Tenure","Social/Affordable Rent")</f>
        <v>896</v>
      </c>
      <c r="I68" s="25">
        <f>GETPIVOTDATA("Sum of Phase Net Units",'4'!$A$3,"Status","06 Identified Site","Tenure","Social/Affordable Rent")</f>
        <v>896</v>
      </c>
      <c r="J68" s="25">
        <v>0</v>
      </c>
      <c r="K68" s="25">
        <v>0</v>
      </c>
      <c r="L68" s="34">
        <f t="shared" si="9"/>
        <v>1426</v>
      </c>
      <c r="M68" s="34">
        <f t="shared" si="10"/>
        <v>1426</v>
      </c>
      <c r="N68" s="36">
        <f t="shared" si="11"/>
        <v>0.26290560471976399</v>
      </c>
      <c r="O68" s="36">
        <f t="shared" si="12"/>
        <v>0.26290560471976399</v>
      </c>
      <c r="P68" s="34">
        <f t="shared" si="13"/>
        <v>5424</v>
      </c>
      <c r="Q68" s="34">
        <f t="shared" si="13"/>
        <v>5424</v>
      </c>
    </row>
    <row r="69" spans="1:17" x14ac:dyDescent="0.2">
      <c r="A69" s="295" t="s">
        <v>844</v>
      </c>
      <c r="B69" s="296"/>
      <c r="C69" s="297"/>
      <c r="D69" s="34">
        <f>GETPIVOTDATA("Sum of Phase Proposed Units",'4'!$A$3,"Status","07 SHLAA Potential Sites","Tenure","Open Market")</f>
        <v>499</v>
      </c>
      <c r="E69" s="34">
        <f>GETPIVOTDATA("Sum of Phase Net Units",'4'!$A$3,"Status","07 SHLAA Potential Sites","Tenure","Open Market")</f>
        <v>499</v>
      </c>
      <c r="F69" s="34">
        <f>GETPIVOTDATA("Sum of Phase Proposed Units",'4'!$A$3,"Status","07 SHLAA Potential Sites","Tenure","Intermediate")</f>
        <v>99</v>
      </c>
      <c r="G69" s="34">
        <f>GETPIVOTDATA("Sum of Phase Net Units",'4'!$A$3,"Status","07 SHLAA Potential Sites","Tenure","Intermediate")</f>
        <v>99</v>
      </c>
      <c r="H69" s="34">
        <f>GETPIVOTDATA("Sum of Phase Proposed Units",'4'!$A$3,"Status","07 SHLAA Potential Sites","Tenure","Social/Affordable Rent")</f>
        <v>147</v>
      </c>
      <c r="I69" s="34">
        <f>GETPIVOTDATA("Sum of Phase Net Units",'4'!$A$3,"Status","07 SHLAA Potential Sites","Tenure","Social/Affordable Rent")</f>
        <v>147</v>
      </c>
      <c r="J69" s="25">
        <v>0</v>
      </c>
      <c r="K69" s="25">
        <v>0</v>
      </c>
      <c r="L69" s="34">
        <f t="shared" si="9"/>
        <v>246</v>
      </c>
      <c r="M69" s="34">
        <f t="shared" si="10"/>
        <v>246</v>
      </c>
      <c r="N69" s="36">
        <f t="shared" si="11"/>
        <v>0.3302013422818792</v>
      </c>
      <c r="O69" s="36">
        <f t="shared" si="12"/>
        <v>0.3302013422818792</v>
      </c>
      <c r="P69" s="34">
        <f t="shared" si="13"/>
        <v>745</v>
      </c>
      <c r="Q69" s="34">
        <f t="shared" si="13"/>
        <v>745</v>
      </c>
    </row>
    <row r="70" spans="1:17" x14ac:dyDescent="0.2">
      <c r="A70" s="295" t="s">
        <v>847</v>
      </c>
      <c r="B70" s="296"/>
      <c r="C70" s="297"/>
      <c r="D70" s="34">
        <v>0</v>
      </c>
      <c r="E70" s="34">
        <v>0</v>
      </c>
      <c r="F70" s="34">
        <v>0</v>
      </c>
      <c r="G70" s="34">
        <v>0</v>
      </c>
      <c r="H70" s="34">
        <v>0</v>
      </c>
      <c r="I70" s="34">
        <v>0</v>
      </c>
      <c r="J70" s="25">
        <v>0</v>
      </c>
      <c r="K70" s="25">
        <v>0</v>
      </c>
      <c r="L70" s="34">
        <f t="shared" si="9"/>
        <v>0</v>
      </c>
      <c r="M70" s="34">
        <f t="shared" si="10"/>
        <v>0</v>
      </c>
      <c r="N70" s="36">
        <v>0</v>
      </c>
      <c r="O70" s="36">
        <v>0</v>
      </c>
      <c r="P70" s="34">
        <f t="shared" si="13"/>
        <v>0</v>
      </c>
      <c r="Q70" s="34">
        <f t="shared" si="13"/>
        <v>0</v>
      </c>
    </row>
    <row r="71" spans="1:17" x14ac:dyDescent="0.2">
      <c r="A71" s="290" t="s">
        <v>3856</v>
      </c>
      <c r="B71" s="290"/>
      <c r="C71" s="290"/>
      <c r="D71" s="65">
        <f t="shared" ref="D71:M71" si="14">SUM(D65:D70)</f>
        <v>19105</v>
      </c>
      <c r="E71" s="65">
        <f t="shared" si="14"/>
        <v>18921</v>
      </c>
      <c r="F71" s="65">
        <f t="shared" si="14"/>
        <v>2895</v>
      </c>
      <c r="G71" s="65">
        <f t="shared" si="14"/>
        <v>2893</v>
      </c>
      <c r="H71" s="65">
        <f t="shared" si="14"/>
        <v>2429</v>
      </c>
      <c r="I71" s="65">
        <f t="shared" si="14"/>
        <v>2200</v>
      </c>
      <c r="J71" s="65">
        <f t="shared" si="14"/>
        <v>0</v>
      </c>
      <c r="K71" s="65">
        <f t="shared" si="14"/>
        <v>0</v>
      </c>
      <c r="L71" s="65">
        <f t="shared" si="14"/>
        <v>5324</v>
      </c>
      <c r="M71" s="65">
        <f t="shared" si="14"/>
        <v>5093</v>
      </c>
      <c r="N71" s="26">
        <f t="shared" si="11"/>
        <v>0.21793769699946786</v>
      </c>
      <c r="O71" s="26">
        <f t="shared" si="12"/>
        <v>0.21208461730657116</v>
      </c>
      <c r="P71" s="65">
        <f t="shared" si="13"/>
        <v>24429</v>
      </c>
      <c r="Q71" s="65">
        <f t="shared" si="13"/>
        <v>24014</v>
      </c>
    </row>
    <row r="72" spans="1:17" x14ac:dyDescent="0.2">
      <c r="A72" s="124" t="s">
        <v>3899</v>
      </c>
      <c r="B72" s="3"/>
      <c r="C72" s="3"/>
      <c r="D72" s="4"/>
      <c r="E72" s="4"/>
      <c r="F72" s="4"/>
      <c r="G72" s="4"/>
      <c r="H72" s="4"/>
      <c r="I72" s="4"/>
      <c r="J72" s="4"/>
      <c r="K72" s="4"/>
      <c r="L72" s="5"/>
      <c r="M72" s="5"/>
      <c r="N72" s="5"/>
      <c r="O72" s="5"/>
      <c r="P72" s="5"/>
      <c r="Q72" s="5"/>
    </row>
    <row r="73" spans="1:17" x14ac:dyDescent="0.2">
      <c r="A73" s="18"/>
      <c r="B73" s="18"/>
      <c r="C73" s="18"/>
      <c r="D73" s="18"/>
      <c r="E73" s="18"/>
      <c r="F73" s="18"/>
      <c r="G73" s="18"/>
      <c r="H73" s="18"/>
      <c r="I73" s="18"/>
      <c r="J73" s="18"/>
      <c r="K73" s="18"/>
      <c r="L73" s="18"/>
      <c r="M73" s="18"/>
      <c r="N73" s="18"/>
      <c r="O73" s="18"/>
      <c r="P73" s="18"/>
      <c r="Q73" s="18"/>
    </row>
    <row r="74" spans="1:17" x14ac:dyDescent="0.2">
      <c r="A74" s="52" t="s">
        <v>143</v>
      </c>
      <c r="B74" s="52" t="s">
        <v>3857</v>
      </c>
      <c r="C74" s="53"/>
      <c r="D74" s="53"/>
      <c r="E74" s="53"/>
      <c r="F74" s="53"/>
      <c r="G74" s="53"/>
      <c r="H74" s="53"/>
      <c r="I74" s="53"/>
      <c r="J74" s="53"/>
      <c r="K74" s="18"/>
      <c r="L74" s="18"/>
      <c r="M74" s="18"/>
      <c r="N74" s="18"/>
      <c r="O74" s="18"/>
      <c r="P74" s="18"/>
      <c r="Q74" s="18"/>
    </row>
    <row r="75" spans="1:17" x14ac:dyDescent="0.2">
      <c r="A75" s="143" t="s">
        <v>46</v>
      </c>
      <c r="B75" s="89" t="s">
        <v>841</v>
      </c>
      <c r="C75" s="89" t="s">
        <v>840</v>
      </c>
      <c r="D75" s="89" t="s">
        <v>839</v>
      </c>
      <c r="E75" s="19"/>
      <c r="F75" s="19"/>
      <c r="G75" s="19"/>
      <c r="H75" s="19"/>
      <c r="I75" s="19"/>
      <c r="J75" s="19"/>
      <c r="K75" s="20"/>
      <c r="L75" s="20"/>
      <c r="M75" s="20"/>
      <c r="N75" s="20"/>
      <c r="O75" s="20"/>
      <c r="P75" s="20"/>
      <c r="Q75" s="20"/>
    </row>
    <row r="76" spans="1:17" x14ac:dyDescent="0.2">
      <c r="A76" s="102" t="s">
        <v>1770</v>
      </c>
      <c r="B76" s="31">
        <v>2680</v>
      </c>
      <c r="C76" s="31">
        <v>1173</v>
      </c>
      <c r="D76" s="31">
        <v>569</v>
      </c>
      <c r="E76" s="53"/>
      <c r="F76" s="53"/>
      <c r="G76" s="53"/>
      <c r="H76" s="53"/>
      <c r="I76" s="53"/>
      <c r="J76" s="53"/>
      <c r="K76" s="18"/>
      <c r="L76" s="18"/>
      <c r="M76" s="18"/>
      <c r="N76" s="18"/>
      <c r="O76" s="18"/>
      <c r="P76" s="18"/>
      <c r="Q76" s="18"/>
    </row>
    <row r="77" spans="1:17" x14ac:dyDescent="0.2">
      <c r="A77" s="102" t="s">
        <v>1771</v>
      </c>
      <c r="B77" s="31">
        <v>2597</v>
      </c>
      <c r="C77" s="31">
        <v>1407</v>
      </c>
      <c r="D77" s="31">
        <v>948</v>
      </c>
      <c r="E77" s="53"/>
      <c r="F77" s="53"/>
      <c r="G77" s="53"/>
      <c r="H77" s="53"/>
      <c r="I77" s="53"/>
      <c r="J77" s="53"/>
      <c r="K77" s="18"/>
      <c r="L77" s="18"/>
      <c r="M77" s="18"/>
      <c r="N77" s="18"/>
      <c r="O77" s="18"/>
      <c r="P77" s="18"/>
      <c r="Q77" s="18"/>
    </row>
    <row r="78" spans="1:17" x14ac:dyDescent="0.2">
      <c r="A78" s="102" t="s">
        <v>1772</v>
      </c>
      <c r="B78" s="31">
        <v>1576</v>
      </c>
      <c r="C78" s="31">
        <v>1355</v>
      </c>
      <c r="D78" s="31">
        <v>1064</v>
      </c>
      <c r="E78" s="53"/>
      <c r="F78" s="53"/>
      <c r="G78" s="53"/>
      <c r="H78" s="53"/>
      <c r="I78" s="53"/>
      <c r="J78" s="53"/>
      <c r="K78" s="18"/>
      <c r="L78" s="18"/>
      <c r="M78" s="18"/>
      <c r="N78" s="18"/>
      <c r="O78" s="18"/>
      <c r="P78" s="18"/>
      <c r="Q78" s="18"/>
    </row>
    <row r="79" spans="1:17" x14ac:dyDescent="0.2">
      <c r="A79" s="102" t="s">
        <v>1773</v>
      </c>
      <c r="B79" s="31">
        <v>3575</v>
      </c>
      <c r="C79" s="31">
        <v>1132</v>
      </c>
      <c r="D79" s="31">
        <v>1490</v>
      </c>
      <c r="E79" s="53"/>
      <c r="F79" s="53"/>
      <c r="G79" s="53"/>
      <c r="H79" s="53"/>
      <c r="I79" s="53"/>
      <c r="J79" s="53"/>
      <c r="K79" s="18"/>
      <c r="L79" s="18"/>
      <c r="M79" s="18"/>
      <c r="N79" s="18"/>
      <c r="O79" s="18"/>
      <c r="P79" s="18"/>
      <c r="Q79" s="18"/>
    </row>
    <row r="80" spans="1:17" x14ac:dyDescent="0.2">
      <c r="A80" s="102" t="s">
        <v>1774</v>
      </c>
      <c r="B80" s="31">
        <v>1885</v>
      </c>
      <c r="C80" s="31">
        <v>1010</v>
      </c>
      <c r="D80" s="31">
        <v>1304</v>
      </c>
      <c r="E80" s="53"/>
      <c r="F80" s="53"/>
      <c r="G80" s="53"/>
      <c r="H80" s="53"/>
      <c r="I80" s="53"/>
      <c r="J80" s="53"/>
      <c r="K80" s="18"/>
      <c r="L80" s="18"/>
      <c r="M80" s="18"/>
      <c r="N80" s="18"/>
      <c r="O80" s="18"/>
      <c r="P80" s="18"/>
      <c r="Q80" s="18"/>
    </row>
    <row r="81" spans="1:17" x14ac:dyDescent="0.2">
      <c r="A81" s="102" t="s">
        <v>1775</v>
      </c>
      <c r="B81" s="31">
        <v>2652</v>
      </c>
      <c r="C81" s="31">
        <v>1924</v>
      </c>
      <c r="D81" s="31">
        <v>1278</v>
      </c>
      <c r="E81" s="53"/>
      <c r="F81" s="53"/>
      <c r="G81" s="53"/>
      <c r="H81" s="53"/>
      <c r="I81" s="53"/>
      <c r="J81" s="53"/>
      <c r="K81" s="18"/>
      <c r="L81" s="18"/>
      <c r="M81" s="18"/>
      <c r="N81" s="18"/>
      <c r="O81" s="18"/>
      <c r="P81" s="18"/>
      <c r="Q81" s="18"/>
    </row>
    <row r="82" spans="1:17" x14ac:dyDescent="0.2">
      <c r="A82" s="102" t="s">
        <v>1776</v>
      </c>
      <c r="B82" s="31">
        <v>2037</v>
      </c>
      <c r="C82" s="31">
        <v>1636</v>
      </c>
      <c r="D82" s="31">
        <v>1031</v>
      </c>
      <c r="E82" s="53"/>
      <c r="F82" s="53"/>
      <c r="G82" s="53"/>
      <c r="H82" s="53"/>
      <c r="I82" s="53"/>
      <c r="J82" s="53"/>
      <c r="K82" s="18"/>
      <c r="L82" s="18"/>
      <c r="M82" s="18"/>
      <c r="N82" s="18"/>
      <c r="O82" s="18"/>
      <c r="P82" s="18"/>
      <c r="Q82" s="18"/>
    </row>
    <row r="83" spans="1:17" x14ac:dyDescent="0.2">
      <c r="A83" s="102" t="s">
        <v>1777</v>
      </c>
      <c r="B83" s="31">
        <v>1705</v>
      </c>
      <c r="C83" s="31">
        <v>601</v>
      </c>
      <c r="D83" s="31">
        <v>1560</v>
      </c>
      <c r="E83" s="53"/>
      <c r="F83" s="53"/>
      <c r="G83" s="53"/>
      <c r="H83" s="53"/>
      <c r="I83" s="53"/>
      <c r="J83" s="53"/>
      <c r="K83" s="18"/>
      <c r="L83" s="18"/>
      <c r="M83" s="18"/>
      <c r="N83" s="18"/>
      <c r="O83" s="18"/>
      <c r="P83" s="18"/>
      <c r="Q83" s="18"/>
    </row>
    <row r="84" spans="1:17" x14ac:dyDescent="0.2">
      <c r="A84" s="102" t="s">
        <v>130</v>
      </c>
      <c r="B84" s="31">
        <v>1270</v>
      </c>
      <c r="C84" s="31">
        <v>462</v>
      </c>
      <c r="D84" s="31">
        <v>1539</v>
      </c>
      <c r="E84" s="53"/>
      <c r="F84" s="53"/>
      <c r="G84" s="53"/>
      <c r="H84" s="53"/>
      <c r="I84" s="53"/>
      <c r="J84" s="53"/>
      <c r="K84" s="18"/>
      <c r="L84" s="18"/>
      <c r="M84" s="18"/>
      <c r="N84" s="18"/>
      <c r="O84" s="18"/>
      <c r="P84" s="18"/>
      <c r="Q84" s="18"/>
    </row>
    <row r="85" spans="1:17" x14ac:dyDescent="0.2">
      <c r="A85" s="102" t="s">
        <v>131</v>
      </c>
      <c r="B85" s="31">
        <v>2934</v>
      </c>
      <c r="C85" s="31">
        <v>1529</v>
      </c>
      <c r="D85" s="31">
        <v>481</v>
      </c>
      <c r="E85" s="53"/>
      <c r="F85" s="53"/>
      <c r="G85" s="53"/>
      <c r="H85" s="53"/>
      <c r="I85" s="53"/>
      <c r="J85" s="53"/>
      <c r="K85" s="18"/>
      <c r="L85" s="18"/>
      <c r="M85" s="18"/>
      <c r="N85" s="18"/>
      <c r="O85" s="18"/>
      <c r="P85" s="18"/>
      <c r="Q85" s="18"/>
    </row>
    <row r="86" spans="1:17" x14ac:dyDescent="0.2">
      <c r="A86" s="102" t="s">
        <v>132</v>
      </c>
      <c r="B86" s="31">
        <v>10498</v>
      </c>
      <c r="C86" s="31">
        <v>2160</v>
      </c>
      <c r="D86" s="31">
        <v>979</v>
      </c>
      <c r="E86" s="53"/>
      <c r="F86" s="53"/>
      <c r="G86" s="53"/>
      <c r="H86" s="53"/>
      <c r="I86" s="53"/>
      <c r="J86" s="53"/>
      <c r="K86" s="18"/>
      <c r="L86" s="18"/>
      <c r="M86" s="18"/>
      <c r="N86" s="18"/>
      <c r="O86" s="18"/>
      <c r="P86" s="18"/>
      <c r="Q86" s="18"/>
    </row>
    <row r="87" spans="1:17" x14ac:dyDescent="0.2">
      <c r="A87" s="102" t="s">
        <v>404</v>
      </c>
      <c r="B87" s="31">
        <v>4775</v>
      </c>
      <c r="C87" s="31">
        <v>1197</v>
      </c>
      <c r="D87" s="31">
        <v>774</v>
      </c>
      <c r="E87" s="6"/>
      <c r="F87" s="53"/>
      <c r="G87" s="53"/>
      <c r="H87" s="53"/>
      <c r="I87" s="53"/>
      <c r="J87" s="53"/>
      <c r="K87" s="18"/>
      <c r="L87" s="18"/>
      <c r="M87" s="18"/>
      <c r="N87" s="18"/>
      <c r="O87" s="18"/>
      <c r="P87" s="18"/>
      <c r="Q87" s="18"/>
    </row>
    <row r="88" spans="1:17" x14ac:dyDescent="0.2">
      <c r="A88" s="102" t="s">
        <v>45</v>
      </c>
      <c r="B88" s="32">
        <v>2006</v>
      </c>
      <c r="C88" s="32">
        <v>2392</v>
      </c>
      <c r="D88" s="32">
        <v>1197</v>
      </c>
      <c r="E88" s="18"/>
      <c r="F88" s="18"/>
      <c r="G88" s="18"/>
      <c r="H88" s="18"/>
      <c r="I88" s="18"/>
      <c r="J88" s="18"/>
      <c r="K88" s="18"/>
      <c r="L88" s="18"/>
      <c r="M88" s="18"/>
      <c r="N88" s="18"/>
      <c r="O88" s="18"/>
      <c r="P88" s="18"/>
      <c r="Q88" s="18"/>
    </row>
    <row r="89" spans="1:17" x14ac:dyDescent="0.2">
      <c r="A89" s="102" t="s">
        <v>44</v>
      </c>
      <c r="B89" s="32">
        <v>4972</v>
      </c>
      <c r="C89" s="32">
        <v>1134</v>
      </c>
      <c r="D89" s="32">
        <v>936</v>
      </c>
      <c r="E89" s="18"/>
      <c r="F89" s="18"/>
      <c r="G89" s="18"/>
      <c r="H89" s="18"/>
      <c r="I89" s="18"/>
      <c r="J89" s="18"/>
      <c r="K89" s="18"/>
      <c r="L89" s="18"/>
      <c r="M89" s="18"/>
      <c r="N89" s="18"/>
      <c r="O89" s="18"/>
      <c r="P89" s="18"/>
      <c r="Q89" s="18"/>
    </row>
    <row r="90" spans="1:17" x14ac:dyDescent="0.2">
      <c r="A90" s="102" t="s">
        <v>0</v>
      </c>
      <c r="B90" s="32">
        <v>3339</v>
      </c>
      <c r="C90" s="32">
        <v>1923</v>
      </c>
      <c r="D90" s="32">
        <v>2776</v>
      </c>
      <c r="E90" s="18"/>
      <c r="F90" s="18"/>
      <c r="G90" s="18"/>
      <c r="H90" s="18"/>
      <c r="I90" s="18"/>
      <c r="J90" s="18"/>
      <c r="K90" s="18"/>
      <c r="L90" s="18"/>
      <c r="M90" s="18"/>
      <c r="N90" s="18"/>
      <c r="O90" s="18"/>
      <c r="P90" s="18"/>
      <c r="Q90" s="18"/>
    </row>
    <row r="91" spans="1:17" x14ac:dyDescent="0.2">
      <c r="A91" s="144" t="s">
        <v>1</v>
      </c>
      <c r="B91" s="32">
        <v>3128</v>
      </c>
      <c r="C91" s="32">
        <v>3241</v>
      </c>
      <c r="D91" s="32">
        <v>2345</v>
      </c>
      <c r="E91" s="18"/>
      <c r="F91" s="18"/>
      <c r="G91" s="18"/>
      <c r="H91" s="18"/>
      <c r="I91" s="18"/>
      <c r="J91" s="18"/>
      <c r="K91" s="18"/>
      <c r="L91" s="18"/>
      <c r="M91" s="18"/>
      <c r="N91" s="18"/>
      <c r="O91" s="18"/>
      <c r="P91" s="18"/>
      <c r="Q91" s="18"/>
    </row>
    <row r="92" spans="1:17" x14ac:dyDescent="0.2">
      <c r="A92" s="101" t="s">
        <v>2</v>
      </c>
      <c r="B92" s="43">
        <f>GETPIVOTDATA("Phase Net Units",'5 Perm'!$A$3,"Status","01 Completion")+GETPIVOTDATA("Phase Net Units",'5 Perm'!$A$3,"Status","02 Under Construction")+GETPIVOTDATA("Phase Net Units",'5 Perm'!$A$3,"Status","03 Planning")</f>
        <v>6083</v>
      </c>
      <c r="C92" s="43">
        <f>GETPIVOTDATA("Phase Net Units",'5 Star'!$A$3,"Status","01 Completion")+GETPIVOTDATA("Phase Net Units",'5 Star'!$A$3,"Status","02 Under Construction")</f>
        <v>2100</v>
      </c>
      <c r="D92" s="43">
        <f>I9</f>
        <v>2036</v>
      </c>
      <c r="E92" s="18"/>
      <c r="F92" s="18"/>
      <c r="G92" s="18"/>
      <c r="H92" s="18"/>
      <c r="I92" s="18"/>
      <c r="J92" s="18"/>
      <c r="K92" s="18"/>
      <c r="L92" s="18"/>
      <c r="M92" s="18"/>
      <c r="N92" s="18"/>
      <c r="O92" s="18"/>
      <c r="P92" s="18"/>
      <c r="Q92" s="18"/>
    </row>
    <row r="93" spans="1:17" x14ac:dyDescent="0.2">
      <c r="A93" s="126"/>
      <c r="B93" s="18"/>
      <c r="C93" s="18"/>
      <c r="D93" s="18"/>
      <c r="E93" s="18"/>
      <c r="F93" s="18"/>
      <c r="G93" s="18"/>
      <c r="H93" s="18"/>
      <c r="I93" s="18"/>
      <c r="J93" s="18"/>
      <c r="K93" s="18"/>
      <c r="L93" s="18"/>
      <c r="M93" s="18"/>
      <c r="N93" s="18"/>
      <c r="O93" s="18"/>
      <c r="P93" s="18"/>
      <c r="Q93" s="18"/>
    </row>
    <row r="94" spans="1:17" x14ac:dyDescent="0.2">
      <c r="A94" s="52" t="s">
        <v>145</v>
      </c>
      <c r="B94" s="52" t="s">
        <v>3858</v>
      </c>
      <c r="C94" s="53"/>
      <c r="D94" s="53"/>
      <c r="E94" s="53"/>
      <c r="F94" s="53"/>
      <c r="G94" s="53"/>
      <c r="H94" s="53"/>
      <c r="I94" s="18"/>
      <c r="J94" s="18"/>
      <c r="K94" s="18"/>
      <c r="L94" s="18"/>
      <c r="M94" s="18"/>
      <c r="N94" s="18"/>
      <c r="O94" s="18"/>
      <c r="P94" s="18"/>
      <c r="Q94" s="18"/>
    </row>
    <row r="95" spans="1:17" x14ac:dyDescent="0.2">
      <c r="A95" s="302" t="s">
        <v>179</v>
      </c>
      <c r="B95" s="302"/>
      <c r="C95" s="89" t="s">
        <v>47</v>
      </c>
      <c r="D95" s="89" t="s">
        <v>48</v>
      </c>
      <c r="E95" s="89" t="s">
        <v>49</v>
      </c>
      <c r="F95" s="53"/>
      <c r="G95" s="53"/>
      <c r="H95" s="53"/>
      <c r="I95" s="18"/>
      <c r="J95" s="18"/>
      <c r="K95" s="18"/>
      <c r="L95" s="18"/>
      <c r="M95" s="18"/>
      <c r="N95" s="18"/>
      <c r="O95" s="18"/>
      <c r="P95" s="18"/>
      <c r="Q95" s="18"/>
    </row>
    <row r="96" spans="1:17" x14ac:dyDescent="0.2">
      <c r="A96" s="300" t="s">
        <v>137</v>
      </c>
      <c r="B96" s="301"/>
      <c r="C96" s="33">
        <f>GETPIVOTDATA("Phase Net Units",'6 PeNB'!$A$6)</f>
        <v>5457</v>
      </c>
      <c r="D96" s="34">
        <f>GETPIVOTDATA("Phase Net Units",'6 StNB'!$A$6)</f>
        <v>1868</v>
      </c>
      <c r="E96" s="25">
        <f>E39</f>
        <v>1912</v>
      </c>
      <c r="F96" s="53"/>
      <c r="G96" s="53"/>
      <c r="H96" s="53"/>
      <c r="I96" s="53"/>
      <c r="J96" s="53"/>
      <c r="K96" s="53"/>
      <c r="L96" s="53"/>
      <c r="M96" s="53"/>
      <c r="N96" s="53"/>
      <c r="O96" s="53"/>
      <c r="P96" s="18"/>
      <c r="Q96" s="18"/>
    </row>
    <row r="97" spans="1:17" x14ac:dyDescent="0.2">
      <c r="A97" s="300" t="s">
        <v>138</v>
      </c>
      <c r="B97" s="301"/>
      <c r="C97" s="34">
        <f>GETPIVOTDATA("Phase Net Units",'6 PeCO'!$A$6)</f>
        <v>626</v>
      </c>
      <c r="D97" s="34">
        <f>GETPIVOTDATA("Phase Net Units",'6 StCO'!$A$6)</f>
        <v>232</v>
      </c>
      <c r="E97" s="25">
        <f>G39</f>
        <v>124</v>
      </c>
      <c r="F97" s="53"/>
      <c r="G97" s="53"/>
      <c r="H97" s="53"/>
      <c r="I97" s="53"/>
      <c r="J97" s="53"/>
      <c r="K97" s="53"/>
      <c r="L97" s="53"/>
      <c r="M97" s="53"/>
      <c r="N97" s="53"/>
      <c r="O97" s="53"/>
      <c r="P97" s="18"/>
      <c r="Q97" s="18"/>
    </row>
    <row r="98" spans="1:17" x14ac:dyDescent="0.2">
      <c r="A98" s="284" t="s">
        <v>62</v>
      </c>
      <c r="B98" s="284"/>
      <c r="C98" s="44">
        <f>SUM(C96:C97)</f>
        <v>6083</v>
      </c>
      <c r="D98" s="44">
        <f>SUM(D96:D97)</f>
        <v>2100</v>
      </c>
      <c r="E98" s="44">
        <f>SUM(E96:E97)</f>
        <v>2036</v>
      </c>
      <c r="F98" s="53"/>
      <c r="G98" s="53"/>
      <c r="H98" s="53"/>
      <c r="I98" s="53"/>
      <c r="J98" s="53"/>
      <c r="K98" s="53"/>
      <c r="L98" s="53"/>
      <c r="M98" s="53"/>
      <c r="N98" s="53"/>
      <c r="O98" s="53"/>
      <c r="P98" s="18"/>
      <c r="Q98" s="18"/>
    </row>
    <row r="99" spans="1:17" x14ac:dyDescent="0.2">
      <c r="A99" s="53"/>
      <c r="B99" s="53"/>
      <c r="C99" s="53"/>
      <c r="D99" s="53"/>
      <c r="E99" s="53"/>
      <c r="F99" s="53"/>
      <c r="G99" s="53"/>
      <c r="H99" s="53"/>
      <c r="I99" s="53"/>
      <c r="J99" s="53"/>
      <c r="K99" s="53"/>
      <c r="L99" s="53"/>
      <c r="M99" s="53"/>
      <c r="N99" s="53"/>
      <c r="O99" s="53"/>
      <c r="P99" s="18"/>
      <c r="Q99" s="18"/>
    </row>
    <row r="100" spans="1:17" x14ac:dyDescent="0.2">
      <c r="A100" s="52" t="s">
        <v>200</v>
      </c>
      <c r="B100" s="52" t="s">
        <v>3859</v>
      </c>
      <c r="C100" s="18"/>
      <c r="D100" s="18"/>
      <c r="E100" s="18"/>
      <c r="F100" s="18"/>
      <c r="G100" s="18"/>
      <c r="H100" s="18"/>
      <c r="I100" s="18"/>
      <c r="J100" s="53"/>
      <c r="K100" s="53"/>
      <c r="L100" s="53"/>
      <c r="M100" s="53"/>
      <c r="N100" s="53"/>
      <c r="O100" s="53"/>
      <c r="P100" s="18"/>
      <c r="Q100" s="18"/>
    </row>
    <row r="101" spans="1:17" x14ac:dyDescent="0.2">
      <c r="A101" s="145" t="s">
        <v>197</v>
      </c>
      <c r="B101" s="105"/>
      <c r="C101" s="90" t="s">
        <v>47</v>
      </c>
      <c r="D101" s="90" t="s">
        <v>48</v>
      </c>
      <c r="E101" s="90" t="s">
        <v>49</v>
      </c>
      <c r="F101" s="18"/>
      <c r="G101" s="18"/>
      <c r="H101" s="53"/>
      <c r="I101" s="53"/>
      <c r="J101" s="53"/>
      <c r="K101" s="53"/>
      <c r="L101" s="53"/>
      <c r="M101" s="53"/>
      <c r="N101" s="53"/>
      <c r="O101" s="53"/>
      <c r="P101" s="18"/>
      <c r="Q101" s="18"/>
    </row>
    <row r="102" spans="1:17" x14ac:dyDescent="0.2">
      <c r="A102" s="291" t="s">
        <v>238</v>
      </c>
      <c r="B102" s="292"/>
      <c r="C102" s="35">
        <f>GETPIVOTDATA("Phase Net Units",'7 Perm'!$A$3,"Status","01 Completion","Tenure","Open Market")+GETPIVOTDATA("Phase Net Units",'7 Perm'!$A$3,"Status","02 Under Construction","Tenure","Open Market")+GETPIVOTDATA("Phase Net Units",'7 Perm'!$A$3,"Status","03 Planning","Tenure","Open Market")</f>
        <v>5247</v>
      </c>
      <c r="D102" s="35">
        <f>GETPIVOTDATA("Phase Net Units",'7 Star'!$A$3,"Tenure","Open Market")</f>
        <v>1669</v>
      </c>
      <c r="E102" s="35">
        <f>E50</f>
        <v>1834</v>
      </c>
      <c r="F102" s="18"/>
      <c r="G102" s="18"/>
      <c r="H102" s="53"/>
      <c r="I102" s="53"/>
      <c r="J102" s="53"/>
      <c r="K102" s="53"/>
      <c r="L102" s="53"/>
      <c r="M102" s="53"/>
      <c r="N102" s="53"/>
      <c r="O102" s="53"/>
      <c r="P102" s="18"/>
      <c r="Q102" s="18"/>
    </row>
    <row r="103" spans="1:17" x14ac:dyDescent="0.2">
      <c r="A103" s="293" t="s">
        <v>74</v>
      </c>
      <c r="B103" s="294"/>
      <c r="C103" s="34">
        <f>GETPIVOTDATA("Phase Net Units",'7 Perm'!$A$3,"Tenure","Intermediate")</f>
        <v>555</v>
      </c>
      <c r="D103" s="34">
        <f>GETPIVOTDATA("Phase Net Units",'7 Star'!$A$3,"Tenure","Intermediate")</f>
        <v>269</v>
      </c>
      <c r="E103" s="34">
        <f>G50</f>
        <v>142</v>
      </c>
      <c r="F103" s="18"/>
      <c r="G103" s="18"/>
      <c r="H103" s="53"/>
      <c r="I103" s="53"/>
      <c r="J103" s="53"/>
      <c r="K103" s="53"/>
      <c r="L103" s="53"/>
      <c r="M103" s="53"/>
      <c r="N103" s="53"/>
      <c r="O103" s="53"/>
      <c r="P103" s="18"/>
      <c r="Q103" s="18"/>
    </row>
    <row r="104" spans="1:17" x14ac:dyDescent="0.2">
      <c r="A104" s="293" t="s">
        <v>154</v>
      </c>
      <c r="B104" s="294"/>
      <c r="C104" s="34">
        <f>GETPIVOTDATA("Phase Net Units",'7 Perm'!$A$3,"Tenure","Social/Affordable Rent")</f>
        <v>281</v>
      </c>
      <c r="D104" s="34">
        <f>GETPIVOTDATA("Phase Net Units",'7 Star'!$A$3,"Tenure","Social/Affordable Rent")</f>
        <v>162</v>
      </c>
      <c r="E104" s="34">
        <f>I50</f>
        <v>60</v>
      </c>
      <c r="F104" s="18"/>
      <c r="G104" s="18"/>
      <c r="H104" s="53"/>
      <c r="I104" s="53"/>
      <c r="J104" s="53"/>
      <c r="K104" s="53"/>
      <c r="L104" s="53"/>
      <c r="M104" s="53"/>
      <c r="N104" s="53"/>
      <c r="O104" s="53"/>
      <c r="P104" s="18"/>
      <c r="Q104" s="18"/>
    </row>
    <row r="105" spans="1:17" x14ac:dyDescent="0.2">
      <c r="A105" s="291" t="s">
        <v>134</v>
      </c>
      <c r="B105" s="292"/>
      <c r="C105" s="35">
        <f>C103+C104</f>
        <v>836</v>
      </c>
      <c r="D105" s="35">
        <f t="shared" ref="D105:E105" si="15">D103+D104</f>
        <v>431</v>
      </c>
      <c r="E105" s="35">
        <f t="shared" si="15"/>
        <v>202</v>
      </c>
      <c r="F105" s="18"/>
      <c r="G105" s="18"/>
      <c r="H105" s="53"/>
      <c r="I105" s="53"/>
      <c r="J105" s="53"/>
      <c r="K105" s="53"/>
      <c r="L105" s="53"/>
      <c r="M105" s="53"/>
      <c r="N105" s="53"/>
      <c r="O105" s="53"/>
      <c r="P105" s="18"/>
      <c r="Q105" s="18"/>
    </row>
    <row r="106" spans="1:17" x14ac:dyDescent="0.2">
      <c r="A106" s="312" t="s">
        <v>62</v>
      </c>
      <c r="B106" s="313"/>
      <c r="C106" s="44">
        <f>SUM(C102,C105)</f>
        <v>6083</v>
      </c>
      <c r="D106" s="44">
        <f t="shared" ref="D106:E106" si="16">SUM(D102,D105)</f>
        <v>2100</v>
      </c>
      <c r="E106" s="44">
        <f t="shared" si="16"/>
        <v>2036</v>
      </c>
      <c r="F106" s="18"/>
      <c r="G106" s="18"/>
      <c r="H106" s="53"/>
      <c r="I106" s="53"/>
      <c r="J106" s="53"/>
      <c r="K106" s="53"/>
      <c r="L106" s="53"/>
      <c r="M106" s="53"/>
      <c r="N106" s="53"/>
      <c r="O106" s="53"/>
      <c r="P106" s="18"/>
      <c r="Q106" s="18"/>
    </row>
    <row r="107" spans="1:17" x14ac:dyDescent="0.2">
      <c r="A107" s="53"/>
      <c r="B107" s="53"/>
      <c r="C107" s="53"/>
      <c r="D107" s="53"/>
      <c r="E107" s="53"/>
      <c r="F107" s="53"/>
      <c r="G107" s="53"/>
      <c r="H107" s="53"/>
      <c r="I107" s="53"/>
      <c r="J107" s="53"/>
      <c r="K107" s="53"/>
      <c r="L107" s="53"/>
      <c r="M107" s="53"/>
      <c r="N107" s="53"/>
      <c r="O107" s="53"/>
      <c r="P107" s="18"/>
      <c r="Q107" s="18"/>
    </row>
    <row r="108" spans="1:17" x14ac:dyDescent="0.2">
      <c r="A108" s="53"/>
      <c r="B108" s="53"/>
      <c r="C108" s="53"/>
      <c r="D108" s="53"/>
      <c r="E108" s="53"/>
      <c r="F108" s="53"/>
      <c r="G108" s="53"/>
      <c r="H108" s="53"/>
      <c r="I108" s="53"/>
      <c r="J108" s="53"/>
      <c r="K108" s="53"/>
      <c r="L108" s="53"/>
      <c r="M108" s="53"/>
      <c r="N108" s="53"/>
      <c r="O108" s="53"/>
      <c r="P108" s="18"/>
      <c r="Q108" s="18"/>
    </row>
    <row r="109" spans="1:17" s="95" customFormat="1" ht="18" x14ac:dyDescent="0.25">
      <c r="A109" s="127" t="s">
        <v>49</v>
      </c>
      <c r="B109" s="96"/>
      <c r="C109" s="96"/>
      <c r="D109" s="96"/>
      <c r="E109" s="96"/>
      <c r="F109" s="96"/>
      <c r="G109" s="96"/>
      <c r="H109" s="96"/>
      <c r="I109" s="96"/>
      <c r="J109" s="96"/>
      <c r="K109" s="96"/>
      <c r="L109" s="96"/>
      <c r="M109" s="96"/>
      <c r="N109" s="96"/>
      <c r="O109" s="96"/>
      <c r="P109" s="97"/>
      <c r="Q109" s="97"/>
    </row>
    <row r="110" spans="1:17" x14ac:dyDescent="0.2">
      <c r="A110" s="18"/>
      <c r="B110" s="18"/>
      <c r="C110" s="18"/>
      <c r="D110" s="18"/>
      <c r="E110" s="18"/>
      <c r="F110" s="18"/>
      <c r="G110" s="18"/>
      <c r="H110" s="18"/>
      <c r="I110" s="18"/>
      <c r="J110" s="18"/>
      <c r="K110" s="18"/>
      <c r="L110" s="18"/>
      <c r="M110" s="18"/>
      <c r="N110" s="18"/>
      <c r="O110" s="18"/>
      <c r="P110" s="18"/>
      <c r="Q110" s="18"/>
    </row>
    <row r="111" spans="1:17" ht="15" x14ac:dyDescent="0.25">
      <c r="A111" s="128" t="s">
        <v>1843</v>
      </c>
      <c r="B111" s="18"/>
      <c r="C111" s="18"/>
      <c r="D111" s="18"/>
      <c r="E111" s="18"/>
      <c r="F111" s="18"/>
      <c r="G111" s="18"/>
      <c r="H111" s="18"/>
      <c r="I111" s="18"/>
      <c r="J111" s="18"/>
      <c r="K111" s="18"/>
      <c r="L111" s="18"/>
      <c r="M111" s="18"/>
      <c r="N111" s="18"/>
      <c r="O111" s="18"/>
      <c r="P111" s="18"/>
      <c r="Q111" s="18"/>
    </row>
    <row r="112" spans="1:17" x14ac:dyDescent="0.2">
      <c r="A112" s="52" t="s">
        <v>1835</v>
      </c>
      <c r="B112" s="52" t="s">
        <v>3860</v>
      </c>
      <c r="C112" s="53"/>
      <c r="D112" s="53"/>
      <c r="E112" s="53"/>
      <c r="F112" s="53"/>
      <c r="G112" s="53"/>
      <c r="H112" s="53"/>
      <c r="I112" s="53"/>
      <c r="J112" s="53"/>
      <c r="K112" s="53"/>
      <c r="L112" s="53"/>
      <c r="M112" s="53"/>
      <c r="N112" s="53"/>
      <c r="O112" s="53"/>
      <c r="P112" s="18"/>
      <c r="Q112" s="18"/>
    </row>
    <row r="113" spans="1:17" x14ac:dyDescent="0.2">
      <c r="A113" s="206" t="s">
        <v>46</v>
      </c>
      <c r="B113" s="216" t="s">
        <v>837</v>
      </c>
      <c r="C113" s="216"/>
      <c r="D113" s="304" t="s">
        <v>836</v>
      </c>
      <c r="E113" s="304"/>
      <c r="F113" s="304" t="s">
        <v>838</v>
      </c>
      <c r="G113" s="304"/>
      <c r="H113" s="216" t="s">
        <v>134</v>
      </c>
      <c r="I113" s="216"/>
      <c r="J113" s="100" t="s">
        <v>62</v>
      </c>
      <c r="K113" s="53"/>
      <c r="L113" s="53"/>
      <c r="M113" s="53"/>
      <c r="N113" s="53"/>
      <c r="O113" s="53"/>
      <c r="P113" s="18"/>
      <c r="Q113" s="18"/>
    </row>
    <row r="114" spans="1:17" x14ac:dyDescent="0.2">
      <c r="A114" s="206"/>
      <c r="B114" s="100" t="s">
        <v>135</v>
      </c>
      <c r="C114" s="100" t="s">
        <v>136</v>
      </c>
      <c r="D114" s="100" t="s">
        <v>135</v>
      </c>
      <c r="E114" s="100" t="s">
        <v>136</v>
      </c>
      <c r="F114" s="100" t="s">
        <v>135</v>
      </c>
      <c r="G114" s="100" t="s">
        <v>136</v>
      </c>
      <c r="H114" s="100" t="s">
        <v>135</v>
      </c>
      <c r="I114" s="100" t="s">
        <v>136</v>
      </c>
      <c r="J114" s="100" t="s">
        <v>135</v>
      </c>
      <c r="K114" s="53"/>
      <c r="L114" s="53"/>
      <c r="M114" s="53"/>
      <c r="N114" s="53"/>
      <c r="O114" s="53"/>
      <c r="P114" s="18"/>
      <c r="Q114" s="18"/>
    </row>
    <row r="115" spans="1:17" x14ac:dyDescent="0.2">
      <c r="A115" s="102" t="s">
        <v>1770</v>
      </c>
      <c r="B115" s="34">
        <v>537</v>
      </c>
      <c r="C115" s="36">
        <v>0.94376098418277676</v>
      </c>
      <c r="D115" s="34">
        <v>0</v>
      </c>
      <c r="E115" s="36">
        <v>0</v>
      </c>
      <c r="F115" s="34">
        <v>32</v>
      </c>
      <c r="G115" s="36">
        <v>5.6239015817223195E-2</v>
      </c>
      <c r="H115" s="34">
        <v>32</v>
      </c>
      <c r="I115" s="36">
        <v>5.6239015817223195E-2</v>
      </c>
      <c r="J115" s="34">
        <v>569</v>
      </c>
      <c r="K115" s="53"/>
      <c r="L115" s="53"/>
      <c r="M115" s="53"/>
      <c r="N115" s="53"/>
      <c r="O115" s="53"/>
      <c r="P115" s="18"/>
      <c r="Q115" s="18"/>
    </row>
    <row r="116" spans="1:17" x14ac:dyDescent="0.2">
      <c r="A116" s="102" t="s">
        <v>1771</v>
      </c>
      <c r="B116" s="34">
        <v>868</v>
      </c>
      <c r="C116" s="36">
        <v>0.91561181434599159</v>
      </c>
      <c r="D116" s="34">
        <v>0</v>
      </c>
      <c r="E116" s="36">
        <v>0</v>
      </c>
      <c r="F116" s="34">
        <v>80</v>
      </c>
      <c r="G116" s="36">
        <v>8.4388185654008435E-2</v>
      </c>
      <c r="H116" s="34">
        <v>80</v>
      </c>
      <c r="I116" s="36">
        <v>8.4388185654008435E-2</v>
      </c>
      <c r="J116" s="34">
        <v>948</v>
      </c>
      <c r="K116" s="53"/>
      <c r="L116" s="53"/>
      <c r="M116" s="53"/>
      <c r="N116" s="53"/>
      <c r="O116" s="53"/>
      <c r="P116" s="18"/>
      <c r="Q116" s="18"/>
    </row>
    <row r="117" spans="1:17" x14ac:dyDescent="0.2">
      <c r="A117" s="102" t="s">
        <v>1772</v>
      </c>
      <c r="B117" s="34">
        <v>779</v>
      </c>
      <c r="C117" s="36">
        <v>0.7321428571428571</v>
      </c>
      <c r="D117" s="34">
        <v>196</v>
      </c>
      <c r="E117" s="36">
        <v>0.18421052631578946</v>
      </c>
      <c r="F117" s="34">
        <v>89</v>
      </c>
      <c r="G117" s="36">
        <v>8.3646616541353386E-2</v>
      </c>
      <c r="H117" s="34">
        <v>285</v>
      </c>
      <c r="I117" s="36">
        <v>0.26785714285714285</v>
      </c>
      <c r="J117" s="34">
        <v>1064</v>
      </c>
      <c r="K117" s="53"/>
      <c r="L117" s="53"/>
      <c r="M117" s="53"/>
      <c r="N117" s="53"/>
      <c r="O117" s="53"/>
      <c r="P117" s="18"/>
      <c r="Q117" s="18"/>
    </row>
    <row r="118" spans="1:17" x14ac:dyDescent="0.2">
      <c r="A118" s="102" t="s">
        <v>1773</v>
      </c>
      <c r="B118" s="34">
        <v>1239</v>
      </c>
      <c r="C118" s="36">
        <v>0.83154362416107386</v>
      </c>
      <c r="D118" s="34">
        <v>119</v>
      </c>
      <c r="E118" s="36">
        <v>7.9865771812080544E-2</v>
      </c>
      <c r="F118" s="34">
        <v>132</v>
      </c>
      <c r="G118" s="36">
        <v>8.859060402684564E-2</v>
      </c>
      <c r="H118" s="34">
        <v>251</v>
      </c>
      <c r="I118" s="36">
        <v>0.16845637583892617</v>
      </c>
      <c r="J118" s="34">
        <v>1490</v>
      </c>
      <c r="K118" s="53"/>
      <c r="L118" s="53"/>
      <c r="M118" s="53"/>
      <c r="N118" s="53"/>
      <c r="O118" s="53"/>
      <c r="P118" s="18"/>
      <c r="Q118" s="18"/>
    </row>
    <row r="119" spans="1:17" x14ac:dyDescent="0.2">
      <c r="A119" s="102" t="s">
        <v>1774</v>
      </c>
      <c r="B119" s="34">
        <v>1155</v>
      </c>
      <c r="C119" s="36">
        <v>0.88573619631901845</v>
      </c>
      <c r="D119" s="34">
        <v>93</v>
      </c>
      <c r="E119" s="36">
        <v>7.131901840490798E-2</v>
      </c>
      <c r="F119" s="34">
        <v>56</v>
      </c>
      <c r="G119" s="36">
        <v>4.2944785276073622E-2</v>
      </c>
      <c r="H119" s="34">
        <v>149</v>
      </c>
      <c r="I119" s="36">
        <v>0.1142638036809816</v>
      </c>
      <c r="J119" s="34">
        <v>1304</v>
      </c>
      <c r="K119" s="53"/>
      <c r="L119" s="53"/>
      <c r="M119" s="53"/>
      <c r="N119" s="53"/>
      <c r="O119" s="53"/>
      <c r="P119" s="18"/>
      <c r="Q119" s="18"/>
    </row>
    <row r="120" spans="1:17" x14ac:dyDescent="0.2">
      <c r="A120" s="102" t="s">
        <v>1775</v>
      </c>
      <c r="B120" s="34">
        <v>1039</v>
      </c>
      <c r="C120" s="36">
        <v>0.81298904538341155</v>
      </c>
      <c r="D120" s="34">
        <v>206</v>
      </c>
      <c r="E120" s="36">
        <v>0.16118935837245696</v>
      </c>
      <c r="F120" s="34">
        <v>33</v>
      </c>
      <c r="G120" s="36">
        <v>2.5821596244131457E-2</v>
      </c>
      <c r="H120" s="34">
        <v>239</v>
      </c>
      <c r="I120" s="36">
        <v>0.18701095461658843</v>
      </c>
      <c r="J120" s="34">
        <v>1278</v>
      </c>
      <c r="K120" s="53"/>
      <c r="L120" s="53"/>
      <c r="M120" s="53"/>
      <c r="N120" s="53"/>
      <c r="O120" s="53"/>
      <c r="P120" s="18"/>
      <c r="Q120" s="18"/>
    </row>
    <row r="121" spans="1:17" x14ac:dyDescent="0.2">
      <c r="A121" s="102" t="s">
        <v>1776</v>
      </c>
      <c r="B121" s="34">
        <v>728</v>
      </c>
      <c r="C121" s="36">
        <v>0.70611057225994178</v>
      </c>
      <c r="D121" s="34">
        <v>281</v>
      </c>
      <c r="E121" s="36">
        <v>0.27255092143549953</v>
      </c>
      <c r="F121" s="34">
        <v>22</v>
      </c>
      <c r="G121" s="36">
        <v>2.133850630455868E-2</v>
      </c>
      <c r="H121" s="34">
        <v>303</v>
      </c>
      <c r="I121" s="36">
        <v>0.29388942774005822</v>
      </c>
      <c r="J121" s="34">
        <v>1031</v>
      </c>
      <c r="K121" s="53"/>
      <c r="L121" s="53"/>
      <c r="M121" s="53"/>
      <c r="N121" s="53"/>
      <c r="O121" s="53"/>
      <c r="P121" s="18"/>
      <c r="Q121" s="18"/>
    </row>
    <row r="122" spans="1:17" x14ac:dyDescent="0.2">
      <c r="A122" s="102" t="s">
        <v>1777</v>
      </c>
      <c r="B122" s="34">
        <v>1079</v>
      </c>
      <c r="C122" s="36">
        <v>0.69166666666666665</v>
      </c>
      <c r="D122" s="34">
        <v>393</v>
      </c>
      <c r="E122" s="36">
        <v>0.25192307692307692</v>
      </c>
      <c r="F122" s="34">
        <v>88</v>
      </c>
      <c r="G122" s="36">
        <v>5.6410256410256411E-2</v>
      </c>
      <c r="H122" s="34">
        <v>481</v>
      </c>
      <c r="I122" s="36">
        <v>0.30833333333333335</v>
      </c>
      <c r="J122" s="34">
        <v>1560</v>
      </c>
      <c r="K122" s="53"/>
      <c r="L122" s="53"/>
      <c r="M122" s="53"/>
      <c r="N122" s="53"/>
      <c r="O122" s="53"/>
      <c r="P122" s="18"/>
      <c r="Q122" s="18"/>
    </row>
    <row r="123" spans="1:17" x14ac:dyDescent="0.2">
      <c r="A123" s="102" t="s">
        <v>130</v>
      </c>
      <c r="B123" s="34">
        <v>1061</v>
      </c>
      <c r="C123" s="36">
        <v>0.68940870695256662</v>
      </c>
      <c r="D123" s="34">
        <v>453</v>
      </c>
      <c r="E123" s="36">
        <v>0.29434697855750486</v>
      </c>
      <c r="F123" s="34">
        <v>25</v>
      </c>
      <c r="G123" s="36">
        <v>1.62443144899285E-2</v>
      </c>
      <c r="H123" s="34">
        <v>478</v>
      </c>
      <c r="I123" s="36">
        <v>0.31059129304743338</v>
      </c>
      <c r="J123" s="34">
        <v>1539</v>
      </c>
      <c r="K123" s="53"/>
      <c r="L123" s="53"/>
      <c r="M123" s="53"/>
      <c r="N123" s="53"/>
      <c r="O123" s="53"/>
      <c r="P123" s="18"/>
      <c r="Q123" s="18"/>
    </row>
    <row r="124" spans="1:17" x14ac:dyDescent="0.2">
      <c r="A124" s="102" t="s">
        <v>131</v>
      </c>
      <c r="B124" s="34">
        <v>371</v>
      </c>
      <c r="C124" s="36">
        <v>0.7713097713097713</v>
      </c>
      <c r="D124" s="34">
        <v>103</v>
      </c>
      <c r="E124" s="36">
        <v>0.21413721413721415</v>
      </c>
      <c r="F124" s="34">
        <v>7</v>
      </c>
      <c r="G124" s="36">
        <v>1.4553014553014554E-2</v>
      </c>
      <c r="H124" s="34">
        <v>110</v>
      </c>
      <c r="I124" s="36">
        <v>0.2286902286902287</v>
      </c>
      <c r="J124" s="34">
        <v>481</v>
      </c>
      <c r="K124" s="53"/>
      <c r="L124" s="53"/>
      <c r="M124" s="53"/>
      <c r="N124" s="53"/>
      <c r="O124" s="53"/>
      <c r="P124" s="18"/>
      <c r="Q124" s="18"/>
    </row>
    <row r="125" spans="1:17" x14ac:dyDescent="0.2">
      <c r="A125" s="102" t="s">
        <v>132</v>
      </c>
      <c r="B125" s="34">
        <v>713</v>
      </c>
      <c r="C125" s="36">
        <v>0.72829417773238003</v>
      </c>
      <c r="D125" s="34">
        <v>198</v>
      </c>
      <c r="E125" s="36">
        <v>0.20224719101123595</v>
      </c>
      <c r="F125" s="34">
        <v>68</v>
      </c>
      <c r="G125" s="36">
        <v>6.945863125638406E-2</v>
      </c>
      <c r="H125" s="34">
        <v>266</v>
      </c>
      <c r="I125" s="36">
        <v>0.27170582226762002</v>
      </c>
      <c r="J125" s="34">
        <v>979</v>
      </c>
      <c r="K125" s="53"/>
      <c r="L125" s="53"/>
      <c r="M125" s="53"/>
      <c r="N125" s="53"/>
      <c r="O125" s="53"/>
      <c r="P125" s="18"/>
      <c r="Q125" s="18"/>
    </row>
    <row r="126" spans="1:17" x14ac:dyDescent="0.2">
      <c r="A126" s="146" t="s">
        <v>404</v>
      </c>
      <c r="B126" s="25">
        <v>633</v>
      </c>
      <c r="C126" s="36">
        <v>0.75178147268408546</v>
      </c>
      <c r="D126" s="25">
        <v>118</v>
      </c>
      <c r="E126" s="36">
        <v>0.14014251781472684</v>
      </c>
      <c r="F126" s="25">
        <v>91</v>
      </c>
      <c r="G126" s="36">
        <v>0.10807600950118765</v>
      </c>
      <c r="H126" s="34">
        <v>209</v>
      </c>
      <c r="I126" s="36">
        <v>0.24821852731591448</v>
      </c>
      <c r="J126" s="25">
        <v>842</v>
      </c>
      <c r="K126" s="53"/>
      <c r="L126" s="53"/>
      <c r="M126" s="53"/>
      <c r="N126" s="53"/>
      <c r="O126" s="53"/>
      <c r="P126" s="18"/>
      <c r="Q126" s="18"/>
    </row>
    <row r="127" spans="1:17" x14ac:dyDescent="0.2">
      <c r="A127" s="102" t="s">
        <v>45</v>
      </c>
      <c r="B127" s="34">
        <v>969</v>
      </c>
      <c r="C127" s="36">
        <v>0.80952380952380953</v>
      </c>
      <c r="D127" s="34">
        <v>175</v>
      </c>
      <c r="E127" s="36">
        <v>0.14619883040935672</v>
      </c>
      <c r="F127" s="34">
        <v>53</v>
      </c>
      <c r="G127" s="36">
        <v>4.4277360066833749E-2</v>
      </c>
      <c r="H127" s="34">
        <v>228</v>
      </c>
      <c r="I127" s="36">
        <v>0.19047619047619047</v>
      </c>
      <c r="J127" s="34">
        <v>1197</v>
      </c>
      <c r="K127" s="18"/>
      <c r="L127" s="18"/>
      <c r="M127" s="18"/>
      <c r="N127" s="18"/>
      <c r="O127" s="18"/>
      <c r="P127" s="18"/>
      <c r="Q127" s="18"/>
    </row>
    <row r="128" spans="1:17" x14ac:dyDescent="0.2">
      <c r="A128" s="102" t="s">
        <v>44</v>
      </c>
      <c r="B128" s="37">
        <v>805</v>
      </c>
      <c r="C128" s="38">
        <v>0.8600427350427351</v>
      </c>
      <c r="D128" s="37">
        <v>109</v>
      </c>
      <c r="E128" s="38">
        <v>0.11645299145299146</v>
      </c>
      <c r="F128" s="37">
        <v>22</v>
      </c>
      <c r="G128" s="38">
        <v>2.3504273504273504E-2</v>
      </c>
      <c r="H128" s="37">
        <v>131</v>
      </c>
      <c r="I128" s="38">
        <v>0.13995726495726496</v>
      </c>
      <c r="J128" s="37">
        <v>936</v>
      </c>
      <c r="K128" s="18"/>
      <c r="L128" s="18"/>
      <c r="M128" s="18"/>
      <c r="N128" s="18"/>
      <c r="O128" s="18"/>
      <c r="P128" s="18"/>
      <c r="Q128" s="18"/>
    </row>
    <row r="129" spans="1:17" x14ac:dyDescent="0.2">
      <c r="A129" s="102" t="s">
        <v>0</v>
      </c>
      <c r="B129" s="37">
        <v>2212</v>
      </c>
      <c r="C129" s="38">
        <v>0.79682997118155618</v>
      </c>
      <c r="D129" s="37">
        <v>325</v>
      </c>
      <c r="E129" s="38">
        <v>0.11707492795389049</v>
      </c>
      <c r="F129" s="37">
        <v>239</v>
      </c>
      <c r="G129" s="38">
        <v>8.6095100864553312E-2</v>
      </c>
      <c r="H129" s="37">
        <v>564</v>
      </c>
      <c r="I129" s="38">
        <v>0.20317002881844382</v>
      </c>
      <c r="J129" s="37">
        <v>2776</v>
      </c>
      <c r="K129" s="18"/>
      <c r="L129" s="18"/>
      <c r="M129" s="18"/>
      <c r="N129" s="18"/>
      <c r="O129" s="18"/>
      <c r="P129" s="18"/>
      <c r="Q129" s="18"/>
    </row>
    <row r="130" spans="1:17" x14ac:dyDescent="0.2">
      <c r="A130" s="102" t="s">
        <v>1</v>
      </c>
      <c r="B130" s="37">
        <v>1968</v>
      </c>
      <c r="C130" s="38">
        <v>0.8392324093816631</v>
      </c>
      <c r="D130" s="102">
        <v>298</v>
      </c>
      <c r="E130" s="38">
        <v>0.12707889125799574</v>
      </c>
      <c r="F130" s="102">
        <v>79</v>
      </c>
      <c r="G130" s="38">
        <v>3.3688699360341148E-2</v>
      </c>
      <c r="H130" s="102">
        <v>377</v>
      </c>
      <c r="I130" s="38">
        <v>0.1607675906183369</v>
      </c>
      <c r="J130" s="37">
        <v>2345</v>
      </c>
      <c r="K130" s="18"/>
      <c r="L130" s="18"/>
      <c r="M130" s="18"/>
      <c r="N130" s="18"/>
      <c r="O130" s="18"/>
      <c r="P130" s="18"/>
      <c r="Q130" s="18"/>
    </row>
    <row r="131" spans="1:17" x14ac:dyDescent="0.2">
      <c r="A131" s="147" t="s">
        <v>2</v>
      </c>
      <c r="B131" s="39">
        <f>E50</f>
        <v>1834</v>
      </c>
      <c r="C131" s="40">
        <f>B131/J131</f>
        <v>0.90078585461689586</v>
      </c>
      <c r="D131" s="39">
        <f>G50</f>
        <v>142</v>
      </c>
      <c r="E131" s="40">
        <f>D131/J131</f>
        <v>6.9744597249508836E-2</v>
      </c>
      <c r="F131" s="39">
        <f>I50</f>
        <v>60</v>
      </c>
      <c r="G131" s="40">
        <f>F131/J131</f>
        <v>2.9469548133595286E-2</v>
      </c>
      <c r="H131" s="39">
        <f>M50</f>
        <v>202</v>
      </c>
      <c r="I131" s="40">
        <f>H131/J131</f>
        <v>9.9214145383104121E-2</v>
      </c>
      <c r="J131" s="39">
        <f>B131+D131+F131</f>
        <v>2036</v>
      </c>
      <c r="K131" s="18"/>
      <c r="L131" s="18"/>
      <c r="M131" s="18"/>
      <c r="N131" s="18"/>
      <c r="O131" s="18"/>
      <c r="P131" s="18"/>
      <c r="Q131" s="18"/>
    </row>
    <row r="132" spans="1:17" x14ac:dyDescent="0.2">
      <c r="A132" s="101" t="s">
        <v>62</v>
      </c>
      <c r="B132" s="65">
        <f>SUM(B115:B131)</f>
        <v>17990</v>
      </c>
      <c r="C132" s="41">
        <f>B132/J132</f>
        <v>0.88450759624366981</v>
      </c>
      <c r="D132" s="65">
        <f>SUM(D115:D131)</f>
        <v>3209</v>
      </c>
      <c r="E132" s="41">
        <f>D132/J132</f>
        <v>0.15777570185358178</v>
      </c>
      <c r="F132" s="65">
        <f>SUM(F115:F131)</f>
        <v>1176</v>
      </c>
      <c r="G132" s="41">
        <f>F132/J132</f>
        <v>5.7819951816706822E-2</v>
      </c>
      <c r="H132" s="65">
        <f>SUM(H115:H131)</f>
        <v>4385</v>
      </c>
      <c r="I132" s="41">
        <f>H132/J132</f>
        <v>0.2155956536702886</v>
      </c>
      <c r="J132" s="65">
        <f>SUM(J115:J130)</f>
        <v>20339</v>
      </c>
      <c r="K132" s="18"/>
      <c r="L132" s="18"/>
      <c r="M132" s="18"/>
      <c r="N132" s="18"/>
      <c r="O132" s="18"/>
      <c r="P132" s="18"/>
      <c r="Q132" s="18"/>
    </row>
    <row r="133" spans="1:17" x14ac:dyDescent="0.2">
      <c r="A133" s="18"/>
      <c r="B133" s="18"/>
      <c r="C133" s="18"/>
      <c r="D133" s="18"/>
      <c r="E133" s="18"/>
      <c r="F133" s="18"/>
      <c r="G133" s="18"/>
      <c r="H133" s="18"/>
      <c r="I133" s="18"/>
      <c r="J133" s="18"/>
      <c r="K133" s="18"/>
      <c r="L133" s="18"/>
      <c r="M133" s="18"/>
      <c r="N133" s="18"/>
      <c r="O133" s="18"/>
      <c r="P133" s="18"/>
      <c r="Q133" s="18"/>
    </row>
    <row r="134" spans="1:17" x14ac:dyDescent="0.2">
      <c r="A134" s="18"/>
      <c r="B134" s="18"/>
      <c r="C134" s="18"/>
      <c r="D134" s="18"/>
      <c r="E134" s="18"/>
      <c r="F134" s="18"/>
      <c r="G134" s="18"/>
      <c r="H134" s="18"/>
      <c r="I134" s="18"/>
      <c r="J134" s="18"/>
      <c r="K134" s="18"/>
      <c r="L134" s="18"/>
      <c r="M134" s="18"/>
      <c r="N134" s="18"/>
      <c r="O134" s="18"/>
      <c r="P134" s="18"/>
      <c r="Q134" s="18"/>
    </row>
    <row r="135" spans="1:17" x14ac:dyDescent="0.2">
      <c r="A135" s="18"/>
      <c r="B135" s="18"/>
      <c r="C135" s="18"/>
      <c r="D135" s="18"/>
      <c r="E135" s="18"/>
      <c r="F135" s="18"/>
      <c r="G135" s="18"/>
      <c r="H135" s="18"/>
      <c r="I135" s="18"/>
      <c r="J135" s="18"/>
      <c r="K135" s="18"/>
      <c r="L135" s="18"/>
      <c r="M135" s="18"/>
      <c r="N135" s="18"/>
      <c r="O135" s="18"/>
      <c r="P135" s="18"/>
      <c r="Q135" s="18"/>
    </row>
    <row r="136" spans="1:17" x14ac:dyDescent="0.2">
      <c r="A136" s="18"/>
      <c r="B136" s="18"/>
      <c r="C136" s="18"/>
      <c r="D136" s="18"/>
      <c r="E136" s="18"/>
      <c r="F136" s="18"/>
      <c r="G136" s="18"/>
      <c r="H136" s="18"/>
      <c r="I136" s="18"/>
      <c r="J136" s="18"/>
      <c r="K136" s="18"/>
      <c r="L136" s="18"/>
      <c r="M136" s="18"/>
      <c r="N136" s="18"/>
      <c r="O136" s="18"/>
      <c r="P136" s="18"/>
      <c r="Q136" s="18"/>
    </row>
    <row r="137" spans="1:17" x14ac:dyDescent="0.2">
      <c r="A137" s="18"/>
      <c r="B137" s="18"/>
      <c r="C137" s="18"/>
      <c r="D137" s="18"/>
      <c r="E137" s="18"/>
      <c r="F137" s="18"/>
      <c r="G137" s="18"/>
      <c r="H137" s="18"/>
      <c r="I137" s="18"/>
      <c r="J137" s="18"/>
      <c r="K137" s="18"/>
      <c r="L137" s="18"/>
      <c r="M137" s="18"/>
      <c r="N137" s="18"/>
      <c r="O137" s="18"/>
      <c r="P137" s="18"/>
      <c r="Q137" s="18"/>
    </row>
    <row r="138" spans="1:17" x14ac:dyDescent="0.2">
      <c r="A138" s="18"/>
      <c r="B138" s="18"/>
      <c r="C138" s="18"/>
      <c r="D138" s="18"/>
      <c r="E138" s="18"/>
      <c r="F138" s="18"/>
      <c r="G138" s="18"/>
      <c r="H138" s="18"/>
      <c r="I138" s="18"/>
      <c r="J138" s="18"/>
      <c r="K138" s="18"/>
      <c r="L138" s="18"/>
      <c r="M138" s="18"/>
      <c r="N138" s="18"/>
      <c r="O138" s="18"/>
      <c r="P138" s="18"/>
      <c r="Q138" s="18"/>
    </row>
    <row r="139" spans="1:17" x14ac:dyDescent="0.2">
      <c r="A139" s="18"/>
      <c r="B139" s="18"/>
      <c r="C139" s="18"/>
      <c r="D139" s="18"/>
      <c r="E139" s="18"/>
      <c r="F139" s="18"/>
      <c r="G139" s="18"/>
      <c r="H139" s="18"/>
      <c r="I139" s="18"/>
      <c r="J139" s="18"/>
      <c r="K139" s="18"/>
      <c r="L139" s="18"/>
      <c r="M139" s="18"/>
      <c r="N139" s="18"/>
      <c r="O139" s="18"/>
      <c r="P139" s="18"/>
      <c r="Q139" s="18"/>
    </row>
    <row r="140" spans="1:17" x14ac:dyDescent="0.2">
      <c r="A140" s="18"/>
      <c r="B140" s="18"/>
      <c r="C140" s="18"/>
      <c r="D140" s="18"/>
      <c r="E140" s="18"/>
      <c r="F140" s="18"/>
      <c r="G140" s="18"/>
      <c r="H140" s="18"/>
      <c r="I140" s="18"/>
      <c r="J140" s="18"/>
      <c r="K140" s="18"/>
      <c r="L140" s="18"/>
      <c r="M140" s="18"/>
      <c r="N140" s="18"/>
      <c r="O140" s="18"/>
      <c r="P140" s="18"/>
      <c r="Q140" s="18"/>
    </row>
    <row r="141" spans="1:17" x14ac:dyDescent="0.2">
      <c r="A141" s="18"/>
      <c r="B141" s="18"/>
      <c r="C141" s="18"/>
      <c r="D141" s="18"/>
      <c r="E141" s="18"/>
      <c r="F141" s="18"/>
      <c r="G141" s="18"/>
      <c r="H141" s="18"/>
      <c r="I141" s="18"/>
      <c r="J141" s="18"/>
      <c r="K141" s="18"/>
      <c r="L141" s="18"/>
      <c r="M141" s="18"/>
      <c r="N141" s="18"/>
      <c r="O141" s="18"/>
      <c r="P141" s="18"/>
      <c r="Q141" s="18"/>
    </row>
    <row r="142" spans="1:17" x14ac:dyDescent="0.2">
      <c r="A142" s="18"/>
      <c r="B142" s="18"/>
      <c r="C142" s="18"/>
      <c r="D142" s="18"/>
      <c r="E142" s="18"/>
      <c r="F142" s="18"/>
      <c r="G142" s="18"/>
      <c r="H142" s="18"/>
      <c r="I142" s="18"/>
      <c r="J142" s="18"/>
      <c r="K142" s="18"/>
      <c r="L142" s="18"/>
      <c r="M142" s="18"/>
      <c r="N142" s="18"/>
      <c r="O142" s="18"/>
      <c r="P142" s="18"/>
      <c r="Q142" s="18"/>
    </row>
    <row r="143" spans="1:17" x14ac:dyDescent="0.2">
      <c r="A143" s="18"/>
      <c r="B143" s="18"/>
      <c r="C143" s="18"/>
      <c r="D143" s="18"/>
      <c r="E143" s="18"/>
      <c r="F143" s="18"/>
      <c r="G143" s="18"/>
      <c r="H143" s="18"/>
      <c r="I143" s="18"/>
      <c r="J143" s="18"/>
      <c r="K143" s="18"/>
      <c r="L143" s="18"/>
      <c r="M143" s="18"/>
      <c r="N143" s="18"/>
      <c r="O143" s="18"/>
      <c r="P143" s="18"/>
      <c r="Q143" s="18"/>
    </row>
    <row r="144" spans="1:17" x14ac:dyDescent="0.2">
      <c r="A144" s="18"/>
      <c r="B144" s="18"/>
      <c r="C144" s="18"/>
      <c r="D144" s="18"/>
      <c r="E144" s="18"/>
      <c r="F144" s="18"/>
      <c r="G144" s="18"/>
      <c r="H144" s="18"/>
      <c r="I144" s="18"/>
      <c r="J144" s="18"/>
      <c r="K144" s="18"/>
      <c r="L144" s="18"/>
      <c r="M144" s="18"/>
      <c r="N144" s="18"/>
      <c r="O144" s="18"/>
      <c r="P144" s="18"/>
      <c r="Q144" s="18"/>
    </row>
    <row r="145" spans="1:17" x14ac:dyDescent="0.2">
      <c r="A145" s="18"/>
      <c r="B145" s="18"/>
      <c r="C145" s="18"/>
      <c r="D145" s="18"/>
      <c r="E145" s="18"/>
      <c r="F145" s="18"/>
      <c r="G145" s="18"/>
      <c r="H145" s="18"/>
      <c r="I145" s="18"/>
      <c r="J145" s="18"/>
      <c r="K145" s="18"/>
      <c r="L145" s="18"/>
      <c r="M145" s="18"/>
      <c r="N145" s="18"/>
      <c r="O145" s="18"/>
      <c r="P145" s="18"/>
      <c r="Q145" s="18"/>
    </row>
    <row r="146" spans="1:17" x14ac:dyDescent="0.2">
      <c r="A146" s="18"/>
      <c r="B146" s="18"/>
      <c r="C146" s="18"/>
      <c r="D146" s="18"/>
      <c r="E146" s="18"/>
      <c r="F146" s="18"/>
      <c r="G146" s="18"/>
      <c r="H146" s="18"/>
      <c r="I146" s="18"/>
      <c r="J146" s="18"/>
      <c r="K146" s="18"/>
      <c r="L146" s="18"/>
      <c r="M146" s="18"/>
      <c r="N146" s="18"/>
      <c r="O146" s="18"/>
      <c r="P146" s="18"/>
      <c r="Q146" s="18"/>
    </row>
    <row r="147" spans="1:17" x14ac:dyDescent="0.2">
      <c r="A147" s="18"/>
      <c r="B147" s="18"/>
      <c r="C147" s="18"/>
      <c r="D147" s="18"/>
      <c r="E147" s="18"/>
      <c r="F147" s="18"/>
      <c r="G147" s="18"/>
      <c r="H147" s="18"/>
      <c r="I147" s="18"/>
      <c r="J147" s="18"/>
      <c r="K147" s="18"/>
      <c r="L147" s="18"/>
      <c r="M147" s="18"/>
      <c r="N147" s="18"/>
      <c r="O147" s="18"/>
      <c r="P147" s="18"/>
      <c r="Q147" s="18"/>
    </row>
    <row r="148" spans="1:17" x14ac:dyDescent="0.2">
      <c r="A148" s="18"/>
      <c r="B148" s="18"/>
      <c r="C148" s="18"/>
      <c r="D148" s="18"/>
      <c r="E148" s="18"/>
      <c r="F148" s="18"/>
      <c r="G148" s="18"/>
      <c r="H148" s="18"/>
      <c r="I148" s="18"/>
      <c r="J148" s="18"/>
      <c r="K148" s="18"/>
      <c r="L148" s="18"/>
      <c r="M148" s="18"/>
      <c r="N148" s="18"/>
      <c r="O148" s="18"/>
      <c r="P148" s="18"/>
      <c r="Q148" s="18"/>
    </row>
    <row r="149" spans="1:17" x14ac:dyDescent="0.2">
      <c r="A149" s="18"/>
      <c r="B149" s="18"/>
      <c r="C149" s="18"/>
      <c r="D149" s="18"/>
      <c r="E149" s="18"/>
      <c r="F149" s="18"/>
      <c r="G149" s="18"/>
      <c r="H149" s="18"/>
      <c r="I149" s="18"/>
      <c r="J149" s="18"/>
      <c r="K149" s="18"/>
      <c r="L149" s="18"/>
      <c r="M149" s="18"/>
      <c r="N149" s="18"/>
      <c r="O149" s="18"/>
      <c r="P149" s="18"/>
      <c r="Q149" s="18"/>
    </row>
    <row r="150" spans="1:17" ht="15" x14ac:dyDescent="0.25">
      <c r="A150" s="128" t="s">
        <v>1840</v>
      </c>
      <c r="B150" s="18"/>
      <c r="C150" s="18"/>
      <c r="D150" s="18"/>
      <c r="E150" s="18"/>
      <c r="F150" s="18"/>
      <c r="G150" s="18"/>
      <c r="H150" s="18"/>
      <c r="I150" s="18"/>
      <c r="J150" s="18"/>
      <c r="K150" s="18"/>
      <c r="L150" s="18"/>
      <c r="M150" s="18"/>
      <c r="N150" s="18"/>
      <c r="O150" s="18"/>
      <c r="P150" s="18"/>
      <c r="Q150" s="18"/>
    </row>
    <row r="151" spans="1:17" x14ac:dyDescent="0.2">
      <c r="A151" s="52" t="s">
        <v>1836</v>
      </c>
      <c r="B151" s="52" t="s">
        <v>1838</v>
      </c>
      <c r="C151" s="18"/>
      <c r="D151" s="18"/>
      <c r="E151" s="18"/>
      <c r="F151" s="18"/>
      <c r="G151" s="18"/>
      <c r="H151" s="18"/>
      <c r="I151" s="18"/>
      <c r="J151" s="18"/>
      <c r="K151" s="18"/>
      <c r="L151" s="18"/>
      <c r="M151" s="18"/>
      <c r="N151" s="18"/>
      <c r="O151" s="18"/>
      <c r="P151" s="18"/>
      <c r="Q151" s="18"/>
    </row>
    <row r="152" spans="1:17" x14ac:dyDescent="0.2">
      <c r="A152" s="311" t="s">
        <v>46</v>
      </c>
      <c r="B152" s="311"/>
      <c r="C152" s="216" t="s">
        <v>837</v>
      </c>
      <c r="D152" s="216"/>
      <c r="E152" s="304" t="s">
        <v>836</v>
      </c>
      <c r="F152" s="304"/>
      <c r="G152" s="304" t="s">
        <v>838</v>
      </c>
      <c r="H152" s="304"/>
      <c r="I152" s="216" t="s">
        <v>134</v>
      </c>
      <c r="J152" s="216"/>
      <c r="K152" s="100" t="s">
        <v>62</v>
      </c>
      <c r="L152" s="18"/>
      <c r="M152" s="18"/>
      <c r="N152" s="18"/>
      <c r="O152" s="18"/>
      <c r="P152" s="18"/>
      <c r="Q152" s="18"/>
    </row>
    <row r="153" spans="1:17" x14ac:dyDescent="0.2">
      <c r="A153" s="311"/>
      <c r="B153" s="311"/>
      <c r="C153" s="100" t="s">
        <v>135</v>
      </c>
      <c r="D153" s="100" t="s">
        <v>136</v>
      </c>
      <c r="E153" s="100" t="s">
        <v>135</v>
      </c>
      <c r="F153" s="100" t="s">
        <v>136</v>
      </c>
      <c r="G153" s="100" t="s">
        <v>135</v>
      </c>
      <c r="H153" s="100" t="s">
        <v>136</v>
      </c>
      <c r="I153" s="100" t="s">
        <v>135</v>
      </c>
      <c r="J153" s="100" t="s">
        <v>136</v>
      </c>
      <c r="K153" s="100" t="s">
        <v>135</v>
      </c>
      <c r="L153" s="18"/>
      <c r="M153" s="18"/>
      <c r="N153" s="18"/>
      <c r="O153" s="18"/>
      <c r="P153" s="18"/>
      <c r="Q153" s="18"/>
    </row>
    <row r="154" spans="1:17" x14ac:dyDescent="0.2">
      <c r="A154" s="284" t="s">
        <v>1841</v>
      </c>
      <c r="B154" s="284"/>
      <c r="C154" s="30"/>
      <c r="D154" s="41"/>
      <c r="E154" s="30"/>
      <c r="F154" s="41">
        <v>0.4</v>
      </c>
      <c r="G154" s="30"/>
      <c r="H154" s="41">
        <v>0.6</v>
      </c>
      <c r="I154" s="30"/>
      <c r="J154" s="41">
        <v>0.15</v>
      </c>
      <c r="K154" s="30"/>
      <c r="L154" s="18"/>
      <c r="M154" s="18"/>
      <c r="N154" s="18"/>
      <c r="O154" s="18"/>
      <c r="P154" s="18"/>
      <c r="Q154" s="18"/>
    </row>
    <row r="155" spans="1:17" x14ac:dyDescent="0.2">
      <c r="A155" s="281" t="s">
        <v>0</v>
      </c>
      <c r="B155" s="281"/>
      <c r="C155" s="37">
        <v>928</v>
      </c>
      <c r="D155" s="38">
        <f>C155/K155</f>
        <v>0.90448343079922022</v>
      </c>
      <c r="E155" s="37">
        <v>98</v>
      </c>
      <c r="F155" s="40">
        <f>E155/I155</f>
        <v>1</v>
      </c>
      <c r="G155" s="37">
        <v>0</v>
      </c>
      <c r="H155" s="40">
        <f>G155/I155</f>
        <v>0</v>
      </c>
      <c r="I155" s="37">
        <f>E155+G155</f>
        <v>98</v>
      </c>
      <c r="J155" s="40">
        <f>I155/K155</f>
        <v>9.5516569200779722E-2</v>
      </c>
      <c r="K155" s="37">
        <f>C155+E155+G155</f>
        <v>1026</v>
      </c>
      <c r="L155" s="18"/>
      <c r="M155" s="18"/>
      <c r="N155" s="18"/>
      <c r="O155" s="18"/>
      <c r="P155" s="18"/>
      <c r="Q155" s="18"/>
    </row>
    <row r="156" spans="1:17" x14ac:dyDescent="0.2">
      <c r="A156" s="279" t="s">
        <v>1</v>
      </c>
      <c r="B156" s="279"/>
      <c r="C156" s="37">
        <v>604</v>
      </c>
      <c r="D156" s="38">
        <f>C156/K156</f>
        <v>0.80212483399734391</v>
      </c>
      <c r="E156" s="37">
        <v>126</v>
      </c>
      <c r="F156" s="40">
        <f>E156/I156</f>
        <v>0.84563758389261745</v>
      </c>
      <c r="G156" s="37">
        <v>23</v>
      </c>
      <c r="H156" s="40">
        <f>G156/I156</f>
        <v>0.15436241610738255</v>
      </c>
      <c r="I156" s="37">
        <f>E156+G156</f>
        <v>149</v>
      </c>
      <c r="J156" s="40">
        <f>I156/K156</f>
        <v>0.19787516600265603</v>
      </c>
      <c r="K156" s="37">
        <f>C156+E156+G156</f>
        <v>753</v>
      </c>
      <c r="L156" s="18"/>
      <c r="M156" s="18"/>
      <c r="N156" s="18"/>
      <c r="O156" s="18"/>
      <c r="P156" s="18"/>
      <c r="Q156" s="18"/>
    </row>
    <row r="157" spans="1:17" x14ac:dyDescent="0.2">
      <c r="A157" s="282" t="s">
        <v>2</v>
      </c>
      <c r="B157" s="283"/>
      <c r="C157" s="37">
        <f>GETPIVOTDATA("Phase Net Units",'8b and 8c'!$A$1,"Tenure","Open Market","VNEB","Y")</f>
        <v>1181</v>
      </c>
      <c r="D157" s="38">
        <f>C157/K157</f>
        <v>0.92193598750975803</v>
      </c>
      <c r="E157" s="37">
        <f>GETPIVOTDATA("Phase Net Units",'8b and 8c'!$A$1,"Tenure","Intermediate","VNEB","Y")</f>
        <v>100</v>
      </c>
      <c r="F157" s="40">
        <f>E157/I157</f>
        <v>1</v>
      </c>
      <c r="G157" s="37">
        <v>0</v>
      </c>
      <c r="H157" s="40">
        <f>G157/I157</f>
        <v>0</v>
      </c>
      <c r="I157" s="37">
        <f>E157+G157</f>
        <v>100</v>
      </c>
      <c r="J157" s="40">
        <f>I157/K157</f>
        <v>7.8064012490242002E-2</v>
      </c>
      <c r="K157" s="37">
        <f>C157+E157+G157</f>
        <v>1281</v>
      </c>
      <c r="L157" s="18"/>
      <c r="M157" s="18"/>
      <c r="N157" s="18"/>
      <c r="O157" s="18"/>
      <c r="P157" s="18"/>
      <c r="Q157" s="18"/>
    </row>
    <row r="158" spans="1:17" x14ac:dyDescent="0.2">
      <c r="A158" s="280" t="s">
        <v>62</v>
      </c>
      <c r="B158" s="280"/>
      <c r="C158" s="65">
        <f>SUM(C154:C156)</f>
        <v>1532</v>
      </c>
      <c r="D158" s="41">
        <f>C158/K158</f>
        <v>0.86115795390668914</v>
      </c>
      <c r="E158" s="65">
        <f>SUM(E154:E156)</f>
        <v>224</v>
      </c>
      <c r="F158" s="41">
        <f>E158/I158</f>
        <v>0.90688259109311742</v>
      </c>
      <c r="G158" s="65">
        <f>SUM(G154:G156)</f>
        <v>23</v>
      </c>
      <c r="H158" s="41">
        <f>G158/I158</f>
        <v>9.3117408906882596E-2</v>
      </c>
      <c r="I158" s="65">
        <f>SUM(I154:I156)</f>
        <v>247</v>
      </c>
      <c r="J158" s="41">
        <f>I158/K158</f>
        <v>0.13884204609331086</v>
      </c>
      <c r="K158" s="65">
        <f>SUM(K154:K156)</f>
        <v>1779</v>
      </c>
      <c r="L158" s="18"/>
      <c r="M158" s="18"/>
      <c r="N158" s="18"/>
      <c r="O158" s="18"/>
      <c r="P158" s="18"/>
      <c r="Q158" s="18"/>
    </row>
    <row r="159" spans="1:17" x14ac:dyDescent="0.2">
      <c r="A159" s="129"/>
      <c r="B159" s="18"/>
      <c r="C159" s="18"/>
      <c r="D159" s="18"/>
      <c r="E159" s="18"/>
      <c r="F159" s="18"/>
      <c r="G159" s="18"/>
      <c r="H159" s="18"/>
      <c r="I159" s="18"/>
      <c r="J159" s="18"/>
      <c r="K159" s="18"/>
      <c r="L159" s="18"/>
      <c r="M159" s="18"/>
      <c r="N159" s="18"/>
      <c r="O159" s="18"/>
      <c r="P159" s="18"/>
      <c r="Q159" s="18"/>
    </row>
    <row r="160" spans="1:17" x14ac:dyDescent="0.2">
      <c r="A160" s="52" t="s">
        <v>1837</v>
      </c>
      <c r="B160" s="52" t="s">
        <v>1839</v>
      </c>
      <c r="C160" s="18"/>
      <c r="D160" s="18"/>
      <c r="E160" s="18"/>
      <c r="F160" s="18"/>
      <c r="G160" s="18"/>
      <c r="H160" s="18"/>
      <c r="I160" s="18"/>
      <c r="J160" s="18"/>
      <c r="K160" s="18"/>
      <c r="L160" s="18"/>
      <c r="M160" s="18"/>
      <c r="N160" s="18"/>
      <c r="O160" s="18"/>
      <c r="P160" s="18"/>
      <c r="Q160" s="18"/>
    </row>
    <row r="161" spans="1:17" x14ac:dyDescent="0.2">
      <c r="A161" s="302" t="s">
        <v>46</v>
      </c>
      <c r="B161" s="302"/>
      <c r="C161" s="216" t="s">
        <v>837</v>
      </c>
      <c r="D161" s="216"/>
      <c r="E161" s="304" t="s">
        <v>836</v>
      </c>
      <c r="F161" s="304"/>
      <c r="G161" s="304" t="s">
        <v>838</v>
      </c>
      <c r="H161" s="304"/>
      <c r="I161" s="216" t="s">
        <v>134</v>
      </c>
      <c r="J161" s="216"/>
      <c r="K161" s="100" t="s">
        <v>62</v>
      </c>
      <c r="L161" s="18"/>
      <c r="M161" s="18"/>
      <c r="N161" s="18"/>
      <c r="O161" s="18"/>
      <c r="P161" s="18"/>
      <c r="Q161" s="18"/>
    </row>
    <row r="162" spans="1:17" x14ac:dyDescent="0.2">
      <c r="A162" s="302"/>
      <c r="B162" s="302"/>
      <c r="C162" s="100" t="s">
        <v>135</v>
      </c>
      <c r="D162" s="100" t="s">
        <v>136</v>
      </c>
      <c r="E162" s="100" t="s">
        <v>135</v>
      </c>
      <c r="F162" s="100" t="s">
        <v>136</v>
      </c>
      <c r="G162" s="100" t="s">
        <v>135</v>
      </c>
      <c r="H162" s="100" t="s">
        <v>136</v>
      </c>
      <c r="I162" s="100" t="s">
        <v>135</v>
      </c>
      <c r="J162" s="100" t="s">
        <v>136</v>
      </c>
      <c r="K162" s="100" t="s">
        <v>135</v>
      </c>
      <c r="L162" s="18"/>
      <c r="M162" s="18"/>
      <c r="N162" s="18"/>
      <c r="O162" s="18"/>
      <c r="P162" s="18"/>
      <c r="Q162" s="18"/>
    </row>
    <row r="163" spans="1:17" x14ac:dyDescent="0.2">
      <c r="A163" s="280" t="s">
        <v>1842</v>
      </c>
      <c r="B163" s="280"/>
      <c r="C163" s="30"/>
      <c r="D163" s="41"/>
      <c r="E163" s="30"/>
      <c r="F163" s="41">
        <v>0.4</v>
      </c>
      <c r="G163" s="30"/>
      <c r="H163" s="41">
        <v>0.6</v>
      </c>
      <c r="I163" s="30"/>
      <c r="J163" s="41">
        <v>0.33</v>
      </c>
      <c r="K163" s="30"/>
      <c r="L163" s="18"/>
      <c r="M163" s="18"/>
      <c r="N163" s="18"/>
      <c r="O163" s="18"/>
      <c r="P163" s="18"/>
      <c r="Q163" s="18"/>
    </row>
    <row r="164" spans="1:17" x14ac:dyDescent="0.2">
      <c r="A164" s="281" t="s">
        <v>0</v>
      </c>
      <c r="B164" s="281"/>
      <c r="C164" s="37">
        <v>982</v>
      </c>
      <c r="D164" s="38">
        <f>C164/K164</f>
        <v>0.68099861303744802</v>
      </c>
      <c r="E164" s="37">
        <v>227</v>
      </c>
      <c r="F164" s="40">
        <f>E164/I164</f>
        <v>0.4934782608695652</v>
      </c>
      <c r="G164" s="37">
        <v>233</v>
      </c>
      <c r="H164" s="40">
        <f>G164/I164</f>
        <v>0.50652173913043474</v>
      </c>
      <c r="I164" s="37">
        <f>E164+G164</f>
        <v>460</v>
      </c>
      <c r="J164" s="40">
        <f>I164/K164</f>
        <v>0.31900138696255204</v>
      </c>
      <c r="K164" s="37">
        <f>C164+E164+G164</f>
        <v>1442</v>
      </c>
      <c r="L164" s="18"/>
      <c r="M164" s="18"/>
      <c r="N164" s="18"/>
      <c r="O164" s="18"/>
      <c r="P164" s="18"/>
      <c r="Q164" s="18"/>
    </row>
    <row r="165" spans="1:17" x14ac:dyDescent="0.2">
      <c r="A165" s="279" t="s">
        <v>1</v>
      </c>
      <c r="B165" s="279"/>
      <c r="C165" s="37">
        <v>765</v>
      </c>
      <c r="D165" s="38">
        <f>C165/K165</f>
        <v>0.7766497461928934</v>
      </c>
      <c r="E165" s="37">
        <v>171</v>
      </c>
      <c r="F165" s="40">
        <f>E165/I165</f>
        <v>0.77727272727272723</v>
      </c>
      <c r="G165" s="37">
        <v>49</v>
      </c>
      <c r="H165" s="40">
        <f>G165/I165</f>
        <v>0.22272727272727272</v>
      </c>
      <c r="I165" s="37">
        <f>E165+G165</f>
        <v>220</v>
      </c>
      <c r="J165" s="40">
        <f>I165/K165</f>
        <v>0.2233502538071066</v>
      </c>
      <c r="K165" s="37">
        <f>C165+E165+G165</f>
        <v>985</v>
      </c>
      <c r="L165" s="18"/>
      <c r="M165" s="18"/>
      <c r="N165" s="18"/>
      <c r="O165" s="18"/>
      <c r="P165" s="18"/>
      <c r="Q165" s="18"/>
    </row>
    <row r="166" spans="1:17" x14ac:dyDescent="0.2">
      <c r="A166" s="282" t="s">
        <v>2</v>
      </c>
      <c r="B166" s="283"/>
      <c r="C166" s="37">
        <f>GETPIVOTDATA("Phase Net Units",'8b and 8c'!$A$1,"Tenure","Open Market","VNEB",)</f>
        <v>653</v>
      </c>
      <c r="D166" s="38">
        <f>C166/K166</f>
        <v>0.91842475386779188</v>
      </c>
      <c r="E166" s="37">
        <f>GETPIVOTDATA("Phase Net Units",'8b and 8c'!$A$1,"Tenure","Intermediate","VNEB",)</f>
        <v>42</v>
      </c>
      <c r="F166" s="40">
        <f>E166/I166</f>
        <v>0.72413793103448276</v>
      </c>
      <c r="G166" s="37">
        <f>GETPIVOTDATA("Phase Net Units",'8b and 8c'!$A$1,"Tenure","Social/Affordable Rent","VNEB",)</f>
        <v>16</v>
      </c>
      <c r="H166" s="40">
        <f>G166/I166</f>
        <v>0.27586206896551724</v>
      </c>
      <c r="I166" s="37">
        <f>E166+G166</f>
        <v>58</v>
      </c>
      <c r="J166" s="40">
        <f>I166/K166</f>
        <v>8.1575246132208151E-2</v>
      </c>
      <c r="K166" s="37">
        <f>C166+E166+G166</f>
        <v>711</v>
      </c>
      <c r="L166" s="18"/>
      <c r="M166" s="18"/>
      <c r="N166" s="18"/>
      <c r="O166" s="18"/>
      <c r="P166" s="18"/>
      <c r="Q166" s="18"/>
    </row>
    <row r="167" spans="1:17" x14ac:dyDescent="0.2">
      <c r="A167" s="280" t="s">
        <v>62</v>
      </c>
      <c r="B167" s="280"/>
      <c r="C167" s="65">
        <f>SUM(C163:C165)</f>
        <v>1747</v>
      </c>
      <c r="D167" s="41">
        <f>C167/K167</f>
        <v>0.71981870622167288</v>
      </c>
      <c r="E167" s="65">
        <f>SUM(E163:E165)</f>
        <v>398</v>
      </c>
      <c r="F167" s="41">
        <f>E167/I167</f>
        <v>0.58529411764705885</v>
      </c>
      <c r="G167" s="65">
        <f>SUM(G163:G165)</f>
        <v>282</v>
      </c>
      <c r="H167" s="41">
        <f>G167/I167</f>
        <v>0.4147058823529412</v>
      </c>
      <c r="I167" s="65">
        <f>SUM(I163:I165)</f>
        <v>680</v>
      </c>
      <c r="J167" s="41">
        <f>I167/K167</f>
        <v>0.28018129377832718</v>
      </c>
      <c r="K167" s="65">
        <f>SUM(K163:K165)</f>
        <v>2427</v>
      </c>
      <c r="L167" s="18"/>
      <c r="M167" s="18"/>
      <c r="N167" s="18"/>
      <c r="O167" s="18"/>
      <c r="P167" s="18"/>
      <c r="Q167" s="18"/>
    </row>
    <row r="168" spans="1:17" x14ac:dyDescent="0.2">
      <c r="A168" s="129"/>
      <c r="B168" s="18"/>
      <c r="C168" s="18"/>
      <c r="D168" s="18"/>
      <c r="E168" s="18"/>
      <c r="F168" s="18"/>
      <c r="G168" s="18"/>
      <c r="H168" s="18"/>
      <c r="I168" s="18"/>
      <c r="J168" s="18"/>
      <c r="K168" s="18"/>
      <c r="L168" s="18"/>
      <c r="M168" s="18"/>
      <c r="N168" s="18"/>
      <c r="O168" s="18"/>
      <c r="P168" s="18"/>
      <c r="Q168" s="18"/>
    </row>
    <row r="169" spans="1:17" ht="15" x14ac:dyDescent="0.25">
      <c r="A169" s="128" t="s">
        <v>1844</v>
      </c>
      <c r="B169" s="18"/>
      <c r="C169" s="18"/>
      <c r="D169" s="18"/>
      <c r="E169" s="18"/>
      <c r="F169" s="18"/>
      <c r="G169" s="18"/>
      <c r="H169" s="18"/>
      <c r="I169" s="18"/>
      <c r="J169" s="18"/>
      <c r="K169" s="18"/>
      <c r="L169" s="18"/>
      <c r="M169" s="18"/>
      <c r="N169" s="18"/>
      <c r="O169" s="18"/>
      <c r="P169" s="18"/>
      <c r="Q169" s="18"/>
    </row>
    <row r="170" spans="1:17" x14ac:dyDescent="0.2">
      <c r="A170" s="52" t="s">
        <v>201</v>
      </c>
      <c r="B170" s="52" t="s">
        <v>3866</v>
      </c>
      <c r="C170" s="53"/>
      <c r="D170" s="53"/>
      <c r="E170" s="53"/>
      <c r="F170" s="53"/>
      <c r="G170" s="53"/>
      <c r="H170" s="18"/>
      <c r="I170" s="18"/>
      <c r="J170" s="18"/>
      <c r="K170" s="18"/>
      <c r="L170" s="18"/>
      <c r="M170" s="18"/>
      <c r="N170" s="18"/>
      <c r="O170" s="18"/>
      <c r="P170" s="18"/>
      <c r="Q170" s="18"/>
    </row>
    <row r="171" spans="1:17" x14ac:dyDescent="0.2">
      <c r="A171" s="207" t="s">
        <v>46</v>
      </c>
      <c r="B171" s="214" t="s">
        <v>137</v>
      </c>
      <c r="C171" s="215"/>
      <c r="D171" s="214" t="s">
        <v>138</v>
      </c>
      <c r="E171" s="215"/>
      <c r="F171" s="214" t="s">
        <v>62</v>
      </c>
      <c r="G171" s="215"/>
      <c r="H171" s="18"/>
      <c r="I171" s="18"/>
      <c r="J171" s="18"/>
      <c r="K171" s="18"/>
      <c r="L171" s="18"/>
      <c r="M171" s="18"/>
      <c r="N171" s="18"/>
      <c r="O171" s="18"/>
      <c r="P171" s="18"/>
      <c r="Q171" s="18"/>
    </row>
    <row r="172" spans="1:17" x14ac:dyDescent="0.2">
      <c r="A172" s="209"/>
      <c r="B172" s="100" t="s">
        <v>139</v>
      </c>
      <c r="C172" s="100" t="s">
        <v>140</v>
      </c>
      <c r="D172" s="100" t="s">
        <v>139</v>
      </c>
      <c r="E172" s="100" t="s">
        <v>140</v>
      </c>
      <c r="F172" s="100" t="s">
        <v>139</v>
      </c>
      <c r="G172" s="100" t="s">
        <v>140</v>
      </c>
      <c r="H172" s="18"/>
      <c r="I172" s="18"/>
      <c r="J172" s="18"/>
      <c r="K172" s="18"/>
      <c r="L172" s="18"/>
      <c r="M172" s="18"/>
      <c r="N172" s="18"/>
      <c r="O172" s="18"/>
      <c r="P172" s="18"/>
      <c r="Q172" s="18"/>
    </row>
    <row r="173" spans="1:17" x14ac:dyDescent="0.2">
      <c r="A173" s="146" t="s">
        <v>1770</v>
      </c>
      <c r="B173" s="25">
        <v>501</v>
      </c>
      <c r="C173" s="25">
        <v>482</v>
      </c>
      <c r="D173" s="25">
        <v>236</v>
      </c>
      <c r="E173" s="25">
        <v>87</v>
      </c>
      <c r="F173" s="25">
        <v>737</v>
      </c>
      <c r="G173" s="25">
        <v>569</v>
      </c>
      <c r="H173" s="18"/>
      <c r="I173" s="18"/>
      <c r="J173" s="18"/>
      <c r="K173" s="18"/>
      <c r="L173" s="18"/>
      <c r="M173" s="18"/>
      <c r="N173" s="18"/>
      <c r="O173" s="18"/>
      <c r="P173" s="18"/>
      <c r="Q173" s="18"/>
    </row>
    <row r="174" spans="1:17" x14ac:dyDescent="0.2">
      <c r="A174" s="146" t="s">
        <v>1771</v>
      </c>
      <c r="B174" s="25">
        <v>812</v>
      </c>
      <c r="C174" s="25">
        <v>794</v>
      </c>
      <c r="D174" s="25">
        <v>330</v>
      </c>
      <c r="E174" s="25">
        <v>154</v>
      </c>
      <c r="F174" s="25">
        <v>1142</v>
      </c>
      <c r="G174" s="25">
        <v>948</v>
      </c>
      <c r="H174" s="18"/>
      <c r="I174" s="18"/>
      <c r="J174" s="18"/>
      <c r="K174" s="18"/>
      <c r="L174" s="18"/>
      <c r="M174" s="18"/>
      <c r="N174" s="18"/>
      <c r="O174" s="18"/>
      <c r="P174" s="18"/>
      <c r="Q174" s="18"/>
    </row>
    <row r="175" spans="1:17" x14ac:dyDescent="0.2">
      <c r="A175" s="102" t="s">
        <v>1772</v>
      </c>
      <c r="B175" s="25">
        <v>968</v>
      </c>
      <c r="C175" s="25">
        <v>929</v>
      </c>
      <c r="D175" s="25">
        <v>311</v>
      </c>
      <c r="E175" s="25">
        <v>135</v>
      </c>
      <c r="F175" s="25">
        <v>1279</v>
      </c>
      <c r="G175" s="25">
        <v>1064</v>
      </c>
      <c r="H175" s="18"/>
      <c r="I175" s="18"/>
      <c r="J175" s="18"/>
      <c r="K175" s="18"/>
      <c r="L175" s="18"/>
      <c r="M175" s="18"/>
      <c r="N175" s="18"/>
      <c r="O175" s="18"/>
      <c r="P175" s="18"/>
      <c r="Q175" s="18"/>
    </row>
    <row r="176" spans="1:17" x14ac:dyDescent="0.2">
      <c r="A176" s="102" t="s">
        <v>1773</v>
      </c>
      <c r="B176" s="25">
        <v>1330</v>
      </c>
      <c r="C176" s="25">
        <v>1286</v>
      </c>
      <c r="D176" s="25">
        <v>405</v>
      </c>
      <c r="E176" s="25">
        <v>204</v>
      </c>
      <c r="F176" s="25">
        <v>1735</v>
      </c>
      <c r="G176" s="25">
        <v>1490</v>
      </c>
      <c r="H176" s="18"/>
      <c r="I176" s="18"/>
      <c r="J176" s="18"/>
      <c r="K176" s="18"/>
      <c r="L176" s="18"/>
      <c r="M176" s="18"/>
      <c r="N176" s="18"/>
      <c r="O176" s="18"/>
      <c r="P176" s="18"/>
      <c r="Q176" s="18"/>
    </row>
    <row r="177" spans="1:17" x14ac:dyDescent="0.2">
      <c r="A177" s="102" t="s">
        <v>1774</v>
      </c>
      <c r="B177" s="25">
        <v>1137</v>
      </c>
      <c r="C177" s="25">
        <v>1100</v>
      </c>
      <c r="D177" s="25">
        <v>366</v>
      </c>
      <c r="E177" s="25">
        <v>204</v>
      </c>
      <c r="F177" s="25">
        <v>1503</v>
      </c>
      <c r="G177" s="25">
        <v>1304</v>
      </c>
      <c r="H177" s="18"/>
      <c r="I177" s="18"/>
      <c r="J177" s="18"/>
      <c r="K177" s="18"/>
      <c r="L177" s="18"/>
      <c r="M177" s="18"/>
      <c r="N177" s="18"/>
      <c r="O177" s="18"/>
      <c r="P177" s="18"/>
      <c r="Q177" s="18"/>
    </row>
    <row r="178" spans="1:17" x14ac:dyDescent="0.2">
      <c r="A178" s="102" t="s">
        <v>1775</v>
      </c>
      <c r="B178" s="25">
        <v>1121</v>
      </c>
      <c r="C178" s="25">
        <v>1080</v>
      </c>
      <c r="D178" s="25">
        <v>401</v>
      </c>
      <c r="E178" s="25">
        <v>198</v>
      </c>
      <c r="F178" s="25">
        <v>1522</v>
      </c>
      <c r="G178" s="25">
        <v>1278</v>
      </c>
      <c r="H178" s="18"/>
      <c r="I178" s="18"/>
      <c r="J178" s="18"/>
      <c r="K178" s="18"/>
      <c r="L178" s="18"/>
      <c r="M178" s="18"/>
      <c r="N178" s="18"/>
      <c r="O178" s="18"/>
      <c r="P178" s="18"/>
      <c r="Q178" s="18"/>
    </row>
    <row r="179" spans="1:17" x14ac:dyDescent="0.2">
      <c r="A179" s="102" t="s">
        <v>1776</v>
      </c>
      <c r="B179" s="25">
        <v>885</v>
      </c>
      <c r="C179" s="25">
        <v>840</v>
      </c>
      <c r="D179" s="25">
        <v>385</v>
      </c>
      <c r="E179" s="25">
        <v>191</v>
      </c>
      <c r="F179" s="25">
        <v>1270</v>
      </c>
      <c r="G179" s="25">
        <v>1031</v>
      </c>
      <c r="H179" s="18"/>
      <c r="I179" s="18"/>
      <c r="J179" s="18"/>
      <c r="K179" s="18"/>
      <c r="L179" s="18"/>
      <c r="M179" s="18"/>
      <c r="N179" s="18"/>
      <c r="O179" s="18"/>
      <c r="P179" s="18"/>
      <c r="Q179" s="18"/>
    </row>
    <row r="180" spans="1:17" x14ac:dyDescent="0.2">
      <c r="A180" s="102" t="s">
        <v>1777</v>
      </c>
      <c r="B180" s="25">
        <v>1425</v>
      </c>
      <c r="C180" s="25">
        <v>1385</v>
      </c>
      <c r="D180" s="25">
        <v>430</v>
      </c>
      <c r="E180" s="25">
        <v>175</v>
      </c>
      <c r="F180" s="25">
        <v>1855</v>
      </c>
      <c r="G180" s="25">
        <v>1560</v>
      </c>
      <c r="H180" s="18"/>
      <c r="I180" s="18"/>
      <c r="J180" s="18"/>
      <c r="K180" s="18"/>
      <c r="L180" s="18"/>
      <c r="M180" s="18"/>
      <c r="N180" s="18"/>
      <c r="O180" s="18"/>
      <c r="P180" s="18"/>
      <c r="Q180" s="18"/>
    </row>
    <row r="181" spans="1:17" x14ac:dyDescent="0.2">
      <c r="A181" s="102" t="s">
        <v>130</v>
      </c>
      <c r="B181" s="25">
        <v>1466</v>
      </c>
      <c r="C181" s="25">
        <v>1413</v>
      </c>
      <c r="D181" s="25">
        <v>279</v>
      </c>
      <c r="E181" s="25">
        <v>126</v>
      </c>
      <c r="F181" s="25">
        <v>1745</v>
      </c>
      <c r="G181" s="25">
        <v>1539</v>
      </c>
      <c r="H181" s="18"/>
      <c r="I181" s="18"/>
      <c r="J181" s="18"/>
      <c r="K181" s="18"/>
      <c r="L181" s="18"/>
      <c r="M181" s="18"/>
      <c r="N181" s="18"/>
      <c r="O181" s="18"/>
      <c r="P181" s="18"/>
      <c r="Q181" s="18"/>
    </row>
    <row r="182" spans="1:17" x14ac:dyDescent="0.2">
      <c r="A182" s="102" t="s">
        <v>131</v>
      </c>
      <c r="B182" s="25">
        <v>375</v>
      </c>
      <c r="C182" s="25">
        <v>340</v>
      </c>
      <c r="D182" s="25">
        <v>295</v>
      </c>
      <c r="E182" s="25">
        <v>141</v>
      </c>
      <c r="F182" s="25">
        <v>670</v>
      </c>
      <c r="G182" s="25">
        <v>481</v>
      </c>
      <c r="H182" s="18"/>
      <c r="I182" s="18"/>
      <c r="J182" s="18"/>
      <c r="K182" s="18"/>
      <c r="L182" s="18"/>
      <c r="M182" s="18"/>
      <c r="N182" s="18"/>
      <c r="O182" s="18"/>
      <c r="P182" s="18"/>
      <c r="Q182" s="18"/>
    </row>
    <row r="183" spans="1:17" x14ac:dyDescent="0.2">
      <c r="A183" s="102" t="s">
        <v>132</v>
      </c>
      <c r="B183" s="25">
        <v>889</v>
      </c>
      <c r="C183" s="25">
        <v>851</v>
      </c>
      <c r="D183" s="25">
        <v>250</v>
      </c>
      <c r="E183" s="25">
        <v>128</v>
      </c>
      <c r="F183" s="25">
        <v>1139</v>
      </c>
      <c r="G183" s="25">
        <v>979</v>
      </c>
      <c r="H183" s="18"/>
      <c r="I183" s="18"/>
      <c r="J183" s="18"/>
      <c r="K183" s="18"/>
      <c r="L183" s="18"/>
      <c r="M183" s="18"/>
      <c r="N183" s="18"/>
      <c r="O183" s="18"/>
      <c r="P183" s="18"/>
      <c r="Q183" s="18"/>
    </row>
    <row r="184" spans="1:17" x14ac:dyDescent="0.2">
      <c r="A184" s="102" t="s">
        <v>404</v>
      </c>
      <c r="B184" s="25">
        <v>854</v>
      </c>
      <c r="C184" s="25">
        <v>721</v>
      </c>
      <c r="D184" s="25">
        <v>242</v>
      </c>
      <c r="E184" s="25">
        <v>121</v>
      </c>
      <c r="F184" s="25">
        <v>1096</v>
      </c>
      <c r="G184" s="25">
        <v>842</v>
      </c>
      <c r="H184" s="18"/>
      <c r="I184" s="18"/>
      <c r="J184" s="18"/>
      <c r="K184" s="18"/>
      <c r="L184" s="18"/>
      <c r="M184" s="18"/>
      <c r="N184" s="18"/>
      <c r="O184" s="18"/>
      <c r="P184" s="18"/>
      <c r="Q184" s="18"/>
    </row>
    <row r="185" spans="1:17" x14ac:dyDescent="0.2">
      <c r="A185" s="102" t="s">
        <v>45</v>
      </c>
      <c r="B185" s="25">
        <v>1098</v>
      </c>
      <c r="C185" s="25">
        <v>1079</v>
      </c>
      <c r="D185" s="25">
        <v>226</v>
      </c>
      <c r="E185" s="25">
        <v>118</v>
      </c>
      <c r="F185" s="25">
        <v>1324</v>
      </c>
      <c r="G185" s="25">
        <v>1197</v>
      </c>
      <c r="H185" s="18"/>
      <c r="I185" s="18"/>
      <c r="J185" s="18"/>
      <c r="K185" s="18"/>
      <c r="L185" s="18"/>
      <c r="M185" s="18"/>
      <c r="N185" s="18"/>
      <c r="O185" s="18"/>
      <c r="P185" s="18"/>
      <c r="Q185" s="18"/>
    </row>
    <row r="186" spans="1:17" x14ac:dyDescent="0.2">
      <c r="A186" s="144" t="s">
        <v>44</v>
      </c>
      <c r="B186" s="37">
        <v>868</v>
      </c>
      <c r="C186" s="37">
        <v>812</v>
      </c>
      <c r="D186" s="37">
        <v>217</v>
      </c>
      <c r="E186" s="37">
        <v>124</v>
      </c>
      <c r="F186" s="37">
        <v>1085</v>
      </c>
      <c r="G186" s="37">
        <v>936</v>
      </c>
      <c r="H186" s="18"/>
      <c r="I186" s="18"/>
      <c r="J186" s="18"/>
      <c r="K186" s="18"/>
      <c r="L186" s="18"/>
      <c r="M186" s="18"/>
      <c r="N186" s="18"/>
      <c r="O186" s="18"/>
      <c r="P186" s="18"/>
      <c r="Q186" s="18"/>
    </row>
    <row r="187" spans="1:17" x14ac:dyDescent="0.2">
      <c r="A187" s="144" t="s">
        <v>0</v>
      </c>
      <c r="B187" s="37">
        <v>2753</v>
      </c>
      <c r="C187" s="37">
        <v>2639</v>
      </c>
      <c r="D187" s="37">
        <v>224</v>
      </c>
      <c r="E187" s="37">
        <v>137</v>
      </c>
      <c r="F187" s="37">
        <v>2977</v>
      </c>
      <c r="G187" s="37">
        <v>2776</v>
      </c>
      <c r="H187" s="18"/>
      <c r="I187" s="18"/>
      <c r="J187" s="18"/>
      <c r="K187" s="18"/>
      <c r="L187" s="18"/>
      <c r="M187" s="18"/>
      <c r="N187" s="18"/>
      <c r="O187" s="18"/>
      <c r="P187" s="18"/>
      <c r="Q187" s="18"/>
    </row>
    <row r="188" spans="1:17" x14ac:dyDescent="0.2">
      <c r="A188" s="144" t="s">
        <v>1</v>
      </c>
      <c r="B188" s="37">
        <v>2047</v>
      </c>
      <c r="C188" s="37">
        <v>1968</v>
      </c>
      <c r="D188" s="37">
        <v>478</v>
      </c>
      <c r="E188" s="37">
        <v>377</v>
      </c>
      <c r="F188" s="37">
        <v>2525</v>
      </c>
      <c r="G188" s="37">
        <v>2345</v>
      </c>
      <c r="H188" s="18"/>
      <c r="I188" s="18"/>
      <c r="J188" s="18"/>
      <c r="K188" s="18"/>
      <c r="L188" s="18"/>
      <c r="M188" s="18"/>
      <c r="N188" s="18"/>
      <c r="O188" s="18"/>
      <c r="P188" s="18"/>
      <c r="Q188" s="18"/>
    </row>
    <row r="189" spans="1:17" x14ac:dyDescent="0.2">
      <c r="A189" s="148" t="s">
        <v>2</v>
      </c>
      <c r="B189" s="39">
        <f t="shared" ref="B189:G189" si="17">D39</f>
        <v>1943</v>
      </c>
      <c r="C189" s="39">
        <f t="shared" si="17"/>
        <v>1912</v>
      </c>
      <c r="D189" s="39">
        <f t="shared" si="17"/>
        <v>356</v>
      </c>
      <c r="E189" s="39">
        <f t="shared" si="17"/>
        <v>124</v>
      </c>
      <c r="F189" s="39">
        <f t="shared" si="17"/>
        <v>2299</v>
      </c>
      <c r="G189" s="39">
        <f t="shared" si="17"/>
        <v>2036</v>
      </c>
      <c r="H189" s="18"/>
      <c r="I189" s="18"/>
      <c r="J189" s="18"/>
      <c r="K189" s="18"/>
      <c r="L189" s="18"/>
      <c r="M189" s="18"/>
      <c r="N189" s="18"/>
      <c r="O189" s="18"/>
      <c r="P189" s="18"/>
      <c r="Q189" s="18"/>
    </row>
    <row r="190" spans="1:17" x14ac:dyDescent="0.2">
      <c r="A190" s="101" t="s">
        <v>62</v>
      </c>
      <c r="B190" s="65">
        <f>SUM(B173:B189)</f>
        <v>20472</v>
      </c>
      <c r="C190" s="65">
        <f t="shared" ref="C190:G190" si="18">SUM(C173:C189)</f>
        <v>19631</v>
      </c>
      <c r="D190" s="65">
        <f t="shared" si="18"/>
        <v>5431</v>
      </c>
      <c r="E190" s="65">
        <f t="shared" si="18"/>
        <v>2744</v>
      </c>
      <c r="F190" s="65">
        <f t="shared" si="18"/>
        <v>25903</v>
      </c>
      <c r="G190" s="65">
        <f t="shared" si="18"/>
        <v>22375</v>
      </c>
      <c r="H190" s="18"/>
      <c r="I190" s="18"/>
      <c r="J190" s="18"/>
      <c r="K190" s="18"/>
      <c r="L190" s="18"/>
      <c r="M190" s="18"/>
      <c r="N190" s="18"/>
      <c r="O190" s="18"/>
      <c r="P190" s="18"/>
      <c r="Q190" s="18"/>
    </row>
    <row r="191" spans="1:17" x14ac:dyDescent="0.2">
      <c r="A191" s="130"/>
      <c r="B191" s="22"/>
      <c r="C191" s="22"/>
      <c r="D191" s="22"/>
      <c r="E191" s="22"/>
      <c r="F191" s="22"/>
      <c r="G191" s="22"/>
      <c r="H191" s="18"/>
      <c r="I191" s="18"/>
      <c r="J191" s="18"/>
      <c r="K191" s="18"/>
      <c r="L191" s="18"/>
      <c r="M191" s="18"/>
      <c r="N191" s="18"/>
      <c r="O191" s="18"/>
      <c r="P191" s="18"/>
      <c r="Q191" s="18"/>
    </row>
    <row r="192" spans="1:17" x14ac:dyDescent="0.2">
      <c r="A192" s="18"/>
      <c r="B192" s="18"/>
      <c r="C192" s="18"/>
      <c r="D192" s="18"/>
      <c r="E192" s="18"/>
      <c r="F192" s="18"/>
      <c r="G192" s="18"/>
      <c r="H192" s="18"/>
      <c r="I192" s="18"/>
      <c r="J192" s="18"/>
      <c r="K192" s="18"/>
      <c r="L192" s="53"/>
      <c r="M192" s="53"/>
      <c r="N192" s="53"/>
      <c r="O192" s="53"/>
      <c r="P192" s="18"/>
      <c r="Q192" s="18"/>
    </row>
    <row r="193" spans="1:17" ht="18" x14ac:dyDescent="0.25">
      <c r="A193" s="127" t="s">
        <v>48</v>
      </c>
      <c r="B193" s="53"/>
      <c r="C193" s="53"/>
      <c r="D193" s="53"/>
      <c r="E193" s="53"/>
      <c r="F193" s="53"/>
      <c r="G193" s="53"/>
      <c r="H193" s="18"/>
      <c r="I193" s="18"/>
      <c r="J193" s="18"/>
      <c r="K193" s="18"/>
      <c r="L193" s="53"/>
      <c r="M193" s="53"/>
      <c r="N193" s="53"/>
      <c r="O193" s="53"/>
      <c r="P193" s="18"/>
      <c r="Q193" s="18"/>
    </row>
    <row r="194" spans="1:17" x14ac:dyDescent="0.2">
      <c r="A194" s="17"/>
      <c r="B194" s="18"/>
      <c r="C194" s="18"/>
      <c r="D194" s="18"/>
      <c r="E194" s="18"/>
      <c r="F194" s="18"/>
      <c r="G194" s="18"/>
      <c r="H194" s="18"/>
      <c r="I194" s="18"/>
      <c r="J194" s="18"/>
      <c r="K194" s="18"/>
      <c r="L194" s="53"/>
      <c r="M194" s="53"/>
      <c r="N194" s="53"/>
      <c r="O194" s="53"/>
      <c r="P194" s="18"/>
      <c r="Q194" s="18"/>
    </row>
    <row r="195" spans="1:17" x14ac:dyDescent="0.2">
      <c r="A195" s="52" t="s">
        <v>203</v>
      </c>
      <c r="B195" s="52" t="s">
        <v>3867</v>
      </c>
      <c r="C195" s="53"/>
      <c r="D195" s="53"/>
      <c r="E195" s="53"/>
      <c r="F195" s="53"/>
      <c r="G195" s="53"/>
      <c r="H195" s="53"/>
      <c r="I195" s="53"/>
      <c r="J195" s="53"/>
      <c r="K195" s="53"/>
      <c r="L195" s="53"/>
      <c r="M195" s="53"/>
      <c r="N195" s="53"/>
      <c r="O195" s="53"/>
      <c r="P195" s="18"/>
      <c r="Q195" s="18"/>
    </row>
    <row r="196" spans="1:17" x14ac:dyDescent="0.2">
      <c r="A196" s="207" t="s">
        <v>46</v>
      </c>
      <c r="B196" s="216" t="s">
        <v>238</v>
      </c>
      <c r="C196" s="216"/>
      <c r="D196" s="216" t="s">
        <v>74</v>
      </c>
      <c r="E196" s="216"/>
      <c r="F196" s="216" t="s">
        <v>154</v>
      </c>
      <c r="G196" s="216"/>
      <c r="H196" s="216" t="s">
        <v>134</v>
      </c>
      <c r="I196" s="216"/>
      <c r="J196" s="100" t="s">
        <v>62</v>
      </c>
      <c r="K196" s="53"/>
      <c r="L196" s="53"/>
      <c r="M196" s="53"/>
      <c r="N196" s="53"/>
      <c r="O196" s="53"/>
      <c r="P196" s="18"/>
      <c r="Q196" s="18"/>
    </row>
    <row r="197" spans="1:17" x14ac:dyDescent="0.2">
      <c r="A197" s="209"/>
      <c r="B197" s="100" t="s">
        <v>135</v>
      </c>
      <c r="C197" s="100" t="s">
        <v>136</v>
      </c>
      <c r="D197" s="100" t="s">
        <v>135</v>
      </c>
      <c r="E197" s="100" t="s">
        <v>136</v>
      </c>
      <c r="F197" s="100" t="s">
        <v>135</v>
      </c>
      <c r="G197" s="100" t="s">
        <v>136</v>
      </c>
      <c r="H197" s="100" t="s">
        <v>135</v>
      </c>
      <c r="I197" s="100" t="s">
        <v>136</v>
      </c>
      <c r="J197" s="100" t="s">
        <v>135</v>
      </c>
      <c r="K197" s="53"/>
      <c r="L197" s="53"/>
      <c r="M197" s="53"/>
      <c r="N197" s="53"/>
      <c r="O197" s="53"/>
      <c r="P197" s="18"/>
      <c r="Q197" s="18"/>
    </row>
    <row r="198" spans="1:17" x14ac:dyDescent="0.2">
      <c r="A198" s="102" t="s">
        <v>1770</v>
      </c>
      <c r="B198" s="25">
        <v>1050</v>
      </c>
      <c r="C198" s="42">
        <v>0.8951406649616368</v>
      </c>
      <c r="D198" s="25">
        <v>54</v>
      </c>
      <c r="E198" s="42">
        <v>4.6035805626598467E-2</v>
      </c>
      <c r="F198" s="25">
        <v>69</v>
      </c>
      <c r="G198" s="42">
        <v>5.8823529411764705E-2</v>
      </c>
      <c r="H198" s="25">
        <v>123</v>
      </c>
      <c r="I198" s="42">
        <v>0.10485933503836317</v>
      </c>
      <c r="J198" s="25">
        <v>1173</v>
      </c>
      <c r="K198" s="53"/>
      <c r="L198" s="53"/>
      <c r="M198" s="53"/>
      <c r="N198" s="53"/>
      <c r="O198" s="53"/>
      <c r="P198" s="18"/>
      <c r="Q198" s="18"/>
    </row>
    <row r="199" spans="1:17" x14ac:dyDescent="0.2">
      <c r="A199" s="102" t="s">
        <v>1771</v>
      </c>
      <c r="B199" s="25">
        <v>1137</v>
      </c>
      <c r="C199" s="42">
        <v>0.8081023454157783</v>
      </c>
      <c r="D199" s="25">
        <v>211</v>
      </c>
      <c r="E199" s="42">
        <v>0.14996446339729921</v>
      </c>
      <c r="F199" s="25">
        <v>59</v>
      </c>
      <c r="G199" s="42">
        <v>4.1933191186922528E-2</v>
      </c>
      <c r="H199" s="25">
        <v>270</v>
      </c>
      <c r="I199" s="42">
        <v>0.19189765458422176</v>
      </c>
      <c r="J199" s="25">
        <v>1407</v>
      </c>
      <c r="K199" s="53"/>
      <c r="L199" s="53"/>
      <c r="M199" s="53"/>
      <c r="N199" s="53"/>
      <c r="O199" s="53"/>
      <c r="P199" s="18"/>
      <c r="Q199" s="18"/>
    </row>
    <row r="200" spans="1:17" x14ac:dyDescent="0.2">
      <c r="A200" s="102" t="s">
        <v>1772</v>
      </c>
      <c r="B200" s="25">
        <v>1021</v>
      </c>
      <c r="C200" s="42">
        <v>0.75350553505535056</v>
      </c>
      <c r="D200" s="25">
        <v>227</v>
      </c>
      <c r="E200" s="42">
        <v>0.16752767527675277</v>
      </c>
      <c r="F200" s="25">
        <v>107</v>
      </c>
      <c r="G200" s="42">
        <v>7.8966789667896678E-2</v>
      </c>
      <c r="H200" s="25">
        <v>334</v>
      </c>
      <c r="I200" s="42">
        <v>0.24649446494464944</v>
      </c>
      <c r="J200" s="25">
        <v>1355</v>
      </c>
      <c r="K200" s="53"/>
      <c r="L200" s="53"/>
      <c r="M200" s="53"/>
      <c r="N200" s="53"/>
      <c r="O200" s="53"/>
      <c r="P200" s="18"/>
      <c r="Q200" s="18"/>
    </row>
    <row r="201" spans="1:17" x14ac:dyDescent="0.2">
      <c r="A201" s="102" t="s">
        <v>1773</v>
      </c>
      <c r="B201" s="25">
        <v>912</v>
      </c>
      <c r="C201" s="42">
        <v>0.80565371024734977</v>
      </c>
      <c r="D201" s="25">
        <v>182</v>
      </c>
      <c r="E201" s="42">
        <v>0.16077738515901061</v>
      </c>
      <c r="F201" s="25">
        <v>38</v>
      </c>
      <c r="G201" s="42">
        <v>3.3568904593639579E-2</v>
      </c>
      <c r="H201" s="25">
        <v>220</v>
      </c>
      <c r="I201" s="42">
        <v>0.19434628975265017</v>
      </c>
      <c r="J201" s="25">
        <v>1132</v>
      </c>
      <c r="K201" s="53"/>
      <c r="L201" s="53"/>
      <c r="M201" s="53"/>
      <c r="N201" s="53"/>
      <c r="O201" s="53"/>
      <c r="P201" s="18"/>
      <c r="Q201" s="18"/>
    </row>
    <row r="202" spans="1:17" x14ac:dyDescent="0.2">
      <c r="A202" s="102" t="s">
        <v>1774</v>
      </c>
      <c r="B202" s="25">
        <v>809</v>
      </c>
      <c r="C202" s="42">
        <v>0.80099009900990104</v>
      </c>
      <c r="D202" s="25">
        <v>168</v>
      </c>
      <c r="E202" s="42">
        <v>0.16633663366336635</v>
      </c>
      <c r="F202" s="25">
        <v>33</v>
      </c>
      <c r="G202" s="42">
        <v>3.2673267326732675E-2</v>
      </c>
      <c r="H202" s="25">
        <v>201</v>
      </c>
      <c r="I202" s="42">
        <v>0.19900990099009902</v>
      </c>
      <c r="J202" s="25">
        <v>1010</v>
      </c>
      <c r="K202" s="53"/>
      <c r="L202" s="53"/>
      <c r="M202" s="53"/>
      <c r="N202" s="53"/>
      <c r="O202" s="53"/>
      <c r="P202" s="18"/>
      <c r="Q202" s="18"/>
    </row>
    <row r="203" spans="1:17" x14ac:dyDescent="0.2">
      <c r="A203" s="102" t="s">
        <v>1775</v>
      </c>
      <c r="B203" s="25">
        <v>1300</v>
      </c>
      <c r="C203" s="42">
        <v>0.67567567567567566</v>
      </c>
      <c r="D203" s="25">
        <v>548</v>
      </c>
      <c r="E203" s="42">
        <v>0.28482328482328484</v>
      </c>
      <c r="F203" s="25">
        <v>76</v>
      </c>
      <c r="G203" s="42">
        <v>3.9501039501039503E-2</v>
      </c>
      <c r="H203" s="25">
        <v>624</v>
      </c>
      <c r="I203" s="42">
        <v>0.32432432432432434</v>
      </c>
      <c r="J203" s="25">
        <v>1924</v>
      </c>
      <c r="K203" s="53"/>
      <c r="L203" s="53"/>
      <c r="M203" s="53"/>
      <c r="N203" s="53"/>
      <c r="O203" s="53"/>
      <c r="P203" s="18"/>
      <c r="Q203" s="18"/>
    </row>
    <row r="204" spans="1:17" x14ac:dyDescent="0.2">
      <c r="A204" s="102" t="s">
        <v>1776</v>
      </c>
      <c r="B204" s="25">
        <v>974</v>
      </c>
      <c r="C204" s="42">
        <v>0.59535452322738391</v>
      </c>
      <c r="D204" s="25">
        <v>609</v>
      </c>
      <c r="E204" s="42">
        <v>0.37224938875305624</v>
      </c>
      <c r="F204" s="25">
        <v>53</v>
      </c>
      <c r="G204" s="42">
        <v>3.2396088019559899E-2</v>
      </c>
      <c r="H204" s="25">
        <v>662</v>
      </c>
      <c r="I204" s="42">
        <v>0.40464547677261614</v>
      </c>
      <c r="J204" s="25">
        <v>1636</v>
      </c>
      <c r="K204" s="53"/>
      <c r="L204" s="53"/>
      <c r="M204" s="53"/>
      <c r="N204" s="53"/>
      <c r="O204" s="53"/>
      <c r="P204" s="18"/>
      <c r="Q204" s="18"/>
    </row>
    <row r="205" spans="1:17" x14ac:dyDescent="0.2">
      <c r="A205" s="102" t="s">
        <v>1777</v>
      </c>
      <c r="B205" s="25">
        <v>482</v>
      </c>
      <c r="C205" s="42">
        <v>0.80199667221297832</v>
      </c>
      <c r="D205" s="25">
        <v>116</v>
      </c>
      <c r="E205" s="42">
        <v>0.1930116472545757</v>
      </c>
      <c r="F205" s="25">
        <v>3</v>
      </c>
      <c r="G205" s="42">
        <v>4.9916805324459234E-3</v>
      </c>
      <c r="H205" s="25">
        <v>119</v>
      </c>
      <c r="I205" s="42">
        <v>0.19800332778702162</v>
      </c>
      <c r="J205" s="25">
        <v>601</v>
      </c>
      <c r="K205" s="53"/>
      <c r="L205" s="53"/>
      <c r="M205" s="53"/>
      <c r="N205" s="53"/>
      <c r="O205" s="53"/>
      <c r="P205" s="18"/>
      <c r="Q205" s="18"/>
    </row>
    <row r="206" spans="1:17" x14ac:dyDescent="0.2">
      <c r="A206" s="102" t="s">
        <v>130</v>
      </c>
      <c r="B206" s="25">
        <v>358</v>
      </c>
      <c r="C206" s="42">
        <v>0.77489177489177485</v>
      </c>
      <c r="D206" s="25">
        <v>63</v>
      </c>
      <c r="E206" s="42">
        <v>0.13636363636363635</v>
      </c>
      <c r="F206" s="25">
        <v>41</v>
      </c>
      <c r="G206" s="42">
        <v>8.8744588744588751E-2</v>
      </c>
      <c r="H206" s="25">
        <v>104</v>
      </c>
      <c r="I206" s="42">
        <v>0.22510822510822501</v>
      </c>
      <c r="J206" s="25">
        <v>462</v>
      </c>
      <c r="K206" s="53"/>
      <c r="L206" s="53"/>
      <c r="M206" s="53"/>
      <c r="N206" s="53"/>
      <c r="O206" s="53"/>
      <c r="P206" s="18"/>
      <c r="Q206" s="18"/>
    </row>
    <row r="207" spans="1:17" x14ac:dyDescent="0.2">
      <c r="A207" s="102" t="s">
        <v>131</v>
      </c>
      <c r="B207" s="25">
        <v>1127</v>
      </c>
      <c r="C207" s="42">
        <v>0.73708306082406805</v>
      </c>
      <c r="D207" s="25">
        <v>215</v>
      </c>
      <c r="E207" s="42">
        <v>0.1406147809025507</v>
      </c>
      <c r="F207" s="25">
        <v>187</v>
      </c>
      <c r="G207" s="42">
        <v>0.1223021582733813</v>
      </c>
      <c r="H207" s="25">
        <v>402</v>
      </c>
      <c r="I207" s="42">
        <v>0.26291693917593201</v>
      </c>
      <c r="J207" s="25">
        <v>1529</v>
      </c>
      <c r="K207" s="18"/>
      <c r="L207" s="18"/>
      <c r="M207" s="18"/>
      <c r="N207" s="18"/>
      <c r="O207" s="18"/>
      <c r="P207" s="18"/>
      <c r="Q207" s="18"/>
    </row>
    <row r="208" spans="1:17" x14ac:dyDescent="0.2">
      <c r="A208" s="102" t="s">
        <v>132</v>
      </c>
      <c r="B208" s="25">
        <v>1728</v>
      </c>
      <c r="C208" s="42">
        <v>0.8</v>
      </c>
      <c r="D208" s="25">
        <v>302</v>
      </c>
      <c r="E208" s="42">
        <v>0.13981481481481481</v>
      </c>
      <c r="F208" s="25">
        <v>130</v>
      </c>
      <c r="G208" s="42">
        <v>6.0185185185185182E-2</v>
      </c>
      <c r="H208" s="25">
        <v>432</v>
      </c>
      <c r="I208" s="42">
        <v>0.2</v>
      </c>
      <c r="J208" s="25">
        <v>2160</v>
      </c>
      <c r="K208" s="18"/>
      <c r="L208" s="18"/>
      <c r="M208" s="18"/>
      <c r="N208" s="18"/>
      <c r="O208" s="18"/>
      <c r="P208" s="18"/>
      <c r="Q208" s="18"/>
    </row>
    <row r="209" spans="1:17" x14ac:dyDescent="0.2">
      <c r="A209" s="102" t="s">
        <v>404</v>
      </c>
      <c r="B209" s="25">
        <v>1075</v>
      </c>
      <c r="C209" s="42">
        <v>0.89807852965747703</v>
      </c>
      <c r="D209" s="25">
        <v>149</v>
      </c>
      <c r="E209" s="42">
        <v>0.12447786131996658</v>
      </c>
      <c r="F209" s="25">
        <v>-27</v>
      </c>
      <c r="G209" s="42">
        <v>-2.2556390977443608E-2</v>
      </c>
      <c r="H209" s="25">
        <v>122</v>
      </c>
      <c r="I209" s="42">
        <v>0.10192147034252297</v>
      </c>
      <c r="J209" s="25">
        <v>1197</v>
      </c>
      <c r="K209" s="53"/>
      <c r="L209" s="53"/>
      <c r="M209" s="53"/>
      <c r="N209" s="53"/>
      <c r="O209" s="53"/>
      <c r="P209" s="18"/>
      <c r="Q209" s="18"/>
    </row>
    <row r="210" spans="1:17" x14ac:dyDescent="0.2">
      <c r="A210" s="102" t="s">
        <v>45</v>
      </c>
      <c r="B210" s="34">
        <v>2053</v>
      </c>
      <c r="C210" s="36">
        <v>0.85827759197324416</v>
      </c>
      <c r="D210" s="34">
        <v>223</v>
      </c>
      <c r="E210" s="36">
        <v>9.3227424749163873E-2</v>
      </c>
      <c r="F210" s="34">
        <v>116</v>
      </c>
      <c r="G210" s="36">
        <v>4.8494983277591976E-2</v>
      </c>
      <c r="H210" s="34">
        <v>339</v>
      </c>
      <c r="I210" s="36">
        <v>0.14172240802675584</v>
      </c>
      <c r="J210" s="34">
        <v>2392</v>
      </c>
      <c r="K210" s="18"/>
      <c r="L210" s="18"/>
      <c r="M210" s="18"/>
      <c r="N210" s="18"/>
      <c r="O210" s="18"/>
      <c r="P210" s="18"/>
      <c r="Q210" s="18"/>
    </row>
    <row r="211" spans="1:17" x14ac:dyDescent="0.2">
      <c r="A211" s="144" t="s">
        <v>44</v>
      </c>
      <c r="B211" s="37">
        <v>914</v>
      </c>
      <c r="C211" s="38">
        <v>0.80599647266313934</v>
      </c>
      <c r="D211" s="37">
        <v>196</v>
      </c>
      <c r="E211" s="38">
        <v>0.1728395061728395</v>
      </c>
      <c r="F211" s="37">
        <v>24</v>
      </c>
      <c r="G211" s="38">
        <v>2.1164021164021163E-2</v>
      </c>
      <c r="H211" s="37">
        <v>220</v>
      </c>
      <c r="I211" s="38">
        <v>0.19400352733686066</v>
      </c>
      <c r="J211" s="37">
        <v>1134</v>
      </c>
      <c r="K211" s="18"/>
      <c r="L211" s="18"/>
      <c r="M211" s="18"/>
      <c r="N211" s="18"/>
      <c r="O211" s="18"/>
      <c r="P211" s="18"/>
      <c r="Q211" s="18"/>
    </row>
    <row r="212" spans="1:17" x14ac:dyDescent="0.2">
      <c r="A212" s="144" t="s">
        <v>0</v>
      </c>
      <c r="B212" s="37">
        <v>1686</v>
      </c>
      <c r="C212" s="38">
        <v>0.87675507020280807</v>
      </c>
      <c r="D212" s="37">
        <v>146</v>
      </c>
      <c r="E212" s="38">
        <v>7.5923036921476852E-2</v>
      </c>
      <c r="F212" s="37">
        <v>91</v>
      </c>
      <c r="G212" s="38">
        <v>4.7321892875715026E-2</v>
      </c>
      <c r="H212" s="37">
        <v>237</v>
      </c>
      <c r="I212" s="38">
        <v>0.12324492979719189</v>
      </c>
      <c r="J212" s="37">
        <v>1923</v>
      </c>
      <c r="K212" s="53"/>
      <c r="L212" s="53"/>
      <c r="M212" s="53"/>
      <c r="N212" s="53"/>
      <c r="O212" s="53"/>
      <c r="P212" s="18"/>
      <c r="Q212" s="18"/>
    </row>
    <row r="213" spans="1:17" x14ac:dyDescent="0.2">
      <c r="A213" s="144" t="s">
        <v>1</v>
      </c>
      <c r="B213" s="37">
        <v>2776</v>
      </c>
      <c r="C213" s="38">
        <v>0.85652576365319344</v>
      </c>
      <c r="D213" s="37">
        <v>233</v>
      </c>
      <c r="E213" s="38">
        <v>7.1891391545819194E-2</v>
      </c>
      <c r="F213" s="37">
        <v>232</v>
      </c>
      <c r="G213" s="38">
        <v>7.1582844800987352E-2</v>
      </c>
      <c r="H213" s="37">
        <v>465</v>
      </c>
      <c r="I213" s="38">
        <v>0.14347423634680653</v>
      </c>
      <c r="J213" s="37">
        <v>3241</v>
      </c>
      <c r="K213" s="53"/>
      <c r="L213" s="53"/>
      <c r="M213" s="53"/>
      <c r="N213" s="53"/>
      <c r="O213" s="53"/>
      <c r="P213" s="18"/>
      <c r="Q213" s="18"/>
    </row>
    <row r="214" spans="1:17" x14ac:dyDescent="0.2">
      <c r="A214" s="148" t="s">
        <v>2</v>
      </c>
      <c r="B214" s="39">
        <f>D102</f>
        <v>1669</v>
      </c>
      <c r="C214" s="40">
        <f>B214/J214</f>
        <v>0.79476190476190478</v>
      </c>
      <c r="D214" s="39">
        <f>D103</f>
        <v>269</v>
      </c>
      <c r="E214" s="40">
        <f>D214/J214</f>
        <v>0.1280952380952381</v>
      </c>
      <c r="F214" s="39">
        <f>D104</f>
        <v>162</v>
      </c>
      <c r="G214" s="40">
        <f>F214/J214</f>
        <v>7.7142857142857138E-2</v>
      </c>
      <c r="H214" s="39">
        <f>F214+D214</f>
        <v>431</v>
      </c>
      <c r="I214" s="40">
        <f>H214/J214</f>
        <v>0.20523809523809525</v>
      </c>
      <c r="J214" s="39">
        <f>H214+B214</f>
        <v>2100</v>
      </c>
      <c r="K214" s="53"/>
      <c r="L214" s="53"/>
      <c r="M214" s="53"/>
      <c r="N214" s="53"/>
      <c r="O214" s="53"/>
      <c r="P214" s="18"/>
      <c r="Q214" s="18"/>
    </row>
    <row r="215" spans="1:17" x14ac:dyDescent="0.2">
      <c r="A215" s="101" t="s">
        <v>62</v>
      </c>
      <c r="B215" s="65">
        <f>SUM(B198:B214)</f>
        <v>21071</v>
      </c>
      <c r="C215" s="41">
        <f>B215/J215</f>
        <v>0.79887018501668183</v>
      </c>
      <c r="D215" s="65">
        <f>SUM(D198:D214)</f>
        <v>3911</v>
      </c>
      <c r="E215" s="41">
        <f>D215/J215</f>
        <v>0.14827873824689111</v>
      </c>
      <c r="F215" s="65">
        <f>SUM(F198:F214)</f>
        <v>1394</v>
      </c>
      <c r="G215" s="41">
        <f>F215/J215</f>
        <v>5.2851076736427055E-2</v>
      </c>
      <c r="H215" s="65">
        <f>SUM(H198:H214)</f>
        <v>5305</v>
      </c>
      <c r="I215" s="41">
        <f>H215/J215</f>
        <v>0.20112981498331817</v>
      </c>
      <c r="J215" s="65">
        <f>SUM(J198:J214)</f>
        <v>26376</v>
      </c>
      <c r="K215" s="53"/>
      <c r="L215" s="53"/>
      <c r="M215" s="53"/>
      <c r="N215" s="53"/>
      <c r="O215" s="53"/>
      <c r="P215" s="18"/>
      <c r="Q215" s="18"/>
    </row>
    <row r="216" spans="1:17" x14ac:dyDescent="0.2">
      <c r="A216" s="18"/>
      <c r="B216" s="18"/>
      <c r="C216" s="18"/>
      <c r="D216" s="18"/>
      <c r="E216" s="18"/>
      <c r="F216" s="18"/>
      <c r="G216" s="18"/>
      <c r="H216" s="18"/>
      <c r="I216" s="18"/>
      <c r="J216" s="18"/>
      <c r="K216" s="18"/>
      <c r="L216" s="53"/>
      <c r="M216" s="53"/>
      <c r="N216" s="53"/>
      <c r="O216" s="53"/>
      <c r="P216" s="18"/>
      <c r="Q216" s="18"/>
    </row>
    <row r="217" spans="1:17" x14ac:dyDescent="0.2">
      <c r="A217" s="18"/>
      <c r="B217" s="18"/>
      <c r="C217" s="18"/>
      <c r="D217" s="18"/>
      <c r="E217" s="18"/>
      <c r="F217" s="18"/>
      <c r="G217" s="18"/>
      <c r="H217" s="18"/>
      <c r="I217" s="18"/>
      <c r="J217" s="18"/>
      <c r="K217" s="18"/>
      <c r="L217" s="53"/>
      <c r="M217" s="53"/>
      <c r="N217" s="53"/>
      <c r="O217" s="53"/>
      <c r="P217" s="18"/>
      <c r="Q217" s="18"/>
    </row>
    <row r="218" spans="1:17" ht="18" x14ac:dyDescent="0.25">
      <c r="A218" s="127" t="s">
        <v>144</v>
      </c>
      <c r="B218" s="53"/>
      <c r="C218" s="53"/>
      <c r="D218" s="53"/>
      <c r="E218" s="53"/>
      <c r="F218" s="53"/>
      <c r="G218" s="53"/>
      <c r="H218" s="53"/>
      <c r="I218" s="53"/>
      <c r="J218" s="53"/>
      <c r="K218" s="53"/>
      <c r="L218" s="53"/>
      <c r="M218" s="53"/>
      <c r="N218" s="53"/>
      <c r="O218" s="53"/>
      <c r="P218" s="18"/>
      <c r="Q218" s="18"/>
    </row>
    <row r="219" spans="1:17" x14ac:dyDescent="0.2">
      <c r="A219" s="18"/>
      <c r="B219" s="18"/>
      <c r="C219" s="18"/>
      <c r="D219" s="18"/>
      <c r="E219" s="18"/>
      <c r="F219" s="18"/>
      <c r="G219" s="18"/>
      <c r="H219" s="18"/>
      <c r="I219" s="18"/>
      <c r="J219" s="18"/>
      <c r="K219" s="18"/>
      <c r="L219" s="53"/>
      <c r="M219" s="53"/>
      <c r="N219" s="53"/>
      <c r="O219" s="53"/>
      <c r="P219" s="18"/>
      <c r="Q219" s="18"/>
    </row>
    <row r="220" spans="1:17" x14ac:dyDescent="0.2">
      <c r="A220" s="52" t="s">
        <v>188</v>
      </c>
      <c r="B220" s="52" t="s">
        <v>3868</v>
      </c>
      <c r="C220" s="53"/>
      <c r="D220" s="53"/>
      <c r="E220" s="53"/>
      <c r="F220" s="53"/>
      <c r="G220" s="53"/>
      <c r="H220" s="53"/>
      <c r="I220" s="53"/>
      <c r="J220" s="53"/>
      <c r="K220" s="53"/>
      <c r="L220" s="53"/>
      <c r="M220" s="53"/>
      <c r="N220" s="53"/>
      <c r="O220" s="53"/>
      <c r="P220" s="18"/>
      <c r="Q220" s="18"/>
    </row>
    <row r="221" spans="1:17" x14ac:dyDescent="0.2">
      <c r="A221" s="207" t="s">
        <v>46</v>
      </c>
      <c r="B221" s="216" t="s">
        <v>842</v>
      </c>
      <c r="C221" s="216"/>
      <c r="D221" s="216" t="s">
        <v>843</v>
      </c>
      <c r="E221" s="216"/>
      <c r="F221" s="216" t="s">
        <v>62</v>
      </c>
      <c r="G221" s="216"/>
      <c r="H221" s="53"/>
      <c r="I221" s="53"/>
      <c r="J221" s="53"/>
      <c r="K221" s="53"/>
      <c r="L221" s="53"/>
      <c r="M221" s="53"/>
      <c r="N221" s="53"/>
      <c r="O221" s="53"/>
      <c r="P221" s="18"/>
      <c r="Q221" s="18"/>
    </row>
    <row r="222" spans="1:17" x14ac:dyDescent="0.2">
      <c r="A222" s="209"/>
      <c r="B222" s="100" t="s">
        <v>139</v>
      </c>
      <c r="C222" s="100" t="s">
        <v>140</v>
      </c>
      <c r="D222" s="100" t="s">
        <v>139</v>
      </c>
      <c r="E222" s="100" t="s">
        <v>140</v>
      </c>
      <c r="F222" s="100" t="s">
        <v>139</v>
      </c>
      <c r="G222" s="100" t="s">
        <v>140</v>
      </c>
      <c r="H222" s="53"/>
      <c r="I222" s="53"/>
      <c r="J222" s="53"/>
      <c r="K222" s="53"/>
      <c r="L222" s="53"/>
      <c r="M222" s="53"/>
      <c r="N222" s="53"/>
      <c r="O222" s="53"/>
      <c r="P222" s="18"/>
      <c r="Q222" s="18"/>
    </row>
    <row r="223" spans="1:17" x14ac:dyDescent="0.2">
      <c r="A223" s="102" t="s">
        <v>1770</v>
      </c>
      <c r="B223" s="25">
        <v>2554</v>
      </c>
      <c r="C223" s="25">
        <v>2533</v>
      </c>
      <c r="D223" s="25">
        <v>366</v>
      </c>
      <c r="E223" s="25">
        <v>147</v>
      </c>
      <c r="F223" s="25">
        <v>2920</v>
      </c>
      <c r="G223" s="25">
        <v>2680</v>
      </c>
      <c r="H223" s="53"/>
      <c r="I223" s="53"/>
      <c r="J223" s="53"/>
      <c r="K223" s="53"/>
      <c r="L223" s="53"/>
      <c r="M223" s="53"/>
      <c r="N223" s="53"/>
      <c r="O223" s="53"/>
      <c r="P223" s="18"/>
      <c r="Q223" s="18"/>
    </row>
    <row r="224" spans="1:17" x14ac:dyDescent="0.2">
      <c r="A224" s="102" t="s">
        <v>1771</v>
      </c>
      <c r="B224" s="25">
        <v>2415</v>
      </c>
      <c r="C224" s="25">
        <v>2362</v>
      </c>
      <c r="D224" s="25">
        <v>484</v>
      </c>
      <c r="E224" s="25">
        <v>235</v>
      </c>
      <c r="F224" s="25">
        <v>2899</v>
      </c>
      <c r="G224" s="25">
        <v>2597</v>
      </c>
      <c r="H224" s="53"/>
      <c r="I224" s="53"/>
      <c r="J224" s="53"/>
      <c r="K224" s="53"/>
      <c r="L224" s="53"/>
      <c r="M224" s="53"/>
      <c r="N224" s="53"/>
      <c r="O224" s="53"/>
      <c r="P224" s="18"/>
      <c r="Q224" s="18"/>
    </row>
    <row r="225" spans="1:17" x14ac:dyDescent="0.2">
      <c r="A225" s="102" t="s">
        <v>1772</v>
      </c>
      <c r="B225" s="25">
        <v>1368</v>
      </c>
      <c r="C225" s="25">
        <v>1294</v>
      </c>
      <c r="D225" s="25">
        <v>495</v>
      </c>
      <c r="E225" s="25">
        <v>282</v>
      </c>
      <c r="F225" s="25">
        <v>1863</v>
      </c>
      <c r="G225" s="25">
        <v>1576</v>
      </c>
      <c r="H225" s="53"/>
      <c r="I225" s="53"/>
      <c r="J225" s="53"/>
      <c r="K225" s="53"/>
      <c r="L225" s="53"/>
      <c r="M225" s="53"/>
      <c r="N225" s="53"/>
      <c r="O225" s="53"/>
      <c r="P225" s="18"/>
      <c r="Q225" s="18"/>
    </row>
    <row r="226" spans="1:17" x14ac:dyDescent="0.2">
      <c r="A226" s="102" t="s">
        <v>1773</v>
      </c>
      <c r="B226" s="25">
        <v>3352</v>
      </c>
      <c r="C226" s="25">
        <v>3291</v>
      </c>
      <c r="D226" s="25">
        <v>516</v>
      </c>
      <c r="E226" s="25">
        <v>284</v>
      </c>
      <c r="F226" s="25">
        <v>3868</v>
      </c>
      <c r="G226" s="25">
        <v>3575</v>
      </c>
      <c r="H226" s="53"/>
      <c r="I226" s="53"/>
      <c r="J226" s="53"/>
      <c r="K226" s="53"/>
      <c r="L226" s="53"/>
      <c r="M226" s="53"/>
      <c r="N226" s="53"/>
      <c r="O226" s="53"/>
      <c r="P226" s="18"/>
      <c r="Q226" s="18"/>
    </row>
    <row r="227" spans="1:17" x14ac:dyDescent="0.2">
      <c r="A227" s="102" t="s">
        <v>1774</v>
      </c>
      <c r="B227" s="25">
        <v>1682</v>
      </c>
      <c r="C227" s="25">
        <v>1591</v>
      </c>
      <c r="D227" s="25">
        <v>497</v>
      </c>
      <c r="E227" s="25">
        <v>294</v>
      </c>
      <c r="F227" s="25">
        <v>2179</v>
      </c>
      <c r="G227" s="25">
        <v>1885</v>
      </c>
      <c r="H227" s="53"/>
      <c r="I227" s="53"/>
      <c r="J227" s="53"/>
      <c r="K227" s="53"/>
      <c r="L227" s="53"/>
      <c r="M227" s="53"/>
      <c r="N227" s="53"/>
      <c r="O227" s="53"/>
      <c r="P227" s="18"/>
      <c r="Q227" s="18"/>
    </row>
    <row r="228" spans="1:17" x14ac:dyDescent="0.2">
      <c r="A228" s="102" t="s">
        <v>1775</v>
      </c>
      <c r="B228" s="25">
        <v>2464</v>
      </c>
      <c r="C228" s="25">
        <v>2423</v>
      </c>
      <c r="D228" s="25">
        <v>497</v>
      </c>
      <c r="E228" s="25">
        <v>229</v>
      </c>
      <c r="F228" s="25">
        <v>2961</v>
      </c>
      <c r="G228" s="25">
        <v>2652</v>
      </c>
      <c r="H228" s="53"/>
      <c r="I228" s="53"/>
      <c r="J228" s="53"/>
      <c r="K228" s="53"/>
      <c r="L228" s="53"/>
      <c r="M228" s="53"/>
      <c r="N228" s="53"/>
      <c r="O228" s="53"/>
      <c r="P228" s="18"/>
      <c r="Q228" s="18"/>
    </row>
    <row r="229" spans="1:17" x14ac:dyDescent="0.2">
      <c r="A229" s="102" t="s">
        <v>1776</v>
      </c>
      <c r="B229" s="25">
        <v>1920</v>
      </c>
      <c r="C229" s="25">
        <v>1798</v>
      </c>
      <c r="D229" s="25">
        <v>520</v>
      </c>
      <c r="E229" s="25">
        <v>239</v>
      </c>
      <c r="F229" s="25">
        <v>2440</v>
      </c>
      <c r="G229" s="25">
        <v>2037</v>
      </c>
      <c r="H229" s="53"/>
      <c r="I229" s="53"/>
      <c r="J229" s="53"/>
      <c r="K229" s="53"/>
      <c r="L229" s="53"/>
      <c r="M229" s="53"/>
      <c r="N229" s="53"/>
      <c r="O229" s="53"/>
      <c r="P229" s="18"/>
      <c r="Q229" s="18"/>
    </row>
    <row r="230" spans="1:17" x14ac:dyDescent="0.2">
      <c r="A230" s="102" t="s">
        <v>1777</v>
      </c>
      <c r="B230" s="25">
        <v>1547</v>
      </c>
      <c r="C230" s="25">
        <v>1486</v>
      </c>
      <c r="D230" s="25">
        <v>423</v>
      </c>
      <c r="E230" s="25">
        <v>219</v>
      </c>
      <c r="F230" s="25">
        <v>1970</v>
      </c>
      <c r="G230" s="25">
        <v>1705</v>
      </c>
      <c r="H230" s="53"/>
      <c r="I230" s="53"/>
      <c r="J230" s="53"/>
      <c r="K230" s="53"/>
      <c r="L230" s="53"/>
      <c r="M230" s="53"/>
      <c r="N230" s="53"/>
      <c r="O230" s="53"/>
      <c r="P230" s="18"/>
      <c r="Q230" s="18"/>
    </row>
    <row r="231" spans="1:17" x14ac:dyDescent="0.2">
      <c r="A231" s="102" t="s">
        <v>130</v>
      </c>
      <c r="B231" s="25">
        <v>1162</v>
      </c>
      <c r="C231" s="25">
        <v>1131</v>
      </c>
      <c r="D231" s="25">
        <v>298</v>
      </c>
      <c r="E231" s="25">
        <v>139</v>
      </c>
      <c r="F231" s="25">
        <v>1460</v>
      </c>
      <c r="G231" s="25">
        <v>1270</v>
      </c>
      <c r="H231" s="53"/>
      <c r="I231" s="53"/>
      <c r="J231" s="53"/>
      <c r="K231" s="53"/>
      <c r="L231" s="53"/>
      <c r="M231" s="53"/>
      <c r="N231" s="53"/>
      <c r="O231" s="53"/>
      <c r="P231" s="18"/>
      <c r="Q231" s="18"/>
    </row>
    <row r="232" spans="1:17" x14ac:dyDescent="0.2">
      <c r="A232" s="102" t="s">
        <v>131</v>
      </c>
      <c r="B232" s="25">
        <v>2807</v>
      </c>
      <c r="C232" s="25">
        <v>2756</v>
      </c>
      <c r="D232" s="25">
        <v>346</v>
      </c>
      <c r="E232" s="25">
        <v>178</v>
      </c>
      <c r="F232" s="25">
        <v>3153</v>
      </c>
      <c r="G232" s="25">
        <v>2934</v>
      </c>
      <c r="H232" s="53"/>
      <c r="I232" s="53"/>
      <c r="J232" s="53"/>
      <c r="K232" s="53"/>
      <c r="L232" s="53"/>
      <c r="M232" s="53"/>
      <c r="N232" s="53"/>
      <c r="O232" s="53"/>
      <c r="P232" s="18"/>
      <c r="Q232" s="18"/>
    </row>
    <row r="233" spans="1:17" x14ac:dyDescent="0.2">
      <c r="A233" s="102" t="s">
        <v>132</v>
      </c>
      <c r="B233" s="25">
        <v>10369</v>
      </c>
      <c r="C233" s="25">
        <v>10302</v>
      </c>
      <c r="D233" s="25">
        <v>352</v>
      </c>
      <c r="E233" s="25">
        <v>196</v>
      </c>
      <c r="F233" s="25">
        <v>10721</v>
      </c>
      <c r="G233" s="25">
        <v>10498</v>
      </c>
      <c r="H233" s="53"/>
      <c r="I233" s="53"/>
      <c r="J233" s="53"/>
      <c r="K233" s="53"/>
      <c r="L233" s="53"/>
      <c r="M233" s="53"/>
      <c r="N233" s="53"/>
      <c r="O233" s="53"/>
      <c r="P233" s="18"/>
      <c r="Q233" s="18"/>
    </row>
    <row r="234" spans="1:17" x14ac:dyDescent="0.2">
      <c r="A234" s="146" t="s">
        <v>404</v>
      </c>
      <c r="B234" s="25">
        <v>5033</v>
      </c>
      <c r="C234" s="25">
        <v>4632</v>
      </c>
      <c r="D234" s="25">
        <v>275</v>
      </c>
      <c r="E234" s="25">
        <v>143</v>
      </c>
      <c r="F234" s="25">
        <v>5308</v>
      </c>
      <c r="G234" s="25">
        <v>4775</v>
      </c>
      <c r="H234" s="53"/>
      <c r="I234" s="53"/>
      <c r="J234" s="53"/>
      <c r="K234" s="53"/>
      <c r="L234" s="53"/>
      <c r="M234" s="53"/>
      <c r="N234" s="53"/>
      <c r="O234" s="53"/>
      <c r="P234" s="18"/>
      <c r="Q234" s="18"/>
    </row>
    <row r="235" spans="1:17" x14ac:dyDescent="0.2">
      <c r="A235" s="146" t="s">
        <v>45</v>
      </c>
      <c r="B235" s="25">
        <v>1690</v>
      </c>
      <c r="C235" s="25">
        <v>1590</v>
      </c>
      <c r="D235" s="25">
        <v>576</v>
      </c>
      <c r="E235" s="25">
        <v>416</v>
      </c>
      <c r="F235" s="25">
        <v>2266</v>
      </c>
      <c r="G235" s="25">
        <v>2006</v>
      </c>
      <c r="H235" s="53"/>
      <c r="I235" s="53"/>
      <c r="J235" s="53"/>
      <c r="K235" s="53"/>
      <c r="L235" s="53"/>
      <c r="M235" s="53"/>
      <c r="N235" s="53"/>
      <c r="O235" s="53"/>
      <c r="P235" s="18"/>
      <c r="Q235" s="18"/>
    </row>
    <row r="236" spans="1:17" x14ac:dyDescent="0.2">
      <c r="A236" s="144" t="s">
        <v>44</v>
      </c>
      <c r="B236" s="37">
        <v>4598</v>
      </c>
      <c r="C236" s="37">
        <v>4512</v>
      </c>
      <c r="D236" s="37">
        <v>493</v>
      </c>
      <c r="E236" s="37">
        <v>460</v>
      </c>
      <c r="F236" s="37">
        <v>5091</v>
      </c>
      <c r="G236" s="37">
        <v>4972</v>
      </c>
      <c r="H236" s="53"/>
      <c r="I236" s="53"/>
      <c r="J236" s="53"/>
      <c r="K236" s="53"/>
      <c r="L236" s="53"/>
      <c r="M236" s="53"/>
      <c r="N236" s="53"/>
      <c r="O236" s="53"/>
      <c r="P236" s="18"/>
      <c r="Q236" s="18"/>
    </row>
    <row r="237" spans="1:17" x14ac:dyDescent="0.2">
      <c r="A237" s="144" t="s">
        <v>0</v>
      </c>
      <c r="B237" s="37">
        <v>3250</v>
      </c>
      <c r="C237" s="37">
        <v>3107</v>
      </c>
      <c r="D237" s="37">
        <v>308</v>
      </c>
      <c r="E237" s="37">
        <v>232</v>
      </c>
      <c r="F237" s="37">
        <v>3558</v>
      </c>
      <c r="G237" s="37">
        <v>3339</v>
      </c>
      <c r="H237" s="53"/>
      <c r="I237" s="53"/>
      <c r="J237" s="53"/>
      <c r="K237" s="53"/>
      <c r="L237" s="53"/>
      <c r="M237" s="53"/>
      <c r="N237" s="53"/>
      <c r="O237" s="53"/>
      <c r="P237" s="18"/>
      <c r="Q237" s="18"/>
    </row>
    <row r="238" spans="1:17" x14ac:dyDescent="0.2">
      <c r="A238" s="144" t="s">
        <v>1</v>
      </c>
      <c r="B238" s="37">
        <v>3068</v>
      </c>
      <c r="C238" s="37">
        <v>2785</v>
      </c>
      <c r="D238" s="37">
        <v>414</v>
      </c>
      <c r="E238" s="37">
        <v>343</v>
      </c>
      <c r="F238" s="37">
        <v>3482</v>
      </c>
      <c r="G238" s="37">
        <v>3128</v>
      </c>
      <c r="H238" s="53"/>
      <c r="I238" s="53"/>
      <c r="J238" s="53"/>
      <c r="K238" s="53"/>
      <c r="L238" s="53"/>
      <c r="M238" s="53"/>
      <c r="N238" s="53"/>
      <c r="O238" s="53"/>
      <c r="P238" s="18"/>
      <c r="Q238" s="18"/>
    </row>
    <row r="239" spans="1:17" x14ac:dyDescent="0.2">
      <c r="A239" s="148" t="s">
        <v>2</v>
      </c>
      <c r="B239" s="39">
        <f>GETPIVOTDATA("Sum of Phase Proposed Units",'11 NB'!$A$6)</f>
        <v>5485</v>
      </c>
      <c r="C239" s="39">
        <f>GETPIVOTDATA("Sum of Phase Net Units",'11 NB'!$A$6)</f>
        <v>5457</v>
      </c>
      <c r="D239" s="39">
        <f>GETPIVOTDATA("Sum of Phase Proposed Units",'11 CON'!$A$6)</f>
        <v>804</v>
      </c>
      <c r="E239" s="39">
        <f>GETPIVOTDATA("Sum of Phase Net Units",'11 CON'!$A$6)</f>
        <v>626</v>
      </c>
      <c r="F239" s="39">
        <f>B239+D239</f>
        <v>6289</v>
      </c>
      <c r="G239" s="39">
        <f>C239+E239</f>
        <v>6083</v>
      </c>
      <c r="H239" s="53"/>
      <c r="I239" s="53"/>
      <c r="J239" s="53"/>
      <c r="K239" s="53"/>
      <c r="L239" s="53"/>
      <c r="M239" s="53"/>
      <c r="N239" s="53"/>
      <c r="O239" s="53"/>
      <c r="P239" s="18"/>
      <c r="Q239" s="18"/>
    </row>
    <row r="240" spans="1:17" x14ac:dyDescent="0.2">
      <c r="A240" s="101" t="s">
        <v>62</v>
      </c>
      <c r="B240" s="65">
        <f>SUM(B223:B239)</f>
        <v>54764</v>
      </c>
      <c r="C240" s="65">
        <f t="shared" ref="C240:G240" si="19">SUM(C223:C239)</f>
        <v>53050</v>
      </c>
      <c r="D240" s="65">
        <f t="shared" si="19"/>
        <v>7664</v>
      </c>
      <c r="E240" s="65">
        <f t="shared" si="19"/>
        <v>4662</v>
      </c>
      <c r="F240" s="65">
        <f t="shared" si="19"/>
        <v>62428</v>
      </c>
      <c r="G240" s="65">
        <f t="shared" si="19"/>
        <v>57712</v>
      </c>
      <c r="H240" s="53"/>
      <c r="I240" s="53"/>
      <c r="J240" s="53"/>
      <c r="K240" s="53"/>
      <c r="L240" s="53"/>
      <c r="M240" s="53"/>
      <c r="N240" s="53"/>
      <c r="O240" s="53"/>
      <c r="P240" s="18"/>
      <c r="Q240" s="18"/>
    </row>
    <row r="241" spans="1:17" x14ac:dyDescent="0.2">
      <c r="A241" s="53"/>
      <c r="B241" s="53"/>
      <c r="C241" s="53"/>
      <c r="D241" s="53"/>
      <c r="E241" s="53"/>
      <c r="F241" s="53"/>
      <c r="G241" s="53"/>
      <c r="H241" s="53"/>
      <c r="I241" s="53"/>
      <c r="J241" s="53"/>
      <c r="K241" s="53"/>
      <c r="L241" s="53"/>
      <c r="M241" s="53"/>
      <c r="N241" s="53"/>
      <c r="O241" s="53"/>
      <c r="P241" s="18"/>
      <c r="Q241" s="18"/>
    </row>
    <row r="242" spans="1:17" x14ac:dyDescent="0.2">
      <c r="A242" s="53"/>
      <c r="B242" s="53"/>
      <c r="C242" s="53"/>
      <c r="D242" s="53"/>
      <c r="E242" s="53"/>
      <c r="F242" s="53"/>
      <c r="G242" s="53"/>
      <c r="H242" s="53"/>
      <c r="I242" s="53"/>
      <c r="J242" s="53"/>
      <c r="K242" s="53"/>
      <c r="L242" s="53"/>
      <c r="M242" s="53"/>
      <c r="N242" s="53"/>
      <c r="O242" s="53"/>
      <c r="P242" s="18"/>
      <c r="Q242" s="18"/>
    </row>
    <row r="243" spans="1:17" ht="18" x14ac:dyDescent="0.25">
      <c r="A243" s="127" t="s">
        <v>199</v>
      </c>
      <c r="B243" s="53"/>
      <c r="C243" s="53"/>
      <c r="D243" s="53"/>
      <c r="E243" s="53"/>
      <c r="F243" s="53"/>
      <c r="G243" s="53"/>
      <c r="H243" s="53"/>
      <c r="I243" s="53"/>
      <c r="J243" s="53"/>
      <c r="K243" s="53"/>
      <c r="L243" s="53"/>
      <c r="M243" s="53"/>
      <c r="N243" s="53"/>
      <c r="O243" s="53"/>
      <c r="P243" s="18"/>
      <c r="Q243" s="18"/>
    </row>
    <row r="244" spans="1:17" x14ac:dyDescent="0.2">
      <c r="A244" s="131"/>
      <c r="B244" s="53"/>
      <c r="C244" s="53"/>
      <c r="D244" s="53"/>
      <c r="E244" s="53"/>
      <c r="F244" s="53"/>
      <c r="G244" s="53"/>
      <c r="H244" s="53"/>
      <c r="I244" s="53"/>
      <c r="J244" s="53"/>
      <c r="K244" s="53"/>
      <c r="L244" s="53"/>
      <c r="M244" s="53"/>
      <c r="N244" s="53"/>
      <c r="O244" s="53"/>
      <c r="P244" s="18"/>
      <c r="Q244" s="18"/>
    </row>
    <row r="245" spans="1:17" ht="15" x14ac:dyDescent="0.25">
      <c r="A245" s="128" t="s">
        <v>414</v>
      </c>
      <c r="B245" s="53"/>
      <c r="C245" s="53"/>
      <c r="D245" s="53"/>
      <c r="E245" s="53"/>
      <c r="F245" s="53"/>
      <c r="G245" s="53"/>
      <c r="H245" s="53"/>
      <c r="I245" s="53"/>
      <c r="J245" s="53"/>
      <c r="K245" s="53"/>
      <c r="L245" s="53"/>
      <c r="M245" s="53"/>
      <c r="N245" s="53"/>
      <c r="O245" s="53"/>
      <c r="P245" s="18"/>
      <c r="Q245" s="18"/>
    </row>
    <row r="246" spans="1:17" x14ac:dyDescent="0.2">
      <c r="A246" s="52" t="s">
        <v>206</v>
      </c>
      <c r="B246" s="52" t="s">
        <v>3869</v>
      </c>
      <c r="C246" s="53"/>
      <c r="D246" s="53"/>
      <c r="E246" s="53"/>
      <c r="F246" s="53"/>
      <c r="G246" s="53"/>
      <c r="H246" s="53"/>
      <c r="I246" s="53"/>
      <c r="J246" s="53"/>
      <c r="K246" s="53"/>
      <c r="L246" s="53"/>
      <c r="M246" s="53"/>
      <c r="N246" s="53"/>
      <c r="O246" s="53"/>
      <c r="P246" s="18"/>
      <c r="Q246" s="18"/>
    </row>
    <row r="247" spans="1:17" x14ac:dyDescent="0.2">
      <c r="A247" s="244" t="s">
        <v>243</v>
      </c>
      <c r="B247" s="244"/>
      <c r="C247" s="100" t="s">
        <v>1776</v>
      </c>
      <c r="D247" s="100" t="s">
        <v>1777</v>
      </c>
      <c r="E247" s="100" t="s">
        <v>130</v>
      </c>
      <c r="F247" s="100" t="s">
        <v>131</v>
      </c>
      <c r="G247" s="100" t="s">
        <v>132</v>
      </c>
      <c r="H247" s="100" t="s">
        <v>404</v>
      </c>
      <c r="I247" s="100" t="s">
        <v>45</v>
      </c>
      <c r="J247" s="100" t="s">
        <v>44</v>
      </c>
      <c r="K247" s="100" t="s">
        <v>0</v>
      </c>
      <c r="L247" s="100" t="s">
        <v>1</v>
      </c>
      <c r="M247" s="100" t="s">
        <v>2</v>
      </c>
      <c r="N247" s="100" t="s">
        <v>62</v>
      </c>
      <c r="O247" s="53"/>
      <c r="P247" s="53"/>
      <c r="Q247" s="18"/>
    </row>
    <row r="248" spans="1:17" x14ac:dyDescent="0.2">
      <c r="A248" s="258" t="s">
        <v>247</v>
      </c>
      <c r="B248" s="258"/>
      <c r="C248" s="25">
        <v>15</v>
      </c>
      <c r="D248" s="25">
        <v>8</v>
      </c>
      <c r="E248" s="25">
        <v>0</v>
      </c>
      <c r="F248" s="25">
        <v>0</v>
      </c>
      <c r="G248" s="25">
        <v>2</v>
      </c>
      <c r="H248" s="25">
        <v>5</v>
      </c>
      <c r="I248" s="25">
        <v>10</v>
      </c>
      <c r="J248" s="37">
        <v>11</v>
      </c>
      <c r="K248" s="37">
        <v>8</v>
      </c>
      <c r="L248" s="37">
        <v>4</v>
      </c>
      <c r="M248" s="37">
        <f>GETPIVOTDATA("Phase Net Units",'12'!$A$3,"Town Centre","Balham")</f>
        <v>5</v>
      </c>
      <c r="N248" s="39">
        <f>SUM(C248:M248)</f>
        <v>68</v>
      </c>
      <c r="O248" s="53"/>
      <c r="P248" s="53"/>
      <c r="Q248" s="18"/>
    </row>
    <row r="249" spans="1:17" x14ac:dyDescent="0.2">
      <c r="A249" s="258" t="s">
        <v>160</v>
      </c>
      <c r="B249" s="258"/>
      <c r="C249" s="25">
        <v>14</v>
      </c>
      <c r="D249" s="25">
        <v>4</v>
      </c>
      <c r="E249" s="25">
        <v>7</v>
      </c>
      <c r="F249" s="25">
        <v>73</v>
      </c>
      <c r="G249" s="25">
        <v>4</v>
      </c>
      <c r="H249" s="25">
        <v>1</v>
      </c>
      <c r="I249" s="25">
        <v>11</v>
      </c>
      <c r="J249" s="37">
        <v>12</v>
      </c>
      <c r="K249" s="37">
        <v>16</v>
      </c>
      <c r="L249" s="37">
        <v>90</v>
      </c>
      <c r="M249" s="37">
        <f>GETPIVOTDATA("Phase Net Units",'12'!$A$3,"Town Centre","Clapham Junction")</f>
        <v>9</v>
      </c>
      <c r="N249" s="39">
        <f t="shared" ref="N249:N252" si="20">SUM(C249:M249)</f>
        <v>241</v>
      </c>
      <c r="O249" s="53"/>
      <c r="P249" s="53"/>
      <c r="Q249" s="18"/>
    </row>
    <row r="250" spans="1:17" x14ac:dyDescent="0.2">
      <c r="A250" s="258" t="s">
        <v>161</v>
      </c>
      <c r="B250" s="258"/>
      <c r="C250" s="25">
        <v>17</v>
      </c>
      <c r="D250" s="25">
        <v>3</v>
      </c>
      <c r="E250" s="25">
        <v>14</v>
      </c>
      <c r="F250" s="25">
        <v>18</v>
      </c>
      <c r="G250" s="25">
        <v>9</v>
      </c>
      <c r="H250" s="25">
        <v>20</v>
      </c>
      <c r="I250" s="25">
        <v>56</v>
      </c>
      <c r="J250" s="37">
        <v>21</v>
      </c>
      <c r="K250" s="37">
        <v>13</v>
      </c>
      <c r="L250" s="37">
        <v>340</v>
      </c>
      <c r="M250" s="37">
        <f>GETPIVOTDATA("Phase Net Units",'12'!$A$3,"Town Centre","Putney")</f>
        <v>11</v>
      </c>
      <c r="N250" s="39">
        <f t="shared" si="20"/>
        <v>522</v>
      </c>
      <c r="O250" s="53"/>
      <c r="P250" s="53"/>
      <c r="Q250" s="18"/>
    </row>
    <row r="251" spans="1:17" x14ac:dyDescent="0.2">
      <c r="A251" s="258" t="s">
        <v>242</v>
      </c>
      <c r="B251" s="258"/>
      <c r="C251" s="25">
        <v>9</v>
      </c>
      <c r="D251" s="25">
        <v>18</v>
      </c>
      <c r="E251" s="25">
        <v>24</v>
      </c>
      <c r="F251" s="25">
        <v>3</v>
      </c>
      <c r="G251" s="25">
        <v>2</v>
      </c>
      <c r="H251" s="25">
        <v>8</v>
      </c>
      <c r="I251" s="25">
        <v>4</v>
      </c>
      <c r="J251" s="37">
        <v>27</v>
      </c>
      <c r="K251" s="37">
        <v>19</v>
      </c>
      <c r="L251" s="37">
        <v>30</v>
      </c>
      <c r="M251" s="37">
        <f>GETPIVOTDATA("Phase Net Units",'12'!$A$3,"Town Centre","Tooting")</f>
        <v>34</v>
      </c>
      <c r="N251" s="39">
        <f t="shared" si="20"/>
        <v>178</v>
      </c>
      <c r="O251" s="53"/>
      <c r="P251" s="53"/>
      <c r="Q251" s="18"/>
    </row>
    <row r="252" spans="1:17" x14ac:dyDescent="0.2">
      <c r="A252" s="258" t="s">
        <v>202</v>
      </c>
      <c r="B252" s="258"/>
      <c r="C252" s="25">
        <v>0</v>
      </c>
      <c r="D252" s="25">
        <v>318</v>
      </c>
      <c r="E252" s="25">
        <v>12</v>
      </c>
      <c r="F252" s="25">
        <v>1</v>
      </c>
      <c r="G252" s="25">
        <v>3</v>
      </c>
      <c r="H252" s="25">
        <v>4</v>
      </c>
      <c r="I252" s="25">
        <v>240</v>
      </c>
      <c r="J252" s="37">
        <v>2</v>
      </c>
      <c r="K252" s="37">
        <v>42</v>
      </c>
      <c r="L252" s="37">
        <v>18</v>
      </c>
      <c r="M252" s="37">
        <f>GETPIVOTDATA("Phase Net Units",'12'!$A$3,"Town Centre","Wandsworth")</f>
        <v>314</v>
      </c>
      <c r="N252" s="39">
        <f t="shared" si="20"/>
        <v>954</v>
      </c>
      <c r="O252" s="53"/>
      <c r="P252" s="53"/>
      <c r="Q252" s="18"/>
    </row>
    <row r="253" spans="1:17" x14ac:dyDescent="0.2">
      <c r="A253" s="251" t="s">
        <v>62</v>
      </c>
      <c r="B253" s="251"/>
      <c r="C253" s="65">
        <f>SUM(C248:C252)</f>
        <v>55</v>
      </c>
      <c r="D253" s="65">
        <f t="shared" ref="D253:K253" si="21">SUM(D248:D252)</f>
        <v>351</v>
      </c>
      <c r="E253" s="65">
        <f t="shared" si="21"/>
        <v>57</v>
      </c>
      <c r="F253" s="65">
        <f t="shared" si="21"/>
        <v>95</v>
      </c>
      <c r="G253" s="65">
        <f t="shared" si="21"/>
        <v>20</v>
      </c>
      <c r="H253" s="65">
        <f t="shared" si="21"/>
        <v>38</v>
      </c>
      <c r="I253" s="65">
        <f t="shared" si="21"/>
        <v>321</v>
      </c>
      <c r="J253" s="65">
        <f t="shared" si="21"/>
        <v>73</v>
      </c>
      <c r="K253" s="65">
        <f t="shared" si="21"/>
        <v>98</v>
      </c>
      <c r="L253" s="65">
        <f t="shared" ref="L253:M253" si="22">SUM(L248:L252)</f>
        <v>482</v>
      </c>
      <c r="M253" s="65">
        <f t="shared" si="22"/>
        <v>373</v>
      </c>
      <c r="N253" s="65">
        <f>SUM(C253:M253)</f>
        <v>1963</v>
      </c>
      <c r="O253" s="53"/>
      <c r="P253" s="53"/>
      <c r="Q253" s="18"/>
    </row>
    <row r="254" spans="1:17" x14ac:dyDescent="0.2">
      <c r="A254" s="53"/>
      <c r="B254" s="53"/>
      <c r="C254" s="53"/>
      <c r="D254" s="53"/>
      <c r="E254" s="53"/>
      <c r="F254" s="53"/>
      <c r="G254" s="53"/>
      <c r="H254" s="53"/>
      <c r="I254" s="2"/>
      <c r="J254" s="53"/>
      <c r="K254" s="53"/>
      <c r="L254" s="53"/>
      <c r="M254" s="53"/>
      <c r="N254" s="53"/>
      <c r="O254" s="53"/>
      <c r="P254" s="18"/>
      <c r="Q254" s="18"/>
    </row>
    <row r="255" spans="1:17" ht="15" x14ac:dyDescent="0.25">
      <c r="A255" s="128" t="s">
        <v>415</v>
      </c>
      <c r="B255" s="53"/>
      <c r="C255" s="53"/>
      <c r="D255" s="53"/>
      <c r="E255" s="53"/>
      <c r="F255" s="53"/>
      <c r="G255" s="53"/>
      <c r="H255" s="53"/>
      <c r="I255" s="53"/>
      <c r="J255" s="53"/>
      <c r="K255" s="53"/>
      <c r="L255" s="53"/>
      <c r="M255" s="53"/>
      <c r="N255" s="53"/>
      <c r="O255" s="53"/>
      <c r="P255" s="18"/>
      <c r="Q255" s="18"/>
    </row>
    <row r="256" spans="1:17" x14ac:dyDescent="0.2">
      <c r="A256" s="52" t="s">
        <v>207</v>
      </c>
      <c r="B256" s="52" t="s">
        <v>3870</v>
      </c>
      <c r="C256" s="53"/>
      <c r="D256" s="53"/>
      <c r="E256" s="53"/>
      <c r="F256" s="53"/>
      <c r="G256" s="53"/>
      <c r="H256" s="53"/>
      <c r="I256" s="53"/>
      <c r="J256" s="53"/>
      <c r="K256" s="53"/>
      <c r="L256" s="53"/>
      <c r="M256" s="53"/>
      <c r="N256" s="53"/>
      <c r="O256" s="53"/>
      <c r="P256" s="18"/>
      <c r="Q256" s="18"/>
    </row>
    <row r="257" spans="1:17" x14ac:dyDescent="0.2">
      <c r="A257" s="252" t="s">
        <v>61</v>
      </c>
      <c r="B257" s="253"/>
      <c r="C257" s="254"/>
      <c r="D257" s="100" t="s">
        <v>1776</v>
      </c>
      <c r="E257" s="100" t="s">
        <v>1777</v>
      </c>
      <c r="F257" s="100" t="s">
        <v>130</v>
      </c>
      <c r="G257" s="100" t="s">
        <v>131</v>
      </c>
      <c r="H257" s="100" t="s">
        <v>132</v>
      </c>
      <c r="I257" s="100" t="s">
        <v>404</v>
      </c>
      <c r="J257" s="100" t="s">
        <v>45</v>
      </c>
      <c r="K257" s="100" t="s">
        <v>44</v>
      </c>
      <c r="L257" s="100" t="s">
        <v>0</v>
      </c>
      <c r="M257" s="100" t="s">
        <v>1</v>
      </c>
      <c r="N257" s="100" t="s">
        <v>2</v>
      </c>
      <c r="O257" s="100" t="s">
        <v>62</v>
      </c>
      <c r="P257" s="18"/>
      <c r="Q257" s="18"/>
    </row>
    <row r="258" spans="1:17" x14ac:dyDescent="0.2">
      <c r="A258" s="269" t="s">
        <v>241</v>
      </c>
      <c r="B258" s="270"/>
      <c r="C258" s="271"/>
      <c r="D258" s="25">
        <v>25</v>
      </c>
      <c r="E258" s="25">
        <v>111</v>
      </c>
      <c r="F258" s="25">
        <v>119</v>
      </c>
      <c r="G258" s="25">
        <v>9</v>
      </c>
      <c r="H258" s="25">
        <v>27</v>
      </c>
      <c r="I258" s="25">
        <v>15</v>
      </c>
      <c r="J258" s="25">
        <v>63</v>
      </c>
      <c r="K258" s="37">
        <v>9</v>
      </c>
      <c r="L258" s="37">
        <v>151</v>
      </c>
      <c r="M258" s="37">
        <v>72</v>
      </c>
      <c r="N258" s="37">
        <f>GETPIVOTDATA("Phase Net Units",'13'!$A$3,"Ward","Latchmere")</f>
        <v>37</v>
      </c>
      <c r="O258" s="39">
        <f>SUM(D258:N258)</f>
        <v>638</v>
      </c>
      <c r="P258" s="18"/>
      <c r="Q258" s="18"/>
    </row>
    <row r="259" spans="1:17" x14ac:dyDescent="0.2">
      <c r="A259" s="269" t="s">
        <v>240</v>
      </c>
      <c r="B259" s="270"/>
      <c r="C259" s="271"/>
      <c r="D259" s="25">
        <v>36</v>
      </c>
      <c r="E259" s="25">
        <v>527</v>
      </c>
      <c r="F259" s="25">
        <v>235</v>
      </c>
      <c r="G259" s="25">
        <v>19</v>
      </c>
      <c r="H259" s="25">
        <v>71</v>
      </c>
      <c r="I259" s="25">
        <v>52</v>
      </c>
      <c r="J259" s="25">
        <v>25</v>
      </c>
      <c r="K259" s="37">
        <v>15</v>
      </c>
      <c r="L259" s="37">
        <v>1061</v>
      </c>
      <c r="M259" s="37">
        <v>786</v>
      </c>
      <c r="N259" s="37">
        <f>GETPIVOTDATA("Phase Net Units",'13'!$A$3,"Ward","Queenstown")</f>
        <v>1337</v>
      </c>
      <c r="O259" s="39">
        <f t="shared" ref="O259:O262" si="23">SUM(D259:N259)</f>
        <v>4164</v>
      </c>
      <c r="P259" s="53"/>
      <c r="Q259" s="18"/>
    </row>
    <row r="260" spans="1:17" x14ac:dyDescent="0.2">
      <c r="A260" s="222" t="s">
        <v>877</v>
      </c>
      <c r="B260" s="223"/>
      <c r="C260" s="261"/>
      <c r="D260" s="25">
        <v>9</v>
      </c>
      <c r="E260" s="25">
        <v>49</v>
      </c>
      <c r="F260" s="25">
        <v>15</v>
      </c>
      <c r="G260" s="25">
        <v>3</v>
      </c>
      <c r="H260" s="25">
        <v>0</v>
      </c>
      <c r="I260" s="25">
        <v>0</v>
      </c>
      <c r="J260" s="25">
        <v>11</v>
      </c>
      <c r="K260" s="37">
        <v>1</v>
      </c>
      <c r="L260" s="37">
        <v>40</v>
      </c>
      <c r="M260" s="37">
        <v>27</v>
      </c>
      <c r="N260" s="37">
        <f>GETPIVOTDATA("Phase Net Units",'13'!$A$3,"Ward","Roehampton and Putney Heath")</f>
        <v>5</v>
      </c>
      <c r="O260" s="39">
        <f t="shared" si="23"/>
        <v>160</v>
      </c>
      <c r="P260" s="53"/>
      <c r="Q260" s="18"/>
    </row>
    <row r="261" spans="1:17" x14ac:dyDescent="0.2">
      <c r="A261" s="269" t="s">
        <v>242</v>
      </c>
      <c r="B261" s="270"/>
      <c r="C261" s="271"/>
      <c r="D261" s="25">
        <v>8</v>
      </c>
      <c r="E261" s="25">
        <v>13</v>
      </c>
      <c r="F261" s="25">
        <v>30</v>
      </c>
      <c r="G261" s="25">
        <v>78</v>
      </c>
      <c r="H261" s="25">
        <v>34</v>
      </c>
      <c r="I261" s="25">
        <v>71</v>
      </c>
      <c r="J261" s="25">
        <v>75</v>
      </c>
      <c r="K261" s="37">
        <v>184</v>
      </c>
      <c r="L261" s="37">
        <v>141</v>
      </c>
      <c r="M261" s="37">
        <v>22</v>
      </c>
      <c r="N261" s="37">
        <f>GETPIVOTDATA("Phase Net Units",'13'!$A$3,"Ward","Tooting")</f>
        <v>38</v>
      </c>
      <c r="O261" s="39">
        <f t="shared" si="23"/>
        <v>694</v>
      </c>
      <c r="P261" s="53"/>
      <c r="Q261" s="18"/>
    </row>
    <row r="262" spans="1:17" x14ac:dyDescent="0.2">
      <c r="A262" s="269" t="s">
        <v>204</v>
      </c>
      <c r="B262" s="270"/>
      <c r="C262" s="271"/>
      <c r="D262" s="25">
        <v>953</v>
      </c>
      <c r="E262" s="25">
        <v>860</v>
      </c>
      <c r="F262" s="25">
        <v>1140</v>
      </c>
      <c r="G262" s="25">
        <v>372</v>
      </c>
      <c r="H262" s="25">
        <v>847</v>
      </c>
      <c r="I262" s="25">
        <v>636</v>
      </c>
      <c r="J262" s="25">
        <v>1023</v>
      </c>
      <c r="K262" s="37">
        <v>727</v>
      </c>
      <c r="L262" s="37">
        <v>1383</v>
      </c>
      <c r="M262" s="37">
        <v>1438</v>
      </c>
      <c r="N262" s="37">
        <f>GETPIVOTDATA("Phase Net Units",'13'!$A$3)-N261-N260-N259-N258</f>
        <v>619</v>
      </c>
      <c r="O262" s="39">
        <f t="shared" si="23"/>
        <v>9998</v>
      </c>
      <c r="P262" s="53"/>
      <c r="Q262" s="18"/>
    </row>
    <row r="263" spans="1:17" x14ac:dyDescent="0.2">
      <c r="A263" s="275" t="s">
        <v>62</v>
      </c>
      <c r="B263" s="276"/>
      <c r="C263" s="277"/>
      <c r="D263" s="65">
        <f t="shared" ref="D263:I263" si="24">SUM(D258:D262)</f>
        <v>1031</v>
      </c>
      <c r="E263" s="65">
        <f t="shared" si="24"/>
        <v>1560</v>
      </c>
      <c r="F263" s="65">
        <f t="shared" si="24"/>
        <v>1539</v>
      </c>
      <c r="G263" s="65">
        <f t="shared" si="24"/>
        <v>481</v>
      </c>
      <c r="H263" s="65">
        <f t="shared" si="24"/>
        <v>979</v>
      </c>
      <c r="I263" s="65">
        <f t="shared" si="24"/>
        <v>774</v>
      </c>
      <c r="J263" s="65">
        <f>SUM(J258:J262)</f>
        <v>1197</v>
      </c>
      <c r="K263" s="65">
        <v>936</v>
      </c>
      <c r="L263" s="65">
        <f>SUM(L258:L262)</f>
        <v>2776</v>
      </c>
      <c r="M263" s="65">
        <f>SUM(M258:M262)</f>
        <v>2345</v>
      </c>
      <c r="N263" s="65">
        <f>SUM(N258:N262)</f>
        <v>2036</v>
      </c>
      <c r="O263" s="65">
        <f>SUM(D263:N263)</f>
        <v>15654</v>
      </c>
      <c r="P263" s="53"/>
      <c r="Q263" s="18"/>
    </row>
    <row r="264" spans="1:17" x14ac:dyDescent="0.2">
      <c r="A264" s="18"/>
      <c r="B264" s="18"/>
      <c r="C264" s="18"/>
      <c r="D264" s="18"/>
      <c r="E264" s="18"/>
      <c r="F264" s="18"/>
      <c r="G264" s="18"/>
      <c r="H264" s="18"/>
      <c r="I264" s="18"/>
      <c r="J264" s="18"/>
      <c r="K264" s="18"/>
      <c r="L264" s="53"/>
      <c r="M264" s="53"/>
      <c r="N264" s="53"/>
      <c r="O264" s="53"/>
      <c r="P264" s="18"/>
      <c r="Q264" s="18"/>
    </row>
    <row r="265" spans="1:17" ht="15" x14ac:dyDescent="0.25">
      <c r="A265" s="128" t="s">
        <v>416</v>
      </c>
      <c r="B265" s="18"/>
      <c r="C265" s="18"/>
      <c r="D265" s="18"/>
      <c r="E265" s="18"/>
      <c r="F265" s="18"/>
      <c r="G265" s="18"/>
      <c r="H265" s="18"/>
      <c r="I265" s="18"/>
      <c r="J265" s="18"/>
      <c r="K265" s="53"/>
      <c r="L265" s="53"/>
      <c r="M265" s="53"/>
      <c r="N265" s="53"/>
      <c r="O265" s="53"/>
      <c r="P265" s="18"/>
      <c r="Q265" s="18"/>
    </row>
    <row r="266" spans="1:17" x14ac:dyDescent="0.2">
      <c r="A266" s="52" t="s">
        <v>208</v>
      </c>
      <c r="B266" s="52" t="s">
        <v>1767</v>
      </c>
      <c r="C266" s="53"/>
      <c r="D266" s="53"/>
      <c r="E266" s="53"/>
      <c r="F266" s="53"/>
      <c r="G266" s="53"/>
      <c r="H266" s="53"/>
      <c r="I266" s="53"/>
      <c r="J266" s="53"/>
      <c r="K266" s="53"/>
      <c r="L266" s="53"/>
      <c r="M266" s="53"/>
      <c r="N266" s="53"/>
      <c r="O266" s="53"/>
      <c r="P266" s="18"/>
      <c r="Q266" s="18"/>
    </row>
    <row r="267" spans="1:17" x14ac:dyDescent="0.2">
      <c r="A267" s="255" t="s">
        <v>166</v>
      </c>
      <c r="B267" s="256"/>
      <c r="C267" s="256"/>
      <c r="D267" s="256"/>
      <c r="E267" s="256"/>
      <c r="F267" s="256"/>
      <c r="G267" s="256"/>
      <c r="H267" s="257"/>
      <c r="I267" s="100" t="s">
        <v>45</v>
      </c>
      <c r="J267" s="100" t="s">
        <v>44</v>
      </c>
      <c r="K267" s="100" t="s">
        <v>0</v>
      </c>
      <c r="L267" s="100" t="s">
        <v>1</v>
      </c>
      <c r="M267" s="100" t="s">
        <v>2</v>
      </c>
      <c r="N267" s="100" t="s">
        <v>62</v>
      </c>
      <c r="O267" s="91"/>
      <c r="P267" s="91"/>
      <c r="Q267" s="18"/>
    </row>
    <row r="268" spans="1:17" x14ac:dyDescent="0.2">
      <c r="A268" s="269" t="s">
        <v>244</v>
      </c>
      <c r="B268" s="270"/>
      <c r="C268" s="270"/>
      <c r="D268" s="270"/>
      <c r="E268" s="270"/>
      <c r="F268" s="270"/>
      <c r="G268" s="270"/>
      <c r="H268" s="271"/>
      <c r="I268" s="25">
        <v>544</v>
      </c>
      <c r="J268" s="25">
        <v>183</v>
      </c>
      <c r="K268" s="25">
        <v>485</v>
      </c>
      <c r="L268" s="25">
        <v>107</v>
      </c>
      <c r="M268" s="25">
        <f>GETPIVOTDATA("Phase Net Units",'14 Cent'!$A$4)</f>
        <v>317</v>
      </c>
      <c r="N268" s="39">
        <f>SUM(I268:M268)</f>
        <v>1636</v>
      </c>
      <c r="O268" s="91"/>
      <c r="P268" s="91"/>
      <c r="Q268" s="18"/>
    </row>
    <row r="269" spans="1:17" x14ac:dyDescent="0.2">
      <c r="A269" s="222" t="s">
        <v>1898</v>
      </c>
      <c r="B269" s="223"/>
      <c r="C269" s="223"/>
      <c r="D269" s="223"/>
      <c r="E269" s="223"/>
      <c r="F269" s="223"/>
      <c r="G269" s="223"/>
      <c r="H269" s="261"/>
      <c r="I269" s="25">
        <v>6</v>
      </c>
      <c r="J269" s="25">
        <v>6</v>
      </c>
      <c r="K269" s="25">
        <v>159</v>
      </c>
      <c r="L269" s="25">
        <v>64</v>
      </c>
      <c r="M269" s="25">
        <f>GETPIVOTDATA("Phase Net Units",'14 Clap'!$A$4)</f>
        <v>0</v>
      </c>
      <c r="N269" s="39">
        <f t="shared" ref="N269:N275" si="25">SUM(I269:M269)</f>
        <v>235</v>
      </c>
      <c r="O269" s="91"/>
      <c r="P269" s="91"/>
      <c r="Q269" s="18"/>
    </row>
    <row r="270" spans="1:17" x14ac:dyDescent="0.2">
      <c r="A270" s="222" t="s">
        <v>3872</v>
      </c>
      <c r="B270" s="223"/>
      <c r="C270" s="223"/>
      <c r="D270" s="223"/>
      <c r="E270" s="223"/>
      <c r="F270" s="223"/>
      <c r="G270" s="223"/>
      <c r="H270" s="261"/>
      <c r="I270" s="25">
        <v>32</v>
      </c>
      <c r="J270" s="25">
        <v>3</v>
      </c>
      <c r="K270" s="25">
        <v>1026</v>
      </c>
      <c r="L270" s="25">
        <v>778</v>
      </c>
      <c r="M270" s="25">
        <f>GETPIVOTDATA("Phase Net Units",'14 Nine'!$A$3,"VNEB","Y")</f>
        <v>1325</v>
      </c>
      <c r="N270" s="39">
        <f t="shared" si="25"/>
        <v>3164</v>
      </c>
      <c r="O270" s="91"/>
      <c r="P270" s="91"/>
      <c r="Q270" s="18"/>
    </row>
    <row r="271" spans="1:17" x14ac:dyDescent="0.2">
      <c r="A271" s="222" t="s">
        <v>3873</v>
      </c>
      <c r="B271" s="223"/>
      <c r="C271" s="223"/>
      <c r="D271" s="223"/>
      <c r="E271" s="223"/>
      <c r="F271" s="223"/>
      <c r="G271" s="223"/>
      <c r="H271" s="261"/>
      <c r="I271" s="25">
        <v>43</v>
      </c>
      <c r="J271" s="25">
        <v>101</v>
      </c>
      <c r="K271" s="25">
        <v>305</v>
      </c>
      <c r="L271" s="25">
        <v>184</v>
      </c>
      <c r="M271" s="25">
        <f>GETPIVOTDATA("Phase Net Units",'14 Tham'!$A$3)</f>
        <v>2036</v>
      </c>
      <c r="N271" s="39">
        <f t="shared" si="25"/>
        <v>2669</v>
      </c>
      <c r="O271" s="91"/>
      <c r="P271" s="91"/>
      <c r="Q271" s="18"/>
    </row>
    <row r="272" spans="1:17" x14ac:dyDescent="0.2">
      <c r="A272" s="222" t="s">
        <v>1900</v>
      </c>
      <c r="B272" s="223"/>
      <c r="C272" s="223"/>
      <c r="D272" s="223"/>
      <c r="E272" s="223"/>
      <c r="F272" s="223"/>
      <c r="G272" s="223"/>
      <c r="H272" s="261"/>
      <c r="I272" s="25">
        <v>15</v>
      </c>
      <c r="J272" s="25">
        <v>5</v>
      </c>
      <c r="K272" s="25">
        <v>199</v>
      </c>
      <c r="L272" s="25">
        <v>2</v>
      </c>
      <c r="M272" s="25">
        <f>GETPIVOTDATA("Phase Net Units",'14 Wand'!$A$4)</f>
        <v>9</v>
      </c>
      <c r="N272" s="39">
        <f t="shared" si="25"/>
        <v>230</v>
      </c>
      <c r="O272" s="91"/>
      <c r="P272" s="91"/>
      <c r="Q272" s="18"/>
    </row>
    <row r="273" spans="1:17" x14ac:dyDescent="0.2">
      <c r="A273" s="222" t="s">
        <v>245</v>
      </c>
      <c r="B273" s="223"/>
      <c r="C273" s="223"/>
      <c r="D273" s="223"/>
      <c r="E273" s="223"/>
      <c r="F273" s="223"/>
      <c r="G273" s="223"/>
      <c r="H273" s="261"/>
      <c r="I273" s="25">
        <v>0</v>
      </c>
      <c r="J273" s="25">
        <v>0</v>
      </c>
      <c r="K273" s="25">
        <v>0</v>
      </c>
      <c r="L273" s="25">
        <v>0</v>
      </c>
      <c r="M273" s="25">
        <f>GETPIVOTDATA("Phase Net Units",'14 Roeh'!$A$3)-GETPIVOTDATA("Phase Net Units",'14 Roeh'!$A$3,"Heart of Roehampton",)</f>
        <v>0</v>
      </c>
      <c r="N273" s="39">
        <f t="shared" si="25"/>
        <v>0</v>
      </c>
      <c r="O273" s="91"/>
      <c r="P273" s="91"/>
      <c r="Q273" s="18"/>
    </row>
    <row r="274" spans="1:17" x14ac:dyDescent="0.2">
      <c r="A274" s="269" t="s">
        <v>246</v>
      </c>
      <c r="B274" s="270"/>
      <c r="C274" s="270"/>
      <c r="D274" s="270"/>
      <c r="E274" s="270"/>
      <c r="F274" s="270"/>
      <c r="G274" s="270"/>
      <c r="H274" s="271"/>
      <c r="I274" s="25">
        <v>50</v>
      </c>
      <c r="J274" s="25">
        <v>55</v>
      </c>
      <c r="K274" s="25">
        <v>0</v>
      </c>
      <c r="L274" s="25">
        <v>334</v>
      </c>
      <c r="M274" s="25">
        <f>GETPIVOTDATA("Phase Net Units",'14 East'!$A$4)</f>
        <v>0</v>
      </c>
      <c r="N274" s="39">
        <f t="shared" si="25"/>
        <v>439</v>
      </c>
      <c r="O274" s="91"/>
      <c r="P274" s="91"/>
      <c r="Q274" s="18"/>
    </row>
    <row r="275" spans="1:17" x14ac:dyDescent="0.2">
      <c r="A275" s="272" t="s">
        <v>62</v>
      </c>
      <c r="B275" s="273"/>
      <c r="C275" s="273"/>
      <c r="D275" s="273"/>
      <c r="E275" s="273"/>
      <c r="F275" s="273"/>
      <c r="G275" s="273"/>
      <c r="H275" s="274"/>
      <c r="I275" s="65">
        <f>SUM(I268:I274)</f>
        <v>690</v>
      </c>
      <c r="J275" s="65">
        <f t="shared" ref="J275" si="26">SUM(J268:J274)</f>
        <v>353</v>
      </c>
      <c r="K275" s="65">
        <f>SUM(K268:K274)</f>
        <v>2174</v>
      </c>
      <c r="L275" s="65">
        <f>SUM(L268:L274)</f>
        <v>1469</v>
      </c>
      <c r="M275" s="65">
        <f>SUM(M268:M274)</f>
        <v>3687</v>
      </c>
      <c r="N275" s="65">
        <f t="shared" si="25"/>
        <v>8373</v>
      </c>
      <c r="O275" s="91"/>
      <c r="P275" s="91"/>
      <c r="Q275" s="18"/>
    </row>
    <row r="276" spans="1:17" x14ac:dyDescent="0.2">
      <c r="A276" s="12"/>
      <c r="B276" s="12"/>
      <c r="C276" s="14"/>
      <c r="D276" s="13"/>
      <c r="E276" s="13"/>
      <c r="F276" s="13"/>
      <c r="G276" s="13"/>
      <c r="H276" s="13"/>
      <c r="I276" s="13"/>
      <c r="J276" s="53"/>
      <c r="K276" s="53"/>
      <c r="L276" s="53"/>
      <c r="M276" s="53"/>
      <c r="N276" s="53"/>
      <c r="O276" s="53"/>
      <c r="P276" s="18"/>
      <c r="Q276" s="18"/>
    </row>
    <row r="277" spans="1:17" ht="15" x14ac:dyDescent="0.25">
      <c r="A277" s="132" t="s">
        <v>417</v>
      </c>
      <c r="B277" s="12"/>
      <c r="C277" s="14"/>
      <c r="D277" s="13"/>
      <c r="E277" s="13"/>
      <c r="F277" s="13"/>
      <c r="G277" s="13"/>
      <c r="H277" s="13"/>
      <c r="I277" s="13"/>
      <c r="J277" s="53"/>
      <c r="K277" s="53"/>
      <c r="L277" s="53"/>
      <c r="M277" s="53"/>
      <c r="N277" s="53"/>
      <c r="O277" s="53"/>
      <c r="P277" s="18"/>
      <c r="Q277" s="18"/>
    </row>
    <row r="278" spans="1:17" x14ac:dyDescent="0.2">
      <c r="A278" s="15" t="s">
        <v>162</v>
      </c>
      <c r="B278" s="15" t="s">
        <v>3874</v>
      </c>
      <c r="C278" s="14"/>
      <c r="D278" s="13"/>
      <c r="E278" s="13"/>
      <c r="F278" s="13"/>
      <c r="G278" s="13"/>
      <c r="H278" s="13"/>
      <c r="I278" s="13"/>
      <c r="J278" s="53"/>
      <c r="K278" s="53"/>
      <c r="L278" s="53"/>
      <c r="M278" s="53"/>
      <c r="N278" s="53"/>
      <c r="O278" s="53"/>
      <c r="P278" s="18"/>
      <c r="Q278" s="18"/>
    </row>
    <row r="279" spans="1:17" ht="12.75" customHeight="1" x14ac:dyDescent="0.2">
      <c r="A279" s="278" t="s">
        <v>60</v>
      </c>
      <c r="B279" s="278"/>
      <c r="C279" s="278"/>
      <c r="D279" s="206" t="s">
        <v>1826</v>
      </c>
      <c r="E279" s="206" t="s">
        <v>833</v>
      </c>
      <c r="F279" s="206"/>
      <c r="G279" s="206" t="s">
        <v>49</v>
      </c>
      <c r="H279" s="206"/>
      <c r="I279" s="13"/>
      <c r="J279" s="53"/>
      <c r="K279" s="53"/>
      <c r="L279" s="53"/>
      <c r="M279" s="53"/>
      <c r="N279" s="53"/>
      <c r="O279" s="53"/>
      <c r="P279" s="18"/>
      <c r="Q279" s="18"/>
    </row>
    <row r="280" spans="1:17" ht="12.75" customHeight="1" x14ac:dyDescent="0.2">
      <c r="A280" s="278"/>
      <c r="B280" s="278"/>
      <c r="C280" s="278"/>
      <c r="D280" s="206"/>
      <c r="E280" s="206"/>
      <c r="F280" s="206"/>
      <c r="G280" s="206"/>
      <c r="H280" s="206"/>
      <c r="I280" s="13"/>
      <c r="J280" s="53"/>
      <c r="K280" s="53"/>
      <c r="L280" s="53"/>
      <c r="M280" s="53"/>
      <c r="N280" s="53"/>
      <c r="O280" s="53"/>
      <c r="P280" s="18"/>
      <c r="Q280" s="18"/>
    </row>
    <row r="281" spans="1:17" x14ac:dyDescent="0.2">
      <c r="A281" s="250" t="s">
        <v>247</v>
      </c>
      <c r="B281" s="250"/>
      <c r="C281" s="250"/>
      <c r="D281" s="25">
        <f>GETPIVOTDATA("Phase Net Units",'15'!$A$1,"Status","03 Planning","Ward","Balham")</f>
        <v>42</v>
      </c>
      <c r="E281" s="204">
        <f>GETPIVOTDATA("Phase Net Units",'15'!$A$1,"Status","02 Under Construction","Ward","Balham")</f>
        <v>143</v>
      </c>
      <c r="F281" s="204"/>
      <c r="G281" s="204">
        <f>GETPIVOTDATA("Phase Net Units",'15'!$A$1,"Status","01 Completion","Ward","Balham")+GETPIVOTDATA("Phase Net Units",'15'!$A$1,"Status","09 Completion Correction","Ward","Balham")</f>
        <v>29</v>
      </c>
      <c r="H281" s="204"/>
      <c r="I281" s="13"/>
      <c r="J281" s="53"/>
      <c r="K281" s="53"/>
      <c r="L281" s="53"/>
      <c r="M281" s="53"/>
      <c r="N281" s="53"/>
      <c r="O281" s="53"/>
      <c r="P281" s="18"/>
      <c r="Q281" s="18"/>
    </row>
    <row r="282" spans="1:17" x14ac:dyDescent="0.2">
      <c r="A282" s="250" t="s">
        <v>248</v>
      </c>
      <c r="B282" s="250"/>
      <c r="C282" s="250"/>
      <c r="D282" s="25">
        <f>GETPIVOTDATA("Phase Net Units",'15'!$A$1,"Status","03 Planning","Ward","Bedford")</f>
        <v>20</v>
      </c>
      <c r="E282" s="204">
        <f>GETPIVOTDATA("Phase Net Units",'15'!$A$1,"Status","02 Under Construction","Ward","Bedford")</f>
        <v>71</v>
      </c>
      <c r="F282" s="204"/>
      <c r="G282" s="204">
        <f>GETPIVOTDATA("Phase Net Units",'15'!$A$1,"Status","01 Completion","Ward","Bedford")+GETPIVOTDATA("Phase Net Units",'15'!$A$1,"Status","09 Completion Correction","Ward","Bedford")</f>
        <v>25</v>
      </c>
      <c r="H282" s="204"/>
      <c r="I282" s="13"/>
      <c r="J282" s="53"/>
      <c r="K282" s="53"/>
      <c r="L282" s="53"/>
      <c r="M282" s="53"/>
      <c r="N282" s="53"/>
      <c r="O282" s="53"/>
      <c r="P282" s="18"/>
      <c r="Q282" s="18"/>
    </row>
    <row r="283" spans="1:17" x14ac:dyDescent="0.2">
      <c r="A283" s="250" t="s">
        <v>249</v>
      </c>
      <c r="B283" s="250"/>
      <c r="C283" s="250"/>
      <c r="D283" s="25">
        <f>GETPIVOTDATA("Phase Net Units",'15'!$A$1,"Status","03 Planning","Ward","Earlsfield")</f>
        <v>42</v>
      </c>
      <c r="E283" s="204">
        <f>GETPIVOTDATA("Phase Net Units",'15'!$A$1,"Status","02 Under Construction","Ward","Earlsfield")</f>
        <v>25</v>
      </c>
      <c r="F283" s="204"/>
      <c r="G283" s="204">
        <f>GETPIVOTDATA("Phase Net Units",'15'!$A$1,"Status","01 Completion","Ward","Earlsfield")+GETPIVOTDATA("Phase Net Units",'15'!$A$1,"Status","09 Completion Correction","Ward","Earlsfield")</f>
        <v>18</v>
      </c>
      <c r="H283" s="204"/>
      <c r="I283" s="13"/>
      <c r="J283" s="53"/>
      <c r="K283" s="53"/>
      <c r="L283" s="53"/>
      <c r="M283" s="53"/>
      <c r="N283" s="53"/>
      <c r="O283" s="53"/>
      <c r="P283" s="18"/>
      <c r="Q283" s="18"/>
    </row>
    <row r="284" spans="1:17" x14ac:dyDescent="0.2">
      <c r="A284" s="250" t="s">
        <v>250</v>
      </c>
      <c r="B284" s="250"/>
      <c r="C284" s="250"/>
      <c r="D284" s="25">
        <f>GETPIVOTDATA("Phase Net Units",'15'!$A$1,"Status","03 Planning","Ward","East Putney")</f>
        <v>29</v>
      </c>
      <c r="E284" s="204">
        <f>GETPIVOTDATA("Phase Net Units",'15'!$A$1,"Status","02 Under Construction","Ward","East Putney")</f>
        <v>94</v>
      </c>
      <c r="F284" s="204"/>
      <c r="G284" s="204">
        <f>GETPIVOTDATA("Phase Net Units",'15'!$A$1,"Status","01 Completion","Ward","East Putney")+GETPIVOTDATA("Phase Net Units",'15'!$A$1,"Status","09 Completion Correction","Ward","East Putney")</f>
        <v>8</v>
      </c>
      <c r="H284" s="204"/>
      <c r="I284" s="13"/>
      <c r="J284" s="53"/>
      <c r="K284" s="53"/>
      <c r="L284" s="53"/>
      <c r="M284" s="53"/>
      <c r="N284" s="53"/>
      <c r="O284" s="53"/>
      <c r="P284" s="18"/>
      <c r="Q284" s="18"/>
    </row>
    <row r="285" spans="1:17" x14ac:dyDescent="0.2">
      <c r="A285" s="250" t="s">
        <v>251</v>
      </c>
      <c r="B285" s="250"/>
      <c r="C285" s="250"/>
      <c r="D285" s="25">
        <f>GETPIVOTDATA("Phase Net Units",'15'!$A$1,"Status","03 Planning","Ward","Fairfield")</f>
        <v>82</v>
      </c>
      <c r="E285" s="204">
        <f>GETPIVOTDATA("Phase Net Units",'15'!$A$1,"Status","02 Under Construction","Ward","Fairfield")</f>
        <v>675</v>
      </c>
      <c r="F285" s="204"/>
      <c r="G285" s="204">
        <f>GETPIVOTDATA("Phase Net Units",'15'!$A$1,"Status","01 Completion","Ward","Fairfield")+GETPIVOTDATA("Phase Net Units",'15'!$A$1,"Status","09 Completion Correction","Ward","Fairfield")</f>
        <v>233</v>
      </c>
      <c r="H285" s="204"/>
      <c r="I285" s="13"/>
      <c r="J285" s="53"/>
      <c r="K285" s="53"/>
      <c r="L285" s="53"/>
      <c r="M285" s="53"/>
      <c r="N285" s="53"/>
      <c r="O285" s="53"/>
      <c r="P285" s="18"/>
      <c r="Q285" s="18"/>
    </row>
    <row r="286" spans="1:17" x14ac:dyDescent="0.2">
      <c r="A286" s="250" t="s">
        <v>252</v>
      </c>
      <c r="B286" s="250"/>
      <c r="C286" s="250"/>
      <c r="D286" s="25">
        <f>GETPIVOTDATA("Phase Net Units",'15'!$A$1,"Status","03 Planning","Ward","Furzedown")</f>
        <v>28</v>
      </c>
      <c r="E286" s="204">
        <f>GETPIVOTDATA("Phase Net Units",'15'!$A$1,"Status","02 Under Construction","Ward","Furzedown")</f>
        <v>36</v>
      </c>
      <c r="F286" s="204"/>
      <c r="G286" s="204">
        <f>GETPIVOTDATA("Phase Net Units",'15'!$A$1,"Status","01 Completion","Ward","Furzedown")+GETPIVOTDATA("Phase Net Units",'15'!$A$1,"Status","09 Completion Correction","Ward","Furzedown")</f>
        <v>15</v>
      </c>
      <c r="H286" s="204"/>
      <c r="I286" s="13"/>
      <c r="J286" s="53"/>
      <c r="K286" s="53"/>
      <c r="L286" s="53"/>
      <c r="M286" s="53"/>
      <c r="N286" s="53"/>
      <c r="O286" s="53"/>
      <c r="P286" s="18"/>
      <c r="Q286" s="18"/>
    </row>
    <row r="287" spans="1:17" x14ac:dyDescent="0.2">
      <c r="A287" s="250" t="s">
        <v>253</v>
      </c>
      <c r="B287" s="250"/>
      <c r="C287" s="250"/>
      <c r="D287" s="25">
        <f>GETPIVOTDATA("Phase Net Units",'15'!$A$1,"Status","03 Planning","Ward","Graveney")</f>
        <v>126</v>
      </c>
      <c r="E287" s="204">
        <f>GETPIVOTDATA("Phase Net Units",'15'!$A$1,"Status","02 Under Construction","Ward","Graveney")</f>
        <v>71</v>
      </c>
      <c r="F287" s="204"/>
      <c r="G287" s="204">
        <f>GETPIVOTDATA("Phase Net Units",'15'!$A$1,"Status","01 Completion","Ward","Graveney")+GETPIVOTDATA("Phase Net Units",'15'!$A$1,"Status","09 Completion Correction","Ward","Graveney")</f>
        <v>22</v>
      </c>
      <c r="H287" s="204"/>
      <c r="I287" s="13"/>
      <c r="J287" s="53"/>
      <c r="K287" s="53"/>
      <c r="L287" s="53"/>
      <c r="M287" s="53"/>
      <c r="N287" s="53"/>
      <c r="O287" s="53"/>
      <c r="P287" s="18"/>
      <c r="Q287" s="18"/>
    </row>
    <row r="288" spans="1:17" x14ac:dyDescent="0.2">
      <c r="A288" s="250" t="s">
        <v>241</v>
      </c>
      <c r="B288" s="250"/>
      <c r="C288" s="250"/>
      <c r="D288" s="25">
        <f>GETPIVOTDATA("Phase Net Units",'15'!$A$1,"Status","03 Planning","Ward","Latchmere")</f>
        <v>82</v>
      </c>
      <c r="E288" s="204">
        <f>GETPIVOTDATA("Phase Net Units",'15'!$A$1,"Status","02 Under Construction","Ward","Latchmere")</f>
        <v>37</v>
      </c>
      <c r="F288" s="204"/>
      <c r="G288" s="204">
        <f>GETPIVOTDATA("Phase Net Units",'15'!$A$1,"Status","01 Completion","Ward","Latchmere")+GETPIVOTDATA("Phase Net Units",'15'!$A$1,"Status","09 Completion Correction","Ward","Latchmere")</f>
        <v>37</v>
      </c>
      <c r="H288" s="204"/>
      <c r="I288" s="13"/>
      <c r="J288" s="53"/>
      <c r="K288" s="53"/>
      <c r="L288" s="53"/>
      <c r="M288" s="53"/>
      <c r="N288" s="53"/>
      <c r="O288" s="53"/>
      <c r="P288" s="18"/>
      <c r="Q288" s="18"/>
    </row>
    <row r="289" spans="1:17" x14ac:dyDescent="0.2">
      <c r="A289" s="250" t="s">
        <v>254</v>
      </c>
      <c r="B289" s="250"/>
      <c r="C289" s="250"/>
      <c r="D289" s="25">
        <f>GETPIVOTDATA("Phase Net Units",'15'!$A$1,"Status","03 Planning","Ward","Nightingale")</f>
        <v>87</v>
      </c>
      <c r="E289" s="204">
        <f>GETPIVOTDATA("Phase Net Units",'15'!$A$1,"Status","02 Under Construction","Ward","Nightingale")</f>
        <v>102</v>
      </c>
      <c r="F289" s="204"/>
      <c r="G289" s="204">
        <f>GETPIVOTDATA("Phase Net Units",'15'!$A$1,"Status","01 Completion","Ward","Nightingale")+GETPIVOTDATA("Phase Net Units",'15'!$A$1,"Status","09 Completion Correction","Ward","Nightingale")</f>
        <v>23</v>
      </c>
      <c r="H289" s="204"/>
      <c r="I289" s="13"/>
      <c r="J289" s="53"/>
      <c r="K289" s="53"/>
      <c r="L289" s="53"/>
      <c r="M289" s="53"/>
      <c r="N289" s="53"/>
      <c r="O289" s="53"/>
      <c r="P289" s="18"/>
      <c r="Q289" s="18"/>
    </row>
    <row r="290" spans="1:17" x14ac:dyDescent="0.2">
      <c r="A290" s="250" t="s">
        <v>255</v>
      </c>
      <c r="B290" s="250"/>
      <c r="C290" s="250"/>
      <c r="D290" s="25">
        <f>GETPIVOTDATA("Phase Net Units",'15'!$A$1,"Status","03 Planning","Ward","Northcote")</f>
        <v>215</v>
      </c>
      <c r="E290" s="204">
        <f>GETPIVOTDATA("Phase Net Units",'15'!$A$1,"Status","02 Under Construction","Ward","Northcote")</f>
        <v>16</v>
      </c>
      <c r="F290" s="204"/>
      <c r="G290" s="204">
        <f>GETPIVOTDATA("Phase Net Units",'15'!$A$1,"Status","01 Completion","Ward","Northcote")+GETPIVOTDATA("Phase Net Units",'15'!$A$1,"Status","09 Completion Correction","Ward","Northcote")</f>
        <v>-55</v>
      </c>
      <c r="H290" s="204"/>
      <c r="I290" s="13"/>
      <c r="J290" s="53"/>
      <c r="K290" s="53"/>
      <c r="L290" s="53"/>
      <c r="M290" s="53"/>
      <c r="N290" s="53"/>
      <c r="O290" s="53"/>
      <c r="P290" s="18"/>
      <c r="Q290" s="18"/>
    </row>
    <row r="291" spans="1:17" x14ac:dyDescent="0.2">
      <c r="A291" s="250" t="s">
        <v>240</v>
      </c>
      <c r="B291" s="250"/>
      <c r="C291" s="250"/>
      <c r="D291" s="25">
        <f>GETPIVOTDATA("Phase Net Units",'15'!$A$1,"Status","03 Planning","Ward","Queenstown")</f>
        <v>3026</v>
      </c>
      <c r="E291" s="204">
        <f>GETPIVOTDATA("Phase Net Units",'15'!$A$1,"Status","02 Under Construction","Ward","Queenstown")</f>
        <v>9448</v>
      </c>
      <c r="F291" s="204"/>
      <c r="G291" s="204">
        <f>GETPIVOTDATA("Phase Net Units",'15'!$A$1,"Status","01 Completion","Ward","Queenstown")+GETPIVOTDATA("Phase Net Units",'15'!$A$1,"Status","09 Completion Correction","Ward","Queenstown")</f>
        <v>1337</v>
      </c>
      <c r="H291" s="204"/>
      <c r="I291" s="13"/>
      <c r="J291" s="53"/>
      <c r="K291" s="53"/>
      <c r="L291" s="53"/>
      <c r="M291" s="53"/>
      <c r="N291" s="53"/>
      <c r="O291" s="53"/>
      <c r="P291" s="18"/>
      <c r="Q291" s="18"/>
    </row>
    <row r="292" spans="1:17" x14ac:dyDescent="0.2">
      <c r="A292" s="263" t="s">
        <v>877</v>
      </c>
      <c r="B292" s="263"/>
      <c r="C292" s="263"/>
      <c r="D292" s="25">
        <f>GETPIVOTDATA("Phase Net Units",'15'!$A$1,"Status","03 Planning","Ward","Roehampton and Putney Heath")</f>
        <v>26</v>
      </c>
      <c r="E292" s="204">
        <f>GETPIVOTDATA("Phase Net Units",'15'!$A$1,"Status","02 Under Construction","Ward","Roehampton and Putney Heath")</f>
        <v>14</v>
      </c>
      <c r="F292" s="204"/>
      <c r="G292" s="204">
        <f>GETPIVOTDATA("Phase Net Units",'15'!$A$1,"Status","01 Completion","Ward","Roehampton and Putney Heath")+GETPIVOTDATA("Phase Net Units",'15'!$A$1,"Status","09 Completion Correction","Ward","Roehampton and Putney Heath")</f>
        <v>5</v>
      </c>
      <c r="H292" s="204"/>
      <c r="I292" s="13"/>
      <c r="J292" s="53"/>
      <c r="K292" s="53"/>
      <c r="L292" s="53"/>
      <c r="M292" s="53"/>
      <c r="N292" s="53"/>
      <c r="O292" s="53"/>
      <c r="P292" s="18"/>
      <c r="Q292" s="18"/>
    </row>
    <row r="293" spans="1:17" x14ac:dyDescent="0.2">
      <c r="A293" s="250" t="s">
        <v>256</v>
      </c>
      <c r="B293" s="250"/>
      <c r="C293" s="250"/>
      <c r="D293" s="25">
        <f>GETPIVOTDATA("Phase Net Units",'15'!$A$1,"Status","03 Planning","Ward","Shaftesbury")</f>
        <v>60</v>
      </c>
      <c r="E293" s="204">
        <f>GETPIVOTDATA("Phase Net Units",'15'!$A$1,"Status","02 Under Construction","Ward","Shaftesbury")</f>
        <v>36</v>
      </c>
      <c r="F293" s="204"/>
      <c r="G293" s="204">
        <f>GETPIVOTDATA("Phase Net Units",'15'!$A$1,"Status","01 Completion","Ward","Shaftesbury")+GETPIVOTDATA("Phase Net Units",'15'!$A$1,"Status","09 Completion Correction","Ward","Shaftesbury")</f>
        <v>19</v>
      </c>
      <c r="H293" s="204"/>
      <c r="I293" s="13"/>
      <c r="J293" s="53"/>
      <c r="K293" s="53"/>
      <c r="L293" s="53"/>
      <c r="M293" s="53"/>
      <c r="N293" s="53"/>
      <c r="O293" s="53"/>
      <c r="P293" s="18"/>
      <c r="Q293" s="18"/>
    </row>
    <row r="294" spans="1:17" x14ac:dyDescent="0.2">
      <c r="A294" s="250" t="s">
        <v>258</v>
      </c>
      <c r="B294" s="250"/>
      <c r="C294" s="250"/>
      <c r="D294" s="25">
        <f>GETPIVOTDATA("Phase Net Units",'15'!$A$1,"Status","03 Planning","Ward","Southfields")</f>
        <v>24</v>
      </c>
      <c r="E294" s="204">
        <f>GETPIVOTDATA("Phase Net Units",'15'!$A$1,"Status","02 Under Construction","Ward","Southfields")</f>
        <v>161</v>
      </c>
      <c r="F294" s="204"/>
      <c r="G294" s="204">
        <f>GETPIVOTDATA("Phase Net Units",'15'!$A$1,"Status","01 Completion","Ward","Southfields")+GETPIVOTDATA("Phase Net Units",'15'!$A$1,"Status","09 Completion Correction","Ward","Southfields")</f>
        <v>110</v>
      </c>
      <c r="H294" s="204"/>
      <c r="I294" s="13"/>
      <c r="J294" s="53"/>
      <c r="K294" s="53"/>
      <c r="L294" s="53"/>
      <c r="M294" s="53"/>
      <c r="N294" s="53"/>
      <c r="O294" s="53"/>
      <c r="P294" s="18"/>
      <c r="Q294" s="18"/>
    </row>
    <row r="295" spans="1:17" x14ac:dyDescent="0.2">
      <c r="A295" s="250" t="s">
        <v>257</v>
      </c>
      <c r="B295" s="250"/>
      <c r="C295" s="250"/>
      <c r="D295" s="25">
        <f>GETPIVOTDATA("Phase Net Units",'15'!$A$1,"Status","03 Planning","Ward","St Mary's Park")</f>
        <v>268</v>
      </c>
      <c r="E295" s="204">
        <f>GETPIVOTDATA("Phase Net Units",'15'!$A$1,"Status","02 Under Construction","Ward","St Mary's Park")</f>
        <v>859</v>
      </c>
      <c r="F295" s="204"/>
      <c r="G295" s="204">
        <f>GETPIVOTDATA("Phase Net Units",'15'!$A$1,"Status","01 Completion","Ward","St Mary's Park")+GETPIVOTDATA("Phase Net Units",'15'!$A$1,"Status","09 Completion Correction","Ward","St Mary's Park")</f>
        <v>163</v>
      </c>
      <c r="H295" s="204"/>
      <c r="I295" s="13"/>
      <c r="J295" s="53"/>
      <c r="K295" s="53"/>
      <c r="L295" s="53"/>
      <c r="M295" s="53"/>
      <c r="N295" s="53"/>
      <c r="O295" s="53"/>
      <c r="P295" s="18"/>
      <c r="Q295" s="18"/>
    </row>
    <row r="296" spans="1:17" x14ac:dyDescent="0.2">
      <c r="A296" s="250" t="s">
        <v>259</v>
      </c>
      <c r="B296" s="250"/>
      <c r="C296" s="250"/>
      <c r="D296" s="25">
        <f>GETPIVOTDATA("Phase Net Units",'15'!$A$1,"Status","03 Planning","Ward","Thamesfield")</f>
        <v>212</v>
      </c>
      <c r="E296" s="204">
        <f>GETPIVOTDATA("Phase Net Units",'15'!$A$1,"Status","02 Under Construction","Ward","Thamesfield")</f>
        <v>447</v>
      </c>
      <c r="F296" s="204"/>
      <c r="G296" s="204">
        <f>GETPIVOTDATA("Phase Net Units",'15'!$A$1,"Status","01 Completion","Ward","Thamesfield")+GETPIVOTDATA("Phase Net Units",'15'!$A$1,"Status","09 Completion Correction","Ward","Thamesfield")</f>
        <v>6</v>
      </c>
      <c r="H296" s="204"/>
      <c r="I296" s="13"/>
      <c r="J296" s="53"/>
      <c r="K296" s="53"/>
      <c r="L296" s="53"/>
      <c r="M296" s="53"/>
      <c r="N296" s="53"/>
      <c r="O296" s="53"/>
      <c r="P296" s="18"/>
      <c r="Q296" s="18"/>
    </row>
    <row r="297" spans="1:17" x14ac:dyDescent="0.2">
      <c r="A297" s="250" t="s">
        <v>242</v>
      </c>
      <c r="B297" s="250"/>
      <c r="C297" s="250"/>
      <c r="D297" s="25">
        <f>GETPIVOTDATA("Phase Net Units",'15'!$A$1,"Status","03 Planning","Ward","Tooting")</f>
        <v>97</v>
      </c>
      <c r="E297" s="204">
        <f>GETPIVOTDATA("Phase Net Units",'15'!$A$1,"Status","02 Under Construction","Ward","Tooting")</f>
        <v>27</v>
      </c>
      <c r="F297" s="204"/>
      <c r="G297" s="204">
        <f>GETPIVOTDATA("Phase Net Units",'15'!$A$1,"Status","01 Completion","Ward","Tooting")+GETPIVOTDATA("Phase Net Units",'15'!$A$1,"Status","09 Completion Correction","Ward","Tooting")</f>
        <v>38</v>
      </c>
      <c r="H297" s="204"/>
      <c r="I297" s="13"/>
      <c r="J297" s="53"/>
      <c r="K297" s="53"/>
      <c r="L297" s="53"/>
      <c r="M297" s="53"/>
      <c r="N297" s="53"/>
      <c r="O297" s="53"/>
      <c r="P297" s="18"/>
      <c r="Q297" s="18"/>
    </row>
    <row r="298" spans="1:17" x14ac:dyDescent="0.2">
      <c r="A298" s="250" t="s">
        <v>260</v>
      </c>
      <c r="B298" s="250"/>
      <c r="C298" s="250"/>
      <c r="D298" s="25">
        <f>GETPIVOTDATA("Phase Net Units",'15'!$A$1,"Status","03 Planning","Ward","Wandsworth Common")</f>
        <v>15</v>
      </c>
      <c r="E298" s="204">
        <f>GETPIVOTDATA("Phase Net Units",'15'!$A$1,"Status","02 Under Construction","Ward","Wandsworth Common")</f>
        <v>840</v>
      </c>
      <c r="F298" s="204"/>
      <c r="G298" s="204">
        <f>GETPIVOTDATA("Phase Net Units",'15'!$A$1,"Status","01 Completion","Ward","Wandsworth Common")+GETPIVOTDATA("Phase Net Units",'15'!$A$1,"Status","09 Completion Correction","Ward","Wandsworth Common")</f>
        <v>2</v>
      </c>
      <c r="H298" s="204"/>
      <c r="I298" s="13"/>
      <c r="J298" s="53"/>
      <c r="K298" s="53"/>
      <c r="L298" s="53"/>
      <c r="M298" s="53"/>
      <c r="N298" s="53"/>
      <c r="O298" s="53"/>
      <c r="P298" s="18"/>
      <c r="Q298" s="18"/>
    </row>
    <row r="299" spans="1:17" x14ac:dyDescent="0.2">
      <c r="A299" s="250" t="s">
        <v>111</v>
      </c>
      <c r="B299" s="250"/>
      <c r="C299" s="250"/>
      <c r="D299" s="25">
        <f>GETPIVOTDATA("Phase Net Units",'15'!$A$1,"Status","03 Planning","Ward","West Hill")</f>
        <v>11</v>
      </c>
      <c r="E299" s="204">
        <f>GETPIVOTDATA("Phase Net Units",'15'!$A$1,"Status","02 Under Construction","Ward","West Hill")</f>
        <v>142</v>
      </c>
      <c r="F299" s="204"/>
      <c r="G299" s="204">
        <f>GETPIVOTDATA("Phase Net Units",'15'!$A$1,"Status","01 Completion","Ward","West Hill")+GETPIVOTDATA("Phase Net Units",'15'!$A$1,"Status","09 Completion Correction","Ward","West Hill")</f>
        <v>-6</v>
      </c>
      <c r="H299" s="204"/>
      <c r="I299" s="13"/>
      <c r="J299" s="53"/>
      <c r="K299" s="53"/>
      <c r="L299" s="53"/>
      <c r="M299" s="53"/>
      <c r="N299" s="53"/>
      <c r="O299" s="53"/>
      <c r="P299" s="18"/>
      <c r="Q299" s="18"/>
    </row>
    <row r="300" spans="1:17" x14ac:dyDescent="0.2">
      <c r="A300" s="250" t="s">
        <v>59</v>
      </c>
      <c r="B300" s="250"/>
      <c r="C300" s="250"/>
      <c r="D300" s="25">
        <f>GETPIVOTDATA("Phase Net Units",'15'!$A$1,"Status","03 Planning","Ward","West Putney")</f>
        <v>19</v>
      </c>
      <c r="E300" s="204">
        <f>GETPIVOTDATA("Phase Net Units",'15'!$A$1,"Status","02 Under Construction","Ward","West Putney")</f>
        <v>13</v>
      </c>
      <c r="F300" s="204"/>
      <c r="G300" s="204">
        <f>GETPIVOTDATA("Phase Net Units",'15'!$A$1,"Status","01 Completion","Ward","West Putney")+GETPIVOTDATA("Phase Net Units",'15'!$A$1,"Status","09 Completion Correction","Ward","West Putney")</f>
        <v>7</v>
      </c>
      <c r="H300" s="204"/>
      <c r="I300" s="13"/>
      <c r="J300" s="53"/>
      <c r="K300" s="53"/>
      <c r="L300" s="53"/>
      <c r="M300" s="53"/>
      <c r="N300" s="53"/>
      <c r="O300" s="53"/>
      <c r="P300" s="18"/>
      <c r="Q300" s="18"/>
    </row>
    <row r="301" spans="1:17" x14ac:dyDescent="0.2">
      <c r="A301" s="262" t="s">
        <v>62</v>
      </c>
      <c r="B301" s="262"/>
      <c r="C301" s="262"/>
      <c r="D301" s="65">
        <f>SUM(D281:D300)</f>
        <v>4511</v>
      </c>
      <c r="E301" s="205">
        <f t="shared" ref="E301" si="27">SUM(E281:E300)</f>
        <v>13257</v>
      </c>
      <c r="F301" s="205"/>
      <c r="G301" s="205">
        <f>SUM(G281:G300)</f>
        <v>2036</v>
      </c>
      <c r="H301" s="205"/>
      <c r="I301" s="13"/>
      <c r="J301" s="53"/>
      <c r="K301" s="53"/>
      <c r="L301" s="53"/>
      <c r="M301" s="53"/>
      <c r="N301" s="53"/>
      <c r="O301" s="53"/>
      <c r="P301" s="18"/>
      <c r="Q301" s="18"/>
    </row>
    <row r="302" spans="1:17" x14ac:dyDescent="0.2">
      <c r="A302" s="12"/>
      <c r="B302" s="12"/>
      <c r="C302" s="14"/>
      <c r="D302" s="13"/>
      <c r="E302" s="13"/>
      <c r="F302" s="13"/>
      <c r="G302" s="13"/>
      <c r="H302" s="13"/>
      <c r="I302" s="13"/>
      <c r="J302" s="53"/>
      <c r="K302" s="53"/>
      <c r="L302" s="53"/>
      <c r="M302" s="53"/>
      <c r="N302" s="53"/>
      <c r="O302" s="53"/>
      <c r="P302" s="18"/>
      <c r="Q302" s="18"/>
    </row>
    <row r="303" spans="1:17" ht="15" x14ac:dyDescent="0.25">
      <c r="A303" s="133" t="s">
        <v>205</v>
      </c>
      <c r="B303" s="12"/>
      <c r="C303" s="14"/>
      <c r="D303" s="13"/>
      <c r="E303" s="13"/>
      <c r="F303" s="13"/>
      <c r="G303" s="13"/>
      <c r="H303" s="13"/>
      <c r="I303" s="13"/>
      <c r="J303" s="53"/>
      <c r="K303" s="53"/>
      <c r="L303" s="53"/>
      <c r="M303" s="53"/>
      <c r="N303" s="53"/>
      <c r="O303" s="53"/>
      <c r="P303" s="18"/>
      <c r="Q303" s="18"/>
    </row>
    <row r="304" spans="1:17" x14ac:dyDescent="0.2">
      <c r="A304" s="15" t="s">
        <v>163</v>
      </c>
      <c r="B304" s="15" t="s">
        <v>3875</v>
      </c>
      <c r="C304" s="14"/>
      <c r="D304" s="13"/>
      <c r="E304" s="13"/>
      <c r="F304" s="13"/>
      <c r="G304" s="13"/>
      <c r="H304" s="13"/>
      <c r="I304" s="13"/>
      <c r="J304" s="53"/>
      <c r="K304" s="53"/>
      <c r="L304" s="53"/>
      <c r="M304" s="53"/>
      <c r="N304" s="53"/>
      <c r="O304" s="53"/>
      <c r="P304" s="18"/>
      <c r="Q304" s="18"/>
    </row>
    <row r="305" spans="1:17" x14ac:dyDescent="0.2">
      <c r="A305" s="244"/>
      <c r="B305" s="244"/>
      <c r="C305" s="216" t="s">
        <v>1826</v>
      </c>
      <c r="D305" s="265"/>
      <c r="E305" s="265"/>
      <c r="F305" s="243" t="s">
        <v>833</v>
      </c>
      <c r="G305" s="243"/>
      <c r="H305" s="243"/>
      <c r="I305" s="243" t="s">
        <v>49</v>
      </c>
      <c r="J305" s="243"/>
      <c r="K305" s="243"/>
      <c r="L305" s="53"/>
      <c r="M305" s="53"/>
      <c r="N305" s="53"/>
      <c r="O305" s="53"/>
      <c r="P305" s="18"/>
      <c r="Q305" s="18"/>
    </row>
    <row r="306" spans="1:17" x14ac:dyDescent="0.2">
      <c r="A306" s="245"/>
      <c r="B306" s="245"/>
      <c r="C306" s="100" t="s">
        <v>239</v>
      </c>
      <c r="D306" s="100" t="s">
        <v>66</v>
      </c>
      <c r="E306" s="100" t="s">
        <v>62</v>
      </c>
      <c r="F306" s="100" t="s">
        <v>239</v>
      </c>
      <c r="G306" s="100" t="s">
        <v>66</v>
      </c>
      <c r="H306" s="100" t="s">
        <v>62</v>
      </c>
      <c r="I306" s="100" t="s">
        <v>239</v>
      </c>
      <c r="J306" s="100" t="s">
        <v>66</v>
      </c>
      <c r="K306" s="100" t="s">
        <v>62</v>
      </c>
      <c r="L306" s="53"/>
      <c r="M306" s="53"/>
      <c r="N306" s="53"/>
      <c r="O306" s="53"/>
      <c r="P306" s="18"/>
      <c r="Q306" s="18"/>
    </row>
    <row r="307" spans="1:17" x14ac:dyDescent="0.2">
      <c r="A307" s="264" t="s">
        <v>65</v>
      </c>
      <c r="B307" s="264"/>
      <c r="C307" s="25">
        <f>GETPIVOTDATA("Phase Net Units",'16'!$A$1,"Status","03 Planning","Tenure","Open Market","VNEB","Y")</f>
        <v>2374</v>
      </c>
      <c r="D307" s="25">
        <f>GETPIVOTDATA("Phase Net Units",'16'!$A$1,"Status","03 Planning","Tenure","Intermediate","VNEB","Y")+GETPIVOTDATA("Phase Net Units",'16'!$A$1,"Status","03 Planning","Tenure","Social/Affordable Rent","VNEB","Y")</f>
        <v>636</v>
      </c>
      <c r="E307" s="25">
        <f>C307+D307</f>
        <v>3010</v>
      </c>
      <c r="F307" s="25">
        <f>GETPIVOTDATA("Phase Net Units",'16'!$A$1,"Status","02 Under Construction","Tenure","Open Market","VNEB","Y")</f>
        <v>8017</v>
      </c>
      <c r="G307" s="25">
        <f>GETPIVOTDATA("Phase Net Units",'16'!$A$1,"Status","02 Under Construction","Tenure","Intermediate","VNEB","Y")+GETPIVOTDATA("Phase Net Units",'16'!$A$1:$A$1,"Status","02 Under Construction","Tenure","Social/Affordable Rent","VNEB","Y")</f>
        <v>1422</v>
      </c>
      <c r="H307" s="25">
        <f>F307+G307</f>
        <v>9439</v>
      </c>
      <c r="I307" s="25">
        <f>GETPIVOTDATA("Phase Net Units",'16'!$A$1,"Status","01 Completion","Tenure","Open Market","VNEB","Y")+GETPIVOTDATA("Phase Net Units",'16'!$A$1,"Status","09 Completion Correction","Tenure","Open Market","VNEB","Y")</f>
        <v>1181</v>
      </c>
      <c r="J307" s="25">
        <f>GETPIVOTDATA("Phase Net Units",'16'!$A$1,"Status","01 Completion","Tenure","Intermediate","VNEB","Y")+GETPIVOTDATA("Phase Net Units",'16'!$A$1,"Status","01 Completion","Tenure","Social/Affordable Rent","VNEB","Y")</f>
        <v>144</v>
      </c>
      <c r="K307" s="25">
        <f>I307+J307</f>
        <v>1325</v>
      </c>
      <c r="L307" s="53"/>
      <c r="M307" s="53"/>
      <c r="N307" s="53"/>
      <c r="O307" s="53"/>
      <c r="P307" s="18"/>
      <c r="Q307" s="18"/>
    </row>
    <row r="308" spans="1:17" x14ac:dyDescent="0.2">
      <c r="A308" s="99" t="s">
        <v>204</v>
      </c>
      <c r="B308" s="99"/>
      <c r="C308" s="25">
        <f>GETPIVOTDATA("Phase Net Units",'16'!$A$1,"Status","03 Planning","Tenure","Open Market","VNEB",)</f>
        <v>1278</v>
      </c>
      <c r="D308" s="25">
        <f>GETPIVOTDATA("Phase Net Units",'16'!$A$1,"Status","03 Planning","Tenure","Intermediate","VNEB",)+GETPIVOTDATA("Phase Net Units",'16'!$A$1,"Status","03 Planning","Tenure","Social/Affordable Rent","VNEB",)</f>
        <v>223</v>
      </c>
      <c r="E308" s="25">
        <f>C308+D308</f>
        <v>1501</v>
      </c>
      <c r="F308" s="25">
        <f>GETPIVOTDATA("Phase Net Units",'16'!$A$1,"Status","02 Under Construction","Tenure","Open Market","VNEB",)</f>
        <v>3039</v>
      </c>
      <c r="G308" s="25">
        <f>GETPIVOTDATA("Phase Net Units",'16'!$A$1,"Status","02 Under Construction","Tenure","Intermediate","VNEB",)+GETPIVOTDATA("Phase Net Units",'16'!$A$1,"Status","02 Under Construction","Tenure","Social/Affordable Rent","VNEB",)</f>
        <v>779</v>
      </c>
      <c r="H308" s="25">
        <f>F308+G308</f>
        <v>3818</v>
      </c>
      <c r="I308" s="25">
        <f>GETPIVOTDATA("Phase Net Units",'16'!$A$1,"Status","01 Completion","Tenure","Open Market","VNEB",)+GETPIVOTDATA("Phase Net Units",'16'!$A$1,"Status","09 Completion Correction","Tenure","Open Market","VNEB",)</f>
        <v>653</v>
      </c>
      <c r="J308" s="25">
        <f>GETPIVOTDATA("Phase Net Units",'16'!$A$1,"Status","01 Completion","Tenure","Intermediate","VNEB",)+GETPIVOTDATA("Phase Net Units",'16'!$A$1,"Status","01 Completion","Tenure","Social/Affordable Rent","VNEB",)</f>
        <v>58</v>
      </c>
      <c r="K308" s="25">
        <f>I308+J308</f>
        <v>711</v>
      </c>
      <c r="L308" s="53"/>
      <c r="M308" s="53"/>
      <c r="N308" s="53"/>
      <c r="O308" s="53"/>
      <c r="P308" s="18"/>
      <c r="Q308" s="18"/>
    </row>
    <row r="309" spans="1:17" x14ac:dyDescent="0.2">
      <c r="A309" s="251" t="s">
        <v>62</v>
      </c>
      <c r="B309" s="251"/>
      <c r="C309" s="65">
        <f t="shared" ref="C309:J309" si="28">SUM(C307:C308)</f>
        <v>3652</v>
      </c>
      <c r="D309" s="65">
        <f t="shared" si="28"/>
        <v>859</v>
      </c>
      <c r="E309" s="65">
        <f t="shared" si="28"/>
        <v>4511</v>
      </c>
      <c r="F309" s="65">
        <f t="shared" si="28"/>
        <v>11056</v>
      </c>
      <c r="G309" s="65">
        <f t="shared" si="28"/>
        <v>2201</v>
      </c>
      <c r="H309" s="65">
        <f t="shared" si="28"/>
        <v>13257</v>
      </c>
      <c r="I309" s="65">
        <f t="shared" si="28"/>
        <v>1834</v>
      </c>
      <c r="J309" s="65">
        <f t="shared" si="28"/>
        <v>202</v>
      </c>
      <c r="K309" s="65">
        <f>SUM(K307:K308)</f>
        <v>2036</v>
      </c>
      <c r="L309" s="53"/>
      <c r="M309" s="53"/>
      <c r="N309" s="53"/>
      <c r="O309" s="53"/>
      <c r="P309" s="18"/>
      <c r="Q309" s="18"/>
    </row>
    <row r="310" spans="1:17" x14ac:dyDescent="0.2">
      <c r="A310" s="138"/>
      <c r="B310" s="138"/>
      <c r="C310" s="22"/>
      <c r="D310" s="22"/>
      <c r="E310" s="22"/>
      <c r="F310" s="22"/>
      <c r="G310" s="22"/>
      <c r="H310" s="22"/>
      <c r="I310" s="22"/>
      <c r="J310" s="22"/>
      <c r="K310" s="22"/>
      <c r="L310" s="53"/>
      <c r="M310" s="53"/>
      <c r="N310" s="53"/>
      <c r="O310" s="53"/>
      <c r="P310" s="18"/>
      <c r="Q310" s="18"/>
    </row>
    <row r="311" spans="1:17" x14ac:dyDescent="0.2">
      <c r="A311" s="12"/>
      <c r="B311" s="12"/>
      <c r="C311" s="14"/>
      <c r="D311" s="13"/>
      <c r="E311" s="13"/>
      <c r="F311" s="13"/>
      <c r="G311" s="13"/>
      <c r="H311" s="13"/>
      <c r="I311" s="13"/>
      <c r="J311" s="53"/>
      <c r="K311" s="53"/>
      <c r="L311" s="53"/>
      <c r="M311" s="53"/>
      <c r="N311" s="53"/>
      <c r="O311" s="53"/>
      <c r="P311" s="18"/>
      <c r="Q311" s="18"/>
    </row>
    <row r="312" spans="1:17" ht="18" x14ac:dyDescent="0.25">
      <c r="A312" s="127" t="s">
        <v>189</v>
      </c>
      <c r="B312" s="53"/>
      <c r="C312" s="53"/>
      <c r="D312" s="53"/>
      <c r="E312" s="53"/>
      <c r="F312" s="53"/>
      <c r="G312" s="53"/>
      <c r="H312" s="53"/>
      <c r="I312" s="53"/>
      <c r="J312" s="53"/>
      <c r="K312" s="53"/>
      <c r="L312" s="23"/>
      <c r="M312" s="53"/>
      <c r="N312" s="53"/>
      <c r="O312" s="53"/>
      <c r="P312" s="18"/>
      <c r="Q312" s="18"/>
    </row>
    <row r="313" spans="1:17" x14ac:dyDescent="0.2">
      <c r="A313" s="53"/>
      <c r="B313" s="53"/>
      <c r="C313" s="53"/>
      <c r="D313" s="53"/>
      <c r="E313" s="53"/>
      <c r="F313" s="53"/>
      <c r="G313" s="53"/>
      <c r="H313" s="53"/>
      <c r="I313" s="53"/>
      <c r="J313" s="53"/>
      <c r="K313" s="53"/>
      <c r="L313" s="53"/>
      <c r="M313" s="53"/>
      <c r="N313" s="53"/>
      <c r="O313" s="53"/>
      <c r="P313" s="18"/>
      <c r="Q313" s="18"/>
    </row>
    <row r="314" spans="1:17" x14ac:dyDescent="0.2">
      <c r="A314" s="52" t="s">
        <v>367</v>
      </c>
      <c r="B314" s="52" t="s">
        <v>209</v>
      </c>
      <c r="C314" s="53"/>
      <c r="D314" s="53"/>
      <c r="E314" s="53"/>
      <c r="F314" s="53"/>
      <c r="G314" s="53"/>
      <c r="H314" s="53"/>
      <c r="I314" s="53"/>
      <c r="J314" s="17"/>
      <c r="K314" s="53"/>
      <c r="L314" s="17"/>
      <c r="M314" s="53"/>
      <c r="N314" s="53"/>
      <c r="O314" s="53"/>
      <c r="P314" s="18"/>
      <c r="Q314" s="18"/>
    </row>
    <row r="315" spans="1:17" x14ac:dyDescent="0.2">
      <c r="A315" s="255" t="s">
        <v>409</v>
      </c>
      <c r="B315" s="257"/>
      <c r="C315" s="100" t="s">
        <v>190</v>
      </c>
      <c r="D315" s="100" t="s">
        <v>191</v>
      </c>
      <c r="E315" s="100" t="s">
        <v>192</v>
      </c>
      <c r="F315" s="100" t="s">
        <v>193</v>
      </c>
      <c r="G315" s="100" t="s">
        <v>194</v>
      </c>
      <c r="H315" s="100" t="s">
        <v>195</v>
      </c>
      <c r="I315" s="100" t="s">
        <v>196</v>
      </c>
      <c r="J315" s="100" t="s">
        <v>62</v>
      </c>
      <c r="K315" s="53"/>
      <c r="L315" s="53"/>
      <c r="M315" s="53"/>
      <c r="N315" s="53"/>
      <c r="O315" s="53"/>
      <c r="P315" s="18"/>
      <c r="Q315" s="18"/>
    </row>
    <row r="316" spans="1:17" x14ac:dyDescent="0.2">
      <c r="A316" s="267" t="s">
        <v>239</v>
      </c>
      <c r="B316" s="267"/>
      <c r="C316" s="25">
        <f>GETPIVOTDATA("Sum of Net Studio Units",'17'!$A$4,"Tenure","Open Market")</f>
        <v>103</v>
      </c>
      <c r="D316" s="25">
        <f>GETPIVOTDATA("Sum of Net 1 Bed Units",'17'!$A$4,"Tenure","Open Market")</f>
        <v>475</v>
      </c>
      <c r="E316" s="25">
        <f>GETPIVOTDATA("Sum of Net 2 Bed Units",'17'!$A$4,"Tenure","Open Market")</f>
        <v>757</v>
      </c>
      <c r="F316" s="25">
        <f>GETPIVOTDATA("Sum of Net 3 Bed Units",'17'!$A$4,"Tenure","Open Market")</f>
        <v>312</v>
      </c>
      <c r="G316" s="25">
        <f>GETPIVOTDATA("Sum of Net 4 Bed Units",'17'!$A$4,"Tenure","Open Market")</f>
        <v>24</v>
      </c>
      <c r="H316" s="25">
        <f>GETPIVOTDATA("Sum of Net 5+ Bed Units",'17'!$A$4,"Tenure","Open Market")</f>
        <v>1</v>
      </c>
      <c r="I316" s="25">
        <f>GETPIVOTDATA("Sum of Net Not Known Bed Units",'17'!$A$4,"Tenure","Open Market")</f>
        <v>0</v>
      </c>
      <c r="J316" s="25">
        <f t="shared" ref="J316:J323" si="29">SUM(C316:I316)</f>
        <v>1672</v>
      </c>
      <c r="K316" s="53"/>
      <c r="L316" s="53"/>
      <c r="M316" s="53"/>
      <c r="N316" s="53"/>
      <c r="O316" s="53"/>
      <c r="P316" s="18"/>
      <c r="Q316" s="18"/>
    </row>
    <row r="317" spans="1:17" x14ac:dyDescent="0.2">
      <c r="A317" s="267"/>
      <c r="B317" s="267"/>
      <c r="C317" s="42">
        <f t="shared" ref="C317:I317" si="30">C316/$J$316</f>
        <v>6.1602870813397131E-2</v>
      </c>
      <c r="D317" s="42">
        <f t="shared" si="30"/>
        <v>0.28409090909090912</v>
      </c>
      <c r="E317" s="42">
        <f t="shared" si="30"/>
        <v>0.45275119617224879</v>
      </c>
      <c r="F317" s="42">
        <f t="shared" si="30"/>
        <v>0.18660287081339713</v>
      </c>
      <c r="G317" s="42">
        <f t="shared" si="30"/>
        <v>1.4354066985645933E-2</v>
      </c>
      <c r="H317" s="42">
        <f t="shared" si="30"/>
        <v>5.9808612440191385E-4</v>
      </c>
      <c r="I317" s="42">
        <f t="shared" si="30"/>
        <v>0</v>
      </c>
      <c r="J317" s="42">
        <f t="shared" si="29"/>
        <v>1</v>
      </c>
      <c r="K317" s="53"/>
      <c r="L317" s="53"/>
      <c r="M317" s="53"/>
      <c r="N317" s="53"/>
      <c r="O317" s="53"/>
      <c r="P317" s="18"/>
      <c r="Q317" s="18"/>
    </row>
    <row r="318" spans="1:17" x14ac:dyDescent="0.2">
      <c r="A318" s="267" t="s">
        <v>74</v>
      </c>
      <c r="B318" s="267"/>
      <c r="C318" s="25">
        <f>GETPIVOTDATA("Sum of Net Studio Units",'17'!$A$4,"Tenure","Intermediate")</f>
        <v>0</v>
      </c>
      <c r="D318" s="25">
        <f>GETPIVOTDATA("Sum of Net 1 Bed Units",'17'!$A$4,"Tenure","Intermediate")</f>
        <v>55</v>
      </c>
      <c r="E318" s="25">
        <f>GETPIVOTDATA("Sum of Net 2 Bed Units",'17'!$A$4,"Tenure","Intermediate")</f>
        <v>71</v>
      </c>
      <c r="F318" s="25">
        <f>GETPIVOTDATA("Sum of Net 3 Bed Units",'17'!$A$4,"Tenure","Intermediate")</f>
        <v>14</v>
      </c>
      <c r="G318" s="25">
        <f>GETPIVOTDATA("Sum of Net 4 Bed Units",'17'!$A$4,"Tenure","Intermediate")</f>
        <v>0</v>
      </c>
      <c r="H318" s="25">
        <f>GETPIVOTDATA("Sum of Net 5+ Bed Units",'17'!$A$4,"Tenure","Intermediate")</f>
        <v>0</v>
      </c>
      <c r="I318" s="25">
        <f>GETPIVOTDATA("Sum of Net Not Known Bed Units",'17'!$A$4,"Tenure","Intermediate")</f>
        <v>0</v>
      </c>
      <c r="J318" s="25">
        <f t="shared" si="29"/>
        <v>140</v>
      </c>
      <c r="K318" s="53"/>
      <c r="L318" s="18"/>
      <c r="M318" s="18"/>
      <c r="N318" s="18"/>
      <c r="O318" s="18"/>
      <c r="P318" s="18"/>
      <c r="Q318" s="18"/>
    </row>
    <row r="319" spans="1:17" x14ac:dyDescent="0.2">
      <c r="A319" s="267"/>
      <c r="B319" s="267"/>
      <c r="C319" s="42">
        <f t="shared" ref="C319:I319" si="31">C318/$J$318</f>
        <v>0</v>
      </c>
      <c r="D319" s="42">
        <f t="shared" si="31"/>
        <v>0.39285714285714285</v>
      </c>
      <c r="E319" s="42">
        <f t="shared" si="31"/>
        <v>0.50714285714285712</v>
      </c>
      <c r="F319" s="42">
        <f t="shared" si="31"/>
        <v>0.1</v>
      </c>
      <c r="G319" s="42">
        <f t="shared" si="31"/>
        <v>0</v>
      </c>
      <c r="H319" s="42">
        <f t="shared" si="31"/>
        <v>0</v>
      </c>
      <c r="I319" s="42">
        <f t="shared" si="31"/>
        <v>0</v>
      </c>
      <c r="J319" s="42">
        <f>SUM(C319:I319)</f>
        <v>0.99999999999999989</v>
      </c>
      <c r="K319" s="53"/>
      <c r="L319" s="53"/>
      <c r="M319" s="53"/>
      <c r="N319" s="53"/>
      <c r="O319" s="53"/>
      <c r="P319" s="18"/>
      <c r="Q319" s="18"/>
    </row>
    <row r="320" spans="1:17" x14ac:dyDescent="0.2">
      <c r="A320" s="268" t="s">
        <v>154</v>
      </c>
      <c r="B320" s="267"/>
      <c r="C320" s="25">
        <f>GETPIVOTDATA("Sum of Net Studio Units",'17'!$A$4,"Tenure","Social/Affordable Rent")</f>
        <v>0</v>
      </c>
      <c r="D320" s="25">
        <f>GETPIVOTDATA("Sum of Net 1 Bed Units",'17'!$A$4,"Tenure","Social/Affordable Rent")</f>
        <v>7</v>
      </c>
      <c r="E320" s="25">
        <f>GETPIVOTDATA("Sum of Net 2 Bed Units",'17'!$A$4,"Tenure","Social/Affordable Rent")</f>
        <v>21</v>
      </c>
      <c r="F320" s="25">
        <f>GETPIVOTDATA("Sum of Net 3 Bed Units",'17'!$A$4,"Tenure","Social/Affordable Rent")</f>
        <v>27</v>
      </c>
      <c r="G320" s="25">
        <f>GETPIVOTDATA("Sum of Net 4 Bed Units",'17'!$A$4,"Tenure","Social/Affordable Rent")</f>
        <v>3</v>
      </c>
      <c r="H320" s="25">
        <f>GETPIVOTDATA("Sum of Net 5+ Bed Units",'17'!$A$4,"Tenure","Social/Affordable Rent")</f>
        <v>0</v>
      </c>
      <c r="I320" s="25">
        <f>GETPIVOTDATA("Sum of Net Not Known Bed Units",'17'!$A$4,"Tenure","Social/Affordable Rent")</f>
        <v>0</v>
      </c>
      <c r="J320" s="25">
        <f t="shared" si="29"/>
        <v>58</v>
      </c>
      <c r="K320" s="53"/>
      <c r="L320" s="53"/>
      <c r="M320" s="53"/>
      <c r="N320" s="53"/>
      <c r="O320" s="53"/>
      <c r="P320" s="18"/>
      <c r="Q320" s="18"/>
    </row>
    <row r="321" spans="1:17" x14ac:dyDescent="0.2">
      <c r="A321" s="267"/>
      <c r="B321" s="267"/>
      <c r="C321" s="42">
        <f t="shared" ref="C321:I321" si="32">C320/$J$320</f>
        <v>0</v>
      </c>
      <c r="D321" s="42">
        <f t="shared" si="32"/>
        <v>0.1206896551724138</v>
      </c>
      <c r="E321" s="42">
        <f t="shared" si="32"/>
        <v>0.36206896551724138</v>
      </c>
      <c r="F321" s="42">
        <f t="shared" si="32"/>
        <v>0.46551724137931033</v>
      </c>
      <c r="G321" s="42">
        <f t="shared" si="32"/>
        <v>5.1724137931034482E-2</v>
      </c>
      <c r="H321" s="42">
        <f t="shared" si="32"/>
        <v>0</v>
      </c>
      <c r="I321" s="42">
        <f t="shared" si="32"/>
        <v>0</v>
      </c>
      <c r="J321" s="42">
        <f t="shared" si="29"/>
        <v>1</v>
      </c>
      <c r="K321" s="53"/>
      <c r="L321" s="53"/>
      <c r="M321" s="53"/>
      <c r="N321" s="53"/>
      <c r="O321" s="53"/>
      <c r="P321" s="18"/>
      <c r="Q321" s="18"/>
    </row>
    <row r="322" spans="1:17" x14ac:dyDescent="0.2">
      <c r="A322" s="266" t="s">
        <v>62</v>
      </c>
      <c r="B322" s="266"/>
      <c r="C322" s="65">
        <f>SUM(C316,C318,C320)</f>
        <v>103</v>
      </c>
      <c r="D322" s="65">
        <f t="shared" ref="D322:I322" si="33">SUM(D316,D318,D320)</f>
        <v>537</v>
      </c>
      <c r="E322" s="65">
        <f t="shared" si="33"/>
        <v>849</v>
      </c>
      <c r="F322" s="65">
        <f t="shared" si="33"/>
        <v>353</v>
      </c>
      <c r="G322" s="65">
        <f t="shared" si="33"/>
        <v>27</v>
      </c>
      <c r="H322" s="65">
        <f t="shared" si="33"/>
        <v>1</v>
      </c>
      <c r="I322" s="65">
        <f t="shared" si="33"/>
        <v>0</v>
      </c>
      <c r="J322" s="65">
        <f>SUM(C322:I322)</f>
        <v>1870</v>
      </c>
      <c r="K322" s="53"/>
      <c r="L322" s="53"/>
      <c r="M322" s="53"/>
      <c r="N322" s="53"/>
      <c r="O322" s="53"/>
      <c r="P322" s="18"/>
      <c r="Q322" s="18"/>
    </row>
    <row r="323" spans="1:17" x14ac:dyDescent="0.2">
      <c r="A323" s="266"/>
      <c r="B323" s="266"/>
      <c r="C323" s="26">
        <f t="shared" ref="C323:I323" si="34">C322/$J$322</f>
        <v>5.5080213903743312E-2</v>
      </c>
      <c r="D323" s="41">
        <f t="shared" si="34"/>
        <v>0.28716577540106952</v>
      </c>
      <c r="E323" s="41">
        <f t="shared" si="34"/>
        <v>0.4540106951871658</v>
      </c>
      <c r="F323" s="41">
        <f t="shared" si="34"/>
        <v>0.18877005347593584</v>
      </c>
      <c r="G323" s="41">
        <f t="shared" si="34"/>
        <v>1.4438502673796792E-2</v>
      </c>
      <c r="H323" s="41">
        <f t="shared" si="34"/>
        <v>5.3475935828877007E-4</v>
      </c>
      <c r="I323" s="41">
        <f t="shared" si="34"/>
        <v>0</v>
      </c>
      <c r="J323" s="41">
        <f t="shared" si="29"/>
        <v>1</v>
      </c>
      <c r="K323" s="53"/>
      <c r="L323" s="53"/>
      <c r="M323" s="53"/>
      <c r="N323" s="53"/>
      <c r="O323" s="53"/>
      <c r="P323" s="18"/>
      <c r="Q323" s="18"/>
    </row>
    <row r="324" spans="1:17" x14ac:dyDescent="0.2">
      <c r="A324" s="53"/>
      <c r="B324" s="16"/>
      <c r="C324" s="16"/>
      <c r="D324" s="16"/>
      <c r="E324" s="16"/>
      <c r="F324" s="16"/>
      <c r="G324" s="16"/>
      <c r="H324" s="16"/>
      <c r="I324" s="53"/>
      <c r="J324" s="53"/>
      <c r="K324" s="53"/>
      <c r="L324" s="53"/>
      <c r="M324" s="53"/>
      <c r="N324" s="53"/>
      <c r="O324" s="53"/>
      <c r="P324" s="18"/>
      <c r="Q324" s="18"/>
    </row>
    <row r="325" spans="1:17" x14ac:dyDescent="0.2">
      <c r="A325" s="18"/>
      <c r="B325" s="18"/>
      <c r="C325" s="18"/>
      <c r="D325" s="18"/>
      <c r="E325" s="18"/>
      <c r="F325" s="18"/>
      <c r="G325" s="18"/>
      <c r="H325" s="18"/>
      <c r="I325" s="18"/>
      <c r="J325" s="18"/>
      <c r="K325" s="18"/>
      <c r="L325" s="53"/>
      <c r="M325" s="53"/>
      <c r="N325" s="53"/>
      <c r="O325" s="53"/>
      <c r="P325" s="18"/>
      <c r="Q325" s="18"/>
    </row>
    <row r="326" spans="1:17" x14ac:dyDescent="0.2">
      <c r="A326" s="52" t="s">
        <v>368</v>
      </c>
      <c r="B326" s="52" t="s">
        <v>396</v>
      </c>
      <c r="C326" s="53"/>
      <c r="D326" s="53"/>
      <c r="E326" s="53"/>
      <c r="F326" s="53"/>
      <c r="G326" s="53"/>
      <c r="H326" s="53"/>
      <c r="I326" s="53"/>
      <c r="J326" s="17"/>
      <c r="K326" s="53"/>
      <c r="L326" s="23"/>
      <c r="M326" s="53"/>
      <c r="N326" s="53"/>
      <c r="O326" s="53"/>
      <c r="P326" s="18"/>
      <c r="Q326" s="18"/>
    </row>
    <row r="327" spans="1:17" x14ac:dyDescent="0.2">
      <c r="A327" s="255" t="s">
        <v>409</v>
      </c>
      <c r="B327" s="257"/>
      <c r="C327" s="100" t="s">
        <v>190</v>
      </c>
      <c r="D327" s="100" t="s">
        <v>191</v>
      </c>
      <c r="E327" s="100" t="s">
        <v>192</v>
      </c>
      <c r="F327" s="100" t="s">
        <v>193</v>
      </c>
      <c r="G327" s="100" t="s">
        <v>194</v>
      </c>
      <c r="H327" s="100" t="s">
        <v>195</v>
      </c>
      <c r="I327" s="100" t="s">
        <v>196</v>
      </c>
      <c r="J327" s="100" t="s">
        <v>62</v>
      </c>
      <c r="K327" s="53"/>
      <c r="L327" s="53"/>
      <c r="M327" s="53"/>
      <c r="N327" s="53"/>
      <c r="O327" s="53"/>
      <c r="P327" s="18"/>
      <c r="Q327" s="18"/>
    </row>
    <row r="328" spans="1:17" x14ac:dyDescent="0.2">
      <c r="A328" s="267" t="s">
        <v>239</v>
      </c>
      <c r="B328" s="267"/>
      <c r="C328" s="25">
        <f>GETPIVOTDATA("Sum of Net Studio Units",'18'!$A$4,"Tenure","Open Market")</f>
        <v>574</v>
      </c>
      <c r="D328" s="25">
        <f>GETPIVOTDATA("Sum of Net 1 Bed Units",'18'!$A$4,"Tenure","Open Market")</f>
        <v>2815</v>
      </c>
      <c r="E328" s="25">
        <f>GETPIVOTDATA("Sum of Net 2 Bed Units",'18'!$A$4,"Tenure","Open Market")</f>
        <v>6341</v>
      </c>
      <c r="F328" s="25">
        <f>GETPIVOTDATA("Sum of Net 3 Bed Units",'18'!$A$4,"Tenure","Open Market")</f>
        <v>2394</v>
      </c>
      <c r="G328" s="25">
        <f>GETPIVOTDATA("Sum of Net 4 Bed Units",'18'!$A$4,"Tenure","Open Market")</f>
        <v>282</v>
      </c>
      <c r="H328" s="25">
        <f>GETPIVOTDATA("Sum of Net 5+ Bed Units",'18'!$A$4,"Tenure","Open Market")</f>
        <v>203</v>
      </c>
      <c r="I328" s="25">
        <f>GETPIVOTDATA("Sum of Net Not Known Bed Units",'18'!$A$4,"Tenure","Open Market")</f>
        <v>-2</v>
      </c>
      <c r="J328" s="25">
        <f>SUM(C328:I328)</f>
        <v>12607</v>
      </c>
      <c r="K328" s="53"/>
      <c r="L328" s="53"/>
      <c r="M328" s="53"/>
      <c r="N328" s="53"/>
      <c r="O328" s="53"/>
      <c r="P328" s="18"/>
      <c r="Q328" s="18"/>
    </row>
    <row r="329" spans="1:17" x14ac:dyDescent="0.2">
      <c r="A329" s="267"/>
      <c r="B329" s="267"/>
      <c r="C329" s="42">
        <f t="shared" ref="C329:I329" si="35">C328/$J$328</f>
        <v>4.5530260966129929E-2</v>
      </c>
      <c r="D329" s="42">
        <f t="shared" si="35"/>
        <v>0.22328864916316332</v>
      </c>
      <c r="E329" s="42">
        <f t="shared" si="35"/>
        <v>0.50297453795510427</v>
      </c>
      <c r="F329" s="42">
        <f t="shared" si="35"/>
        <v>0.18989450305385897</v>
      </c>
      <c r="G329" s="42">
        <f t="shared" si="35"/>
        <v>2.2368525422384388E-2</v>
      </c>
      <c r="H329" s="42">
        <f t="shared" si="35"/>
        <v>1.6102165463631316E-2</v>
      </c>
      <c r="I329" s="42">
        <f t="shared" si="35"/>
        <v>-1.5864202427222972E-4</v>
      </c>
      <c r="J329" s="42">
        <f>SUM(C329:I329)</f>
        <v>1</v>
      </c>
      <c r="K329" s="53"/>
      <c r="L329" s="53"/>
      <c r="M329" s="53"/>
      <c r="N329" s="53"/>
      <c r="O329" s="53"/>
      <c r="P329" s="18"/>
      <c r="Q329" s="18"/>
    </row>
    <row r="330" spans="1:17" x14ac:dyDescent="0.2">
      <c r="A330" s="267" t="s">
        <v>74</v>
      </c>
      <c r="B330" s="267"/>
      <c r="C330" s="25">
        <f>GETPIVOTDATA("Sum of Net Studio Units",'18'!$A$4,"Tenure","Intermediate")</f>
        <v>1</v>
      </c>
      <c r="D330" s="25">
        <f>GETPIVOTDATA("Sum of Net 1 Bed Units",'18'!$A$4,"Tenure","Intermediate")</f>
        <v>740</v>
      </c>
      <c r="E330" s="25">
        <f>GETPIVOTDATA("Sum of Net 2 Bed Units",'18'!$A$4,"Tenure","Intermediate")</f>
        <v>717</v>
      </c>
      <c r="F330" s="25">
        <f>GETPIVOTDATA("Sum of Net 3 Bed Units",'18'!$A$4,"Tenure","Intermediate")</f>
        <v>201</v>
      </c>
      <c r="G330" s="25">
        <f>GETPIVOTDATA("Sum of Net 4 Bed Units",'18'!$A$4,"Tenure","Intermediate")</f>
        <v>54</v>
      </c>
      <c r="H330" s="25">
        <f>GETPIVOTDATA("Sum of Net 5+ Bed Units",'18'!$A$4,"Tenure","Intermediate")</f>
        <v>0</v>
      </c>
      <c r="I330" s="25">
        <f>GETPIVOTDATA("Sum of Net Not Known Bed Units",'18'!$A$4,"Tenure","Intermediate")</f>
        <v>0</v>
      </c>
      <c r="J330" s="25">
        <f>SUM(C330:I330)</f>
        <v>1713</v>
      </c>
      <c r="K330" s="53"/>
      <c r="L330" s="53"/>
      <c r="M330" s="53"/>
      <c r="N330" s="53"/>
      <c r="O330" s="53"/>
      <c r="P330" s="18"/>
      <c r="Q330" s="18"/>
    </row>
    <row r="331" spans="1:17" x14ac:dyDescent="0.2">
      <c r="A331" s="267"/>
      <c r="B331" s="267"/>
      <c r="C331" s="42">
        <f t="shared" ref="C331:I331" si="36">C330/$J$330</f>
        <v>5.837711617046118E-4</v>
      </c>
      <c r="D331" s="42">
        <f t="shared" si="36"/>
        <v>0.4319906596614127</v>
      </c>
      <c r="E331" s="42">
        <f t="shared" si="36"/>
        <v>0.41856392294220668</v>
      </c>
      <c r="F331" s="42">
        <f t="shared" si="36"/>
        <v>0.11733800350262696</v>
      </c>
      <c r="G331" s="42">
        <f t="shared" si="36"/>
        <v>3.1523642732049037E-2</v>
      </c>
      <c r="H331" s="42">
        <f t="shared" si="36"/>
        <v>0</v>
      </c>
      <c r="I331" s="42">
        <f t="shared" si="36"/>
        <v>0</v>
      </c>
      <c r="J331" s="42">
        <f>SUM(C331:I331)</f>
        <v>0.99999999999999989</v>
      </c>
      <c r="K331" s="53"/>
      <c r="L331" s="53"/>
      <c r="M331" s="53"/>
      <c r="N331" s="53"/>
      <c r="O331" s="53"/>
      <c r="P331" s="18"/>
      <c r="Q331" s="18"/>
    </row>
    <row r="332" spans="1:17" x14ac:dyDescent="0.2">
      <c r="A332" s="268" t="s">
        <v>154</v>
      </c>
      <c r="B332" s="267"/>
      <c r="C332" s="25">
        <f>GETPIVOTDATA("Sum of Net Studio Units",'18'!$A$4,"Tenure","Social/Affordable Rent")</f>
        <v>-3</v>
      </c>
      <c r="D332" s="25">
        <f>GETPIVOTDATA("Sum of Net 1 Bed Units",'18'!$A$4,"Tenure","Social/Affordable Rent")</f>
        <v>319</v>
      </c>
      <c r="E332" s="25">
        <f>GETPIVOTDATA("Sum of Net 2 Bed Units",'18'!$A$4,"Tenure","Social/Affordable Rent")</f>
        <v>445</v>
      </c>
      <c r="F332" s="25">
        <f>GETPIVOTDATA("Sum of Net 3 Bed Units",'18'!$A$4,"Tenure","Social/Affordable Rent")</f>
        <v>224</v>
      </c>
      <c r="G332" s="25">
        <f>GETPIVOTDATA("Sum of Net 4 Bed Units",'18'!$A$4,"Tenure","Social/Affordable Rent")</f>
        <v>77</v>
      </c>
      <c r="H332" s="25">
        <f>GETPIVOTDATA("Sum of Net 5+ Bed Units",'18'!$A$4,"Tenure","Social/Affordable Rent")</f>
        <v>2</v>
      </c>
      <c r="I332" s="25">
        <f>GETPIVOTDATA("Sum of Net Not Known Bed Units",'18'!$A$4,"Tenure","Social/Affordable Rent")</f>
        <v>0</v>
      </c>
      <c r="J332" s="25">
        <f>SUM(C332:I332)</f>
        <v>1064</v>
      </c>
      <c r="K332" s="53"/>
      <c r="L332" s="53"/>
      <c r="M332" s="53"/>
      <c r="N332" s="53"/>
      <c r="O332" s="53"/>
      <c r="P332" s="18"/>
      <c r="Q332" s="18"/>
    </row>
    <row r="333" spans="1:17" x14ac:dyDescent="0.2">
      <c r="A333" s="267"/>
      <c r="B333" s="267"/>
      <c r="C333" s="42">
        <f t="shared" ref="C333:I333" si="37">C332/$J$332</f>
        <v>-2.819548872180451E-3</v>
      </c>
      <c r="D333" s="42">
        <f t="shared" si="37"/>
        <v>0.29981203007518797</v>
      </c>
      <c r="E333" s="42">
        <f t="shared" si="37"/>
        <v>0.4182330827067669</v>
      </c>
      <c r="F333" s="42">
        <f t="shared" si="37"/>
        <v>0.21052631578947367</v>
      </c>
      <c r="G333" s="42">
        <f t="shared" si="37"/>
        <v>7.2368421052631582E-2</v>
      </c>
      <c r="H333" s="42">
        <f t="shared" si="37"/>
        <v>1.8796992481203006E-3</v>
      </c>
      <c r="I333" s="42">
        <f t="shared" si="37"/>
        <v>0</v>
      </c>
      <c r="J333" s="42">
        <v>1</v>
      </c>
      <c r="K333" s="53"/>
      <c r="L333" s="53"/>
      <c r="M333" s="53"/>
      <c r="N333" s="53"/>
      <c r="O333" s="53"/>
      <c r="P333" s="18"/>
      <c r="Q333" s="18"/>
    </row>
    <row r="334" spans="1:17" x14ac:dyDescent="0.2">
      <c r="A334" s="266" t="s">
        <v>62</v>
      </c>
      <c r="B334" s="266"/>
      <c r="C334" s="65">
        <f>SUM(C328,C330,C332)</f>
        <v>572</v>
      </c>
      <c r="D334" s="65">
        <f t="shared" ref="D334:I334" si="38">SUM(D328,D330,D332)</f>
        <v>3874</v>
      </c>
      <c r="E334" s="65">
        <f t="shared" si="38"/>
        <v>7503</v>
      </c>
      <c r="F334" s="65">
        <f t="shared" si="38"/>
        <v>2819</v>
      </c>
      <c r="G334" s="65">
        <f t="shared" si="38"/>
        <v>413</v>
      </c>
      <c r="H334" s="65">
        <f t="shared" si="38"/>
        <v>205</v>
      </c>
      <c r="I334" s="65">
        <f t="shared" si="38"/>
        <v>-2</v>
      </c>
      <c r="J334" s="65">
        <f>SUM(C334:I334)</f>
        <v>15384</v>
      </c>
      <c r="K334" s="53"/>
      <c r="L334" s="53"/>
      <c r="M334" s="53"/>
      <c r="N334" s="53"/>
      <c r="O334" s="53"/>
      <c r="P334" s="18"/>
      <c r="Q334" s="18"/>
    </row>
    <row r="335" spans="1:17" x14ac:dyDescent="0.2">
      <c r="A335" s="266"/>
      <c r="B335" s="266"/>
      <c r="C335" s="41">
        <f t="shared" ref="C335:I335" si="39">C334/$J$334</f>
        <v>3.718148725949038E-2</v>
      </c>
      <c r="D335" s="41">
        <f t="shared" si="39"/>
        <v>0.25182007280291213</v>
      </c>
      <c r="E335" s="41">
        <f t="shared" si="39"/>
        <v>0.48771450858034321</v>
      </c>
      <c r="F335" s="41">
        <f t="shared" si="39"/>
        <v>0.18324232969318774</v>
      </c>
      <c r="G335" s="41">
        <f t="shared" si="39"/>
        <v>2.6846073842953719E-2</v>
      </c>
      <c r="H335" s="41">
        <f t="shared" si="39"/>
        <v>1.3325533021320854E-2</v>
      </c>
      <c r="I335" s="41">
        <f t="shared" si="39"/>
        <v>-1.3000520020800833E-4</v>
      </c>
      <c r="J335" s="41">
        <f>SUM(C335:I335)</f>
        <v>1</v>
      </c>
      <c r="K335" s="53"/>
      <c r="L335" s="53"/>
      <c r="M335" s="53"/>
      <c r="N335" s="53"/>
      <c r="O335" s="53"/>
      <c r="P335" s="18"/>
      <c r="Q335" s="18"/>
    </row>
    <row r="336" spans="1:17" x14ac:dyDescent="0.2">
      <c r="A336" s="12"/>
      <c r="B336" s="16"/>
      <c r="C336" s="16"/>
      <c r="D336" s="16"/>
      <c r="E336" s="16"/>
      <c r="F336" s="16"/>
      <c r="G336" s="16"/>
      <c r="H336" s="16"/>
      <c r="I336" s="53"/>
      <c r="J336" s="53"/>
      <c r="K336" s="53"/>
      <c r="L336" s="53"/>
      <c r="M336" s="53"/>
      <c r="N336" s="53"/>
      <c r="O336" s="53"/>
      <c r="P336" s="18"/>
      <c r="Q336" s="18"/>
    </row>
    <row r="337" spans="1:17" x14ac:dyDescent="0.2">
      <c r="A337" s="12"/>
      <c r="B337" s="16"/>
      <c r="C337" s="16"/>
      <c r="D337" s="16"/>
      <c r="E337" s="16"/>
      <c r="F337" s="16"/>
      <c r="G337" s="16"/>
      <c r="H337" s="16"/>
      <c r="I337" s="53"/>
      <c r="J337" s="53"/>
      <c r="K337" s="53"/>
      <c r="L337" s="53"/>
      <c r="M337" s="53"/>
      <c r="N337" s="53"/>
      <c r="O337" s="53"/>
      <c r="P337" s="18"/>
      <c r="Q337" s="18"/>
    </row>
    <row r="338" spans="1:17" ht="18" x14ac:dyDescent="0.25">
      <c r="A338" s="127" t="s">
        <v>138</v>
      </c>
      <c r="B338" s="53"/>
      <c r="C338" s="53"/>
      <c r="D338" s="53"/>
      <c r="E338" s="53"/>
      <c r="F338" s="53"/>
      <c r="G338" s="53"/>
      <c r="H338" s="53"/>
      <c r="I338" s="53"/>
      <c r="J338" s="53"/>
      <c r="K338" s="53"/>
      <c r="L338" s="53"/>
      <c r="M338" s="53"/>
      <c r="N338" s="53"/>
      <c r="O338" s="53"/>
      <c r="P338" s="18"/>
      <c r="Q338" s="18"/>
    </row>
    <row r="339" spans="1:17" x14ac:dyDescent="0.2">
      <c r="A339" s="134"/>
      <c r="B339" s="53"/>
      <c r="C339" s="53"/>
      <c r="D339" s="53"/>
      <c r="E339" s="53"/>
      <c r="F339" s="53"/>
      <c r="G339" s="53"/>
      <c r="H339" s="53"/>
      <c r="I339" s="53"/>
      <c r="J339" s="53"/>
      <c r="K339" s="53"/>
      <c r="L339" s="53"/>
      <c r="M339" s="53"/>
      <c r="N339" s="53"/>
      <c r="O339" s="53"/>
      <c r="P339" s="18"/>
      <c r="Q339" s="18"/>
    </row>
    <row r="340" spans="1:17" x14ac:dyDescent="0.2">
      <c r="A340" s="52" t="s">
        <v>366</v>
      </c>
      <c r="B340" s="52" t="s">
        <v>3894</v>
      </c>
      <c r="C340" s="53"/>
      <c r="D340" s="53"/>
      <c r="E340" s="53"/>
      <c r="F340" s="53"/>
      <c r="G340" s="53"/>
      <c r="H340" s="53"/>
      <c r="I340" s="53"/>
      <c r="J340" s="53"/>
      <c r="K340" s="53"/>
      <c r="L340" s="53"/>
      <c r="M340" s="53"/>
      <c r="N340" s="53"/>
      <c r="O340" s="53"/>
      <c r="P340" s="18"/>
      <c r="Q340" s="18"/>
    </row>
    <row r="341" spans="1:17" x14ac:dyDescent="0.2">
      <c r="A341" s="244"/>
      <c r="B341" s="244"/>
      <c r="C341" s="100" t="s">
        <v>1</v>
      </c>
      <c r="D341" s="100" t="s">
        <v>2</v>
      </c>
      <c r="E341" s="100" t="s">
        <v>62</v>
      </c>
      <c r="F341" s="91"/>
      <c r="G341" s="91"/>
      <c r="H341" s="91"/>
      <c r="I341" s="53"/>
      <c r="J341" s="53"/>
      <c r="K341" s="53"/>
      <c r="L341" s="18"/>
      <c r="M341" s="18"/>
      <c r="N341" s="18"/>
      <c r="O341" s="18"/>
      <c r="P341" s="18"/>
      <c r="Q341" s="18"/>
    </row>
    <row r="342" spans="1:17" x14ac:dyDescent="0.2">
      <c r="A342" s="259" t="s">
        <v>157</v>
      </c>
      <c r="B342" s="259"/>
      <c r="C342" s="25">
        <v>59</v>
      </c>
      <c r="D342" s="25">
        <f>GETPIVOTDATA("Phase Proposed Units",'19'!$A$3,"Minor Residential Development Type","a")</f>
        <v>69</v>
      </c>
      <c r="E342" s="25">
        <f>SUM(C342:D342)</f>
        <v>128</v>
      </c>
      <c r="F342" s="91"/>
      <c r="G342" s="91"/>
      <c r="H342" s="91"/>
      <c r="I342" s="53"/>
      <c r="J342" s="53"/>
      <c r="K342" s="53"/>
      <c r="L342" s="53"/>
      <c r="M342" s="53"/>
      <c r="N342" s="53"/>
      <c r="O342" s="53"/>
      <c r="P342" s="18"/>
      <c r="Q342" s="18"/>
    </row>
    <row r="343" spans="1:17" x14ac:dyDescent="0.2">
      <c r="A343" s="259" t="s">
        <v>158</v>
      </c>
      <c r="B343" s="259"/>
      <c r="C343" s="25">
        <v>12</v>
      </c>
      <c r="D343" s="25">
        <f>GETPIVOTDATA("Phase Proposed Units",'19'!$A$3,"Minor Residential Development Type","b")</f>
        <v>29</v>
      </c>
      <c r="E343" s="25">
        <f t="shared" ref="E343:E348" si="40">SUM(C343:D343)</f>
        <v>41</v>
      </c>
      <c r="F343" s="91"/>
      <c r="G343" s="91"/>
      <c r="H343" s="91"/>
      <c r="I343" s="53"/>
      <c r="J343" s="53"/>
      <c r="K343" s="53"/>
      <c r="L343" s="53"/>
      <c r="M343" s="53"/>
      <c r="N343" s="53"/>
      <c r="O343" s="53"/>
      <c r="P343" s="18"/>
      <c r="Q343" s="18"/>
    </row>
    <row r="344" spans="1:17" x14ac:dyDescent="0.2">
      <c r="A344" s="259" t="s">
        <v>159</v>
      </c>
      <c r="B344" s="259"/>
      <c r="C344" s="25">
        <v>111</v>
      </c>
      <c r="D344" s="25">
        <f>GETPIVOTDATA("Phase Proposed Units",'19'!$A$3,"Minor Residential Development Type","c-")+GETPIVOTDATA("Phase Proposed Units",'19'!$A$3,"Minor Residential Development Type","c+")</f>
        <v>95</v>
      </c>
      <c r="E344" s="25">
        <f t="shared" si="40"/>
        <v>206</v>
      </c>
      <c r="F344" s="91"/>
      <c r="G344" s="91"/>
      <c r="H344" s="91"/>
      <c r="I344" s="53"/>
      <c r="J344" s="53"/>
      <c r="K344" s="53"/>
      <c r="L344" s="53"/>
      <c r="M344" s="53"/>
      <c r="N344" s="53"/>
      <c r="O344" s="53"/>
      <c r="P344" s="18"/>
      <c r="Q344" s="18"/>
    </row>
    <row r="345" spans="1:17" x14ac:dyDescent="0.2">
      <c r="A345" s="222" t="s">
        <v>3891</v>
      </c>
      <c r="B345" s="261"/>
      <c r="C345" s="25"/>
      <c r="D345" s="25">
        <f>GETPIVOTDATA("Phase Proposed Units",'19'!$A$3,"Minor Residential Development Type","j+")</f>
        <v>2</v>
      </c>
      <c r="E345" s="25">
        <f t="shared" si="40"/>
        <v>2</v>
      </c>
      <c r="F345" s="91"/>
      <c r="G345" s="91"/>
      <c r="H345" s="91"/>
      <c r="I345" s="53"/>
      <c r="J345" s="53"/>
      <c r="K345" s="53"/>
      <c r="L345" s="53"/>
      <c r="M345" s="53"/>
      <c r="N345" s="53"/>
      <c r="O345" s="53"/>
      <c r="P345" s="18"/>
      <c r="Q345" s="18"/>
    </row>
    <row r="346" spans="1:17" ht="12.75" customHeight="1" x14ac:dyDescent="0.2">
      <c r="A346" s="260" t="s">
        <v>3893</v>
      </c>
      <c r="B346" s="259"/>
      <c r="C346" s="25">
        <v>290</v>
      </c>
      <c r="D346" s="25">
        <f>GETPIVOTDATA("Phase Proposed Units",'19'!$A$3,"Minor Residential Development Type","d")+GETPIVOTDATA("Phase Proposed Units",'19'!$A$3,"Minor Residential Development Type","e")+GETPIVOTDATA("Phase Proposed Units",'19'!$A$3,"Minor Residential Development Type","f")+GETPIVOTDATA("Phase Proposed Units",'19'!$A$3,"Minor Residential Development Type","g")+GETPIVOTDATA("Phase Proposed Units",'19'!$A$3,"Minor Residential Development Type","h")+GETPIVOTDATA("Phase Proposed Units",'19'!$A$3,"Minor Residential Development Type","n/a")</f>
        <v>148</v>
      </c>
      <c r="E346" s="25">
        <f t="shared" si="40"/>
        <v>438</v>
      </c>
      <c r="F346" s="91"/>
      <c r="G346" s="91"/>
      <c r="H346" s="91"/>
      <c r="I346" s="53"/>
      <c r="J346" s="53"/>
      <c r="K346" s="53"/>
      <c r="L346" s="53"/>
      <c r="M346" s="53"/>
      <c r="N346" s="53"/>
      <c r="O346" s="53"/>
      <c r="P346" s="18"/>
      <c r="Q346" s="18"/>
    </row>
    <row r="347" spans="1:17" ht="12.75" customHeight="1" x14ac:dyDescent="0.2">
      <c r="A347" s="222" t="s">
        <v>3892</v>
      </c>
      <c r="B347" s="261"/>
      <c r="C347" s="25">
        <v>6</v>
      </c>
      <c r="D347" s="25">
        <f>GETPIVOTDATA("Phase Proposed Units",'19'!$A$3,"Minor Residential Development Type","k")</f>
        <v>13</v>
      </c>
      <c r="E347" s="25">
        <f t="shared" si="40"/>
        <v>19</v>
      </c>
      <c r="F347" s="91"/>
      <c r="G347" s="91"/>
      <c r="H347" s="91"/>
      <c r="I347" s="53"/>
      <c r="J347" s="53"/>
      <c r="K347" s="53"/>
      <c r="L347" s="53"/>
      <c r="M347" s="53"/>
      <c r="N347" s="53"/>
      <c r="O347" s="53"/>
      <c r="P347" s="18"/>
      <c r="Q347" s="18"/>
    </row>
    <row r="348" spans="1:17" ht="12.75" customHeight="1" x14ac:dyDescent="0.2">
      <c r="A348" s="251" t="s">
        <v>62</v>
      </c>
      <c r="B348" s="251"/>
      <c r="C348" s="65">
        <f>SUM(C342:C347)</f>
        <v>478</v>
      </c>
      <c r="D348" s="65">
        <f>SUM(D342:D347)</f>
        <v>356</v>
      </c>
      <c r="E348" s="65">
        <f t="shared" si="40"/>
        <v>834</v>
      </c>
      <c r="F348" s="91"/>
      <c r="G348" s="91"/>
      <c r="H348" s="91"/>
      <c r="I348" s="53"/>
      <c r="J348" s="53"/>
      <c r="K348" s="53"/>
      <c r="L348" s="53"/>
      <c r="M348" s="53"/>
      <c r="N348" s="53"/>
      <c r="O348" s="53"/>
      <c r="P348" s="18"/>
      <c r="Q348" s="18"/>
    </row>
    <row r="349" spans="1:17" ht="12.75" customHeight="1" x14ac:dyDescent="0.2">
      <c r="A349" s="53"/>
      <c r="B349" s="53"/>
      <c r="C349" s="53"/>
      <c r="D349" s="53"/>
      <c r="E349" s="53"/>
      <c r="F349" s="59"/>
      <c r="G349" s="59"/>
      <c r="H349" s="59"/>
      <c r="I349" s="53"/>
      <c r="J349" s="53"/>
      <c r="K349" s="53"/>
      <c r="L349" s="53"/>
      <c r="M349" s="53"/>
      <c r="N349" s="53"/>
      <c r="O349" s="53"/>
      <c r="P349" s="18"/>
      <c r="Q349" s="18"/>
    </row>
    <row r="350" spans="1:17" x14ac:dyDescent="0.2">
      <c r="A350" s="52" t="s">
        <v>420</v>
      </c>
      <c r="B350" s="52" t="s">
        <v>3895</v>
      </c>
      <c r="C350" s="17"/>
      <c r="D350" s="17"/>
      <c r="E350" s="17"/>
      <c r="F350" s="91"/>
      <c r="G350" s="91"/>
      <c r="H350" s="91"/>
      <c r="I350" s="18"/>
      <c r="J350" s="18"/>
      <c r="K350" s="18"/>
      <c r="L350" s="53"/>
      <c r="M350" s="53"/>
      <c r="N350" s="53"/>
      <c r="O350" s="53"/>
      <c r="P350" s="53"/>
      <c r="Q350" s="53"/>
    </row>
    <row r="351" spans="1:17" ht="12.75" customHeight="1" x14ac:dyDescent="0.2">
      <c r="A351" s="244"/>
      <c r="B351" s="244"/>
      <c r="C351" s="100" t="s">
        <v>1</v>
      </c>
      <c r="D351" s="100" t="s">
        <v>2</v>
      </c>
      <c r="E351" s="100" t="s">
        <v>62</v>
      </c>
      <c r="F351" s="91"/>
      <c r="G351" s="91"/>
      <c r="H351" s="91"/>
      <c r="I351" s="53"/>
      <c r="J351" s="53"/>
      <c r="K351" s="53"/>
      <c r="L351" s="18"/>
      <c r="M351" s="18"/>
      <c r="N351" s="18"/>
      <c r="O351" s="18"/>
      <c r="P351" s="18"/>
      <c r="Q351" s="53"/>
    </row>
    <row r="352" spans="1:17" ht="12.75" customHeight="1" x14ac:dyDescent="0.2">
      <c r="A352" s="259" t="s">
        <v>157</v>
      </c>
      <c r="B352" s="259"/>
      <c r="C352" s="37">
        <v>131</v>
      </c>
      <c r="D352" s="37">
        <f>GETPIVOTDATA("Phase Proposed Units",'20'!$A$3,"Minor Residential Development Type","a")</f>
        <v>129</v>
      </c>
      <c r="E352" s="25">
        <f>SUM(C352:D352)</f>
        <v>260</v>
      </c>
      <c r="F352" s="91"/>
      <c r="G352" s="91"/>
      <c r="H352" s="91"/>
      <c r="I352" s="53"/>
      <c r="J352" s="53"/>
      <c r="K352" s="53"/>
      <c r="L352" s="53"/>
      <c r="M352" s="53"/>
      <c r="N352" s="53"/>
      <c r="O352" s="53"/>
      <c r="P352" s="53"/>
      <c r="Q352" s="53"/>
    </row>
    <row r="353" spans="1:17" ht="12.75" customHeight="1" x14ac:dyDescent="0.2">
      <c r="A353" s="259" t="s">
        <v>158</v>
      </c>
      <c r="B353" s="259"/>
      <c r="C353" s="25">
        <v>42</v>
      </c>
      <c r="D353" s="25">
        <f>GETPIVOTDATA("Phase Proposed Units",'20'!$A$3,"Minor Residential Development Type","b")</f>
        <v>26</v>
      </c>
      <c r="E353" s="25">
        <f t="shared" ref="E353:E358" si="41">SUM(C353:D353)</f>
        <v>68</v>
      </c>
      <c r="F353" s="91"/>
      <c r="G353" s="91"/>
      <c r="H353" s="91"/>
      <c r="I353" s="53"/>
      <c r="J353" s="53"/>
      <c r="K353" s="53"/>
      <c r="L353" s="53"/>
      <c r="M353" s="53"/>
      <c r="N353" s="53"/>
      <c r="O353" s="53"/>
      <c r="P353" s="53"/>
      <c r="Q353" s="53"/>
    </row>
    <row r="354" spans="1:17" ht="12.75" customHeight="1" x14ac:dyDescent="0.2">
      <c r="A354" s="259" t="s">
        <v>159</v>
      </c>
      <c r="B354" s="259"/>
      <c r="C354" s="25">
        <v>234</v>
      </c>
      <c r="D354" s="25">
        <f>GETPIVOTDATA("Phase Proposed Units",'20'!$A$3,"Minor Residential Development Type","c-")+GETPIVOTDATA("Phase Proposed Units",'20'!$A$3,"Minor Residential Development Type","c+")</f>
        <v>247</v>
      </c>
      <c r="E354" s="25">
        <f t="shared" si="41"/>
        <v>481</v>
      </c>
      <c r="F354" s="91"/>
      <c r="G354" s="91"/>
      <c r="H354" s="91"/>
      <c r="I354" s="53"/>
      <c r="J354" s="53"/>
      <c r="K354" s="53"/>
      <c r="L354" s="53"/>
      <c r="M354" s="53"/>
      <c r="N354" s="53"/>
      <c r="O354" s="53"/>
      <c r="P354" s="53"/>
      <c r="Q354" s="53"/>
    </row>
    <row r="355" spans="1:17" ht="12.75" customHeight="1" x14ac:dyDescent="0.2">
      <c r="A355" s="222" t="s">
        <v>3891</v>
      </c>
      <c r="B355" s="261"/>
      <c r="C355" s="25"/>
      <c r="D355" s="25">
        <v>0</v>
      </c>
      <c r="E355" s="25">
        <f t="shared" si="41"/>
        <v>0</v>
      </c>
      <c r="F355" s="91"/>
      <c r="G355" s="91"/>
      <c r="H355" s="91"/>
      <c r="I355" s="53"/>
      <c r="J355" s="53"/>
      <c r="K355" s="53"/>
      <c r="L355" s="53"/>
      <c r="M355" s="53"/>
      <c r="N355" s="53"/>
      <c r="O355" s="53"/>
      <c r="P355" s="53"/>
      <c r="Q355" s="53"/>
    </row>
    <row r="356" spans="1:17" ht="12.75" customHeight="1" x14ac:dyDescent="0.2">
      <c r="A356" s="260" t="s">
        <v>3893</v>
      </c>
      <c r="B356" s="259"/>
      <c r="C356" s="25">
        <v>1218</v>
      </c>
      <c r="D356" s="25">
        <f>GETPIVOTDATA("Phase Proposed Units",'20'!$A$3,"Minor Residential Development Type","d")+GETPIVOTDATA("Phase Proposed Units",'20'!$A$3,"Minor Residential Development Type","e")+GETPIVOTDATA("Phase Proposed Units",'20'!$A$3,"Minor Residential Development Type","f")+GETPIVOTDATA("Phase Proposed Units",'20'!$A$3,"Minor Residential Development Type","g")+GETPIVOTDATA("Phase Proposed Units",'20'!$A$3,"Minor Residential Development Type","h")+GETPIVOTDATA("Phase Proposed Units",'20'!$A$3,"Minor Residential Development Type","i")+GETPIVOTDATA("Phase Proposed Units",'20'!$A$3,"Large Residential Development Type","LRC","Minor Residential Development Type","n/a")+GETPIVOTDATA("Phase Proposed Units",'20'!$A$3,"Large Residential Development Type","OFC","Minor Residential Development Type","n/a")+GETPIVOTDATA("Phase Proposed Units",'20'!$A$3,"Large Residential Development Type","OTC","Minor Residential Development Type","n/a")</f>
        <v>1208</v>
      </c>
      <c r="E356" s="25">
        <f t="shared" si="41"/>
        <v>2426</v>
      </c>
      <c r="F356" s="91"/>
      <c r="G356" s="91"/>
      <c r="H356" s="91"/>
      <c r="I356" s="53"/>
      <c r="J356" s="53"/>
      <c r="K356" s="53"/>
      <c r="L356" s="53"/>
      <c r="M356" s="53"/>
      <c r="N356" s="53"/>
      <c r="O356" s="53"/>
      <c r="P356" s="53"/>
      <c r="Q356" s="53"/>
    </row>
    <row r="357" spans="1:17" ht="12.75" customHeight="1" x14ac:dyDescent="0.2">
      <c r="A357" s="222" t="s">
        <v>3892</v>
      </c>
      <c r="B357" s="261"/>
      <c r="C357" s="25">
        <v>71</v>
      </c>
      <c r="D357" s="25">
        <f>GETPIVOTDATA("Phase Proposed Units",'20'!$A$3,"Large Residential Development Type","n/a","Minor Residential Development Type","k")+GETPIVOTDATA("Phase Proposed Units",'20'!$A$3,"Large Residential Development Type","EXT","Minor Residential Development Type","n/a")</f>
        <v>90</v>
      </c>
      <c r="E357" s="25">
        <f t="shared" si="41"/>
        <v>161</v>
      </c>
      <c r="F357" s="91"/>
      <c r="G357" s="91"/>
      <c r="H357" s="91"/>
      <c r="I357" s="53"/>
      <c r="J357" s="53"/>
      <c r="K357" s="53"/>
      <c r="L357" s="53"/>
      <c r="M357" s="53"/>
      <c r="N357" s="53"/>
      <c r="O357" s="53"/>
      <c r="P357" s="53"/>
      <c r="Q357" s="53"/>
    </row>
    <row r="358" spans="1:17" ht="12.75" customHeight="1" x14ac:dyDescent="0.2">
      <c r="A358" s="251" t="s">
        <v>62</v>
      </c>
      <c r="B358" s="251"/>
      <c r="C358" s="65">
        <f t="shared" ref="C358:D358" si="42">SUM(C352:C357)</f>
        <v>1696</v>
      </c>
      <c r="D358" s="65">
        <f t="shared" si="42"/>
        <v>1700</v>
      </c>
      <c r="E358" s="65">
        <f t="shared" si="41"/>
        <v>3396</v>
      </c>
      <c r="F358" s="91"/>
      <c r="G358" s="91"/>
      <c r="H358" s="91"/>
      <c r="I358" s="53"/>
      <c r="J358" s="53"/>
      <c r="K358" s="53"/>
      <c r="L358" s="53"/>
      <c r="M358" s="53"/>
      <c r="N358" s="53"/>
      <c r="O358" s="53"/>
      <c r="P358" s="53"/>
      <c r="Q358" s="53"/>
    </row>
    <row r="359" spans="1:17" x14ac:dyDescent="0.2">
      <c r="A359" s="53"/>
      <c r="B359" s="53"/>
      <c r="C359" s="53"/>
      <c r="D359" s="53"/>
      <c r="E359" s="53"/>
      <c r="F359" s="53"/>
      <c r="G359" s="53"/>
      <c r="H359" s="53"/>
      <c r="I359" s="53"/>
      <c r="J359" s="53"/>
      <c r="K359" s="53"/>
      <c r="L359" s="18"/>
      <c r="M359" s="18"/>
      <c r="N359" s="18"/>
      <c r="O359" s="18"/>
      <c r="P359" s="18"/>
      <c r="Q359" s="18"/>
    </row>
    <row r="360" spans="1:17" x14ac:dyDescent="0.2">
      <c r="A360" s="135" t="s">
        <v>4052</v>
      </c>
      <c r="B360" s="136"/>
      <c r="C360" s="136"/>
      <c r="D360" s="136"/>
      <c r="E360" s="136"/>
      <c r="F360" s="136"/>
      <c r="G360" s="136"/>
      <c r="H360" s="136"/>
      <c r="I360" s="136"/>
      <c r="J360" s="136"/>
      <c r="K360" s="136"/>
      <c r="L360" s="136"/>
      <c r="M360" s="136"/>
      <c r="N360" s="136"/>
      <c r="O360" s="136"/>
      <c r="P360" s="136"/>
      <c r="Q360" s="137" t="s">
        <v>4051</v>
      </c>
    </row>
  </sheetData>
  <mergeCells count="232">
    <mergeCell ref="A106:B106"/>
    <mergeCell ref="A113:A114"/>
    <mergeCell ref="B113:C113"/>
    <mergeCell ref="A53:C53"/>
    <mergeCell ref="A47:C49"/>
    <mergeCell ref="A61:C63"/>
    <mergeCell ref="A50:C50"/>
    <mergeCell ref="A98:B98"/>
    <mergeCell ref="A1:Q1"/>
    <mergeCell ref="E152:F152"/>
    <mergeCell ref="E161:F161"/>
    <mergeCell ref="G161:H161"/>
    <mergeCell ref="A157:B157"/>
    <mergeCell ref="A97:B97"/>
    <mergeCell ref="A66:C66"/>
    <mergeCell ref="I161:J161"/>
    <mergeCell ref="A102:B102"/>
    <mergeCell ref="F37:G37"/>
    <mergeCell ref="A43:C43"/>
    <mergeCell ref="A39:C39"/>
    <mergeCell ref="F47:I47"/>
    <mergeCell ref="H37:I37"/>
    <mergeCell ref="A37:C38"/>
    <mergeCell ref="D37:E37"/>
    <mergeCell ref="A41:C41"/>
    <mergeCell ref="A42:C42"/>
    <mergeCell ref="A40:C40"/>
    <mergeCell ref="D113:E113"/>
    <mergeCell ref="F113:G113"/>
    <mergeCell ref="G152:H152"/>
    <mergeCell ref="A161:B162"/>
    <mergeCell ref="A152:B153"/>
    <mergeCell ref="A44:C44"/>
    <mergeCell ref="A67:C67"/>
    <mergeCell ref="A64:C64"/>
    <mergeCell ref="A65:C65"/>
    <mergeCell ref="A71:C71"/>
    <mergeCell ref="A105:B105"/>
    <mergeCell ref="A104:B104"/>
    <mergeCell ref="A103:B103"/>
    <mergeCell ref="A70:C70"/>
    <mergeCell ref="A68:C68"/>
    <mergeCell ref="A69:C69"/>
    <mergeCell ref="A96:B96"/>
    <mergeCell ref="A95:B95"/>
    <mergeCell ref="A51:C51"/>
    <mergeCell ref="A52:C52"/>
    <mergeCell ref="A54:C54"/>
    <mergeCell ref="A55:C55"/>
    <mergeCell ref="A56:C56"/>
    <mergeCell ref="A57:C57"/>
    <mergeCell ref="A252:B252"/>
    <mergeCell ref="A253:B253"/>
    <mergeCell ref="A171:A172"/>
    <mergeCell ref="B171:C171"/>
    <mergeCell ref="A156:B156"/>
    <mergeCell ref="A158:B158"/>
    <mergeCell ref="C152:D152"/>
    <mergeCell ref="C161:D161"/>
    <mergeCell ref="D171:E171"/>
    <mergeCell ref="A249:B249"/>
    <mergeCell ref="D221:E221"/>
    <mergeCell ref="A164:B164"/>
    <mergeCell ref="A165:B165"/>
    <mergeCell ref="A167:B167"/>
    <mergeCell ref="A166:B166"/>
    <mergeCell ref="A251:B251"/>
    <mergeCell ref="A163:B163"/>
    <mergeCell ref="A155:B155"/>
    <mergeCell ref="A154:B154"/>
    <mergeCell ref="A341:B341"/>
    <mergeCell ref="A281:C281"/>
    <mergeCell ref="A282:C282"/>
    <mergeCell ref="A283:C283"/>
    <mergeCell ref="A284:C284"/>
    <mergeCell ref="A258:C258"/>
    <mergeCell ref="A259:C259"/>
    <mergeCell ref="A260:C260"/>
    <mergeCell ref="A261:C261"/>
    <mergeCell ref="A273:H273"/>
    <mergeCell ref="A274:H274"/>
    <mergeCell ref="A275:H275"/>
    <mergeCell ref="A262:C262"/>
    <mergeCell ref="A263:C263"/>
    <mergeCell ref="D279:D280"/>
    <mergeCell ref="A279:C280"/>
    <mergeCell ref="A272:H272"/>
    <mergeCell ref="A268:H268"/>
    <mergeCell ref="A269:H269"/>
    <mergeCell ref="A270:H270"/>
    <mergeCell ref="A271:H271"/>
    <mergeCell ref="A318:B319"/>
    <mergeCell ref="A320:B321"/>
    <mergeCell ref="A322:B323"/>
    <mergeCell ref="A342:B342"/>
    <mergeCell ref="A315:B315"/>
    <mergeCell ref="A301:C301"/>
    <mergeCell ref="A297:C297"/>
    <mergeCell ref="A298:C298"/>
    <mergeCell ref="A299:C299"/>
    <mergeCell ref="A300:C300"/>
    <mergeCell ref="A288:C288"/>
    <mergeCell ref="A289:C289"/>
    <mergeCell ref="A290:C290"/>
    <mergeCell ref="A291:C291"/>
    <mergeCell ref="A292:C292"/>
    <mergeCell ref="A307:B307"/>
    <mergeCell ref="C305:E305"/>
    <mergeCell ref="A293:C293"/>
    <mergeCell ref="A294:C294"/>
    <mergeCell ref="A295:C295"/>
    <mergeCell ref="A296:C296"/>
    <mergeCell ref="A334:B335"/>
    <mergeCell ref="A327:B327"/>
    <mergeCell ref="A328:B329"/>
    <mergeCell ref="A330:B331"/>
    <mergeCell ref="A332:B333"/>
    <mergeCell ref="A316:B317"/>
    <mergeCell ref="A358:B358"/>
    <mergeCell ref="A351:B351"/>
    <mergeCell ref="A352:B352"/>
    <mergeCell ref="A353:B353"/>
    <mergeCell ref="A354:B354"/>
    <mergeCell ref="A346:B346"/>
    <mergeCell ref="A343:B343"/>
    <mergeCell ref="A344:B344"/>
    <mergeCell ref="A356:B356"/>
    <mergeCell ref="A348:B348"/>
    <mergeCell ref="A357:B357"/>
    <mergeCell ref="A355:B355"/>
    <mergeCell ref="A347:B347"/>
    <mergeCell ref="A345:B345"/>
    <mergeCell ref="I305:K305"/>
    <mergeCell ref="F305:H305"/>
    <mergeCell ref="A305:B306"/>
    <mergeCell ref="A32:B32"/>
    <mergeCell ref="A34:B34"/>
    <mergeCell ref="A285:C285"/>
    <mergeCell ref="A309:B309"/>
    <mergeCell ref="A287:C287"/>
    <mergeCell ref="A286:C286"/>
    <mergeCell ref="H196:I196"/>
    <mergeCell ref="A221:A222"/>
    <mergeCell ref="B221:C221"/>
    <mergeCell ref="A257:C257"/>
    <mergeCell ref="A267:H267"/>
    <mergeCell ref="F221:G221"/>
    <mergeCell ref="A196:A197"/>
    <mergeCell ref="B196:C196"/>
    <mergeCell ref="D196:E196"/>
    <mergeCell ref="F196:G196"/>
    <mergeCell ref="A247:B247"/>
    <mergeCell ref="A248:B248"/>
    <mergeCell ref="A250:B250"/>
    <mergeCell ref="E292:F292"/>
    <mergeCell ref="E293:F293"/>
    <mergeCell ref="A29:B31"/>
    <mergeCell ref="C29:C31"/>
    <mergeCell ref="D29:F30"/>
    <mergeCell ref="G29:G31"/>
    <mergeCell ref="H29:H31"/>
    <mergeCell ref="E6:E8"/>
    <mergeCell ref="B23:G23"/>
    <mergeCell ref="A26:I26"/>
    <mergeCell ref="A6:D8"/>
    <mergeCell ref="A9:D9"/>
    <mergeCell ref="A10:D10"/>
    <mergeCell ref="A11:D11"/>
    <mergeCell ref="F6:F8"/>
    <mergeCell ref="G6:I7"/>
    <mergeCell ref="P47:Q48"/>
    <mergeCell ref="D47:E48"/>
    <mergeCell ref="D61:E62"/>
    <mergeCell ref="F62:G62"/>
    <mergeCell ref="H62:I62"/>
    <mergeCell ref="J61:K62"/>
    <mergeCell ref="L61:M62"/>
    <mergeCell ref="N61:O62"/>
    <mergeCell ref="P61:Q62"/>
    <mergeCell ref="J47:K48"/>
    <mergeCell ref="F61:I61"/>
    <mergeCell ref="H48:I48"/>
    <mergeCell ref="F48:G48"/>
    <mergeCell ref="K6:K8"/>
    <mergeCell ref="G281:H281"/>
    <mergeCell ref="G282:H282"/>
    <mergeCell ref="G283:H283"/>
    <mergeCell ref="G284:H284"/>
    <mergeCell ref="G285:H285"/>
    <mergeCell ref="G286:H286"/>
    <mergeCell ref="L47:M48"/>
    <mergeCell ref="N47:O48"/>
    <mergeCell ref="J6:J8"/>
    <mergeCell ref="F171:G171"/>
    <mergeCell ref="H113:I113"/>
    <mergeCell ref="I152:J152"/>
    <mergeCell ref="E294:F294"/>
    <mergeCell ref="E295:F295"/>
    <mergeCell ref="E296:F296"/>
    <mergeCell ref="G287:H287"/>
    <mergeCell ref="G288:H288"/>
    <mergeCell ref="G289:H289"/>
    <mergeCell ref="G290:H290"/>
    <mergeCell ref="G291:H291"/>
    <mergeCell ref="G292:H292"/>
    <mergeCell ref="G293:H293"/>
    <mergeCell ref="G294:H294"/>
    <mergeCell ref="G295:H295"/>
    <mergeCell ref="E297:F297"/>
    <mergeCell ref="E298:F298"/>
    <mergeCell ref="E299:F299"/>
    <mergeCell ref="E300:F300"/>
    <mergeCell ref="E301:F301"/>
    <mergeCell ref="E279:F280"/>
    <mergeCell ref="G279:H280"/>
    <mergeCell ref="G296:H296"/>
    <mergeCell ref="G297:H297"/>
    <mergeCell ref="G298:H298"/>
    <mergeCell ref="G299:H299"/>
    <mergeCell ref="G300:H300"/>
    <mergeCell ref="G301:H301"/>
    <mergeCell ref="E281:F281"/>
    <mergeCell ref="E282:F282"/>
    <mergeCell ref="E283:F283"/>
    <mergeCell ref="E284:F284"/>
    <mergeCell ref="E285:F285"/>
    <mergeCell ref="E286:F286"/>
    <mergeCell ref="E287:F287"/>
    <mergeCell ref="E288:F288"/>
    <mergeCell ref="E289:F289"/>
    <mergeCell ref="E290:F290"/>
    <mergeCell ref="E291:F291"/>
  </mergeCells>
  <phoneticPr fontId="3" type="noConversion"/>
  <printOptions horizontalCentered="1"/>
  <pageMargins left="0.39370078740157483" right="0.39370078740157483" top="0.39370078740157483" bottom="0.39370078740157483" header="0.19685039370078741" footer="0.19685039370078741"/>
  <pageSetup paperSize="9" scale="98" fitToHeight="0" orientation="landscape" verticalDpi="144" r:id="rId1"/>
  <headerFooter alignWithMargins="0">
    <oddFooter>&amp;C&amp;8&amp;P of &amp;N</oddFooter>
  </headerFooter>
  <rowBreaks count="10" manualBreakCount="10">
    <brk id="35" max="16" man="1"/>
    <brk id="73" max="16" man="1"/>
    <brk id="108" max="16" man="1"/>
    <brk id="149" max="16" man="1"/>
    <brk id="192" max="16" man="1"/>
    <brk id="217" max="16" man="1"/>
    <brk id="254" max="16" man="1"/>
    <brk id="276" max="16" man="1"/>
    <brk id="310" max="16383" man="1"/>
    <brk id="337" max="16" man="1"/>
  </rowBreaks>
  <ignoredErrors>
    <ignoredError sqref="E44:F44 D71:E71" formulaRange="1"/>
    <ignoredError sqref="C132 I132 E132 G132 C215 E215 I215" formula="1" formulaRange="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B4"/>
  <sheetViews>
    <sheetView workbookViewId="0">
      <selection activeCell="B2" sqref="B2"/>
    </sheetView>
  </sheetViews>
  <sheetFormatPr defaultRowHeight="12.75" x14ac:dyDescent="0.2"/>
  <cols>
    <col min="1" max="1" width="22.28515625" customWidth="1"/>
    <col min="2" max="2" width="22.5703125" customWidth="1"/>
  </cols>
  <sheetData>
    <row r="1" spans="1:2" x14ac:dyDescent="0.2">
      <c r="A1" s="82" t="s">
        <v>1830</v>
      </c>
      <c r="B1" t="s">
        <v>3847</v>
      </c>
    </row>
    <row r="2" spans="1:2" x14ac:dyDescent="0.2">
      <c r="A2" s="78" t="s">
        <v>1924</v>
      </c>
      <c r="B2" s="79">
        <v>2112</v>
      </c>
    </row>
    <row r="3" spans="1:2" x14ac:dyDescent="0.2">
      <c r="A3" s="78" t="s">
        <v>3840</v>
      </c>
      <c r="B3" s="79">
        <v>-76</v>
      </c>
    </row>
    <row r="4" spans="1:2" x14ac:dyDescent="0.2">
      <c r="A4" s="78" t="s">
        <v>422</v>
      </c>
      <c r="B4" s="79">
        <v>2036</v>
      </c>
    </row>
  </sheetData>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B3"/>
  <sheetViews>
    <sheetView workbookViewId="0">
      <selection activeCell="B2" sqref="B2"/>
    </sheetView>
  </sheetViews>
  <sheetFormatPr defaultRowHeight="12.75" x14ac:dyDescent="0.2"/>
  <cols>
    <col min="1" max="1" width="13.85546875" customWidth="1"/>
    <col min="2" max="2" width="36.7109375" customWidth="1"/>
  </cols>
  <sheetData>
    <row r="1" spans="1:2" x14ac:dyDescent="0.2">
      <c r="A1" s="82" t="s">
        <v>1830</v>
      </c>
      <c r="B1" t="s">
        <v>3848</v>
      </c>
    </row>
    <row r="2" spans="1:2" x14ac:dyDescent="0.2">
      <c r="A2" s="78" t="s">
        <v>1924</v>
      </c>
      <c r="B2" s="79">
        <v>-11</v>
      </c>
    </row>
    <row r="3" spans="1:2" x14ac:dyDescent="0.2">
      <c r="A3" s="78" t="s">
        <v>422</v>
      </c>
      <c r="B3" s="79">
        <v>-11</v>
      </c>
    </row>
  </sheetData>
  <pageMargins left="0.7" right="0.7" top="0.75" bottom="0.75" header="0.3" footer="0.3"/>
  <pageSetup paperSize="9" orientation="portrait" verticalDpi="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E5"/>
  <sheetViews>
    <sheetView workbookViewId="0">
      <selection activeCell="B2" sqref="B2"/>
    </sheetView>
  </sheetViews>
  <sheetFormatPr defaultRowHeight="12.75" x14ac:dyDescent="0.2"/>
  <cols>
    <col min="1" max="1" width="22.5703125" customWidth="1"/>
    <col min="2" max="2" width="17" customWidth="1"/>
    <col min="3" max="3" width="12.5703125" customWidth="1"/>
    <col min="4" max="4" width="21.85546875" customWidth="1"/>
    <col min="5" max="5" width="11.7109375" customWidth="1"/>
  </cols>
  <sheetData>
    <row r="1" spans="1:5" x14ac:dyDescent="0.2">
      <c r="A1" s="82" t="s">
        <v>3847</v>
      </c>
      <c r="B1" s="82" t="s">
        <v>3849</v>
      </c>
    </row>
    <row r="2" spans="1:5" x14ac:dyDescent="0.2">
      <c r="A2" s="82" t="s">
        <v>1830</v>
      </c>
      <c r="B2" s="199" t="s">
        <v>74</v>
      </c>
      <c r="C2" s="199" t="s">
        <v>238</v>
      </c>
      <c r="D2" s="199" t="s">
        <v>154</v>
      </c>
      <c r="E2" s="199" t="s">
        <v>422</v>
      </c>
    </row>
    <row r="3" spans="1:5" x14ac:dyDescent="0.2">
      <c r="A3" s="78" t="s">
        <v>1924</v>
      </c>
      <c r="B3" s="79">
        <v>142</v>
      </c>
      <c r="C3" s="79">
        <v>1910</v>
      </c>
      <c r="D3" s="79">
        <v>60</v>
      </c>
      <c r="E3" s="79">
        <v>2112</v>
      </c>
    </row>
    <row r="4" spans="1:5" x14ac:dyDescent="0.2">
      <c r="A4" s="78" t="s">
        <v>3840</v>
      </c>
      <c r="B4" s="79"/>
      <c r="C4" s="79">
        <v>-76</v>
      </c>
      <c r="D4" s="79"/>
      <c r="E4" s="79">
        <v>-76</v>
      </c>
    </row>
    <row r="5" spans="1:5" x14ac:dyDescent="0.2">
      <c r="A5" s="78" t="s">
        <v>422</v>
      </c>
      <c r="B5" s="79">
        <v>142</v>
      </c>
      <c r="C5" s="79">
        <v>1834</v>
      </c>
      <c r="D5" s="79">
        <v>60</v>
      </c>
      <c r="E5" s="79">
        <v>2036</v>
      </c>
    </row>
  </sheetData>
  <pageMargins left="0.7" right="0.7" top="0.75" bottom="0.75" header="0.3" footer="0.3"/>
  <pageSetup paperSize="9" orientation="portrait" verticalDpi="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A1:C13"/>
  <sheetViews>
    <sheetView workbookViewId="0">
      <selection activeCell="B2" sqref="B2"/>
    </sheetView>
  </sheetViews>
  <sheetFormatPr defaultRowHeight="12.75" x14ac:dyDescent="0.2"/>
  <cols>
    <col min="1" max="1" width="31.7109375" customWidth="1"/>
    <col min="2" max="2" width="28.28515625" customWidth="1"/>
    <col min="3" max="3" width="22.5703125" customWidth="1"/>
    <col min="4" max="4" width="33.5703125" customWidth="1"/>
    <col min="5" max="5" width="27.85546875" bestFit="1" customWidth="1"/>
    <col min="6" max="6" width="22.5703125" customWidth="1"/>
    <col min="7" max="7" width="28.28515625" customWidth="1"/>
    <col min="8" max="8" width="22.5703125" customWidth="1"/>
    <col min="9" max="9" width="28.28515625" customWidth="1"/>
    <col min="10" max="10" width="22.5703125" customWidth="1"/>
    <col min="11" max="11" width="28.28515625" customWidth="1"/>
    <col min="12" max="12" width="27.85546875" bestFit="1" customWidth="1"/>
    <col min="13" max="13" width="33.5703125" customWidth="1"/>
  </cols>
  <sheetData>
    <row r="1" spans="1:3" x14ac:dyDescent="0.2">
      <c r="A1" s="82" t="s">
        <v>1863</v>
      </c>
      <c r="B1" s="199" t="s">
        <v>3871</v>
      </c>
    </row>
    <row r="2" spans="1:3" x14ac:dyDescent="0.2">
      <c r="A2" s="82" t="s">
        <v>1864</v>
      </c>
      <c r="B2" s="199" t="s">
        <v>3871</v>
      </c>
    </row>
    <row r="4" spans="1:3" x14ac:dyDescent="0.2">
      <c r="A4" s="82" t="s">
        <v>1830</v>
      </c>
      <c r="B4" s="199" t="s">
        <v>3854</v>
      </c>
      <c r="C4" s="199" t="s">
        <v>3847</v>
      </c>
    </row>
    <row r="5" spans="1:3" x14ac:dyDescent="0.2">
      <c r="A5" s="78" t="s">
        <v>1924</v>
      </c>
      <c r="B5" s="79">
        <v>1942</v>
      </c>
      <c r="C5" s="79">
        <v>1922</v>
      </c>
    </row>
    <row r="6" spans="1:3" x14ac:dyDescent="0.2">
      <c r="A6" s="78" t="s">
        <v>1908</v>
      </c>
      <c r="B6" s="79">
        <v>12747</v>
      </c>
      <c r="C6" s="79">
        <v>12431</v>
      </c>
    </row>
    <row r="7" spans="1:3" x14ac:dyDescent="0.2">
      <c r="A7" s="78" t="s">
        <v>1930</v>
      </c>
      <c r="B7" s="79">
        <v>3975</v>
      </c>
      <c r="C7" s="79">
        <v>3932</v>
      </c>
    </row>
    <row r="8" spans="1:3" x14ac:dyDescent="0.2">
      <c r="A8" s="78" t="s">
        <v>1952</v>
      </c>
      <c r="B8" s="79">
        <v>1934</v>
      </c>
      <c r="C8" s="79">
        <v>1930</v>
      </c>
    </row>
    <row r="9" spans="1:3" x14ac:dyDescent="0.2">
      <c r="A9" s="78" t="s">
        <v>1955</v>
      </c>
      <c r="B9" s="79">
        <v>652</v>
      </c>
      <c r="C9" s="79">
        <v>571</v>
      </c>
    </row>
    <row r="10" spans="1:3" x14ac:dyDescent="0.2">
      <c r="A10" s="78" t="s">
        <v>1902</v>
      </c>
      <c r="B10" s="79">
        <v>5509</v>
      </c>
      <c r="C10" s="79">
        <v>5509</v>
      </c>
    </row>
    <row r="11" spans="1:3" x14ac:dyDescent="0.2">
      <c r="A11" s="78" t="s">
        <v>3836</v>
      </c>
      <c r="B11" s="79">
        <v>745</v>
      </c>
      <c r="C11" s="79">
        <v>745</v>
      </c>
    </row>
    <row r="12" spans="1:3" x14ac:dyDescent="0.2">
      <c r="A12" s="78" t="s">
        <v>3840</v>
      </c>
      <c r="B12" s="79">
        <v>1</v>
      </c>
      <c r="C12" s="79">
        <v>-10</v>
      </c>
    </row>
    <row r="13" spans="1:3" x14ac:dyDescent="0.2">
      <c r="A13" s="78" t="s">
        <v>422</v>
      </c>
      <c r="B13" s="79">
        <v>27505</v>
      </c>
      <c r="C13" s="79">
        <v>27030</v>
      </c>
    </row>
  </sheetData>
  <pageMargins left="0.7" right="0.7" top="0.75" bottom="0.75" header="0.3" footer="0.3"/>
  <pageSetup paperSize="9" orientation="portrait" verticalDpi="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C12"/>
  <sheetViews>
    <sheetView workbookViewId="0">
      <selection activeCell="B2" sqref="B2"/>
    </sheetView>
  </sheetViews>
  <sheetFormatPr defaultRowHeight="12.75" x14ac:dyDescent="0.2"/>
  <cols>
    <col min="1" max="1" width="31.7109375" customWidth="1"/>
    <col min="2" max="2" width="28.28515625" customWidth="1"/>
    <col min="3" max="3" width="22.5703125" customWidth="1"/>
    <col min="4" max="4" width="28.28515625" customWidth="1"/>
    <col min="5" max="5" width="22.5703125" bestFit="1" customWidth="1"/>
    <col min="6" max="6" width="28.28515625" bestFit="1" customWidth="1"/>
    <col min="7" max="7" width="22.5703125" bestFit="1" customWidth="1"/>
    <col min="8" max="8" width="28.28515625" bestFit="1" customWidth="1"/>
    <col min="9" max="9" width="22.5703125" bestFit="1" customWidth="1"/>
    <col min="10" max="10" width="33.5703125" bestFit="1" customWidth="1"/>
    <col min="11" max="11" width="27.85546875" bestFit="1" customWidth="1"/>
  </cols>
  <sheetData>
    <row r="1" spans="1:3" x14ac:dyDescent="0.2">
      <c r="A1" s="82" t="s">
        <v>1863</v>
      </c>
      <c r="B1" s="199" t="s">
        <v>3871</v>
      </c>
    </row>
    <row r="2" spans="1:3" x14ac:dyDescent="0.2">
      <c r="A2" s="82" t="s">
        <v>1864</v>
      </c>
      <c r="B2" s="199" t="s">
        <v>3871</v>
      </c>
    </row>
    <row r="4" spans="1:3" x14ac:dyDescent="0.2">
      <c r="A4" s="82" t="s">
        <v>1830</v>
      </c>
      <c r="B4" s="199" t="s">
        <v>3854</v>
      </c>
      <c r="C4" s="199" t="s">
        <v>3847</v>
      </c>
    </row>
    <row r="5" spans="1:3" x14ac:dyDescent="0.2">
      <c r="A5" s="78" t="s">
        <v>1924</v>
      </c>
      <c r="B5" s="79">
        <v>356</v>
      </c>
      <c r="C5" s="79">
        <v>190</v>
      </c>
    </row>
    <row r="6" spans="1:3" x14ac:dyDescent="0.2">
      <c r="A6" s="78" t="s">
        <v>1908</v>
      </c>
      <c r="B6" s="79">
        <v>930</v>
      </c>
      <c r="C6" s="79">
        <v>826</v>
      </c>
    </row>
    <row r="7" spans="1:3" x14ac:dyDescent="0.2">
      <c r="A7" s="78" t="s">
        <v>1930</v>
      </c>
      <c r="B7" s="79">
        <v>770</v>
      </c>
      <c r="C7" s="79">
        <v>579</v>
      </c>
    </row>
    <row r="8" spans="1:3" x14ac:dyDescent="0.2">
      <c r="A8" s="78" t="s">
        <v>1952</v>
      </c>
      <c r="B8" s="79">
        <v>9</v>
      </c>
      <c r="C8" s="79">
        <v>9</v>
      </c>
    </row>
    <row r="9" spans="1:3" x14ac:dyDescent="0.2">
      <c r="A9" s="78" t="s">
        <v>1955</v>
      </c>
      <c r="B9" s="79">
        <v>325</v>
      </c>
      <c r="C9" s="79">
        <v>262</v>
      </c>
    </row>
    <row r="10" spans="1:3" x14ac:dyDescent="0.2">
      <c r="A10" s="78" t="s">
        <v>3837</v>
      </c>
      <c r="B10" s="79">
        <v>7362</v>
      </c>
      <c r="C10" s="79">
        <v>7362</v>
      </c>
    </row>
    <row r="11" spans="1:3" x14ac:dyDescent="0.2">
      <c r="A11" s="78" t="s">
        <v>3840</v>
      </c>
      <c r="B11" s="79">
        <v>0</v>
      </c>
      <c r="C11" s="79">
        <v>-66</v>
      </c>
    </row>
    <row r="12" spans="1:3" x14ac:dyDescent="0.2">
      <c r="A12" s="78" t="s">
        <v>422</v>
      </c>
      <c r="B12" s="79">
        <v>9752</v>
      </c>
      <c r="C12" s="79">
        <v>9162</v>
      </c>
    </row>
  </sheetData>
  <pageMargins left="0.7" right="0.7" top="0.75" bottom="0.75" header="0.3" footer="0.3"/>
  <pageSetup paperSize="9" orientation="portrait" verticalDpi="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I13"/>
  <sheetViews>
    <sheetView workbookViewId="0">
      <selection activeCell="B2" sqref="B2"/>
    </sheetView>
  </sheetViews>
  <sheetFormatPr defaultRowHeight="12.75" x14ac:dyDescent="0.2"/>
  <cols>
    <col min="1" max="1" width="27.140625" customWidth="1"/>
    <col min="2" max="2" width="28.28515625" customWidth="1"/>
    <col min="3" max="3" width="22.5703125" customWidth="1"/>
    <col min="4" max="4" width="28.28515625" customWidth="1"/>
    <col min="5" max="5" width="22.5703125" customWidth="1"/>
    <col min="6" max="6" width="28.28515625" customWidth="1"/>
    <col min="7" max="7" width="22.5703125" customWidth="1"/>
    <col min="8" max="8" width="33.5703125" customWidth="1"/>
    <col min="9" max="9" width="27.85546875" customWidth="1"/>
    <col min="10" max="36" width="3" customWidth="1"/>
    <col min="37" max="39" width="4" customWidth="1"/>
    <col min="40" max="45" width="3" customWidth="1"/>
    <col min="46" max="50" width="4" customWidth="1"/>
    <col min="51" max="51" width="18" customWidth="1"/>
    <col min="52" max="52" width="14.5703125" customWidth="1"/>
    <col min="53" max="58" width="4" customWidth="1"/>
    <col min="59" max="59" width="3" customWidth="1"/>
    <col min="60" max="62" width="4" customWidth="1"/>
    <col min="63" max="74" width="3" customWidth="1"/>
    <col min="75" max="75" width="3.5703125" customWidth="1"/>
    <col min="76" max="80" width="3" customWidth="1"/>
    <col min="81" max="81" width="4" customWidth="1"/>
    <col min="82" max="89" width="3" customWidth="1"/>
    <col min="90" max="90" width="4" customWidth="1"/>
    <col min="91" max="95" width="3" customWidth="1"/>
    <col min="96" max="97" width="4" customWidth="1"/>
    <col min="98" max="99" width="3" customWidth="1"/>
    <col min="100" max="100" width="4" customWidth="1"/>
    <col min="101" max="106" width="3" customWidth="1"/>
    <col min="107" max="107" width="4" customWidth="1"/>
    <col min="108" max="108" width="3" customWidth="1"/>
    <col min="109" max="110" width="4" customWidth="1"/>
    <col min="111" max="112" width="3" customWidth="1"/>
    <col min="113" max="113" width="4" customWidth="1"/>
    <col min="114" max="116" width="3" customWidth="1"/>
    <col min="117" max="119" width="4" customWidth="1"/>
    <col min="120" max="120" width="3" customWidth="1"/>
    <col min="121" max="121" width="4" customWidth="1"/>
    <col min="122" max="123" width="3" customWidth="1"/>
    <col min="124" max="180" width="4" customWidth="1"/>
    <col min="181" max="181" width="18" customWidth="1"/>
    <col min="182" max="182" width="23.85546875" customWidth="1"/>
    <col min="183" max="183" width="2" customWidth="1"/>
    <col min="184" max="188" width="3" customWidth="1"/>
    <col min="189" max="189" width="2" customWidth="1"/>
    <col min="190" max="207" width="3" customWidth="1"/>
    <col min="208" max="208" width="4" customWidth="1"/>
    <col min="209" max="215" width="3" customWidth="1"/>
    <col min="216" max="216" width="3.5703125" customWidth="1"/>
    <col min="217" max="221" width="3" customWidth="1"/>
    <col min="222" max="222" width="4" customWidth="1"/>
    <col min="223" max="223" width="3" customWidth="1"/>
    <col min="224" max="224" width="4" customWidth="1"/>
    <col min="225" max="232" width="3" customWidth="1"/>
    <col min="233" max="236" width="4" customWidth="1"/>
    <col min="237" max="237" width="27.140625" customWidth="1"/>
    <col min="238" max="238" width="11.7109375" customWidth="1"/>
    <col min="239" max="239" width="8.140625" customWidth="1"/>
    <col min="240" max="240" width="5" customWidth="1"/>
    <col min="241" max="241" width="8.140625" customWidth="1"/>
    <col min="242" max="242" width="5" customWidth="1"/>
    <col min="243" max="243" width="8.140625" customWidth="1"/>
    <col min="244" max="244" width="5" customWidth="1"/>
    <col min="245" max="245" width="8.140625" customWidth="1"/>
    <col min="246" max="246" width="5" customWidth="1"/>
    <col min="247" max="247" width="8.140625" customWidth="1"/>
    <col min="248" max="248" width="5" customWidth="1"/>
    <col min="249" max="249" width="8.140625" customWidth="1"/>
    <col min="250" max="250" width="5" customWidth="1"/>
    <col min="251" max="251" width="8.140625" customWidth="1"/>
    <col min="252" max="252" width="5" customWidth="1"/>
    <col min="253" max="253" width="8.140625" customWidth="1"/>
    <col min="254" max="254" width="5" customWidth="1"/>
    <col min="255" max="255" width="8.140625" customWidth="1"/>
    <col min="256" max="256" width="5" customWidth="1"/>
    <col min="257" max="257" width="8.140625" customWidth="1"/>
    <col min="258" max="258" width="5" customWidth="1"/>
    <col min="259" max="259" width="8.140625" customWidth="1"/>
    <col min="260" max="260" width="5" customWidth="1"/>
    <col min="261" max="261" width="8.140625" customWidth="1"/>
    <col min="262" max="262" width="5" customWidth="1"/>
    <col min="263" max="263" width="8.140625" customWidth="1"/>
    <col min="264" max="264" width="5" customWidth="1"/>
    <col min="265" max="265" width="8.140625" customWidth="1"/>
    <col min="266" max="266" width="5" customWidth="1"/>
    <col min="267" max="267" width="8.140625" customWidth="1"/>
    <col min="268" max="268" width="5" customWidth="1"/>
    <col min="269" max="269" width="8.140625" customWidth="1"/>
    <col min="270" max="270" width="5" customWidth="1"/>
    <col min="271" max="271" width="8.140625" customWidth="1"/>
    <col min="272" max="272" width="5" customWidth="1"/>
    <col min="273" max="273" width="8.140625" customWidth="1"/>
    <col min="274" max="274" width="5" customWidth="1"/>
    <col min="275" max="275" width="8.140625" customWidth="1"/>
    <col min="276" max="276" width="5" customWidth="1"/>
    <col min="277" max="277" width="8.140625" customWidth="1"/>
    <col min="278" max="278" width="5" customWidth="1"/>
    <col min="279" max="279" width="8.140625" customWidth="1"/>
    <col min="280" max="280" width="5" customWidth="1"/>
    <col min="281" max="281" width="8.140625" customWidth="1"/>
    <col min="282" max="282" width="5" customWidth="1"/>
    <col min="283" max="283" width="8.140625" customWidth="1"/>
    <col min="284" max="284" width="5" customWidth="1"/>
    <col min="285" max="285" width="8.140625" customWidth="1"/>
    <col min="286" max="286" width="5" customWidth="1"/>
    <col min="287" max="287" width="8.140625" customWidth="1"/>
    <col min="288" max="288" width="5" customWidth="1"/>
    <col min="289" max="289" width="8.140625" customWidth="1"/>
    <col min="290" max="290" width="5" customWidth="1"/>
    <col min="291" max="291" width="8.140625" customWidth="1"/>
    <col min="292" max="292" width="5" customWidth="1"/>
    <col min="293" max="293" width="8.140625" customWidth="1"/>
    <col min="294" max="294" width="5" customWidth="1"/>
    <col min="295" max="295" width="8.140625" customWidth="1"/>
    <col min="296" max="296" width="5" customWidth="1"/>
    <col min="297" max="297" width="8.140625" customWidth="1"/>
    <col min="298" max="298" width="5" customWidth="1"/>
    <col min="299" max="299" width="8.140625" customWidth="1"/>
    <col min="300" max="300" width="5" customWidth="1"/>
    <col min="301" max="301" width="8.140625" customWidth="1"/>
    <col min="302" max="302" width="5" customWidth="1"/>
    <col min="303" max="303" width="8.140625" customWidth="1"/>
    <col min="304" max="304" width="6" customWidth="1"/>
    <col min="306" max="306" width="6" customWidth="1"/>
    <col min="308" max="308" width="6" customWidth="1"/>
    <col min="310" max="310" width="6" customWidth="1"/>
    <col min="312" max="312" width="6" customWidth="1"/>
    <col min="314" max="314" width="6" customWidth="1"/>
    <col min="316" max="316" width="6" customWidth="1"/>
    <col min="318" max="318" width="6" customWidth="1"/>
    <col min="320" max="320" width="6" customWidth="1"/>
    <col min="322" max="322" width="6" customWidth="1"/>
    <col min="324" max="324" width="6" customWidth="1"/>
    <col min="325" max="325" width="4" customWidth="1"/>
    <col min="327" max="327" width="6" customWidth="1"/>
    <col min="329" max="329" width="6" customWidth="1"/>
    <col min="331" max="331" width="6" customWidth="1"/>
    <col min="333" max="333" width="6" customWidth="1"/>
    <col min="335" max="335" width="6" customWidth="1"/>
    <col min="337" max="337" width="6" customWidth="1"/>
    <col min="339" max="339" width="6" customWidth="1"/>
    <col min="341" max="341" width="6" customWidth="1"/>
    <col min="343" max="343" width="6" customWidth="1"/>
    <col min="345" max="345" width="6" customWidth="1"/>
    <col min="347" max="347" width="6" customWidth="1"/>
    <col min="349" max="349" width="6" customWidth="1"/>
    <col min="351" max="351" width="6" customWidth="1"/>
    <col min="353" max="353" width="6" customWidth="1"/>
    <col min="355" max="355" width="6" customWidth="1"/>
    <col min="357" max="357" width="6" customWidth="1"/>
    <col min="359" max="359" width="6" customWidth="1"/>
    <col min="361" max="361" width="6" customWidth="1"/>
    <col min="363" max="363" width="6" customWidth="1"/>
    <col min="365" max="365" width="6" customWidth="1"/>
    <col min="367" max="367" width="6" customWidth="1"/>
    <col min="369" max="369" width="6" customWidth="1"/>
    <col min="371" max="371" width="6" customWidth="1"/>
    <col min="373" max="373" width="6" customWidth="1"/>
    <col min="375" max="375" width="6" customWidth="1"/>
    <col min="377" max="377" width="6" customWidth="1"/>
    <col min="379" max="379" width="6" customWidth="1"/>
    <col min="381" max="381" width="6" customWidth="1"/>
    <col min="383" max="383" width="6" customWidth="1"/>
    <col min="385" max="385" width="6" customWidth="1"/>
    <col min="387" max="387" width="6" customWidth="1"/>
    <col min="389" max="389" width="6" customWidth="1"/>
    <col min="391" max="391" width="6" customWidth="1"/>
    <col min="393" max="393" width="6" customWidth="1"/>
    <col min="395" max="395" width="6" customWidth="1"/>
    <col min="397" max="397" width="6" customWidth="1"/>
    <col min="399" max="399" width="6" customWidth="1"/>
    <col min="401" max="401" width="6" customWidth="1"/>
    <col min="403" max="403" width="6" customWidth="1"/>
    <col min="405" max="405" width="6" customWidth="1"/>
    <col min="407" max="407" width="6" customWidth="1"/>
    <col min="409" max="409" width="6" customWidth="1"/>
    <col min="411" max="411" width="6" customWidth="1"/>
    <col min="413" max="413" width="6" customWidth="1"/>
    <col min="415" max="415" width="6" customWidth="1"/>
    <col min="417" max="417" width="6" customWidth="1"/>
    <col min="419" max="419" width="18" bestFit="1" customWidth="1"/>
    <col min="420" max="420" width="23.85546875" bestFit="1" customWidth="1"/>
    <col min="421" max="421" width="3.5703125" customWidth="1"/>
    <col min="422" max="422" width="2" customWidth="1"/>
    <col min="423" max="423" width="7.140625" customWidth="1"/>
    <col min="424" max="424" width="4" customWidth="1"/>
    <col min="425" max="425" width="7.140625" customWidth="1"/>
    <col min="426" max="426" width="4" customWidth="1"/>
    <col min="427" max="427" width="7.140625" customWidth="1"/>
    <col min="428" max="428" width="4" customWidth="1"/>
    <col min="429" max="429" width="7.140625" customWidth="1"/>
    <col min="430" max="430" width="4" customWidth="1"/>
    <col min="431" max="431" width="7.140625" customWidth="1"/>
    <col min="432" max="432" width="4" customWidth="1"/>
    <col min="433" max="433" width="7.140625" customWidth="1"/>
    <col min="434" max="434" width="4" customWidth="1"/>
    <col min="435" max="435" width="7.140625" customWidth="1"/>
    <col min="436" max="436" width="4" customWidth="1"/>
    <col min="437" max="437" width="7.140625" customWidth="1"/>
    <col min="438" max="438" width="4" customWidth="1"/>
    <col min="439" max="439" width="7.140625" customWidth="1"/>
    <col min="440" max="440" width="4" customWidth="1"/>
    <col min="441" max="441" width="7.140625" customWidth="1"/>
    <col min="442" max="442" width="5" customWidth="1"/>
    <col min="443" max="443" width="8.140625" customWidth="1"/>
    <col min="444" max="444" width="5" customWidth="1"/>
    <col min="445" max="445" width="8.140625" customWidth="1"/>
    <col min="446" max="446" width="5" customWidth="1"/>
    <col min="447" max="447" width="8.140625" customWidth="1"/>
    <col min="448" max="448" width="5" customWidth="1"/>
    <col min="449" max="449" width="8.140625" customWidth="1"/>
    <col min="450" max="450" width="5" customWidth="1"/>
    <col min="451" max="451" width="8.140625" customWidth="1"/>
    <col min="452" max="452" width="5" customWidth="1"/>
    <col min="453" max="453" width="8.140625" customWidth="1"/>
    <col min="454" max="454" width="5" customWidth="1"/>
    <col min="455" max="455" width="8.140625" customWidth="1"/>
    <col min="456" max="456" width="5" customWidth="1"/>
    <col min="457" max="457" width="8.140625" customWidth="1"/>
    <col min="458" max="458" width="5" customWidth="1"/>
    <col min="459" max="459" width="8.140625" customWidth="1"/>
    <col min="460" max="460" width="5" customWidth="1"/>
    <col min="461" max="461" width="8.140625" customWidth="1"/>
    <col min="462" max="462" width="5" customWidth="1"/>
    <col min="463" max="463" width="8.140625" customWidth="1"/>
    <col min="464" max="464" width="5" customWidth="1"/>
    <col min="465" max="465" width="8.140625" customWidth="1"/>
    <col min="466" max="466" width="5" customWidth="1"/>
    <col min="467" max="467" width="8.140625" customWidth="1"/>
    <col min="468" max="468" width="5" customWidth="1"/>
    <col min="469" max="469" width="8.140625" customWidth="1"/>
    <col min="470" max="470" width="5" customWidth="1"/>
    <col min="471" max="471" width="8.140625" customWidth="1"/>
    <col min="472" max="472" width="5" customWidth="1"/>
    <col min="473" max="473" width="8.140625" customWidth="1"/>
    <col min="474" max="474" width="5" customWidth="1"/>
    <col min="475" max="475" width="8.140625" customWidth="1"/>
    <col min="476" max="476" width="5" customWidth="1"/>
    <col min="477" max="477" width="8.140625" customWidth="1"/>
    <col min="478" max="478" width="5" customWidth="1"/>
    <col min="479" max="479" width="8.140625" customWidth="1"/>
    <col min="480" max="480" width="5" customWidth="1"/>
    <col min="481" max="481" width="8.140625" customWidth="1"/>
    <col min="482" max="482" width="5" customWidth="1"/>
    <col min="483" max="483" width="8.140625" customWidth="1"/>
    <col min="484" max="484" width="5" customWidth="1"/>
    <col min="485" max="485" width="8.140625" customWidth="1"/>
    <col min="486" max="486" width="5" customWidth="1"/>
    <col min="487" max="487" width="8.140625" customWidth="1"/>
    <col min="488" max="488" width="5" customWidth="1"/>
    <col min="489" max="489" width="8.140625" customWidth="1"/>
    <col min="490" max="490" width="5" customWidth="1"/>
    <col min="491" max="491" width="3" customWidth="1"/>
    <col min="492" max="492" width="8.140625" customWidth="1"/>
    <col min="493" max="493" width="5" customWidth="1"/>
    <col min="494" max="494" width="8.140625" customWidth="1"/>
    <col min="495" max="495" width="5" customWidth="1"/>
    <col min="496" max="496" width="8.140625" customWidth="1"/>
    <col min="497" max="497" width="5" customWidth="1"/>
    <col min="498" max="498" width="8.140625" customWidth="1"/>
    <col min="499" max="499" width="5" customWidth="1"/>
    <col min="500" max="500" width="8.140625" customWidth="1"/>
    <col min="501" max="501" width="5" customWidth="1"/>
    <col min="502" max="502" width="8.140625" customWidth="1"/>
    <col min="503" max="503" width="5" customWidth="1"/>
    <col min="504" max="504" width="8.140625" customWidth="1"/>
    <col min="505" max="505" width="5" customWidth="1"/>
    <col min="506" max="506" width="8.140625" customWidth="1"/>
    <col min="507" max="507" width="5" customWidth="1"/>
    <col min="508" max="508" width="8.140625" customWidth="1"/>
    <col min="509" max="509" width="5" customWidth="1"/>
    <col min="510" max="510" width="8.140625" customWidth="1"/>
    <col min="511" max="511" width="5" customWidth="1"/>
    <col min="512" max="512" width="8.140625" customWidth="1"/>
    <col min="513" max="513" width="5" customWidth="1"/>
    <col min="514" max="514" width="8.140625" customWidth="1"/>
    <col min="515" max="515" width="5" customWidth="1"/>
    <col min="516" max="516" width="8.140625" customWidth="1"/>
    <col min="517" max="517" width="5" customWidth="1"/>
    <col min="518" max="518" width="8.140625" customWidth="1"/>
    <col min="519" max="519" width="5" customWidth="1"/>
    <col min="520" max="520" width="8.140625" customWidth="1"/>
    <col min="521" max="521" width="5" customWidth="1"/>
    <col min="522" max="522" width="8.140625" customWidth="1"/>
    <col min="523" max="523" width="5" customWidth="1"/>
    <col min="524" max="524" width="8.140625" customWidth="1"/>
    <col min="525" max="525" width="6" customWidth="1"/>
    <col min="527" max="527" width="6" customWidth="1"/>
    <col min="529" max="529" width="6" customWidth="1"/>
    <col min="531" max="531" width="6" customWidth="1"/>
    <col min="533" max="533" width="27.140625" bestFit="1" customWidth="1"/>
    <col min="534" max="534" width="11.7109375" bestFit="1" customWidth="1"/>
  </cols>
  <sheetData>
    <row r="1" spans="1:9" x14ac:dyDescent="0.2">
      <c r="B1" s="82" t="s">
        <v>3849</v>
      </c>
    </row>
    <row r="2" spans="1:9" x14ac:dyDescent="0.2">
      <c r="B2" s="199" t="s">
        <v>238</v>
      </c>
      <c r="D2" s="199" t="s">
        <v>74</v>
      </c>
      <c r="F2" s="199" t="s">
        <v>154</v>
      </c>
      <c r="H2" s="199" t="s">
        <v>3853</v>
      </c>
      <c r="I2" s="199" t="s">
        <v>3852</v>
      </c>
    </row>
    <row r="3" spans="1:9" x14ac:dyDescent="0.2">
      <c r="A3" s="82" t="s">
        <v>1830</v>
      </c>
      <c r="B3" s="199" t="s">
        <v>3854</v>
      </c>
      <c r="C3" s="199" t="s">
        <v>3847</v>
      </c>
      <c r="D3" s="199" t="s">
        <v>3854</v>
      </c>
      <c r="E3" s="199" t="s">
        <v>3847</v>
      </c>
      <c r="F3" s="199" t="s">
        <v>3854</v>
      </c>
      <c r="G3" s="199" t="s">
        <v>3847</v>
      </c>
    </row>
    <row r="4" spans="1:9" x14ac:dyDescent="0.2">
      <c r="A4" s="78" t="s">
        <v>1924</v>
      </c>
      <c r="B4" s="79">
        <v>2096</v>
      </c>
      <c r="C4" s="79">
        <v>1910</v>
      </c>
      <c r="D4" s="79">
        <v>142</v>
      </c>
      <c r="E4" s="79">
        <v>142</v>
      </c>
      <c r="F4" s="79">
        <v>60</v>
      </c>
      <c r="G4" s="79">
        <v>60</v>
      </c>
      <c r="H4" s="79">
        <v>2298</v>
      </c>
      <c r="I4" s="79">
        <v>2112</v>
      </c>
    </row>
    <row r="5" spans="1:9" x14ac:dyDescent="0.2">
      <c r="A5" s="78" t="s">
        <v>1908</v>
      </c>
      <c r="B5" s="79">
        <v>11311</v>
      </c>
      <c r="C5" s="79">
        <v>11056</v>
      </c>
      <c r="D5" s="79">
        <v>1104</v>
      </c>
      <c r="E5" s="79">
        <v>1104</v>
      </c>
      <c r="F5" s="79">
        <v>1262</v>
      </c>
      <c r="G5" s="79">
        <v>1097</v>
      </c>
      <c r="H5" s="79">
        <v>13677</v>
      </c>
      <c r="I5" s="79">
        <v>13257</v>
      </c>
    </row>
    <row r="6" spans="1:9" x14ac:dyDescent="0.2">
      <c r="A6" s="78" t="s">
        <v>1930</v>
      </c>
      <c r="B6" s="79">
        <v>3884</v>
      </c>
      <c r="C6" s="79">
        <v>3652</v>
      </c>
      <c r="D6" s="79">
        <v>691</v>
      </c>
      <c r="E6" s="79">
        <v>689</v>
      </c>
      <c r="F6" s="79">
        <v>170</v>
      </c>
      <c r="G6" s="79">
        <v>170</v>
      </c>
      <c r="H6" s="79">
        <v>4745</v>
      </c>
      <c r="I6" s="79">
        <v>4511</v>
      </c>
    </row>
    <row r="7" spans="1:9" x14ac:dyDescent="0.2">
      <c r="A7" s="78" t="s">
        <v>1952</v>
      </c>
      <c r="B7" s="79">
        <v>1471</v>
      </c>
      <c r="C7" s="79">
        <v>1467</v>
      </c>
      <c r="D7" s="79">
        <v>443</v>
      </c>
      <c r="E7" s="79">
        <v>443</v>
      </c>
      <c r="F7" s="79">
        <v>29</v>
      </c>
      <c r="G7" s="79">
        <v>29</v>
      </c>
      <c r="H7" s="79">
        <v>1943</v>
      </c>
      <c r="I7" s="79">
        <v>1939</v>
      </c>
    </row>
    <row r="8" spans="1:9" x14ac:dyDescent="0.2">
      <c r="A8" s="78" t="s">
        <v>1955</v>
      </c>
      <c r="B8" s="79">
        <v>738</v>
      </c>
      <c r="C8" s="79">
        <v>658</v>
      </c>
      <c r="D8" s="79">
        <v>102</v>
      </c>
      <c r="E8" s="79">
        <v>102</v>
      </c>
      <c r="F8" s="79">
        <v>137</v>
      </c>
      <c r="G8" s="79">
        <v>73</v>
      </c>
      <c r="H8" s="79">
        <v>977</v>
      </c>
      <c r="I8" s="79">
        <v>833</v>
      </c>
    </row>
    <row r="9" spans="1:9" x14ac:dyDescent="0.2">
      <c r="A9" s="78" t="s">
        <v>1902</v>
      </c>
      <c r="B9" s="79">
        <v>4071</v>
      </c>
      <c r="C9" s="79">
        <v>4071</v>
      </c>
      <c r="D9" s="79">
        <v>535</v>
      </c>
      <c r="E9" s="79">
        <v>535</v>
      </c>
      <c r="F9" s="79">
        <v>903</v>
      </c>
      <c r="G9" s="79">
        <v>903</v>
      </c>
      <c r="H9" s="79">
        <v>5509</v>
      </c>
      <c r="I9" s="79">
        <v>5509</v>
      </c>
    </row>
    <row r="10" spans="1:9" x14ac:dyDescent="0.2">
      <c r="A10" s="78" t="s">
        <v>3836</v>
      </c>
      <c r="B10" s="79">
        <v>499</v>
      </c>
      <c r="C10" s="79">
        <v>499</v>
      </c>
      <c r="D10" s="79">
        <v>99</v>
      </c>
      <c r="E10" s="79">
        <v>99</v>
      </c>
      <c r="F10" s="79">
        <v>147</v>
      </c>
      <c r="G10" s="79">
        <v>147</v>
      </c>
      <c r="H10" s="79">
        <v>745</v>
      </c>
      <c r="I10" s="79">
        <v>745</v>
      </c>
    </row>
    <row r="11" spans="1:9" x14ac:dyDescent="0.2">
      <c r="A11" s="78" t="s">
        <v>3837</v>
      </c>
      <c r="B11" s="79">
        <v>7362</v>
      </c>
      <c r="C11" s="79">
        <v>7362</v>
      </c>
      <c r="D11" s="79"/>
      <c r="E11" s="79"/>
      <c r="F11" s="79"/>
      <c r="G11" s="79"/>
      <c r="H11" s="79">
        <v>7362</v>
      </c>
      <c r="I11" s="79">
        <v>7362</v>
      </c>
    </row>
    <row r="12" spans="1:9" x14ac:dyDescent="0.2">
      <c r="A12" s="78" t="s">
        <v>3840</v>
      </c>
      <c r="B12" s="79">
        <v>1</v>
      </c>
      <c r="C12" s="79">
        <v>-76</v>
      </c>
      <c r="D12" s="79"/>
      <c r="E12" s="79"/>
      <c r="F12" s="79"/>
      <c r="G12" s="79"/>
      <c r="H12" s="79">
        <v>1</v>
      </c>
      <c r="I12" s="79">
        <v>-76</v>
      </c>
    </row>
    <row r="13" spans="1:9" x14ac:dyDescent="0.2">
      <c r="A13" s="78" t="s">
        <v>422</v>
      </c>
      <c r="B13" s="79">
        <v>31433</v>
      </c>
      <c r="C13" s="79">
        <v>30599</v>
      </c>
      <c r="D13" s="79">
        <v>3116</v>
      </c>
      <c r="E13" s="79">
        <v>3114</v>
      </c>
      <c r="F13" s="79">
        <v>2708</v>
      </c>
      <c r="G13" s="79">
        <v>2479</v>
      </c>
      <c r="H13" s="79">
        <v>37257</v>
      </c>
      <c r="I13" s="79">
        <v>36192</v>
      </c>
    </row>
  </sheetData>
  <pageMargins left="0.7" right="0.7" top="0.75" bottom="0.75" header="0.3" footer="0.3"/>
  <pageSetup paperSize="9" orientation="portrait" verticalDpi="0"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I18"/>
  <sheetViews>
    <sheetView workbookViewId="0">
      <selection activeCell="B2" sqref="B2"/>
    </sheetView>
  </sheetViews>
  <sheetFormatPr defaultRowHeight="12.75" x14ac:dyDescent="0.2"/>
  <cols>
    <col min="1" max="1" width="27.140625" style="46" customWidth="1"/>
    <col min="2" max="2" width="28.28515625" style="46" customWidth="1"/>
    <col min="3" max="3" width="22.5703125" style="46" customWidth="1"/>
    <col min="4" max="4" width="28.28515625" style="46" customWidth="1"/>
    <col min="5" max="5" width="22.5703125" style="46" customWidth="1"/>
    <col min="6" max="6" width="28.28515625" style="46" customWidth="1"/>
    <col min="7" max="7" width="22.5703125" style="46" customWidth="1"/>
    <col min="8" max="8" width="33.5703125" style="46" customWidth="1"/>
    <col min="9" max="9" width="27.85546875" style="46" customWidth="1"/>
    <col min="10" max="36" width="3" style="46" customWidth="1"/>
    <col min="37" max="39" width="4" style="46" customWidth="1"/>
    <col min="40" max="45" width="3" style="46" customWidth="1"/>
    <col min="46" max="50" width="4" style="46" customWidth="1"/>
    <col min="51" max="51" width="18" style="46" customWidth="1"/>
    <col min="52" max="52" width="14.5703125" style="46" customWidth="1"/>
    <col min="53" max="58" width="4" style="46" customWidth="1"/>
    <col min="59" max="59" width="3" style="46" customWidth="1"/>
    <col min="60" max="62" width="4" style="46" customWidth="1"/>
    <col min="63" max="74" width="3" style="46" customWidth="1"/>
    <col min="75" max="75" width="3.5703125" style="46" customWidth="1"/>
    <col min="76" max="80" width="3" style="46" customWidth="1"/>
    <col min="81" max="81" width="4" style="46" customWidth="1"/>
    <col min="82" max="89" width="3" style="46" customWidth="1"/>
    <col min="90" max="90" width="4" style="46" customWidth="1"/>
    <col min="91" max="95" width="3" style="46" customWidth="1"/>
    <col min="96" max="97" width="4" style="46" customWidth="1"/>
    <col min="98" max="99" width="3" style="46" customWidth="1"/>
    <col min="100" max="100" width="4" style="46" customWidth="1"/>
    <col min="101" max="106" width="3" style="46" customWidth="1"/>
    <col min="107" max="107" width="4" style="46" customWidth="1"/>
    <col min="108" max="108" width="3" style="46" customWidth="1"/>
    <col min="109" max="110" width="4" style="46" customWidth="1"/>
    <col min="111" max="112" width="3" style="46" customWidth="1"/>
    <col min="113" max="113" width="4" style="46" customWidth="1"/>
    <col min="114" max="116" width="3" style="46" customWidth="1"/>
    <col min="117" max="119" width="4" style="46" customWidth="1"/>
    <col min="120" max="120" width="3" style="46" customWidth="1"/>
    <col min="121" max="121" width="4" style="46" customWidth="1"/>
    <col min="122" max="123" width="3" style="46" customWidth="1"/>
    <col min="124" max="180" width="4" style="46" customWidth="1"/>
    <col min="181" max="181" width="18" style="46" customWidth="1"/>
    <col min="182" max="182" width="23.85546875" style="46" customWidth="1"/>
    <col min="183" max="183" width="2" style="46" customWidth="1"/>
    <col min="184" max="188" width="3" style="46" customWidth="1"/>
    <col min="189" max="189" width="2" style="46" customWidth="1"/>
    <col min="190" max="207" width="3" style="46" customWidth="1"/>
    <col min="208" max="208" width="4" style="46" customWidth="1"/>
    <col min="209" max="215" width="3" style="46" customWidth="1"/>
    <col min="216" max="216" width="3.5703125" style="46" customWidth="1"/>
    <col min="217" max="221" width="3" style="46" customWidth="1"/>
    <col min="222" max="222" width="4" style="46" customWidth="1"/>
    <col min="223" max="223" width="3" style="46" customWidth="1"/>
    <col min="224" max="224" width="4" style="46" customWidth="1"/>
    <col min="225" max="232" width="3" style="46" customWidth="1"/>
    <col min="233" max="236" width="4" style="46" customWidth="1"/>
    <col min="237" max="237" width="27.140625" style="46" customWidth="1"/>
    <col min="238" max="238" width="11.7109375" style="46" customWidth="1"/>
    <col min="239" max="239" width="8.140625" style="46" customWidth="1"/>
    <col min="240" max="240" width="5" style="46" customWidth="1"/>
    <col min="241" max="241" width="8.140625" style="46" customWidth="1"/>
    <col min="242" max="242" width="5" style="46" customWidth="1"/>
    <col min="243" max="243" width="8.140625" style="46" customWidth="1"/>
    <col min="244" max="244" width="5" style="46" customWidth="1"/>
    <col min="245" max="245" width="8.140625" style="46" customWidth="1"/>
    <col min="246" max="246" width="5" style="46" customWidth="1"/>
    <col min="247" max="247" width="8.140625" style="46" customWidth="1"/>
    <col min="248" max="248" width="5" style="46" customWidth="1"/>
    <col min="249" max="249" width="8.140625" style="46" customWidth="1"/>
    <col min="250" max="250" width="5" style="46" customWidth="1"/>
    <col min="251" max="251" width="8.140625" style="46" customWidth="1"/>
    <col min="252" max="252" width="5" style="46" customWidth="1"/>
    <col min="253" max="253" width="8.140625" style="46" customWidth="1"/>
    <col min="254" max="254" width="5" style="46" customWidth="1"/>
    <col min="255" max="255" width="8.140625" style="46" customWidth="1"/>
    <col min="256" max="256" width="5" style="46" customWidth="1"/>
    <col min="257" max="257" width="8.140625" style="46" customWidth="1"/>
    <col min="258" max="258" width="5" style="46" customWidth="1"/>
    <col min="259" max="259" width="8.140625" style="46" customWidth="1"/>
    <col min="260" max="260" width="5" style="46" customWidth="1"/>
    <col min="261" max="261" width="8.140625" style="46" customWidth="1"/>
    <col min="262" max="262" width="5" style="46" customWidth="1"/>
    <col min="263" max="263" width="8.140625" style="46" customWidth="1"/>
    <col min="264" max="264" width="5" style="46" customWidth="1"/>
    <col min="265" max="265" width="8.140625" style="46" customWidth="1"/>
    <col min="266" max="266" width="5" style="46" customWidth="1"/>
    <col min="267" max="267" width="8.140625" style="46" customWidth="1"/>
    <col min="268" max="268" width="5" style="46" customWidth="1"/>
    <col min="269" max="269" width="8.140625" style="46" customWidth="1"/>
    <col min="270" max="270" width="5" style="46" customWidth="1"/>
    <col min="271" max="271" width="8.140625" style="46" customWidth="1"/>
    <col min="272" max="272" width="5" style="46" customWidth="1"/>
    <col min="273" max="273" width="8.140625" style="46" customWidth="1"/>
    <col min="274" max="274" width="5" style="46" customWidth="1"/>
    <col min="275" max="275" width="8.140625" style="46" customWidth="1"/>
    <col min="276" max="276" width="5" style="46" customWidth="1"/>
    <col min="277" max="277" width="8.140625" style="46" customWidth="1"/>
    <col min="278" max="278" width="5" style="46" customWidth="1"/>
    <col min="279" max="279" width="8.140625" style="46" customWidth="1"/>
    <col min="280" max="280" width="5" style="46" customWidth="1"/>
    <col min="281" max="281" width="8.140625" style="46" customWidth="1"/>
    <col min="282" max="282" width="5" style="46" customWidth="1"/>
    <col min="283" max="283" width="8.140625" style="46" customWidth="1"/>
    <col min="284" max="284" width="5" style="46" customWidth="1"/>
    <col min="285" max="285" width="8.140625" style="46" customWidth="1"/>
    <col min="286" max="286" width="5" style="46" customWidth="1"/>
    <col min="287" max="287" width="8.140625" style="46" customWidth="1"/>
    <col min="288" max="288" width="5" style="46" customWidth="1"/>
    <col min="289" max="289" width="8.140625" style="46" customWidth="1"/>
    <col min="290" max="290" width="5" style="46" customWidth="1"/>
    <col min="291" max="291" width="8.140625" style="46" customWidth="1"/>
    <col min="292" max="292" width="5" style="46" customWidth="1"/>
    <col min="293" max="293" width="8.140625" style="46" customWidth="1"/>
    <col min="294" max="294" width="5" style="46" customWidth="1"/>
    <col min="295" max="295" width="8.140625" style="46" customWidth="1"/>
    <col min="296" max="296" width="5" style="46" customWidth="1"/>
    <col min="297" max="297" width="8.140625" style="46" customWidth="1"/>
    <col min="298" max="298" width="5" style="46" customWidth="1"/>
    <col min="299" max="299" width="8.140625" style="46" customWidth="1"/>
    <col min="300" max="300" width="5" style="46" customWidth="1"/>
    <col min="301" max="301" width="8.140625" style="46" customWidth="1"/>
    <col min="302" max="302" width="5" style="46" customWidth="1"/>
    <col min="303" max="303" width="8.140625" style="46" customWidth="1"/>
    <col min="304" max="304" width="6" style="46" customWidth="1"/>
    <col min="305" max="305" width="9.140625" style="46"/>
    <col min="306" max="306" width="6" style="46" customWidth="1"/>
    <col min="307" max="307" width="9.140625" style="46"/>
    <col min="308" max="308" width="6" style="46" customWidth="1"/>
    <col min="309" max="309" width="9.140625" style="46"/>
    <col min="310" max="310" width="6" style="46" customWidth="1"/>
    <col min="311" max="311" width="9.140625" style="46"/>
    <col min="312" max="312" width="6" style="46" customWidth="1"/>
    <col min="313" max="313" width="9.140625" style="46"/>
    <col min="314" max="314" width="6" style="46" customWidth="1"/>
    <col min="315" max="315" width="9.140625" style="46"/>
    <col min="316" max="316" width="6" style="46" customWidth="1"/>
    <col min="317" max="317" width="9.140625" style="46"/>
    <col min="318" max="318" width="6" style="46" customWidth="1"/>
    <col min="319" max="319" width="9.140625" style="46"/>
    <col min="320" max="320" width="6" style="46" customWidth="1"/>
    <col min="321" max="321" width="9.140625" style="46"/>
    <col min="322" max="322" width="6" style="46" customWidth="1"/>
    <col min="323" max="323" width="9.140625" style="46"/>
    <col min="324" max="324" width="6" style="46" customWidth="1"/>
    <col min="325" max="325" width="4" style="46" customWidth="1"/>
    <col min="326" max="326" width="9.140625" style="46"/>
    <col min="327" max="327" width="6" style="46" customWidth="1"/>
    <col min="328" max="328" width="9.140625" style="46"/>
    <col min="329" max="329" width="6" style="46" customWidth="1"/>
    <col min="330" max="330" width="9.140625" style="46"/>
    <col min="331" max="331" width="6" style="46" customWidth="1"/>
    <col min="332" max="332" width="9.140625" style="46"/>
    <col min="333" max="333" width="6" style="46" customWidth="1"/>
    <col min="334" max="334" width="9.140625" style="46"/>
    <col min="335" max="335" width="6" style="46" customWidth="1"/>
    <col min="336" max="336" width="9.140625" style="46"/>
    <col min="337" max="337" width="6" style="46" customWidth="1"/>
    <col min="338" max="338" width="9.140625" style="46"/>
    <col min="339" max="339" width="6" style="46" customWidth="1"/>
    <col min="340" max="340" width="9.140625" style="46"/>
    <col min="341" max="341" width="6" style="46" customWidth="1"/>
    <col min="342" max="342" width="9.140625" style="46"/>
    <col min="343" max="343" width="6" style="46" customWidth="1"/>
    <col min="344" max="344" width="9.140625" style="46"/>
    <col min="345" max="345" width="6" style="46" customWidth="1"/>
    <col min="346" max="346" width="9.140625" style="46"/>
    <col min="347" max="347" width="6" style="46" customWidth="1"/>
    <col min="348" max="348" width="9.140625" style="46"/>
    <col min="349" max="349" width="6" style="46" customWidth="1"/>
    <col min="350" max="350" width="9.140625" style="46"/>
    <col min="351" max="351" width="6" style="46" customWidth="1"/>
    <col min="352" max="352" width="9.140625" style="46"/>
    <col min="353" max="353" width="6" style="46" customWidth="1"/>
    <col min="354" max="354" width="9.140625" style="46"/>
    <col min="355" max="355" width="6" style="46" customWidth="1"/>
    <col min="356" max="356" width="9.140625" style="46"/>
    <col min="357" max="357" width="6" style="46" customWidth="1"/>
    <col min="358" max="358" width="9.140625" style="46"/>
    <col min="359" max="359" width="6" style="46" customWidth="1"/>
    <col min="360" max="360" width="9.140625" style="46"/>
    <col min="361" max="361" width="6" style="46" customWidth="1"/>
    <col min="362" max="362" width="9.140625" style="46"/>
    <col min="363" max="363" width="6" style="46" customWidth="1"/>
    <col min="364" max="364" width="9.140625" style="46"/>
    <col min="365" max="365" width="6" style="46" customWidth="1"/>
    <col min="366" max="366" width="9.140625" style="46"/>
    <col min="367" max="367" width="6" style="46" customWidth="1"/>
    <col min="368" max="368" width="9.140625" style="46"/>
    <col min="369" max="369" width="6" style="46" customWidth="1"/>
    <col min="370" max="370" width="9.140625" style="46"/>
    <col min="371" max="371" width="6" style="46" customWidth="1"/>
    <col min="372" max="372" width="9.140625" style="46"/>
    <col min="373" max="373" width="6" style="46" customWidth="1"/>
    <col min="374" max="374" width="9.140625" style="46"/>
    <col min="375" max="375" width="6" style="46" customWidth="1"/>
    <col min="376" max="376" width="9.140625" style="46"/>
    <col min="377" max="377" width="6" style="46" customWidth="1"/>
    <col min="378" max="378" width="9.140625" style="46"/>
    <col min="379" max="379" width="6" style="46" customWidth="1"/>
    <col min="380" max="380" width="9.140625" style="46"/>
    <col min="381" max="381" width="6" style="46" customWidth="1"/>
    <col min="382" max="382" width="9.140625" style="46"/>
    <col min="383" max="383" width="6" style="46" customWidth="1"/>
    <col min="384" max="384" width="9.140625" style="46"/>
    <col min="385" max="385" width="6" style="46" customWidth="1"/>
    <col min="386" max="386" width="9.140625" style="46"/>
    <col min="387" max="387" width="6" style="46" customWidth="1"/>
    <col min="388" max="388" width="9.140625" style="46"/>
    <col min="389" max="389" width="6" style="46" customWidth="1"/>
    <col min="390" max="390" width="9.140625" style="46"/>
    <col min="391" max="391" width="6" style="46" customWidth="1"/>
    <col min="392" max="392" width="9.140625" style="46"/>
    <col min="393" max="393" width="6" style="46" customWidth="1"/>
    <col min="394" max="394" width="9.140625" style="46"/>
    <col min="395" max="395" width="6" style="46" customWidth="1"/>
    <col min="396" max="396" width="9.140625" style="46"/>
    <col min="397" max="397" width="6" style="46" customWidth="1"/>
    <col min="398" max="398" width="9.140625" style="46"/>
    <col min="399" max="399" width="6" style="46" customWidth="1"/>
    <col min="400" max="400" width="9.140625" style="46"/>
    <col min="401" max="401" width="6" style="46" customWidth="1"/>
    <col min="402" max="402" width="9.140625" style="46"/>
    <col min="403" max="403" width="6" style="46" customWidth="1"/>
    <col min="404" max="404" width="9.140625" style="46"/>
    <col min="405" max="405" width="6" style="46" customWidth="1"/>
    <col min="406" max="406" width="9.140625" style="46"/>
    <col min="407" max="407" width="6" style="46" customWidth="1"/>
    <col min="408" max="408" width="9.140625" style="46"/>
    <col min="409" max="409" width="6" style="46" customWidth="1"/>
    <col min="410" max="410" width="9.140625" style="46"/>
    <col min="411" max="411" width="6" style="46" customWidth="1"/>
    <col min="412" max="412" width="9.140625" style="46"/>
    <col min="413" max="413" width="6" style="46" customWidth="1"/>
    <col min="414" max="414" width="9.140625" style="46"/>
    <col min="415" max="415" width="6" style="46" customWidth="1"/>
    <col min="416" max="416" width="9.140625" style="46"/>
    <col min="417" max="417" width="6" style="46" customWidth="1"/>
    <col min="418" max="418" width="9.140625" style="46"/>
    <col min="419" max="419" width="18" style="46" customWidth="1"/>
    <col min="420" max="420" width="23.85546875" style="46" customWidth="1"/>
    <col min="421" max="421" width="3.5703125" style="46" customWidth="1"/>
    <col min="422" max="422" width="2" style="46" customWidth="1"/>
    <col min="423" max="423" width="7.140625" style="46" customWidth="1"/>
    <col min="424" max="424" width="4" style="46" customWidth="1"/>
    <col min="425" max="425" width="7.140625" style="46" customWidth="1"/>
    <col min="426" max="426" width="4" style="46" customWidth="1"/>
    <col min="427" max="427" width="7.140625" style="46" customWidth="1"/>
    <col min="428" max="428" width="4" style="46" customWidth="1"/>
    <col min="429" max="429" width="7.140625" style="46" customWidth="1"/>
    <col min="430" max="430" width="4" style="46" customWidth="1"/>
    <col min="431" max="431" width="7.140625" style="46" customWidth="1"/>
    <col min="432" max="432" width="4" style="46" customWidth="1"/>
    <col min="433" max="433" width="7.140625" style="46" customWidth="1"/>
    <col min="434" max="434" width="4" style="46" customWidth="1"/>
    <col min="435" max="435" width="7.140625" style="46" customWidth="1"/>
    <col min="436" max="436" width="4" style="46" customWidth="1"/>
    <col min="437" max="437" width="7.140625" style="46" customWidth="1"/>
    <col min="438" max="438" width="4" style="46" customWidth="1"/>
    <col min="439" max="439" width="7.140625" style="46" customWidth="1"/>
    <col min="440" max="440" width="4" style="46" customWidth="1"/>
    <col min="441" max="441" width="7.140625" style="46" customWidth="1"/>
    <col min="442" max="442" width="5" style="46" customWidth="1"/>
    <col min="443" max="443" width="8.140625" style="46" customWidth="1"/>
    <col min="444" max="444" width="5" style="46" customWidth="1"/>
    <col min="445" max="445" width="8.140625" style="46" customWidth="1"/>
    <col min="446" max="446" width="5" style="46" customWidth="1"/>
    <col min="447" max="447" width="8.140625" style="46" customWidth="1"/>
    <col min="448" max="448" width="5" style="46" customWidth="1"/>
    <col min="449" max="449" width="8.140625" style="46" customWidth="1"/>
    <col min="450" max="450" width="5" style="46" customWidth="1"/>
    <col min="451" max="451" width="8.140625" style="46" customWidth="1"/>
    <col min="452" max="452" width="5" style="46" customWidth="1"/>
    <col min="453" max="453" width="8.140625" style="46" customWidth="1"/>
    <col min="454" max="454" width="5" style="46" customWidth="1"/>
    <col min="455" max="455" width="8.140625" style="46" customWidth="1"/>
    <col min="456" max="456" width="5" style="46" customWidth="1"/>
    <col min="457" max="457" width="8.140625" style="46" customWidth="1"/>
    <col min="458" max="458" width="5" style="46" customWidth="1"/>
    <col min="459" max="459" width="8.140625" style="46" customWidth="1"/>
    <col min="460" max="460" width="5" style="46" customWidth="1"/>
    <col min="461" max="461" width="8.140625" style="46" customWidth="1"/>
    <col min="462" max="462" width="5" style="46" customWidth="1"/>
    <col min="463" max="463" width="8.140625" style="46" customWidth="1"/>
    <col min="464" max="464" width="5" style="46" customWidth="1"/>
    <col min="465" max="465" width="8.140625" style="46" customWidth="1"/>
    <col min="466" max="466" width="5" style="46" customWidth="1"/>
    <col min="467" max="467" width="8.140625" style="46" customWidth="1"/>
    <col min="468" max="468" width="5" style="46" customWidth="1"/>
    <col min="469" max="469" width="8.140625" style="46" customWidth="1"/>
    <col min="470" max="470" width="5" style="46" customWidth="1"/>
    <col min="471" max="471" width="8.140625" style="46" customWidth="1"/>
    <col min="472" max="472" width="5" style="46" customWidth="1"/>
    <col min="473" max="473" width="8.140625" style="46" customWidth="1"/>
    <col min="474" max="474" width="5" style="46" customWidth="1"/>
    <col min="475" max="475" width="8.140625" style="46" customWidth="1"/>
    <col min="476" max="476" width="5" style="46" customWidth="1"/>
    <col min="477" max="477" width="8.140625" style="46" customWidth="1"/>
    <col min="478" max="478" width="5" style="46" customWidth="1"/>
    <col min="479" max="479" width="8.140625" style="46" customWidth="1"/>
    <col min="480" max="480" width="5" style="46" customWidth="1"/>
    <col min="481" max="481" width="8.140625" style="46" customWidth="1"/>
    <col min="482" max="482" width="5" style="46" customWidth="1"/>
    <col min="483" max="483" width="8.140625" style="46" customWidth="1"/>
    <col min="484" max="484" width="5" style="46" customWidth="1"/>
    <col min="485" max="485" width="8.140625" style="46" customWidth="1"/>
    <col min="486" max="486" width="5" style="46" customWidth="1"/>
    <col min="487" max="487" width="8.140625" style="46" customWidth="1"/>
    <col min="488" max="488" width="5" style="46" customWidth="1"/>
    <col min="489" max="489" width="8.140625" style="46" customWidth="1"/>
    <col min="490" max="490" width="5" style="46" customWidth="1"/>
    <col min="491" max="491" width="3" style="46" customWidth="1"/>
    <col min="492" max="492" width="8.140625" style="46" customWidth="1"/>
    <col min="493" max="493" width="5" style="46" customWidth="1"/>
    <col min="494" max="494" width="8.140625" style="46" customWidth="1"/>
    <col min="495" max="495" width="5" style="46" customWidth="1"/>
    <col min="496" max="496" width="8.140625" style="46" customWidth="1"/>
    <col min="497" max="497" width="5" style="46" customWidth="1"/>
    <col min="498" max="498" width="8.140625" style="46" customWidth="1"/>
    <col min="499" max="499" width="5" style="46" customWidth="1"/>
    <col min="500" max="500" width="8.140625" style="46" customWidth="1"/>
    <col min="501" max="501" width="5" style="46" customWidth="1"/>
    <col min="502" max="502" width="8.140625" style="46" customWidth="1"/>
    <col min="503" max="503" width="5" style="46" customWidth="1"/>
    <col min="504" max="504" width="8.140625" style="46" customWidth="1"/>
    <col min="505" max="505" width="5" style="46" customWidth="1"/>
    <col min="506" max="506" width="8.140625" style="46" customWidth="1"/>
    <col min="507" max="507" width="5" style="46" customWidth="1"/>
    <col min="508" max="508" width="8.140625" style="46" customWidth="1"/>
    <col min="509" max="509" width="5" style="46" customWidth="1"/>
    <col min="510" max="510" width="8.140625" style="46" customWidth="1"/>
    <col min="511" max="511" width="5" style="46" customWidth="1"/>
    <col min="512" max="512" width="8.140625" style="46" customWidth="1"/>
    <col min="513" max="513" width="5" style="46" customWidth="1"/>
    <col min="514" max="514" width="8.140625" style="46" customWidth="1"/>
    <col min="515" max="515" width="5" style="46" customWidth="1"/>
    <col min="516" max="516" width="8.140625" style="46" customWidth="1"/>
    <col min="517" max="517" width="5" style="46" customWidth="1"/>
    <col min="518" max="518" width="8.140625" style="46" customWidth="1"/>
    <col min="519" max="519" width="5" style="46" customWidth="1"/>
    <col min="520" max="520" width="8.140625" style="46" customWidth="1"/>
    <col min="521" max="521" width="5" style="46" customWidth="1"/>
    <col min="522" max="522" width="8.140625" style="46" customWidth="1"/>
    <col min="523" max="523" width="5" style="46" customWidth="1"/>
    <col min="524" max="524" width="8.140625" style="46" customWidth="1"/>
    <col min="525" max="525" width="6" style="46" customWidth="1"/>
    <col min="526" max="526" width="9.140625" style="46"/>
    <col min="527" max="527" width="6" style="46" customWidth="1"/>
    <col min="528" max="528" width="9.140625" style="46"/>
    <col min="529" max="529" width="6" style="46" customWidth="1"/>
    <col min="530" max="530" width="9.140625" style="46"/>
    <col min="531" max="531" width="6" style="46" customWidth="1"/>
    <col min="532" max="532" width="9.140625" style="46"/>
    <col min="533" max="533" width="27.140625" style="46" customWidth="1"/>
    <col min="534" max="534" width="11.7109375" style="46" customWidth="1"/>
    <col min="535" max="16384" width="9.140625" style="46"/>
  </cols>
  <sheetData>
    <row r="1" spans="1:9" x14ac:dyDescent="0.2">
      <c r="A1" s="82" t="s">
        <v>179</v>
      </c>
      <c r="B1" s="199" t="s">
        <v>116</v>
      </c>
      <c r="C1"/>
      <c r="D1"/>
      <c r="E1"/>
      <c r="F1"/>
      <c r="G1"/>
      <c r="H1"/>
      <c r="I1"/>
    </row>
    <row r="2" spans="1:9" x14ac:dyDescent="0.2">
      <c r="A2"/>
      <c r="B2"/>
      <c r="C2"/>
      <c r="D2"/>
      <c r="E2"/>
      <c r="F2"/>
      <c r="G2"/>
      <c r="H2"/>
      <c r="I2"/>
    </row>
    <row r="3" spans="1:9" x14ac:dyDescent="0.2">
      <c r="A3"/>
      <c r="B3" s="82" t="s">
        <v>3849</v>
      </c>
      <c r="C3"/>
      <c r="D3"/>
      <c r="E3"/>
      <c r="F3"/>
      <c r="G3"/>
      <c r="H3"/>
      <c r="I3"/>
    </row>
    <row r="4" spans="1:9" x14ac:dyDescent="0.2">
      <c r="A4"/>
      <c r="B4" s="199" t="s">
        <v>238</v>
      </c>
      <c r="C4"/>
      <c r="D4" s="199" t="s">
        <v>74</v>
      </c>
      <c r="E4"/>
      <c r="F4" s="199" t="s">
        <v>154</v>
      </c>
      <c r="G4"/>
      <c r="H4" s="199" t="s">
        <v>3853</v>
      </c>
      <c r="I4" s="199" t="s">
        <v>3852</v>
      </c>
    </row>
    <row r="5" spans="1:9" x14ac:dyDescent="0.2">
      <c r="A5" s="82" t="s">
        <v>1830</v>
      </c>
      <c r="B5" s="199" t="s">
        <v>3854</v>
      </c>
      <c r="C5" s="199" t="s">
        <v>3847</v>
      </c>
      <c r="D5" s="199" t="s">
        <v>3854</v>
      </c>
      <c r="E5" s="199" t="s">
        <v>3847</v>
      </c>
      <c r="F5" s="199" t="s">
        <v>3854</v>
      </c>
      <c r="G5" s="199" t="s">
        <v>3847</v>
      </c>
      <c r="H5"/>
      <c r="I5"/>
    </row>
    <row r="6" spans="1:9" x14ac:dyDescent="0.2">
      <c r="A6" s="78" t="s">
        <v>1924</v>
      </c>
      <c r="B6" s="79">
        <v>1686</v>
      </c>
      <c r="C6" s="79">
        <v>1672</v>
      </c>
      <c r="D6" s="79">
        <v>140</v>
      </c>
      <c r="E6" s="79">
        <v>140</v>
      </c>
      <c r="F6" s="79">
        <v>58</v>
      </c>
      <c r="G6" s="79">
        <v>58</v>
      </c>
      <c r="H6" s="79">
        <v>1884</v>
      </c>
      <c r="I6" s="79">
        <v>1870</v>
      </c>
    </row>
    <row r="7" spans="1:9" x14ac:dyDescent="0.2">
      <c r="A7" s="78" t="s">
        <v>1908</v>
      </c>
      <c r="B7" s="79">
        <v>9811</v>
      </c>
      <c r="C7" s="79">
        <v>9672</v>
      </c>
      <c r="D7" s="79">
        <v>1030</v>
      </c>
      <c r="E7" s="79">
        <v>1030</v>
      </c>
      <c r="F7" s="79">
        <v>1066</v>
      </c>
      <c r="G7" s="79">
        <v>901</v>
      </c>
      <c r="H7" s="79">
        <v>11907</v>
      </c>
      <c r="I7" s="79">
        <v>11603</v>
      </c>
    </row>
    <row r="8" spans="1:9" x14ac:dyDescent="0.2">
      <c r="A8" s="78" t="s">
        <v>1930</v>
      </c>
      <c r="B8" s="79">
        <v>2968</v>
      </c>
      <c r="C8" s="79">
        <v>2935</v>
      </c>
      <c r="D8" s="79">
        <v>691</v>
      </c>
      <c r="E8" s="79">
        <v>689</v>
      </c>
      <c r="F8" s="79">
        <v>163</v>
      </c>
      <c r="G8" s="79">
        <v>163</v>
      </c>
      <c r="H8" s="79">
        <v>3822</v>
      </c>
      <c r="I8" s="79">
        <v>3787</v>
      </c>
    </row>
    <row r="9" spans="1:9" x14ac:dyDescent="0.2">
      <c r="A9" s="78" t="s">
        <v>1952</v>
      </c>
      <c r="B9" s="79">
        <v>1471</v>
      </c>
      <c r="C9" s="79">
        <v>1467</v>
      </c>
      <c r="D9" s="79">
        <v>443</v>
      </c>
      <c r="E9" s="79">
        <v>443</v>
      </c>
      <c r="F9" s="79">
        <v>20</v>
      </c>
      <c r="G9" s="79">
        <v>20</v>
      </c>
      <c r="H9" s="79">
        <v>1934</v>
      </c>
      <c r="I9" s="79">
        <v>1930</v>
      </c>
    </row>
    <row r="10" spans="1:9" x14ac:dyDescent="0.2">
      <c r="A10" s="78" t="s">
        <v>1955</v>
      </c>
      <c r="B10" s="79">
        <v>358</v>
      </c>
      <c r="C10" s="79">
        <v>350</v>
      </c>
      <c r="D10" s="79">
        <v>102</v>
      </c>
      <c r="E10" s="79">
        <v>102</v>
      </c>
      <c r="F10" s="79">
        <v>137</v>
      </c>
      <c r="G10" s="79">
        <v>73</v>
      </c>
      <c r="H10" s="79">
        <v>597</v>
      </c>
      <c r="I10" s="79">
        <v>525</v>
      </c>
    </row>
    <row r="11" spans="1:9" x14ac:dyDescent="0.2">
      <c r="A11" s="78" t="s">
        <v>1902</v>
      </c>
      <c r="B11" s="79">
        <v>3998</v>
      </c>
      <c r="C11" s="79">
        <v>3998</v>
      </c>
      <c r="D11" s="79">
        <v>530</v>
      </c>
      <c r="E11" s="79">
        <v>530</v>
      </c>
      <c r="F11" s="79">
        <v>896</v>
      </c>
      <c r="G11" s="79">
        <v>896</v>
      </c>
      <c r="H11" s="79">
        <v>5424</v>
      </c>
      <c r="I11" s="79">
        <v>5424</v>
      </c>
    </row>
    <row r="12" spans="1:9" x14ac:dyDescent="0.2">
      <c r="A12" s="78" t="s">
        <v>3836</v>
      </c>
      <c r="B12" s="79">
        <v>499</v>
      </c>
      <c r="C12" s="79">
        <v>499</v>
      </c>
      <c r="D12" s="79">
        <v>99</v>
      </c>
      <c r="E12" s="79">
        <v>99</v>
      </c>
      <c r="F12" s="79">
        <v>147</v>
      </c>
      <c r="G12" s="79">
        <v>147</v>
      </c>
      <c r="H12" s="79">
        <v>745</v>
      </c>
      <c r="I12" s="79">
        <v>745</v>
      </c>
    </row>
    <row r="13" spans="1:9" x14ac:dyDescent="0.2">
      <c r="A13" s="78" t="s">
        <v>422</v>
      </c>
      <c r="B13" s="79">
        <v>20791</v>
      </c>
      <c r="C13" s="79">
        <v>20593</v>
      </c>
      <c r="D13" s="79">
        <v>3035</v>
      </c>
      <c r="E13" s="79">
        <v>3033</v>
      </c>
      <c r="F13" s="79">
        <v>2487</v>
      </c>
      <c r="G13" s="79">
        <v>2258</v>
      </c>
      <c r="H13" s="79">
        <v>26313</v>
      </c>
      <c r="I13" s="79">
        <v>25884</v>
      </c>
    </row>
    <row r="14" spans="1:9" x14ac:dyDescent="0.2">
      <c r="A14"/>
      <c r="B14"/>
      <c r="C14"/>
      <c r="D14"/>
      <c r="E14"/>
      <c r="F14"/>
      <c r="G14"/>
      <c r="H14"/>
      <c r="I14"/>
    </row>
    <row r="15" spans="1:9" x14ac:dyDescent="0.2">
      <c r="A15"/>
      <c r="B15"/>
      <c r="C15"/>
      <c r="D15"/>
      <c r="E15"/>
      <c r="F15"/>
      <c r="G15"/>
      <c r="H15"/>
      <c r="I15"/>
    </row>
    <row r="16" spans="1:9" x14ac:dyDescent="0.2">
      <c r="A16"/>
      <c r="B16"/>
      <c r="C16"/>
      <c r="D16"/>
      <c r="E16"/>
      <c r="F16"/>
      <c r="G16"/>
      <c r="H16"/>
      <c r="I16"/>
    </row>
    <row r="17" spans="1:9" x14ac:dyDescent="0.2">
      <c r="A17"/>
      <c r="B17"/>
      <c r="C17"/>
      <c r="D17"/>
      <c r="E17"/>
      <c r="F17"/>
      <c r="G17"/>
      <c r="H17"/>
      <c r="I17"/>
    </row>
    <row r="18" spans="1:9" x14ac:dyDescent="0.2">
      <c r="A18"/>
      <c r="B18"/>
      <c r="C18"/>
      <c r="D18"/>
      <c r="E18"/>
      <c r="F18"/>
      <c r="G18"/>
      <c r="H18"/>
      <c r="I18"/>
    </row>
  </sheetData>
  <pageMargins left="0.7" right="0.7" top="0.75" bottom="0.75" header="0.3" footer="0.3"/>
  <pageSetup paperSize="9" orientation="portrait" verticalDpi="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dimension ref="A1:I8"/>
  <sheetViews>
    <sheetView workbookViewId="0">
      <selection activeCell="B2" sqref="B2"/>
    </sheetView>
  </sheetViews>
  <sheetFormatPr defaultRowHeight="12.75" x14ac:dyDescent="0.2"/>
  <cols>
    <col min="1" max="1" width="21.42578125" customWidth="1"/>
    <col min="2" max="2" width="22.5703125" customWidth="1"/>
    <col min="3" max="3" width="12.5703125" customWidth="1"/>
    <col min="4" max="4" width="21.85546875" customWidth="1"/>
    <col min="5" max="5" width="11.7109375" customWidth="1"/>
    <col min="6" max="6" width="28.28515625" customWidth="1"/>
    <col min="7" max="7" width="22.5703125" customWidth="1"/>
    <col min="8" max="8" width="33.5703125" customWidth="1"/>
    <col min="9" max="9" width="27.85546875" customWidth="1"/>
  </cols>
  <sheetData>
    <row r="1" spans="1:9" x14ac:dyDescent="0.2">
      <c r="A1" s="82" t="s">
        <v>1862</v>
      </c>
      <c r="B1" s="199" t="s">
        <v>155</v>
      </c>
      <c r="C1" s="46"/>
      <c r="D1" s="46"/>
      <c r="E1" s="46"/>
      <c r="F1" s="46"/>
      <c r="G1" s="46"/>
      <c r="H1" s="46"/>
      <c r="I1" s="46"/>
    </row>
    <row r="2" spans="1:9" x14ac:dyDescent="0.2">
      <c r="A2" s="46"/>
      <c r="B2" s="46"/>
      <c r="C2" s="46"/>
      <c r="D2" s="46"/>
      <c r="E2" s="46"/>
      <c r="F2" s="46"/>
      <c r="G2" s="46"/>
      <c r="H2" s="46"/>
      <c r="I2" s="46"/>
    </row>
    <row r="3" spans="1:9" x14ac:dyDescent="0.2">
      <c r="A3" s="82" t="s">
        <v>1830</v>
      </c>
      <c r="B3" t="s">
        <v>3847</v>
      </c>
    </row>
    <row r="4" spans="1:9" x14ac:dyDescent="0.2">
      <c r="A4" s="78" t="s">
        <v>1924</v>
      </c>
      <c r="B4" s="79">
        <v>61</v>
      </c>
    </row>
    <row r="5" spans="1:9" x14ac:dyDescent="0.2">
      <c r="A5" s="78" t="s">
        <v>1908</v>
      </c>
      <c r="B5" s="79">
        <v>3620</v>
      </c>
    </row>
    <row r="6" spans="1:9" x14ac:dyDescent="0.2">
      <c r="A6" s="78" t="s">
        <v>1930</v>
      </c>
      <c r="B6" s="79">
        <v>2402</v>
      </c>
    </row>
    <row r="7" spans="1:9" x14ac:dyDescent="0.2">
      <c r="A7" s="78" t="s">
        <v>1955</v>
      </c>
      <c r="B7" s="79">
        <v>27</v>
      </c>
    </row>
    <row r="8" spans="1:9" x14ac:dyDescent="0.2">
      <c r="A8" s="78" t="s">
        <v>422</v>
      </c>
      <c r="B8" s="79">
        <v>6110</v>
      </c>
    </row>
  </sheetData>
  <pageMargins left="0.7" right="0.7" top="0.75" bottom="0.75" header="0.3" footer="0.3"/>
  <pageSetup paperSize="9" orientation="portrait" verticalDpi="0"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B24"/>
  <sheetViews>
    <sheetView workbookViewId="0">
      <selection activeCell="B2" sqref="B2"/>
    </sheetView>
  </sheetViews>
  <sheetFormatPr defaultRowHeight="12.75" x14ac:dyDescent="0.2"/>
  <cols>
    <col min="1" max="1" width="19.7109375" style="46" customWidth="1"/>
    <col min="2" max="2" width="22.5703125" style="46" customWidth="1"/>
    <col min="3" max="3" width="12.5703125" style="46" customWidth="1"/>
    <col min="4" max="4" width="21.85546875" style="46" customWidth="1"/>
    <col min="5" max="5" width="11.7109375" style="46" customWidth="1"/>
    <col min="6" max="6" width="28.28515625" style="46" customWidth="1"/>
    <col min="7" max="7" width="22.5703125" style="46" customWidth="1"/>
    <col min="8" max="8" width="33.5703125" style="46" customWidth="1"/>
    <col min="9" max="9" width="27.85546875" style="46" customWidth="1"/>
    <col min="10" max="16384" width="9.140625" style="46"/>
  </cols>
  <sheetData>
    <row r="1" spans="1:2" x14ac:dyDescent="0.2">
      <c r="A1" s="82" t="s">
        <v>1866</v>
      </c>
      <c r="B1" s="199" t="s">
        <v>155</v>
      </c>
    </row>
    <row r="3" spans="1:2" x14ac:dyDescent="0.2">
      <c r="A3" s="82" t="s">
        <v>1830</v>
      </c>
      <c r="B3" t="s">
        <v>3847</v>
      </c>
    </row>
    <row r="4" spans="1:2" x14ac:dyDescent="0.2">
      <c r="A4" s="78" t="s">
        <v>1924</v>
      </c>
      <c r="B4" s="79">
        <v>52</v>
      </c>
    </row>
    <row r="5" spans="1:2" x14ac:dyDescent="0.2">
      <c r="A5" s="78" t="s">
        <v>1908</v>
      </c>
      <c r="B5" s="79">
        <v>2048</v>
      </c>
    </row>
    <row r="6" spans="1:2" x14ac:dyDescent="0.2">
      <c r="A6" s="78" t="s">
        <v>422</v>
      </c>
      <c r="B6" s="79">
        <v>2100</v>
      </c>
    </row>
    <row r="7" spans="1:2" x14ac:dyDescent="0.2">
      <c r="A7"/>
      <c r="B7"/>
    </row>
    <row r="8" spans="1:2" x14ac:dyDescent="0.2">
      <c r="A8"/>
      <c r="B8"/>
    </row>
    <row r="9" spans="1:2" x14ac:dyDescent="0.2">
      <c r="A9"/>
      <c r="B9"/>
    </row>
    <row r="10" spans="1:2" x14ac:dyDescent="0.2">
      <c r="A10"/>
      <c r="B10"/>
    </row>
    <row r="11" spans="1:2" x14ac:dyDescent="0.2">
      <c r="A11"/>
      <c r="B11"/>
    </row>
    <row r="12" spans="1:2" x14ac:dyDescent="0.2">
      <c r="A12"/>
      <c r="B12"/>
    </row>
    <row r="13" spans="1:2" x14ac:dyDescent="0.2">
      <c r="A13"/>
      <c r="B13"/>
    </row>
    <row r="14" spans="1:2" x14ac:dyDescent="0.2">
      <c r="A14"/>
      <c r="B14"/>
    </row>
    <row r="15" spans="1:2" x14ac:dyDescent="0.2">
      <c r="A15"/>
      <c r="B15"/>
    </row>
    <row r="16" spans="1:2" x14ac:dyDescent="0.2">
      <c r="A16"/>
      <c r="B16"/>
    </row>
    <row r="17" spans="1:2" x14ac:dyDescent="0.2">
      <c r="A17"/>
      <c r="B17"/>
    </row>
    <row r="18" spans="1:2" x14ac:dyDescent="0.2">
      <c r="A18"/>
      <c r="B18"/>
    </row>
    <row r="19" spans="1:2" x14ac:dyDescent="0.2">
      <c r="A19"/>
      <c r="B19"/>
    </row>
    <row r="20" spans="1:2" x14ac:dyDescent="0.2">
      <c r="A20"/>
      <c r="B20"/>
    </row>
    <row r="21" spans="1:2" x14ac:dyDescent="0.2">
      <c r="A21"/>
      <c r="B21"/>
    </row>
    <row r="22" spans="1:2" x14ac:dyDescent="0.2">
      <c r="A22"/>
      <c r="B22"/>
    </row>
    <row r="23" spans="1:2" x14ac:dyDescent="0.2">
      <c r="A23"/>
      <c r="B23"/>
    </row>
    <row r="24" spans="1:2" x14ac:dyDescent="0.2">
      <c r="A24"/>
      <c r="B24"/>
    </row>
  </sheetData>
  <pageMargins left="0.7" right="0.7" top="0.75" bottom="0.75" header="0.3" footer="0.3"/>
  <pageSetup paperSize="9" orientation="portrait" verticalDpi="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1:B7"/>
  <sheetViews>
    <sheetView workbookViewId="0">
      <selection activeCell="B2" sqref="B2"/>
    </sheetView>
  </sheetViews>
  <sheetFormatPr defaultRowHeight="12.75" x14ac:dyDescent="0.2"/>
  <cols>
    <col min="1" max="1" width="31.7109375" customWidth="1"/>
    <col min="2" max="2" width="16.140625" customWidth="1"/>
    <col min="3" max="4" width="5" customWidth="1"/>
    <col min="5" max="5" width="4.5703125" customWidth="1"/>
    <col min="6" max="6" width="4.42578125" customWidth="1"/>
    <col min="7" max="7" width="11.7109375" bestFit="1" customWidth="1"/>
  </cols>
  <sheetData>
    <row r="1" spans="1:2" x14ac:dyDescent="0.2">
      <c r="A1" s="82" t="s">
        <v>1862</v>
      </c>
      <c r="B1" s="199" t="s">
        <v>155</v>
      </c>
    </row>
    <row r="2" spans="1:2" x14ac:dyDescent="0.2">
      <c r="A2" s="82" t="s">
        <v>1863</v>
      </c>
      <c r="B2" s="199" t="s">
        <v>3871</v>
      </c>
    </row>
    <row r="3" spans="1:2" x14ac:dyDescent="0.2">
      <c r="A3" s="82" t="s">
        <v>1864</v>
      </c>
      <c r="B3" s="199" t="s">
        <v>3871</v>
      </c>
    </row>
    <row r="4" spans="1:2" x14ac:dyDescent="0.2">
      <c r="A4" s="82" t="s">
        <v>197</v>
      </c>
      <c r="B4" s="199" t="s">
        <v>3871</v>
      </c>
    </row>
    <row r="6" spans="1:2" x14ac:dyDescent="0.2">
      <c r="A6" t="s">
        <v>3847</v>
      </c>
    </row>
    <row r="7" spans="1:2" x14ac:dyDescent="0.2">
      <c r="A7" s="79">
        <v>5457</v>
      </c>
    </row>
  </sheetData>
  <pageMargins left="0.7" right="0.7" top="0.75" bottom="0.75"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69"/>
  <sheetViews>
    <sheetView zoomScaleNormal="100" zoomScaleSheetLayoutView="100" workbookViewId="0">
      <selection activeCell="R9" sqref="R9"/>
    </sheetView>
  </sheetViews>
  <sheetFormatPr defaultRowHeight="12.75" x14ac:dyDescent="0.2"/>
  <cols>
    <col min="1" max="1" width="11.140625" style="55" customWidth="1"/>
    <col min="2" max="2" width="31.85546875" style="55" customWidth="1"/>
    <col min="3" max="24" width="7.42578125" style="55" bestFit="1" customWidth="1"/>
    <col min="25" max="16384" width="9.140625" style="55"/>
  </cols>
  <sheetData>
    <row r="1" spans="1:24" x14ac:dyDescent="0.2">
      <c r="A1" s="321" t="s">
        <v>4017</v>
      </c>
      <c r="B1" s="322"/>
      <c r="C1" s="322"/>
      <c r="D1" s="322"/>
      <c r="E1" s="322"/>
      <c r="F1" s="322"/>
      <c r="G1" s="322"/>
      <c r="H1" s="322"/>
      <c r="I1" s="322"/>
      <c r="J1" s="322"/>
      <c r="K1" s="322"/>
      <c r="L1" s="322"/>
      <c r="M1" s="322"/>
      <c r="N1" s="322"/>
      <c r="O1" s="322"/>
      <c r="P1" s="322"/>
      <c r="Q1" s="322"/>
      <c r="R1" s="322"/>
      <c r="S1" s="322"/>
      <c r="T1" s="322"/>
      <c r="U1" s="322"/>
      <c r="V1" s="322"/>
      <c r="W1" s="322"/>
      <c r="X1" s="323"/>
    </row>
    <row r="2" spans="1:24" x14ac:dyDescent="0.2">
      <c r="A2" s="321" t="s">
        <v>4018</v>
      </c>
      <c r="B2" s="323"/>
      <c r="C2" s="327" t="s">
        <v>4019</v>
      </c>
      <c r="D2" s="328"/>
      <c r="E2" s="328"/>
      <c r="F2" s="329"/>
      <c r="G2" s="324" t="s">
        <v>4020</v>
      </c>
      <c r="H2" s="325"/>
      <c r="I2" s="325"/>
      <c r="J2" s="325"/>
      <c r="K2" s="325"/>
      <c r="L2" s="325"/>
      <c r="M2" s="325"/>
      <c r="N2" s="325"/>
      <c r="O2" s="325"/>
      <c r="P2" s="326"/>
      <c r="Q2" s="324" t="s">
        <v>4021</v>
      </c>
      <c r="R2" s="325"/>
      <c r="S2" s="325"/>
      <c r="T2" s="325"/>
      <c r="U2" s="325"/>
      <c r="V2" s="325"/>
      <c r="W2" s="325"/>
      <c r="X2" s="326"/>
    </row>
    <row r="3" spans="1:24" x14ac:dyDescent="0.2">
      <c r="A3" s="330" t="s">
        <v>46</v>
      </c>
      <c r="B3" s="331"/>
      <c r="C3" s="170" t="s">
        <v>132</v>
      </c>
      <c r="D3" s="171" t="s">
        <v>404</v>
      </c>
      <c r="E3" s="171" t="s">
        <v>45</v>
      </c>
      <c r="F3" s="172" t="s">
        <v>44</v>
      </c>
      <c r="G3" s="170" t="s">
        <v>0</v>
      </c>
      <c r="H3" s="171" t="s">
        <v>1</v>
      </c>
      <c r="I3" s="171" t="s">
        <v>2</v>
      </c>
      <c r="J3" s="171" t="s">
        <v>3</v>
      </c>
      <c r="K3" s="171" t="s">
        <v>4</v>
      </c>
      <c r="L3" s="171" t="s">
        <v>5</v>
      </c>
      <c r="M3" s="171" t="s">
        <v>6</v>
      </c>
      <c r="N3" s="171" t="s">
        <v>7</v>
      </c>
      <c r="O3" s="171" t="s">
        <v>8</v>
      </c>
      <c r="P3" s="172" t="s">
        <v>9</v>
      </c>
      <c r="Q3" s="169" t="s">
        <v>10</v>
      </c>
      <c r="R3" s="168" t="s">
        <v>11</v>
      </c>
      <c r="S3" s="168" t="s">
        <v>12</v>
      </c>
      <c r="T3" s="168" t="s">
        <v>13</v>
      </c>
      <c r="U3" s="168" t="s">
        <v>14</v>
      </c>
      <c r="V3" s="168" t="s">
        <v>15</v>
      </c>
      <c r="W3" s="168" t="s">
        <v>832</v>
      </c>
      <c r="X3" s="202" t="s">
        <v>1760</v>
      </c>
    </row>
    <row r="4" spans="1:24" x14ac:dyDescent="0.2">
      <c r="A4" s="316" t="s">
        <v>4022</v>
      </c>
      <c r="B4" s="317"/>
      <c r="C4" s="173">
        <v>10</v>
      </c>
      <c r="D4" s="174">
        <f>C4-1</f>
        <v>9</v>
      </c>
      <c r="E4" s="174">
        <f t="shared" ref="E4:F4" si="0">D4-1</f>
        <v>8</v>
      </c>
      <c r="F4" s="175">
        <f t="shared" si="0"/>
        <v>7</v>
      </c>
      <c r="G4" s="173">
        <v>10</v>
      </c>
      <c r="H4" s="174">
        <f>G4-1</f>
        <v>9</v>
      </c>
      <c r="I4" s="174">
        <f t="shared" ref="I4:P4" si="1">H4-1</f>
        <v>8</v>
      </c>
      <c r="J4" s="174">
        <f t="shared" si="1"/>
        <v>7</v>
      </c>
      <c r="K4" s="174">
        <f t="shared" si="1"/>
        <v>6</v>
      </c>
      <c r="L4" s="174">
        <f t="shared" si="1"/>
        <v>5</v>
      </c>
      <c r="M4" s="174">
        <f t="shared" si="1"/>
        <v>4</v>
      </c>
      <c r="N4" s="174">
        <f t="shared" si="1"/>
        <v>3</v>
      </c>
      <c r="O4" s="174">
        <f t="shared" si="1"/>
        <v>2</v>
      </c>
      <c r="P4" s="175">
        <f t="shared" si="1"/>
        <v>1</v>
      </c>
      <c r="Q4" s="173"/>
      <c r="R4" s="174"/>
      <c r="S4" s="174"/>
      <c r="T4" s="174"/>
      <c r="U4" s="174"/>
      <c r="V4" s="174"/>
      <c r="W4" s="174"/>
      <c r="X4" s="175"/>
    </row>
    <row r="5" spans="1:24" ht="24" customHeight="1" x14ac:dyDescent="0.2">
      <c r="A5" s="318" t="s">
        <v>49</v>
      </c>
      <c r="B5" s="176" t="s">
        <v>4023</v>
      </c>
      <c r="C5" s="177">
        <v>1465</v>
      </c>
      <c r="D5" s="178">
        <v>793</v>
      </c>
      <c r="E5" s="178">
        <v>1086</v>
      </c>
      <c r="F5" s="179">
        <v>1511</v>
      </c>
      <c r="G5" s="177">
        <f>'Summary Tables'!G11</f>
        <v>2735</v>
      </c>
      <c r="H5" s="178">
        <f>'Summary Tables'!H11</f>
        <v>2710</v>
      </c>
      <c r="I5" s="178">
        <f>'Summary Tables'!I11</f>
        <v>2025</v>
      </c>
      <c r="J5" s="178"/>
      <c r="K5" s="178"/>
      <c r="L5" s="178"/>
      <c r="M5" s="178"/>
      <c r="N5" s="178"/>
      <c r="O5" s="178"/>
      <c r="P5" s="179"/>
      <c r="Q5" s="177"/>
      <c r="R5" s="178"/>
      <c r="S5" s="178"/>
      <c r="T5" s="178"/>
      <c r="U5" s="178"/>
      <c r="V5" s="178"/>
      <c r="W5" s="178"/>
      <c r="X5" s="201"/>
    </row>
    <row r="6" spans="1:24" ht="24" customHeight="1" x14ac:dyDescent="0.2">
      <c r="A6" s="319"/>
      <c r="B6" s="182" t="s">
        <v>4024</v>
      </c>
      <c r="C6" s="183"/>
      <c r="D6" s="184"/>
      <c r="E6" s="184"/>
      <c r="F6" s="185"/>
      <c r="G6" s="186"/>
      <c r="H6" s="187"/>
      <c r="I6" s="187"/>
      <c r="J6" s="187">
        <f>SUM('Conventional Supply Scenario 1'!CD2:CD1479)+('Non-Self-Contained Supply'!AU2:AU36)</f>
        <v>2303.9499999999998</v>
      </c>
      <c r="K6" s="187">
        <f>SUM('Conventional Supply Scenario 1'!CE2:CE1479)+('Non-Self-Contained Supply'!AV2:AV36)</f>
        <v>3426.8500000000013</v>
      </c>
      <c r="L6" s="187">
        <f>SUM('Conventional Supply Scenario 1'!CF2:CF1479)+('Non-Self-Contained Supply'!AW2:AW36)</f>
        <v>3187.8500000000013</v>
      </c>
      <c r="M6" s="187">
        <f>SUM('Conventional Supply Scenario 1'!CG2:CG1479)+('Non-Self-Contained Supply'!AX2:AX36)</f>
        <v>4279.5166666666673</v>
      </c>
      <c r="N6" s="187">
        <f>SUM('Conventional Supply Scenario 1'!CH2:CH1479)+('Non-Self-Contained Supply'!AY2:AY36)</f>
        <v>3038.9333333333411</v>
      </c>
      <c r="O6" s="187">
        <f>SUM('Conventional Supply Scenario 1'!CI2:CI1479)+('Non-Self-Contained Supply'!AZ2:AZ36)</f>
        <v>2454.9999999999973</v>
      </c>
      <c r="P6" s="185">
        <f>SUM('Conventional Supply Scenario 1'!CJ2:CJ1479)+('Non-Self-Contained Supply'!BA2:BA36)</f>
        <v>2100.5803921568595</v>
      </c>
      <c r="Q6" s="186">
        <f>SUM('Conventional Supply Scenario 1'!CK2:CK1479)+('Non-Self-Contained Supply'!BB2:BB36)</f>
        <v>2210.9137254901962</v>
      </c>
      <c r="R6" s="187">
        <f>SUM('Conventional Supply Scenario 1'!CL2:CL1479)+('Non-Self-Contained Supply'!BC2:BC36)</f>
        <v>1290.2470588235292</v>
      </c>
      <c r="S6" s="187">
        <f>SUM('Conventional Supply Scenario 1'!CM2:CM1479)+('Non-Self-Contained Supply'!BD2:BD36)</f>
        <v>1645.2470588235287</v>
      </c>
      <c r="T6" s="187">
        <f>SUM('Conventional Supply Scenario 1'!CN2:CN1479)+('Non-Self-Contained Supply'!BE2:BE36)</f>
        <v>1099.1470588235295</v>
      </c>
      <c r="U6" s="187">
        <f>SUM('Conventional Supply Scenario 1'!CO2:CO1479)+('Non-Self-Contained Supply'!BF2:BF36)</f>
        <v>804.73039215686265</v>
      </c>
      <c r="V6" s="187">
        <f>SUM('Conventional Supply Scenario 1'!CP2:CP1479)+('Non-Self-Contained Supply'!BG2:BG36)</f>
        <v>636.73039215686276</v>
      </c>
      <c r="W6" s="187">
        <f>SUM('Conventional Supply Scenario 1'!CQ2:CQ1479)+('Non-Self-Contained Supply'!BH2:BH36)</f>
        <v>636.73039215686276</v>
      </c>
      <c r="X6" s="185">
        <f>SUM('Conventional Supply Scenario 1'!CR2:CR1479)+('Non-Self-Contained Supply'!BI2:BI36)</f>
        <v>636.73039215686276</v>
      </c>
    </row>
    <row r="7" spans="1:24" ht="24" customHeight="1" x14ac:dyDescent="0.2">
      <c r="A7" s="320"/>
      <c r="B7" s="188" t="s">
        <v>4025</v>
      </c>
      <c r="C7" s="189">
        <f>C5</f>
        <v>1465</v>
      </c>
      <c r="D7" s="190">
        <f>C7+D5</f>
        <v>2258</v>
      </c>
      <c r="E7" s="190">
        <f>D7+E5</f>
        <v>3344</v>
      </c>
      <c r="F7" s="191">
        <f>E7+F5</f>
        <v>4855</v>
      </c>
      <c r="G7" s="192">
        <f>G5</f>
        <v>2735</v>
      </c>
      <c r="H7" s="193">
        <f>G7+H5</f>
        <v>5445</v>
      </c>
      <c r="I7" s="193">
        <f>H7+I5</f>
        <v>7470</v>
      </c>
      <c r="J7" s="193">
        <f t="shared" ref="J7:X7" si="2">I7+J6</f>
        <v>9773.9500000000007</v>
      </c>
      <c r="K7" s="193">
        <f t="shared" si="2"/>
        <v>13200.800000000003</v>
      </c>
      <c r="L7" s="193">
        <f t="shared" si="2"/>
        <v>16388.650000000005</v>
      </c>
      <c r="M7" s="193">
        <f t="shared" si="2"/>
        <v>20668.166666666672</v>
      </c>
      <c r="N7" s="193">
        <f t="shared" si="2"/>
        <v>23707.100000000013</v>
      </c>
      <c r="O7" s="193">
        <f t="shared" si="2"/>
        <v>26162.100000000009</v>
      </c>
      <c r="P7" s="194">
        <f t="shared" si="2"/>
        <v>28262.680392156868</v>
      </c>
      <c r="Q7" s="192">
        <f t="shared" si="2"/>
        <v>30473.594117647066</v>
      </c>
      <c r="R7" s="193">
        <f t="shared" si="2"/>
        <v>31763.841176470596</v>
      </c>
      <c r="S7" s="193">
        <f t="shared" si="2"/>
        <v>33409.088235294126</v>
      </c>
      <c r="T7" s="193">
        <f t="shared" si="2"/>
        <v>34508.235294117658</v>
      </c>
      <c r="U7" s="193">
        <f t="shared" si="2"/>
        <v>35312.965686274518</v>
      </c>
      <c r="V7" s="193">
        <f t="shared" si="2"/>
        <v>35949.696078431378</v>
      </c>
      <c r="W7" s="193">
        <f t="shared" si="2"/>
        <v>36586.426470588238</v>
      </c>
      <c r="X7" s="194">
        <f t="shared" si="2"/>
        <v>37223.156862745098</v>
      </c>
    </row>
    <row r="8" spans="1:24" ht="24" customHeight="1" x14ac:dyDescent="0.2">
      <c r="A8" s="318" t="s">
        <v>4026</v>
      </c>
      <c r="B8" s="176" t="s">
        <v>1827</v>
      </c>
      <c r="C8" s="177">
        <v>1145</v>
      </c>
      <c r="D8" s="178">
        <v>1145</v>
      </c>
      <c r="E8" s="178">
        <v>1145</v>
      </c>
      <c r="F8" s="179">
        <v>1145</v>
      </c>
      <c r="G8" s="177">
        <v>1812</v>
      </c>
      <c r="H8" s="178">
        <v>1812</v>
      </c>
      <c r="I8" s="178">
        <v>1812</v>
      </c>
      <c r="J8" s="178">
        <v>1812</v>
      </c>
      <c r="K8" s="178">
        <v>1812</v>
      </c>
      <c r="L8" s="178">
        <v>1812</v>
      </c>
      <c r="M8" s="178">
        <v>1812</v>
      </c>
      <c r="N8" s="178">
        <v>1812</v>
      </c>
      <c r="O8" s="178">
        <v>1812</v>
      </c>
      <c r="P8" s="178">
        <v>1812</v>
      </c>
      <c r="Q8" s="177">
        <v>1812</v>
      </c>
      <c r="R8" s="178">
        <v>1812</v>
      </c>
      <c r="S8" s="178">
        <v>1812</v>
      </c>
      <c r="T8" s="178">
        <v>1812</v>
      </c>
      <c r="U8" s="178">
        <v>1812</v>
      </c>
      <c r="V8" s="178">
        <v>1812</v>
      </c>
      <c r="W8" s="178">
        <v>1812</v>
      </c>
      <c r="X8" s="179">
        <v>1812</v>
      </c>
    </row>
    <row r="9" spans="1:24" ht="24" customHeight="1" x14ac:dyDescent="0.2">
      <c r="A9" s="320"/>
      <c r="B9" s="188" t="s">
        <v>4027</v>
      </c>
      <c r="C9" s="189">
        <f>C8</f>
        <v>1145</v>
      </c>
      <c r="D9" s="190">
        <f>C9+D8</f>
        <v>2290</v>
      </c>
      <c r="E9" s="190">
        <f>D9+E8</f>
        <v>3435</v>
      </c>
      <c r="F9" s="191">
        <f>E9+F8</f>
        <v>4580</v>
      </c>
      <c r="G9" s="189">
        <f>G8</f>
        <v>1812</v>
      </c>
      <c r="H9" s="190">
        <f t="shared" ref="H9:X9" si="3">G9+H8</f>
        <v>3624</v>
      </c>
      <c r="I9" s="190">
        <f t="shared" si="3"/>
        <v>5436</v>
      </c>
      <c r="J9" s="190">
        <f t="shared" si="3"/>
        <v>7248</v>
      </c>
      <c r="K9" s="190">
        <f t="shared" si="3"/>
        <v>9060</v>
      </c>
      <c r="L9" s="190">
        <f t="shared" si="3"/>
        <v>10872</v>
      </c>
      <c r="M9" s="190">
        <f t="shared" si="3"/>
        <v>12684</v>
      </c>
      <c r="N9" s="190">
        <f t="shared" si="3"/>
        <v>14496</v>
      </c>
      <c r="O9" s="190">
        <f t="shared" si="3"/>
        <v>16308</v>
      </c>
      <c r="P9" s="193">
        <f t="shared" si="3"/>
        <v>18120</v>
      </c>
      <c r="Q9" s="192">
        <f t="shared" si="3"/>
        <v>19932</v>
      </c>
      <c r="R9" s="193">
        <f t="shared" si="3"/>
        <v>21744</v>
      </c>
      <c r="S9" s="193">
        <f t="shared" si="3"/>
        <v>23556</v>
      </c>
      <c r="T9" s="193">
        <f t="shared" si="3"/>
        <v>25368</v>
      </c>
      <c r="U9" s="193">
        <f t="shared" si="3"/>
        <v>27180</v>
      </c>
      <c r="V9" s="193">
        <f t="shared" si="3"/>
        <v>28992</v>
      </c>
      <c r="W9" s="193">
        <f t="shared" si="3"/>
        <v>30804</v>
      </c>
      <c r="X9" s="194">
        <f t="shared" si="3"/>
        <v>32616</v>
      </c>
    </row>
    <row r="10" spans="1:24" ht="24" customHeight="1" x14ac:dyDescent="0.2">
      <c r="A10" s="318" t="s">
        <v>4028</v>
      </c>
      <c r="B10" s="176" t="s">
        <v>4029</v>
      </c>
      <c r="C10" s="195">
        <f t="shared" ref="C10:X10" si="4">C7-C9</f>
        <v>320</v>
      </c>
      <c r="D10" s="180">
        <f t="shared" si="4"/>
        <v>-32</v>
      </c>
      <c r="E10" s="180">
        <f t="shared" si="4"/>
        <v>-91</v>
      </c>
      <c r="F10" s="181">
        <f t="shared" si="4"/>
        <v>275</v>
      </c>
      <c r="G10" s="195">
        <f t="shared" si="4"/>
        <v>923</v>
      </c>
      <c r="H10" s="180">
        <f t="shared" si="4"/>
        <v>1821</v>
      </c>
      <c r="I10" s="180">
        <f t="shared" si="4"/>
        <v>2034</v>
      </c>
      <c r="J10" s="180">
        <f t="shared" si="4"/>
        <v>2525.9500000000007</v>
      </c>
      <c r="K10" s="180">
        <f t="shared" si="4"/>
        <v>4140.8000000000029</v>
      </c>
      <c r="L10" s="180">
        <f t="shared" si="4"/>
        <v>5516.6500000000051</v>
      </c>
      <c r="M10" s="180">
        <f t="shared" si="4"/>
        <v>7984.1666666666715</v>
      </c>
      <c r="N10" s="180">
        <f t="shared" si="4"/>
        <v>9211.1000000000131</v>
      </c>
      <c r="O10" s="180">
        <f t="shared" si="4"/>
        <v>9854.1000000000095</v>
      </c>
      <c r="P10" s="178">
        <f t="shared" si="4"/>
        <v>10142.680392156868</v>
      </c>
      <c r="Q10" s="177">
        <f t="shared" si="4"/>
        <v>10541.594117647066</v>
      </c>
      <c r="R10" s="178">
        <f t="shared" si="4"/>
        <v>10019.841176470596</v>
      </c>
      <c r="S10" s="178">
        <f t="shared" si="4"/>
        <v>9853.0882352941262</v>
      </c>
      <c r="T10" s="178">
        <f t="shared" si="4"/>
        <v>9140.2352941176578</v>
      </c>
      <c r="U10" s="178">
        <f t="shared" si="4"/>
        <v>8132.9656862745178</v>
      </c>
      <c r="V10" s="178">
        <f t="shared" si="4"/>
        <v>6957.6960784313778</v>
      </c>
      <c r="W10" s="178">
        <f t="shared" si="4"/>
        <v>5782.4264705882379</v>
      </c>
      <c r="X10" s="179">
        <f t="shared" si="4"/>
        <v>4607.1568627450979</v>
      </c>
    </row>
    <row r="11" spans="1:24" ht="24" customHeight="1" x14ac:dyDescent="0.2">
      <c r="A11" s="320"/>
      <c r="B11" s="188" t="s">
        <v>4030</v>
      </c>
      <c r="C11" s="189">
        <f>C8</f>
        <v>1145</v>
      </c>
      <c r="D11" s="190">
        <f>IF((D8*10-C7)/D4&gt;0,(D8*10-C7)/D4,0)</f>
        <v>1109.4444444444443</v>
      </c>
      <c r="E11" s="190">
        <f>IF((E8*10-D7)/E4&gt;0,(E8*10-D7)/E4,0)</f>
        <v>1149</v>
      </c>
      <c r="F11" s="191">
        <f>IF((F8*10-E7)/F4&gt;0,(F8*10-E7)/F4,0)</f>
        <v>1158</v>
      </c>
      <c r="G11" s="189">
        <f>G8</f>
        <v>1812</v>
      </c>
      <c r="H11" s="196">
        <f t="shared" ref="H11:P11" si="5">IF((H8*10-G7)/H4&gt;0,(H8*10-G7)/H4,0)</f>
        <v>1709.4444444444443</v>
      </c>
      <c r="I11" s="196">
        <f t="shared" si="5"/>
        <v>1584.375</v>
      </c>
      <c r="J11" s="196">
        <f t="shared" si="5"/>
        <v>1521.4285714285713</v>
      </c>
      <c r="K11" s="196">
        <f t="shared" si="5"/>
        <v>1391.0083333333332</v>
      </c>
      <c r="L11" s="196">
        <f t="shared" si="5"/>
        <v>983.83999999999946</v>
      </c>
      <c r="M11" s="196">
        <f t="shared" si="5"/>
        <v>432.83749999999873</v>
      </c>
      <c r="N11" s="196">
        <f t="shared" si="5"/>
        <v>0</v>
      </c>
      <c r="O11" s="196">
        <f t="shared" si="5"/>
        <v>0</v>
      </c>
      <c r="P11" s="193">
        <f t="shared" si="5"/>
        <v>0</v>
      </c>
      <c r="Q11" s="192"/>
      <c r="R11" s="193"/>
      <c r="S11" s="193"/>
      <c r="T11" s="193"/>
      <c r="U11" s="193"/>
      <c r="V11" s="193"/>
      <c r="W11" s="193"/>
      <c r="X11" s="200"/>
    </row>
    <row r="12" spans="1:24" x14ac:dyDescent="0.2">
      <c r="A12" s="197"/>
      <c r="B12" s="198"/>
      <c r="C12" s="197"/>
      <c r="D12" s="197"/>
      <c r="E12" s="197"/>
      <c r="F12" s="197"/>
      <c r="G12" s="197"/>
      <c r="H12" s="197"/>
      <c r="I12" s="197"/>
      <c r="J12" s="197"/>
      <c r="K12" s="197"/>
      <c r="L12" s="197"/>
      <c r="M12" s="197"/>
      <c r="N12" s="197"/>
      <c r="O12" s="197"/>
      <c r="P12" s="197"/>
      <c r="Q12" s="197"/>
      <c r="R12" s="197"/>
      <c r="S12" s="197"/>
      <c r="T12" s="197"/>
      <c r="U12" s="197"/>
      <c r="V12" s="197"/>
      <c r="W12" s="197"/>
    </row>
    <row r="13" spans="1:24" x14ac:dyDescent="0.2">
      <c r="A13" s="197"/>
      <c r="B13" s="198"/>
      <c r="C13" s="197"/>
      <c r="D13" s="197"/>
      <c r="E13" s="197"/>
      <c r="F13" s="197"/>
      <c r="G13" s="197"/>
      <c r="H13" s="197"/>
      <c r="I13" s="197"/>
      <c r="J13" s="197"/>
      <c r="K13" s="197"/>
      <c r="L13" s="197"/>
      <c r="M13" s="197"/>
      <c r="N13" s="197"/>
      <c r="O13" s="197"/>
      <c r="P13" s="197"/>
      <c r="Q13" s="197"/>
      <c r="R13" s="197"/>
      <c r="S13" s="197"/>
      <c r="T13" s="197"/>
      <c r="U13" s="197"/>
      <c r="V13" s="197"/>
      <c r="W13" s="197"/>
    </row>
    <row r="14" spans="1:24" x14ac:dyDescent="0.2">
      <c r="A14" s="197"/>
      <c r="B14" s="198"/>
      <c r="C14" s="197"/>
      <c r="D14" s="197"/>
      <c r="E14" s="197"/>
      <c r="F14" s="197"/>
      <c r="G14" s="197"/>
      <c r="H14" s="197"/>
      <c r="I14" s="197"/>
      <c r="J14" s="197"/>
      <c r="K14" s="197"/>
      <c r="L14" s="197"/>
      <c r="M14" s="197"/>
      <c r="N14" s="197"/>
      <c r="O14" s="197"/>
      <c r="P14" s="197"/>
      <c r="Q14" s="197"/>
      <c r="R14" s="197"/>
      <c r="S14" s="197"/>
      <c r="T14" s="197"/>
      <c r="U14" s="197"/>
      <c r="V14" s="197"/>
      <c r="W14" s="197"/>
    </row>
    <row r="15" spans="1:24" x14ac:dyDescent="0.2">
      <c r="A15" s="197"/>
      <c r="B15" s="198"/>
      <c r="C15" s="197"/>
      <c r="D15" s="197"/>
      <c r="E15" s="197"/>
      <c r="F15" s="197"/>
      <c r="G15" s="197"/>
      <c r="H15" s="197"/>
      <c r="I15" s="197"/>
      <c r="J15" s="197"/>
      <c r="K15" s="197"/>
      <c r="L15" s="197"/>
      <c r="M15" s="197"/>
      <c r="N15" s="197"/>
      <c r="O15" s="197"/>
      <c r="P15" s="197"/>
      <c r="Q15" s="197"/>
      <c r="R15" s="197"/>
      <c r="S15" s="197"/>
      <c r="T15" s="197"/>
      <c r="U15" s="197"/>
      <c r="V15" s="197"/>
      <c r="W15" s="197"/>
    </row>
    <row r="16" spans="1:24" x14ac:dyDescent="0.2">
      <c r="A16" s="197"/>
      <c r="B16" s="198"/>
      <c r="C16" s="197"/>
      <c r="D16" s="197"/>
      <c r="E16" s="197"/>
      <c r="F16" s="197"/>
      <c r="G16" s="197"/>
      <c r="H16" s="197"/>
      <c r="I16" s="197"/>
      <c r="J16" s="197"/>
      <c r="K16" s="197"/>
      <c r="L16" s="197"/>
      <c r="M16" s="197"/>
      <c r="N16" s="197"/>
      <c r="O16" s="197"/>
      <c r="P16" s="197"/>
      <c r="Q16" s="197"/>
      <c r="R16" s="197"/>
      <c r="S16" s="197"/>
      <c r="T16" s="197"/>
      <c r="U16" s="197"/>
      <c r="V16" s="197"/>
      <c r="W16" s="197"/>
    </row>
    <row r="17" spans="1:23" x14ac:dyDescent="0.2">
      <c r="A17" s="197"/>
      <c r="B17" s="198"/>
      <c r="C17" s="197"/>
      <c r="D17" s="197"/>
      <c r="E17" s="197"/>
      <c r="F17" s="197"/>
      <c r="G17" s="197"/>
      <c r="H17" s="197"/>
      <c r="I17" s="197"/>
      <c r="J17" s="197"/>
      <c r="K17" s="197"/>
      <c r="L17" s="197"/>
      <c r="M17" s="197"/>
      <c r="N17" s="197"/>
      <c r="O17" s="197"/>
      <c r="P17" s="197"/>
      <c r="Q17" s="197"/>
      <c r="R17" s="197"/>
      <c r="S17" s="197"/>
      <c r="T17" s="197"/>
      <c r="U17" s="197"/>
      <c r="V17" s="197"/>
      <c r="W17" s="197"/>
    </row>
    <row r="18" spans="1:23" x14ac:dyDescent="0.2">
      <c r="A18" s="197"/>
      <c r="B18" s="198"/>
      <c r="C18" s="197"/>
      <c r="D18" s="197"/>
      <c r="E18" s="197"/>
      <c r="F18" s="197"/>
      <c r="G18" s="197"/>
      <c r="H18" s="197"/>
      <c r="I18" s="197"/>
      <c r="J18" s="197"/>
      <c r="K18" s="197"/>
      <c r="L18" s="197"/>
      <c r="M18" s="197"/>
      <c r="N18" s="197"/>
      <c r="O18" s="197"/>
      <c r="P18" s="197"/>
      <c r="Q18" s="197"/>
      <c r="R18" s="197"/>
      <c r="S18" s="197"/>
      <c r="T18" s="197"/>
      <c r="U18" s="197"/>
      <c r="V18" s="197"/>
      <c r="W18" s="197"/>
    </row>
    <row r="19" spans="1:23" x14ac:dyDescent="0.2">
      <c r="A19" s="197"/>
      <c r="B19" s="198"/>
      <c r="C19" s="197"/>
      <c r="D19" s="197"/>
      <c r="E19" s="197"/>
      <c r="F19" s="197"/>
      <c r="G19" s="197"/>
      <c r="H19" s="197"/>
      <c r="I19" s="197"/>
      <c r="J19" s="197"/>
      <c r="K19" s="197"/>
      <c r="L19" s="197"/>
      <c r="M19" s="197"/>
      <c r="N19" s="197"/>
      <c r="O19" s="197"/>
      <c r="P19" s="197"/>
      <c r="Q19" s="197"/>
      <c r="R19" s="197"/>
      <c r="S19" s="197"/>
      <c r="T19" s="197"/>
      <c r="U19" s="197"/>
      <c r="V19" s="197"/>
      <c r="W19" s="197"/>
    </row>
    <row r="20" spans="1:23" x14ac:dyDescent="0.2">
      <c r="A20" s="197"/>
      <c r="B20" s="198"/>
      <c r="C20" s="197"/>
      <c r="D20" s="197"/>
      <c r="E20" s="197"/>
      <c r="F20" s="197"/>
      <c r="G20" s="197"/>
      <c r="H20" s="197"/>
      <c r="I20" s="197"/>
      <c r="J20" s="197"/>
      <c r="K20" s="197"/>
      <c r="L20" s="197"/>
      <c r="M20" s="197"/>
      <c r="N20" s="197"/>
      <c r="O20" s="197"/>
      <c r="P20" s="197"/>
      <c r="Q20" s="197"/>
      <c r="R20" s="197"/>
      <c r="S20" s="197"/>
      <c r="T20" s="197"/>
      <c r="U20" s="197"/>
      <c r="V20" s="197"/>
      <c r="W20" s="197"/>
    </row>
    <row r="21" spans="1:23" x14ac:dyDescent="0.2">
      <c r="A21" s="197"/>
      <c r="B21" s="198"/>
      <c r="C21" s="197"/>
      <c r="D21" s="197"/>
      <c r="E21" s="197"/>
      <c r="F21" s="197"/>
      <c r="G21" s="197"/>
      <c r="H21" s="197"/>
      <c r="I21" s="197"/>
      <c r="J21" s="197"/>
      <c r="K21" s="197"/>
      <c r="L21" s="197"/>
      <c r="M21" s="197"/>
      <c r="N21" s="197"/>
      <c r="O21" s="197"/>
      <c r="P21" s="197"/>
      <c r="Q21" s="197"/>
      <c r="R21" s="197"/>
      <c r="S21" s="197"/>
      <c r="T21" s="197"/>
      <c r="U21" s="197"/>
      <c r="V21" s="197"/>
      <c r="W21" s="197"/>
    </row>
    <row r="22" spans="1:23" x14ac:dyDescent="0.2">
      <c r="A22" s="197"/>
      <c r="B22" s="198"/>
      <c r="C22" s="197"/>
      <c r="D22" s="197"/>
      <c r="E22" s="197"/>
      <c r="F22" s="197"/>
      <c r="G22" s="197"/>
      <c r="H22" s="197"/>
      <c r="I22" s="197"/>
      <c r="J22" s="197"/>
      <c r="K22" s="197"/>
      <c r="L22" s="197"/>
      <c r="M22" s="197"/>
      <c r="N22" s="197"/>
      <c r="O22" s="197"/>
      <c r="P22" s="197"/>
      <c r="Q22" s="197"/>
      <c r="R22" s="197"/>
      <c r="S22" s="197"/>
      <c r="T22" s="197"/>
      <c r="U22" s="197"/>
      <c r="V22" s="197"/>
      <c r="W22" s="197"/>
    </row>
    <row r="23" spans="1:23" x14ac:dyDescent="0.2">
      <c r="A23" s="197"/>
      <c r="B23" s="198"/>
      <c r="C23" s="197"/>
      <c r="D23" s="197"/>
      <c r="E23" s="197"/>
      <c r="F23" s="197"/>
      <c r="G23" s="197"/>
      <c r="H23" s="197"/>
      <c r="I23" s="197"/>
      <c r="J23" s="197"/>
      <c r="K23" s="197"/>
      <c r="L23" s="197"/>
      <c r="M23" s="197"/>
      <c r="N23" s="197"/>
      <c r="O23" s="197"/>
      <c r="P23" s="197"/>
      <c r="Q23" s="197"/>
      <c r="R23" s="197"/>
      <c r="S23" s="197"/>
      <c r="T23" s="197"/>
      <c r="U23" s="197"/>
      <c r="V23" s="197"/>
      <c r="W23" s="197"/>
    </row>
    <row r="24" spans="1:23" x14ac:dyDescent="0.2">
      <c r="A24" s="197"/>
      <c r="B24" s="198"/>
      <c r="C24" s="197"/>
      <c r="D24" s="197"/>
      <c r="E24" s="197"/>
      <c r="F24" s="197"/>
      <c r="G24" s="197"/>
      <c r="H24" s="197"/>
      <c r="I24" s="197"/>
      <c r="J24" s="197"/>
      <c r="K24" s="197"/>
      <c r="L24" s="197"/>
      <c r="M24" s="197"/>
      <c r="N24" s="197"/>
      <c r="O24" s="197"/>
      <c r="P24" s="197"/>
      <c r="Q24" s="197"/>
      <c r="R24" s="197"/>
      <c r="S24" s="197"/>
      <c r="T24" s="197"/>
      <c r="U24" s="197"/>
      <c r="V24" s="197"/>
      <c r="W24" s="197"/>
    </row>
    <row r="25" spans="1:23" x14ac:dyDescent="0.2">
      <c r="A25" s="197"/>
      <c r="B25" s="198"/>
      <c r="C25" s="197"/>
      <c r="D25" s="197"/>
      <c r="E25" s="197"/>
      <c r="F25" s="197"/>
      <c r="G25" s="197"/>
      <c r="H25" s="197"/>
      <c r="I25" s="197"/>
      <c r="J25" s="197"/>
      <c r="K25" s="197"/>
      <c r="L25" s="197"/>
      <c r="M25" s="197"/>
      <c r="N25" s="197"/>
      <c r="O25" s="197"/>
      <c r="P25" s="197"/>
      <c r="Q25" s="197"/>
      <c r="R25" s="197"/>
      <c r="S25" s="197"/>
      <c r="T25" s="197"/>
      <c r="U25" s="197"/>
      <c r="V25" s="197"/>
      <c r="W25" s="197"/>
    </row>
    <row r="26" spans="1:23" x14ac:dyDescent="0.2">
      <c r="A26" s="197"/>
      <c r="B26" s="198"/>
      <c r="C26" s="197"/>
      <c r="D26" s="197"/>
      <c r="E26" s="197"/>
      <c r="F26" s="197"/>
      <c r="G26" s="197"/>
      <c r="H26" s="197"/>
      <c r="I26" s="197"/>
      <c r="J26" s="197"/>
      <c r="K26" s="197"/>
      <c r="L26" s="197"/>
      <c r="M26" s="197"/>
      <c r="N26" s="197"/>
      <c r="O26" s="197"/>
      <c r="P26" s="197"/>
      <c r="Q26" s="197"/>
      <c r="R26" s="197"/>
      <c r="S26" s="197"/>
      <c r="T26" s="197"/>
      <c r="U26" s="197"/>
      <c r="V26" s="197"/>
      <c r="W26" s="197"/>
    </row>
    <row r="27" spans="1:23" x14ac:dyDescent="0.2">
      <c r="A27" s="197"/>
      <c r="B27" s="198"/>
      <c r="C27" s="197"/>
      <c r="D27" s="197"/>
      <c r="E27" s="197"/>
      <c r="F27" s="197"/>
      <c r="G27" s="197"/>
      <c r="H27" s="197"/>
      <c r="I27" s="197"/>
      <c r="J27" s="197"/>
      <c r="K27" s="197"/>
      <c r="L27" s="197"/>
      <c r="M27" s="197"/>
      <c r="N27" s="197"/>
      <c r="O27" s="197"/>
      <c r="P27" s="197"/>
      <c r="Q27" s="197"/>
      <c r="R27" s="197"/>
      <c r="S27" s="197"/>
      <c r="T27" s="197"/>
      <c r="U27" s="197"/>
      <c r="V27" s="197"/>
      <c r="W27" s="197"/>
    </row>
    <row r="28" spans="1:23" x14ac:dyDescent="0.2">
      <c r="A28" s="197"/>
      <c r="B28" s="198"/>
      <c r="C28" s="197"/>
      <c r="D28" s="197"/>
      <c r="E28" s="197"/>
      <c r="F28" s="197"/>
      <c r="G28" s="197"/>
      <c r="H28" s="197"/>
      <c r="I28" s="197"/>
      <c r="J28" s="197"/>
      <c r="K28" s="197"/>
      <c r="L28" s="197"/>
      <c r="M28" s="197"/>
      <c r="N28" s="197"/>
      <c r="O28" s="197"/>
      <c r="P28" s="197"/>
      <c r="Q28" s="197"/>
      <c r="R28" s="197"/>
      <c r="S28" s="197"/>
      <c r="T28" s="197"/>
      <c r="U28" s="197"/>
      <c r="V28" s="197"/>
      <c r="W28" s="197"/>
    </row>
    <row r="29" spans="1:23" x14ac:dyDescent="0.2">
      <c r="A29" s="197"/>
      <c r="B29" s="198"/>
      <c r="C29" s="197"/>
      <c r="D29" s="197"/>
      <c r="E29" s="197"/>
      <c r="F29" s="197"/>
      <c r="G29" s="197"/>
      <c r="H29" s="197"/>
      <c r="I29" s="197"/>
      <c r="J29" s="197"/>
      <c r="K29" s="197"/>
      <c r="L29" s="197"/>
      <c r="M29" s="197"/>
      <c r="N29" s="197"/>
      <c r="O29" s="197"/>
      <c r="P29" s="197"/>
      <c r="Q29" s="197"/>
      <c r="R29" s="197"/>
      <c r="S29" s="197"/>
      <c r="T29" s="197"/>
      <c r="U29" s="197"/>
      <c r="V29" s="197"/>
      <c r="W29" s="197"/>
    </row>
    <row r="30" spans="1:23" x14ac:dyDescent="0.2">
      <c r="A30" s="197"/>
      <c r="B30" s="198"/>
      <c r="C30" s="197"/>
      <c r="D30" s="197"/>
      <c r="E30" s="197"/>
      <c r="F30" s="197"/>
      <c r="G30" s="197"/>
      <c r="H30" s="197"/>
      <c r="I30" s="197"/>
      <c r="J30" s="197"/>
      <c r="K30" s="197"/>
      <c r="L30" s="197"/>
      <c r="M30" s="197"/>
      <c r="N30" s="197"/>
      <c r="O30" s="197"/>
      <c r="P30" s="197"/>
      <c r="Q30" s="197"/>
      <c r="R30" s="197"/>
      <c r="S30" s="197"/>
      <c r="T30" s="197"/>
      <c r="U30" s="197"/>
      <c r="V30" s="197"/>
      <c r="W30" s="197"/>
    </row>
    <row r="31" spans="1:23" x14ac:dyDescent="0.2">
      <c r="A31" s="197"/>
      <c r="B31" s="198"/>
      <c r="C31" s="197"/>
      <c r="D31" s="197"/>
      <c r="E31" s="197"/>
      <c r="F31" s="197"/>
      <c r="G31" s="197"/>
      <c r="H31" s="197"/>
      <c r="I31" s="197"/>
      <c r="J31" s="197"/>
      <c r="K31" s="197"/>
      <c r="L31" s="197"/>
      <c r="M31" s="197"/>
      <c r="N31" s="197"/>
      <c r="O31" s="197"/>
      <c r="P31" s="197"/>
      <c r="Q31" s="197"/>
      <c r="R31" s="197"/>
      <c r="S31" s="197"/>
      <c r="T31" s="197"/>
      <c r="U31" s="197"/>
      <c r="V31" s="197"/>
      <c r="W31" s="197"/>
    </row>
    <row r="32" spans="1:23" x14ac:dyDescent="0.2">
      <c r="A32" s="197"/>
      <c r="B32" s="198"/>
      <c r="C32" s="197"/>
      <c r="D32" s="197"/>
      <c r="E32" s="197"/>
      <c r="F32" s="197"/>
      <c r="G32" s="197"/>
      <c r="H32" s="197"/>
      <c r="I32" s="197"/>
      <c r="J32" s="197"/>
      <c r="K32" s="197"/>
      <c r="L32" s="197"/>
      <c r="M32" s="197"/>
      <c r="N32" s="197"/>
      <c r="O32" s="197"/>
      <c r="P32" s="197"/>
      <c r="Q32" s="197"/>
      <c r="R32" s="197"/>
      <c r="S32" s="197"/>
      <c r="T32" s="197"/>
      <c r="U32" s="197"/>
      <c r="V32" s="197"/>
      <c r="W32" s="197"/>
    </row>
    <row r="33" spans="1:23" x14ac:dyDescent="0.2">
      <c r="A33" s="197"/>
      <c r="B33" s="198"/>
      <c r="C33" s="197"/>
      <c r="D33" s="197"/>
      <c r="E33" s="197"/>
      <c r="F33" s="197"/>
      <c r="G33" s="197"/>
      <c r="H33" s="197"/>
      <c r="I33" s="197"/>
      <c r="J33" s="197"/>
      <c r="K33" s="197"/>
      <c r="L33" s="197"/>
      <c r="M33" s="197"/>
      <c r="N33" s="197"/>
      <c r="O33" s="197"/>
      <c r="P33" s="197"/>
      <c r="Q33" s="197"/>
      <c r="R33" s="197"/>
      <c r="S33" s="197"/>
      <c r="T33" s="197"/>
      <c r="U33" s="197"/>
      <c r="V33" s="197"/>
      <c r="W33" s="197"/>
    </row>
    <row r="34" spans="1:23" x14ac:dyDescent="0.2">
      <c r="A34" s="197"/>
      <c r="B34" s="198"/>
      <c r="C34" s="197"/>
      <c r="D34" s="197"/>
      <c r="E34" s="197"/>
      <c r="F34" s="197"/>
      <c r="G34" s="197"/>
      <c r="H34" s="197"/>
      <c r="I34" s="197"/>
      <c r="J34" s="197"/>
      <c r="K34" s="197"/>
      <c r="L34" s="197"/>
      <c r="M34" s="197"/>
      <c r="N34" s="197"/>
      <c r="O34" s="197"/>
      <c r="P34" s="197"/>
      <c r="Q34" s="197"/>
      <c r="R34" s="197"/>
      <c r="S34" s="197"/>
      <c r="T34" s="197"/>
      <c r="U34" s="197"/>
      <c r="V34" s="197"/>
      <c r="W34" s="197"/>
    </row>
    <row r="35" spans="1:23" x14ac:dyDescent="0.2">
      <c r="A35" s="197"/>
      <c r="B35" s="198"/>
      <c r="C35" s="197"/>
      <c r="D35" s="197"/>
      <c r="E35" s="197"/>
      <c r="F35" s="197"/>
      <c r="G35" s="197"/>
      <c r="H35" s="197"/>
      <c r="I35" s="197"/>
      <c r="J35" s="197"/>
      <c r="K35" s="197"/>
      <c r="L35" s="197"/>
      <c r="M35" s="197"/>
      <c r="N35" s="197"/>
      <c r="O35" s="197"/>
      <c r="P35" s="197"/>
      <c r="Q35" s="197"/>
      <c r="R35" s="197"/>
      <c r="S35" s="197"/>
      <c r="T35" s="197"/>
      <c r="U35" s="197"/>
      <c r="V35" s="197"/>
      <c r="W35" s="197"/>
    </row>
    <row r="36" spans="1:23" x14ac:dyDescent="0.2">
      <c r="A36" s="197"/>
      <c r="B36" s="198"/>
      <c r="C36" s="197"/>
      <c r="D36" s="197"/>
      <c r="E36" s="197"/>
      <c r="F36" s="197"/>
      <c r="G36" s="197"/>
      <c r="H36" s="197"/>
      <c r="I36" s="197"/>
      <c r="J36" s="197"/>
      <c r="K36" s="197"/>
      <c r="L36" s="197"/>
      <c r="M36" s="197"/>
      <c r="N36" s="197"/>
      <c r="O36" s="197"/>
      <c r="P36" s="197"/>
      <c r="Q36" s="197"/>
      <c r="R36" s="197"/>
      <c r="S36" s="197"/>
      <c r="T36" s="197"/>
      <c r="U36" s="197"/>
      <c r="V36" s="197"/>
      <c r="W36" s="197"/>
    </row>
    <row r="37" spans="1:23" x14ac:dyDescent="0.2">
      <c r="A37" s="197"/>
      <c r="B37" s="198"/>
      <c r="C37" s="197"/>
      <c r="D37" s="197"/>
      <c r="E37" s="197"/>
      <c r="F37" s="197"/>
      <c r="G37" s="197"/>
      <c r="H37" s="197"/>
      <c r="I37" s="197"/>
      <c r="J37" s="197"/>
      <c r="K37" s="197"/>
      <c r="L37" s="197"/>
      <c r="M37" s="197"/>
      <c r="N37" s="197"/>
      <c r="O37" s="197"/>
      <c r="P37" s="197"/>
      <c r="Q37" s="197"/>
      <c r="R37" s="197"/>
      <c r="S37" s="197"/>
      <c r="T37" s="197"/>
      <c r="U37" s="197"/>
      <c r="V37" s="197"/>
      <c r="W37" s="197"/>
    </row>
    <row r="38" spans="1:23" x14ac:dyDescent="0.2">
      <c r="A38" s="197"/>
      <c r="B38" s="198"/>
      <c r="C38" s="197"/>
      <c r="D38" s="197"/>
      <c r="E38" s="197"/>
      <c r="F38" s="197"/>
      <c r="G38" s="197"/>
      <c r="H38" s="197"/>
      <c r="I38" s="197"/>
      <c r="J38" s="197"/>
      <c r="K38" s="197"/>
      <c r="L38" s="197"/>
      <c r="M38" s="197"/>
      <c r="N38" s="197"/>
      <c r="O38" s="197"/>
      <c r="P38" s="197"/>
      <c r="Q38" s="197"/>
      <c r="R38" s="197"/>
      <c r="S38" s="197"/>
      <c r="T38" s="197"/>
      <c r="U38" s="197"/>
      <c r="V38" s="197"/>
      <c r="W38" s="197"/>
    </row>
    <row r="39" spans="1:23" x14ac:dyDescent="0.2">
      <c r="A39" s="197"/>
      <c r="B39" s="198"/>
      <c r="C39" s="197"/>
      <c r="D39" s="197"/>
      <c r="E39" s="197"/>
      <c r="F39" s="197"/>
      <c r="G39" s="197"/>
      <c r="H39" s="197"/>
      <c r="I39" s="197"/>
      <c r="J39" s="197"/>
      <c r="K39" s="197"/>
      <c r="L39" s="197"/>
      <c r="M39" s="197"/>
      <c r="N39" s="197"/>
      <c r="O39" s="197"/>
      <c r="P39" s="197"/>
      <c r="Q39" s="197"/>
      <c r="R39" s="197"/>
      <c r="S39" s="197"/>
      <c r="T39" s="197"/>
      <c r="U39" s="197"/>
      <c r="V39" s="197"/>
      <c r="W39" s="197"/>
    </row>
    <row r="40" spans="1:23" x14ac:dyDescent="0.2">
      <c r="A40" s="197"/>
      <c r="B40" s="198"/>
      <c r="C40" s="197"/>
      <c r="D40" s="197"/>
      <c r="E40" s="197"/>
      <c r="F40" s="197"/>
      <c r="G40" s="197"/>
      <c r="H40" s="197"/>
      <c r="I40" s="197"/>
      <c r="J40" s="197"/>
      <c r="K40" s="197"/>
      <c r="L40" s="197"/>
      <c r="M40" s="197"/>
      <c r="N40" s="197"/>
      <c r="O40" s="197"/>
      <c r="P40" s="197"/>
      <c r="Q40" s="197"/>
      <c r="R40" s="197"/>
      <c r="S40" s="197"/>
      <c r="T40" s="197"/>
      <c r="U40" s="197"/>
      <c r="V40" s="197"/>
      <c r="W40" s="197"/>
    </row>
    <row r="41" spans="1:23" x14ac:dyDescent="0.2">
      <c r="A41" s="197"/>
      <c r="B41" s="198"/>
      <c r="C41" s="197"/>
      <c r="D41" s="197"/>
      <c r="E41" s="197"/>
      <c r="F41" s="197"/>
      <c r="G41" s="197"/>
      <c r="H41" s="197"/>
      <c r="I41" s="197"/>
      <c r="J41" s="197"/>
      <c r="K41" s="197"/>
      <c r="L41" s="197"/>
      <c r="M41" s="197"/>
      <c r="N41" s="197"/>
      <c r="O41" s="197"/>
      <c r="P41" s="197"/>
      <c r="Q41" s="197"/>
      <c r="R41" s="197"/>
      <c r="S41" s="197"/>
      <c r="T41" s="197"/>
      <c r="U41" s="197"/>
      <c r="V41" s="197"/>
      <c r="W41" s="197"/>
    </row>
    <row r="42" spans="1:23" x14ac:dyDescent="0.2">
      <c r="A42" s="197"/>
      <c r="B42" s="198"/>
      <c r="C42" s="197"/>
      <c r="D42" s="197"/>
      <c r="E42" s="197"/>
      <c r="F42" s="197"/>
      <c r="G42" s="197"/>
      <c r="H42" s="197"/>
      <c r="I42" s="197"/>
      <c r="J42" s="197"/>
      <c r="K42" s="197"/>
      <c r="L42" s="197"/>
      <c r="M42" s="197"/>
      <c r="N42" s="197"/>
      <c r="O42" s="197"/>
      <c r="P42" s="197"/>
      <c r="Q42" s="197"/>
      <c r="R42" s="197"/>
      <c r="S42" s="197"/>
      <c r="T42" s="197"/>
      <c r="U42" s="197"/>
      <c r="V42" s="197"/>
      <c r="W42" s="197"/>
    </row>
    <row r="43" spans="1:23" x14ac:dyDescent="0.2">
      <c r="A43" s="197"/>
      <c r="B43" s="198"/>
      <c r="C43" s="197"/>
      <c r="D43" s="197"/>
      <c r="E43" s="197"/>
      <c r="F43" s="197"/>
      <c r="G43" s="197"/>
      <c r="H43" s="197"/>
      <c r="I43" s="197"/>
      <c r="J43" s="197"/>
      <c r="K43" s="197"/>
      <c r="L43" s="197"/>
      <c r="M43" s="197"/>
      <c r="N43" s="197"/>
      <c r="O43" s="197"/>
      <c r="P43" s="197"/>
      <c r="Q43" s="197"/>
      <c r="R43" s="197"/>
      <c r="S43" s="197"/>
      <c r="T43" s="197"/>
      <c r="U43" s="197"/>
      <c r="V43" s="197"/>
      <c r="W43" s="197"/>
    </row>
    <row r="44" spans="1:23" x14ac:dyDescent="0.2">
      <c r="A44" s="197"/>
      <c r="B44" s="198"/>
      <c r="C44" s="197"/>
      <c r="D44" s="197"/>
      <c r="E44" s="197"/>
      <c r="F44" s="197"/>
      <c r="G44" s="197"/>
      <c r="H44" s="197"/>
      <c r="I44" s="197"/>
      <c r="J44" s="197"/>
      <c r="K44" s="197"/>
      <c r="L44" s="197"/>
      <c r="M44" s="197"/>
      <c r="N44" s="197"/>
      <c r="O44" s="197"/>
      <c r="P44" s="197"/>
      <c r="Q44" s="197"/>
      <c r="R44" s="197"/>
      <c r="S44" s="197"/>
      <c r="T44" s="197"/>
      <c r="U44" s="197"/>
      <c r="V44" s="197"/>
      <c r="W44" s="197"/>
    </row>
    <row r="45" spans="1:23" x14ac:dyDescent="0.2">
      <c r="A45" s="197"/>
      <c r="B45" s="198"/>
      <c r="C45" s="197"/>
      <c r="D45" s="197"/>
      <c r="E45" s="197"/>
      <c r="F45" s="197"/>
      <c r="G45" s="197"/>
      <c r="H45" s="197"/>
      <c r="I45" s="197"/>
      <c r="J45" s="197"/>
      <c r="K45" s="197"/>
      <c r="L45" s="197"/>
      <c r="M45" s="197"/>
      <c r="N45" s="197"/>
      <c r="O45" s="197"/>
      <c r="P45" s="197"/>
      <c r="Q45" s="197"/>
      <c r="R45" s="197"/>
      <c r="S45" s="197"/>
      <c r="T45" s="197"/>
      <c r="U45" s="197"/>
      <c r="V45" s="197"/>
      <c r="W45" s="197"/>
    </row>
    <row r="46" spans="1:23" x14ac:dyDescent="0.2">
      <c r="A46" s="197"/>
      <c r="B46" s="198"/>
      <c r="C46" s="197"/>
      <c r="D46" s="197"/>
      <c r="E46" s="197"/>
      <c r="F46" s="197"/>
      <c r="G46" s="197"/>
      <c r="H46" s="197"/>
      <c r="I46" s="197"/>
      <c r="J46" s="197"/>
      <c r="K46" s="197"/>
      <c r="L46" s="197"/>
      <c r="M46" s="197"/>
      <c r="N46" s="197"/>
      <c r="O46" s="197"/>
      <c r="P46" s="197"/>
      <c r="Q46" s="197"/>
      <c r="R46" s="197"/>
      <c r="S46" s="197"/>
      <c r="T46" s="197"/>
      <c r="U46" s="197"/>
      <c r="V46" s="197"/>
      <c r="W46" s="197"/>
    </row>
    <row r="47" spans="1:23" x14ac:dyDescent="0.2">
      <c r="A47" s="197"/>
      <c r="B47" s="198"/>
      <c r="C47" s="197"/>
      <c r="D47" s="197"/>
      <c r="E47" s="197"/>
      <c r="F47" s="197"/>
      <c r="G47" s="197"/>
      <c r="H47" s="197"/>
      <c r="I47" s="197"/>
      <c r="J47" s="197"/>
      <c r="K47" s="197"/>
      <c r="L47" s="197"/>
      <c r="M47" s="197"/>
      <c r="N47" s="197"/>
      <c r="O47" s="197"/>
      <c r="P47" s="197"/>
      <c r="Q47" s="197"/>
      <c r="R47" s="197"/>
      <c r="S47" s="197"/>
      <c r="T47" s="197"/>
      <c r="U47" s="197"/>
      <c r="V47" s="197"/>
      <c r="W47" s="197"/>
    </row>
    <row r="48" spans="1:23" x14ac:dyDescent="0.2">
      <c r="A48" s="197"/>
      <c r="B48" s="198"/>
      <c r="C48" s="197"/>
      <c r="D48" s="197"/>
      <c r="E48" s="197"/>
      <c r="F48" s="197"/>
      <c r="G48" s="197"/>
      <c r="H48" s="197"/>
      <c r="I48" s="197"/>
      <c r="J48" s="197"/>
      <c r="K48" s="197"/>
      <c r="L48" s="197"/>
      <c r="M48" s="197"/>
      <c r="N48" s="197"/>
      <c r="O48" s="197"/>
      <c r="P48" s="197"/>
      <c r="Q48" s="197"/>
      <c r="R48" s="197"/>
      <c r="S48" s="197"/>
      <c r="T48" s="197"/>
      <c r="U48" s="197"/>
      <c r="V48" s="197"/>
      <c r="W48" s="197"/>
    </row>
    <row r="49" spans="1:23" x14ac:dyDescent="0.2">
      <c r="A49" s="197"/>
      <c r="B49" s="198"/>
      <c r="C49" s="197"/>
      <c r="D49" s="197"/>
      <c r="E49" s="197"/>
      <c r="F49" s="197"/>
      <c r="G49" s="197"/>
      <c r="H49" s="197"/>
      <c r="I49" s="197"/>
      <c r="J49" s="197"/>
      <c r="K49" s="197"/>
      <c r="L49" s="197"/>
      <c r="M49" s="197"/>
      <c r="N49" s="197"/>
      <c r="O49" s="197"/>
      <c r="P49" s="197"/>
      <c r="Q49" s="197"/>
      <c r="R49" s="197"/>
      <c r="S49" s="197"/>
      <c r="T49" s="197"/>
      <c r="U49" s="197"/>
      <c r="V49" s="197"/>
      <c r="W49" s="197"/>
    </row>
    <row r="50" spans="1:23" x14ac:dyDescent="0.2">
      <c r="A50" s="197"/>
      <c r="B50" s="198"/>
      <c r="C50" s="197"/>
      <c r="D50" s="197"/>
      <c r="E50" s="197"/>
      <c r="F50" s="197"/>
      <c r="G50" s="197"/>
      <c r="H50" s="197"/>
      <c r="I50" s="197"/>
      <c r="J50" s="197"/>
      <c r="K50" s="197"/>
      <c r="L50" s="197"/>
      <c r="M50" s="197"/>
      <c r="N50" s="197"/>
      <c r="O50" s="197"/>
      <c r="P50" s="197"/>
      <c r="Q50" s="197"/>
      <c r="R50" s="197"/>
      <c r="S50" s="197"/>
      <c r="T50" s="197"/>
      <c r="U50" s="197"/>
      <c r="V50" s="197"/>
      <c r="W50" s="197"/>
    </row>
    <row r="51" spans="1:23" x14ac:dyDescent="0.2">
      <c r="A51" s="197"/>
      <c r="B51" s="198"/>
      <c r="C51" s="197"/>
      <c r="D51" s="197"/>
      <c r="E51" s="197"/>
      <c r="F51" s="197"/>
      <c r="G51" s="197"/>
      <c r="H51" s="197"/>
      <c r="I51" s="197"/>
      <c r="J51" s="197"/>
      <c r="K51" s="197"/>
      <c r="L51" s="197"/>
      <c r="M51" s="197"/>
      <c r="N51" s="197"/>
      <c r="O51" s="197"/>
      <c r="P51" s="197"/>
      <c r="Q51" s="197"/>
      <c r="R51" s="197"/>
      <c r="S51" s="197"/>
      <c r="T51" s="197"/>
      <c r="U51" s="197"/>
      <c r="V51" s="197"/>
      <c r="W51" s="197"/>
    </row>
    <row r="52" spans="1:23" x14ac:dyDescent="0.2">
      <c r="A52" s="197"/>
      <c r="B52" s="198"/>
      <c r="C52" s="197"/>
      <c r="D52" s="197"/>
      <c r="E52" s="197"/>
      <c r="F52" s="197"/>
      <c r="G52" s="197"/>
      <c r="H52" s="197"/>
      <c r="I52" s="197"/>
      <c r="J52" s="197"/>
      <c r="K52" s="197"/>
      <c r="L52" s="197"/>
      <c r="M52" s="197"/>
      <c r="N52" s="197"/>
      <c r="O52" s="197"/>
      <c r="P52" s="197"/>
      <c r="Q52" s="197"/>
      <c r="R52" s="197"/>
      <c r="S52" s="197"/>
      <c r="T52" s="197"/>
      <c r="U52" s="197"/>
      <c r="V52" s="197"/>
      <c r="W52" s="197"/>
    </row>
    <row r="53" spans="1:23" x14ac:dyDescent="0.2">
      <c r="A53" s="197"/>
      <c r="B53" s="198"/>
      <c r="C53" s="197"/>
      <c r="D53" s="197"/>
      <c r="E53" s="197"/>
      <c r="F53" s="197"/>
      <c r="G53" s="197"/>
      <c r="H53" s="197"/>
      <c r="I53" s="197"/>
      <c r="J53" s="197"/>
      <c r="K53" s="197"/>
      <c r="L53" s="197"/>
      <c r="M53" s="197"/>
      <c r="N53" s="197"/>
      <c r="O53" s="197"/>
      <c r="P53" s="197"/>
      <c r="Q53" s="197"/>
      <c r="R53" s="197"/>
      <c r="S53" s="197"/>
      <c r="T53" s="197"/>
      <c r="U53" s="197"/>
      <c r="V53" s="197"/>
      <c r="W53" s="197"/>
    </row>
    <row r="54" spans="1:23" x14ac:dyDescent="0.2">
      <c r="A54" s="197"/>
      <c r="B54" s="198"/>
      <c r="C54" s="197"/>
      <c r="D54" s="197"/>
      <c r="E54" s="197"/>
      <c r="F54" s="197"/>
      <c r="G54" s="197"/>
      <c r="H54" s="197"/>
      <c r="I54" s="197"/>
      <c r="J54" s="197"/>
      <c r="K54" s="197"/>
      <c r="L54" s="197"/>
      <c r="M54" s="197"/>
      <c r="N54" s="197"/>
      <c r="O54" s="197"/>
      <c r="P54" s="197"/>
      <c r="Q54" s="197"/>
      <c r="R54" s="197"/>
      <c r="S54" s="197"/>
      <c r="T54" s="197"/>
      <c r="U54" s="197"/>
      <c r="V54" s="197"/>
      <c r="W54" s="197"/>
    </row>
    <row r="55" spans="1:23" x14ac:dyDescent="0.2">
      <c r="A55" s="197"/>
      <c r="B55" s="198"/>
      <c r="C55" s="197"/>
      <c r="D55" s="197"/>
      <c r="E55" s="197"/>
      <c r="F55" s="197"/>
      <c r="G55" s="197"/>
      <c r="H55" s="197"/>
      <c r="I55" s="197"/>
      <c r="J55" s="197"/>
      <c r="K55" s="197"/>
      <c r="L55" s="197"/>
      <c r="M55" s="197"/>
      <c r="N55" s="197"/>
      <c r="O55" s="197"/>
      <c r="P55" s="197"/>
      <c r="Q55" s="197"/>
      <c r="R55" s="197"/>
      <c r="S55" s="197"/>
      <c r="T55" s="197"/>
      <c r="U55" s="197"/>
      <c r="V55" s="197"/>
      <c r="W55" s="197"/>
    </row>
    <row r="56" spans="1:23" x14ac:dyDescent="0.2">
      <c r="A56" s="197"/>
      <c r="B56" s="198"/>
      <c r="C56" s="197"/>
      <c r="D56" s="197"/>
      <c r="E56" s="197"/>
      <c r="F56" s="197"/>
      <c r="G56" s="197"/>
      <c r="H56" s="197"/>
      <c r="I56" s="197"/>
      <c r="J56" s="197"/>
      <c r="K56" s="197"/>
      <c r="L56" s="197"/>
      <c r="M56" s="197"/>
      <c r="N56" s="197"/>
      <c r="O56" s="197"/>
      <c r="P56" s="197"/>
      <c r="Q56" s="197"/>
      <c r="R56" s="197"/>
      <c r="S56" s="197"/>
      <c r="T56" s="197"/>
      <c r="U56" s="197"/>
      <c r="V56" s="197"/>
      <c r="W56" s="197"/>
    </row>
    <row r="57" spans="1:23" x14ac:dyDescent="0.2">
      <c r="A57" s="197"/>
      <c r="B57" s="198"/>
      <c r="C57" s="197"/>
      <c r="D57" s="197"/>
      <c r="E57" s="197"/>
      <c r="F57" s="197"/>
      <c r="G57" s="197"/>
      <c r="H57" s="197"/>
      <c r="I57" s="197"/>
      <c r="J57" s="197"/>
      <c r="K57" s="197"/>
      <c r="L57" s="197"/>
      <c r="M57" s="197"/>
      <c r="N57" s="197"/>
      <c r="O57" s="197"/>
      <c r="P57" s="197"/>
      <c r="Q57" s="197"/>
      <c r="R57" s="197"/>
      <c r="S57" s="197"/>
      <c r="T57" s="197"/>
      <c r="U57" s="197"/>
      <c r="V57" s="197"/>
      <c r="W57" s="197"/>
    </row>
    <row r="58" spans="1:23" x14ac:dyDescent="0.2">
      <c r="A58" s="197"/>
      <c r="B58" s="198"/>
      <c r="C58" s="197"/>
      <c r="D58" s="197"/>
      <c r="E58" s="197"/>
      <c r="F58" s="197"/>
      <c r="G58" s="197"/>
      <c r="H58" s="197"/>
      <c r="I58" s="197"/>
      <c r="J58" s="197"/>
      <c r="K58" s="197"/>
      <c r="L58" s="197"/>
      <c r="M58" s="197"/>
      <c r="N58" s="197"/>
      <c r="O58" s="197"/>
      <c r="P58" s="197"/>
      <c r="Q58" s="197"/>
      <c r="R58" s="197"/>
      <c r="S58" s="197"/>
      <c r="T58" s="197"/>
      <c r="U58" s="197"/>
      <c r="V58" s="197"/>
      <c r="W58" s="197"/>
    </row>
    <row r="59" spans="1:23" x14ac:dyDescent="0.2">
      <c r="A59" s="197"/>
      <c r="B59" s="198"/>
      <c r="C59" s="197"/>
      <c r="D59" s="197"/>
      <c r="E59" s="197"/>
      <c r="F59" s="197"/>
      <c r="G59" s="197"/>
      <c r="H59" s="197"/>
      <c r="I59" s="197"/>
      <c r="J59" s="197"/>
      <c r="K59" s="197"/>
      <c r="L59" s="197"/>
      <c r="M59" s="197"/>
      <c r="N59" s="197"/>
      <c r="O59" s="197"/>
      <c r="P59" s="197"/>
      <c r="Q59" s="197"/>
      <c r="R59" s="197"/>
      <c r="S59" s="197"/>
      <c r="T59" s="197"/>
      <c r="U59" s="197"/>
      <c r="V59" s="197"/>
      <c r="W59" s="197"/>
    </row>
    <row r="60" spans="1:23" x14ac:dyDescent="0.2">
      <c r="A60" s="197"/>
      <c r="B60" s="198"/>
      <c r="C60" s="197"/>
      <c r="D60" s="197"/>
      <c r="E60" s="197"/>
      <c r="F60" s="197"/>
      <c r="G60" s="197"/>
      <c r="H60" s="197"/>
      <c r="I60" s="197"/>
      <c r="J60" s="197"/>
      <c r="K60" s="197"/>
      <c r="L60" s="197"/>
      <c r="M60" s="197"/>
      <c r="N60" s="197"/>
      <c r="O60" s="197"/>
      <c r="P60" s="197"/>
      <c r="Q60" s="197"/>
      <c r="R60" s="197"/>
      <c r="S60" s="197"/>
      <c r="T60" s="197"/>
      <c r="U60" s="197"/>
      <c r="V60" s="197"/>
      <c r="W60" s="197"/>
    </row>
    <row r="61" spans="1:23" x14ac:dyDescent="0.2">
      <c r="A61" s="197"/>
      <c r="B61" s="198"/>
      <c r="C61" s="197"/>
      <c r="D61" s="197"/>
      <c r="E61" s="197"/>
      <c r="F61" s="197"/>
      <c r="G61" s="197"/>
      <c r="H61" s="197"/>
      <c r="I61" s="197"/>
      <c r="J61" s="197"/>
      <c r="K61" s="197"/>
      <c r="L61" s="197"/>
      <c r="M61" s="197"/>
      <c r="N61" s="197"/>
      <c r="O61" s="197"/>
      <c r="P61" s="197"/>
      <c r="Q61" s="197"/>
      <c r="R61" s="197"/>
      <c r="S61" s="197"/>
      <c r="T61" s="197"/>
      <c r="U61" s="197"/>
      <c r="V61" s="197"/>
      <c r="W61" s="197"/>
    </row>
    <row r="62" spans="1:23" x14ac:dyDescent="0.2">
      <c r="A62" s="197"/>
      <c r="B62" s="198"/>
      <c r="C62" s="197"/>
      <c r="D62" s="197"/>
      <c r="E62" s="197"/>
      <c r="F62" s="197"/>
      <c r="G62" s="197"/>
      <c r="H62" s="197"/>
      <c r="I62" s="197"/>
      <c r="J62" s="197"/>
      <c r="K62" s="197"/>
      <c r="L62" s="197"/>
      <c r="M62" s="197"/>
      <c r="N62" s="197"/>
      <c r="O62" s="197"/>
      <c r="P62" s="197"/>
      <c r="Q62" s="197"/>
      <c r="R62" s="197"/>
      <c r="S62" s="197"/>
      <c r="T62" s="197"/>
      <c r="U62" s="197"/>
      <c r="V62" s="197"/>
      <c r="W62" s="197"/>
    </row>
    <row r="63" spans="1:23" x14ac:dyDescent="0.2">
      <c r="A63" s="197"/>
      <c r="B63" s="198"/>
      <c r="C63" s="197"/>
      <c r="D63" s="197"/>
      <c r="E63" s="197"/>
      <c r="F63" s="197"/>
      <c r="G63" s="197"/>
      <c r="H63" s="197"/>
      <c r="I63" s="197"/>
      <c r="J63" s="197"/>
      <c r="K63" s="197"/>
      <c r="L63" s="197"/>
      <c r="M63" s="197"/>
      <c r="N63" s="197"/>
      <c r="O63" s="197"/>
      <c r="P63" s="197"/>
      <c r="Q63" s="197"/>
      <c r="R63" s="197"/>
      <c r="S63" s="197"/>
      <c r="T63" s="197"/>
      <c r="U63" s="197"/>
      <c r="V63" s="197"/>
      <c r="W63" s="197"/>
    </row>
    <row r="64" spans="1:23" x14ac:dyDescent="0.2">
      <c r="A64" s="197"/>
      <c r="B64" s="198"/>
      <c r="C64" s="197"/>
      <c r="D64" s="197"/>
      <c r="E64" s="197"/>
      <c r="F64" s="197"/>
      <c r="G64" s="197"/>
      <c r="H64" s="197"/>
      <c r="I64" s="197"/>
      <c r="J64" s="197"/>
      <c r="K64" s="197"/>
      <c r="L64" s="197"/>
      <c r="M64" s="197"/>
      <c r="N64" s="197"/>
      <c r="O64" s="197"/>
      <c r="P64" s="197"/>
      <c r="Q64" s="197"/>
      <c r="R64" s="197"/>
      <c r="S64" s="197"/>
      <c r="T64" s="197"/>
      <c r="U64" s="197"/>
      <c r="V64" s="197"/>
      <c r="W64" s="197"/>
    </row>
    <row r="65" spans="1:23" x14ac:dyDescent="0.2">
      <c r="A65" s="197"/>
      <c r="B65" s="198"/>
      <c r="C65" s="197"/>
      <c r="D65" s="197"/>
      <c r="E65" s="197"/>
      <c r="F65" s="197"/>
      <c r="G65" s="197"/>
      <c r="H65" s="197"/>
      <c r="I65" s="197"/>
      <c r="J65" s="197"/>
      <c r="K65" s="197"/>
      <c r="L65" s="197"/>
      <c r="M65" s="197"/>
      <c r="N65" s="197"/>
      <c r="O65" s="197"/>
      <c r="P65" s="197"/>
      <c r="Q65" s="197"/>
      <c r="R65" s="197"/>
      <c r="S65" s="197"/>
      <c r="T65" s="197"/>
      <c r="U65" s="197"/>
      <c r="V65" s="197"/>
      <c r="W65" s="197"/>
    </row>
    <row r="66" spans="1:23" x14ac:dyDescent="0.2">
      <c r="A66" s="197"/>
      <c r="B66" s="198"/>
      <c r="C66" s="197"/>
      <c r="D66" s="197"/>
      <c r="E66" s="197"/>
      <c r="F66" s="197"/>
      <c r="G66" s="197"/>
      <c r="H66" s="197"/>
      <c r="I66" s="197"/>
      <c r="J66" s="197"/>
      <c r="K66" s="197"/>
      <c r="L66" s="197"/>
      <c r="M66" s="197"/>
      <c r="N66" s="197"/>
      <c r="O66" s="197"/>
      <c r="P66" s="197"/>
      <c r="Q66" s="197"/>
      <c r="R66" s="197"/>
      <c r="S66" s="197"/>
      <c r="T66" s="197"/>
      <c r="U66" s="197"/>
      <c r="V66" s="197"/>
      <c r="W66" s="197"/>
    </row>
    <row r="67" spans="1:23" x14ac:dyDescent="0.2">
      <c r="A67" s="197"/>
      <c r="B67" s="198"/>
      <c r="C67" s="197"/>
      <c r="D67" s="197"/>
      <c r="E67" s="197"/>
      <c r="F67" s="197"/>
      <c r="G67" s="197"/>
      <c r="H67" s="197"/>
      <c r="I67" s="197"/>
      <c r="J67" s="197"/>
      <c r="K67" s="197"/>
      <c r="L67" s="197"/>
      <c r="M67" s="197"/>
      <c r="N67" s="197"/>
      <c r="O67" s="197"/>
      <c r="P67" s="197"/>
      <c r="Q67" s="197"/>
      <c r="R67" s="197"/>
      <c r="S67" s="197"/>
      <c r="T67" s="197"/>
      <c r="U67" s="197"/>
      <c r="V67" s="197"/>
      <c r="W67" s="197"/>
    </row>
    <row r="68" spans="1:23" x14ac:dyDescent="0.2">
      <c r="A68" s="197"/>
      <c r="B68" s="198"/>
      <c r="C68" s="197"/>
      <c r="D68" s="197"/>
      <c r="E68" s="197"/>
      <c r="F68" s="197"/>
      <c r="G68" s="197"/>
      <c r="H68" s="197"/>
      <c r="I68" s="197"/>
      <c r="J68" s="197"/>
      <c r="K68" s="197"/>
      <c r="L68" s="197"/>
      <c r="M68" s="197"/>
      <c r="N68" s="197"/>
      <c r="O68" s="197"/>
      <c r="P68" s="197"/>
      <c r="Q68" s="197"/>
      <c r="R68" s="197"/>
      <c r="S68" s="197"/>
      <c r="T68" s="197"/>
      <c r="U68" s="197"/>
      <c r="V68" s="197"/>
      <c r="W68" s="197"/>
    </row>
    <row r="69" spans="1:23" x14ac:dyDescent="0.2">
      <c r="A69" s="197"/>
      <c r="B69" s="198"/>
      <c r="C69" s="197"/>
      <c r="D69" s="197"/>
      <c r="E69" s="197"/>
      <c r="F69" s="197"/>
      <c r="G69" s="197"/>
      <c r="H69" s="197"/>
      <c r="I69" s="197"/>
      <c r="J69" s="197"/>
      <c r="K69" s="197"/>
      <c r="L69" s="197"/>
      <c r="M69" s="197"/>
      <c r="N69" s="197"/>
      <c r="O69" s="197"/>
      <c r="P69" s="197"/>
      <c r="Q69" s="197"/>
      <c r="R69" s="197"/>
      <c r="S69" s="197"/>
      <c r="T69" s="197"/>
      <c r="U69" s="197"/>
      <c r="V69" s="197"/>
      <c r="W69" s="197"/>
    </row>
  </sheetData>
  <mergeCells count="10">
    <mergeCell ref="A4:B4"/>
    <mergeCell ref="A5:A7"/>
    <mergeCell ref="A8:A9"/>
    <mergeCell ref="A10:A11"/>
    <mergeCell ref="A1:X1"/>
    <mergeCell ref="Q2:X2"/>
    <mergeCell ref="A2:B2"/>
    <mergeCell ref="C2:F2"/>
    <mergeCell ref="G2:P2"/>
    <mergeCell ref="A3:B3"/>
  </mergeCells>
  <pageMargins left="0.39370078740157483" right="0.39370078740157483" top="0.39370078740157483" bottom="0.39370078740157483" header="0.19685039370078741" footer="0.19685039370078741"/>
  <pageSetup paperSize="8" scale="95" fitToHeight="0" orientation="landscape" verticalDpi="0" r:id="rId1"/>
  <rowBreaks count="1" manualBreakCount="1">
    <brk id="49"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dimension ref="A1:B10"/>
  <sheetViews>
    <sheetView workbookViewId="0">
      <selection activeCell="B2" sqref="B2"/>
    </sheetView>
  </sheetViews>
  <sheetFormatPr defaultRowHeight="12.75" x14ac:dyDescent="0.2"/>
  <cols>
    <col min="1" max="1" width="31.7109375" style="46" customWidth="1"/>
    <col min="2" max="2" width="16.140625" style="46" customWidth="1"/>
    <col min="3" max="4" width="5" style="46" customWidth="1"/>
    <col min="5" max="5" width="4.5703125" style="46" customWidth="1"/>
    <col min="6" max="6" width="4.42578125" style="46" customWidth="1"/>
    <col min="7" max="7" width="11.7109375" style="46" customWidth="1"/>
    <col min="8" max="16384" width="9.140625" style="46"/>
  </cols>
  <sheetData>
    <row r="1" spans="1:2" x14ac:dyDescent="0.2">
      <c r="A1" s="82" t="s">
        <v>1862</v>
      </c>
      <c r="B1" s="199" t="s">
        <v>155</v>
      </c>
    </row>
    <row r="2" spans="1:2" x14ac:dyDescent="0.2">
      <c r="A2" s="82" t="s">
        <v>1863</v>
      </c>
      <c r="B2" s="199" t="s">
        <v>3871</v>
      </c>
    </row>
    <row r="3" spans="1:2" x14ac:dyDescent="0.2">
      <c r="A3" s="82" t="s">
        <v>1864</v>
      </c>
      <c r="B3" s="199" t="s">
        <v>3871</v>
      </c>
    </row>
    <row r="4" spans="1:2" x14ac:dyDescent="0.2">
      <c r="A4" s="82" t="s">
        <v>197</v>
      </c>
      <c r="B4" s="199" t="s">
        <v>3871</v>
      </c>
    </row>
    <row r="6" spans="1:2" x14ac:dyDescent="0.2">
      <c r="A6" t="s">
        <v>3847</v>
      </c>
    </row>
    <row r="7" spans="1:2" x14ac:dyDescent="0.2">
      <c r="A7" s="79">
        <v>626</v>
      </c>
    </row>
    <row r="8" spans="1:2" x14ac:dyDescent="0.2">
      <c r="A8" s="78"/>
      <c r="B8" s="79"/>
    </row>
    <row r="9" spans="1:2" x14ac:dyDescent="0.2">
      <c r="A9" s="78"/>
      <c r="B9" s="79"/>
    </row>
    <row r="10" spans="1:2" x14ac:dyDescent="0.2">
      <c r="A10" s="78"/>
      <c r="B10" s="79"/>
    </row>
  </sheetData>
  <pageMargins left="0.7" right="0.7" top="0.75" bottom="0.75" header="0.3" footer="0.3"/>
  <pageSetup paperSize="9" orientation="portrait" verticalDpi="0"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dimension ref="A1:B7"/>
  <sheetViews>
    <sheetView workbookViewId="0">
      <selection activeCell="B2" sqref="B2"/>
    </sheetView>
  </sheetViews>
  <sheetFormatPr defaultRowHeight="12.75" x14ac:dyDescent="0.2"/>
  <cols>
    <col min="1" max="1" width="31.7109375" customWidth="1"/>
    <col min="2" max="2" width="16.140625" customWidth="1"/>
    <col min="3" max="4" width="5" customWidth="1"/>
    <col min="5" max="5" width="4.5703125" customWidth="1"/>
    <col min="6" max="6" width="4.42578125" customWidth="1"/>
    <col min="7" max="7" width="11.7109375" bestFit="1" customWidth="1"/>
  </cols>
  <sheetData>
    <row r="1" spans="1:2" x14ac:dyDescent="0.2">
      <c r="A1" s="82" t="s">
        <v>1866</v>
      </c>
      <c r="B1" s="199" t="s">
        <v>155</v>
      </c>
    </row>
    <row r="2" spans="1:2" x14ac:dyDescent="0.2">
      <c r="A2" s="82" t="s">
        <v>1863</v>
      </c>
      <c r="B2" s="199" t="s">
        <v>3871</v>
      </c>
    </row>
    <row r="3" spans="1:2" x14ac:dyDescent="0.2">
      <c r="A3" s="82" t="s">
        <v>1864</v>
      </c>
      <c r="B3" s="199" t="s">
        <v>3871</v>
      </c>
    </row>
    <row r="4" spans="1:2" x14ac:dyDescent="0.2">
      <c r="A4" s="82" t="s">
        <v>197</v>
      </c>
      <c r="B4" s="199" t="s">
        <v>3887</v>
      </c>
    </row>
    <row r="6" spans="1:2" x14ac:dyDescent="0.2">
      <c r="A6" t="s">
        <v>3847</v>
      </c>
    </row>
    <row r="7" spans="1:2" x14ac:dyDescent="0.2">
      <c r="A7" s="79">
        <v>1868</v>
      </c>
    </row>
  </sheetData>
  <pageMargins left="0.7" right="0.7" top="0.75" bottom="0.75" header="0.3" footer="0.3"/>
  <pageSetup paperSize="9" orientation="portrait" verticalDpi="0"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B7"/>
  <sheetViews>
    <sheetView workbookViewId="0">
      <selection activeCell="B2" sqref="B2"/>
    </sheetView>
  </sheetViews>
  <sheetFormatPr defaultRowHeight="12.75" x14ac:dyDescent="0.2"/>
  <cols>
    <col min="1" max="1" width="31.7109375" style="46" customWidth="1"/>
    <col min="2" max="2" width="16.140625" style="46" customWidth="1"/>
    <col min="3" max="4" width="5" style="46" customWidth="1"/>
    <col min="5" max="5" width="4.5703125" style="46" customWidth="1"/>
    <col min="6" max="6" width="4.42578125" style="46" customWidth="1"/>
    <col min="7" max="7" width="11.7109375" style="46" customWidth="1"/>
    <col min="8" max="16384" width="9.140625" style="46"/>
  </cols>
  <sheetData>
    <row r="1" spans="1:2" x14ac:dyDescent="0.2">
      <c r="A1" s="82" t="s">
        <v>1866</v>
      </c>
      <c r="B1" s="199" t="s">
        <v>155</v>
      </c>
    </row>
    <row r="2" spans="1:2" x14ac:dyDescent="0.2">
      <c r="A2" s="82" t="s">
        <v>1863</v>
      </c>
      <c r="B2" s="199" t="s">
        <v>3871</v>
      </c>
    </row>
    <row r="3" spans="1:2" x14ac:dyDescent="0.2">
      <c r="A3" s="82" t="s">
        <v>1864</v>
      </c>
      <c r="B3" s="199" t="s">
        <v>3871</v>
      </c>
    </row>
    <row r="4" spans="1:2" x14ac:dyDescent="0.2">
      <c r="A4" s="82" t="s">
        <v>197</v>
      </c>
      <c r="B4" s="199" t="s">
        <v>3887</v>
      </c>
    </row>
    <row r="6" spans="1:2" x14ac:dyDescent="0.2">
      <c r="A6" t="s">
        <v>3847</v>
      </c>
    </row>
    <row r="7" spans="1:2" x14ac:dyDescent="0.2">
      <c r="A7" s="79">
        <v>232</v>
      </c>
    </row>
  </sheetData>
  <pageMargins left="0.7" right="0.7" top="0.75" bottom="0.75" header="0.3" footer="0.3"/>
  <pageSetup paperSize="9" orientation="portrait" verticalDpi="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A1:G8"/>
  <sheetViews>
    <sheetView workbookViewId="0">
      <selection activeCell="B2" sqref="B2"/>
    </sheetView>
  </sheetViews>
  <sheetFormatPr defaultRowHeight="12.75" x14ac:dyDescent="0.2"/>
  <cols>
    <col min="1" max="1" width="22.5703125" customWidth="1"/>
    <col min="2" max="2" width="17" customWidth="1"/>
    <col min="3" max="3" width="12.5703125" customWidth="1"/>
    <col min="4" max="4" width="21.85546875" customWidth="1"/>
    <col min="5" max="5" width="11.7109375" customWidth="1"/>
  </cols>
  <sheetData>
    <row r="1" spans="1:7" x14ac:dyDescent="0.2">
      <c r="A1" s="82" t="s">
        <v>1862</v>
      </c>
      <c r="B1" s="199" t="s">
        <v>155</v>
      </c>
      <c r="C1" s="46"/>
      <c r="D1" s="46"/>
      <c r="E1" s="46"/>
      <c r="F1" s="46"/>
      <c r="G1" s="46"/>
    </row>
    <row r="2" spans="1:7" x14ac:dyDescent="0.2">
      <c r="A2" s="46"/>
      <c r="B2" s="46"/>
      <c r="C2" s="46"/>
      <c r="D2" s="46"/>
      <c r="E2" s="46"/>
      <c r="F2" s="46"/>
      <c r="G2" s="46"/>
    </row>
    <row r="3" spans="1:7" x14ac:dyDescent="0.2">
      <c r="A3" s="82" t="s">
        <v>3847</v>
      </c>
      <c r="B3" s="82" t="s">
        <v>3849</v>
      </c>
    </row>
    <row r="4" spans="1:7" x14ac:dyDescent="0.2">
      <c r="A4" s="82" t="s">
        <v>1830</v>
      </c>
      <c r="B4" s="199" t="s">
        <v>238</v>
      </c>
      <c r="C4" s="199" t="s">
        <v>74</v>
      </c>
      <c r="D4" s="199" t="s">
        <v>154</v>
      </c>
      <c r="E4" s="199" t="s">
        <v>422</v>
      </c>
    </row>
    <row r="5" spans="1:7" x14ac:dyDescent="0.2">
      <c r="A5" s="78" t="s">
        <v>1924</v>
      </c>
      <c r="B5" s="79">
        <v>61</v>
      </c>
      <c r="C5" s="79"/>
      <c r="D5" s="79"/>
      <c r="E5" s="79">
        <v>61</v>
      </c>
    </row>
    <row r="6" spans="1:7" x14ac:dyDescent="0.2">
      <c r="A6" s="78" t="s">
        <v>1908</v>
      </c>
      <c r="B6" s="79">
        <v>3065</v>
      </c>
      <c r="C6" s="79">
        <v>286</v>
      </c>
      <c r="D6" s="79">
        <v>269</v>
      </c>
      <c r="E6" s="79">
        <v>3620</v>
      </c>
    </row>
    <row r="7" spans="1:7" x14ac:dyDescent="0.2">
      <c r="A7" s="78" t="s">
        <v>1930</v>
      </c>
      <c r="B7" s="79">
        <v>2121</v>
      </c>
      <c r="C7" s="79">
        <v>269</v>
      </c>
      <c r="D7" s="79">
        <v>12</v>
      </c>
      <c r="E7" s="79">
        <v>2402</v>
      </c>
    </row>
    <row r="8" spans="1:7" x14ac:dyDescent="0.2">
      <c r="A8" s="78" t="s">
        <v>422</v>
      </c>
      <c r="B8" s="79">
        <v>5247</v>
      </c>
      <c r="C8" s="79">
        <v>555</v>
      </c>
      <c r="D8" s="79">
        <v>281</v>
      </c>
      <c r="E8" s="79">
        <v>6083</v>
      </c>
    </row>
  </sheetData>
  <pageMargins left="0.7" right="0.7" top="0.75" bottom="0.75" header="0.3" footer="0.3"/>
  <pageSetup paperSize="9" orientation="portrait" verticalDpi="0"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dimension ref="A1:G7"/>
  <sheetViews>
    <sheetView workbookViewId="0">
      <selection activeCell="B2" sqref="B2"/>
    </sheetView>
  </sheetViews>
  <sheetFormatPr defaultRowHeight="12.75" x14ac:dyDescent="0.2"/>
  <cols>
    <col min="1" max="1" width="22.5703125" customWidth="1"/>
    <col min="2" max="2" width="17" customWidth="1"/>
    <col min="3" max="3" width="12.5703125" customWidth="1"/>
    <col min="4" max="4" width="21.85546875" customWidth="1"/>
    <col min="5" max="5" width="11.7109375" customWidth="1"/>
  </cols>
  <sheetData>
    <row r="1" spans="1:7" x14ac:dyDescent="0.2">
      <c r="A1" s="82" t="s">
        <v>1866</v>
      </c>
      <c r="B1" s="199" t="s">
        <v>155</v>
      </c>
      <c r="C1" s="46"/>
      <c r="D1" s="46"/>
      <c r="E1" s="46"/>
      <c r="F1" s="46"/>
      <c r="G1" s="46"/>
    </row>
    <row r="2" spans="1:7" x14ac:dyDescent="0.2">
      <c r="A2" s="46"/>
      <c r="B2" s="46"/>
      <c r="C2" s="46"/>
      <c r="D2" s="46"/>
      <c r="E2" s="46"/>
      <c r="F2" s="46"/>
      <c r="G2" s="46"/>
    </row>
    <row r="3" spans="1:7" x14ac:dyDescent="0.2">
      <c r="A3" s="82" t="s">
        <v>3847</v>
      </c>
      <c r="B3" s="82" t="s">
        <v>3849</v>
      </c>
    </row>
    <row r="4" spans="1:7" x14ac:dyDescent="0.2">
      <c r="A4" s="82" t="s">
        <v>1830</v>
      </c>
      <c r="B4" s="199" t="s">
        <v>238</v>
      </c>
      <c r="C4" s="199" t="s">
        <v>74</v>
      </c>
      <c r="D4" s="199" t="s">
        <v>154</v>
      </c>
      <c r="E4" s="199" t="s">
        <v>422</v>
      </c>
    </row>
    <row r="5" spans="1:7" x14ac:dyDescent="0.2">
      <c r="A5" s="78" t="s">
        <v>1924</v>
      </c>
      <c r="B5" s="79">
        <v>50</v>
      </c>
      <c r="C5" s="79"/>
      <c r="D5" s="79">
        <v>2</v>
      </c>
      <c r="E5" s="79">
        <v>52</v>
      </c>
    </row>
    <row r="6" spans="1:7" x14ac:dyDescent="0.2">
      <c r="A6" s="78" t="s">
        <v>1908</v>
      </c>
      <c r="B6" s="79">
        <v>1619</v>
      </c>
      <c r="C6" s="79">
        <v>269</v>
      </c>
      <c r="D6" s="79">
        <v>160</v>
      </c>
      <c r="E6" s="79">
        <v>2048</v>
      </c>
    </row>
    <row r="7" spans="1:7" x14ac:dyDescent="0.2">
      <c r="A7" s="78" t="s">
        <v>422</v>
      </c>
      <c r="B7" s="79">
        <v>1669</v>
      </c>
      <c r="C7" s="79">
        <v>269</v>
      </c>
      <c r="D7" s="79">
        <v>162</v>
      </c>
      <c r="E7" s="79">
        <v>2100</v>
      </c>
    </row>
  </sheetData>
  <pageMargins left="0.7" right="0.7" top="0.75" bottom="0.75" header="0.3" footer="0.3"/>
  <pageSetup paperSize="9" orientation="portrait" verticalDpi="0"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dimension ref="A1:J6"/>
  <sheetViews>
    <sheetView workbookViewId="0">
      <selection activeCell="B2" sqref="B2"/>
    </sheetView>
  </sheetViews>
  <sheetFormatPr defaultRowHeight="12.75" x14ac:dyDescent="0.2"/>
  <cols>
    <col min="1" max="1" width="22.5703125" customWidth="1"/>
    <col min="2" max="2" width="17" customWidth="1"/>
    <col min="3" max="3" width="12.5703125" customWidth="1"/>
    <col min="4" max="4" width="21.85546875" bestFit="1" customWidth="1"/>
    <col min="5" max="5" width="7.28515625" bestFit="1" customWidth="1"/>
    <col min="6" max="6" width="12.5703125" customWidth="1"/>
    <col min="7" max="7" width="12.5703125" bestFit="1" customWidth="1"/>
    <col min="8" max="8" width="21.85546875" bestFit="1" customWidth="1"/>
    <col min="9" max="9" width="12.28515625" bestFit="1" customWidth="1"/>
    <col min="10" max="10" width="11.7109375" customWidth="1"/>
  </cols>
  <sheetData>
    <row r="1" spans="1:10" x14ac:dyDescent="0.2">
      <c r="A1" s="82" t="s">
        <v>3847</v>
      </c>
      <c r="B1" s="82" t="s">
        <v>3849</v>
      </c>
    </row>
    <row r="2" spans="1:10" x14ac:dyDescent="0.2">
      <c r="B2" s="199" t="s">
        <v>155</v>
      </c>
      <c r="E2" s="199" t="s">
        <v>3864</v>
      </c>
      <c r="F2" s="199" t="s">
        <v>3851</v>
      </c>
      <c r="I2" s="199" t="s">
        <v>3865</v>
      </c>
      <c r="J2" s="199" t="s">
        <v>422</v>
      </c>
    </row>
    <row r="3" spans="1:10" x14ac:dyDescent="0.2">
      <c r="A3" s="82" t="s">
        <v>1830</v>
      </c>
      <c r="B3" s="199" t="s">
        <v>238</v>
      </c>
      <c r="C3" s="199" t="s">
        <v>74</v>
      </c>
      <c r="D3" s="199" t="s">
        <v>154</v>
      </c>
      <c r="F3" s="199" t="s">
        <v>238</v>
      </c>
      <c r="G3" s="199" t="s">
        <v>74</v>
      </c>
      <c r="H3" s="199" t="s">
        <v>154</v>
      </c>
    </row>
    <row r="4" spans="1:10" x14ac:dyDescent="0.2">
      <c r="A4" s="78" t="s">
        <v>1924</v>
      </c>
      <c r="B4" s="79">
        <v>1181</v>
      </c>
      <c r="C4" s="79">
        <v>100</v>
      </c>
      <c r="D4" s="79">
        <v>44</v>
      </c>
      <c r="E4" s="79">
        <v>1325</v>
      </c>
      <c r="F4" s="79">
        <v>729</v>
      </c>
      <c r="G4" s="79">
        <v>42</v>
      </c>
      <c r="H4" s="79">
        <v>16</v>
      </c>
      <c r="I4" s="79">
        <v>787</v>
      </c>
      <c r="J4" s="79">
        <v>2112</v>
      </c>
    </row>
    <row r="5" spans="1:10" x14ac:dyDescent="0.2">
      <c r="A5" s="78" t="s">
        <v>3840</v>
      </c>
      <c r="B5" s="79"/>
      <c r="C5" s="79"/>
      <c r="D5" s="79"/>
      <c r="E5" s="79"/>
      <c r="F5" s="79">
        <v>-76</v>
      </c>
      <c r="G5" s="79"/>
      <c r="H5" s="79"/>
      <c r="I5" s="79">
        <v>-76</v>
      </c>
      <c r="J5" s="79">
        <v>-76</v>
      </c>
    </row>
    <row r="6" spans="1:10" x14ac:dyDescent="0.2">
      <c r="A6" s="78" t="s">
        <v>422</v>
      </c>
      <c r="B6" s="79">
        <v>1181</v>
      </c>
      <c r="C6" s="79">
        <v>100</v>
      </c>
      <c r="D6" s="79">
        <v>44</v>
      </c>
      <c r="E6" s="79">
        <v>1325</v>
      </c>
      <c r="F6" s="79">
        <v>653</v>
      </c>
      <c r="G6" s="79">
        <v>42</v>
      </c>
      <c r="H6" s="79">
        <v>16</v>
      </c>
      <c r="I6" s="79">
        <v>711</v>
      </c>
      <c r="J6" s="79">
        <v>2036</v>
      </c>
    </row>
  </sheetData>
  <pageMargins left="0.7" right="0.7" top="0.75" bottom="0.75" header="0.3" footer="0.3"/>
  <pageSetup paperSize="9" orientation="portrait" verticalDpi="0"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dimension ref="A1:E7"/>
  <sheetViews>
    <sheetView workbookViewId="0">
      <selection activeCell="B2" sqref="B2"/>
    </sheetView>
  </sheetViews>
  <sheetFormatPr defaultRowHeight="12.75" x14ac:dyDescent="0.2"/>
  <cols>
    <col min="1" max="1" width="31.7109375" customWidth="1"/>
    <col min="2" max="3" width="22.5703125" customWidth="1"/>
    <col min="4" max="5" width="27.85546875" customWidth="1"/>
    <col min="6" max="6" width="28.28515625" customWidth="1"/>
    <col min="7" max="7" width="22.5703125" customWidth="1"/>
    <col min="8" max="8" width="28.28515625" customWidth="1"/>
    <col min="9" max="9" width="22.5703125" customWidth="1"/>
    <col min="10" max="10" width="28.28515625" customWidth="1"/>
    <col min="11" max="11" width="22.5703125" customWidth="1"/>
    <col min="12" max="12" width="33.5703125" bestFit="1" customWidth="1"/>
    <col min="13" max="13" width="27.85546875" customWidth="1"/>
  </cols>
  <sheetData>
    <row r="1" spans="1:5" x14ac:dyDescent="0.2">
      <c r="A1" s="82" t="s">
        <v>1862</v>
      </c>
      <c r="B1" s="199" t="s">
        <v>155</v>
      </c>
      <c r="C1" s="46"/>
      <c r="D1" s="46"/>
      <c r="E1" s="46"/>
    </row>
    <row r="2" spans="1:5" x14ac:dyDescent="0.2">
      <c r="A2" s="82" t="s">
        <v>197</v>
      </c>
      <c r="B2" s="199" t="s">
        <v>3871</v>
      </c>
      <c r="C2" s="46"/>
      <c r="D2" s="46"/>
      <c r="E2" s="46"/>
    </row>
    <row r="3" spans="1:5" x14ac:dyDescent="0.2">
      <c r="A3" s="82" t="s">
        <v>1863</v>
      </c>
      <c r="B3" s="199" t="s">
        <v>3871</v>
      </c>
    </row>
    <row r="4" spans="1:5" x14ac:dyDescent="0.2">
      <c r="A4" s="82" t="s">
        <v>1864</v>
      </c>
      <c r="B4" s="199" t="s">
        <v>3871</v>
      </c>
    </row>
    <row r="6" spans="1:5" x14ac:dyDescent="0.2">
      <c r="A6" s="199" t="s">
        <v>3854</v>
      </c>
      <c r="B6" s="199" t="s">
        <v>3847</v>
      </c>
    </row>
    <row r="7" spans="1:5" x14ac:dyDescent="0.2">
      <c r="A7" s="79">
        <v>5485</v>
      </c>
      <c r="B7" s="79">
        <v>5457</v>
      </c>
    </row>
  </sheetData>
  <pageMargins left="0.7" right="0.7" top="0.75" bottom="0.75" header="0.3" footer="0.3"/>
  <pageSetup paperSize="9" orientation="portrait" verticalDpi="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dimension ref="A1:E7"/>
  <sheetViews>
    <sheetView workbookViewId="0">
      <selection activeCell="B2" sqref="B2"/>
    </sheetView>
  </sheetViews>
  <sheetFormatPr defaultRowHeight="12.75" x14ac:dyDescent="0.2"/>
  <cols>
    <col min="1" max="1" width="31.7109375" customWidth="1"/>
    <col min="2" max="2" width="22.5703125" customWidth="1"/>
    <col min="3" max="6" width="31.7109375" customWidth="1"/>
    <col min="7" max="8" width="31.7109375" bestFit="1" customWidth="1"/>
    <col min="9" max="9" width="33.5703125" bestFit="1" customWidth="1"/>
    <col min="10" max="10" width="27.85546875" customWidth="1"/>
    <col min="11" max="11" width="27.85546875" bestFit="1" customWidth="1"/>
  </cols>
  <sheetData>
    <row r="1" spans="1:5" x14ac:dyDescent="0.2">
      <c r="A1" s="82" t="s">
        <v>1862</v>
      </c>
      <c r="B1" s="199" t="s">
        <v>155</v>
      </c>
      <c r="C1" s="46"/>
      <c r="D1" s="46"/>
      <c r="E1" s="46"/>
    </row>
    <row r="2" spans="1:5" x14ac:dyDescent="0.2">
      <c r="A2" s="82" t="s">
        <v>197</v>
      </c>
      <c r="B2" s="199" t="s">
        <v>3871</v>
      </c>
      <c r="C2" s="46"/>
      <c r="D2" s="46"/>
      <c r="E2" s="46"/>
    </row>
    <row r="3" spans="1:5" x14ac:dyDescent="0.2">
      <c r="A3" s="82" t="s">
        <v>1863</v>
      </c>
      <c r="B3" s="199" t="s">
        <v>3871</v>
      </c>
    </row>
    <row r="4" spans="1:5" x14ac:dyDescent="0.2">
      <c r="A4" s="82" t="s">
        <v>1864</v>
      </c>
      <c r="B4" s="199" t="s">
        <v>3871</v>
      </c>
    </row>
    <row r="6" spans="1:5" x14ac:dyDescent="0.2">
      <c r="A6" s="199" t="s">
        <v>3854</v>
      </c>
      <c r="B6" s="199" t="s">
        <v>3847</v>
      </c>
    </row>
    <row r="7" spans="1:5" x14ac:dyDescent="0.2">
      <c r="A7" s="79">
        <v>804</v>
      </c>
      <c r="B7" s="79">
        <v>626</v>
      </c>
    </row>
  </sheetData>
  <pageMargins left="0.7" right="0.7" top="0.75" bottom="0.75" header="0.3" footer="0.3"/>
  <pageSetup paperSize="9" orientation="portrait" verticalDpi="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dimension ref="A1:K9"/>
  <sheetViews>
    <sheetView workbookViewId="0">
      <selection activeCell="B2" sqref="B2"/>
    </sheetView>
  </sheetViews>
  <sheetFormatPr defaultRowHeight="12.75" x14ac:dyDescent="0.2"/>
  <cols>
    <col min="1" max="1" width="15.85546875" customWidth="1"/>
    <col min="2" max="2" width="22.5703125" customWidth="1"/>
    <col min="3" max="3" width="21.140625" customWidth="1"/>
    <col min="4" max="4" width="11.7109375" customWidth="1"/>
    <col min="5" max="5" width="24.42578125" customWidth="1"/>
    <col min="6" max="6" width="11.7109375" customWidth="1"/>
  </cols>
  <sheetData>
    <row r="1" spans="1:11" x14ac:dyDescent="0.2">
      <c r="A1" s="82" t="s">
        <v>197</v>
      </c>
      <c r="B1" s="199" t="s">
        <v>3871</v>
      </c>
      <c r="C1" s="46"/>
      <c r="D1" s="46"/>
      <c r="E1" s="46"/>
      <c r="F1" s="46"/>
      <c r="G1" s="46"/>
      <c r="H1" s="46"/>
      <c r="I1" s="46"/>
      <c r="J1" s="46"/>
      <c r="K1" s="46"/>
    </row>
    <row r="2" spans="1:11" x14ac:dyDescent="0.2">
      <c r="A2" s="46"/>
      <c r="B2" s="46"/>
      <c r="C2" s="46"/>
      <c r="D2" s="46"/>
      <c r="E2" s="46"/>
      <c r="F2" s="46"/>
      <c r="G2" s="46"/>
      <c r="H2" s="46"/>
      <c r="I2" s="46"/>
      <c r="J2" s="46"/>
      <c r="K2" s="46"/>
    </row>
    <row r="3" spans="1:11" x14ac:dyDescent="0.2">
      <c r="A3" s="82" t="s">
        <v>1830</v>
      </c>
      <c r="B3" t="s">
        <v>3847</v>
      </c>
    </row>
    <row r="4" spans="1:11" x14ac:dyDescent="0.2">
      <c r="A4" s="78" t="s">
        <v>247</v>
      </c>
      <c r="B4" s="79">
        <v>5</v>
      </c>
    </row>
    <row r="5" spans="1:11" x14ac:dyDescent="0.2">
      <c r="A5" s="78" t="s">
        <v>160</v>
      </c>
      <c r="B5" s="79">
        <v>9</v>
      </c>
    </row>
    <row r="6" spans="1:11" x14ac:dyDescent="0.2">
      <c r="A6" s="78" t="s">
        <v>161</v>
      </c>
      <c r="B6" s="79">
        <v>11</v>
      </c>
    </row>
    <row r="7" spans="1:11" x14ac:dyDescent="0.2">
      <c r="A7" s="78" t="s">
        <v>242</v>
      </c>
      <c r="B7" s="79">
        <v>34</v>
      </c>
    </row>
    <row r="8" spans="1:11" x14ac:dyDescent="0.2">
      <c r="A8" s="78" t="s">
        <v>202</v>
      </c>
      <c r="B8" s="79">
        <v>314</v>
      </c>
    </row>
    <row r="9" spans="1:11" x14ac:dyDescent="0.2">
      <c r="A9" s="78" t="s">
        <v>422</v>
      </c>
      <c r="B9" s="79">
        <v>373</v>
      </c>
    </row>
  </sheetData>
  <pageMargins left="0.7" right="0.7" top="0.75" bottom="0.75" header="0.3" footer="0.3"/>
  <pageSetup paperSize="9" orientation="portrait" verticalDpi="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dimension ref="A1:B24"/>
  <sheetViews>
    <sheetView workbookViewId="0">
      <selection activeCell="B2" sqref="B2"/>
    </sheetView>
  </sheetViews>
  <sheetFormatPr defaultRowHeight="12.75" x14ac:dyDescent="0.2"/>
  <cols>
    <col min="1" max="1" width="27.42578125" customWidth="1"/>
    <col min="2" max="2" width="22.5703125" customWidth="1"/>
  </cols>
  <sheetData>
    <row r="1" spans="1:2" x14ac:dyDescent="0.2">
      <c r="A1" s="82" t="s">
        <v>197</v>
      </c>
      <c r="B1" s="199" t="s">
        <v>3871</v>
      </c>
    </row>
    <row r="2" spans="1:2" x14ac:dyDescent="0.2">
      <c r="A2" s="46"/>
      <c r="B2" s="46"/>
    </row>
    <row r="3" spans="1:2" x14ac:dyDescent="0.2">
      <c r="A3" s="82" t="s">
        <v>1830</v>
      </c>
      <c r="B3" t="s">
        <v>3847</v>
      </c>
    </row>
    <row r="4" spans="1:2" x14ac:dyDescent="0.2">
      <c r="A4" s="78" t="s">
        <v>247</v>
      </c>
      <c r="B4" s="79">
        <v>29</v>
      </c>
    </row>
    <row r="5" spans="1:2" x14ac:dyDescent="0.2">
      <c r="A5" s="78" t="s">
        <v>248</v>
      </c>
      <c r="B5" s="79">
        <v>25</v>
      </c>
    </row>
    <row r="6" spans="1:2" x14ac:dyDescent="0.2">
      <c r="A6" s="78" t="s">
        <v>249</v>
      </c>
      <c r="B6" s="79">
        <v>18</v>
      </c>
    </row>
    <row r="7" spans="1:2" x14ac:dyDescent="0.2">
      <c r="A7" s="78" t="s">
        <v>250</v>
      </c>
      <c r="B7" s="79">
        <v>8</v>
      </c>
    </row>
    <row r="8" spans="1:2" x14ac:dyDescent="0.2">
      <c r="A8" s="78" t="s">
        <v>251</v>
      </c>
      <c r="B8" s="79">
        <v>233</v>
      </c>
    </row>
    <row r="9" spans="1:2" x14ac:dyDescent="0.2">
      <c r="A9" s="78" t="s">
        <v>252</v>
      </c>
      <c r="B9" s="79">
        <v>15</v>
      </c>
    </row>
    <row r="10" spans="1:2" x14ac:dyDescent="0.2">
      <c r="A10" s="78" t="s">
        <v>253</v>
      </c>
      <c r="B10" s="79">
        <v>22</v>
      </c>
    </row>
    <row r="11" spans="1:2" x14ac:dyDescent="0.2">
      <c r="A11" s="78" t="s">
        <v>241</v>
      </c>
      <c r="B11" s="79">
        <v>37</v>
      </c>
    </row>
    <row r="12" spans="1:2" x14ac:dyDescent="0.2">
      <c r="A12" s="78" t="s">
        <v>254</v>
      </c>
      <c r="B12" s="79">
        <v>23</v>
      </c>
    </row>
    <row r="13" spans="1:2" x14ac:dyDescent="0.2">
      <c r="A13" s="78" t="s">
        <v>255</v>
      </c>
      <c r="B13" s="79">
        <v>-55</v>
      </c>
    </row>
    <row r="14" spans="1:2" x14ac:dyDescent="0.2">
      <c r="A14" s="78" t="s">
        <v>240</v>
      </c>
      <c r="B14" s="79">
        <v>1337</v>
      </c>
    </row>
    <row r="15" spans="1:2" x14ac:dyDescent="0.2">
      <c r="A15" s="78" t="s">
        <v>877</v>
      </c>
      <c r="B15" s="79">
        <v>5</v>
      </c>
    </row>
    <row r="16" spans="1:2" x14ac:dyDescent="0.2">
      <c r="A16" s="78" t="s">
        <v>256</v>
      </c>
      <c r="B16" s="79">
        <v>19</v>
      </c>
    </row>
    <row r="17" spans="1:2" x14ac:dyDescent="0.2">
      <c r="A17" s="78" t="s">
        <v>258</v>
      </c>
      <c r="B17" s="79">
        <v>110</v>
      </c>
    </row>
    <row r="18" spans="1:2" x14ac:dyDescent="0.2">
      <c r="A18" s="78" t="s">
        <v>257</v>
      </c>
      <c r="B18" s="79">
        <v>163</v>
      </c>
    </row>
    <row r="19" spans="1:2" x14ac:dyDescent="0.2">
      <c r="A19" s="78" t="s">
        <v>259</v>
      </c>
      <c r="B19" s="79">
        <v>6</v>
      </c>
    </row>
    <row r="20" spans="1:2" x14ac:dyDescent="0.2">
      <c r="A20" s="78" t="s">
        <v>242</v>
      </c>
      <c r="B20" s="79">
        <v>38</v>
      </c>
    </row>
    <row r="21" spans="1:2" x14ac:dyDescent="0.2">
      <c r="A21" s="78" t="s">
        <v>260</v>
      </c>
      <c r="B21" s="79">
        <v>2</v>
      </c>
    </row>
    <row r="22" spans="1:2" x14ac:dyDescent="0.2">
      <c r="A22" s="78" t="s">
        <v>111</v>
      </c>
      <c r="B22" s="79">
        <v>-6</v>
      </c>
    </row>
    <row r="23" spans="1:2" x14ac:dyDescent="0.2">
      <c r="A23" s="78" t="s">
        <v>59</v>
      </c>
      <c r="B23" s="79">
        <v>7</v>
      </c>
    </row>
    <row r="24" spans="1:2" x14ac:dyDescent="0.2">
      <c r="A24" s="78" t="s">
        <v>422</v>
      </c>
      <c r="B24" s="79">
        <v>2036</v>
      </c>
    </row>
  </sheetData>
  <pageMargins left="0.7" right="0.7" top="0.75" bottom="0.75" header="0.3" footer="0.3"/>
  <pageSetup paperSize="9"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69"/>
  <sheetViews>
    <sheetView zoomScaleNormal="100" zoomScaleSheetLayoutView="100" workbookViewId="0">
      <selection activeCell="D5" sqref="D5"/>
    </sheetView>
  </sheetViews>
  <sheetFormatPr defaultRowHeight="12.75" x14ac:dyDescent="0.2"/>
  <cols>
    <col min="1" max="1" width="11.140625" style="55" customWidth="1"/>
    <col min="2" max="2" width="31.85546875" style="55" customWidth="1"/>
    <col min="3" max="24" width="7.42578125" style="55" bestFit="1" customWidth="1"/>
    <col min="25" max="16384" width="9.140625" style="55"/>
  </cols>
  <sheetData>
    <row r="1" spans="1:24" x14ac:dyDescent="0.2">
      <c r="A1" s="321" t="s">
        <v>4033</v>
      </c>
      <c r="B1" s="322"/>
      <c r="C1" s="322"/>
      <c r="D1" s="322"/>
      <c r="E1" s="322"/>
      <c r="F1" s="322"/>
      <c r="G1" s="322"/>
      <c r="H1" s="322"/>
      <c r="I1" s="322"/>
      <c r="J1" s="322"/>
      <c r="K1" s="322"/>
      <c r="L1" s="322"/>
      <c r="M1" s="322"/>
      <c r="N1" s="322"/>
      <c r="O1" s="322"/>
      <c r="P1" s="322"/>
      <c r="Q1" s="322"/>
      <c r="R1" s="322"/>
      <c r="S1" s="322"/>
      <c r="T1" s="322"/>
      <c r="U1" s="322"/>
      <c r="V1" s="322"/>
      <c r="W1" s="322"/>
      <c r="X1" s="323"/>
    </row>
    <row r="2" spans="1:24" x14ac:dyDescent="0.2">
      <c r="A2" s="321" t="s">
        <v>4018</v>
      </c>
      <c r="B2" s="323"/>
      <c r="C2" s="327" t="s">
        <v>4019</v>
      </c>
      <c r="D2" s="328"/>
      <c r="E2" s="328"/>
      <c r="F2" s="329"/>
      <c r="G2" s="324" t="s">
        <v>4020</v>
      </c>
      <c r="H2" s="325"/>
      <c r="I2" s="325"/>
      <c r="J2" s="325"/>
      <c r="K2" s="325"/>
      <c r="L2" s="325"/>
      <c r="M2" s="325"/>
      <c r="N2" s="325"/>
      <c r="O2" s="325"/>
      <c r="P2" s="326"/>
      <c r="Q2" s="324" t="s">
        <v>4021</v>
      </c>
      <c r="R2" s="325"/>
      <c r="S2" s="325"/>
      <c r="T2" s="325"/>
      <c r="U2" s="325"/>
      <c r="V2" s="325"/>
      <c r="W2" s="325"/>
      <c r="X2" s="326"/>
    </row>
    <row r="3" spans="1:24" x14ac:dyDescent="0.2">
      <c r="A3" s="330" t="s">
        <v>46</v>
      </c>
      <c r="B3" s="331"/>
      <c r="C3" s="170" t="s">
        <v>132</v>
      </c>
      <c r="D3" s="171" t="s">
        <v>404</v>
      </c>
      <c r="E3" s="171" t="s">
        <v>45</v>
      </c>
      <c r="F3" s="172" t="s">
        <v>44</v>
      </c>
      <c r="G3" s="170" t="s">
        <v>0</v>
      </c>
      <c r="H3" s="171" t="s">
        <v>1</v>
      </c>
      <c r="I3" s="171" t="s">
        <v>2</v>
      </c>
      <c r="J3" s="171" t="s">
        <v>3</v>
      </c>
      <c r="K3" s="171" t="s">
        <v>4</v>
      </c>
      <c r="L3" s="171" t="s">
        <v>5</v>
      </c>
      <c r="M3" s="171" t="s">
        <v>6</v>
      </c>
      <c r="N3" s="171" t="s">
        <v>7</v>
      </c>
      <c r="O3" s="171" t="s">
        <v>8</v>
      </c>
      <c r="P3" s="172" t="s">
        <v>9</v>
      </c>
      <c r="Q3" s="169" t="s">
        <v>10</v>
      </c>
      <c r="R3" s="168" t="s">
        <v>11</v>
      </c>
      <c r="S3" s="168" t="s">
        <v>12</v>
      </c>
      <c r="T3" s="168" t="s">
        <v>13</v>
      </c>
      <c r="U3" s="168" t="s">
        <v>14</v>
      </c>
      <c r="V3" s="168" t="s">
        <v>15</v>
      </c>
      <c r="W3" s="168" t="s">
        <v>832</v>
      </c>
      <c r="X3" s="202" t="s">
        <v>1760</v>
      </c>
    </row>
    <row r="4" spans="1:24" x14ac:dyDescent="0.2">
      <c r="A4" s="316" t="s">
        <v>4022</v>
      </c>
      <c r="B4" s="317"/>
      <c r="C4" s="173">
        <v>10</v>
      </c>
      <c r="D4" s="174">
        <f>C4-1</f>
        <v>9</v>
      </c>
      <c r="E4" s="174">
        <f t="shared" ref="E4:F4" si="0">D4-1</f>
        <v>8</v>
      </c>
      <c r="F4" s="175">
        <f t="shared" si="0"/>
        <v>7</v>
      </c>
      <c r="G4" s="173">
        <v>10</v>
      </c>
      <c r="H4" s="174">
        <f>G4-1</f>
        <v>9</v>
      </c>
      <c r="I4" s="174">
        <f t="shared" ref="I4:P4" si="1">H4-1</f>
        <v>8</v>
      </c>
      <c r="J4" s="174">
        <f t="shared" si="1"/>
        <v>7</v>
      </c>
      <c r="K4" s="174">
        <f t="shared" si="1"/>
        <v>6</v>
      </c>
      <c r="L4" s="174">
        <f t="shared" si="1"/>
        <v>5</v>
      </c>
      <c r="M4" s="174">
        <f t="shared" si="1"/>
        <v>4</v>
      </c>
      <c r="N4" s="174">
        <f t="shared" si="1"/>
        <v>3</v>
      </c>
      <c r="O4" s="174">
        <f t="shared" si="1"/>
        <v>2</v>
      </c>
      <c r="P4" s="175">
        <f t="shared" si="1"/>
        <v>1</v>
      </c>
      <c r="Q4" s="173"/>
      <c r="R4" s="174"/>
      <c r="S4" s="174"/>
      <c r="T4" s="174"/>
      <c r="U4" s="174"/>
      <c r="V4" s="174"/>
      <c r="W4" s="174"/>
      <c r="X4" s="175"/>
    </row>
    <row r="5" spans="1:24" ht="24" customHeight="1" x14ac:dyDescent="0.2">
      <c r="A5" s="318" t="s">
        <v>49</v>
      </c>
      <c r="B5" s="176" t="s">
        <v>4023</v>
      </c>
      <c r="C5" s="195">
        <v>1465</v>
      </c>
      <c r="D5" s="180">
        <v>793</v>
      </c>
      <c r="E5" s="180">
        <v>1086</v>
      </c>
      <c r="F5" s="181">
        <v>1511</v>
      </c>
      <c r="G5" s="195">
        <f>'Summary Tables'!G11</f>
        <v>2735</v>
      </c>
      <c r="H5" s="180">
        <f>'Summary Tables'!H11</f>
        <v>2710</v>
      </c>
      <c r="I5" s="180">
        <f>'Summary Tables'!I11</f>
        <v>2025</v>
      </c>
      <c r="J5" s="180"/>
      <c r="K5" s="180"/>
      <c r="L5" s="180"/>
      <c r="M5" s="180"/>
      <c r="N5" s="180"/>
      <c r="O5" s="180"/>
      <c r="P5" s="181"/>
      <c r="Q5" s="195"/>
      <c r="R5" s="180"/>
      <c r="S5" s="180"/>
      <c r="T5" s="180"/>
      <c r="U5" s="180"/>
      <c r="V5" s="180"/>
      <c r="W5" s="180"/>
      <c r="X5" s="201"/>
    </row>
    <row r="6" spans="1:24" ht="24" customHeight="1" x14ac:dyDescent="0.2">
      <c r="A6" s="319"/>
      <c r="B6" s="182" t="s">
        <v>4024</v>
      </c>
      <c r="C6" s="186"/>
      <c r="D6" s="187"/>
      <c r="E6" s="187"/>
      <c r="F6" s="185"/>
      <c r="G6" s="186"/>
      <c r="H6" s="187"/>
      <c r="I6" s="187"/>
      <c r="J6" s="187">
        <f>SUM('Conventional Supply Scenario 2'!CD2:CD1479)+('Non-Self-Contained Supply'!AU2:AU36)</f>
        <v>1964.9499999999998</v>
      </c>
      <c r="K6" s="187">
        <f>SUM('Conventional Supply Scenario 2'!CE2:CE1479)+('Non-Self-Contained Supply'!AV2:AV36)</f>
        <v>3439.4499999999953</v>
      </c>
      <c r="L6" s="187">
        <f>SUM('Conventional Supply Scenario 2'!CF2:CF1479)+('Non-Self-Contained Supply'!AW2:AW36)</f>
        <v>3138.4499999999948</v>
      </c>
      <c r="M6" s="187">
        <f>SUM('Conventional Supply Scenario 2'!CG2:CG1479)+('Non-Self-Contained Supply'!AX2:AX36)</f>
        <v>3074.4500000000003</v>
      </c>
      <c r="N6" s="187">
        <f>SUM('Conventional Supply Scenario 2'!CH2:CH1479)+('Non-Self-Contained Supply'!AY2:AY36)</f>
        <v>3061.3666666666759</v>
      </c>
      <c r="O6" s="187">
        <f>SUM('Conventional Supply Scenario 2'!CI2:CI1479)+('Non-Self-Contained Supply'!AZ2:AZ36)</f>
        <v>3145.4333333333425</v>
      </c>
      <c r="P6" s="185">
        <f>SUM('Conventional Supply Scenario 2'!CJ2:CJ1479)+('Non-Self-Contained Supply'!BA2:BA36)</f>
        <v>2502.5803921568599</v>
      </c>
      <c r="Q6" s="186">
        <f>SUM('Conventional Supply Scenario 2'!CK2:CK1479)+('Non-Self-Contained Supply'!BB2:BB36)</f>
        <v>2243.8737254901957</v>
      </c>
      <c r="R6" s="187">
        <f>SUM('Conventional Supply Scenario 2'!CL2:CL1479)+('Non-Self-Contained Supply'!BC2:BC36)</f>
        <v>1447.2870588235294</v>
      </c>
      <c r="S6" s="187">
        <f>SUM('Conventional Supply Scenario 2'!CM2:CM1479)+('Non-Self-Contained Supply'!BD2:BD36)</f>
        <v>1611.2470588235287</v>
      </c>
      <c r="T6" s="187">
        <f>SUM('Conventional Supply Scenario 2'!CN2:CN1479)+('Non-Self-Contained Supply'!BE2:BE36)</f>
        <v>1197.1470588235293</v>
      </c>
      <c r="U6" s="187">
        <f>SUM('Conventional Supply Scenario 2'!CO2:CO1479)+('Non-Self-Contained Supply'!BF2:BF36)</f>
        <v>846.73039215686276</v>
      </c>
      <c r="V6" s="187">
        <f>SUM('Conventional Supply Scenario 2'!CP2:CP1479)+('Non-Self-Contained Supply'!BG2:BG36)</f>
        <v>804.73039215686265</v>
      </c>
      <c r="W6" s="187">
        <f>SUM('Conventional Supply Scenario 2'!CQ2:CQ1479)+('Non-Self-Contained Supply'!BH2:BH36)</f>
        <v>636.73039215686276</v>
      </c>
      <c r="X6" s="185">
        <f>SUM('Conventional Supply Scenario 2'!CR2:CR1479)+('Non-Self-Contained Supply'!BI2:BI36)</f>
        <v>636.73039215686276</v>
      </c>
    </row>
    <row r="7" spans="1:24" ht="24" customHeight="1" x14ac:dyDescent="0.2">
      <c r="A7" s="320"/>
      <c r="B7" s="188" t="s">
        <v>4025</v>
      </c>
      <c r="C7" s="192">
        <f>C5</f>
        <v>1465</v>
      </c>
      <c r="D7" s="196">
        <f>C7+D5</f>
        <v>2258</v>
      </c>
      <c r="E7" s="196">
        <f>D7+E5</f>
        <v>3344</v>
      </c>
      <c r="F7" s="194">
        <f>E7+F5</f>
        <v>4855</v>
      </c>
      <c r="G7" s="192">
        <f>G5</f>
        <v>2735</v>
      </c>
      <c r="H7" s="196">
        <f>G7+H5</f>
        <v>5445</v>
      </c>
      <c r="I7" s="196">
        <f>H7+I5</f>
        <v>7470</v>
      </c>
      <c r="J7" s="196">
        <f t="shared" ref="J7:X7" si="2">I7+J6</f>
        <v>9434.9500000000007</v>
      </c>
      <c r="K7" s="196">
        <f t="shared" si="2"/>
        <v>12874.399999999996</v>
      </c>
      <c r="L7" s="196">
        <f t="shared" si="2"/>
        <v>16012.849999999991</v>
      </c>
      <c r="M7" s="196">
        <f t="shared" si="2"/>
        <v>19087.299999999992</v>
      </c>
      <c r="N7" s="196">
        <f t="shared" si="2"/>
        <v>22148.666666666668</v>
      </c>
      <c r="O7" s="196">
        <f t="shared" si="2"/>
        <v>25294.100000000009</v>
      </c>
      <c r="P7" s="194">
        <f t="shared" si="2"/>
        <v>27796.680392156868</v>
      </c>
      <c r="Q7" s="192">
        <f t="shared" si="2"/>
        <v>30040.554117647065</v>
      </c>
      <c r="R7" s="196">
        <f t="shared" si="2"/>
        <v>31487.841176470596</v>
      </c>
      <c r="S7" s="196">
        <f t="shared" si="2"/>
        <v>33099.088235294126</v>
      </c>
      <c r="T7" s="196">
        <f t="shared" si="2"/>
        <v>34296.235294117658</v>
      </c>
      <c r="U7" s="196">
        <f t="shared" si="2"/>
        <v>35142.965686274518</v>
      </c>
      <c r="V7" s="196">
        <f t="shared" si="2"/>
        <v>35947.696078431378</v>
      </c>
      <c r="W7" s="196">
        <f t="shared" si="2"/>
        <v>36584.426470588238</v>
      </c>
      <c r="X7" s="194">
        <f t="shared" si="2"/>
        <v>37221.156862745098</v>
      </c>
    </row>
    <row r="8" spans="1:24" ht="24" customHeight="1" x14ac:dyDescent="0.2">
      <c r="A8" s="318" t="s">
        <v>4026</v>
      </c>
      <c r="B8" s="176" t="s">
        <v>1827</v>
      </c>
      <c r="C8" s="195">
        <v>1145</v>
      </c>
      <c r="D8" s="180">
        <v>1145</v>
      </c>
      <c r="E8" s="180">
        <v>1145</v>
      </c>
      <c r="F8" s="181">
        <v>1145</v>
      </c>
      <c r="G8" s="195">
        <v>1812</v>
      </c>
      <c r="H8" s="180">
        <v>1812</v>
      </c>
      <c r="I8" s="180">
        <v>1812</v>
      </c>
      <c r="J8" s="180">
        <v>1812</v>
      </c>
      <c r="K8" s="180">
        <v>1812</v>
      </c>
      <c r="L8" s="180">
        <v>1812</v>
      </c>
      <c r="M8" s="180">
        <v>1812</v>
      </c>
      <c r="N8" s="180">
        <v>1812</v>
      </c>
      <c r="O8" s="180">
        <v>1812</v>
      </c>
      <c r="P8" s="180">
        <v>1812</v>
      </c>
      <c r="Q8" s="195">
        <v>1812</v>
      </c>
      <c r="R8" s="180">
        <v>1812</v>
      </c>
      <c r="S8" s="180">
        <v>1812</v>
      </c>
      <c r="T8" s="180">
        <v>1812</v>
      </c>
      <c r="U8" s="180">
        <v>1812</v>
      </c>
      <c r="V8" s="180">
        <v>1812</v>
      </c>
      <c r="W8" s="180">
        <v>1812</v>
      </c>
      <c r="X8" s="181">
        <v>1812</v>
      </c>
    </row>
    <row r="9" spans="1:24" ht="24" customHeight="1" x14ac:dyDescent="0.2">
      <c r="A9" s="320"/>
      <c r="B9" s="188" t="s">
        <v>4027</v>
      </c>
      <c r="C9" s="192">
        <f>C8</f>
        <v>1145</v>
      </c>
      <c r="D9" s="196">
        <f>C9+D8</f>
        <v>2290</v>
      </c>
      <c r="E9" s="196">
        <f>D9+E8</f>
        <v>3435</v>
      </c>
      <c r="F9" s="194">
        <f>E9+F8</f>
        <v>4580</v>
      </c>
      <c r="G9" s="192">
        <f>G8</f>
        <v>1812</v>
      </c>
      <c r="H9" s="196">
        <f t="shared" ref="H9:X9" si="3">G9+H8</f>
        <v>3624</v>
      </c>
      <c r="I9" s="196">
        <f t="shared" si="3"/>
        <v>5436</v>
      </c>
      <c r="J9" s="196">
        <f t="shared" si="3"/>
        <v>7248</v>
      </c>
      <c r="K9" s="196">
        <f t="shared" si="3"/>
        <v>9060</v>
      </c>
      <c r="L9" s="196">
        <f t="shared" si="3"/>
        <v>10872</v>
      </c>
      <c r="M9" s="196">
        <f t="shared" si="3"/>
        <v>12684</v>
      </c>
      <c r="N9" s="196">
        <f t="shared" si="3"/>
        <v>14496</v>
      </c>
      <c r="O9" s="196">
        <f t="shared" si="3"/>
        <v>16308</v>
      </c>
      <c r="P9" s="196">
        <f t="shared" si="3"/>
        <v>18120</v>
      </c>
      <c r="Q9" s="192">
        <f t="shared" si="3"/>
        <v>19932</v>
      </c>
      <c r="R9" s="196">
        <f t="shared" si="3"/>
        <v>21744</v>
      </c>
      <c r="S9" s="196">
        <f t="shared" si="3"/>
        <v>23556</v>
      </c>
      <c r="T9" s="196">
        <f t="shared" si="3"/>
        <v>25368</v>
      </c>
      <c r="U9" s="196">
        <f t="shared" si="3"/>
        <v>27180</v>
      </c>
      <c r="V9" s="196">
        <f t="shared" si="3"/>
        <v>28992</v>
      </c>
      <c r="W9" s="196">
        <f t="shared" si="3"/>
        <v>30804</v>
      </c>
      <c r="X9" s="194">
        <f t="shared" si="3"/>
        <v>32616</v>
      </c>
    </row>
    <row r="10" spans="1:24" ht="24" customHeight="1" x14ac:dyDescent="0.2">
      <c r="A10" s="318" t="s">
        <v>4028</v>
      </c>
      <c r="B10" s="176" t="s">
        <v>4029</v>
      </c>
      <c r="C10" s="195">
        <f t="shared" ref="C10:X10" si="4">C7-C9</f>
        <v>320</v>
      </c>
      <c r="D10" s="180">
        <f t="shared" si="4"/>
        <v>-32</v>
      </c>
      <c r="E10" s="180">
        <f t="shared" si="4"/>
        <v>-91</v>
      </c>
      <c r="F10" s="181">
        <f t="shared" si="4"/>
        <v>275</v>
      </c>
      <c r="G10" s="195">
        <f t="shared" si="4"/>
        <v>923</v>
      </c>
      <c r="H10" s="180">
        <f t="shared" si="4"/>
        <v>1821</v>
      </c>
      <c r="I10" s="180">
        <f t="shared" si="4"/>
        <v>2034</v>
      </c>
      <c r="J10" s="180">
        <f t="shared" si="4"/>
        <v>2186.9500000000007</v>
      </c>
      <c r="K10" s="180">
        <f t="shared" si="4"/>
        <v>3814.399999999996</v>
      </c>
      <c r="L10" s="180">
        <f t="shared" si="4"/>
        <v>5140.8499999999913</v>
      </c>
      <c r="M10" s="180">
        <f t="shared" si="4"/>
        <v>6403.299999999992</v>
      </c>
      <c r="N10" s="180">
        <f t="shared" si="4"/>
        <v>7652.6666666666679</v>
      </c>
      <c r="O10" s="180">
        <f t="shared" si="4"/>
        <v>8986.1000000000095</v>
      </c>
      <c r="P10" s="180">
        <f t="shared" si="4"/>
        <v>9676.680392156868</v>
      </c>
      <c r="Q10" s="195">
        <f t="shared" si="4"/>
        <v>10108.554117647065</v>
      </c>
      <c r="R10" s="180">
        <f t="shared" si="4"/>
        <v>9743.8411764705961</v>
      </c>
      <c r="S10" s="180">
        <f t="shared" si="4"/>
        <v>9543.0882352941262</v>
      </c>
      <c r="T10" s="180">
        <f t="shared" si="4"/>
        <v>8928.2352941176578</v>
      </c>
      <c r="U10" s="180">
        <f t="shared" si="4"/>
        <v>7962.9656862745178</v>
      </c>
      <c r="V10" s="180">
        <f t="shared" si="4"/>
        <v>6955.6960784313778</v>
      </c>
      <c r="W10" s="180">
        <f t="shared" si="4"/>
        <v>5780.4264705882379</v>
      </c>
      <c r="X10" s="181">
        <f t="shared" si="4"/>
        <v>4605.1568627450979</v>
      </c>
    </row>
    <row r="11" spans="1:24" ht="24" customHeight="1" x14ac:dyDescent="0.2">
      <c r="A11" s="320"/>
      <c r="B11" s="188" t="s">
        <v>4030</v>
      </c>
      <c r="C11" s="192">
        <f>C8</f>
        <v>1145</v>
      </c>
      <c r="D11" s="196">
        <f>IF((D8*10-C7)/D4&gt;0,(D8*10-C7)/D4,0)</f>
        <v>1109.4444444444443</v>
      </c>
      <c r="E11" s="196">
        <f>IF((E8*10-D7)/E4&gt;0,(E8*10-D7)/E4,0)</f>
        <v>1149</v>
      </c>
      <c r="F11" s="194">
        <f>IF((F8*10-E7)/F4&gt;0,(F8*10-E7)/F4,0)</f>
        <v>1158</v>
      </c>
      <c r="G11" s="192">
        <f>G8</f>
        <v>1812</v>
      </c>
      <c r="H11" s="196">
        <f t="shared" ref="H11:P11" si="5">IF((H8*10-G7)/H4&gt;0,(H8*10-G7)/H4,0)</f>
        <v>1709.4444444444443</v>
      </c>
      <c r="I11" s="196">
        <f t="shared" si="5"/>
        <v>1584.375</v>
      </c>
      <c r="J11" s="196">
        <f t="shared" si="5"/>
        <v>1521.4285714285713</v>
      </c>
      <c r="K11" s="196">
        <f t="shared" si="5"/>
        <v>1447.5083333333332</v>
      </c>
      <c r="L11" s="196">
        <f t="shared" si="5"/>
        <v>1049.1200000000008</v>
      </c>
      <c r="M11" s="196">
        <f t="shared" si="5"/>
        <v>526.78750000000218</v>
      </c>
      <c r="N11" s="196">
        <f t="shared" si="5"/>
        <v>0</v>
      </c>
      <c r="O11" s="196">
        <f t="shared" si="5"/>
        <v>0</v>
      </c>
      <c r="P11" s="196">
        <f t="shared" si="5"/>
        <v>0</v>
      </c>
      <c r="Q11" s="192"/>
      <c r="R11" s="196"/>
      <c r="S11" s="196"/>
      <c r="T11" s="196"/>
      <c r="U11" s="196"/>
      <c r="V11" s="196"/>
      <c r="W11" s="196"/>
      <c r="X11" s="200"/>
    </row>
    <row r="12" spans="1:24" x14ac:dyDescent="0.2">
      <c r="A12" s="197"/>
      <c r="B12" s="198"/>
      <c r="C12" s="197"/>
      <c r="D12" s="197"/>
      <c r="E12" s="197"/>
      <c r="F12" s="197"/>
      <c r="G12" s="197"/>
      <c r="H12" s="197"/>
      <c r="I12" s="197"/>
      <c r="J12" s="197"/>
      <c r="K12" s="197"/>
      <c r="L12" s="197"/>
      <c r="M12" s="197"/>
      <c r="N12" s="197"/>
      <c r="O12" s="197"/>
      <c r="P12" s="197"/>
      <c r="Q12" s="197"/>
      <c r="R12" s="197"/>
      <c r="S12" s="197"/>
      <c r="T12" s="197"/>
      <c r="U12" s="197"/>
      <c r="V12" s="197"/>
      <c r="W12" s="197"/>
    </row>
    <row r="13" spans="1:24" x14ac:dyDescent="0.2">
      <c r="A13" s="197"/>
      <c r="B13" s="198"/>
      <c r="C13" s="197"/>
      <c r="D13" s="197"/>
      <c r="E13" s="197"/>
      <c r="F13" s="197"/>
      <c r="G13" s="197"/>
      <c r="H13" s="197"/>
      <c r="I13" s="197"/>
      <c r="J13" s="197"/>
      <c r="K13" s="197"/>
      <c r="L13" s="197"/>
      <c r="M13" s="197"/>
      <c r="N13" s="197"/>
      <c r="O13" s="197"/>
      <c r="P13" s="197"/>
      <c r="Q13" s="197"/>
      <c r="R13" s="197"/>
      <c r="S13" s="197"/>
      <c r="T13" s="197"/>
      <c r="U13" s="197"/>
      <c r="V13" s="197"/>
      <c r="W13" s="197"/>
    </row>
    <row r="14" spans="1:24" x14ac:dyDescent="0.2">
      <c r="A14" s="197"/>
      <c r="B14" s="198"/>
      <c r="C14" s="197"/>
      <c r="D14" s="197"/>
      <c r="E14" s="197"/>
      <c r="F14" s="197"/>
      <c r="G14" s="197"/>
      <c r="H14" s="197"/>
      <c r="I14" s="197"/>
      <c r="J14" s="197"/>
      <c r="K14" s="197"/>
      <c r="L14" s="197"/>
      <c r="M14" s="197"/>
      <c r="N14" s="197"/>
      <c r="O14" s="197"/>
      <c r="P14" s="197"/>
      <c r="Q14" s="197"/>
      <c r="R14" s="197"/>
      <c r="S14" s="197"/>
      <c r="T14" s="197"/>
      <c r="U14" s="197"/>
      <c r="V14" s="197"/>
      <c r="W14" s="197"/>
    </row>
    <row r="15" spans="1:24" x14ac:dyDescent="0.2">
      <c r="A15" s="197"/>
      <c r="B15" s="198"/>
      <c r="C15" s="197"/>
      <c r="D15" s="197"/>
      <c r="E15" s="197"/>
      <c r="F15" s="197"/>
      <c r="G15" s="197"/>
      <c r="H15" s="197"/>
      <c r="I15" s="197"/>
      <c r="J15" s="197"/>
      <c r="K15" s="197"/>
      <c r="L15" s="197"/>
      <c r="M15" s="197"/>
      <c r="N15" s="197"/>
      <c r="O15" s="197"/>
      <c r="P15" s="197"/>
      <c r="Q15" s="197"/>
      <c r="R15" s="197"/>
      <c r="S15" s="197"/>
      <c r="T15" s="197"/>
      <c r="U15" s="197"/>
      <c r="V15" s="197"/>
      <c r="W15" s="197"/>
    </row>
    <row r="16" spans="1:24" x14ac:dyDescent="0.2">
      <c r="A16" s="197"/>
      <c r="B16" s="198"/>
      <c r="C16" s="197"/>
      <c r="D16" s="197"/>
      <c r="E16" s="197"/>
      <c r="F16" s="197"/>
      <c r="G16" s="197"/>
      <c r="H16" s="197"/>
      <c r="I16" s="197"/>
      <c r="J16" s="197"/>
      <c r="K16" s="197"/>
      <c r="L16" s="197"/>
      <c r="M16" s="197"/>
      <c r="N16" s="197"/>
      <c r="O16" s="197"/>
      <c r="P16" s="197"/>
      <c r="Q16" s="197"/>
      <c r="R16" s="197"/>
      <c r="S16" s="197"/>
      <c r="T16" s="197"/>
      <c r="U16" s="197"/>
      <c r="V16" s="197"/>
      <c r="W16" s="197"/>
    </row>
    <row r="17" spans="1:23" x14ac:dyDescent="0.2">
      <c r="A17" s="197"/>
      <c r="B17" s="198"/>
      <c r="C17" s="197"/>
      <c r="D17" s="197"/>
      <c r="E17" s="197"/>
      <c r="F17" s="197"/>
      <c r="G17" s="197"/>
      <c r="H17" s="197"/>
      <c r="I17" s="197"/>
      <c r="J17" s="197"/>
      <c r="K17" s="197"/>
      <c r="L17" s="197"/>
      <c r="M17" s="197"/>
      <c r="N17" s="197"/>
      <c r="O17" s="197"/>
      <c r="P17" s="197"/>
      <c r="Q17" s="197"/>
      <c r="R17" s="197"/>
      <c r="S17" s="197"/>
      <c r="T17" s="197"/>
      <c r="U17" s="197"/>
      <c r="V17" s="197"/>
      <c r="W17" s="197"/>
    </row>
    <row r="18" spans="1:23" x14ac:dyDescent="0.2">
      <c r="A18" s="197"/>
      <c r="B18" s="198"/>
      <c r="C18" s="197"/>
      <c r="D18" s="197"/>
      <c r="E18" s="197"/>
      <c r="F18" s="197"/>
      <c r="G18" s="197"/>
      <c r="H18" s="197"/>
      <c r="I18" s="197"/>
      <c r="J18" s="197"/>
      <c r="K18" s="197"/>
      <c r="L18" s="197"/>
      <c r="M18" s="197"/>
      <c r="N18" s="197"/>
      <c r="O18" s="197"/>
      <c r="P18" s="197"/>
      <c r="Q18" s="197"/>
      <c r="R18" s="197"/>
      <c r="S18" s="197"/>
      <c r="T18" s="197"/>
      <c r="U18" s="197"/>
      <c r="V18" s="197"/>
      <c r="W18" s="197"/>
    </row>
    <row r="19" spans="1:23" x14ac:dyDescent="0.2">
      <c r="A19" s="197"/>
      <c r="B19" s="198"/>
      <c r="C19" s="197"/>
      <c r="D19" s="197"/>
      <c r="E19" s="197"/>
      <c r="F19" s="197"/>
      <c r="G19" s="197"/>
      <c r="H19" s="197"/>
      <c r="I19" s="197"/>
      <c r="J19" s="197"/>
      <c r="K19" s="197"/>
      <c r="L19" s="197"/>
      <c r="M19" s="197"/>
      <c r="N19" s="197"/>
      <c r="O19" s="197"/>
      <c r="P19" s="197"/>
      <c r="Q19" s="197"/>
      <c r="R19" s="197"/>
      <c r="S19" s="197"/>
      <c r="T19" s="197"/>
      <c r="U19" s="197"/>
      <c r="V19" s="197"/>
      <c r="W19" s="197"/>
    </row>
    <row r="20" spans="1:23" x14ac:dyDescent="0.2">
      <c r="A20" s="197"/>
      <c r="B20" s="198"/>
      <c r="C20" s="197"/>
      <c r="D20" s="197"/>
      <c r="E20" s="197"/>
      <c r="F20" s="197"/>
      <c r="G20" s="197"/>
      <c r="H20" s="197"/>
      <c r="I20" s="197"/>
      <c r="J20" s="197"/>
      <c r="K20" s="197"/>
      <c r="L20" s="197"/>
      <c r="M20" s="197"/>
      <c r="N20" s="197"/>
      <c r="O20" s="197"/>
      <c r="P20" s="197"/>
      <c r="Q20" s="197"/>
      <c r="R20" s="197"/>
      <c r="S20" s="197"/>
      <c r="T20" s="197"/>
      <c r="U20" s="197"/>
      <c r="V20" s="197"/>
      <c r="W20" s="197"/>
    </row>
    <row r="21" spans="1:23" x14ac:dyDescent="0.2">
      <c r="A21" s="197"/>
      <c r="B21" s="198"/>
      <c r="C21" s="197"/>
      <c r="D21" s="197"/>
      <c r="E21" s="197"/>
      <c r="F21" s="197"/>
      <c r="G21" s="197"/>
      <c r="H21" s="197"/>
      <c r="I21" s="197"/>
      <c r="J21" s="197"/>
      <c r="K21" s="197"/>
      <c r="L21" s="197"/>
      <c r="M21" s="197"/>
      <c r="N21" s="197"/>
      <c r="O21" s="197"/>
      <c r="P21" s="197"/>
      <c r="Q21" s="197"/>
      <c r="R21" s="197"/>
      <c r="S21" s="197"/>
      <c r="T21" s="197"/>
      <c r="U21" s="197"/>
      <c r="V21" s="197"/>
      <c r="W21" s="197"/>
    </row>
    <row r="22" spans="1:23" x14ac:dyDescent="0.2">
      <c r="A22" s="197"/>
      <c r="B22" s="198"/>
      <c r="C22" s="197"/>
      <c r="D22" s="197"/>
      <c r="E22" s="197"/>
      <c r="F22" s="197"/>
      <c r="G22" s="197"/>
      <c r="H22" s="197"/>
      <c r="I22" s="197"/>
      <c r="J22" s="197"/>
      <c r="K22" s="197"/>
      <c r="L22" s="197"/>
      <c r="M22" s="197"/>
      <c r="N22" s="197"/>
      <c r="O22" s="197"/>
      <c r="P22" s="197"/>
      <c r="Q22" s="197"/>
      <c r="R22" s="197"/>
      <c r="S22" s="197"/>
      <c r="T22" s="197"/>
      <c r="U22" s="197"/>
      <c r="V22" s="197"/>
      <c r="W22" s="197"/>
    </row>
    <row r="23" spans="1:23" x14ac:dyDescent="0.2">
      <c r="A23" s="197"/>
      <c r="B23" s="198"/>
      <c r="C23" s="197"/>
      <c r="D23" s="197"/>
      <c r="E23" s="197"/>
      <c r="F23" s="197"/>
      <c r="G23" s="197"/>
      <c r="H23" s="197"/>
      <c r="I23" s="197"/>
      <c r="J23" s="197"/>
      <c r="K23" s="197"/>
      <c r="L23" s="197"/>
      <c r="M23" s="197"/>
      <c r="N23" s="197"/>
      <c r="O23" s="197"/>
      <c r="P23" s="197"/>
      <c r="Q23" s="197"/>
      <c r="R23" s="197"/>
      <c r="S23" s="197"/>
      <c r="T23" s="197"/>
      <c r="U23" s="197"/>
      <c r="V23" s="197"/>
      <c r="W23" s="197"/>
    </row>
    <row r="24" spans="1:23" x14ac:dyDescent="0.2">
      <c r="A24" s="197"/>
      <c r="B24" s="198"/>
      <c r="C24" s="197"/>
      <c r="D24" s="197"/>
      <c r="E24" s="197"/>
      <c r="F24" s="197"/>
      <c r="G24" s="197"/>
      <c r="H24" s="197"/>
      <c r="I24" s="197"/>
      <c r="J24" s="197"/>
      <c r="K24" s="197"/>
      <c r="L24" s="197"/>
      <c r="M24" s="197"/>
      <c r="N24" s="197"/>
      <c r="O24" s="197"/>
      <c r="P24" s="197"/>
      <c r="Q24" s="197"/>
      <c r="R24" s="197"/>
      <c r="S24" s="197"/>
      <c r="T24" s="197"/>
      <c r="U24" s="197"/>
      <c r="V24" s="197"/>
      <c r="W24" s="197"/>
    </row>
    <row r="25" spans="1:23" x14ac:dyDescent="0.2">
      <c r="A25" s="197"/>
      <c r="B25" s="198"/>
      <c r="C25" s="197"/>
      <c r="D25" s="197"/>
      <c r="E25" s="197"/>
      <c r="F25" s="197"/>
      <c r="G25" s="197"/>
      <c r="H25" s="197"/>
      <c r="I25" s="197"/>
      <c r="J25" s="197"/>
      <c r="K25" s="197"/>
      <c r="L25" s="197"/>
      <c r="M25" s="197"/>
      <c r="N25" s="197"/>
      <c r="O25" s="197"/>
      <c r="P25" s="197"/>
      <c r="Q25" s="197"/>
      <c r="R25" s="197"/>
      <c r="S25" s="197"/>
      <c r="T25" s="197"/>
      <c r="U25" s="197"/>
      <c r="V25" s="197"/>
      <c r="W25" s="197"/>
    </row>
    <row r="26" spans="1:23" x14ac:dyDescent="0.2">
      <c r="A26" s="197"/>
      <c r="B26" s="198"/>
      <c r="C26" s="197"/>
      <c r="D26" s="197"/>
      <c r="E26" s="197"/>
      <c r="F26" s="197"/>
      <c r="G26" s="197"/>
      <c r="H26" s="197"/>
      <c r="I26" s="197"/>
      <c r="J26" s="197"/>
      <c r="K26" s="197"/>
      <c r="L26" s="197"/>
      <c r="M26" s="197"/>
      <c r="N26" s="197"/>
      <c r="O26" s="197"/>
      <c r="P26" s="197"/>
      <c r="Q26" s="197"/>
      <c r="R26" s="197"/>
      <c r="S26" s="197"/>
      <c r="T26" s="197"/>
      <c r="U26" s="197"/>
      <c r="V26" s="197"/>
      <c r="W26" s="197"/>
    </row>
    <row r="27" spans="1:23" x14ac:dyDescent="0.2">
      <c r="A27" s="197"/>
      <c r="B27" s="198"/>
      <c r="C27" s="197"/>
      <c r="D27" s="197"/>
      <c r="E27" s="197"/>
      <c r="F27" s="197"/>
      <c r="G27" s="197"/>
      <c r="H27" s="197"/>
      <c r="I27" s="197"/>
      <c r="J27" s="197"/>
      <c r="K27" s="197"/>
      <c r="L27" s="197"/>
      <c r="M27" s="197"/>
      <c r="N27" s="197"/>
      <c r="O27" s="197"/>
      <c r="P27" s="197"/>
      <c r="Q27" s="197"/>
      <c r="R27" s="197"/>
      <c r="S27" s="197"/>
      <c r="T27" s="197"/>
      <c r="U27" s="197"/>
      <c r="V27" s="197"/>
      <c r="W27" s="197"/>
    </row>
    <row r="28" spans="1:23" x14ac:dyDescent="0.2">
      <c r="A28" s="197"/>
      <c r="B28" s="198"/>
      <c r="C28" s="197"/>
      <c r="D28" s="197"/>
      <c r="E28" s="197"/>
      <c r="F28" s="197"/>
      <c r="G28" s="197"/>
      <c r="H28" s="197"/>
      <c r="I28" s="197"/>
      <c r="J28" s="197"/>
      <c r="K28" s="197"/>
      <c r="L28" s="197"/>
      <c r="M28" s="197"/>
      <c r="N28" s="197"/>
      <c r="O28" s="197"/>
      <c r="P28" s="197"/>
      <c r="Q28" s="197"/>
      <c r="R28" s="197"/>
      <c r="S28" s="197"/>
      <c r="T28" s="197"/>
      <c r="U28" s="197"/>
      <c r="V28" s="197"/>
      <c r="W28" s="197"/>
    </row>
    <row r="29" spans="1:23" x14ac:dyDescent="0.2">
      <c r="A29" s="197"/>
      <c r="B29" s="198"/>
      <c r="C29" s="197"/>
      <c r="D29" s="197"/>
      <c r="E29" s="197"/>
      <c r="F29" s="197"/>
      <c r="G29" s="197"/>
      <c r="H29" s="197"/>
      <c r="I29" s="197"/>
      <c r="J29" s="197"/>
      <c r="K29" s="197"/>
      <c r="L29" s="197"/>
      <c r="M29" s="197"/>
      <c r="N29" s="197"/>
      <c r="O29" s="197"/>
      <c r="P29" s="197"/>
      <c r="Q29" s="197"/>
      <c r="R29" s="197"/>
      <c r="S29" s="197"/>
      <c r="T29" s="197"/>
      <c r="U29" s="197"/>
      <c r="V29" s="197"/>
      <c r="W29" s="197"/>
    </row>
    <row r="30" spans="1:23" x14ac:dyDescent="0.2">
      <c r="A30" s="197"/>
      <c r="B30" s="198"/>
      <c r="C30" s="197"/>
      <c r="D30" s="197"/>
      <c r="E30" s="197"/>
      <c r="F30" s="197"/>
      <c r="G30" s="197"/>
      <c r="H30" s="197"/>
      <c r="I30" s="197"/>
      <c r="J30" s="197"/>
      <c r="K30" s="197"/>
      <c r="L30" s="197"/>
      <c r="M30" s="197"/>
      <c r="N30" s="197"/>
      <c r="O30" s="197"/>
      <c r="P30" s="197"/>
      <c r="Q30" s="197"/>
      <c r="R30" s="197"/>
      <c r="S30" s="197"/>
      <c r="T30" s="197"/>
      <c r="U30" s="197"/>
      <c r="V30" s="197"/>
      <c r="W30" s="197"/>
    </row>
    <row r="31" spans="1:23" x14ac:dyDescent="0.2">
      <c r="A31" s="197"/>
      <c r="B31" s="198"/>
      <c r="C31" s="197"/>
      <c r="D31" s="197"/>
      <c r="E31" s="197"/>
      <c r="F31" s="197"/>
      <c r="G31" s="197"/>
      <c r="H31" s="197"/>
      <c r="I31" s="197"/>
      <c r="J31" s="197"/>
      <c r="K31" s="197"/>
      <c r="L31" s="197"/>
      <c r="M31" s="197"/>
      <c r="N31" s="197"/>
      <c r="O31" s="197"/>
      <c r="P31" s="197"/>
      <c r="Q31" s="197"/>
      <c r="R31" s="197"/>
      <c r="S31" s="197"/>
      <c r="T31" s="197"/>
      <c r="U31" s="197"/>
      <c r="V31" s="197"/>
      <c r="W31" s="197"/>
    </row>
    <row r="32" spans="1:23" x14ac:dyDescent="0.2">
      <c r="A32" s="197"/>
      <c r="B32" s="198"/>
      <c r="C32" s="197"/>
      <c r="D32" s="197"/>
      <c r="E32" s="197"/>
      <c r="F32" s="197"/>
      <c r="G32" s="197"/>
      <c r="H32" s="197"/>
      <c r="I32" s="197"/>
      <c r="J32" s="197"/>
      <c r="K32" s="197"/>
      <c r="L32" s="197"/>
      <c r="M32" s="197"/>
      <c r="N32" s="197"/>
      <c r="O32" s="197"/>
      <c r="P32" s="197"/>
      <c r="Q32" s="197"/>
      <c r="R32" s="197"/>
      <c r="S32" s="197"/>
      <c r="T32" s="197"/>
      <c r="U32" s="197"/>
      <c r="V32" s="197"/>
      <c r="W32" s="197"/>
    </row>
    <row r="33" spans="1:23" x14ac:dyDescent="0.2">
      <c r="A33" s="197"/>
      <c r="B33" s="198"/>
      <c r="C33" s="197"/>
      <c r="D33" s="197"/>
      <c r="E33" s="197"/>
      <c r="F33" s="197"/>
      <c r="G33" s="197"/>
      <c r="H33" s="197"/>
      <c r="I33" s="197"/>
      <c r="J33" s="197"/>
      <c r="K33" s="197"/>
      <c r="L33" s="197"/>
      <c r="M33" s="197"/>
      <c r="N33" s="197"/>
      <c r="O33" s="197"/>
      <c r="P33" s="197"/>
      <c r="Q33" s="197"/>
      <c r="R33" s="197"/>
      <c r="S33" s="197"/>
      <c r="T33" s="197"/>
      <c r="U33" s="197"/>
      <c r="V33" s="197"/>
      <c r="W33" s="197"/>
    </row>
    <row r="34" spans="1:23" x14ac:dyDescent="0.2">
      <c r="A34" s="197"/>
      <c r="B34" s="198"/>
      <c r="C34" s="197"/>
      <c r="D34" s="197"/>
      <c r="E34" s="197"/>
      <c r="F34" s="197"/>
      <c r="G34" s="197"/>
      <c r="H34" s="197"/>
      <c r="I34" s="197"/>
      <c r="J34" s="197"/>
      <c r="K34" s="197"/>
      <c r="L34" s="197"/>
      <c r="M34" s="197"/>
      <c r="N34" s="197"/>
      <c r="O34" s="197"/>
      <c r="P34" s="197"/>
      <c r="Q34" s="197"/>
      <c r="R34" s="197"/>
      <c r="S34" s="197"/>
      <c r="T34" s="197"/>
      <c r="U34" s="197"/>
      <c r="V34" s="197"/>
      <c r="W34" s="197"/>
    </row>
    <row r="35" spans="1:23" x14ac:dyDescent="0.2">
      <c r="A35" s="197"/>
      <c r="B35" s="198"/>
      <c r="C35" s="197"/>
      <c r="D35" s="197"/>
      <c r="E35" s="197"/>
      <c r="F35" s="197"/>
      <c r="G35" s="197"/>
      <c r="H35" s="197"/>
      <c r="I35" s="197"/>
      <c r="J35" s="197"/>
      <c r="K35" s="197"/>
      <c r="L35" s="197"/>
      <c r="M35" s="197"/>
      <c r="N35" s="197"/>
      <c r="O35" s="197"/>
      <c r="P35" s="197"/>
      <c r="Q35" s="197"/>
      <c r="R35" s="197"/>
      <c r="S35" s="197"/>
      <c r="T35" s="197"/>
      <c r="U35" s="197"/>
      <c r="V35" s="197"/>
      <c r="W35" s="197"/>
    </row>
    <row r="36" spans="1:23" x14ac:dyDescent="0.2">
      <c r="A36" s="197"/>
      <c r="B36" s="198"/>
      <c r="C36" s="197"/>
      <c r="D36" s="197"/>
      <c r="E36" s="197"/>
      <c r="F36" s="197"/>
      <c r="G36" s="197"/>
      <c r="H36" s="197"/>
      <c r="I36" s="197"/>
      <c r="J36" s="197"/>
      <c r="K36" s="197"/>
      <c r="L36" s="197"/>
      <c r="M36" s="197"/>
      <c r="N36" s="197"/>
      <c r="O36" s="197"/>
      <c r="P36" s="197"/>
      <c r="Q36" s="197"/>
      <c r="R36" s="197"/>
      <c r="S36" s="197"/>
      <c r="T36" s="197"/>
      <c r="U36" s="197"/>
      <c r="V36" s="197"/>
      <c r="W36" s="197"/>
    </row>
    <row r="37" spans="1:23" x14ac:dyDescent="0.2">
      <c r="A37" s="197"/>
      <c r="B37" s="198"/>
      <c r="C37" s="197"/>
      <c r="D37" s="197"/>
      <c r="E37" s="197"/>
      <c r="F37" s="197"/>
      <c r="G37" s="197"/>
      <c r="H37" s="197"/>
      <c r="I37" s="197"/>
      <c r="J37" s="197"/>
      <c r="K37" s="197"/>
      <c r="L37" s="197"/>
      <c r="M37" s="197"/>
      <c r="N37" s="197"/>
      <c r="O37" s="197"/>
      <c r="P37" s="197"/>
      <c r="Q37" s="197"/>
      <c r="R37" s="197"/>
      <c r="S37" s="197"/>
      <c r="T37" s="197"/>
      <c r="U37" s="197"/>
      <c r="V37" s="197"/>
      <c r="W37" s="197"/>
    </row>
    <row r="38" spans="1:23" x14ac:dyDescent="0.2">
      <c r="A38" s="197"/>
      <c r="B38" s="198"/>
      <c r="C38" s="197"/>
      <c r="D38" s="197"/>
      <c r="E38" s="197"/>
      <c r="F38" s="197"/>
      <c r="G38" s="197"/>
      <c r="H38" s="197"/>
      <c r="I38" s="197"/>
      <c r="J38" s="197"/>
      <c r="K38" s="197"/>
      <c r="L38" s="197"/>
      <c r="M38" s="197"/>
      <c r="N38" s="197"/>
      <c r="O38" s="197"/>
      <c r="P38" s="197"/>
      <c r="Q38" s="197"/>
      <c r="R38" s="197"/>
      <c r="S38" s="197"/>
      <c r="T38" s="197"/>
      <c r="U38" s="197"/>
      <c r="V38" s="197"/>
      <c r="W38" s="197"/>
    </row>
    <row r="39" spans="1:23" x14ac:dyDescent="0.2">
      <c r="A39" s="197"/>
      <c r="B39" s="198"/>
      <c r="C39" s="197"/>
      <c r="D39" s="197"/>
      <c r="E39" s="197"/>
      <c r="F39" s="197"/>
      <c r="G39" s="197"/>
      <c r="H39" s="197"/>
      <c r="I39" s="197"/>
      <c r="J39" s="197"/>
      <c r="K39" s="197"/>
      <c r="L39" s="197"/>
      <c r="M39" s="197"/>
      <c r="N39" s="197"/>
      <c r="O39" s="197"/>
      <c r="P39" s="197"/>
      <c r="Q39" s="197"/>
      <c r="R39" s="197"/>
      <c r="S39" s="197"/>
      <c r="T39" s="197"/>
      <c r="U39" s="197"/>
      <c r="V39" s="197"/>
      <c r="W39" s="197"/>
    </row>
    <row r="40" spans="1:23" x14ac:dyDescent="0.2">
      <c r="A40" s="197"/>
      <c r="B40" s="198"/>
      <c r="C40" s="197"/>
      <c r="D40" s="197"/>
      <c r="E40" s="197"/>
      <c r="F40" s="197"/>
      <c r="G40" s="197"/>
      <c r="H40" s="197"/>
      <c r="I40" s="197"/>
      <c r="J40" s="197"/>
      <c r="K40" s="197"/>
      <c r="L40" s="197"/>
      <c r="M40" s="197"/>
      <c r="N40" s="197"/>
      <c r="O40" s="197"/>
      <c r="P40" s="197"/>
      <c r="Q40" s="197"/>
      <c r="R40" s="197"/>
      <c r="S40" s="197"/>
      <c r="T40" s="197"/>
      <c r="U40" s="197"/>
      <c r="V40" s="197"/>
      <c r="W40" s="197"/>
    </row>
    <row r="41" spans="1:23" x14ac:dyDescent="0.2">
      <c r="A41" s="197"/>
      <c r="B41" s="198"/>
      <c r="C41" s="197"/>
      <c r="D41" s="197"/>
      <c r="E41" s="197"/>
      <c r="F41" s="197"/>
      <c r="G41" s="197"/>
      <c r="H41" s="197"/>
      <c r="I41" s="197"/>
      <c r="J41" s="197"/>
      <c r="K41" s="197"/>
      <c r="L41" s="197"/>
      <c r="M41" s="197"/>
      <c r="N41" s="197"/>
      <c r="O41" s="197"/>
      <c r="P41" s="197"/>
      <c r="Q41" s="197"/>
      <c r="R41" s="197"/>
      <c r="S41" s="197"/>
      <c r="T41" s="197"/>
      <c r="U41" s="197"/>
      <c r="V41" s="197"/>
      <c r="W41" s="197"/>
    </row>
    <row r="42" spans="1:23" x14ac:dyDescent="0.2">
      <c r="A42" s="197"/>
      <c r="B42" s="198"/>
      <c r="C42" s="197"/>
      <c r="D42" s="197"/>
      <c r="E42" s="197"/>
      <c r="F42" s="197"/>
      <c r="G42" s="197"/>
      <c r="H42" s="197"/>
      <c r="I42" s="197"/>
      <c r="J42" s="197"/>
      <c r="K42" s="197"/>
      <c r="L42" s="197"/>
      <c r="M42" s="197"/>
      <c r="N42" s="197"/>
      <c r="O42" s="197"/>
      <c r="P42" s="197"/>
      <c r="Q42" s="197"/>
      <c r="R42" s="197"/>
      <c r="S42" s="197"/>
      <c r="T42" s="197"/>
      <c r="U42" s="197"/>
      <c r="V42" s="197"/>
      <c r="W42" s="197"/>
    </row>
    <row r="43" spans="1:23" x14ac:dyDescent="0.2">
      <c r="A43" s="197"/>
      <c r="B43" s="198"/>
      <c r="C43" s="197"/>
      <c r="D43" s="197"/>
      <c r="E43" s="197"/>
      <c r="F43" s="197"/>
      <c r="G43" s="197"/>
      <c r="H43" s="197"/>
      <c r="I43" s="197"/>
      <c r="J43" s="197"/>
      <c r="K43" s="197"/>
      <c r="L43" s="197"/>
      <c r="M43" s="197"/>
      <c r="N43" s="197"/>
      <c r="O43" s="197"/>
      <c r="P43" s="197"/>
      <c r="Q43" s="197"/>
      <c r="R43" s="197"/>
      <c r="S43" s="197"/>
      <c r="T43" s="197"/>
      <c r="U43" s="197"/>
      <c r="V43" s="197"/>
      <c r="W43" s="197"/>
    </row>
    <row r="44" spans="1:23" x14ac:dyDescent="0.2">
      <c r="A44" s="197"/>
      <c r="B44" s="198"/>
      <c r="C44" s="197"/>
      <c r="D44" s="197"/>
      <c r="E44" s="197"/>
      <c r="F44" s="197"/>
      <c r="G44" s="197"/>
      <c r="H44" s="197"/>
      <c r="I44" s="197"/>
      <c r="J44" s="197"/>
      <c r="K44" s="197"/>
      <c r="L44" s="197"/>
      <c r="M44" s="197"/>
      <c r="N44" s="197"/>
      <c r="O44" s="197"/>
      <c r="P44" s="197"/>
      <c r="Q44" s="197"/>
      <c r="R44" s="197"/>
      <c r="S44" s="197"/>
      <c r="T44" s="197"/>
      <c r="U44" s="197"/>
      <c r="V44" s="197"/>
      <c r="W44" s="197"/>
    </row>
    <row r="45" spans="1:23" x14ac:dyDescent="0.2">
      <c r="A45" s="197"/>
      <c r="B45" s="198"/>
      <c r="C45" s="197"/>
      <c r="D45" s="197"/>
      <c r="E45" s="197"/>
      <c r="F45" s="197"/>
      <c r="G45" s="197"/>
      <c r="H45" s="197"/>
      <c r="I45" s="197"/>
      <c r="J45" s="197"/>
      <c r="K45" s="197"/>
      <c r="L45" s="197"/>
      <c r="M45" s="197"/>
      <c r="N45" s="197"/>
      <c r="O45" s="197"/>
      <c r="P45" s="197"/>
      <c r="Q45" s="197"/>
      <c r="R45" s="197"/>
      <c r="S45" s="197"/>
      <c r="T45" s="197"/>
      <c r="U45" s="197"/>
      <c r="V45" s="197"/>
      <c r="W45" s="197"/>
    </row>
    <row r="46" spans="1:23" x14ac:dyDescent="0.2">
      <c r="A46" s="197"/>
      <c r="B46" s="198"/>
      <c r="C46" s="197"/>
      <c r="D46" s="197"/>
      <c r="E46" s="197"/>
      <c r="F46" s="197"/>
      <c r="G46" s="197"/>
      <c r="H46" s="197"/>
      <c r="I46" s="197"/>
      <c r="J46" s="197"/>
      <c r="K46" s="197"/>
      <c r="L46" s="197"/>
      <c r="M46" s="197"/>
      <c r="N46" s="197"/>
      <c r="O46" s="197"/>
      <c r="P46" s="197"/>
      <c r="Q46" s="197"/>
      <c r="R46" s="197"/>
      <c r="S46" s="197"/>
      <c r="T46" s="197"/>
      <c r="U46" s="197"/>
      <c r="V46" s="197"/>
      <c r="W46" s="197"/>
    </row>
    <row r="47" spans="1:23" x14ac:dyDescent="0.2">
      <c r="A47" s="197"/>
      <c r="B47" s="198"/>
      <c r="C47" s="197"/>
      <c r="D47" s="197"/>
      <c r="E47" s="197"/>
      <c r="F47" s="197"/>
      <c r="G47" s="197"/>
      <c r="H47" s="197"/>
      <c r="I47" s="197"/>
      <c r="J47" s="197"/>
      <c r="K47" s="197"/>
      <c r="L47" s="197"/>
      <c r="M47" s="197"/>
      <c r="N47" s="197"/>
      <c r="O47" s="197"/>
      <c r="P47" s="197"/>
      <c r="Q47" s="197"/>
      <c r="R47" s="197"/>
      <c r="S47" s="197"/>
      <c r="T47" s="197"/>
      <c r="U47" s="197"/>
      <c r="V47" s="197"/>
      <c r="W47" s="197"/>
    </row>
    <row r="48" spans="1:23" x14ac:dyDescent="0.2">
      <c r="A48" s="197"/>
      <c r="B48" s="198"/>
      <c r="C48" s="197"/>
      <c r="D48" s="197"/>
      <c r="E48" s="197"/>
      <c r="F48" s="197"/>
      <c r="G48" s="197"/>
      <c r="H48" s="197"/>
      <c r="I48" s="197"/>
      <c r="J48" s="197"/>
      <c r="K48" s="197"/>
      <c r="L48" s="197"/>
      <c r="M48" s="197"/>
      <c r="N48" s="197"/>
      <c r="O48" s="197"/>
      <c r="P48" s="197"/>
      <c r="Q48" s="197"/>
      <c r="R48" s="197"/>
      <c r="S48" s="197"/>
      <c r="T48" s="197"/>
      <c r="U48" s="197"/>
      <c r="V48" s="197"/>
      <c r="W48" s="197"/>
    </row>
    <row r="49" spans="1:23" x14ac:dyDescent="0.2">
      <c r="A49" s="197"/>
      <c r="B49" s="198"/>
      <c r="C49" s="197"/>
      <c r="D49" s="197"/>
      <c r="E49" s="197"/>
      <c r="F49" s="197"/>
      <c r="G49" s="197"/>
      <c r="H49" s="197"/>
      <c r="I49" s="197"/>
      <c r="J49" s="197"/>
      <c r="K49" s="197"/>
      <c r="L49" s="197"/>
      <c r="M49" s="197"/>
      <c r="N49" s="197"/>
      <c r="O49" s="197"/>
      <c r="P49" s="197"/>
      <c r="Q49" s="197"/>
      <c r="R49" s="197"/>
      <c r="S49" s="197"/>
      <c r="T49" s="197"/>
      <c r="U49" s="197"/>
      <c r="V49" s="197"/>
      <c r="W49" s="197"/>
    </row>
    <row r="50" spans="1:23" x14ac:dyDescent="0.2">
      <c r="A50" s="197"/>
      <c r="B50" s="198"/>
      <c r="C50" s="197"/>
      <c r="D50" s="197"/>
      <c r="E50" s="197"/>
      <c r="F50" s="197"/>
      <c r="G50" s="197"/>
      <c r="H50" s="197"/>
      <c r="I50" s="197"/>
      <c r="J50" s="197"/>
      <c r="K50" s="197"/>
      <c r="L50" s="197"/>
      <c r="M50" s="197"/>
      <c r="N50" s="197"/>
      <c r="O50" s="197"/>
      <c r="P50" s="197"/>
      <c r="Q50" s="197"/>
      <c r="R50" s="197"/>
      <c r="S50" s="197"/>
      <c r="T50" s="197"/>
      <c r="U50" s="197"/>
      <c r="V50" s="197"/>
      <c r="W50" s="197"/>
    </row>
    <row r="51" spans="1:23" x14ac:dyDescent="0.2">
      <c r="A51" s="197"/>
      <c r="B51" s="198"/>
      <c r="C51" s="197"/>
      <c r="D51" s="197"/>
      <c r="E51" s="197"/>
      <c r="F51" s="197"/>
      <c r="G51" s="197"/>
      <c r="H51" s="197"/>
      <c r="I51" s="197"/>
      <c r="J51" s="197"/>
      <c r="K51" s="197"/>
      <c r="L51" s="197"/>
      <c r="M51" s="197"/>
      <c r="N51" s="197"/>
      <c r="O51" s="197"/>
      <c r="P51" s="197"/>
      <c r="Q51" s="197"/>
      <c r="R51" s="197"/>
      <c r="S51" s="197"/>
      <c r="T51" s="197"/>
      <c r="U51" s="197"/>
      <c r="V51" s="197"/>
      <c r="W51" s="197"/>
    </row>
    <row r="52" spans="1:23" x14ac:dyDescent="0.2">
      <c r="A52" s="197"/>
      <c r="B52" s="198"/>
      <c r="C52" s="197"/>
      <c r="D52" s="197"/>
      <c r="E52" s="197"/>
      <c r="F52" s="197"/>
      <c r="G52" s="197"/>
      <c r="H52" s="197"/>
      <c r="I52" s="197"/>
      <c r="J52" s="197"/>
      <c r="K52" s="197"/>
      <c r="L52" s="197"/>
      <c r="M52" s="197"/>
      <c r="N52" s="197"/>
      <c r="O52" s="197"/>
      <c r="P52" s="197"/>
      <c r="Q52" s="197"/>
      <c r="R52" s="197"/>
      <c r="S52" s="197"/>
      <c r="T52" s="197"/>
      <c r="U52" s="197"/>
      <c r="V52" s="197"/>
      <c r="W52" s="197"/>
    </row>
    <row r="53" spans="1:23" x14ac:dyDescent="0.2">
      <c r="A53" s="197"/>
      <c r="B53" s="198"/>
      <c r="C53" s="197"/>
      <c r="D53" s="197"/>
      <c r="E53" s="197"/>
      <c r="F53" s="197"/>
      <c r="G53" s="197"/>
      <c r="H53" s="197"/>
      <c r="I53" s="197"/>
      <c r="J53" s="197"/>
      <c r="K53" s="197"/>
      <c r="L53" s="197"/>
      <c r="M53" s="197"/>
      <c r="N53" s="197"/>
      <c r="O53" s="197"/>
      <c r="P53" s="197"/>
      <c r="Q53" s="197"/>
      <c r="R53" s="197"/>
      <c r="S53" s="197"/>
      <c r="T53" s="197"/>
      <c r="U53" s="197"/>
      <c r="V53" s="197"/>
      <c r="W53" s="197"/>
    </row>
    <row r="54" spans="1:23" x14ac:dyDescent="0.2">
      <c r="A54" s="197"/>
      <c r="B54" s="198"/>
      <c r="C54" s="197"/>
      <c r="D54" s="197"/>
      <c r="E54" s="197"/>
      <c r="F54" s="197"/>
      <c r="G54" s="197"/>
      <c r="H54" s="197"/>
      <c r="I54" s="197"/>
      <c r="J54" s="197"/>
      <c r="K54" s="197"/>
      <c r="L54" s="197"/>
      <c r="M54" s="197"/>
      <c r="N54" s="197"/>
      <c r="O54" s="197"/>
      <c r="P54" s="197"/>
      <c r="Q54" s="197"/>
      <c r="R54" s="197"/>
      <c r="S54" s="197"/>
      <c r="T54" s="197"/>
      <c r="U54" s="197"/>
      <c r="V54" s="197"/>
      <c r="W54" s="197"/>
    </row>
    <row r="55" spans="1:23" x14ac:dyDescent="0.2">
      <c r="A55" s="197"/>
      <c r="B55" s="198"/>
      <c r="C55" s="197"/>
      <c r="D55" s="197"/>
      <c r="E55" s="197"/>
      <c r="F55" s="197"/>
      <c r="G55" s="197"/>
      <c r="H55" s="197"/>
      <c r="I55" s="197"/>
      <c r="J55" s="197"/>
      <c r="K55" s="197"/>
      <c r="L55" s="197"/>
      <c r="M55" s="197"/>
      <c r="N55" s="197"/>
      <c r="O55" s="197"/>
      <c r="P55" s="197"/>
      <c r="Q55" s="197"/>
      <c r="R55" s="197"/>
      <c r="S55" s="197"/>
      <c r="T55" s="197"/>
      <c r="U55" s="197"/>
      <c r="V55" s="197"/>
      <c r="W55" s="197"/>
    </row>
    <row r="56" spans="1:23" x14ac:dyDescent="0.2">
      <c r="A56" s="197"/>
      <c r="B56" s="198"/>
      <c r="C56" s="197"/>
      <c r="D56" s="197"/>
      <c r="E56" s="197"/>
      <c r="F56" s="197"/>
      <c r="G56" s="197"/>
      <c r="H56" s="197"/>
      <c r="I56" s="197"/>
      <c r="J56" s="197"/>
      <c r="K56" s="197"/>
      <c r="L56" s="197"/>
      <c r="M56" s="197"/>
      <c r="N56" s="197"/>
      <c r="O56" s="197"/>
      <c r="P56" s="197"/>
      <c r="Q56" s="197"/>
      <c r="R56" s="197"/>
      <c r="S56" s="197"/>
      <c r="T56" s="197"/>
      <c r="U56" s="197"/>
      <c r="V56" s="197"/>
      <c r="W56" s="197"/>
    </row>
    <row r="57" spans="1:23" x14ac:dyDescent="0.2">
      <c r="A57" s="197"/>
      <c r="B57" s="198"/>
      <c r="C57" s="197"/>
      <c r="D57" s="197"/>
      <c r="E57" s="197"/>
      <c r="F57" s="197"/>
      <c r="G57" s="197"/>
      <c r="H57" s="197"/>
      <c r="I57" s="197"/>
      <c r="J57" s="197"/>
      <c r="K57" s="197"/>
      <c r="L57" s="197"/>
      <c r="M57" s="197"/>
      <c r="N57" s="197"/>
      <c r="O57" s="197"/>
      <c r="P57" s="197"/>
      <c r="Q57" s="197"/>
      <c r="R57" s="197"/>
      <c r="S57" s="197"/>
      <c r="T57" s="197"/>
      <c r="U57" s="197"/>
      <c r="V57" s="197"/>
      <c r="W57" s="197"/>
    </row>
    <row r="58" spans="1:23" x14ac:dyDescent="0.2">
      <c r="A58" s="197"/>
      <c r="B58" s="198"/>
      <c r="C58" s="197"/>
      <c r="D58" s="197"/>
      <c r="E58" s="197"/>
      <c r="F58" s="197"/>
      <c r="G58" s="197"/>
      <c r="H58" s="197"/>
      <c r="I58" s="197"/>
      <c r="J58" s="197"/>
      <c r="K58" s="197"/>
      <c r="L58" s="197"/>
      <c r="M58" s="197"/>
      <c r="N58" s="197"/>
      <c r="O58" s="197"/>
      <c r="P58" s="197"/>
      <c r="Q58" s="197"/>
      <c r="R58" s="197"/>
      <c r="S58" s="197"/>
      <c r="T58" s="197"/>
      <c r="U58" s="197"/>
      <c r="V58" s="197"/>
      <c r="W58" s="197"/>
    </row>
    <row r="59" spans="1:23" x14ac:dyDescent="0.2">
      <c r="A59" s="197"/>
      <c r="B59" s="198"/>
      <c r="C59" s="197"/>
      <c r="D59" s="197"/>
      <c r="E59" s="197"/>
      <c r="F59" s="197"/>
      <c r="G59" s="197"/>
      <c r="H59" s="197"/>
      <c r="I59" s="197"/>
      <c r="J59" s="197"/>
      <c r="K59" s="197"/>
      <c r="L59" s="197"/>
      <c r="M59" s="197"/>
      <c r="N59" s="197"/>
      <c r="O59" s="197"/>
      <c r="P59" s="197"/>
      <c r="Q59" s="197"/>
      <c r="R59" s="197"/>
      <c r="S59" s="197"/>
      <c r="T59" s="197"/>
      <c r="U59" s="197"/>
      <c r="V59" s="197"/>
      <c r="W59" s="197"/>
    </row>
    <row r="60" spans="1:23" x14ac:dyDescent="0.2">
      <c r="A60" s="197"/>
      <c r="B60" s="198"/>
      <c r="C60" s="197"/>
      <c r="D60" s="197"/>
      <c r="E60" s="197"/>
      <c r="F60" s="197"/>
      <c r="G60" s="197"/>
      <c r="H60" s="197"/>
      <c r="I60" s="197"/>
      <c r="J60" s="197"/>
      <c r="K60" s="197"/>
      <c r="L60" s="197"/>
      <c r="M60" s="197"/>
      <c r="N60" s="197"/>
      <c r="O60" s="197"/>
      <c r="P60" s="197"/>
      <c r="Q60" s="197"/>
      <c r="R60" s="197"/>
      <c r="S60" s="197"/>
      <c r="T60" s="197"/>
      <c r="U60" s="197"/>
      <c r="V60" s="197"/>
      <c r="W60" s="197"/>
    </row>
    <row r="61" spans="1:23" x14ac:dyDescent="0.2">
      <c r="A61" s="197"/>
      <c r="B61" s="198"/>
      <c r="C61" s="197"/>
      <c r="D61" s="197"/>
      <c r="E61" s="197"/>
      <c r="F61" s="197"/>
      <c r="G61" s="197"/>
      <c r="H61" s="197"/>
      <c r="I61" s="197"/>
      <c r="J61" s="197"/>
      <c r="K61" s="197"/>
      <c r="L61" s="197"/>
      <c r="M61" s="197"/>
      <c r="N61" s="197"/>
      <c r="O61" s="197"/>
      <c r="P61" s="197"/>
      <c r="Q61" s="197"/>
      <c r="R61" s="197"/>
      <c r="S61" s="197"/>
      <c r="T61" s="197"/>
      <c r="U61" s="197"/>
      <c r="V61" s="197"/>
      <c r="W61" s="197"/>
    </row>
    <row r="62" spans="1:23" x14ac:dyDescent="0.2">
      <c r="A62" s="197"/>
      <c r="B62" s="198"/>
      <c r="C62" s="197"/>
      <c r="D62" s="197"/>
      <c r="E62" s="197"/>
      <c r="F62" s="197"/>
      <c r="G62" s="197"/>
      <c r="H62" s="197"/>
      <c r="I62" s="197"/>
      <c r="J62" s="197"/>
      <c r="K62" s="197"/>
      <c r="L62" s="197"/>
      <c r="M62" s="197"/>
      <c r="N62" s="197"/>
      <c r="O62" s="197"/>
      <c r="P62" s="197"/>
      <c r="Q62" s="197"/>
      <c r="R62" s="197"/>
      <c r="S62" s="197"/>
      <c r="T62" s="197"/>
      <c r="U62" s="197"/>
      <c r="V62" s="197"/>
      <c r="W62" s="197"/>
    </row>
    <row r="63" spans="1:23" x14ac:dyDescent="0.2">
      <c r="A63" s="197"/>
      <c r="B63" s="198"/>
      <c r="C63" s="197"/>
      <c r="D63" s="197"/>
      <c r="E63" s="197"/>
      <c r="F63" s="197"/>
      <c r="G63" s="197"/>
      <c r="H63" s="197"/>
      <c r="I63" s="197"/>
      <c r="J63" s="197"/>
      <c r="K63" s="197"/>
      <c r="L63" s="197"/>
      <c r="M63" s="197"/>
      <c r="N63" s="197"/>
      <c r="O63" s="197"/>
      <c r="P63" s="197"/>
      <c r="Q63" s="197"/>
      <c r="R63" s="197"/>
      <c r="S63" s="197"/>
      <c r="T63" s="197"/>
      <c r="U63" s="197"/>
      <c r="V63" s="197"/>
      <c r="W63" s="197"/>
    </row>
    <row r="64" spans="1:23" x14ac:dyDescent="0.2">
      <c r="A64" s="197"/>
      <c r="B64" s="198"/>
      <c r="C64" s="197"/>
      <c r="D64" s="197"/>
      <c r="E64" s="197"/>
      <c r="F64" s="197"/>
      <c r="G64" s="197"/>
      <c r="H64" s="197"/>
      <c r="I64" s="197"/>
      <c r="J64" s="197"/>
      <c r="K64" s="197"/>
      <c r="L64" s="197"/>
      <c r="M64" s="197"/>
      <c r="N64" s="197"/>
      <c r="O64" s="197"/>
      <c r="P64" s="197"/>
      <c r="Q64" s="197"/>
      <c r="R64" s="197"/>
      <c r="S64" s="197"/>
      <c r="T64" s="197"/>
      <c r="U64" s="197"/>
      <c r="V64" s="197"/>
      <c r="W64" s="197"/>
    </row>
    <row r="65" spans="1:23" x14ac:dyDescent="0.2">
      <c r="A65" s="197"/>
      <c r="B65" s="198"/>
      <c r="C65" s="197"/>
      <c r="D65" s="197"/>
      <c r="E65" s="197"/>
      <c r="F65" s="197"/>
      <c r="G65" s="197"/>
      <c r="H65" s="197"/>
      <c r="I65" s="197"/>
      <c r="J65" s="197"/>
      <c r="K65" s="197"/>
      <c r="L65" s="197"/>
      <c r="M65" s="197"/>
      <c r="N65" s="197"/>
      <c r="O65" s="197"/>
      <c r="P65" s="197"/>
      <c r="Q65" s="197"/>
      <c r="R65" s="197"/>
      <c r="S65" s="197"/>
      <c r="T65" s="197"/>
      <c r="U65" s="197"/>
      <c r="V65" s="197"/>
      <c r="W65" s="197"/>
    </row>
    <row r="66" spans="1:23" x14ac:dyDescent="0.2">
      <c r="A66" s="197"/>
      <c r="B66" s="198"/>
      <c r="C66" s="197"/>
      <c r="D66" s="197"/>
      <c r="E66" s="197"/>
      <c r="F66" s="197"/>
      <c r="G66" s="197"/>
      <c r="H66" s="197"/>
      <c r="I66" s="197"/>
      <c r="J66" s="197"/>
      <c r="K66" s="197"/>
      <c r="L66" s="197"/>
      <c r="M66" s="197"/>
      <c r="N66" s="197"/>
      <c r="O66" s="197"/>
      <c r="P66" s="197"/>
      <c r="Q66" s="197"/>
      <c r="R66" s="197"/>
      <c r="S66" s="197"/>
      <c r="T66" s="197"/>
      <c r="U66" s="197"/>
      <c r="V66" s="197"/>
      <c r="W66" s="197"/>
    </row>
    <row r="67" spans="1:23" x14ac:dyDescent="0.2">
      <c r="A67" s="197"/>
      <c r="B67" s="198"/>
      <c r="C67" s="197"/>
      <c r="D67" s="197"/>
      <c r="E67" s="197"/>
      <c r="F67" s="197"/>
      <c r="G67" s="197"/>
      <c r="H67" s="197"/>
      <c r="I67" s="197"/>
      <c r="J67" s="197"/>
      <c r="K67" s="197"/>
      <c r="L67" s="197"/>
      <c r="M67" s="197"/>
      <c r="N67" s="197"/>
      <c r="O67" s="197"/>
      <c r="P67" s="197"/>
      <c r="Q67" s="197"/>
      <c r="R67" s="197"/>
      <c r="S67" s="197"/>
      <c r="T67" s="197"/>
      <c r="U67" s="197"/>
      <c r="V67" s="197"/>
      <c r="W67" s="197"/>
    </row>
    <row r="68" spans="1:23" x14ac:dyDescent="0.2">
      <c r="A68" s="197"/>
      <c r="B68" s="198"/>
      <c r="C68" s="197"/>
      <c r="D68" s="197"/>
      <c r="E68" s="197"/>
      <c r="F68" s="197"/>
      <c r="G68" s="197"/>
      <c r="H68" s="197"/>
      <c r="I68" s="197"/>
      <c r="J68" s="197"/>
      <c r="K68" s="197"/>
      <c r="L68" s="197"/>
      <c r="M68" s="197"/>
      <c r="N68" s="197"/>
      <c r="O68" s="197"/>
      <c r="P68" s="197"/>
      <c r="Q68" s="197"/>
      <c r="R68" s="197"/>
      <c r="S68" s="197"/>
      <c r="T68" s="197"/>
      <c r="U68" s="197"/>
      <c r="V68" s="197"/>
      <c r="W68" s="197"/>
    </row>
    <row r="69" spans="1:23" x14ac:dyDescent="0.2">
      <c r="A69" s="197"/>
      <c r="B69" s="198"/>
      <c r="C69" s="197"/>
      <c r="D69" s="197"/>
      <c r="E69" s="197"/>
      <c r="F69" s="197"/>
      <c r="G69" s="197"/>
      <c r="H69" s="197"/>
      <c r="I69" s="197"/>
      <c r="J69" s="197"/>
      <c r="K69" s="197"/>
      <c r="L69" s="197"/>
      <c r="M69" s="197"/>
      <c r="N69" s="197"/>
      <c r="O69" s="197"/>
      <c r="P69" s="197"/>
      <c r="Q69" s="197"/>
      <c r="R69" s="197"/>
      <c r="S69" s="197"/>
      <c r="T69" s="197"/>
      <c r="U69" s="197"/>
      <c r="V69" s="197"/>
      <c r="W69" s="197"/>
    </row>
  </sheetData>
  <mergeCells count="10">
    <mergeCell ref="A4:B4"/>
    <mergeCell ref="A5:A7"/>
    <mergeCell ref="A8:A9"/>
    <mergeCell ref="A10:A11"/>
    <mergeCell ref="A1:X1"/>
    <mergeCell ref="A2:B2"/>
    <mergeCell ref="C2:F2"/>
    <mergeCell ref="G2:P2"/>
    <mergeCell ref="Q2:X2"/>
    <mergeCell ref="A3:B3"/>
  </mergeCells>
  <pageMargins left="0.39370078740157483" right="0.39370078740157483" top="0.39370078740157483" bottom="0.39370078740157483" header="0.19685039370078741" footer="0.19685039370078741"/>
  <pageSetup paperSize="8" scale="95" fitToHeight="0" orientation="landscape" verticalDpi="0" r:id="rId1"/>
  <rowBreaks count="1" manualBreakCount="1">
    <brk id="49"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dimension ref="A1:B5"/>
  <sheetViews>
    <sheetView workbookViewId="0">
      <selection activeCell="B2" sqref="B2"/>
    </sheetView>
  </sheetViews>
  <sheetFormatPr defaultRowHeight="12.75" x14ac:dyDescent="0.2"/>
  <cols>
    <col min="1" max="1" width="37" customWidth="1"/>
    <col min="2" max="2" width="16.140625" customWidth="1"/>
  </cols>
  <sheetData>
    <row r="1" spans="1:2" x14ac:dyDescent="0.2">
      <c r="A1" s="82" t="s">
        <v>197</v>
      </c>
      <c r="B1" s="199" t="s">
        <v>3871</v>
      </c>
    </row>
    <row r="2" spans="1:2" x14ac:dyDescent="0.2">
      <c r="A2" s="82" t="s">
        <v>244</v>
      </c>
      <c r="B2" s="199" t="s">
        <v>155</v>
      </c>
    </row>
    <row r="4" spans="1:2" x14ac:dyDescent="0.2">
      <c r="A4" t="s">
        <v>3847</v>
      </c>
    </row>
    <row r="5" spans="1:2" x14ac:dyDescent="0.2">
      <c r="A5" s="79">
        <v>317</v>
      </c>
    </row>
  </sheetData>
  <pageMargins left="0.7" right="0.7" top="0.75" bottom="0.75" header="0.3" footer="0.3"/>
  <pageSetup paperSize="9" orientation="portrait" verticalDpi="0"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dimension ref="A1:B5"/>
  <sheetViews>
    <sheetView workbookViewId="0">
      <selection activeCell="B2" sqref="B2"/>
    </sheetView>
  </sheetViews>
  <sheetFormatPr defaultRowHeight="12.75" x14ac:dyDescent="0.2"/>
  <cols>
    <col min="1" max="1" width="35.85546875" customWidth="1"/>
    <col min="2" max="2" width="16.140625" customWidth="1"/>
  </cols>
  <sheetData>
    <row r="1" spans="1:2" x14ac:dyDescent="0.2">
      <c r="A1" s="82" t="s">
        <v>197</v>
      </c>
      <c r="B1" s="199" t="s">
        <v>3871</v>
      </c>
    </row>
    <row r="2" spans="1:2" x14ac:dyDescent="0.2">
      <c r="A2" s="82" t="s">
        <v>1898</v>
      </c>
      <c r="B2" s="199" t="s">
        <v>155</v>
      </c>
    </row>
    <row r="3" spans="1:2" x14ac:dyDescent="0.2">
      <c r="A3" s="46"/>
      <c r="B3" s="46"/>
    </row>
    <row r="4" spans="1:2" x14ac:dyDescent="0.2">
      <c r="A4" t="s">
        <v>3847</v>
      </c>
    </row>
    <row r="5" spans="1:2" x14ac:dyDescent="0.2">
      <c r="A5" s="79">
        <v>0</v>
      </c>
    </row>
  </sheetData>
  <pageMargins left="0.7" right="0.7" top="0.75" bottom="0.75" header="0.3" footer="0.3"/>
  <pageSetup paperSize="9" orientation="portrait" verticalDpi="0"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dimension ref="A1:B5"/>
  <sheetViews>
    <sheetView workbookViewId="0">
      <selection activeCell="B2" sqref="B2"/>
    </sheetView>
  </sheetViews>
  <sheetFormatPr defaultRowHeight="12.75" x14ac:dyDescent="0.2"/>
  <cols>
    <col min="1" max="1" width="13.85546875" customWidth="1"/>
    <col min="2" max="2" width="22.5703125" customWidth="1"/>
  </cols>
  <sheetData>
    <row r="1" spans="1:2" x14ac:dyDescent="0.2">
      <c r="A1" s="82" t="s">
        <v>197</v>
      </c>
      <c r="B1" s="199" t="s">
        <v>3871</v>
      </c>
    </row>
    <row r="2" spans="1:2" x14ac:dyDescent="0.2">
      <c r="A2" s="46"/>
      <c r="B2" s="46"/>
    </row>
    <row r="3" spans="1:2" x14ac:dyDescent="0.2">
      <c r="A3" s="82" t="s">
        <v>1830</v>
      </c>
      <c r="B3" t="s">
        <v>3847</v>
      </c>
    </row>
    <row r="4" spans="1:2" x14ac:dyDescent="0.2">
      <c r="A4" s="78" t="s">
        <v>155</v>
      </c>
      <c r="B4" s="79">
        <v>1325</v>
      </c>
    </row>
    <row r="5" spans="1:2" x14ac:dyDescent="0.2">
      <c r="A5" s="78" t="s">
        <v>422</v>
      </c>
      <c r="B5" s="79">
        <v>1325</v>
      </c>
    </row>
  </sheetData>
  <pageMargins left="0.7" right="0.7" top="0.75" bottom="0.75" header="0.3" footer="0.3"/>
  <pageSetup paperSize="9" orientation="portrait" verticalDpi="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dimension ref="A1:B4"/>
  <sheetViews>
    <sheetView workbookViewId="0">
      <selection activeCell="B2" sqref="B2"/>
    </sheetView>
  </sheetViews>
  <sheetFormatPr defaultRowHeight="12.75" x14ac:dyDescent="0.2"/>
  <cols>
    <col min="1" max="1" width="22.5703125" customWidth="1"/>
    <col min="2" max="2" width="16.140625" customWidth="1"/>
  </cols>
  <sheetData>
    <row r="1" spans="1:2" x14ac:dyDescent="0.2">
      <c r="A1" s="82" t="s">
        <v>197</v>
      </c>
      <c r="B1" s="199" t="s">
        <v>3871</v>
      </c>
    </row>
    <row r="3" spans="1:2" x14ac:dyDescent="0.2">
      <c r="A3" t="s">
        <v>3847</v>
      </c>
    </row>
    <row r="4" spans="1:2" x14ac:dyDescent="0.2">
      <c r="A4" s="79">
        <v>2036</v>
      </c>
    </row>
  </sheetData>
  <pageMargins left="0.7" right="0.7" top="0.75" bottom="0.75" header="0.3" footer="0.3"/>
  <pageSetup paperSize="9" orientation="portrait" verticalDpi="0"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dimension ref="A1:B5"/>
  <sheetViews>
    <sheetView workbookViewId="0">
      <selection activeCell="B2" sqref="B2"/>
    </sheetView>
  </sheetViews>
  <sheetFormatPr defaultRowHeight="12.75" x14ac:dyDescent="0.2"/>
  <cols>
    <col min="1" max="1" width="22.5703125" customWidth="1"/>
    <col min="2" max="2" width="16.140625" customWidth="1"/>
  </cols>
  <sheetData>
    <row r="1" spans="1:2" x14ac:dyDescent="0.2">
      <c r="A1" s="82" t="s">
        <v>197</v>
      </c>
      <c r="B1" s="199" t="s">
        <v>3871</v>
      </c>
    </row>
    <row r="2" spans="1:2" x14ac:dyDescent="0.2">
      <c r="A2" s="82" t="s">
        <v>1900</v>
      </c>
      <c r="B2" s="199" t="s">
        <v>155</v>
      </c>
    </row>
    <row r="3" spans="1:2" x14ac:dyDescent="0.2">
      <c r="A3" s="46"/>
      <c r="B3" s="46"/>
    </row>
    <row r="4" spans="1:2" x14ac:dyDescent="0.2">
      <c r="A4" t="s">
        <v>3847</v>
      </c>
    </row>
    <row r="5" spans="1:2" x14ac:dyDescent="0.2">
      <c r="A5" s="79">
        <v>9</v>
      </c>
    </row>
  </sheetData>
  <pageMargins left="0.7" right="0.7" top="0.75" bottom="0.75" header="0.3" footer="0.3"/>
  <pageSetup paperSize="9" orientation="portrait" verticalDpi="0"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0"/>
  <dimension ref="A1:B5"/>
  <sheetViews>
    <sheetView workbookViewId="0">
      <selection activeCell="B2" sqref="B2"/>
    </sheetView>
  </sheetViews>
  <sheetFormatPr defaultRowHeight="12.75" x14ac:dyDescent="0.2"/>
  <cols>
    <col min="1" max="1" width="13.85546875" customWidth="1"/>
    <col min="2" max="2" width="22.5703125" customWidth="1"/>
  </cols>
  <sheetData>
    <row r="1" spans="1:2" x14ac:dyDescent="0.2">
      <c r="A1" s="82" t="s">
        <v>197</v>
      </c>
      <c r="B1" s="199" t="s">
        <v>3871</v>
      </c>
    </row>
    <row r="2" spans="1:2" x14ac:dyDescent="0.2">
      <c r="A2" s="46"/>
      <c r="B2" s="46"/>
    </row>
    <row r="3" spans="1:2" x14ac:dyDescent="0.2">
      <c r="A3" s="82" t="s">
        <v>1830</v>
      </c>
      <c r="B3" t="s">
        <v>3847</v>
      </c>
    </row>
    <row r="4" spans="1:2" x14ac:dyDescent="0.2">
      <c r="A4" s="78" t="s">
        <v>3851</v>
      </c>
      <c r="B4" s="79">
        <v>2036</v>
      </c>
    </row>
    <row r="5" spans="1:2" x14ac:dyDescent="0.2">
      <c r="A5" s="78" t="s">
        <v>422</v>
      </c>
      <c r="B5" s="79">
        <v>2036</v>
      </c>
    </row>
  </sheetData>
  <pageMargins left="0.7" right="0.7" top="0.75" bottom="0.75" header="0.3" footer="0.3"/>
  <pageSetup paperSize="9" orientation="portrait" verticalDpi="0"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1"/>
  <dimension ref="A1:B5"/>
  <sheetViews>
    <sheetView workbookViewId="0">
      <selection activeCell="B2" sqref="B2"/>
    </sheetView>
  </sheetViews>
  <sheetFormatPr defaultRowHeight="12.75" x14ac:dyDescent="0.2"/>
  <cols>
    <col min="1" max="1" width="34.85546875" customWidth="1"/>
    <col min="2" max="2" width="16.140625" customWidth="1"/>
  </cols>
  <sheetData>
    <row r="1" spans="1:2" x14ac:dyDescent="0.2">
      <c r="A1" s="82" t="s">
        <v>197</v>
      </c>
      <c r="B1" s="199" t="s">
        <v>3871</v>
      </c>
    </row>
    <row r="2" spans="1:2" x14ac:dyDescent="0.2">
      <c r="A2" s="82" t="s">
        <v>246</v>
      </c>
      <c r="B2" s="199" t="s">
        <v>155</v>
      </c>
    </row>
    <row r="4" spans="1:2" x14ac:dyDescent="0.2">
      <c r="A4" t="s">
        <v>3847</v>
      </c>
    </row>
    <row r="5" spans="1:2" x14ac:dyDescent="0.2">
      <c r="A5" s="79">
        <v>0</v>
      </c>
    </row>
  </sheetData>
  <pageMargins left="0.7" right="0.7" top="0.75" bottom="0.75" header="0.3" footer="0.3"/>
  <pageSetup paperSize="9" orientation="portrait" verticalDpi="0"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2"/>
  <dimension ref="A1:F23"/>
  <sheetViews>
    <sheetView workbookViewId="0">
      <selection activeCell="B2" sqref="B2"/>
    </sheetView>
  </sheetViews>
  <sheetFormatPr defaultRowHeight="12.75" x14ac:dyDescent="0.2"/>
  <cols>
    <col min="1" max="1" width="27.42578125" customWidth="1"/>
    <col min="2" max="2" width="17" customWidth="1"/>
    <col min="3" max="3" width="24.42578125" customWidth="1"/>
    <col min="4" max="4" width="21.140625" customWidth="1"/>
    <col min="5" max="6" width="11.7109375" customWidth="1"/>
  </cols>
  <sheetData>
    <row r="1" spans="1:6" x14ac:dyDescent="0.2">
      <c r="A1" s="82" t="s">
        <v>3847</v>
      </c>
      <c r="B1" s="82" t="s">
        <v>3849</v>
      </c>
    </row>
    <row r="2" spans="1:6" x14ac:dyDescent="0.2">
      <c r="A2" s="82" t="s">
        <v>1830</v>
      </c>
      <c r="B2" s="199" t="s">
        <v>1924</v>
      </c>
      <c r="C2" s="199" t="s">
        <v>3840</v>
      </c>
      <c r="D2" s="199" t="s">
        <v>1908</v>
      </c>
      <c r="E2" s="199" t="s">
        <v>1930</v>
      </c>
      <c r="F2" s="199" t="s">
        <v>422</v>
      </c>
    </row>
    <row r="3" spans="1:6" x14ac:dyDescent="0.2">
      <c r="A3" s="78" t="s">
        <v>247</v>
      </c>
      <c r="B3" s="79">
        <v>29</v>
      </c>
      <c r="C3" s="79">
        <v>0</v>
      </c>
      <c r="D3" s="79">
        <v>143</v>
      </c>
      <c r="E3" s="79">
        <v>42</v>
      </c>
      <c r="F3" s="79">
        <v>214</v>
      </c>
    </row>
    <row r="4" spans="1:6" x14ac:dyDescent="0.2">
      <c r="A4" s="78" t="s">
        <v>248</v>
      </c>
      <c r="B4" s="79">
        <v>25</v>
      </c>
      <c r="C4" s="79">
        <v>0</v>
      </c>
      <c r="D4" s="79">
        <v>71</v>
      </c>
      <c r="E4" s="79">
        <v>20</v>
      </c>
      <c r="F4" s="79">
        <v>116</v>
      </c>
    </row>
    <row r="5" spans="1:6" x14ac:dyDescent="0.2">
      <c r="A5" s="78" t="s">
        <v>249</v>
      </c>
      <c r="B5" s="79">
        <v>18</v>
      </c>
      <c r="C5" s="79">
        <v>0</v>
      </c>
      <c r="D5" s="79">
        <v>25</v>
      </c>
      <c r="E5" s="79">
        <v>42</v>
      </c>
      <c r="F5" s="79">
        <v>85</v>
      </c>
    </row>
    <row r="6" spans="1:6" x14ac:dyDescent="0.2">
      <c r="A6" s="78" t="s">
        <v>250</v>
      </c>
      <c r="B6" s="79">
        <v>8</v>
      </c>
      <c r="C6" s="79">
        <v>0</v>
      </c>
      <c r="D6" s="79">
        <v>94</v>
      </c>
      <c r="E6" s="79">
        <v>29</v>
      </c>
      <c r="F6" s="79">
        <v>131</v>
      </c>
    </row>
    <row r="7" spans="1:6" x14ac:dyDescent="0.2">
      <c r="A7" s="78" t="s">
        <v>251</v>
      </c>
      <c r="B7" s="79">
        <v>233</v>
      </c>
      <c r="C7" s="79">
        <v>0</v>
      </c>
      <c r="D7" s="79">
        <v>675</v>
      </c>
      <c r="E7" s="79">
        <v>82</v>
      </c>
      <c r="F7" s="79">
        <v>990</v>
      </c>
    </row>
    <row r="8" spans="1:6" x14ac:dyDescent="0.2">
      <c r="A8" s="78" t="s">
        <v>252</v>
      </c>
      <c r="B8" s="79">
        <v>15</v>
      </c>
      <c r="C8" s="79">
        <v>0</v>
      </c>
      <c r="D8" s="79">
        <v>36</v>
      </c>
      <c r="E8" s="79">
        <v>28</v>
      </c>
      <c r="F8" s="79">
        <v>79</v>
      </c>
    </row>
    <row r="9" spans="1:6" x14ac:dyDescent="0.2">
      <c r="A9" s="78" t="s">
        <v>253</v>
      </c>
      <c r="B9" s="79">
        <v>22</v>
      </c>
      <c r="C9" s="79">
        <v>0</v>
      </c>
      <c r="D9" s="79">
        <v>71</v>
      </c>
      <c r="E9" s="79">
        <v>126</v>
      </c>
      <c r="F9" s="79">
        <v>219</v>
      </c>
    </row>
    <row r="10" spans="1:6" x14ac:dyDescent="0.2">
      <c r="A10" s="78" t="s">
        <v>241</v>
      </c>
      <c r="B10" s="79">
        <v>37</v>
      </c>
      <c r="C10" s="79">
        <v>0</v>
      </c>
      <c r="D10" s="79">
        <v>37</v>
      </c>
      <c r="E10" s="79">
        <v>82</v>
      </c>
      <c r="F10" s="79">
        <v>156</v>
      </c>
    </row>
    <row r="11" spans="1:6" x14ac:dyDescent="0.2">
      <c r="A11" s="78" t="s">
        <v>254</v>
      </c>
      <c r="B11" s="79">
        <v>23</v>
      </c>
      <c r="C11" s="79">
        <v>0</v>
      </c>
      <c r="D11" s="79">
        <v>102</v>
      </c>
      <c r="E11" s="79">
        <v>87</v>
      </c>
      <c r="F11" s="79">
        <v>212</v>
      </c>
    </row>
    <row r="12" spans="1:6" x14ac:dyDescent="0.2">
      <c r="A12" s="78" t="s">
        <v>255</v>
      </c>
      <c r="B12" s="79">
        <v>7</v>
      </c>
      <c r="C12" s="79">
        <v>-62</v>
      </c>
      <c r="D12" s="79">
        <v>16</v>
      </c>
      <c r="E12" s="79">
        <v>215</v>
      </c>
      <c r="F12" s="79">
        <v>176</v>
      </c>
    </row>
    <row r="13" spans="1:6" x14ac:dyDescent="0.2">
      <c r="A13" s="78" t="s">
        <v>240</v>
      </c>
      <c r="B13" s="79">
        <v>1337</v>
      </c>
      <c r="C13" s="79">
        <v>0</v>
      </c>
      <c r="D13" s="79">
        <v>9448</v>
      </c>
      <c r="E13" s="79">
        <v>3026</v>
      </c>
      <c r="F13" s="79">
        <v>13811</v>
      </c>
    </row>
    <row r="14" spans="1:6" x14ac:dyDescent="0.2">
      <c r="A14" s="78" t="s">
        <v>877</v>
      </c>
      <c r="B14" s="79">
        <v>5</v>
      </c>
      <c r="C14" s="79">
        <v>0</v>
      </c>
      <c r="D14" s="79">
        <v>14</v>
      </c>
      <c r="E14" s="79">
        <v>26</v>
      </c>
      <c r="F14" s="79">
        <v>45</v>
      </c>
    </row>
    <row r="15" spans="1:6" x14ac:dyDescent="0.2">
      <c r="A15" s="78" t="s">
        <v>256</v>
      </c>
      <c r="B15" s="79">
        <v>19</v>
      </c>
      <c r="C15" s="79">
        <v>0</v>
      </c>
      <c r="D15" s="79">
        <v>36</v>
      </c>
      <c r="E15" s="79">
        <v>60</v>
      </c>
      <c r="F15" s="79">
        <v>115</v>
      </c>
    </row>
    <row r="16" spans="1:6" x14ac:dyDescent="0.2">
      <c r="A16" s="78" t="s">
        <v>258</v>
      </c>
      <c r="B16" s="79">
        <v>110</v>
      </c>
      <c r="C16" s="79">
        <v>0</v>
      </c>
      <c r="D16" s="79">
        <v>161</v>
      </c>
      <c r="E16" s="79">
        <v>24</v>
      </c>
      <c r="F16" s="79">
        <v>295</v>
      </c>
    </row>
    <row r="17" spans="1:6" x14ac:dyDescent="0.2">
      <c r="A17" s="78" t="s">
        <v>257</v>
      </c>
      <c r="B17" s="79">
        <v>163</v>
      </c>
      <c r="C17" s="79">
        <v>0</v>
      </c>
      <c r="D17" s="79">
        <v>859</v>
      </c>
      <c r="E17" s="79">
        <v>268</v>
      </c>
      <c r="F17" s="79">
        <v>1290</v>
      </c>
    </row>
    <row r="18" spans="1:6" x14ac:dyDescent="0.2">
      <c r="A18" s="78" t="s">
        <v>259</v>
      </c>
      <c r="B18" s="79">
        <v>13</v>
      </c>
      <c r="C18" s="79">
        <v>-7</v>
      </c>
      <c r="D18" s="79">
        <v>447</v>
      </c>
      <c r="E18" s="79">
        <v>212</v>
      </c>
      <c r="F18" s="79">
        <v>665</v>
      </c>
    </row>
    <row r="19" spans="1:6" x14ac:dyDescent="0.2">
      <c r="A19" s="78" t="s">
        <v>242</v>
      </c>
      <c r="B19" s="79">
        <v>38</v>
      </c>
      <c r="C19" s="79">
        <v>0</v>
      </c>
      <c r="D19" s="79">
        <v>27</v>
      </c>
      <c r="E19" s="79">
        <v>97</v>
      </c>
      <c r="F19" s="79">
        <v>162</v>
      </c>
    </row>
    <row r="20" spans="1:6" x14ac:dyDescent="0.2">
      <c r="A20" s="78" t="s">
        <v>260</v>
      </c>
      <c r="B20" s="79">
        <v>2</v>
      </c>
      <c r="C20" s="79">
        <v>0</v>
      </c>
      <c r="D20" s="79">
        <v>840</v>
      </c>
      <c r="E20" s="79">
        <v>15</v>
      </c>
      <c r="F20" s="79">
        <v>857</v>
      </c>
    </row>
    <row r="21" spans="1:6" x14ac:dyDescent="0.2">
      <c r="A21" s="78" t="s">
        <v>111</v>
      </c>
      <c r="B21" s="79">
        <v>1</v>
      </c>
      <c r="C21" s="79">
        <v>-7</v>
      </c>
      <c r="D21" s="79">
        <v>142</v>
      </c>
      <c r="E21" s="79">
        <v>11</v>
      </c>
      <c r="F21" s="79">
        <v>147</v>
      </c>
    </row>
    <row r="22" spans="1:6" x14ac:dyDescent="0.2">
      <c r="A22" s="78" t="s">
        <v>59</v>
      </c>
      <c r="B22" s="79">
        <v>7</v>
      </c>
      <c r="C22" s="79">
        <v>0</v>
      </c>
      <c r="D22" s="79">
        <v>13</v>
      </c>
      <c r="E22" s="79">
        <v>19</v>
      </c>
      <c r="F22" s="79">
        <v>39</v>
      </c>
    </row>
    <row r="23" spans="1:6" x14ac:dyDescent="0.2">
      <c r="A23" s="78" t="s">
        <v>422</v>
      </c>
      <c r="B23" s="79">
        <v>2112</v>
      </c>
      <c r="C23" s="79">
        <v>-76</v>
      </c>
      <c r="D23" s="79">
        <v>13257</v>
      </c>
      <c r="E23" s="79">
        <v>4511</v>
      </c>
      <c r="F23" s="79">
        <v>19804</v>
      </c>
    </row>
  </sheetData>
  <pageMargins left="0.7" right="0.7" top="0.75" bottom="0.75" header="0.3" footer="0.3"/>
  <pageSetup paperSize="9" orientation="portrait" verticalDpi="0"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3"/>
  <dimension ref="A1:P6"/>
  <sheetViews>
    <sheetView workbookViewId="0">
      <selection activeCell="B2" sqref="B2"/>
    </sheetView>
  </sheetViews>
  <sheetFormatPr defaultRowHeight="12.75" x14ac:dyDescent="0.2"/>
  <cols>
    <col min="1" max="1" width="22.5703125" customWidth="1"/>
    <col min="2" max="2" width="17" customWidth="1"/>
    <col min="3" max="3" width="12.5703125" customWidth="1"/>
    <col min="4" max="4" width="21.85546875" customWidth="1"/>
    <col min="5" max="5" width="17" customWidth="1"/>
    <col min="6" max="6" width="23.140625" customWidth="1"/>
    <col min="7" max="7" width="12.5703125" customWidth="1"/>
    <col min="8" max="8" width="21.85546875" customWidth="1"/>
    <col min="9" max="9" width="26.5703125" customWidth="1"/>
    <col min="10" max="10" width="16.140625" customWidth="1"/>
    <col min="11" max="11" width="12.5703125" customWidth="1"/>
    <col min="12" max="12" width="21.85546875" customWidth="1"/>
    <col min="13" max="13" width="19.42578125" customWidth="1"/>
    <col min="14" max="14" width="26.42578125" customWidth="1"/>
    <col min="15" max="15" width="29.85546875" customWidth="1"/>
    <col min="16" max="16" width="11.7109375" customWidth="1"/>
  </cols>
  <sheetData>
    <row r="1" spans="1:16" x14ac:dyDescent="0.2">
      <c r="A1" s="82" t="s">
        <v>3847</v>
      </c>
      <c r="B1" s="82" t="s">
        <v>3849</v>
      </c>
    </row>
    <row r="2" spans="1:16" x14ac:dyDescent="0.2">
      <c r="B2" s="199" t="s">
        <v>1930</v>
      </c>
      <c r="E2" s="199" t="s">
        <v>3878</v>
      </c>
      <c r="F2" s="199" t="s">
        <v>1908</v>
      </c>
      <c r="I2" s="199" t="s">
        <v>3877</v>
      </c>
      <c r="J2" s="199" t="s">
        <v>1924</v>
      </c>
      <c r="M2" s="199" t="s">
        <v>3876</v>
      </c>
      <c r="N2" s="199" t="s">
        <v>3840</v>
      </c>
      <c r="O2" s="199" t="s">
        <v>3879</v>
      </c>
      <c r="P2" s="199" t="s">
        <v>422</v>
      </c>
    </row>
    <row r="3" spans="1:16" x14ac:dyDescent="0.2">
      <c r="A3" s="82" t="s">
        <v>1830</v>
      </c>
      <c r="B3" s="199" t="s">
        <v>238</v>
      </c>
      <c r="C3" s="199" t="s">
        <v>74</v>
      </c>
      <c r="D3" s="199" t="s">
        <v>154</v>
      </c>
      <c r="F3" s="199" t="s">
        <v>238</v>
      </c>
      <c r="G3" s="199" t="s">
        <v>74</v>
      </c>
      <c r="H3" s="199" t="s">
        <v>154</v>
      </c>
      <c r="J3" s="199" t="s">
        <v>238</v>
      </c>
      <c r="K3" s="199" t="s">
        <v>74</v>
      </c>
      <c r="L3" s="199" t="s">
        <v>154</v>
      </c>
      <c r="N3" s="199" t="s">
        <v>238</v>
      </c>
    </row>
    <row r="4" spans="1:16" x14ac:dyDescent="0.2">
      <c r="A4" s="78" t="s">
        <v>155</v>
      </c>
      <c r="B4" s="79">
        <v>2374</v>
      </c>
      <c r="C4" s="79">
        <v>636</v>
      </c>
      <c r="D4" s="79">
        <v>0</v>
      </c>
      <c r="E4" s="79">
        <v>3010</v>
      </c>
      <c r="F4" s="79">
        <v>8017</v>
      </c>
      <c r="G4" s="79">
        <v>599</v>
      </c>
      <c r="H4" s="79">
        <v>823</v>
      </c>
      <c r="I4" s="79">
        <v>9439</v>
      </c>
      <c r="J4" s="79">
        <v>1181</v>
      </c>
      <c r="K4" s="79">
        <v>100</v>
      </c>
      <c r="L4" s="79">
        <v>44</v>
      </c>
      <c r="M4" s="79">
        <v>1325</v>
      </c>
      <c r="N4" s="79">
        <v>0</v>
      </c>
      <c r="O4" s="79">
        <v>0</v>
      </c>
      <c r="P4" s="79">
        <v>13774</v>
      </c>
    </row>
    <row r="5" spans="1:16" x14ac:dyDescent="0.2">
      <c r="A5" s="78" t="s">
        <v>3851</v>
      </c>
      <c r="B5" s="79">
        <v>1278</v>
      </c>
      <c r="C5" s="79">
        <v>53</v>
      </c>
      <c r="D5" s="79">
        <v>170</v>
      </c>
      <c r="E5" s="79">
        <v>1501</v>
      </c>
      <c r="F5" s="79">
        <v>3039</v>
      </c>
      <c r="G5" s="79">
        <v>505</v>
      </c>
      <c r="H5" s="79">
        <v>274</v>
      </c>
      <c r="I5" s="79">
        <v>3818</v>
      </c>
      <c r="J5" s="79">
        <v>729</v>
      </c>
      <c r="K5" s="79">
        <v>42</v>
      </c>
      <c r="L5" s="79">
        <v>16</v>
      </c>
      <c r="M5" s="79">
        <v>787</v>
      </c>
      <c r="N5" s="79">
        <v>-76</v>
      </c>
      <c r="O5" s="79">
        <v>-76</v>
      </c>
      <c r="P5" s="79">
        <v>6030</v>
      </c>
    </row>
    <row r="6" spans="1:16" x14ac:dyDescent="0.2">
      <c r="A6" s="78" t="s">
        <v>422</v>
      </c>
      <c r="B6" s="79">
        <v>3652</v>
      </c>
      <c r="C6" s="79">
        <v>689</v>
      </c>
      <c r="D6" s="79">
        <v>170</v>
      </c>
      <c r="E6" s="79">
        <v>4511</v>
      </c>
      <c r="F6" s="79">
        <v>11056</v>
      </c>
      <c r="G6" s="79">
        <v>1104</v>
      </c>
      <c r="H6" s="79">
        <v>1097</v>
      </c>
      <c r="I6" s="79">
        <v>13257</v>
      </c>
      <c r="J6" s="79">
        <v>1910</v>
      </c>
      <c r="K6" s="79">
        <v>142</v>
      </c>
      <c r="L6" s="79">
        <v>60</v>
      </c>
      <c r="M6" s="79">
        <v>2112</v>
      </c>
      <c r="N6" s="79">
        <v>-76</v>
      </c>
      <c r="O6" s="79">
        <v>-76</v>
      </c>
      <c r="P6" s="79">
        <v>19804</v>
      </c>
    </row>
  </sheetData>
  <pageMargins left="0.7" right="0.7" top="0.75" bottom="0.75" header="0.3" footer="0.3"/>
  <pageSetup paperSize="9" orientation="portrait" verticalDpi="0"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4"/>
  <dimension ref="A1:I8"/>
  <sheetViews>
    <sheetView workbookViewId="0">
      <selection activeCell="B2" sqref="B2"/>
    </sheetView>
  </sheetViews>
  <sheetFormatPr defaultRowHeight="12.75" x14ac:dyDescent="0.2"/>
  <cols>
    <col min="1" max="1" width="19.5703125" customWidth="1"/>
    <col min="2" max="2" width="22.85546875" customWidth="1"/>
    <col min="3" max="6" width="22.140625" customWidth="1"/>
    <col min="7" max="7" width="23.28515625" customWidth="1"/>
    <col min="8" max="8" width="31.28515625" customWidth="1"/>
    <col min="9" max="9" width="22.5703125" customWidth="1"/>
  </cols>
  <sheetData>
    <row r="1" spans="1:9" x14ac:dyDescent="0.2">
      <c r="A1" s="82" t="s">
        <v>197</v>
      </c>
      <c r="B1" s="199" t="s">
        <v>3871</v>
      </c>
    </row>
    <row r="2" spans="1:9" x14ac:dyDescent="0.2">
      <c r="A2" s="82" t="s">
        <v>179</v>
      </c>
      <c r="B2" s="199" t="s">
        <v>116</v>
      </c>
    </row>
    <row r="3" spans="1:9" x14ac:dyDescent="0.2">
      <c r="A3" s="46"/>
      <c r="B3" s="46"/>
    </row>
    <row r="4" spans="1:9" x14ac:dyDescent="0.2">
      <c r="A4" s="82" t="s">
        <v>1830</v>
      </c>
      <c r="B4" s="199" t="s">
        <v>3880</v>
      </c>
      <c r="C4" s="199" t="s">
        <v>3881</v>
      </c>
      <c r="D4" s="199" t="s">
        <v>3882</v>
      </c>
      <c r="E4" s="199" t="s">
        <v>3883</v>
      </c>
      <c r="F4" s="199" t="s">
        <v>3884</v>
      </c>
      <c r="G4" s="199" t="s">
        <v>3885</v>
      </c>
      <c r="H4" s="199" t="s">
        <v>3886</v>
      </c>
      <c r="I4" s="199" t="s">
        <v>3847</v>
      </c>
    </row>
    <row r="5" spans="1:9" x14ac:dyDescent="0.2">
      <c r="A5" s="78" t="s">
        <v>238</v>
      </c>
      <c r="B5" s="79">
        <v>103</v>
      </c>
      <c r="C5" s="79">
        <v>475</v>
      </c>
      <c r="D5" s="79">
        <v>757</v>
      </c>
      <c r="E5" s="79">
        <v>312</v>
      </c>
      <c r="F5" s="79">
        <v>24</v>
      </c>
      <c r="G5" s="79">
        <v>1</v>
      </c>
      <c r="H5" s="79">
        <v>0</v>
      </c>
      <c r="I5" s="79">
        <v>1672</v>
      </c>
    </row>
    <row r="6" spans="1:9" x14ac:dyDescent="0.2">
      <c r="A6" s="78" t="s">
        <v>74</v>
      </c>
      <c r="B6" s="79">
        <v>0</v>
      </c>
      <c r="C6" s="79">
        <v>55</v>
      </c>
      <c r="D6" s="79">
        <v>71</v>
      </c>
      <c r="E6" s="79">
        <v>14</v>
      </c>
      <c r="F6" s="79">
        <v>0</v>
      </c>
      <c r="G6" s="79">
        <v>0</v>
      </c>
      <c r="H6" s="79">
        <v>0</v>
      </c>
      <c r="I6" s="79">
        <v>140</v>
      </c>
    </row>
    <row r="7" spans="1:9" x14ac:dyDescent="0.2">
      <c r="A7" s="78" t="s">
        <v>154</v>
      </c>
      <c r="B7" s="79">
        <v>0</v>
      </c>
      <c r="C7" s="79">
        <v>7</v>
      </c>
      <c r="D7" s="79">
        <v>21</v>
      </c>
      <c r="E7" s="79">
        <v>27</v>
      </c>
      <c r="F7" s="79">
        <v>3</v>
      </c>
      <c r="G7" s="79">
        <v>0</v>
      </c>
      <c r="H7" s="79">
        <v>0</v>
      </c>
      <c r="I7" s="79">
        <v>58</v>
      </c>
    </row>
    <row r="8" spans="1:9" x14ac:dyDescent="0.2">
      <c r="A8" s="78" t="s">
        <v>422</v>
      </c>
      <c r="B8" s="79">
        <v>103</v>
      </c>
      <c r="C8" s="79">
        <v>537</v>
      </c>
      <c r="D8" s="79">
        <v>849</v>
      </c>
      <c r="E8" s="79">
        <v>353</v>
      </c>
      <c r="F8" s="79">
        <v>27</v>
      </c>
      <c r="G8" s="79">
        <v>1</v>
      </c>
      <c r="H8" s="79">
        <v>0</v>
      </c>
      <c r="I8" s="79">
        <v>1870</v>
      </c>
    </row>
  </sheetData>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CY1479"/>
  <sheetViews>
    <sheetView zoomScaleNormal="100" zoomScaleSheetLayoutView="100" workbookViewId="0">
      <pane xSplit="3" ySplit="1" topLeftCell="D2" activePane="bottomRight" state="frozenSplit"/>
      <selection pane="topRight" activeCell="E1" sqref="E1"/>
      <selection pane="bottomLeft" activeCell="A8" sqref="A8"/>
      <selection pane="bottomRight"/>
    </sheetView>
  </sheetViews>
  <sheetFormatPr defaultRowHeight="12" customHeight="1" x14ac:dyDescent="0.2"/>
  <cols>
    <col min="1" max="1" width="5" style="81" customWidth="1"/>
    <col min="2" max="2" width="17.5703125" style="165" customWidth="1"/>
    <col min="3" max="3" width="10" style="165" customWidth="1"/>
    <col min="4" max="4" width="19.7109375" style="165" customWidth="1"/>
    <col min="5" max="5" width="21.28515625" style="165" customWidth="1"/>
    <col min="6" max="6" width="19.5703125" style="165" customWidth="1"/>
    <col min="7" max="7" width="7" style="81" customWidth="1"/>
    <col min="8" max="8" width="7.85546875" style="81" customWidth="1"/>
    <col min="9" max="9" width="18.85546875" style="165" customWidth="1"/>
    <col min="10" max="10" width="11.42578125" style="81" customWidth="1"/>
    <col min="11" max="11" width="9.85546875" style="81" customWidth="1"/>
    <col min="12" max="12" width="7.42578125" style="166" customWidth="1"/>
    <col min="13" max="13" width="8.85546875" style="166" customWidth="1"/>
    <col min="14" max="14" width="6.140625" style="166" customWidth="1"/>
    <col min="15" max="15" width="10" style="166" customWidth="1"/>
    <col min="16" max="16" width="10.140625" style="166" customWidth="1"/>
    <col min="17" max="17" width="10.42578125" style="81" customWidth="1"/>
    <col min="18" max="18" width="28.7109375" style="165" customWidth="1"/>
    <col min="19" max="21" width="9.85546875" style="81" customWidth="1"/>
    <col min="22" max="22" width="8.85546875" style="81" customWidth="1"/>
    <col min="23" max="23" width="6.5703125" style="81" customWidth="1"/>
    <col min="24" max="24" width="9.85546875" style="81" customWidth="1"/>
    <col min="25" max="25" width="5" style="81" customWidth="1"/>
    <col min="26" max="26" width="11.7109375" style="81" customWidth="1"/>
    <col min="27" max="27" width="11.42578125" style="81" customWidth="1"/>
    <col min="28" max="28" width="11.5703125" style="81" customWidth="1"/>
    <col min="29" max="29" width="10" style="166" customWidth="1"/>
    <col min="30" max="30" width="12.140625" style="350" customWidth="1"/>
    <col min="31" max="31" width="9.140625" style="81" customWidth="1"/>
    <col min="32" max="32" width="10.140625" style="81" customWidth="1"/>
    <col min="33" max="33" width="18.5703125" style="81" customWidth="1"/>
    <col min="34" max="34" width="6.7109375" style="81" customWidth="1"/>
    <col min="35" max="35" width="10.85546875" style="81" customWidth="1"/>
    <col min="36" max="36" width="9.42578125" style="81" customWidth="1"/>
    <col min="37" max="37" width="7.5703125" style="166" customWidth="1"/>
    <col min="38" max="38" width="8.85546875" style="166" customWidth="1"/>
    <col min="39" max="39" width="10.28515625" style="166" customWidth="1"/>
    <col min="40" max="40" width="8.85546875" style="166" customWidth="1"/>
    <col min="41" max="41" width="6.140625" style="166" customWidth="1"/>
    <col min="42" max="46" width="5.140625" style="166" customWidth="1"/>
    <col min="47" max="47" width="6.7109375" style="166" customWidth="1"/>
    <col min="48" max="48" width="6.140625" style="166" customWidth="1"/>
    <col min="49" max="49" width="4.85546875" style="166" customWidth="1"/>
    <col min="50" max="52" width="5.140625" style="166" customWidth="1"/>
    <col min="53" max="53" width="4.85546875" style="166" customWidth="1"/>
    <col min="54" max="54" width="6.5703125" style="166" customWidth="1"/>
    <col min="55" max="55" width="6.85546875" style="166" customWidth="1"/>
    <col min="56" max="61" width="7" style="166" customWidth="1"/>
    <col min="62" max="62" width="5.85546875" style="166" customWidth="1"/>
    <col min="63" max="66" width="5.140625" style="166" customWidth="1"/>
    <col min="67" max="67" width="6.140625" style="166" customWidth="1"/>
    <col min="68" max="68" width="6.7109375" style="166" customWidth="1"/>
    <col min="69" max="69" width="24.42578125" style="81" customWidth="1"/>
    <col min="70" max="70" width="15.42578125" style="81" customWidth="1"/>
    <col min="71" max="71" width="5.42578125" style="81" customWidth="1"/>
    <col min="72" max="72" width="11.7109375" style="81" customWidth="1"/>
    <col min="73" max="73" width="11.42578125" style="81" customWidth="1"/>
    <col min="74" max="74" width="10.28515625" style="81" customWidth="1"/>
    <col min="75" max="75" width="11.28515625" style="81" customWidth="1"/>
    <col min="76" max="76" width="27.140625" style="81" customWidth="1"/>
    <col min="77" max="77" width="7.140625" style="81" customWidth="1"/>
    <col min="78" max="78" width="7.85546875" style="81" customWidth="1"/>
    <col min="79" max="79" width="10.7109375" style="81" customWidth="1"/>
    <col min="80" max="80" width="9.140625" style="165"/>
    <col min="81" max="101" width="7.42578125" style="167" customWidth="1"/>
    <col min="102" max="16384" width="9.140625" style="165"/>
  </cols>
  <sheetData>
    <row r="1" spans="1:103" s="345" customFormat="1" ht="48.75" customHeight="1" x14ac:dyDescent="0.2">
      <c r="A1" s="80" t="s">
        <v>1850</v>
      </c>
      <c r="B1" s="345" t="s">
        <v>197</v>
      </c>
      <c r="C1" s="345" t="s">
        <v>1851</v>
      </c>
      <c r="D1" s="345" t="s">
        <v>170</v>
      </c>
      <c r="E1" s="345" t="s">
        <v>1852</v>
      </c>
      <c r="F1" s="345" t="s">
        <v>1853</v>
      </c>
      <c r="G1" s="80" t="s">
        <v>171</v>
      </c>
      <c r="H1" s="80" t="s">
        <v>172</v>
      </c>
      <c r="I1" s="345" t="s">
        <v>60</v>
      </c>
      <c r="J1" s="80" t="s">
        <v>1854</v>
      </c>
      <c r="K1" s="80" t="s">
        <v>1855</v>
      </c>
      <c r="L1" s="346" t="s">
        <v>1856</v>
      </c>
      <c r="M1" s="346" t="s">
        <v>1857</v>
      </c>
      <c r="N1" s="346" t="s">
        <v>1858</v>
      </c>
      <c r="O1" s="346" t="s">
        <v>1859</v>
      </c>
      <c r="P1" s="346" t="s">
        <v>1860</v>
      </c>
      <c r="Q1" s="80" t="s">
        <v>1831</v>
      </c>
      <c r="R1" s="345" t="s">
        <v>173</v>
      </c>
      <c r="S1" s="80" t="s">
        <v>174</v>
      </c>
      <c r="T1" s="80" t="s">
        <v>176</v>
      </c>
      <c r="U1" s="80" t="s">
        <v>1861</v>
      </c>
      <c r="V1" s="80" t="s">
        <v>1862</v>
      </c>
      <c r="W1" s="80" t="s">
        <v>175</v>
      </c>
      <c r="X1" s="80" t="s">
        <v>177</v>
      </c>
      <c r="Y1" s="80" t="s">
        <v>178</v>
      </c>
      <c r="Z1" s="80" t="s">
        <v>179</v>
      </c>
      <c r="AA1" s="80" t="s">
        <v>1863</v>
      </c>
      <c r="AB1" s="80" t="s">
        <v>1864</v>
      </c>
      <c r="AC1" s="346" t="s">
        <v>1865</v>
      </c>
      <c r="AD1" s="347" t="s">
        <v>76</v>
      </c>
      <c r="AE1" s="80" t="s">
        <v>1866</v>
      </c>
      <c r="AF1" s="80" t="s">
        <v>77</v>
      </c>
      <c r="AG1" s="80" t="s">
        <v>409</v>
      </c>
      <c r="AH1" s="80" t="s">
        <v>408</v>
      </c>
      <c r="AI1" s="80" t="s">
        <v>1867</v>
      </c>
      <c r="AJ1" s="80" t="s">
        <v>1868</v>
      </c>
      <c r="AK1" s="346" t="s">
        <v>149</v>
      </c>
      <c r="AL1" s="346" t="s">
        <v>1869</v>
      </c>
      <c r="AM1" s="346" t="s">
        <v>67</v>
      </c>
      <c r="AN1" s="346" t="s">
        <v>1870</v>
      </c>
      <c r="AO1" s="346" t="s">
        <v>150</v>
      </c>
      <c r="AP1" s="346" t="s">
        <v>1871</v>
      </c>
      <c r="AQ1" s="346" t="s">
        <v>1872</v>
      </c>
      <c r="AR1" s="346" t="s">
        <v>1873</v>
      </c>
      <c r="AS1" s="346" t="s">
        <v>1874</v>
      </c>
      <c r="AT1" s="346" t="s">
        <v>1875</v>
      </c>
      <c r="AU1" s="346" t="s">
        <v>1876</v>
      </c>
      <c r="AV1" s="346" t="s">
        <v>1877</v>
      </c>
      <c r="AW1" s="346" t="s">
        <v>1878</v>
      </c>
      <c r="AX1" s="346" t="s">
        <v>1879</v>
      </c>
      <c r="AY1" s="346" t="s">
        <v>1880</v>
      </c>
      <c r="AZ1" s="346" t="s">
        <v>1881</v>
      </c>
      <c r="BA1" s="346" t="s">
        <v>1882</v>
      </c>
      <c r="BB1" s="346" t="s">
        <v>1883</v>
      </c>
      <c r="BC1" s="346" t="s">
        <v>1884</v>
      </c>
      <c r="BD1" s="346" t="s">
        <v>1885</v>
      </c>
      <c r="BE1" s="346" t="s">
        <v>1886</v>
      </c>
      <c r="BF1" s="346" t="s">
        <v>1887</v>
      </c>
      <c r="BG1" s="346" t="s">
        <v>1888</v>
      </c>
      <c r="BH1" s="346" t="s">
        <v>1889</v>
      </c>
      <c r="BI1" s="346" t="s">
        <v>1890</v>
      </c>
      <c r="BJ1" s="346" t="s">
        <v>112</v>
      </c>
      <c r="BK1" s="346" t="s">
        <v>1891</v>
      </c>
      <c r="BL1" s="346" t="s">
        <v>1892</v>
      </c>
      <c r="BM1" s="346" t="s">
        <v>1893</v>
      </c>
      <c r="BN1" s="346" t="s">
        <v>1894</v>
      </c>
      <c r="BO1" s="346" t="s">
        <v>1895</v>
      </c>
      <c r="BP1" s="346" t="s">
        <v>1896</v>
      </c>
      <c r="BQ1" s="80" t="s">
        <v>1897</v>
      </c>
      <c r="BR1" s="80" t="s">
        <v>243</v>
      </c>
      <c r="BS1" s="80" t="s">
        <v>65</v>
      </c>
      <c r="BT1" s="80" t="s">
        <v>244</v>
      </c>
      <c r="BU1" s="80" t="s">
        <v>1898</v>
      </c>
      <c r="BV1" s="80" t="s">
        <v>246</v>
      </c>
      <c r="BW1" s="80" t="s">
        <v>1899</v>
      </c>
      <c r="BX1" s="80" t="s">
        <v>3873</v>
      </c>
      <c r="BY1" s="80" t="s">
        <v>1900</v>
      </c>
      <c r="BZ1" s="80" t="s">
        <v>3834</v>
      </c>
      <c r="CA1" s="80" t="s">
        <v>1901</v>
      </c>
      <c r="CB1" s="345" t="s">
        <v>3815</v>
      </c>
      <c r="CC1" s="348" t="s">
        <v>2</v>
      </c>
      <c r="CD1" s="348" t="s">
        <v>3</v>
      </c>
      <c r="CE1" s="348" t="s">
        <v>4</v>
      </c>
      <c r="CF1" s="348" t="s">
        <v>5</v>
      </c>
      <c r="CG1" s="348" t="s">
        <v>6</v>
      </c>
      <c r="CH1" s="348" t="s">
        <v>7</v>
      </c>
      <c r="CI1" s="348" t="s">
        <v>8</v>
      </c>
      <c r="CJ1" s="348" t="s">
        <v>9</v>
      </c>
      <c r="CK1" s="348" t="s">
        <v>10</v>
      </c>
      <c r="CL1" s="348" t="s">
        <v>11</v>
      </c>
      <c r="CM1" s="348" t="s">
        <v>12</v>
      </c>
      <c r="CN1" s="348" t="s">
        <v>13</v>
      </c>
      <c r="CO1" s="348" t="s">
        <v>14</v>
      </c>
      <c r="CP1" s="348" t="s">
        <v>15</v>
      </c>
      <c r="CQ1" s="348" t="s">
        <v>832</v>
      </c>
      <c r="CR1" s="348" t="s">
        <v>1760</v>
      </c>
      <c r="CS1" s="348" t="s">
        <v>3816</v>
      </c>
      <c r="CT1" s="348" t="s">
        <v>3817</v>
      </c>
      <c r="CU1" s="348" t="s">
        <v>3818</v>
      </c>
      <c r="CV1" s="348" t="s">
        <v>3819</v>
      </c>
      <c r="CW1" s="348" t="s">
        <v>3820</v>
      </c>
      <c r="CX1" s="345" t="s">
        <v>212</v>
      </c>
      <c r="CY1" s="345" t="s">
        <v>3833</v>
      </c>
    </row>
    <row r="2" spans="1:103" ht="12.75" customHeight="1" x14ac:dyDescent="0.2">
      <c r="A2" s="81">
        <v>101</v>
      </c>
      <c r="B2" s="165" t="s">
        <v>1924</v>
      </c>
      <c r="C2" s="165" t="s">
        <v>88</v>
      </c>
      <c r="E2" s="165" t="s">
        <v>3042</v>
      </c>
      <c r="G2" s="81">
        <v>525852</v>
      </c>
      <c r="H2" s="81">
        <v>174974</v>
      </c>
      <c r="I2" s="165" t="s">
        <v>251</v>
      </c>
      <c r="J2" s="349">
        <v>41820</v>
      </c>
      <c r="K2" s="349">
        <v>42859</v>
      </c>
      <c r="L2" s="166">
        <v>0</v>
      </c>
      <c r="M2" s="166">
        <v>3</v>
      </c>
      <c r="N2" s="166">
        <v>3</v>
      </c>
      <c r="O2" s="166">
        <v>3</v>
      </c>
      <c r="P2" s="166">
        <v>3</v>
      </c>
      <c r="R2" s="165" t="s">
        <v>739</v>
      </c>
      <c r="S2" s="81" t="s">
        <v>113</v>
      </c>
      <c r="T2" s="349">
        <v>40997</v>
      </c>
      <c r="U2" s="349">
        <v>41145</v>
      </c>
      <c r="W2" s="81" t="s">
        <v>114</v>
      </c>
      <c r="Y2" s="81" t="s">
        <v>115</v>
      </c>
      <c r="Z2" s="81" t="s">
        <v>116</v>
      </c>
      <c r="AA2" s="81" t="s">
        <v>117</v>
      </c>
      <c r="AB2" s="81" t="s">
        <v>218</v>
      </c>
      <c r="AC2" s="166">
        <v>7.0000002160668399E-3</v>
      </c>
      <c r="AD2" s="349">
        <v>41820</v>
      </c>
      <c r="AF2" s="349">
        <v>42859</v>
      </c>
      <c r="AG2" s="81" t="s">
        <v>238</v>
      </c>
      <c r="AH2" s="81" t="s">
        <v>118</v>
      </c>
      <c r="AK2" s="166">
        <v>0</v>
      </c>
      <c r="AM2" s="166">
        <v>0</v>
      </c>
      <c r="AO2" s="166">
        <v>0</v>
      </c>
      <c r="AP2" s="166">
        <v>0</v>
      </c>
      <c r="AQ2" s="166">
        <v>1</v>
      </c>
      <c r="AR2" s="166">
        <v>2</v>
      </c>
      <c r="AS2" s="166">
        <v>0</v>
      </c>
      <c r="AT2" s="166">
        <v>0</v>
      </c>
      <c r="AU2" s="166">
        <v>0</v>
      </c>
      <c r="AV2" s="166">
        <v>0</v>
      </c>
      <c r="AW2" s="166">
        <v>0</v>
      </c>
      <c r="AX2" s="166">
        <v>1</v>
      </c>
      <c r="AY2" s="166">
        <v>2</v>
      </c>
      <c r="AZ2" s="166">
        <v>0</v>
      </c>
      <c r="BA2" s="166">
        <v>0</v>
      </c>
      <c r="BB2" s="166">
        <v>0</v>
      </c>
      <c r="BC2" s="166">
        <v>0</v>
      </c>
      <c r="BD2" s="166">
        <v>0</v>
      </c>
      <c r="BE2" s="166">
        <v>0</v>
      </c>
      <c r="BF2" s="166">
        <v>0</v>
      </c>
      <c r="BG2" s="166">
        <v>0</v>
      </c>
      <c r="BH2" s="166">
        <v>0</v>
      </c>
      <c r="BI2" s="166">
        <v>0</v>
      </c>
      <c r="BJ2" s="166">
        <v>0</v>
      </c>
      <c r="BK2" s="166">
        <v>0</v>
      </c>
      <c r="BL2" s="166">
        <v>0</v>
      </c>
      <c r="BM2" s="166">
        <v>0</v>
      </c>
      <c r="BN2" s="166">
        <v>0</v>
      </c>
      <c r="BO2" s="166">
        <v>0</v>
      </c>
      <c r="BP2" s="166">
        <v>0</v>
      </c>
      <c r="BQ2" s="81" t="s">
        <v>1758</v>
      </c>
      <c r="BT2" s="81" t="s">
        <v>155</v>
      </c>
      <c r="BZ2" s="81" t="s">
        <v>155</v>
      </c>
      <c r="CA2" s="81">
        <v>1</v>
      </c>
      <c r="CC2" s="167">
        <f>N2</f>
        <v>3</v>
      </c>
      <c r="CD2" s="167">
        <v>0</v>
      </c>
      <c r="CE2" s="167">
        <v>0</v>
      </c>
      <c r="CF2" s="167">
        <v>0</v>
      </c>
      <c r="CG2" s="167">
        <v>0</v>
      </c>
      <c r="CH2" s="167">
        <v>0</v>
      </c>
      <c r="CI2" s="167">
        <v>0</v>
      </c>
      <c r="CJ2" s="167">
        <v>0</v>
      </c>
      <c r="CK2" s="167">
        <v>0</v>
      </c>
      <c r="CL2" s="167">
        <v>0</v>
      </c>
      <c r="CM2" s="167">
        <v>0</v>
      </c>
      <c r="CN2" s="167">
        <v>0</v>
      </c>
      <c r="CO2" s="167">
        <v>0</v>
      </c>
      <c r="CP2" s="167">
        <v>0</v>
      </c>
      <c r="CQ2" s="167">
        <v>0</v>
      </c>
      <c r="CR2" s="167">
        <v>0</v>
      </c>
      <c r="CS2" s="167">
        <v>0</v>
      </c>
      <c r="CT2" s="167">
        <v>0</v>
      </c>
      <c r="CU2" s="167">
        <v>0</v>
      </c>
      <c r="CV2" s="167">
        <v>0</v>
      </c>
      <c r="CW2" s="167">
        <v>0</v>
      </c>
      <c r="CX2" s="167">
        <f>SUM(CD2:CH2)</f>
        <v>0</v>
      </c>
      <c r="CY2" s="167">
        <f>SUM(CD2:CM2)</f>
        <v>0</v>
      </c>
    </row>
    <row r="3" spans="1:103" ht="12.75" customHeight="1" x14ac:dyDescent="0.2">
      <c r="A3" s="81">
        <v>167</v>
      </c>
      <c r="B3" s="165" t="s">
        <v>1924</v>
      </c>
      <c r="C3" s="165" t="s">
        <v>487</v>
      </c>
      <c r="D3" s="165" t="s">
        <v>516</v>
      </c>
      <c r="E3" s="165" t="s">
        <v>1925</v>
      </c>
      <c r="G3" s="81">
        <v>526673</v>
      </c>
      <c r="H3" s="81">
        <v>176397</v>
      </c>
      <c r="I3" s="165" t="s">
        <v>257</v>
      </c>
      <c r="J3" s="349">
        <v>42389</v>
      </c>
      <c r="K3" s="349">
        <v>43165</v>
      </c>
      <c r="L3" s="166">
        <v>0</v>
      </c>
      <c r="M3" s="166">
        <v>108</v>
      </c>
      <c r="N3" s="166">
        <v>108</v>
      </c>
      <c r="O3" s="166">
        <v>135</v>
      </c>
      <c r="P3" s="166">
        <v>135</v>
      </c>
      <c r="Q3" s="81" t="s">
        <v>155</v>
      </c>
      <c r="R3" s="165" t="s">
        <v>756</v>
      </c>
      <c r="S3" s="81" t="s">
        <v>104</v>
      </c>
      <c r="T3" s="349">
        <v>41975</v>
      </c>
      <c r="U3" s="349">
        <v>42167</v>
      </c>
      <c r="W3" s="81" t="s">
        <v>114</v>
      </c>
      <c r="Y3" s="81" t="s">
        <v>115</v>
      </c>
      <c r="Z3" s="81" t="s">
        <v>116</v>
      </c>
      <c r="AA3" s="81" t="s">
        <v>116</v>
      </c>
      <c r="AB3" s="81" t="s">
        <v>117</v>
      </c>
      <c r="AC3" s="166">
        <v>0.196999996900558</v>
      </c>
      <c r="AD3" s="349">
        <v>42389</v>
      </c>
      <c r="AF3" s="349">
        <v>43165</v>
      </c>
      <c r="AG3" s="81" t="s">
        <v>238</v>
      </c>
      <c r="AH3" s="81" t="s">
        <v>118</v>
      </c>
      <c r="AI3" s="81" t="s">
        <v>1926</v>
      </c>
      <c r="AK3" s="166">
        <v>108</v>
      </c>
      <c r="AM3" s="166">
        <v>10</v>
      </c>
      <c r="AO3" s="166">
        <v>0</v>
      </c>
      <c r="AP3" s="166">
        <v>22</v>
      </c>
      <c r="AQ3" s="166">
        <v>63</v>
      </c>
      <c r="AR3" s="166">
        <v>23</v>
      </c>
      <c r="AS3" s="166">
        <v>0</v>
      </c>
      <c r="AT3" s="166">
        <v>0</v>
      </c>
      <c r="AU3" s="166">
        <v>0</v>
      </c>
      <c r="AV3" s="166">
        <v>0</v>
      </c>
      <c r="AW3" s="166">
        <v>22</v>
      </c>
      <c r="AX3" s="166">
        <v>63</v>
      </c>
      <c r="AY3" s="166">
        <v>23</v>
      </c>
      <c r="AZ3" s="166">
        <v>0</v>
      </c>
      <c r="BA3" s="166">
        <v>0</v>
      </c>
      <c r="BB3" s="166">
        <v>0</v>
      </c>
      <c r="BC3" s="166">
        <v>0</v>
      </c>
      <c r="BD3" s="166">
        <v>0</v>
      </c>
      <c r="BE3" s="166">
        <v>0</v>
      </c>
      <c r="BF3" s="166">
        <v>0</v>
      </c>
      <c r="BG3" s="166">
        <v>0</v>
      </c>
      <c r="BH3" s="166">
        <v>0</v>
      </c>
      <c r="BI3" s="166">
        <v>0</v>
      </c>
      <c r="BJ3" s="166">
        <v>0</v>
      </c>
      <c r="BK3" s="166">
        <v>0</v>
      </c>
      <c r="BL3" s="166">
        <v>0</v>
      </c>
      <c r="BM3" s="166">
        <v>0</v>
      </c>
      <c r="BN3" s="166">
        <v>0</v>
      </c>
      <c r="BO3" s="166">
        <v>0</v>
      </c>
      <c r="BP3" s="166">
        <v>0</v>
      </c>
      <c r="BQ3" s="81" t="s">
        <v>1757</v>
      </c>
      <c r="BX3" s="81" t="s">
        <v>155</v>
      </c>
      <c r="BZ3" s="81" t="s">
        <v>155</v>
      </c>
      <c r="CA3" s="81">
        <v>1</v>
      </c>
      <c r="CC3" s="167">
        <f>N3</f>
        <v>108</v>
      </c>
      <c r="CD3" s="167">
        <v>0</v>
      </c>
      <c r="CE3" s="167">
        <v>0</v>
      </c>
      <c r="CF3" s="167">
        <v>0</v>
      </c>
      <c r="CG3" s="167">
        <v>0</v>
      </c>
      <c r="CH3" s="167">
        <v>0</v>
      </c>
      <c r="CI3" s="167">
        <v>0</v>
      </c>
      <c r="CJ3" s="167">
        <v>0</v>
      </c>
      <c r="CK3" s="167">
        <v>0</v>
      </c>
      <c r="CL3" s="167">
        <v>0</v>
      </c>
      <c r="CM3" s="167">
        <v>0</v>
      </c>
      <c r="CN3" s="167">
        <v>0</v>
      </c>
      <c r="CO3" s="167">
        <v>0</v>
      </c>
      <c r="CP3" s="167">
        <v>0</v>
      </c>
      <c r="CQ3" s="167">
        <v>0</v>
      </c>
      <c r="CR3" s="167">
        <v>0</v>
      </c>
      <c r="CS3" s="167">
        <v>0</v>
      </c>
      <c r="CT3" s="167">
        <v>0</v>
      </c>
      <c r="CU3" s="167">
        <v>0</v>
      </c>
      <c r="CV3" s="167">
        <v>0</v>
      </c>
      <c r="CW3" s="167">
        <v>0</v>
      </c>
      <c r="CX3" s="167">
        <f>SUM(CD3:CH3)</f>
        <v>0</v>
      </c>
      <c r="CY3" s="167">
        <f>SUM(CD3:CM3)</f>
        <v>0</v>
      </c>
    </row>
    <row r="4" spans="1:103" ht="12.75" customHeight="1" x14ac:dyDescent="0.2">
      <c r="A4" s="81">
        <v>167</v>
      </c>
      <c r="B4" s="165" t="s">
        <v>1924</v>
      </c>
      <c r="C4" s="165" t="s">
        <v>487</v>
      </c>
      <c r="D4" s="165" t="s">
        <v>516</v>
      </c>
      <c r="E4" s="165" t="s">
        <v>1925</v>
      </c>
      <c r="G4" s="81">
        <v>526673</v>
      </c>
      <c r="H4" s="81">
        <v>176397</v>
      </c>
      <c r="I4" s="165" t="s">
        <v>257</v>
      </c>
      <c r="J4" s="349">
        <v>42389</v>
      </c>
      <c r="K4" s="349">
        <v>43165</v>
      </c>
      <c r="L4" s="166">
        <v>0</v>
      </c>
      <c r="M4" s="166">
        <v>27</v>
      </c>
      <c r="N4" s="166">
        <v>27</v>
      </c>
      <c r="O4" s="166">
        <v>135</v>
      </c>
      <c r="P4" s="166">
        <v>135</v>
      </c>
      <c r="Q4" s="81" t="s">
        <v>155</v>
      </c>
      <c r="R4" s="165" t="s">
        <v>756</v>
      </c>
      <c r="S4" s="81" t="s">
        <v>104</v>
      </c>
      <c r="T4" s="349">
        <v>41975</v>
      </c>
      <c r="U4" s="349">
        <v>42167</v>
      </c>
      <c r="W4" s="81" t="s">
        <v>114</v>
      </c>
      <c r="Y4" s="81" t="s">
        <v>115</v>
      </c>
      <c r="Z4" s="81" t="s">
        <v>116</v>
      </c>
      <c r="AA4" s="81" t="s">
        <v>116</v>
      </c>
      <c r="AB4" s="81" t="s">
        <v>117</v>
      </c>
      <c r="AC4" s="166">
        <v>1.60000007599592E-2</v>
      </c>
      <c r="AD4" s="349">
        <v>42389</v>
      </c>
      <c r="AF4" s="349">
        <v>43165</v>
      </c>
      <c r="AG4" s="81" t="s">
        <v>74</v>
      </c>
      <c r="AH4" s="81" t="s">
        <v>1913</v>
      </c>
      <c r="AI4" s="81" t="s">
        <v>1926</v>
      </c>
      <c r="AK4" s="166">
        <v>27</v>
      </c>
      <c r="AM4" s="166">
        <v>3</v>
      </c>
      <c r="AO4" s="166">
        <v>0</v>
      </c>
      <c r="AP4" s="166">
        <v>16</v>
      </c>
      <c r="AQ4" s="166">
        <v>11</v>
      </c>
      <c r="AR4" s="166">
        <v>0</v>
      </c>
      <c r="AS4" s="166">
        <v>0</v>
      </c>
      <c r="AT4" s="166">
        <v>0</v>
      </c>
      <c r="AU4" s="166">
        <v>0</v>
      </c>
      <c r="AV4" s="166">
        <v>0</v>
      </c>
      <c r="AW4" s="166">
        <v>16</v>
      </c>
      <c r="AX4" s="166">
        <v>11</v>
      </c>
      <c r="AY4" s="166">
        <v>0</v>
      </c>
      <c r="AZ4" s="166">
        <v>0</v>
      </c>
      <c r="BA4" s="166">
        <v>0</v>
      </c>
      <c r="BB4" s="166">
        <v>0</v>
      </c>
      <c r="BC4" s="166">
        <v>0</v>
      </c>
      <c r="BD4" s="166">
        <v>0</v>
      </c>
      <c r="BE4" s="166">
        <v>0</v>
      </c>
      <c r="BF4" s="166">
        <v>0</v>
      </c>
      <c r="BG4" s="166">
        <v>0</v>
      </c>
      <c r="BH4" s="166">
        <v>0</v>
      </c>
      <c r="BI4" s="166">
        <v>0</v>
      </c>
      <c r="BJ4" s="166">
        <v>0</v>
      </c>
      <c r="BK4" s="166">
        <v>0</v>
      </c>
      <c r="BL4" s="166">
        <v>0</v>
      </c>
      <c r="BM4" s="166">
        <v>0</v>
      </c>
      <c r="BN4" s="166">
        <v>0</v>
      </c>
      <c r="BO4" s="166">
        <v>0</v>
      </c>
      <c r="BP4" s="166">
        <v>0</v>
      </c>
      <c r="BQ4" s="81" t="s">
        <v>1757</v>
      </c>
      <c r="BX4" s="81" t="s">
        <v>155</v>
      </c>
      <c r="BZ4" s="81" t="s">
        <v>155</v>
      </c>
      <c r="CA4" s="81">
        <v>1</v>
      </c>
      <c r="CC4" s="167">
        <f>N4</f>
        <v>27</v>
      </c>
      <c r="CD4" s="167">
        <v>0</v>
      </c>
      <c r="CE4" s="167">
        <v>0</v>
      </c>
      <c r="CF4" s="167">
        <v>0</v>
      </c>
      <c r="CG4" s="167">
        <v>0</v>
      </c>
      <c r="CH4" s="167">
        <v>0</v>
      </c>
      <c r="CI4" s="167">
        <v>0</v>
      </c>
      <c r="CJ4" s="167">
        <v>0</v>
      </c>
      <c r="CK4" s="167">
        <v>0</v>
      </c>
      <c r="CL4" s="167">
        <v>0</v>
      </c>
      <c r="CM4" s="167">
        <v>0</v>
      </c>
      <c r="CN4" s="167">
        <v>0</v>
      </c>
      <c r="CO4" s="167">
        <v>0</v>
      </c>
      <c r="CP4" s="167">
        <v>0</v>
      </c>
      <c r="CQ4" s="167">
        <v>0</v>
      </c>
      <c r="CR4" s="167">
        <v>0</v>
      </c>
      <c r="CS4" s="167">
        <v>0</v>
      </c>
      <c r="CT4" s="167">
        <v>0</v>
      </c>
      <c r="CU4" s="167">
        <v>0</v>
      </c>
      <c r="CV4" s="167">
        <v>0</v>
      </c>
      <c r="CW4" s="167">
        <v>0</v>
      </c>
      <c r="CX4" s="167">
        <f>SUM(CD4:CH4)</f>
        <v>0</v>
      </c>
      <c r="CY4" s="167">
        <f>SUM(CD4:CM4)</f>
        <v>0</v>
      </c>
    </row>
    <row r="5" spans="1:103" ht="12.75" customHeight="1" x14ac:dyDescent="0.2">
      <c r="A5" s="81">
        <v>167</v>
      </c>
      <c r="B5" s="165" t="s">
        <v>1924</v>
      </c>
      <c r="C5" s="165" t="s">
        <v>988</v>
      </c>
      <c r="D5" s="165" t="s">
        <v>516</v>
      </c>
      <c r="E5" s="165" t="s">
        <v>1925</v>
      </c>
      <c r="G5" s="81">
        <v>526673</v>
      </c>
      <c r="H5" s="81">
        <v>176397</v>
      </c>
      <c r="I5" s="165" t="s">
        <v>257</v>
      </c>
      <c r="J5" s="349">
        <v>42488</v>
      </c>
      <c r="K5" s="349">
        <v>43165</v>
      </c>
      <c r="L5" s="166">
        <v>3</v>
      </c>
      <c r="M5" s="166">
        <v>2</v>
      </c>
      <c r="N5" s="166">
        <v>-1</v>
      </c>
      <c r="O5" s="166">
        <v>2</v>
      </c>
      <c r="P5" s="166">
        <v>-1</v>
      </c>
      <c r="Q5" s="81" t="s">
        <v>155</v>
      </c>
      <c r="R5" s="165" t="s">
        <v>989</v>
      </c>
      <c r="S5" s="81" t="s">
        <v>1916</v>
      </c>
      <c r="T5" s="349">
        <v>42461</v>
      </c>
      <c r="U5" s="349">
        <v>42488</v>
      </c>
      <c r="W5" s="81" t="s">
        <v>114</v>
      </c>
      <c r="Y5" s="81" t="s">
        <v>115</v>
      </c>
      <c r="Z5" s="81" t="s">
        <v>119</v>
      </c>
      <c r="AA5" s="81" t="s">
        <v>117</v>
      </c>
      <c r="AB5" s="81" t="s">
        <v>300</v>
      </c>
      <c r="AC5" s="166">
        <v>4.9999998882412902E-3</v>
      </c>
      <c r="AD5" s="349">
        <v>42488</v>
      </c>
      <c r="AF5" s="349">
        <v>43165</v>
      </c>
      <c r="AG5" s="81" t="s">
        <v>238</v>
      </c>
      <c r="AH5" s="81" t="s">
        <v>118</v>
      </c>
      <c r="AI5" s="81" t="s">
        <v>1926</v>
      </c>
      <c r="AK5" s="166">
        <v>2</v>
      </c>
      <c r="AM5" s="166">
        <v>0</v>
      </c>
      <c r="AO5" s="166">
        <v>0</v>
      </c>
      <c r="AP5" s="166">
        <v>0</v>
      </c>
      <c r="AQ5" s="166">
        <v>0</v>
      </c>
      <c r="AR5" s="166">
        <v>0</v>
      </c>
      <c r="AS5" s="166">
        <v>-1</v>
      </c>
      <c r="AT5" s="166">
        <v>0</v>
      </c>
      <c r="AU5" s="166">
        <v>0</v>
      </c>
      <c r="AV5" s="166">
        <v>0</v>
      </c>
      <c r="AW5" s="166">
        <v>0</v>
      </c>
      <c r="AX5" s="166">
        <v>0</v>
      </c>
      <c r="AY5" s="166">
        <v>0</v>
      </c>
      <c r="AZ5" s="166">
        <v>-1</v>
      </c>
      <c r="BA5" s="166">
        <v>0</v>
      </c>
      <c r="BB5" s="166">
        <v>0</v>
      </c>
      <c r="BC5" s="166">
        <v>0</v>
      </c>
      <c r="BD5" s="166">
        <v>0</v>
      </c>
      <c r="BE5" s="166">
        <v>0</v>
      </c>
      <c r="BF5" s="166">
        <v>0</v>
      </c>
      <c r="BG5" s="166">
        <v>0</v>
      </c>
      <c r="BH5" s="166">
        <v>0</v>
      </c>
      <c r="BI5" s="166">
        <v>0</v>
      </c>
      <c r="BJ5" s="166">
        <v>0</v>
      </c>
      <c r="BK5" s="166">
        <v>0</v>
      </c>
      <c r="BL5" s="166">
        <v>0</v>
      </c>
      <c r="BM5" s="166">
        <v>0</v>
      </c>
      <c r="BN5" s="166">
        <v>0</v>
      </c>
      <c r="BO5" s="166">
        <v>0</v>
      </c>
      <c r="BP5" s="166">
        <v>0</v>
      </c>
      <c r="BQ5" s="81" t="s">
        <v>1757</v>
      </c>
      <c r="BX5" s="81" t="s">
        <v>155</v>
      </c>
      <c r="BZ5" s="81" t="s">
        <v>155</v>
      </c>
      <c r="CA5" s="81">
        <v>7</v>
      </c>
      <c r="CC5" s="167">
        <f>N5</f>
        <v>-1</v>
      </c>
      <c r="CD5" s="167">
        <v>0</v>
      </c>
      <c r="CE5" s="167">
        <v>0</v>
      </c>
      <c r="CF5" s="167">
        <v>0</v>
      </c>
      <c r="CG5" s="167">
        <v>0</v>
      </c>
      <c r="CH5" s="167">
        <v>0</v>
      </c>
      <c r="CI5" s="167">
        <v>0</v>
      </c>
      <c r="CJ5" s="167">
        <v>0</v>
      </c>
      <c r="CK5" s="167">
        <v>0</v>
      </c>
      <c r="CL5" s="167">
        <v>0</v>
      </c>
      <c r="CM5" s="167">
        <v>0</v>
      </c>
      <c r="CN5" s="167">
        <v>0</v>
      </c>
      <c r="CO5" s="167">
        <v>0</v>
      </c>
      <c r="CP5" s="167">
        <v>0</v>
      </c>
      <c r="CQ5" s="167">
        <v>0</v>
      </c>
      <c r="CR5" s="167">
        <v>0</v>
      </c>
      <c r="CS5" s="167">
        <v>0</v>
      </c>
      <c r="CT5" s="167">
        <v>0</v>
      </c>
      <c r="CU5" s="167">
        <v>0</v>
      </c>
      <c r="CV5" s="167">
        <v>0</v>
      </c>
      <c r="CW5" s="167">
        <v>0</v>
      </c>
      <c r="CX5" s="167">
        <f>SUM(CD5:CH5)</f>
        <v>0</v>
      </c>
      <c r="CY5" s="167">
        <f>SUM(CD5:CM5)</f>
        <v>0</v>
      </c>
    </row>
    <row r="6" spans="1:103" ht="12.75" customHeight="1" x14ac:dyDescent="0.2">
      <c r="A6" s="81">
        <v>211</v>
      </c>
      <c r="B6" s="165" t="s">
        <v>1924</v>
      </c>
      <c r="C6" s="165" t="s">
        <v>1049</v>
      </c>
      <c r="E6" s="165" t="s">
        <v>3043</v>
      </c>
      <c r="G6" s="81">
        <v>527282</v>
      </c>
      <c r="H6" s="81">
        <v>176235</v>
      </c>
      <c r="I6" s="165" t="s">
        <v>241</v>
      </c>
      <c r="J6" s="349">
        <v>42825</v>
      </c>
      <c r="K6" s="349">
        <v>43190</v>
      </c>
      <c r="L6" s="166">
        <v>0</v>
      </c>
      <c r="M6" s="166">
        <v>1</v>
      </c>
      <c r="N6" s="166">
        <v>1</v>
      </c>
      <c r="O6" s="166">
        <v>1</v>
      </c>
      <c r="P6" s="166">
        <v>1</v>
      </c>
      <c r="R6" s="165" t="s">
        <v>1050</v>
      </c>
      <c r="S6" s="81" t="s">
        <v>113</v>
      </c>
      <c r="T6" s="349">
        <v>42600</v>
      </c>
      <c r="U6" s="349">
        <v>42656</v>
      </c>
      <c r="W6" s="81" t="s">
        <v>114</v>
      </c>
      <c r="Y6" s="81" t="s">
        <v>115</v>
      </c>
      <c r="Z6" s="81" t="s">
        <v>116</v>
      </c>
      <c r="AA6" s="81" t="s">
        <v>117</v>
      </c>
      <c r="AB6" s="81" t="s">
        <v>218</v>
      </c>
      <c r="AC6" s="166">
        <v>3.29999998211861E-2</v>
      </c>
      <c r="AD6" s="349">
        <v>42825</v>
      </c>
      <c r="AF6" s="349">
        <v>43190</v>
      </c>
      <c r="AG6" s="81" t="s">
        <v>238</v>
      </c>
      <c r="AH6" s="81" t="s">
        <v>118</v>
      </c>
      <c r="AK6" s="166">
        <v>0</v>
      </c>
      <c r="AM6" s="166">
        <v>0</v>
      </c>
      <c r="AO6" s="166">
        <v>0</v>
      </c>
      <c r="AP6" s="166">
        <v>0</v>
      </c>
      <c r="AQ6" s="166">
        <v>0</v>
      </c>
      <c r="AR6" s="166">
        <v>1</v>
      </c>
      <c r="AS6" s="166">
        <v>0</v>
      </c>
      <c r="AT6" s="166">
        <v>0</v>
      </c>
      <c r="AU6" s="166">
        <v>0</v>
      </c>
      <c r="AV6" s="166">
        <v>0</v>
      </c>
      <c r="AW6" s="166">
        <v>0</v>
      </c>
      <c r="AX6" s="166">
        <v>0</v>
      </c>
      <c r="AY6" s="166">
        <v>0</v>
      </c>
      <c r="AZ6" s="166">
        <v>0</v>
      </c>
      <c r="BA6" s="166">
        <v>0</v>
      </c>
      <c r="BB6" s="166">
        <v>0</v>
      </c>
      <c r="BC6" s="166">
        <v>0</v>
      </c>
      <c r="BD6" s="166">
        <v>0</v>
      </c>
      <c r="BE6" s="166">
        <v>0</v>
      </c>
      <c r="BF6" s="166">
        <v>1</v>
      </c>
      <c r="BG6" s="166">
        <v>0</v>
      </c>
      <c r="BH6" s="166">
        <v>0</v>
      </c>
      <c r="BI6" s="166">
        <v>0</v>
      </c>
      <c r="BJ6" s="166">
        <v>0</v>
      </c>
      <c r="BK6" s="166">
        <v>0</v>
      </c>
      <c r="BL6" s="166">
        <v>0</v>
      </c>
      <c r="BM6" s="166">
        <v>0</v>
      </c>
      <c r="BN6" s="166">
        <v>0</v>
      </c>
      <c r="BO6" s="166">
        <v>0</v>
      </c>
      <c r="BP6" s="166">
        <v>0</v>
      </c>
      <c r="BQ6" s="81" t="s">
        <v>1757</v>
      </c>
      <c r="BZ6" s="81" t="s">
        <v>155</v>
      </c>
      <c r="CA6" s="81">
        <v>1</v>
      </c>
      <c r="CC6" s="167">
        <f>N6</f>
        <v>1</v>
      </c>
      <c r="CD6" s="167">
        <v>0</v>
      </c>
      <c r="CE6" s="167">
        <v>0</v>
      </c>
      <c r="CF6" s="167">
        <v>0</v>
      </c>
      <c r="CG6" s="167">
        <v>0</v>
      </c>
      <c r="CH6" s="167">
        <v>0</v>
      </c>
      <c r="CI6" s="167">
        <v>0</v>
      </c>
      <c r="CJ6" s="167">
        <v>0</v>
      </c>
      <c r="CK6" s="167">
        <v>0</v>
      </c>
      <c r="CL6" s="167">
        <v>0</v>
      </c>
      <c r="CM6" s="167">
        <v>0</v>
      </c>
      <c r="CN6" s="167">
        <v>0</v>
      </c>
      <c r="CO6" s="167">
        <v>0</v>
      </c>
      <c r="CP6" s="167">
        <v>0</v>
      </c>
      <c r="CQ6" s="167">
        <v>0</v>
      </c>
      <c r="CR6" s="167">
        <v>0</v>
      </c>
      <c r="CS6" s="167">
        <v>0</v>
      </c>
      <c r="CT6" s="167">
        <v>0</v>
      </c>
      <c r="CU6" s="167">
        <v>0</v>
      </c>
      <c r="CV6" s="167">
        <v>0</v>
      </c>
      <c r="CW6" s="167">
        <v>0</v>
      </c>
      <c r="CX6" s="167">
        <f>SUM(CD6:CH6)</f>
        <v>0</v>
      </c>
      <c r="CY6" s="167">
        <f>SUM(CD6:CM6)</f>
        <v>0</v>
      </c>
    </row>
    <row r="7" spans="1:103" ht="12.75" customHeight="1" x14ac:dyDescent="0.2">
      <c r="A7" s="81">
        <v>449</v>
      </c>
      <c r="B7" s="165" t="s">
        <v>1924</v>
      </c>
      <c r="C7" s="165" t="s">
        <v>691</v>
      </c>
      <c r="E7" s="165" t="s">
        <v>3044</v>
      </c>
      <c r="G7" s="81">
        <v>527966</v>
      </c>
      <c r="H7" s="81">
        <v>172285</v>
      </c>
      <c r="I7" s="165" t="s">
        <v>248</v>
      </c>
      <c r="J7" s="349">
        <v>42826</v>
      </c>
      <c r="K7" s="349">
        <v>43190</v>
      </c>
      <c r="L7" s="166">
        <v>0</v>
      </c>
      <c r="M7" s="166">
        <v>1</v>
      </c>
      <c r="N7" s="166">
        <v>1</v>
      </c>
      <c r="O7" s="166">
        <v>1</v>
      </c>
      <c r="P7" s="166">
        <v>1</v>
      </c>
      <c r="R7" s="165" t="s">
        <v>692</v>
      </c>
      <c r="S7" s="81" t="s">
        <v>113</v>
      </c>
      <c r="T7" s="349">
        <v>42312</v>
      </c>
      <c r="U7" s="349">
        <v>42440</v>
      </c>
      <c r="W7" s="81" t="s">
        <v>114</v>
      </c>
      <c r="Y7" s="81" t="s">
        <v>115</v>
      </c>
      <c r="Z7" s="81" t="s">
        <v>219</v>
      </c>
      <c r="AA7" s="81" t="s">
        <v>117</v>
      </c>
      <c r="AB7" s="81" t="s">
        <v>3889</v>
      </c>
      <c r="AC7" s="166">
        <v>3.0000000260770299E-3</v>
      </c>
      <c r="AD7" s="349">
        <v>42826</v>
      </c>
      <c r="AE7" s="81" t="s">
        <v>155</v>
      </c>
      <c r="AF7" s="349">
        <v>43190</v>
      </c>
      <c r="AG7" s="81" t="s">
        <v>238</v>
      </c>
      <c r="AH7" s="81" t="s">
        <v>118</v>
      </c>
      <c r="AK7" s="166">
        <v>0</v>
      </c>
      <c r="AM7" s="166">
        <v>0</v>
      </c>
      <c r="AO7" s="166">
        <v>1</v>
      </c>
      <c r="AP7" s="166">
        <v>0</v>
      </c>
      <c r="AQ7" s="166">
        <v>0</v>
      </c>
      <c r="AR7" s="166">
        <v>0</v>
      </c>
      <c r="AS7" s="166">
        <v>0</v>
      </c>
      <c r="AT7" s="166">
        <v>0</v>
      </c>
      <c r="AU7" s="166">
        <v>0</v>
      </c>
      <c r="AV7" s="166">
        <v>1</v>
      </c>
      <c r="AW7" s="166">
        <v>0</v>
      </c>
      <c r="AX7" s="166">
        <v>0</v>
      </c>
      <c r="AY7" s="166">
        <v>0</v>
      </c>
      <c r="AZ7" s="166">
        <v>0</v>
      </c>
      <c r="BA7" s="166">
        <v>0</v>
      </c>
      <c r="BB7" s="166">
        <v>0</v>
      </c>
      <c r="BC7" s="166">
        <v>0</v>
      </c>
      <c r="BD7" s="166">
        <v>0</v>
      </c>
      <c r="BE7" s="166">
        <v>0</v>
      </c>
      <c r="BF7" s="166">
        <v>0</v>
      </c>
      <c r="BG7" s="166">
        <v>0</v>
      </c>
      <c r="BH7" s="166">
        <v>0</v>
      </c>
      <c r="BI7" s="166">
        <v>0</v>
      </c>
      <c r="BJ7" s="166">
        <v>0</v>
      </c>
      <c r="BK7" s="166">
        <v>0</v>
      </c>
      <c r="BL7" s="166">
        <v>0</v>
      </c>
      <c r="BM7" s="166">
        <v>0</v>
      </c>
      <c r="BN7" s="166">
        <v>0</v>
      </c>
      <c r="BO7" s="166">
        <v>0</v>
      </c>
      <c r="BP7" s="166">
        <v>0</v>
      </c>
      <c r="BQ7" s="81" t="s">
        <v>1757</v>
      </c>
      <c r="BZ7" s="81" t="s">
        <v>155</v>
      </c>
      <c r="CA7" s="81">
        <v>7</v>
      </c>
      <c r="CC7" s="167">
        <f>N7</f>
        <v>1</v>
      </c>
      <c r="CD7" s="167">
        <v>0</v>
      </c>
      <c r="CE7" s="167">
        <v>0</v>
      </c>
      <c r="CF7" s="167">
        <v>0</v>
      </c>
      <c r="CG7" s="167">
        <v>0</v>
      </c>
      <c r="CH7" s="167">
        <v>0</v>
      </c>
      <c r="CI7" s="167">
        <v>0</v>
      </c>
      <c r="CJ7" s="167">
        <v>0</v>
      </c>
      <c r="CK7" s="167">
        <v>0</v>
      </c>
      <c r="CL7" s="167">
        <v>0</v>
      </c>
      <c r="CM7" s="167">
        <v>0</v>
      </c>
      <c r="CN7" s="167">
        <v>0</v>
      </c>
      <c r="CO7" s="167">
        <v>0</v>
      </c>
      <c r="CP7" s="167">
        <v>0</v>
      </c>
      <c r="CQ7" s="167">
        <v>0</v>
      </c>
      <c r="CR7" s="167">
        <v>0</v>
      </c>
      <c r="CS7" s="167">
        <v>0</v>
      </c>
      <c r="CT7" s="167">
        <v>0</v>
      </c>
      <c r="CU7" s="167">
        <v>0</v>
      </c>
      <c r="CV7" s="167">
        <v>0</v>
      </c>
      <c r="CW7" s="167">
        <v>0</v>
      </c>
      <c r="CX7" s="167">
        <f>SUM(CD7:CH7)</f>
        <v>0</v>
      </c>
      <c r="CY7" s="167">
        <f>SUM(CD7:CM7)</f>
        <v>0</v>
      </c>
    </row>
    <row r="8" spans="1:103" ht="12.75" customHeight="1" x14ac:dyDescent="0.2">
      <c r="A8" s="81">
        <v>1183</v>
      </c>
      <c r="B8" s="165" t="s">
        <v>1924</v>
      </c>
      <c r="C8" s="165" t="s">
        <v>1493</v>
      </c>
      <c r="E8" s="165" t="s">
        <v>3045</v>
      </c>
      <c r="G8" s="81">
        <v>524979</v>
      </c>
      <c r="H8" s="81">
        <v>174628</v>
      </c>
      <c r="I8" s="165" t="s">
        <v>251</v>
      </c>
      <c r="J8" s="349">
        <v>42917</v>
      </c>
      <c r="K8" s="349">
        <v>43145</v>
      </c>
      <c r="L8" s="166">
        <v>0</v>
      </c>
      <c r="M8" s="166">
        <v>1</v>
      </c>
      <c r="N8" s="166">
        <v>1</v>
      </c>
      <c r="O8" s="166">
        <v>1</v>
      </c>
      <c r="P8" s="166">
        <v>1</v>
      </c>
      <c r="R8" s="165" t="s">
        <v>1494</v>
      </c>
      <c r="S8" s="81" t="s">
        <v>110</v>
      </c>
      <c r="T8" s="349">
        <v>42704</v>
      </c>
      <c r="U8" s="349">
        <v>42752</v>
      </c>
      <c r="W8" s="81" t="s">
        <v>114</v>
      </c>
      <c r="Y8" s="81" t="s">
        <v>115</v>
      </c>
      <c r="Z8" s="81" t="s">
        <v>310</v>
      </c>
      <c r="AA8" s="81" t="s">
        <v>117</v>
      </c>
      <c r="AB8" s="81" t="s">
        <v>102</v>
      </c>
      <c r="AC8" s="166">
        <v>4.9999998882412902E-3</v>
      </c>
      <c r="AD8" s="349">
        <v>42917</v>
      </c>
      <c r="AE8" s="81" t="s">
        <v>155</v>
      </c>
      <c r="AF8" s="349">
        <v>43145</v>
      </c>
      <c r="AG8" s="81" t="s">
        <v>238</v>
      </c>
      <c r="AH8" s="81" t="s">
        <v>118</v>
      </c>
      <c r="AK8" s="166">
        <v>0</v>
      </c>
      <c r="AM8" s="166">
        <v>0</v>
      </c>
      <c r="AO8" s="166">
        <v>0</v>
      </c>
      <c r="AP8" s="166">
        <v>0</v>
      </c>
      <c r="AQ8" s="166">
        <v>1</v>
      </c>
      <c r="AR8" s="166">
        <v>0</v>
      </c>
      <c r="AS8" s="166">
        <v>0</v>
      </c>
      <c r="AT8" s="166">
        <v>0</v>
      </c>
      <c r="AU8" s="166">
        <v>0</v>
      </c>
      <c r="AV8" s="166">
        <v>0</v>
      </c>
      <c r="AW8" s="166">
        <v>0</v>
      </c>
      <c r="AX8" s="166">
        <v>1</v>
      </c>
      <c r="AY8" s="166">
        <v>0</v>
      </c>
      <c r="AZ8" s="166">
        <v>0</v>
      </c>
      <c r="BA8" s="166">
        <v>0</v>
      </c>
      <c r="BB8" s="166">
        <v>0</v>
      </c>
      <c r="BC8" s="166">
        <v>0</v>
      </c>
      <c r="BD8" s="166">
        <v>0</v>
      </c>
      <c r="BE8" s="166">
        <v>0</v>
      </c>
      <c r="BF8" s="166">
        <v>0</v>
      </c>
      <c r="BG8" s="166">
        <v>0</v>
      </c>
      <c r="BH8" s="166">
        <v>0</v>
      </c>
      <c r="BI8" s="166">
        <v>0</v>
      </c>
      <c r="BJ8" s="166">
        <v>0</v>
      </c>
      <c r="BK8" s="166">
        <v>0</v>
      </c>
      <c r="BL8" s="166">
        <v>0</v>
      </c>
      <c r="BM8" s="166">
        <v>0</v>
      </c>
      <c r="BN8" s="166">
        <v>0</v>
      </c>
      <c r="BO8" s="166">
        <v>0</v>
      </c>
      <c r="BP8" s="166">
        <v>0</v>
      </c>
      <c r="BQ8" s="81" t="s">
        <v>1758</v>
      </c>
      <c r="BZ8" s="81" t="s">
        <v>155</v>
      </c>
      <c r="CA8" s="81">
        <v>7</v>
      </c>
      <c r="CC8" s="167">
        <f>N8</f>
        <v>1</v>
      </c>
      <c r="CD8" s="167">
        <v>0</v>
      </c>
      <c r="CE8" s="167">
        <v>0</v>
      </c>
      <c r="CF8" s="167">
        <v>0</v>
      </c>
      <c r="CG8" s="167">
        <v>0</v>
      </c>
      <c r="CH8" s="167">
        <v>0</v>
      </c>
      <c r="CI8" s="167">
        <v>0</v>
      </c>
      <c r="CJ8" s="167">
        <v>0</v>
      </c>
      <c r="CK8" s="167">
        <v>0</v>
      </c>
      <c r="CL8" s="167">
        <v>0</v>
      </c>
      <c r="CM8" s="167">
        <v>0</v>
      </c>
      <c r="CN8" s="167">
        <v>0</v>
      </c>
      <c r="CO8" s="167">
        <v>0</v>
      </c>
      <c r="CP8" s="167">
        <v>0</v>
      </c>
      <c r="CQ8" s="167">
        <v>0</v>
      </c>
      <c r="CR8" s="167">
        <v>0</v>
      </c>
      <c r="CS8" s="167">
        <v>0</v>
      </c>
      <c r="CT8" s="167">
        <v>0</v>
      </c>
      <c r="CU8" s="167">
        <v>0</v>
      </c>
      <c r="CV8" s="167">
        <v>0</v>
      </c>
      <c r="CW8" s="167">
        <v>0</v>
      </c>
      <c r="CX8" s="167">
        <f>SUM(CD8:CH8)</f>
        <v>0</v>
      </c>
      <c r="CY8" s="167">
        <f>SUM(CD8:CM8)</f>
        <v>0</v>
      </c>
    </row>
    <row r="9" spans="1:103" ht="12.75" customHeight="1" x14ac:dyDescent="0.2">
      <c r="A9" s="81">
        <v>1359</v>
      </c>
      <c r="B9" s="165" t="s">
        <v>1924</v>
      </c>
      <c r="C9" s="165" t="s">
        <v>3046</v>
      </c>
      <c r="D9" s="165" t="s">
        <v>3047</v>
      </c>
      <c r="E9" s="165" t="s">
        <v>3048</v>
      </c>
      <c r="G9" s="81">
        <v>526900</v>
      </c>
      <c r="H9" s="81">
        <v>171788</v>
      </c>
      <c r="I9" s="165" t="s">
        <v>242</v>
      </c>
      <c r="K9" s="349">
        <v>43190</v>
      </c>
      <c r="L9" s="166">
        <v>0</v>
      </c>
      <c r="M9" s="166">
        <v>1</v>
      </c>
      <c r="N9" s="166">
        <v>1</v>
      </c>
      <c r="O9" s="166">
        <v>1</v>
      </c>
      <c r="P9" s="166">
        <v>1</v>
      </c>
      <c r="R9" s="165" t="s">
        <v>3049</v>
      </c>
      <c r="S9" s="81" t="s">
        <v>113</v>
      </c>
      <c r="T9" s="349">
        <v>43089</v>
      </c>
      <c r="U9" s="349">
        <v>43145</v>
      </c>
      <c r="V9" s="81" t="s">
        <v>155</v>
      </c>
      <c r="W9" s="81" t="s">
        <v>114</v>
      </c>
      <c r="Y9" s="81" t="s">
        <v>115</v>
      </c>
      <c r="Z9" s="81" t="s">
        <v>398</v>
      </c>
      <c r="AA9" s="81" t="s">
        <v>117</v>
      </c>
      <c r="AB9" s="81" t="s">
        <v>311</v>
      </c>
      <c r="AC9" s="166">
        <v>6.0000000521540598E-3</v>
      </c>
      <c r="AF9" s="349">
        <v>43190</v>
      </c>
      <c r="AG9" s="81" t="s">
        <v>238</v>
      </c>
      <c r="AH9" s="81" t="s">
        <v>118</v>
      </c>
      <c r="AK9" s="166">
        <v>0</v>
      </c>
      <c r="AM9" s="166">
        <v>0</v>
      </c>
      <c r="AO9" s="166">
        <v>0</v>
      </c>
      <c r="AP9" s="166">
        <v>0</v>
      </c>
      <c r="AQ9" s="166">
        <v>1</v>
      </c>
      <c r="AR9" s="166">
        <v>0</v>
      </c>
      <c r="AS9" s="166">
        <v>0</v>
      </c>
      <c r="AT9" s="166">
        <v>0</v>
      </c>
      <c r="AU9" s="166">
        <v>0</v>
      </c>
      <c r="AV9" s="166">
        <v>0</v>
      </c>
      <c r="AW9" s="166">
        <v>0</v>
      </c>
      <c r="AX9" s="166">
        <v>1</v>
      </c>
      <c r="AY9" s="166">
        <v>0</v>
      </c>
      <c r="AZ9" s="166">
        <v>0</v>
      </c>
      <c r="BA9" s="166">
        <v>0</v>
      </c>
      <c r="BB9" s="166">
        <v>0</v>
      </c>
      <c r="BC9" s="166">
        <v>0</v>
      </c>
      <c r="BD9" s="166">
        <v>0</v>
      </c>
      <c r="BE9" s="166">
        <v>0</v>
      </c>
      <c r="BF9" s="166">
        <v>0</v>
      </c>
      <c r="BG9" s="166">
        <v>0</v>
      </c>
      <c r="BH9" s="166">
        <v>0</v>
      </c>
      <c r="BI9" s="166">
        <v>0</v>
      </c>
      <c r="BJ9" s="166">
        <v>0</v>
      </c>
      <c r="BK9" s="166">
        <v>0</v>
      </c>
      <c r="BL9" s="166">
        <v>0</v>
      </c>
      <c r="BM9" s="166">
        <v>0</v>
      </c>
      <c r="BN9" s="166">
        <v>0</v>
      </c>
      <c r="BO9" s="166">
        <v>0</v>
      </c>
      <c r="BP9" s="166">
        <v>0</v>
      </c>
      <c r="BQ9" s="81" t="s">
        <v>1757</v>
      </c>
      <c r="BZ9" s="81" t="s">
        <v>155</v>
      </c>
      <c r="CA9" s="81">
        <v>7</v>
      </c>
      <c r="CC9" s="167">
        <f>N9</f>
        <v>1</v>
      </c>
      <c r="CD9" s="167">
        <v>0</v>
      </c>
      <c r="CE9" s="167">
        <v>0</v>
      </c>
      <c r="CF9" s="167">
        <v>0</v>
      </c>
      <c r="CG9" s="167">
        <v>0</v>
      </c>
      <c r="CH9" s="167">
        <v>0</v>
      </c>
      <c r="CI9" s="167">
        <v>0</v>
      </c>
      <c r="CJ9" s="167">
        <v>0</v>
      </c>
      <c r="CK9" s="167">
        <v>0</v>
      </c>
      <c r="CL9" s="167">
        <v>0</v>
      </c>
      <c r="CM9" s="167">
        <v>0</v>
      </c>
      <c r="CN9" s="167">
        <v>0</v>
      </c>
      <c r="CO9" s="167">
        <v>0</v>
      </c>
      <c r="CP9" s="167">
        <v>0</v>
      </c>
      <c r="CQ9" s="167">
        <v>0</v>
      </c>
      <c r="CR9" s="167">
        <v>0</v>
      </c>
      <c r="CS9" s="167">
        <v>0</v>
      </c>
      <c r="CT9" s="167">
        <v>0</v>
      </c>
      <c r="CU9" s="167">
        <v>0</v>
      </c>
      <c r="CV9" s="167">
        <v>0</v>
      </c>
      <c r="CW9" s="167">
        <v>0</v>
      </c>
      <c r="CX9" s="167">
        <f>SUM(CD9:CH9)</f>
        <v>0</v>
      </c>
      <c r="CY9" s="167">
        <f>SUM(CD9:CM9)</f>
        <v>0</v>
      </c>
    </row>
    <row r="10" spans="1:103" ht="12.75" customHeight="1" x14ac:dyDescent="0.2">
      <c r="A10" s="81">
        <v>1389</v>
      </c>
      <c r="B10" s="165" t="s">
        <v>1924</v>
      </c>
      <c r="C10" s="165" t="s">
        <v>3050</v>
      </c>
      <c r="E10" s="165" t="s">
        <v>3051</v>
      </c>
      <c r="G10" s="81">
        <v>527222</v>
      </c>
      <c r="H10" s="81">
        <v>177053</v>
      </c>
      <c r="I10" s="165" t="s">
        <v>257</v>
      </c>
      <c r="J10" s="349">
        <v>39234</v>
      </c>
      <c r="K10" s="349">
        <v>43055</v>
      </c>
      <c r="L10" s="166">
        <v>0</v>
      </c>
      <c r="M10" s="166">
        <v>1</v>
      </c>
      <c r="N10" s="166">
        <v>1</v>
      </c>
      <c r="O10" s="166">
        <v>1</v>
      </c>
      <c r="P10" s="166">
        <v>1</v>
      </c>
      <c r="R10" s="165" t="s">
        <v>3052</v>
      </c>
      <c r="S10" s="81" t="s">
        <v>504</v>
      </c>
      <c r="T10" s="349">
        <v>42999</v>
      </c>
      <c r="U10" s="349">
        <v>43055</v>
      </c>
      <c r="V10" s="81" t="s">
        <v>155</v>
      </c>
      <c r="W10" s="81" t="s">
        <v>114</v>
      </c>
      <c r="Y10" s="81" t="s">
        <v>115</v>
      </c>
      <c r="Z10" s="81" t="s">
        <v>310</v>
      </c>
      <c r="AA10" s="81" t="s">
        <v>117</v>
      </c>
      <c r="AB10" s="81" t="s">
        <v>311</v>
      </c>
      <c r="AC10" s="166">
        <v>3.0000000260770299E-3</v>
      </c>
      <c r="AD10" s="349">
        <v>39234</v>
      </c>
      <c r="AF10" s="349">
        <v>43055</v>
      </c>
      <c r="AG10" s="81" t="s">
        <v>238</v>
      </c>
      <c r="AH10" s="81" t="s">
        <v>118</v>
      </c>
      <c r="AK10" s="166">
        <v>0</v>
      </c>
      <c r="AM10" s="166">
        <v>0</v>
      </c>
      <c r="AO10" s="166">
        <v>0</v>
      </c>
      <c r="AP10" s="166">
        <v>0</v>
      </c>
      <c r="AQ10" s="166">
        <v>1</v>
      </c>
      <c r="AR10" s="166">
        <v>0</v>
      </c>
      <c r="AS10" s="166">
        <v>0</v>
      </c>
      <c r="AT10" s="166">
        <v>0</v>
      </c>
      <c r="AU10" s="166">
        <v>0</v>
      </c>
      <c r="AV10" s="166">
        <v>0</v>
      </c>
      <c r="AW10" s="166">
        <v>0</v>
      </c>
      <c r="AX10" s="166">
        <v>1</v>
      </c>
      <c r="AY10" s="166">
        <v>0</v>
      </c>
      <c r="AZ10" s="166">
        <v>0</v>
      </c>
      <c r="BA10" s="166">
        <v>0</v>
      </c>
      <c r="BB10" s="166">
        <v>0</v>
      </c>
      <c r="BC10" s="166">
        <v>0</v>
      </c>
      <c r="BD10" s="166">
        <v>0</v>
      </c>
      <c r="BE10" s="166">
        <v>0</v>
      </c>
      <c r="BF10" s="166">
        <v>0</v>
      </c>
      <c r="BG10" s="166">
        <v>0</v>
      </c>
      <c r="BH10" s="166">
        <v>0</v>
      </c>
      <c r="BI10" s="166">
        <v>0</v>
      </c>
      <c r="BJ10" s="166">
        <v>0</v>
      </c>
      <c r="BK10" s="166">
        <v>0</v>
      </c>
      <c r="BL10" s="166">
        <v>0</v>
      </c>
      <c r="BM10" s="166">
        <v>0</v>
      </c>
      <c r="BN10" s="166">
        <v>0</v>
      </c>
      <c r="BO10" s="166">
        <v>0</v>
      </c>
      <c r="BP10" s="166">
        <v>0</v>
      </c>
      <c r="BQ10" s="81" t="s">
        <v>1757</v>
      </c>
      <c r="BZ10" s="81" t="s">
        <v>155</v>
      </c>
      <c r="CA10" s="81">
        <v>7</v>
      </c>
      <c r="CC10" s="167">
        <f>N10</f>
        <v>1</v>
      </c>
      <c r="CD10" s="167">
        <v>0</v>
      </c>
      <c r="CE10" s="167">
        <v>0</v>
      </c>
      <c r="CF10" s="167">
        <v>0</v>
      </c>
      <c r="CG10" s="167">
        <v>0</v>
      </c>
      <c r="CH10" s="167">
        <v>0</v>
      </c>
      <c r="CI10" s="167">
        <v>0</v>
      </c>
      <c r="CJ10" s="167">
        <v>0</v>
      </c>
      <c r="CK10" s="167">
        <v>0</v>
      </c>
      <c r="CL10" s="167">
        <v>0</v>
      </c>
      <c r="CM10" s="167">
        <v>0</v>
      </c>
      <c r="CN10" s="167">
        <v>0</v>
      </c>
      <c r="CO10" s="167">
        <v>0</v>
      </c>
      <c r="CP10" s="167">
        <v>0</v>
      </c>
      <c r="CQ10" s="167">
        <v>0</v>
      </c>
      <c r="CR10" s="167">
        <v>0</v>
      </c>
      <c r="CS10" s="167">
        <v>0</v>
      </c>
      <c r="CT10" s="167">
        <v>0</v>
      </c>
      <c r="CU10" s="167">
        <v>0</v>
      </c>
      <c r="CV10" s="167">
        <v>0</v>
      </c>
      <c r="CW10" s="167">
        <v>0</v>
      </c>
      <c r="CX10" s="167">
        <f>SUM(CD10:CH10)</f>
        <v>0</v>
      </c>
      <c r="CY10" s="167">
        <f>SUM(CD10:CM10)</f>
        <v>0</v>
      </c>
    </row>
    <row r="11" spans="1:103" ht="12.75" customHeight="1" x14ac:dyDescent="0.2">
      <c r="A11" s="81">
        <v>1502</v>
      </c>
      <c r="B11" s="165" t="s">
        <v>1924</v>
      </c>
      <c r="C11" s="165" t="s">
        <v>3053</v>
      </c>
      <c r="E11" s="165" t="s">
        <v>3054</v>
      </c>
      <c r="G11" s="81">
        <v>528652</v>
      </c>
      <c r="H11" s="81">
        <v>172479</v>
      </c>
      <c r="I11" s="165" t="s">
        <v>248</v>
      </c>
      <c r="J11" s="349">
        <v>43185</v>
      </c>
      <c r="K11" s="349">
        <v>43190</v>
      </c>
      <c r="L11" s="166">
        <v>1</v>
      </c>
      <c r="M11" s="166">
        <v>1</v>
      </c>
      <c r="N11" s="166">
        <v>0</v>
      </c>
      <c r="O11" s="166">
        <v>1</v>
      </c>
      <c r="P11" s="166">
        <v>0</v>
      </c>
      <c r="R11" s="165" t="s">
        <v>3055</v>
      </c>
      <c r="S11" s="81" t="s">
        <v>113</v>
      </c>
      <c r="T11" s="349">
        <v>43080</v>
      </c>
      <c r="U11" s="349">
        <v>43185</v>
      </c>
      <c r="V11" s="81" t="s">
        <v>155</v>
      </c>
      <c r="W11" s="81" t="s">
        <v>114</v>
      </c>
      <c r="Y11" s="81" t="s">
        <v>115</v>
      </c>
      <c r="Z11" s="81" t="s">
        <v>310</v>
      </c>
      <c r="AA11" s="81" t="s">
        <v>117</v>
      </c>
      <c r="AB11" s="81" t="s">
        <v>105</v>
      </c>
      <c r="AC11" s="166">
        <v>2.3000000044703501E-2</v>
      </c>
      <c r="AD11" s="349">
        <v>43185</v>
      </c>
      <c r="AE11" s="81" t="s">
        <v>155</v>
      </c>
      <c r="AF11" s="349">
        <v>43190</v>
      </c>
      <c r="AG11" s="81" t="s">
        <v>238</v>
      </c>
      <c r="AH11" s="81" t="s">
        <v>118</v>
      </c>
      <c r="AK11" s="166">
        <v>0</v>
      </c>
      <c r="AM11" s="166">
        <v>0</v>
      </c>
      <c r="AO11" s="166">
        <v>0</v>
      </c>
      <c r="AP11" s="166">
        <v>0</v>
      </c>
      <c r="AQ11" s="166">
        <v>0</v>
      </c>
      <c r="AR11" s="166">
        <v>0</v>
      </c>
      <c r="AS11" s="166">
        <v>0</v>
      </c>
      <c r="AT11" s="166">
        <v>0</v>
      </c>
      <c r="AU11" s="166">
        <v>0</v>
      </c>
      <c r="AV11" s="166">
        <v>0</v>
      </c>
      <c r="AW11" s="166">
        <v>0</v>
      </c>
      <c r="AX11" s="166">
        <v>0</v>
      </c>
      <c r="AY11" s="166">
        <v>0</v>
      </c>
      <c r="AZ11" s="166">
        <v>0</v>
      </c>
      <c r="BA11" s="166">
        <v>0</v>
      </c>
      <c r="BB11" s="166">
        <v>0</v>
      </c>
      <c r="BC11" s="166">
        <v>0</v>
      </c>
      <c r="BD11" s="166">
        <v>0</v>
      </c>
      <c r="BE11" s="166">
        <v>0</v>
      </c>
      <c r="BF11" s="166">
        <v>0</v>
      </c>
      <c r="BG11" s="166">
        <v>0</v>
      </c>
      <c r="BH11" s="166">
        <v>0</v>
      </c>
      <c r="BI11" s="166">
        <v>0</v>
      </c>
      <c r="BJ11" s="166">
        <v>0</v>
      </c>
      <c r="BK11" s="166">
        <v>0</v>
      </c>
      <c r="BL11" s="166">
        <v>0</v>
      </c>
      <c r="BM11" s="166">
        <v>0</v>
      </c>
      <c r="BN11" s="166">
        <v>0</v>
      </c>
      <c r="BO11" s="166">
        <v>0</v>
      </c>
      <c r="BP11" s="166">
        <v>0</v>
      </c>
      <c r="BQ11" s="81" t="s">
        <v>1757</v>
      </c>
      <c r="BZ11" s="81" t="s">
        <v>155</v>
      </c>
      <c r="CA11" s="81">
        <v>7</v>
      </c>
      <c r="CC11" s="167">
        <f>N11</f>
        <v>0</v>
      </c>
      <c r="CD11" s="167">
        <v>0</v>
      </c>
      <c r="CE11" s="167">
        <v>0</v>
      </c>
      <c r="CF11" s="167">
        <v>0</v>
      </c>
      <c r="CG11" s="167">
        <v>0</v>
      </c>
      <c r="CH11" s="167">
        <v>0</v>
      </c>
      <c r="CI11" s="167">
        <v>0</v>
      </c>
      <c r="CJ11" s="167">
        <v>0</v>
      </c>
      <c r="CK11" s="167">
        <v>0</v>
      </c>
      <c r="CL11" s="167">
        <v>0</v>
      </c>
      <c r="CM11" s="167">
        <v>0</v>
      </c>
      <c r="CN11" s="167">
        <v>0</v>
      </c>
      <c r="CO11" s="167">
        <v>0</v>
      </c>
      <c r="CP11" s="167">
        <v>0</v>
      </c>
      <c r="CQ11" s="167">
        <v>0</v>
      </c>
      <c r="CR11" s="167">
        <v>0</v>
      </c>
      <c r="CS11" s="167">
        <v>0</v>
      </c>
      <c r="CT11" s="167">
        <v>0</v>
      </c>
      <c r="CU11" s="167">
        <v>0</v>
      </c>
      <c r="CV11" s="167">
        <v>0</v>
      </c>
      <c r="CW11" s="167">
        <v>0</v>
      </c>
      <c r="CX11" s="167">
        <f>SUM(CD11:CH11)</f>
        <v>0</v>
      </c>
      <c r="CY11" s="167">
        <f>SUM(CD11:CM11)</f>
        <v>0</v>
      </c>
    </row>
    <row r="12" spans="1:103" ht="12.75" customHeight="1" x14ac:dyDescent="0.2">
      <c r="A12" s="81">
        <v>1583</v>
      </c>
      <c r="B12" s="165" t="s">
        <v>1924</v>
      </c>
      <c r="C12" s="165" t="s">
        <v>36</v>
      </c>
      <c r="E12" s="165" t="s">
        <v>3056</v>
      </c>
      <c r="G12" s="81">
        <v>527339</v>
      </c>
      <c r="H12" s="81">
        <v>176604</v>
      </c>
      <c r="I12" s="165" t="s">
        <v>257</v>
      </c>
      <c r="J12" s="349">
        <v>42478</v>
      </c>
      <c r="K12" s="349">
        <v>43124</v>
      </c>
      <c r="L12" s="166">
        <v>0</v>
      </c>
      <c r="M12" s="166">
        <v>3</v>
      </c>
      <c r="N12" s="166">
        <v>3</v>
      </c>
      <c r="O12" s="166">
        <v>3</v>
      </c>
      <c r="P12" s="166">
        <v>3</v>
      </c>
      <c r="R12" s="165" t="s">
        <v>37</v>
      </c>
      <c r="S12" s="81" t="s">
        <v>113</v>
      </c>
      <c r="T12" s="349">
        <v>41715</v>
      </c>
      <c r="U12" s="349">
        <v>41778</v>
      </c>
      <c r="W12" s="81" t="s">
        <v>114</v>
      </c>
      <c r="Y12" s="81" t="s">
        <v>115</v>
      </c>
      <c r="Z12" s="81" t="s">
        <v>119</v>
      </c>
      <c r="AA12" s="81" t="s">
        <v>117</v>
      </c>
      <c r="AB12" s="81" t="s">
        <v>336</v>
      </c>
      <c r="AC12" s="166">
        <v>3.20000015199184E-2</v>
      </c>
      <c r="AD12" s="349">
        <v>42478</v>
      </c>
      <c r="AF12" s="349">
        <v>43124</v>
      </c>
      <c r="AG12" s="81" t="s">
        <v>238</v>
      </c>
      <c r="AH12" s="81" t="s">
        <v>118</v>
      </c>
      <c r="AK12" s="166">
        <v>0</v>
      </c>
      <c r="AM12" s="166">
        <v>0</v>
      </c>
      <c r="AO12" s="166">
        <v>0</v>
      </c>
      <c r="AP12" s="166">
        <v>0</v>
      </c>
      <c r="AQ12" s="166">
        <v>0</v>
      </c>
      <c r="AR12" s="166">
        <v>1</v>
      </c>
      <c r="AS12" s="166">
        <v>2</v>
      </c>
      <c r="AT12" s="166">
        <v>0</v>
      </c>
      <c r="AU12" s="166">
        <v>0</v>
      </c>
      <c r="AV12" s="166">
        <v>0</v>
      </c>
      <c r="AW12" s="166">
        <v>0</v>
      </c>
      <c r="AX12" s="166">
        <v>0</v>
      </c>
      <c r="AY12" s="166">
        <v>0</v>
      </c>
      <c r="AZ12" s="166">
        <v>0</v>
      </c>
      <c r="BA12" s="166">
        <v>0</v>
      </c>
      <c r="BB12" s="166">
        <v>0</v>
      </c>
      <c r="BC12" s="166">
        <v>0</v>
      </c>
      <c r="BD12" s="166">
        <v>0</v>
      </c>
      <c r="BE12" s="166">
        <v>0</v>
      </c>
      <c r="BF12" s="166">
        <v>1</v>
      </c>
      <c r="BG12" s="166">
        <v>2</v>
      </c>
      <c r="BH12" s="166">
        <v>0</v>
      </c>
      <c r="BI12" s="166">
        <v>0</v>
      </c>
      <c r="BJ12" s="166">
        <v>0</v>
      </c>
      <c r="BK12" s="166">
        <v>0</v>
      </c>
      <c r="BL12" s="166">
        <v>0</v>
      </c>
      <c r="BM12" s="166">
        <v>0</v>
      </c>
      <c r="BN12" s="166">
        <v>0</v>
      </c>
      <c r="BO12" s="166">
        <v>0</v>
      </c>
      <c r="BP12" s="166">
        <v>0</v>
      </c>
      <c r="BQ12" s="81" t="s">
        <v>1757</v>
      </c>
      <c r="BZ12" s="81" t="s">
        <v>155</v>
      </c>
      <c r="CA12" s="81">
        <v>7</v>
      </c>
      <c r="CC12" s="167">
        <f>N12</f>
        <v>3</v>
      </c>
      <c r="CD12" s="167">
        <v>0</v>
      </c>
      <c r="CE12" s="167">
        <v>0</v>
      </c>
      <c r="CF12" s="167">
        <v>0</v>
      </c>
      <c r="CG12" s="167">
        <v>0</v>
      </c>
      <c r="CH12" s="167">
        <v>0</v>
      </c>
      <c r="CI12" s="167">
        <v>0</v>
      </c>
      <c r="CJ12" s="167">
        <v>0</v>
      </c>
      <c r="CK12" s="167">
        <v>0</v>
      </c>
      <c r="CL12" s="167">
        <v>0</v>
      </c>
      <c r="CM12" s="167">
        <v>0</v>
      </c>
      <c r="CN12" s="167">
        <v>0</v>
      </c>
      <c r="CO12" s="167">
        <v>0</v>
      </c>
      <c r="CP12" s="167">
        <v>0</v>
      </c>
      <c r="CQ12" s="167">
        <v>0</v>
      </c>
      <c r="CR12" s="167">
        <v>0</v>
      </c>
      <c r="CS12" s="167">
        <v>0</v>
      </c>
      <c r="CT12" s="167">
        <v>0</v>
      </c>
      <c r="CU12" s="167">
        <v>0</v>
      </c>
      <c r="CV12" s="167">
        <v>0</v>
      </c>
      <c r="CW12" s="167">
        <v>0</v>
      </c>
      <c r="CX12" s="167">
        <f>SUM(CD12:CH12)</f>
        <v>0</v>
      </c>
      <c r="CY12" s="167">
        <f>SUM(CD12:CM12)</f>
        <v>0</v>
      </c>
    </row>
    <row r="13" spans="1:103" ht="12.75" customHeight="1" x14ac:dyDescent="0.2">
      <c r="A13" s="81">
        <v>1647</v>
      </c>
      <c r="B13" s="165" t="s">
        <v>1924</v>
      </c>
      <c r="C13" s="165" t="s">
        <v>22</v>
      </c>
      <c r="E13" s="165" t="s">
        <v>3057</v>
      </c>
      <c r="G13" s="81">
        <v>528445</v>
      </c>
      <c r="H13" s="81">
        <v>171853</v>
      </c>
      <c r="I13" s="165" t="s">
        <v>248</v>
      </c>
      <c r="J13" s="349">
        <v>42668</v>
      </c>
      <c r="K13" s="349">
        <v>43013</v>
      </c>
      <c r="L13" s="166">
        <v>1</v>
      </c>
      <c r="M13" s="166">
        <v>3</v>
      </c>
      <c r="N13" s="166">
        <v>2</v>
      </c>
      <c r="O13" s="166">
        <v>3</v>
      </c>
      <c r="P13" s="166">
        <v>2</v>
      </c>
      <c r="R13" s="165" t="s">
        <v>23</v>
      </c>
      <c r="S13" s="81" t="s">
        <v>113</v>
      </c>
      <c r="T13" s="349">
        <v>41766</v>
      </c>
      <c r="U13" s="349">
        <v>41900</v>
      </c>
      <c r="W13" s="81" t="s">
        <v>114</v>
      </c>
      <c r="Y13" s="81" t="s">
        <v>115</v>
      </c>
      <c r="Z13" s="81" t="s">
        <v>398</v>
      </c>
      <c r="AA13" s="81" t="s">
        <v>117</v>
      </c>
      <c r="AB13" s="81" t="s">
        <v>120</v>
      </c>
      <c r="AC13" s="166">
        <v>1.4000000432133701E-2</v>
      </c>
      <c r="AD13" s="349">
        <v>42668</v>
      </c>
      <c r="AF13" s="349">
        <v>43013</v>
      </c>
      <c r="AG13" s="81" t="s">
        <v>238</v>
      </c>
      <c r="AH13" s="81" t="s">
        <v>118</v>
      </c>
      <c r="AK13" s="166">
        <v>0</v>
      </c>
      <c r="AM13" s="166">
        <v>0</v>
      </c>
      <c r="AO13" s="166">
        <v>0</v>
      </c>
      <c r="AP13" s="166">
        <v>1</v>
      </c>
      <c r="AQ13" s="166">
        <v>1</v>
      </c>
      <c r="AR13" s="166">
        <v>1</v>
      </c>
      <c r="AS13" s="166">
        <v>-1</v>
      </c>
      <c r="AT13" s="166">
        <v>0</v>
      </c>
      <c r="AU13" s="166">
        <v>0</v>
      </c>
      <c r="AV13" s="166">
        <v>0</v>
      </c>
      <c r="AW13" s="166">
        <v>1</v>
      </c>
      <c r="AX13" s="166">
        <v>1</v>
      </c>
      <c r="AY13" s="166">
        <v>1</v>
      </c>
      <c r="AZ13" s="166">
        <v>0</v>
      </c>
      <c r="BA13" s="166">
        <v>0</v>
      </c>
      <c r="BB13" s="166">
        <v>0</v>
      </c>
      <c r="BC13" s="166">
        <v>0</v>
      </c>
      <c r="BD13" s="166">
        <v>0</v>
      </c>
      <c r="BE13" s="166">
        <v>0</v>
      </c>
      <c r="BF13" s="166">
        <v>0</v>
      </c>
      <c r="BG13" s="166">
        <v>-1</v>
      </c>
      <c r="BH13" s="166">
        <v>0</v>
      </c>
      <c r="BI13" s="166">
        <v>0</v>
      </c>
      <c r="BJ13" s="166">
        <v>0</v>
      </c>
      <c r="BK13" s="166">
        <v>0</v>
      </c>
      <c r="BL13" s="166">
        <v>0</v>
      </c>
      <c r="BM13" s="166">
        <v>0</v>
      </c>
      <c r="BN13" s="166">
        <v>0</v>
      </c>
      <c r="BO13" s="166">
        <v>0</v>
      </c>
      <c r="BP13" s="166">
        <v>0</v>
      </c>
      <c r="BQ13" s="81" t="s">
        <v>1757</v>
      </c>
      <c r="BZ13" s="81" t="s">
        <v>155</v>
      </c>
      <c r="CA13" s="81">
        <v>7</v>
      </c>
      <c r="CC13" s="167">
        <f>N13</f>
        <v>2</v>
      </c>
      <c r="CD13" s="167">
        <v>0</v>
      </c>
      <c r="CE13" s="167">
        <v>0</v>
      </c>
      <c r="CF13" s="167">
        <v>0</v>
      </c>
      <c r="CG13" s="167">
        <v>0</v>
      </c>
      <c r="CH13" s="167">
        <v>0</v>
      </c>
      <c r="CI13" s="167">
        <v>0</v>
      </c>
      <c r="CJ13" s="167">
        <v>0</v>
      </c>
      <c r="CK13" s="167">
        <v>0</v>
      </c>
      <c r="CL13" s="167">
        <v>0</v>
      </c>
      <c r="CM13" s="167">
        <v>0</v>
      </c>
      <c r="CN13" s="167">
        <v>0</v>
      </c>
      <c r="CO13" s="167">
        <v>0</v>
      </c>
      <c r="CP13" s="167">
        <v>0</v>
      </c>
      <c r="CQ13" s="167">
        <v>0</v>
      </c>
      <c r="CR13" s="167">
        <v>0</v>
      </c>
      <c r="CS13" s="167">
        <v>0</v>
      </c>
      <c r="CT13" s="167">
        <v>0</v>
      </c>
      <c r="CU13" s="167">
        <v>0</v>
      </c>
      <c r="CV13" s="167">
        <v>0</v>
      </c>
      <c r="CW13" s="167">
        <v>0</v>
      </c>
      <c r="CX13" s="167">
        <f>SUM(CD13:CH13)</f>
        <v>0</v>
      </c>
      <c r="CY13" s="167">
        <f>SUM(CD13:CM13)</f>
        <v>0</v>
      </c>
    </row>
    <row r="14" spans="1:103" ht="12.75" customHeight="1" x14ac:dyDescent="0.2">
      <c r="A14" s="81">
        <v>1667</v>
      </c>
      <c r="B14" s="165" t="s">
        <v>1924</v>
      </c>
      <c r="C14" s="165" t="s">
        <v>3058</v>
      </c>
      <c r="E14" s="165" t="s">
        <v>3059</v>
      </c>
      <c r="G14" s="81">
        <v>526823</v>
      </c>
      <c r="H14" s="81">
        <v>175309</v>
      </c>
      <c r="I14" s="165" t="s">
        <v>251</v>
      </c>
      <c r="J14" s="349">
        <v>38507</v>
      </c>
      <c r="K14" s="349">
        <v>42963</v>
      </c>
      <c r="L14" s="166">
        <v>0</v>
      </c>
      <c r="M14" s="166">
        <v>1</v>
      </c>
      <c r="N14" s="166">
        <v>1</v>
      </c>
      <c r="O14" s="166">
        <v>1</v>
      </c>
      <c r="P14" s="166">
        <v>1</v>
      </c>
      <c r="R14" s="165" t="s">
        <v>3060</v>
      </c>
      <c r="S14" s="81" t="s">
        <v>513</v>
      </c>
      <c r="T14" s="349">
        <v>42907</v>
      </c>
      <c r="U14" s="349">
        <v>42963</v>
      </c>
      <c r="V14" s="81" t="s">
        <v>155</v>
      </c>
      <c r="W14" s="81" t="s">
        <v>114</v>
      </c>
      <c r="Y14" s="81" t="s">
        <v>115</v>
      </c>
      <c r="Z14" s="81" t="s">
        <v>310</v>
      </c>
      <c r="AA14" s="81" t="s">
        <v>117</v>
      </c>
      <c r="AB14" s="81" t="s">
        <v>102</v>
      </c>
      <c r="AC14" s="166">
        <v>4.0000001899898104E-3</v>
      </c>
      <c r="AD14" s="349">
        <v>38507</v>
      </c>
      <c r="AF14" s="349">
        <v>42963</v>
      </c>
      <c r="AG14" s="81" t="s">
        <v>238</v>
      </c>
      <c r="AH14" s="81" t="s">
        <v>118</v>
      </c>
      <c r="AK14" s="166">
        <v>0</v>
      </c>
      <c r="AM14" s="166">
        <v>0</v>
      </c>
      <c r="AO14" s="166">
        <v>0</v>
      </c>
      <c r="AP14" s="166">
        <v>0</v>
      </c>
      <c r="AQ14" s="166">
        <v>1</v>
      </c>
      <c r="AR14" s="166">
        <v>0</v>
      </c>
      <c r="AS14" s="166">
        <v>0</v>
      </c>
      <c r="AT14" s="166">
        <v>0</v>
      </c>
      <c r="AU14" s="166">
        <v>0</v>
      </c>
      <c r="AV14" s="166">
        <v>0</v>
      </c>
      <c r="AW14" s="166">
        <v>0</v>
      </c>
      <c r="AX14" s="166">
        <v>1</v>
      </c>
      <c r="AY14" s="166">
        <v>0</v>
      </c>
      <c r="AZ14" s="166">
        <v>0</v>
      </c>
      <c r="BA14" s="166">
        <v>0</v>
      </c>
      <c r="BB14" s="166">
        <v>0</v>
      </c>
      <c r="BC14" s="166">
        <v>0</v>
      </c>
      <c r="BD14" s="166">
        <v>0</v>
      </c>
      <c r="BE14" s="166">
        <v>0</v>
      </c>
      <c r="BF14" s="166">
        <v>0</v>
      </c>
      <c r="BG14" s="166">
        <v>0</v>
      </c>
      <c r="BH14" s="166">
        <v>0</v>
      </c>
      <c r="BI14" s="166">
        <v>0</v>
      </c>
      <c r="BJ14" s="166">
        <v>0</v>
      </c>
      <c r="BK14" s="166">
        <v>0</v>
      </c>
      <c r="BL14" s="166">
        <v>0</v>
      </c>
      <c r="BM14" s="166">
        <v>0</v>
      </c>
      <c r="BN14" s="166">
        <v>0</v>
      </c>
      <c r="BO14" s="166">
        <v>0</v>
      </c>
      <c r="BP14" s="166">
        <v>0</v>
      </c>
      <c r="BQ14" s="81" t="s">
        <v>1758</v>
      </c>
      <c r="BZ14" s="81" t="s">
        <v>155</v>
      </c>
      <c r="CA14" s="81">
        <v>7</v>
      </c>
      <c r="CC14" s="167">
        <f>N14</f>
        <v>1</v>
      </c>
      <c r="CD14" s="167">
        <v>0</v>
      </c>
      <c r="CE14" s="167">
        <v>0</v>
      </c>
      <c r="CF14" s="167">
        <v>0</v>
      </c>
      <c r="CG14" s="167">
        <v>0</v>
      </c>
      <c r="CH14" s="167">
        <v>0</v>
      </c>
      <c r="CI14" s="167">
        <v>0</v>
      </c>
      <c r="CJ14" s="167">
        <v>0</v>
      </c>
      <c r="CK14" s="167">
        <v>0</v>
      </c>
      <c r="CL14" s="167">
        <v>0</v>
      </c>
      <c r="CM14" s="167">
        <v>0</v>
      </c>
      <c r="CN14" s="167">
        <v>0</v>
      </c>
      <c r="CO14" s="167">
        <v>0</v>
      </c>
      <c r="CP14" s="167">
        <v>0</v>
      </c>
      <c r="CQ14" s="167">
        <v>0</v>
      </c>
      <c r="CR14" s="167">
        <v>0</v>
      </c>
      <c r="CS14" s="167">
        <v>0</v>
      </c>
      <c r="CT14" s="167">
        <v>0</v>
      </c>
      <c r="CU14" s="167">
        <v>0</v>
      </c>
      <c r="CV14" s="167">
        <v>0</v>
      </c>
      <c r="CW14" s="167">
        <v>0</v>
      </c>
      <c r="CX14" s="167">
        <f>SUM(CD14:CH14)</f>
        <v>0</v>
      </c>
      <c r="CY14" s="167">
        <f>SUM(CD14:CM14)</f>
        <v>0</v>
      </c>
    </row>
    <row r="15" spans="1:103" ht="12.75" customHeight="1" x14ac:dyDescent="0.2">
      <c r="A15" s="81">
        <v>1815</v>
      </c>
      <c r="B15" s="165" t="s">
        <v>1924</v>
      </c>
      <c r="C15" s="165" t="s">
        <v>277</v>
      </c>
      <c r="D15" s="165" t="s">
        <v>278</v>
      </c>
      <c r="E15" s="165" t="s">
        <v>3061</v>
      </c>
      <c r="G15" s="81">
        <v>526506</v>
      </c>
      <c r="H15" s="81">
        <v>175214</v>
      </c>
      <c r="I15" s="165" t="s">
        <v>251</v>
      </c>
      <c r="J15" s="349">
        <v>42826</v>
      </c>
      <c r="K15" s="349">
        <v>43190</v>
      </c>
      <c r="L15" s="166">
        <v>0</v>
      </c>
      <c r="M15" s="166">
        <v>1</v>
      </c>
      <c r="N15" s="166">
        <v>1</v>
      </c>
      <c r="O15" s="166">
        <v>1</v>
      </c>
      <c r="P15" s="166">
        <v>1</v>
      </c>
      <c r="R15" s="165" t="s">
        <v>388</v>
      </c>
      <c r="S15" s="81" t="s">
        <v>113</v>
      </c>
      <c r="T15" s="349">
        <v>41941</v>
      </c>
      <c r="U15" s="349">
        <v>42054</v>
      </c>
      <c r="W15" s="81" t="s">
        <v>114</v>
      </c>
      <c r="Y15" s="81" t="s">
        <v>115</v>
      </c>
      <c r="Z15" s="81" t="s">
        <v>116</v>
      </c>
      <c r="AA15" s="81" t="s">
        <v>117</v>
      </c>
      <c r="AB15" s="81" t="s">
        <v>218</v>
      </c>
      <c r="AC15" s="166">
        <v>7.0000002160668399E-3</v>
      </c>
      <c r="AD15" s="349">
        <v>42826</v>
      </c>
      <c r="AE15" s="81" t="s">
        <v>155</v>
      </c>
      <c r="AF15" s="349">
        <v>43190</v>
      </c>
      <c r="AG15" s="81" t="s">
        <v>238</v>
      </c>
      <c r="AH15" s="81" t="s">
        <v>118</v>
      </c>
      <c r="AK15" s="166">
        <v>0</v>
      </c>
      <c r="AM15" s="166">
        <v>0</v>
      </c>
      <c r="AO15" s="166">
        <v>0</v>
      </c>
      <c r="AP15" s="166">
        <v>0</v>
      </c>
      <c r="AQ15" s="166">
        <v>1</v>
      </c>
      <c r="AR15" s="166">
        <v>0</v>
      </c>
      <c r="AS15" s="166">
        <v>0</v>
      </c>
      <c r="AT15" s="166">
        <v>0</v>
      </c>
      <c r="AU15" s="166">
        <v>0</v>
      </c>
      <c r="AV15" s="166">
        <v>0</v>
      </c>
      <c r="AW15" s="166">
        <v>0</v>
      </c>
      <c r="AX15" s="166">
        <v>1</v>
      </c>
      <c r="AY15" s="166">
        <v>0</v>
      </c>
      <c r="AZ15" s="166">
        <v>0</v>
      </c>
      <c r="BA15" s="166">
        <v>0</v>
      </c>
      <c r="BB15" s="166">
        <v>0</v>
      </c>
      <c r="BC15" s="166">
        <v>0</v>
      </c>
      <c r="BD15" s="166">
        <v>0</v>
      </c>
      <c r="BE15" s="166">
        <v>0</v>
      </c>
      <c r="BF15" s="166">
        <v>0</v>
      </c>
      <c r="BG15" s="166">
        <v>0</v>
      </c>
      <c r="BH15" s="166">
        <v>0</v>
      </c>
      <c r="BI15" s="166">
        <v>0</v>
      </c>
      <c r="BJ15" s="166">
        <v>0</v>
      </c>
      <c r="BK15" s="166">
        <v>0</v>
      </c>
      <c r="BL15" s="166">
        <v>0</v>
      </c>
      <c r="BM15" s="166">
        <v>0</v>
      </c>
      <c r="BN15" s="166">
        <v>0</v>
      </c>
      <c r="BO15" s="166">
        <v>0</v>
      </c>
      <c r="BP15" s="166">
        <v>0</v>
      </c>
      <c r="BQ15" s="81" t="s">
        <v>1758</v>
      </c>
      <c r="BZ15" s="81" t="s">
        <v>155</v>
      </c>
      <c r="CA15" s="81">
        <v>1</v>
      </c>
      <c r="CC15" s="167">
        <f>N15</f>
        <v>1</v>
      </c>
      <c r="CD15" s="167">
        <v>0</v>
      </c>
      <c r="CE15" s="167">
        <v>0</v>
      </c>
      <c r="CF15" s="167">
        <v>0</v>
      </c>
      <c r="CG15" s="167">
        <v>0</v>
      </c>
      <c r="CH15" s="167">
        <v>0</v>
      </c>
      <c r="CI15" s="167">
        <v>0</v>
      </c>
      <c r="CJ15" s="167">
        <v>0</v>
      </c>
      <c r="CK15" s="167">
        <v>0</v>
      </c>
      <c r="CL15" s="167">
        <v>0</v>
      </c>
      <c r="CM15" s="167">
        <v>0</v>
      </c>
      <c r="CN15" s="167">
        <v>0</v>
      </c>
      <c r="CO15" s="167">
        <v>0</v>
      </c>
      <c r="CP15" s="167">
        <v>0</v>
      </c>
      <c r="CQ15" s="167">
        <v>0</v>
      </c>
      <c r="CR15" s="167">
        <v>0</v>
      </c>
      <c r="CS15" s="167">
        <v>0</v>
      </c>
      <c r="CT15" s="167">
        <v>0</v>
      </c>
      <c r="CU15" s="167">
        <v>0</v>
      </c>
      <c r="CV15" s="167">
        <v>0</v>
      </c>
      <c r="CW15" s="167">
        <v>0</v>
      </c>
      <c r="CX15" s="167">
        <f>SUM(CD15:CH15)</f>
        <v>0</v>
      </c>
      <c r="CY15" s="167">
        <f>SUM(CD15:CM15)</f>
        <v>0</v>
      </c>
    </row>
    <row r="16" spans="1:103" ht="12.75" customHeight="1" x14ac:dyDescent="0.2">
      <c r="A16" s="81">
        <v>2097</v>
      </c>
      <c r="B16" s="165" t="s">
        <v>1924</v>
      </c>
      <c r="C16" s="165" t="s">
        <v>1023</v>
      </c>
      <c r="D16" s="165" t="s">
        <v>80</v>
      </c>
      <c r="E16" s="165" t="s">
        <v>3062</v>
      </c>
      <c r="G16" s="81">
        <v>525308</v>
      </c>
      <c r="H16" s="81">
        <v>173997</v>
      </c>
      <c r="I16" s="165" t="s">
        <v>258</v>
      </c>
      <c r="J16" s="349">
        <v>42538</v>
      </c>
      <c r="K16" s="349">
        <v>42936</v>
      </c>
      <c r="L16" s="166">
        <v>0</v>
      </c>
      <c r="M16" s="166">
        <v>2</v>
      </c>
      <c r="N16" s="166">
        <v>2</v>
      </c>
      <c r="O16" s="166">
        <v>2</v>
      </c>
      <c r="P16" s="166">
        <v>2</v>
      </c>
      <c r="R16" s="165" t="s">
        <v>1024</v>
      </c>
      <c r="S16" s="81" t="s">
        <v>509</v>
      </c>
      <c r="T16" s="349">
        <v>42541</v>
      </c>
      <c r="U16" s="349">
        <v>42597</v>
      </c>
      <c r="W16" s="81" t="s">
        <v>114</v>
      </c>
      <c r="Y16" s="81" t="s">
        <v>115</v>
      </c>
      <c r="Z16" s="81" t="s">
        <v>310</v>
      </c>
      <c r="AA16" s="81" t="s">
        <v>117</v>
      </c>
      <c r="AB16" s="81" t="s">
        <v>399</v>
      </c>
      <c r="AC16" s="166">
        <v>1.7999999225139601E-2</v>
      </c>
      <c r="AD16" s="349">
        <v>42538</v>
      </c>
      <c r="AF16" s="349">
        <v>42936</v>
      </c>
      <c r="AG16" s="81" t="s">
        <v>74</v>
      </c>
      <c r="AH16" s="81" t="s">
        <v>1913</v>
      </c>
      <c r="AK16" s="166">
        <v>0</v>
      </c>
      <c r="AM16" s="166">
        <v>0</v>
      </c>
      <c r="AO16" s="166">
        <v>0</v>
      </c>
      <c r="AP16" s="166">
        <v>1</v>
      </c>
      <c r="AQ16" s="166">
        <v>1</v>
      </c>
      <c r="AR16" s="166">
        <v>0</v>
      </c>
      <c r="AS16" s="166">
        <v>0</v>
      </c>
      <c r="AT16" s="166">
        <v>0</v>
      </c>
      <c r="AU16" s="166">
        <v>0</v>
      </c>
      <c r="AV16" s="166">
        <v>0</v>
      </c>
      <c r="AW16" s="166">
        <v>1</v>
      </c>
      <c r="AX16" s="166">
        <v>1</v>
      </c>
      <c r="AY16" s="166">
        <v>0</v>
      </c>
      <c r="AZ16" s="166">
        <v>0</v>
      </c>
      <c r="BA16" s="166">
        <v>0</v>
      </c>
      <c r="BB16" s="166">
        <v>0</v>
      </c>
      <c r="BC16" s="166">
        <v>0</v>
      </c>
      <c r="BD16" s="166">
        <v>0</v>
      </c>
      <c r="BE16" s="166">
        <v>0</v>
      </c>
      <c r="BF16" s="166">
        <v>0</v>
      </c>
      <c r="BG16" s="166">
        <v>0</v>
      </c>
      <c r="BH16" s="166">
        <v>0</v>
      </c>
      <c r="BI16" s="166">
        <v>0</v>
      </c>
      <c r="BJ16" s="166">
        <v>0</v>
      </c>
      <c r="BK16" s="166">
        <v>0</v>
      </c>
      <c r="BL16" s="166">
        <v>0</v>
      </c>
      <c r="BM16" s="166">
        <v>0</v>
      </c>
      <c r="BN16" s="166">
        <v>0</v>
      </c>
      <c r="BO16" s="166">
        <v>0</v>
      </c>
      <c r="BP16" s="166">
        <v>0</v>
      </c>
      <c r="BQ16" s="81" t="s">
        <v>1758</v>
      </c>
      <c r="BZ16" s="81" t="s">
        <v>155</v>
      </c>
      <c r="CA16" s="81">
        <v>7</v>
      </c>
      <c r="CC16" s="167">
        <f>N16</f>
        <v>2</v>
      </c>
      <c r="CD16" s="167">
        <v>0</v>
      </c>
      <c r="CE16" s="167">
        <v>0</v>
      </c>
      <c r="CF16" s="167">
        <v>0</v>
      </c>
      <c r="CG16" s="167">
        <v>0</v>
      </c>
      <c r="CH16" s="167">
        <v>0</v>
      </c>
      <c r="CI16" s="167">
        <v>0</v>
      </c>
      <c r="CJ16" s="167">
        <v>0</v>
      </c>
      <c r="CK16" s="167">
        <v>0</v>
      </c>
      <c r="CL16" s="167">
        <v>0</v>
      </c>
      <c r="CM16" s="167">
        <v>0</v>
      </c>
      <c r="CN16" s="167">
        <v>0</v>
      </c>
      <c r="CO16" s="167">
        <v>0</v>
      </c>
      <c r="CP16" s="167">
        <v>0</v>
      </c>
      <c r="CQ16" s="167">
        <v>0</v>
      </c>
      <c r="CR16" s="167">
        <v>0</v>
      </c>
      <c r="CS16" s="167">
        <v>0</v>
      </c>
      <c r="CT16" s="167">
        <v>0</v>
      </c>
      <c r="CU16" s="167">
        <v>0</v>
      </c>
      <c r="CV16" s="167">
        <v>0</v>
      </c>
      <c r="CW16" s="167">
        <v>0</v>
      </c>
      <c r="CX16" s="167">
        <f>SUM(CD16:CH16)</f>
        <v>0</v>
      </c>
      <c r="CY16" s="167">
        <f>SUM(CD16:CM16)</f>
        <v>0</v>
      </c>
    </row>
    <row r="17" spans="1:103" ht="12.75" customHeight="1" x14ac:dyDescent="0.2">
      <c r="A17" s="81">
        <v>2217</v>
      </c>
      <c r="B17" s="165" t="s">
        <v>1924</v>
      </c>
      <c r="C17" s="165" t="s">
        <v>1074</v>
      </c>
      <c r="E17" s="165" t="s">
        <v>3063</v>
      </c>
      <c r="G17" s="81">
        <v>529351</v>
      </c>
      <c r="H17" s="81">
        <v>176948</v>
      </c>
      <c r="I17" s="165" t="s">
        <v>240</v>
      </c>
      <c r="J17" s="349">
        <v>42825</v>
      </c>
      <c r="K17" s="349">
        <v>43190</v>
      </c>
      <c r="L17" s="166">
        <v>0</v>
      </c>
      <c r="M17" s="166">
        <v>1</v>
      </c>
      <c r="N17" s="166">
        <v>1</v>
      </c>
      <c r="O17" s="166">
        <v>1</v>
      </c>
      <c r="P17" s="166">
        <v>1</v>
      </c>
      <c r="R17" s="165" t="s">
        <v>1075</v>
      </c>
      <c r="S17" s="81" t="s">
        <v>113</v>
      </c>
      <c r="T17" s="349">
        <v>42678</v>
      </c>
      <c r="U17" s="349">
        <v>42713</v>
      </c>
      <c r="W17" s="81" t="s">
        <v>114</v>
      </c>
      <c r="Y17" s="81" t="s">
        <v>115</v>
      </c>
      <c r="Z17" s="81" t="s">
        <v>219</v>
      </c>
      <c r="AA17" s="81" t="s">
        <v>117</v>
      </c>
      <c r="AB17" s="81" t="s">
        <v>3889</v>
      </c>
      <c r="AC17" s="166">
        <v>4.0000001899898104E-3</v>
      </c>
      <c r="AD17" s="349">
        <v>42825</v>
      </c>
      <c r="AF17" s="349">
        <v>43190</v>
      </c>
      <c r="AG17" s="81" t="s">
        <v>238</v>
      </c>
      <c r="AH17" s="81" t="s">
        <v>118</v>
      </c>
      <c r="AK17" s="166">
        <v>0</v>
      </c>
      <c r="AM17" s="166">
        <v>0</v>
      </c>
      <c r="AO17" s="166">
        <v>0</v>
      </c>
      <c r="AP17" s="166">
        <v>1</v>
      </c>
      <c r="AQ17" s="166">
        <v>0</v>
      </c>
      <c r="AR17" s="166">
        <v>0</v>
      </c>
      <c r="AS17" s="166">
        <v>0</v>
      </c>
      <c r="AT17" s="166">
        <v>0</v>
      </c>
      <c r="AU17" s="166">
        <v>0</v>
      </c>
      <c r="AV17" s="166">
        <v>0</v>
      </c>
      <c r="AW17" s="166">
        <v>1</v>
      </c>
      <c r="AX17" s="166">
        <v>0</v>
      </c>
      <c r="AY17" s="166">
        <v>0</v>
      </c>
      <c r="AZ17" s="166">
        <v>0</v>
      </c>
      <c r="BA17" s="166">
        <v>0</v>
      </c>
      <c r="BB17" s="166">
        <v>0</v>
      </c>
      <c r="BC17" s="166">
        <v>0</v>
      </c>
      <c r="BD17" s="166">
        <v>0</v>
      </c>
      <c r="BE17" s="166">
        <v>0</v>
      </c>
      <c r="BF17" s="166">
        <v>0</v>
      </c>
      <c r="BG17" s="166">
        <v>0</v>
      </c>
      <c r="BH17" s="166">
        <v>0</v>
      </c>
      <c r="BI17" s="166">
        <v>0</v>
      </c>
      <c r="BJ17" s="166">
        <v>0</v>
      </c>
      <c r="BK17" s="166">
        <v>0</v>
      </c>
      <c r="BL17" s="166">
        <v>0</v>
      </c>
      <c r="BM17" s="166">
        <v>0</v>
      </c>
      <c r="BN17" s="166">
        <v>0</v>
      </c>
      <c r="BO17" s="166">
        <v>0</v>
      </c>
      <c r="BP17" s="166">
        <v>0</v>
      </c>
      <c r="BQ17" s="81" t="s">
        <v>1759</v>
      </c>
      <c r="BS17" s="81" t="s">
        <v>155</v>
      </c>
      <c r="BZ17" s="81" t="s">
        <v>155</v>
      </c>
      <c r="CA17" s="81">
        <v>7</v>
      </c>
      <c r="CC17" s="167">
        <f>N17</f>
        <v>1</v>
      </c>
      <c r="CD17" s="167">
        <v>0</v>
      </c>
      <c r="CE17" s="167">
        <v>0</v>
      </c>
      <c r="CF17" s="167">
        <v>0</v>
      </c>
      <c r="CG17" s="167">
        <v>0</v>
      </c>
      <c r="CH17" s="167">
        <v>0</v>
      </c>
      <c r="CI17" s="167">
        <v>0</v>
      </c>
      <c r="CJ17" s="167">
        <v>0</v>
      </c>
      <c r="CK17" s="167">
        <v>0</v>
      </c>
      <c r="CL17" s="167">
        <v>0</v>
      </c>
      <c r="CM17" s="167">
        <v>0</v>
      </c>
      <c r="CN17" s="167">
        <v>0</v>
      </c>
      <c r="CO17" s="167">
        <v>0</v>
      </c>
      <c r="CP17" s="167">
        <v>0</v>
      </c>
      <c r="CQ17" s="167">
        <v>0</v>
      </c>
      <c r="CR17" s="167">
        <v>0</v>
      </c>
      <c r="CS17" s="167">
        <v>0</v>
      </c>
      <c r="CT17" s="167">
        <v>0</v>
      </c>
      <c r="CU17" s="167">
        <v>0</v>
      </c>
      <c r="CV17" s="167">
        <v>0</v>
      </c>
      <c r="CW17" s="167">
        <v>0</v>
      </c>
      <c r="CX17" s="167">
        <f>SUM(CD17:CH17)</f>
        <v>0</v>
      </c>
      <c r="CY17" s="167">
        <f>SUM(CD17:CM17)</f>
        <v>0</v>
      </c>
    </row>
    <row r="18" spans="1:103" ht="12.75" customHeight="1" x14ac:dyDescent="0.2">
      <c r="A18" s="81">
        <v>2230</v>
      </c>
      <c r="B18" s="165" t="s">
        <v>1924</v>
      </c>
      <c r="C18" s="165" t="s">
        <v>228</v>
      </c>
      <c r="E18" s="165" t="s">
        <v>3064</v>
      </c>
      <c r="G18" s="81">
        <v>523081</v>
      </c>
      <c r="H18" s="81">
        <v>175252</v>
      </c>
      <c r="I18" s="165" t="s">
        <v>59</v>
      </c>
      <c r="J18" s="349">
        <v>42233</v>
      </c>
      <c r="K18" s="349">
        <v>43054</v>
      </c>
      <c r="L18" s="166">
        <v>0</v>
      </c>
      <c r="M18" s="166">
        <v>4</v>
      </c>
      <c r="N18" s="166">
        <v>4</v>
      </c>
      <c r="O18" s="166">
        <v>4</v>
      </c>
      <c r="P18" s="166">
        <v>4</v>
      </c>
      <c r="R18" s="165" t="s">
        <v>229</v>
      </c>
      <c r="S18" s="81" t="s">
        <v>113</v>
      </c>
      <c r="T18" s="349">
        <v>41970</v>
      </c>
      <c r="U18" s="349">
        <v>42054</v>
      </c>
      <c r="W18" s="81" t="s">
        <v>114</v>
      </c>
      <c r="Y18" s="81" t="s">
        <v>115</v>
      </c>
      <c r="Z18" s="81" t="s">
        <v>116</v>
      </c>
      <c r="AA18" s="81" t="s">
        <v>117</v>
      </c>
      <c r="AB18" s="81" t="s">
        <v>218</v>
      </c>
      <c r="AC18" s="166">
        <v>7.5999997556209606E-2</v>
      </c>
      <c r="AD18" s="349">
        <v>42233</v>
      </c>
      <c r="AF18" s="349">
        <v>43054</v>
      </c>
      <c r="AG18" s="81" t="s">
        <v>238</v>
      </c>
      <c r="AH18" s="81" t="s">
        <v>118</v>
      </c>
      <c r="AK18" s="166">
        <v>0</v>
      </c>
      <c r="AM18" s="166">
        <v>0</v>
      </c>
      <c r="AO18" s="166">
        <v>0</v>
      </c>
      <c r="AP18" s="166">
        <v>0</v>
      </c>
      <c r="AQ18" s="166">
        <v>0</v>
      </c>
      <c r="AR18" s="166">
        <v>2</v>
      </c>
      <c r="AS18" s="166">
        <v>2</v>
      </c>
      <c r="AT18" s="166">
        <v>0</v>
      </c>
      <c r="AU18" s="166">
        <v>0</v>
      </c>
      <c r="AV18" s="166">
        <v>0</v>
      </c>
      <c r="AW18" s="166">
        <v>0</v>
      </c>
      <c r="AX18" s="166">
        <v>0</v>
      </c>
      <c r="AY18" s="166">
        <v>0</v>
      </c>
      <c r="AZ18" s="166">
        <v>0</v>
      </c>
      <c r="BA18" s="166">
        <v>0</v>
      </c>
      <c r="BB18" s="166">
        <v>0</v>
      </c>
      <c r="BC18" s="166">
        <v>0</v>
      </c>
      <c r="BD18" s="166">
        <v>0</v>
      </c>
      <c r="BE18" s="166">
        <v>0</v>
      </c>
      <c r="BF18" s="166">
        <v>2</v>
      </c>
      <c r="BG18" s="166">
        <v>2</v>
      </c>
      <c r="BH18" s="166">
        <v>0</v>
      </c>
      <c r="BI18" s="166">
        <v>0</v>
      </c>
      <c r="BJ18" s="166">
        <v>0</v>
      </c>
      <c r="BK18" s="166">
        <v>0</v>
      </c>
      <c r="BL18" s="166">
        <v>0</v>
      </c>
      <c r="BM18" s="166">
        <v>0</v>
      </c>
      <c r="BN18" s="166">
        <v>0</v>
      </c>
      <c r="BO18" s="166">
        <v>0</v>
      </c>
      <c r="BP18" s="166">
        <v>0</v>
      </c>
      <c r="BQ18" s="81" t="s">
        <v>1758</v>
      </c>
      <c r="BZ18" s="81" t="s">
        <v>155</v>
      </c>
      <c r="CA18" s="81">
        <v>1</v>
      </c>
      <c r="CC18" s="167">
        <f>N18</f>
        <v>4</v>
      </c>
      <c r="CD18" s="167">
        <v>0</v>
      </c>
      <c r="CE18" s="167">
        <v>0</v>
      </c>
      <c r="CF18" s="167">
        <v>0</v>
      </c>
      <c r="CG18" s="167">
        <v>0</v>
      </c>
      <c r="CH18" s="167">
        <v>0</v>
      </c>
      <c r="CI18" s="167">
        <v>0</v>
      </c>
      <c r="CJ18" s="167">
        <v>0</v>
      </c>
      <c r="CK18" s="167">
        <v>0</v>
      </c>
      <c r="CL18" s="167">
        <v>0</v>
      </c>
      <c r="CM18" s="167">
        <v>0</v>
      </c>
      <c r="CN18" s="167">
        <v>0</v>
      </c>
      <c r="CO18" s="167">
        <v>0</v>
      </c>
      <c r="CP18" s="167">
        <v>0</v>
      </c>
      <c r="CQ18" s="167">
        <v>0</v>
      </c>
      <c r="CR18" s="167">
        <v>0</v>
      </c>
      <c r="CS18" s="167">
        <v>0</v>
      </c>
      <c r="CT18" s="167">
        <v>0</v>
      </c>
      <c r="CU18" s="167">
        <v>0</v>
      </c>
      <c r="CV18" s="167">
        <v>0</v>
      </c>
      <c r="CW18" s="167">
        <v>0</v>
      </c>
      <c r="CX18" s="167">
        <f>SUM(CD18:CH18)</f>
        <v>0</v>
      </c>
      <c r="CY18" s="167">
        <f>SUM(CD18:CM18)</f>
        <v>0</v>
      </c>
    </row>
    <row r="19" spans="1:103" ht="12.75" customHeight="1" x14ac:dyDescent="0.2">
      <c r="A19" s="81">
        <v>2302</v>
      </c>
      <c r="B19" s="165" t="s">
        <v>1924</v>
      </c>
      <c r="C19" s="165" t="s">
        <v>878</v>
      </c>
      <c r="E19" s="165" t="s">
        <v>1976</v>
      </c>
      <c r="G19" s="81">
        <v>527958</v>
      </c>
      <c r="H19" s="81">
        <v>170935</v>
      </c>
      <c r="I19" s="165" t="s">
        <v>253</v>
      </c>
      <c r="J19" s="349">
        <v>42825</v>
      </c>
      <c r="K19" s="349">
        <v>43190</v>
      </c>
      <c r="L19" s="166">
        <v>6</v>
      </c>
      <c r="M19" s="166">
        <v>11</v>
      </c>
      <c r="N19" s="166">
        <v>5</v>
      </c>
      <c r="O19" s="166">
        <v>11</v>
      </c>
      <c r="P19" s="166">
        <v>5</v>
      </c>
      <c r="Q19" s="81" t="s">
        <v>155</v>
      </c>
      <c r="R19" s="165" t="s">
        <v>879</v>
      </c>
      <c r="S19" s="81" t="s">
        <v>113</v>
      </c>
      <c r="T19" s="349">
        <v>39382</v>
      </c>
      <c r="U19" s="349">
        <v>39527</v>
      </c>
      <c r="W19" s="81" t="s">
        <v>114</v>
      </c>
      <c r="Y19" s="81" t="s">
        <v>115</v>
      </c>
      <c r="Z19" s="81" t="s">
        <v>116</v>
      </c>
      <c r="AA19" s="81" t="s">
        <v>116</v>
      </c>
      <c r="AB19" s="81" t="s">
        <v>117</v>
      </c>
      <c r="AC19" s="166">
        <v>4.6999998390674598E-2</v>
      </c>
      <c r="AD19" s="349">
        <v>42825</v>
      </c>
      <c r="AF19" s="349">
        <v>43190</v>
      </c>
      <c r="AG19" s="81" t="s">
        <v>238</v>
      </c>
      <c r="AH19" s="81" t="s">
        <v>118</v>
      </c>
      <c r="AO19" s="166">
        <v>0</v>
      </c>
      <c r="AP19" s="166">
        <v>5</v>
      </c>
      <c r="AQ19" s="166">
        <v>1</v>
      </c>
      <c r="AR19" s="166">
        <v>-1</v>
      </c>
      <c r="AS19" s="166">
        <v>0</v>
      </c>
      <c r="AT19" s="166">
        <v>0</v>
      </c>
      <c r="AU19" s="166">
        <v>0</v>
      </c>
      <c r="AV19" s="166">
        <v>0</v>
      </c>
      <c r="AW19" s="166">
        <v>5</v>
      </c>
      <c r="AX19" s="166">
        <v>1</v>
      </c>
      <c r="AY19" s="166">
        <v>-1</v>
      </c>
      <c r="AZ19" s="166">
        <v>0</v>
      </c>
      <c r="BA19" s="166">
        <v>0</v>
      </c>
      <c r="BB19" s="166">
        <v>0</v>
      </c>
      <c r="BC19" s="166">
        <v>0</v>
      </c>
      <c r="BD19" s="166">
        <v>0</v>
      </c>
      <c r="BE19" s="166">
        <v>0</v>
      </c>
      <c r="BF19" s="166">
        <v>0</v>
      </c>
      <c r="BG19" s="166">
        <v>0</v>
      </c>
      <c r="BH19" s="166">
        <v>0</v>
      </c>
      <c r="BI19" s="166">
        <v>0</v>
      </c>
      <c r="BJ19" s="166">
        <v>0</v>
      </c>
      <c r="BK19" s="166">
        <v>0</v>
      </c>
      <c r="BL19" s="166">
        <v>0</v>
      </c>
      <c r="BM19" s="166">
        <v>0</v>
      </c>
      <c r="BN19" s="166">
        <v>0</v>
      </c>
      <c r="BO19" s="166">
        <v>0</v>
      </c>
      <c r="BP19" s="166">
        <v>0</v>
      </c>
      <c r="BQ19" s="81" t="s">
        <v>1757</v>
      </c>
      <c r="BZ19" s="81" t="s">
        <v>155</v>
      </c>
      <c r="CA19" s="81">
        <v>1</v>
      </c>
      <c r="CC19" s="167">
        <f>N19</f>
        <v>5</v>
      </c>
      <c r="CD19" s="167">
        <v>0</v>
      </c>
      <c r="CE19" s="167">
        <v>0</v>
      </c>
      <c r="CF19" s="167">
        <v>0</v>
      </c>
      <c r="CG19" s="167">
        <v>0</v>
      </c>
      <c r="CH19" s="167">
        <v>0</v>
      </c>
      <c r="CI19" s="167">
        <v>0</v>
      </c>
      <c r="CJ19" s="167">
        <v>0</v>
      </c>
      <c r="CK19" s="167">
        <v>0</v>
      </c>
      <c r="CL19" s="167">
        <v>0</v>
      </c>
      <c r="CM19" s="167">
        <v>0</v>
      </c>
      <c r="CN19" s="167">
        <v>0</v>
      </c>
      <c r="CO19" s="167">
        <v>0</v>
      </c>
      <c r="CP19" s="167">
        <v>0</v>
      </c>
      <c r="CQ19" s="167">
        <v>0</v>
      </c>
      <c r="CR19" s="167">
        <v>0</v>
      </c>
      <c r="CS19" s="167">
        <v>0</v>
      </c>
      <c r="CT19" s="167">
        <v>0</v>
      </c>
      <c r="CU19" s="167">
        <v>0</v>
      </c>
      <c r="CV19" s="167">
        <v>0</v>
      </c>
      <c r="CW19" s="167">
        <v>0</v>
      </c>
      <c r="CX19" s="167">
        <f>SUM(CD19:CH19)</f>
        <v>0</v>
      </c>
      <c r="CY19" s="167">
        <f>SUM(CD19:CM19)</f>
        <v>0</v>
      </c>
    </row>
    <row r="20" spans="1:103" ht="12.75" customHeight="1" x14ac:dyDescent="0.2">
      <c r="A20" s="81">
        <v>2411</v>
      </c>
      <c r="B20" s="165" t="s">
        <v>1924</v>
      </c>
      <c r="C20" s="165" t="s">
        <v>4036</v>
      </c>
      <c r="D20" s="165" t="s">
        <v>508</v>
      </c>
      <c r="E20" s="165" t="s">
        <v>1982</v>
      </c>
      <c r="F20" s="165" t="s">
        <v>4037</v>
      </c>
      <c r="G20" s="81">
        <v>528934</v>
      </c>
      <c r="H20" s="81">
        <v>177496</v>
      </c>
      <c r="I20" s="165" t="s">
        <v>240</v>
      </c>
      <c r="J20" s="349">
        <v>41599</v>
      </c>
      <c r="K20" s="350">
        <v>43190</v>
      </c>
      <c r="L20" s="166">
        <v>0</v>
      </c>
      <c r="M20" s="166">
        <v>593</v>
      </c>
      <c r="N20" s="166">
        <v>593</v>
      </c>
      <c r="O20" s="166">
        <v>865</v>
      </c>
      <c r="P20" s="166">
        <v>865</v>
      </c>
      <c r="Q20" s="81" t="s">
        <v>155</v>
      </c>
      <c r="R20" s="165" t="s">
        <v>4038</v>
      </c>
      <c r="S20" s="81" t="s">
        <v>1998</v>
      </c>
      <c r="T20" s="349">
        <v>42654</v>
      </c>
      <c r="U20" s="349">
        <v>42682</v>
      </c>
      <c r="W20" s="81" t="s">
        <v>114</v>
      </c>
      <c r="Y20" s="81" t="s">
        <v>115</v>
      </c>
      <c r="Z20" s="81" t="s">
        <v>116</v>
      </c>
      <c r="AA20" s="81" t="s">
        <v>116</v>
      </c>
      <c r="AB20" s="81" t="s">
        <v>117</v>
      </c>
      <c r="AC20" s="166">
        <v>0.82099999999999995</v>
      </c>
      <c r="AD20" s="349">
        <v>41599</v>
      </c>
      <c r="AF20" s="349">
        <v>43190</v>
      </c>
      <c r="AG20" s="81" t="s">
        <v>238</v>
      </c>
      <c r="AH20" s="81" t="s">
        <v>118</v>
      </c>
      <c r="AI20" s="81" t="s">
        <v>1983</v>
      </c>
      <c r="AK20" s="166">
        <v>593</v>
      </c>
      <c r="AM20" s="166">
        <v>59</v>
      </c>
      <c r="AO20" s="166">
        <v>85</v>
      </c>
      <c r="AP20" s="166">
        <v>164</v>
      </c>
      <c r="AQ20" s="166">
        <v>294</v>
      </c>
      <c r="AR20" s="166">
        <v>35</v>
      </c>
      <c r="AS20" s="166">
        <v>15</v>
      </c>
      <c r="AT20" s="166">
        <v>0</v>
      </c>
      <c r="AU20" s="166">
        <v>0</v>
      </c>
      <c r="AV20" s="166">
        <v>85</v>
      </c>
      <c r="AW20" s="166">
        <v>164</v>
      </c>
      <c r="AX20" s="166">
        <v>294</v>
      </c>
      <c r="AY20" s="166">
        <v>35</v>
      </c>
      <c r="AZ20" s="166">
        <v>15</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81" t="s">
        <v>1759</v>
      </c>
      <c r="BS20" s="81" t="s">
        <v>155</v>
      </c>
      <c r="BZ20" s="81" t="s">
        <v>155</v>
      </c>
      <c r="CA20" s="81">
        <v>1</v>
      </c>
      <c r="CC20" s="167">
        <f>N20</f>
        <v>593</v>
      </c>
      <c r="CD20" s="167">
        <v>0</v>
      </c>
      <c r="CE20" s="167">
        <v>0</v>
      </c>
      <c r="CF20" s="167">
        <v>0</v>
      </c>
      <c r="CG20" s="167">
        <v>0</v>
      </c>
      <c r="CH20" s="167">
        <v>0</v>
      </c>
      <c r="CI20" s="167">
        <v>0</v>
      </c>
      <c r="CJ20" s="167">
        <v>0</v>
      </c>
      <c r="CK20" s="167">
        <v>0</v>
      </c>
      <c r="CL20" s="167">
        <v>0</v>
      </c>
      <c r="CM20" s="167">
        <v>0</v>
      </c>
      <c r="CN20" s="167">
        <v>0</v>
      </c>
      <c r="CO20" s="167">
        <v>0</v>
      </c>
      <c r="CP20" s="167">
        <v>0</v>
      </c>
      <c r="CQ20" s="167">
        <v>0</v>
      </c>
      <c r="CR20" s="167">
        <v>0</v>
      </c>
      <c r="CS20" s="167">
        <v>0</v>
      </c>
      <c r="CT20" s="167">
        <v>0</v>
      </c>
      <c r="CU20" s="167">
        <v>0</v>
      </c>
      <c r="CV20" s="167">
        <v>0</v>
      </c>
      <c r="CW20" s="167">
        <v>0</v>
      </c>
      <c r="CX20" s="167">
        <f>SUM(CD20:CH20)</f>
        <v>0</v>
      </c>
      <c r="CY20" s="167">
        <f>SUM(CD20:CM20)</f>
        <v>0</v>
      </c>
    </row>
    <row r="21" spans="1:103" ht="12.75" customHeight="1" x14ac:dyDescent="0.2">
      <c r="A21" s="81">
        <v>2417</v>
      </c>
      <c r="B21" s="165" t="s">
        <v>1924</v>
      </c>
      <c r="C21" s="165" t="s">
        <v>3066</v>
      </c>
      <c r="E21" s="165" t="s">
        <v>3067</v>
      </c>
      <c r="G21" s="81">
        <v>527141</v>
      </c>
      <c r="H21" s="81">
        <v>176309</v>
      </c>
      <c r="I21" s="165" t="s">
        <v>257</v>
      </c>
      <c r="J21" s="349">
        <v>42271</v>
      </c>
      <c r="K21" s="349">
        <v>42879</v>
      </c>
      <c r="L21" s="166">
        <v>0</v>
      </c>
      <c r="M21" s="166">
        <v>1</v>
      </c>
      <c r="N21" s="166">
        <v>1</v>
      </c>
      <c r="O21" s="166">
        <v>1</v>
      </c>
      <c r="P21" s="166">
        <v>1</v>
      </c>
      <c r="R21" s="165" t="s">
        <v>3068</v>
      </c>
      <c r="S21" s="81" t="s">
        <v>113</v>
      </c>
      <c r="T21" s="349">
        <v>39167</v>
      </c>
      <c r="U21" s="349">
        <v>39223</v>
      </c>
      <c r="W21" s="81" t="s">
        <v>114</v>
      </c>
      <c r="Y21" s="81" t="s">
        <v>115</v>
      </c>
      <c r="Z21" s="81" t="s">
        <v>116</v>
      </c>
      <c r="AA21" s="81" t="s">
        <v>117</v>
      </c>
      <c r="AB21" s="81" t="s">
        <v>218</v>
      </c>
      <c r="AC21" s="166">
        <v>8.9999996125698107E-3</v>
      </c>
      <c r="AD21" s="349">
        <v>42271</v>
      </c>
      <c r="AF21" s="349">
        <v>42879</v>
      </c>
      <c r="AG21" s="81" t="s">
        <v>238</v>
      </c>
      <c r="AH21" s="81" t="s">
        <v>118</v>
      </c>
      <c r="AO21" s="166">
        <v>0</v>
      </c>
      <c r="AP21" s="166">
        <v>0</v>
      </c>
      <c r="AQ21" s="166">
        <v>1</v>
      </c>
      <c r="AR21" s="166">
        <v>0</v>
      </c>
      <c r="AS21" s="166">
        <v>0</v>
      </c>
      <c r="AT21" s="166">
        <v>0</v>
      </c>
      <c r="AU21" s="166">
        <v>0</v>
      </c>
      <c r="AV21" s="166">
        <v>0</v>
      </c>
      <c r="AW21" s="166">
        <v>0</v>
      </c>
      <c r="AX21" s="166">
        <v>0</v>
      </c>
      <c r="AY21" s="166">
        <v>0</v>
      </c>
      <c r="AZ21" s="166">
        <v>0</v>
      </c>
      <c r="BA21" s="166">
        <v>0</v>
      </c>
      <c r="BB21" s="166">
        <v>0</v>
      </c>
      <c r="BC21" s="166">
        <v>0</v>
      </c>
      <c r="BD21" s="166">
        <v>0</v>
      </c>
      <c r="BE21" s="166">
        <v>1</v>
      </c>
      <c r="BF21" s="166">
        <v>0</v>
      </c>
      <c r="BG21" s="166">
        <v>0</v>
      </c>
      <c r="BH21" s="166">
        <v>0</v>
      </c>
      <c r="BI21" s="166">
        <v>0</v>
      </c>
      <c r="BJ21" s="166">
        <v>0</v>
      </c>
      <c r="BK21" s="166">
        <v>0</v>
      </c>
      <c r="BL21" s="166">
        <v>0</v>
      </c>
      <c r="BM21" s="166">
        <v>0</v>
      </c>
      <c r="BN21" s="166">
        <v>0</v>
      </c>
      <c r="BO21" s="166">
        <v>0</v>
      </c>
      <c r="BP21" s="166">
        <v>0</v>
      </c>
      <c r="BQ21" s="81" t="s">
        <v>1757</v>
      </c>
      <c r="BZ21" s="81" t="s">
        <v>155</v>
      </c>
      <c r="CA21" s="81">
        <v>1</v>
      </c>
      <c r="CC21" s="167">
        <f>N21</f>
        <v>1</v>
      </c>
      <c r="CD21" s="167">
        <v>0</v>
      </c>
      <c r="CE21" s="167">
        <v>0</v>
      </c>
      <c r="CF21" s="167">
        <v>0</v>
      </c>
      <c r="CG21" s="167">
        <v>0</v>
      </c>
      <c r="CH21" s="167">
        <v>0</v>
      </c>
      <c r="CI21" s="167">
        <v>0</v>
      </c>
      <c r="CJ21" s="167">
        <v>0</v>
      </c>
      <c r="CK21" s="167">
        <v>0</v>
      </c>
      <c r="CL21" s="167">
        <v>0</v>
      </c>
      <c r="CM21" s="167">
        <v>0</v>
      </c>
      <c r="CN21" s="167">
        <v>0</v>
      </c>
      <c r="CO21" s="167">
        <v>0</v>
      </c>
      <c r="CP21" s="167">
        <v>0</v>
      </c>
      <c r="CQ21" s="167">
        <v>0</v>
      </c>
      <c r="CR21" s="167">
        <v>0</v>
      </c>
      <c r="CS21" s="167">
        <v>0</v>
      </c>
      <c r="CT21" s="167">
        <v>0</v>
      </c>
      <c r="CU21" s="167">
        <v>0</v>
      </c>
      <c r="CV21" s="167">
        <v>0</v>
      </c>
      <c r="CW21" s="167">
        <v>0</v>
      </c>
      <c r="CX21" s="167">
        <f>SUM(CD21:CH21)</f>
        <v>0</v>
      </c>
      <c r="CY21" s="167">
        <f>SUM(CD21:CM21)</f>
        <v>0</v>
      </c>
    </row>
    <row r="22" spans="1:103" ht="12.75" customHeight="1" x14ac:dyDescent="0.2">
      <c r="A22" s="81">
        <v>2759</v>
      </c>
      <c r="B22" s="165" t="s">
        <v>1924</v>
      </c>
      <c r="C22" s="165" t="s">
        <v>649</v>
      </c>
      <c r="E22" s="165" t="s">
        <v>3069</v>
      </c>
      <c r="G22" s="81">
        <v>527493</v>
      </c>
      <c r="H22" s="81">
        <v>171577</v>
      </c>
      <c r="I22" s="165" t="s">
        <v>242</v>
      </c>
      <c r="J22" s="349">
        <v>42487</v>
      </c>
      <c r="K22" s="349">
        <v>43190</v>
      </c>
      <c r="L22" s="166">
        <v>1</v>
      </c>
      <c r="M22" s="166">
        <v>3</v>
      </c>
      <c r="N22" s="166">
        <v>2</v>
      </c>
      <c r="O22" s="166">
        <v>3</v>
      </c>
      <c r="P22" s="166">
        <v>2</v>
      </c>
      <c r="R22" s="165" t="s">
        <v>920</v>
      </c>
      <c r="S22" s="81" t="s">
        <v>113</v>
      </c>
      <c r="T22" s="349">
        <v>42242</v>
      </c>
      <c r="U22" s="349">
        <v>42394</v>
      </c>
      <c r="W22" s="81" t="s">
        <v>114</v>
      </c>
      <c r="Y22" s="81" t="s">
        <v>115</v>
      </c>
      <c r="Z22" s="81" t="s">
        <v>398</v>
      </c>
      <c r="AA22" s="81" t="s">
        <v>117</v>
      </c>
      <c r="AB22" s="81" t="s">
        <v>220</v>
      </c>
      <c r="AC22" s="166">
        <v>7.0000002160668399E-3</v>
      </c>
      <c r="AD22" s="349">
        <v>42487</v>
      </c>
      <c r="AF22" s="349">
        <v>43190</v>
      </c>
      <c r="AG22" s="81" t="s">
        <v>238</v>
      </c>
      <c r="AH22" s="81" t="s">
        <v>118</v>
      </c>
      <c r="AK22" s="166">
        <v>0</v>
      </c>
      <c r="AM22" s="166">
        <v>0</v>
      </c>
      <c r="AO22" s="166">
        <v>0</v>
      </c>
      <c r="AP22" s="166">
        <v>3</v>
      </c>
      <c r="AQ22" s="166">
        <v>0</v>
      </c>
      <c r="AR22" s="166">
        <v>0</v>
      </c>
      <c r="AS22" s="166">
        <v>-1</v>
      </c>
      <c r="AT22" s="166">
        <v>0</v>
      </c>
      <c r="AU22" s="166">
        <v>0</v>
      </c>
      <c r="AV22" s="166">
        <v>0</v>
      </c>
      <c r="AW22" s="166">
        <v>3</v>
      </c>
      <c r="AX22" s="166">
        <v>0</v>
      </c>
      <c r="AY22" s="166">
        <v>0</v>
      </c>
      <c r="AZ22" s="166">
        <v>-1</v>
      </c>
      <c r="BA22" s="166">
        <v>0</v>
      </c>
      <c r="BB22" s="166">
        <v>0</v>
      </c>
      <c r="BC22" s="166">
        <v>0</v>
      </c>
      <c r="BD22" s="166">
        <v>0</v>
      </c>
      <c r="BE22" s="166">
        <v>0</v>
      </c>
      <c r="BF22" s="166">
        <v>0</v>
      </c>
      <c r="BG22" s="166">
        <v>0</v>
      </c>
      <c r="BH22" s="166">
        <v>0</v>
      </c>
      <c r="BI22" s="166">
        <v>0</v>
      </c>
      <c r="BJ22" s="166">
        <v>0</v>
      </c>
      <c r="BK22" s="166">
        <v>0</v>
      </c>
      <c r="BL22" s="166">
        <v>0</v>
      </c>
      <c r="BM22" s="166">
        <v>0</v>
      </c>
      <c r="BN22" s="166">
        <v>0</v>
      </c>
      <c r="BO22" s="166">
        <v>0</v>
      </c>
      <c r="BP22" s="166">
        <v>0</v>
      </c>
      <c r="BQ22" s="81" t="s">
        <v>1757</v>
      </c>
      <c r="BR22" s="81" t="s">
        <v>242</v>
      </c>
      <c r="BZ22" s="81" t="s">
        <v>155</v>
      </c>
      <c r="CA22" s="81">
        <v>7</v>
      </c>
      <c r="CC22" s="167">
        <f>N22</f>
        <v>2</v>
      </c>
      <c r="CD22" s="167">
        <v>0</v>
      </c>
      <c r="CE22" s="167">
        <v>0</v>
      </c>
      <c r="CF22" s="167">
        <v>0</v>
      </c>
      <c r="CG22" s="167">
        <v>0</v>
      </c>
      <c r="CH22" s="167">
        <v>0</v>
      </c>
      <c r="CI22" s="167">
        <v>0</v>
      </c>
      <c r="CJ22" s="167">
        <v>0</v>
      </c>
      <c r="CK22" s="167">
        <v>0</v>
      </c>
      <c r="CL22" s="167">
        <v>0</v>
      </c>
      <c r="CM22" s="167">
        <v>0</v>
      </c>
      <c r="CN22" s="167">
        <v>0</v>
      </c>
      <c r="CO22" s="167">
        <v>0</v>
      </c>
      <c r="CP22" s="167">
        <v>0</v>
      </c>
      <c r="CQ22" s="167">
        <v>0</v>
      </c>
      <c r="CR22" s="167">
        <v>0</v>
      </c>
      <c r="CS22" s="167">
        <v>0</v>
      </c>
      <c r="CT22" s="167">
        <v>0</v>
      </c>
      <c r="CU22" s="167">
        <v>0</v>
      </c>
      <c r="CV22" s="167">
        <v>0</v>
      </c>
      <c r="CW22" s="167">
        <v>0</v>
      </c>
      <c r="CX22" s="167">
        <f>SUM(CD22:CH22)</f>
        <v>0</v>
      </c>
      <c r="CY22" s="167">
        <f>SUM(CD22:CM22)</f>
        <v>0</v>
      </c>
    </row>
    <row r="23" spans="1:103" ht="12.75" customHeight="1" x14ac:dyDescent="0.2">
      <c r="A23" s="81">
        <v>2881</v>
      </c>
      <c r="B23" s="165" t="s">
        <v>1924</v>
      </c>
      <c r="C23" s="165" t="s">
        <v>3070</v>
      </c>
      <c r="E23" s="165" t="s">
        <v>3071</v>
      </c>
      <c r="G23" s="81">
        <v>527732</v>
      </c>
      <c r="H23" s="81">
        <v>173776</v>
      </c>
      <c r="I23" s="165" t="s">
        <v>247</v>
      </c>
      <c r="J23" s="349">
        <v>43049</v>
      </c>
      <c r="K23" s="349">
        <v>43190</v>
      </c>
      <c r="L23" s="166">
        <v>0</v>
      </c>
      <c r="M23" s="166">
        <v>1</v>
      </c>
      <c r="N23" s="166">
        <v>1</v>
      </c>
      <c r="O23" s="166">
        <v>1</v>
      </c>
      <c r="P23" s="166">
        <v>1</v>
      </c>
      <c r="R23" s="165" t="s">
        <v>3072</v>
      </c>
      <c r="S23" s="81" t="s">
        <v>296</v>
      </c>
      <c r="T23" s="349">
        <v>42654</v>
      </c>
      <c r="U23" s="349">
        <v>42793</v>
      </c>
      <c r="V23" s="81" t="s">
        <v>155</v>
      </c>
      <c r="W23" s="81" t="s">
        <v>297</v>
      </c>
      <c r="X23" s="349">
        <v>43048</v>
      </c>
      <c r="Y23" s="81" t="s">
        <v>115</v>
      </c>
      <c r="Z23" s="81" t="s">
        <v>119</v>
      </c>
      <c r="AA23" s="81" t="s">
        <v>117</v>
      </c>
      <c r="AB23" s="81" t="s">
        <v>298</v>
      </c>
      <c r="AC23" s="166">
        <v>6.0000000521540598E-3</v>
      </c>
      <c r="AD23" s="349">
        <v>43049</v>
      </c>
      <c r="AE23" s="81" t="s">
        <v>155</v>
      </c>
      <c r="AF23" s="349">
        <v>43190</v>
      </c>
      <c r="AG23" s="81" t="s">
        <v>238</v>
      </c>
      <c r="AH23" s="81" t="s">
        <v>118</v>
      </c>
      <c r="AK23" s="166">
        <v>0</v>
      </c>
      <c r="AM23" s="166">
        <v>0</v>
      </c>
      <c r="AO23" s="166">
        <v>0</v>
      </c>
      <c r="AP23" s="166">
        <v>1</v>
      </c>
      <c r="AQ23" s="166">
        <v>0</v>
      </c>
      <c r="AR23" s="166">
        <v>0</v>
      </c>
      <c r="AS23" s="166">
        <v>0</v>
      </c>
      <c r="AT23" s="166">
        <v>0</v>
      </c>
      <c r="AU23" s="166">
        <v>0</v>
      </c>
      <c r="AV23" s="166">
        <v>0</v>
      </c>
      <c r="AW23" s="166">
        <v>0</v>
      </c>
      <c r="AX23" s="166">
        <v>0</v>
      </c>
      <c r="AY23" s="166">
        <v>0</v>
      </c>
      <c r="AZ23" s="166">
        <v>0</v>
      </c>
      <c r="BA23" s="166">
        <v>0</v>
      </c>
      <c r="BB23" s="166">
        <v>0</v>
      </c>
      <c r="BC23" s="166">
        <v>0</v>
      </c>
      <c r="BD23" s="166">
        <v>1</v>
      </c>
      <c r="BE23" s="166">
        <v>0</v>
      </c>
      <c r="BF23" s="166">
        <v>0</v>
      </c>
      <c r="BG23" s="166">
        <v>0</v>
      </c>
      <c r="BH23" s="166">
        <v>0</v>
      </c>
      <c r="BI23" s="166">
        <v>0</v>
      </c>
      <c r="BJ23" s="166">
        <v>0</v>
      </c>
      <c r="BK23" s="166">
        <v>0</v>
      </c>
      <c r="BL23" s="166">
        <v>0</v>
      </c>
      <c r="BM23" s="166">
        <v>0</v>
      </c>
      <c r="BN23" s="166">
        <v>0</v>
      </c>
      <c r="BO23" s="166">
        <v>0</v>
      </c>
      <c r="BP23" s="166">
        <v>0</v>
      </c>
      <c r="BQ23" s="81" t="s">
        <v>1757</v>
      </c>
      <c r="BZ23" s="81" t="s">
        <v>155</v>
      </c>
      <c r="CA23" s="81">
        <v>7</v>
      </c>
      <c r="CC23" s="167">
        <f>N23</f>
        <v>1</v>
      </c>
      <c r="CD23" s="167">
        <v>0</v>
      </c>
      <c r="CE23" s="167">
        <v>0</v>
      </c>
      <c r="CF23" s="167">
        <v>0</v>
      </c>
      <c r="CG23" s="167">
        <v>0</v>
      </c>
      <c r="CH23" s="167">
        <v>0</v>
      </c>
      <c r="CI23" s="167">
        <v>0</v>
      </c>
      <c r="CJ23" s="167">
        <v>0</v>
      </c>
      <c r="CK23" s="167">
        <v>0</v>
      </c>
      <c r="CL23" s="167">
        <v>0</v>
      </c>
      <c r="CM23" s="167">
        <v>0</v>
      </c>
      <c r="CN23" s="167">
        <v>0</v>
      </c>
      <c r="CO23" s="167">
        <v>0</v>
      </c>
      <c r="CP23" s="167">
        <v>0</v>
      </c>
      <c r="CQ23" s="167">
        <v>0</v>
      </c>
      <c r="CR23" s="167">
        <v>0</v>
      </c>
      <c r="CS23" s="167">
        <v>0</v>
      </c>
      <c r="CT23" s="167">
        <v>0</v>
      </c>
      <c r="CU23" s="167">
        <v>0</v>
      </c>
      <c r="CV23" s="167">
        <v>0</v>
      </c>
      <c r="CW23" s="167">
        <v>0</v>
      </c>
      <c r="CX23" s="167">
        <f>SUM(CD23:CH23)</f>
        <v>0</v>
      </c>
      <c r="CY23" s="167">
        <f>SUM(CD23:CM23)</f>
        <v>0</v>
      </c>
    </row>
    <row r="24" spans="1:103" ht="12.75" customHeight="1" x14ac:dyDescent="0.2">
      <c r="A24" s="81">
        <v>2939</v>
      </c>
      <c r="B24" s="165" t="s">
        <v>1924</v>
      </c>
      <c r="C24" s="165" t="s">
        <v>959</v>
      </c>
      <c r="E24" s="165" t="s">
        <v>3073</v>
      </c>
      <c r="G24" s="81">
        <v>526842</v>
      </c>
      <c r="H24" s="81">
        <v>175078</v>
      </c>
      <c r="I24" s="165" t="s">
        <v>251</v>
      </c>
      <c r="J24" s="349">
        <v>42622</v>
      </c>
      <c r="K24" s="349">
        <v>42948</v>
      </c>
      <c r="L24" s="166">
        <v>1</v>
      </c>
      <c r="M24" s="166">
        <v>2</v>
      </c>
      <c r="N24" s="166">
        <v>1</v>
      </c>
      <c r="O24" s="166">
        <v>3</v>
      </c>
      <c r="P24" s="166">
        <v>2</v>
      </c>
      <c r="R24" s="165" t="s">
        <v>960</v>
      </c>
      <c r="S24" s="81" t="s">
        <v>113</v>
      </c>
      <c r="T24" s="349">
        <v>42296</v>
      </c>
      <c r="U24" s="349">
        <v>42368</v>
      </c>
      <c r="W24" s="81" t="s">
        <v>114</v>
      </c>
      <c r="Y24" s="81" t="s">
        <v>115</v>
      </c>
      <c r="Z24" s="81" t="s">
        <v>398</v>
      </c>
      <c r="AA24" s="81" t="s">
        <v>117</v>
      </c>
      <c r="AB24" s="81" t="s">
        <v>220</v>
      </c>
      <c r="AC24" s="166">
        <v>4.9999998882412902E-3</v>
      </c>
      <c r="AD24" s="349">
        <v>42622</v>
      </c>
      <c r="AF24" s="349">
        <v>42948</v>
      </c>
      <c r="AG24" s="81" t="s">
        <v>238</v>
      </c>
      <c r="AH24" s="81" t="s">
        <v>118</v>
      </c>
      <c r="AK24" s="166">
        <v>0</v>
      </c>
      <c r="AM24" s="166">
        <v>0</v>
      </c>
      <c r="AO24" s="166">
        <v>0</v>
      </c>
      <c r="AP24" s="166">
        <v>1</v>
      </c>
      <c r="AQ24" s="166">
        <v>1</v>
      </c>
      <c r="AR24" s="166">
        <v>-1</v>
      </c>
      <c r="AS24" s="166">
        <v>0</v>
      </c>
      <c r="AT24" s="166">
        <v>0</v>
      </c>
      <c r="AU24" s="166">
        <v>0</v>
      </c>
      <c r="AV24" s="166">
        <v>0</v>
      </c>
      <c r="AW24" s="166">
        <v>1</v>
      </c>
      <c r="AX24" s="166">
        <v>1</v>
      </c>
      <c r="AY24" s="166">
        <v>-1</v>
      </c>
      <c r="AZ24" s="166">
        <v>0</v>
      </c>
      <c r="BA24" s="166">
        <v>0</v>
      </c>
      <c r="BB24" s="166">
        <v>0</v>
      </c>
      <c r="BC24" s="166">
        <v>0</v>
      </c>
      <c r="BD24" s="166">
        <v>0</v>
      </c>
      <c r="BE24" s="166">
        <v>0</v>
      </c>
      <c r="BF24" s="166">
        <v>0</v>
      </c>
      <c r="BG24" s="166">
        <v>0</v>
      </c>
      <c r="BH24" s="166">
        <v>0</v>
      </c>
      <c r="BI24" s="166">
        <v>0</v>
      </c>
      <c r="BJ24" s="166">
        <v>0</v>
      </c>
      <c r="BK24" s="166">
        <v>0</v>
      </c>
      <c r="BL24" s="166">
        <v>0</v>
      </c>
      <c r="BM24" s="166">
        <v>0</v>
      </c>
      <c r="BN24" s="166">
        <v>0</v>
      </c>
      <c r="BO24" s="166">
        <v>0</v>
      </c>
      <c r="BP24" s="166">
        <v>0</v>
      </c>
      <c r="BQ24" s="81" t="s">
        <v>1758</v>
      </c>
      <c r="BZ24" s="81" t="s">
        <v>155</v>
      </c>
      <c r="CA24" s="81">
        <v>7</v>
      </c>
      <c r="CC24" s="167">
        <f>N24</f>
        <v>1</v>
      </c>
      <c r="CD24" s="167">
        <v>0</v>
      </c>
      <c r="CE24" s="167">
        <v>0</v>
      </c>
      <c r="CF24" s="167">
        <v>0</v>
      </c>
      <c r="CG24" s="167">
        <v>0</v>
      </c>
      <c r="CH24" s="167">
        <v>0</v>
      </c>
      <c r="CI24" s="167">
        <v>0</v>
      </c>
      <c r="CJ24" s="167">
        <v>0</v>
      </c>
      <c r="CK24" s="167">
        <v>0</v>
      </c>
      <c r="CL24" s="167">
        <v>0</v>
      </c>
      <c r="CM24" s="167">
        <v>0</v>
      </c>
      <c r="CN24" s="167">
        <v>0</v>
      </c>
      <c r="CO24" s="167">
        <v>0</v>
      </c>
      <c r="CP24" s="167">
        <v>0</v>
      </c>
      <c r="CQ24" s="167">
        <v>0</v>
      </c>
      <c r="CR24" s="167">
        <v>0</v>
      </c>
      <c r="CS24" s="167">
        <v>0</v>
      </c>
      <c r="CT24" s="167">
        <v>0</v>
      </c>
      <c r="CU24" s="167">
        <v>0</v>
      </c>
      <c r="CV24" s="167">
        <v>0</v>
      </c>
      <c r="CW24" s="167">
        <v>0</v>
      </c>
      <c r="CX24" s="167">
        <f>SUM(CD24:CH24)</f>
        <v>0</v>
      </c>
      <c r="CY24" s="167">
        <f>SUM(CD24:CM24)</f>
        <v>0</v>
      </c>
    </row>
    <row r="25" spans="1:103" ht="12.75" customHeight="1" x14ac:dyDescent="0.2">
      <c r="A25" s="81">
        <v>2939</v>
      </c>
      <c r="B25" s="165" t="s">
        <v>1924</v>
      </c>
      <c r="C25" s="165" t="s">
        <v>959</v>
      </c>
      <c r="E25" s="165" t="s">
        <v>3073</v>
      </c>
      <c r="G25" s="81">
        <v>526842</v>
      </c>
      <c r="H25" s="81">
        <v>175078</v>
      </c>
      <c r="I25" s="165" t="s">
        <v>251</v>
      </c>
      <c r="J25" s="349">
        <v>42622</v>
      </c>
      <c r="K25" s="349">
        <v>42948</v>
      </c>
      <c r="L25" s="166">
        <v>0</v>
      </c>
      <c r="M25" s="166">
        <v>1</v>
      </c>
      <c r="N25" s="166">
        <v>1</v>
      </c>
      <c r="O25" s="166">
        <v>3</v>
      </c>
      <c r="P25" s="166">
        <v>2</v>
      </c>
      <c r="R25" s="165" t="s">
        <v>960</v>
      </c>
      <c r="S25" s="81" t="s">
        <v>113</v>
      </c>
      <c r="T25" s="349">
        <v>42296</v>
      </c>
      <c r="U25" s="349">
        <v>42368</v>
      </c>
      <c r="W25" s="81" t="s">
        <v>114</v>
      </c>
      <c r="Y25" s="81" t="s">
        <v>115</v>
      </c>
      <c r="Z25" s="81" t="s">
        <v>398</v>
      </c>
      <c r="AA25" s="81" t="s">
        <v>117</v>
      </c>
      <c r="AB25" s="81" t="s">
        <v>399</v>
      </c>
      <c r="AC25" s="166">
        <v>3.0000000260770299E-3</v>
      </c>
      <c r="AD25" s="349">
        <v>42622</v>
      </c>
      <c r="AF25" s="349">
        <v>42948</v>
      </c>
      <c r="AG25" s="81" t="s">
        <v>238</v>
      </c>
      <c r="AH25" s="81" t="s">
        <v>118</v>
      </c>
      <c r="AK25" s="166">
        <v>0</v>
      </c>
      <c r="AM25" s="166">
        <v>0</v>
      </c>
      <c r="AO25" s="166">
        <v>0</v>
      </c>
      <c r="AP25" s="166">
        <v>1</v>
      </c>
      <c r="AQ25" s="166">
        <v>0</v>
      </c>
      <c r="AR25" s="166">
        <v>0</v>
      </c>
      <c r="AS25" s="166">
        <v>0</v>
      </c>
      <c r="AT25" s="166">
        <v>0</v>
      </c>
      <c r="AU25" s="166">
        <v>0</v>
      </c>
      <c r="AV25" s="166">
        <v>0</v>
      </c>
      <c r="AW25" s="166">
        <v>1</v>
      </c>
      <c r="AX25" s="166">
        <v>0</v>
      </c>
      <c r="AY25" s="166">
        <v>0</v>
      </c>
      <c r="AZ25" s="166">
        <v>0</v>
      </c>
      <c r="BA25" s="166">
        <v>0</v>
      </c>
      <c r="BB25" s="166">
        <v>0</v>
      </c>
      <c r="BC25" s="166">
        <v>0</v>
      </c>
      <c r="BD25" s="166">
        <v>0</v>
      </c>
      <c r="BE25" s="166">
        <v>0</v>
      </c>
      <c r="BF25" s="166">
        <v>0</v>
      </c>
      <c r="BG25" s="166">
        <v>0</v>
      </c>
      <c r="BH25" s="166">
        <v>0</v>
      </c>
      <c r="BI25" s="166">
        <v>0</v>
      </c>
      <c r="BJ25" s="166">
        <v>0</v>
      </c>
      <c r="BK25" s="166">
        <v>0</v>
      </c>
      <c r="BL25" s="166">
        <v>0</v>
      </c>
      <c r="BM25" s="166">
        <v>0</v>
      </c>
      <c r="BN25" s="166">
        <v>0</v>
      </c>
      <c r="BO25" s="166">
        <v>0</v>
      </c>
      <c r="BP25" s="166">
        <v>0</v>
      </c>
      <c r="BQ25" s="81" t="s">
        <v>1758</v>
      </c>
      <c r="BZ25" s="81" t="s">
        <v>155</v>
      </c>
      <c r="CA25" s="81">
        <v>7</v>
      </c>
      <c r="CC25" s="167">
        <f>N25</f>
        <v>1</v>
      </c>
      <c r="CD25" s="167">
        <v>0</v>
      </c>
      <c r="CE25" s="167">
        <v>0</v>
      </c>
      <c r="CF25" s="167">
        <v>0</v>
      </c>
      <c r="CG25" s="167">
        <v>0</v>
      </c>
      <c r="CH25" s="167">
        <v>0</v>
      </c>
      <c r="CI25" s="167">
        <v>0</v>
      </c>
      <c r="CJ25" s="167">
        <v>0</v>
      </c>
      <c r="CK25" s="167">
        <v>0</v>
      </c>
      <c r="CL25" s="167">
        <v>0</v>
      </c>
      <c r="CM25" s="167">
        <v>0</v>
      </c>
      <c r="CN25" s="167">
        <v>0</v>
      </c>
      <c r="CO25" s="167">
        <v>0</v>
      </c>
      <c r="CP25" s="167">
        <v>0</v>
      </c>
      <c r="CQ25" s="167">
        <v>0</v>
      </c>
      <c r="CR25" s="167">
        <v>0</v>
      </c>
      <c r="CS25" s="167">
        <v>0</v>
      </c>
      <c r="CT25" s="167">
        <v>0</v>
      </c>
      <c r="CU25" s="167">
        <v>0</v>
      </c>
      <c r="CV25" s="167">
        <v>0</v>
      </c>
      <c r="CW25" s="167">
        <v>0</v>
      </c>
      <c r="CX25" s="167">
        <f>SUM(CD25:CH25)</f>
        <v>0</v>
      </c>
      <c r="CY25" s="167">
        <f>SUM(CD25:CM25)</f>
        <v>0</v>
      </c>
    </row>
    <row r="26" spans="1:103" ht="12.75" customHeight="1" x14ac:dyDescent="0.2">
      <c r="A26" s="81">
        <v>3018</v>
      </c>
      <c r="B26" s="165" t="s">
        <v>1924</v>
      </c>
      <c r="C26" s="165" t="s">
        <v>3074</v>
      </c>
      <c r="E26" s="165" t="s">
        <v>3075</v>
      </c>
      <c r="G26" s="81">
        <v>528529</v>
      </c>
      <c r="H26" s="81">
        <v>175746</v>
      </c>
      <c r="I26" s="165" t="s">
        <v>256</v>
      </c>
      <c r="K26" s="349">
        <v>43132</v>
      </c>
      <c r="L26" s="166">
        <v>0</v>
      </c>
      <c r="M26" s="166">
        <v>1</v>
      </c>
      <c r="N26" s="166">
        <v>1</v>
      </c>
      <c r="O26" s="166">
        <v>1</v>
      </c>
      <c r="P26" s="166">
        <v>1</v>
      </c>
      <c r="R26" s="165" t="s">
        <v>3076</v>
      </c>
      <c r="S26" s="81" t="s">
        <v>504</v>
      </c>
      <c r="T26" s="349">
        <v>43077</v>
      </c>
      <c r="U26" s="349">
        <v>43132</v>
      </c>
      <c r="V26" s="81" t="s">
        <v>155</v>
      </c>
      <c r="W26" s="81" t="s">
        <v>114</v>
      </c>
      <c r="Y26" s="81" t="s">
        <v>115</v>
      </c>
      <c r="Z26" s="81" t="s">
        <v>310</v>
      </c>
      <c r="AA26" s="81" t="s">
        <v>117</v>
      </c>
      <c r="AB26" s="81" t="s">
        <v>311</v>
      </c>
      <c r="AC26" s="166">
        <v>8.9999996125698107E-3</v>
      </c>
      <c r="AF26" s="349">
        <v>43132</v>
      </c>
      <c r="AG26" s="81" t="s">
        <v>238</v>
      </c>
      <c r="AH26" s="81" t="s">
        <v>118</v>
      </c>
      <c r="AK26" s="166">
        <v>0</v>
      </c>
      <c r="AM26" s="166">
        <v>0</v>
      </c>
      <c r="AO26" s="166">
        <v>0</v>
      </c>
      <c r="AP26" s="166">
        <v>0</v>
      </c>
      <c r="AQ26" s="166">
        <v>0</v>
      </c>
      <c r="AR26" s="166">
        <v>0</v>
      </c>
      <c r="AS26" s="166">
        <v>1</v>
      </c>
      <c r="AT26" s="166">
        <v>0</v>
      </c>
      <c r="AU26" s="166">
        <v>0</v>
      </c>
      <c r="AV26" s="166">
        <v>0</v>
      </c>
      <c r="AW26" s="166">
        <v>0</v>
      </c>
      <c r="AX26" s="166">
        <v>0</v>
      </c>
      <c r="AY26" s="166">
        <v>0</v>
      </c>
      <c r="AZ26" s="166">
        <v>1</v>
      </c>
      <c r="BA26" s="166">
        <v>0</v>
      </c>
      <c r="BB26" s="166">
        <v>0</v>
      </c>
      <c r="BC26" s="166">
        <v>0</v>
      </c>
      <c r="BD26" s="166">
        <v>0</v>
      </c>
      <c r="BE26" s="166">
        <v>0</v>
      </c>
      <c r="BF26" s="166">
        <v>0</v>
      </c>
      <c r="BG26" s="166">
        <v>0</v>
      </c>
      <c r="BH26" s="166">
        <v>0</v>
      </c>
      <c r="BI26" s="166">
        <v>0</v>
      </c>
      <c r="BJ26" s="166">
        <v>0</v>
      </c>
      <c r="BK26" s="166">
        <v>0</v>
      </c>
      <c r="BL26" s="166">
        <v>0</v>
      </c>
      <c r="BM26" s="166">
        <v>0</v>
      </c>
      <c r="BN26" s="166">
        <v>0</v>
      </c>
      <c r="BO26" s="166">
        <v>0</v>
      </c>
      <c r="BP26" s="166">
        <v>0</v>
      </c>
      <c r="BQ26" s="81" t="s">
        <v>1757</v>
      </c>
      <c r="BZ26" s="81" t="s">
        <v>155</v>
      </c>
      <c r="CA26" s="81">
        <v>7</v>
      </c>
      <c r="CC26" s="167">
        <f>N26</f>
        <v>1</v>
      </c>
      <c r="CD26" s="167">
        <v>0</v>
      </c>
      <c r="CE26" s="167">
        <v>0</v>
      </c>
      <c r="CF26" s="167">
        <v>0</v>
      </c>
      <c r="CG26" s="167">
        <v>0</v>
      </c>
      <c r="CH26" s="167">
        <v>0</v>
      </c>
      <c r="CI26" s="167">
        <v>0</v>
      </c>
      <c r="CJ26" s="167">
        <v>0</v>
      </c>
      <c r="CK26" s="167">
        <v>0</v>
      </c>
      <c r="CL26" s="167">
        <v>0</v>
      </c>
      <c r="CM26" s="167">
        <v>0</v>
      </c>
      <c r="CN26" s="167">
        <v>0</v>
      </c>
      <c r="CO26" s="167">
        <v>0</v>
      </c>
      <c r="CP26" s="167">
        <v>0</v>
      </c>
      <c r="CQ26" s="167">
        <v>0</v>
      </c>
      <c r="CR26" s="167">
        <v>0</v>
      </c>
      <c r="CS26" s="167">
        <v>0</v>
      </c>
      <c r="CT26" s="167">
        <v>0</v>
      </c>
      <c r="CU26" s="167">
        <v>0</v>
      </c>
      <c r="CV26" s="167">
        <v>0</v>
      </c>
      <c r="CW26" s="167">
        <v>0</v>
      </c>
      <c r="CX26" s="167">
        <f>SUM(CD26:CH26)</f>
        <v>0</v>
      </c>
      <c r="CY26" s="167">
        <f>SUM(CD26:CM26)</f>
        <v>0</v>
      </c>
    </row>
    <row r="27" spans="1:103" ht="12.75" customHeight="1" x14ac:dyDescent="0.2">
      <c r="A27" s="81">
        <v>3079</v>
      </c>
      <c r="B27" s="165" t="s">
        <v>1924</v>
      </c>
      <c r="C27" s="165" t="s">
        <v>3077</v>
      </c>
      <c r="E27" s="165" t="s">
        <v>3078</v>
      </c>
      <c r="G27" s="81">
        <v>527812</v>
      </c>
      <c r="H27" s="81">
        <v>172484</v>
      </c>
      <c r="I27" s="165" t="s">
        <v>254</v>
      </c>
      <c r="J27" s="349">
        <v>40119</v>
      </c>
      <c r="K27" s="349">
        <v>43139</v>
      </c>
      <c r="L27" s="166">
        <v>0</v>
      </c>
      <c r="M27" s="166">
        <v>2</v>
      </c>
      <c r="N27" s="166">
        <v>2</v>
      </c>
      <c r="O27" s="166">
        <v>2</v>
      </c>
      <c r="P27" s="166">
        <v>2</v>
      </c>
      <c r="R27" s="165" t="s">
        <v>3079</v>
      </c>
      <c r="S27" s="81" t="s">
        <v>504</v>
      </c>
      <c r="T27" s="349">
        <v>43087</v>
      </c>
      <c r="U27" s="349">
        <v>43139</v>
      </c>
      <c r="V27" s="81" t="s">
        <v>155</v>
      </c>
      <c r="W27" s="81" t="s">
        <v>114</v>
      </c>
      <c r="Y27" s="81" t="s">
        <v>115</v>
      </c>
      <c r="Z27" s="81" t="s">
        <v>119</v>
      </c>
      <c r="AA27" s="81" t="s">
        <v>117</v>
      </c>
      <c r="AB27" s="81" t="s">
        <v>102</v>
      </c>
      <c r="AC27" s="166">
        <v>0</v>
      </c>
      <c r="AD27" s="349">
        <v>40119</v>
      </c>
      <c r="AF27" s="349">
        <v>43139</v>
      </c>
      <c r="AG27" s="81" t="s">
        <v>238</v>
      </c>
      <c r="AH27" s="81" t="s">
        <v>118</v>
      </c>
      <c r="AK27" s="166">
        <v>0</v>
      </c>
      <c r="AM27" s="166">
        <v>0</v>
      </c>
      <c r="AO27" s="166">
        <v>2</v>
      </c>
      <c r="AP27" s="166">
        <v>0</v>
      </c>
      <c r="AQ27" s="166">
        <v>0</v>
      </c>
      <c r="AR27" s="166">
        <v>0</v>
      </c>
      <c r="AS27" s="166">
        <v>0</v>
      </c>
      <c r="AT27" s="166">
        <v>0</v>
      </c>
      <c r="AU27" s="166">
        <v>0</v>
      </c>
      <c r="AV27" s="166">
        <v>2</v>
      </c>
      <c r="AW27" s="166">
        <v>0</v>
      </c>
      <c r="AX27" s="166">
        <v>0</v>
      </c>
      <c r="AY27" s="166">
        <v>0</v>
      </c>
      <c r="AZ27" s="166">
        <v>0</v>
      </c>
      <c r="BA27" s="166">
        <v>0</v>
      </c>
      <c r="BB27" s="166">
        <v>0</v>
      </c>
      <c r="BC27" s="166">
        <v>0</v>
      </c>
      <c r="BD27" s="166">
        <v>0</v>
      </c>
      <c r="BE27" s="166">
        <v>0</v>
      </c>
      <c r="BF27" s="166">
        <v>0</v>
      </c>
      <c r="BG27" s="166">
        <v>0</v>
      </c>
      <c r="BH27" s="166">
        <v>0</v>
      </c>
      <c r="BI27" s="166">
        <v>0</v>
      </c>
      <c r="BJ27" s="166">
        <v>0</v>
      </c>
      <c r="BK27" s="166">
        <v>0</v>
      </c>
      <c r="BL27" s="166">
        <v>0</v>
      </c>
      <c r="BM27" s="166">
        <v>0</v>
      </c>
      <c r="BN27" s="166">
        <v>0</v>
      </c>
      <c r="BO27" s="166">
        <v>0</v>
      </c>
      <c r="BP27" s="166">
        <v>0</v>
      </c>
      <c r="BQ27" s="81" t="s">
        <v>1757</v>
      </c>
      <c r="BZ27" s="81" t="s">
        <v>155</v>
      </c>
      <c r="CA27" s="81">
        <v>7</v>
      </c>
      <c r="CC27" s="167">
        <f>N27</f>
        <v>2</v>
      </c>
      <c r="CD27" s="167">
        <v>0</v>
      </c>
      <c r="CE27" s="167">
        <v>0</v>
      </c>
      <c r="CF27" s="167">
        <v>0</v>
      </c>
      <c r="CG27" s="167">
        <v>0</v>
      </c>
      <c r="CH27" s="167">
        <v>0</v>
      </c>
      <c r="CI27" s="167">
        <v>0</v>
      </c>
      <c r="CJ27" s="167">
        <v>0</v>
      </c>
      <c r="CK27" s="167">
        <v>0</v>
      </c>
      <c r="CL27" s="167">
        <v>0</v>
      </c>
      <c r="CM27" s="167">
        <v>0</v>
      </c>
      <c r="CN27" s="167">
        <v>0</v>
      </c>
      <c r="CO27" s="167">
        <v>0</v>
      </c>
      <c r="CP27" s="167">
        <v>0</v>
      </c>
      <c r="CQ27" s="167">
        <v>0</v>
      </c>
      <c r="CR27" s="167">
        <v>0</v>
      </c>
      <c r="CS27" s="167">
        <v>0</v>
      </c>
      <c r="CT27" s="167">
        <v>0</v>
      </c>
      <c r="CU27" s="167">
        <v>0</v>
      </c>
      <c r="CV27" s="167">
        <v>0</v>
      </c>
      <c r="CW27" s="167">
        <v>0</v>
      </c>
      <c r="CX27" s="167">
        <f>SUM(CD27:CH27)</f>
        <v>0</v>
      </c>
      <c r="CY27" s="167">
        <f>SUM(CD27:CM27)</f>
        <v>0</v>
      </c>
    </row>
    <row r="28" spans="1:103" ht="12.75" customHeight="1" x14ac:dyDescent="0.2">
      <c r="A28" s="81">
        <v>3102</v>
      </c>
      <c r="B28" s="165" t="s">
        <v>1924</v>
      </c>
      <c r="C28" s="165" t="s">
        <v>186</v>
      </c>
      <c r="E28" s="165" t="s">
        <v>3080</v>
      </c>
      <c r="G28" s="81">
        <v>527898</v>
      </c>
      <c r="H28" s="81">
        <v>172499</v>
      </c>
      <c r="I28" s="165" t="s">
        <v>254</v>
      </c>
      <c r="J28" s="349">
        <v>42460</v>
      </c>
      <c r="K28" s="349">
        <v>42936</v>
      </c>
      <c r="L28" s="166">
        <v>0</v>
      </c>
      <c r="M28" s="166">
        <v>1</v>
      </c>
      <c r="N28" s="166">
        <v>1</v>
      </c>
      <c r="O28" s="166">
        <v>1</v>
      </c>
      <c r="P28" s="166">
        <v>1</v>
      </c>
      <c r="R28" s="165" t="s">
        <v>187</v>
      </c>
      <c r="S28" s="81" t="s">
        <v>113</v>
      </c>
      <c r="T28" s="349">
        <v>41472</v>
      </c>
      <c r="U28" s="349">
        <v>41572</v>
      </c>
      <c r="W28" s="81" t="s">
        <v>114</v>
      </c>
      <c r="Y28" s="81" t="s">
        <v>115</v>
      </c>
      <c r="Z28" s="81" t="s">
        <v>398</v>
      </c>
      <c r="AA28" s="81" t="s">
        <v>117</v>
      </c>
      <c r="AB28" s="81" t="s">
        <v>218</v>
      </c>
      <c r="AC28" s="166">
        <v>2.0000000949949E-3</v>
      </c>
      <c r="AD28" s="349">
        <v>42460</v>
      </c>
      <c r="AF28" s="349">
        <v>42936</v>
      </c>
      <c r="AG28" s="81" t="s">
        <v>238</v>
      </c>
      <c r="AH28" s="81" t="s">
        <v>118</v>
      </c>
      <c r="AK28" s="166">
        <v>0</v>
      </c>
      <c r="AM28" s="166">
        <v>0</v>
      </c>
      <c r="AO28" s="166">
        <v>0</v>
      </c>
      <c r="AP28" s="166">
        <v>1</v>
      </c>
      <c r="AQ28" s="166">
        <v>0</v>
      </c>
      <c r="AR28" s="166">
        <v>0</v>
      </c>
      <c r="AS28" s="166">
        <v>0</v>
      </c>
      <c r="AT28" s="166">
        <v>0</v>
      </c>
      <c r="AU28" s="166">
        <v>0</v>
      </c>
      <c r="AV28" s="166">
        <v>0</v>
      </c>
      <c r="AW28" s="166">
        <v>1</v>
      </c>
      <c r="AX28" s="166">
        <v>0</v>
      </c>
      <c r="AY28" s="166">
        <v>0</v>
      </c>
      <c r="AZ28" s="166">
        <v>0</v>
      </c>
      <c r="BA28" s="166">
        <v>0</v>
      </c>
      <c r="BB28" s="166">
        <v>0</v>
      </c>
      <c r="BC28" s="166">
        <v>0</v>
      </c>
      <c r="BD28" s="166">
        <v>0</v>
      </c>
      <c r="BE28" s="166">
        <v>0</v>
      </c>
      <c r="BF28" s="166">
        <v>0</v>
      </c>
      <c r="BG28" s="166">
        <v>0</v>
      </c>
      <c r="BH28" s="166">
        <v>0</v>
      </c>
      <c r="BI28" s="166">
        <v>0</v>
      </c>
      <c r="BJ28" s="166">
        <v>0</v>
      </c>
      <c r="BK28" s="166">
        <v>0</v>
      </c>
      <c r="BL28" s="166">
        <v>0</v>
      </c>
      <c r="BM28" s="166">
        <v>0</v>
      </c>
      <c r="BN28" s="166">
        <v>0</v>
      </c>
      <c r="BO28" s="166">
        <v>0</v>
      </c>
      <c r="BP28" s="166">
        <v>0</v>
      </c>
      <c r="BQ28" s="81" t="s">
        <v>1757</v>
      </c>
      <c r="BZ28" s="81" t="s">
        <v>155</v>
      </c>
      <c r="CA28" s="81">
        <v>7</v>
      </c>
      <c r="CC28" s="167">
        <f>N28</f>
        <v>1</v>
      </c>
      <c r="CD28" s="167">
        <v>0</v>
      </c>
      <c r="CE28" s="167">
        <v>0</v>
      </c>
      <c r="CF28" s="167">
        <v>0</v>
      </c>
      <c r="CG28" s="167">
        <v>0</v>
      </c>
      <c r="CH28" s="167">
        <v>0</v>
      </c>
      <c r="CI28" s="167">
        <v>0</v>
      </c>
      <c r="CJ28" s="167">
        <v>0</v>
      </c>
      <c r="CK28" s="167">
        <v>0</v>
      </c>
      <c r="CL28" s="167">
        <v>0</v>
      </c>
      <c r="CM28" s="167">
        <v>0</v>
      </c>
      <c r="CN28" s="167">
        <v>0</v>
      </c>
      <c r="CO28" s="167">
        <v>0</v>
      </c>
      <c r="CP28" s="167">
        <v>0</v>
      </c>
      <c r="CQ28" s="167">
        <v>0</v>
      </c>
      <c r="CR28" s="167">
        <v>0</v>
      </c>
      <c r="CS28" s="167">
        <v>0</v>
      </c>
      <c r="CT28" s="167">
        <v>0</v>
      </c>
      <c r="CU28" s="167">
        <v>0</v>
      </c>
      <c r="CV28" s="167">
        <v>0</v>
      </c>
      <c r="CW28" s="167">
        <v>0</v>
      </c>
      <c r="CX28" s="167">
        <f>SUM(CD28:CH28)</f>
        <v>0</v>
      </c>
      <c r="CY28" s="167">
        <f>SUM(CD28:CM28)</f>
        <v>0</v>
      </c>
    </row>
    <row r="29" spans="1:103" ht="12.75" customHeight="1" x14ac:dyDescent="0.2">
      <c r="A29" s="81">
        <v>3121</v>
      </c>
      <c r="B29" s="165" t="s">
        <v>1924</v>
      </c>
      <c r="C29" s="165" t="s">
        <v>274</v>
      </c>
      <c r="E29" s="165" t="s">
        <v>3081</v>
      </c>
      <c r="G29" s="81">
        <v>528670</v>
      </c>
      <c r="H29" s="81">
        <v>173572</v>
      </c>
      <c r="I29" s="165" t="s">
        <v>247</v>
      </c>
      <c r="J29" s="349">
        <v>42826</v>
      </c>
      <c r="K29" s="349">
        <v>43190</v>
      </c>
      <c r="L29" s="166">
        <v>0</v>
      </c>
      <c r="M29" s="166">
        <v>1</v>
      </c>
      <c r="N29" s="166">
        <v>1</v>
      </c>
      <c r="O29" s="166">
        <v>1</v>
      </c>
      <c r="P29" s="166">
        <v>1</v>
      </c>
      <c r="R29" s="165" t="s">
        <v>275</v>
      </c>
      <c r="S29" s="81" t="s">
        <v>113</v>
      </c>
      <c r="T29" s="349">
        <v>41739</v>
      </c>
      <c r="U29" s="349">
        <v>41894</v>
      </c>
      <c r="W29" s="81" t="s">
        <v>114</v>
      </c>
      <c r="Y29" s="81" t="s">
        <v>115</v>
      </c>
      <c r="Z29" s="81" t="s">
        <v>116</v>
      </c>
      <c r="AA29" s="81" t="s">
        <v>117</v>
      </c>
      <c r="AB29" s="81" t="s">
        <v>218</v>
      </c>
      <c r="AC29" s="166">
        <v>4.9999998882412902E-3</v>
      </c>
      <c r="AD29" s="349">
        <v>42826</v>
      </c>
      <c r="AE29" s="81" t="s">
        <v>155</v>
      </c>
      <c r="AF29" s="349">
        <v>43190</v>
      </c>
      <c r="AG29" s="81" t="s">
        <v>238</v>
      </c>
      <c r="AH29" s="81" t="s">
        <v>118</v>
      </c>
      <c r="AK29" s="166">
        <v>0</v>
      </c>
      <c r="AM29" s="166">
        <v>0</v>
      </c>
      <c r="AO29" s="166">
        <v>0</v>
      </c>
      <c r="AP29" s="166">
        <v>1</v>
      </c>
      <c r="AQ29" s="166">
        <v>0</v>
      </c>
      <c r="AR29" s="166">
        <v>0</v>
      </c>
      <c r="AS29" s="166">
        <v>0</v>
      </c>
      <c r="AT29" s="166">
        <v>0</v>
      </c>
      <c r="AU29" s="166">
        <v>0</v>
      </c>
      <c r="AV29" s="166">
        <v>0</v>
      </c>
      <c r="AW29" s="166">
        <v>1</v>
      </c>
      <c r="AX29" s="166">
        <v>0</v>
      </c>
      <c r="AY29" s="166">
        <v>0</v>
      </c>
      <c r="AZ29" s="166">
        <v>0</v>
      </c>
      <c r="BA29" s="166">
        <v>0</v>
      </c>
      <c r="BB29" s="166">
        <v>0</v>
      </c>
      <c r="BC29" s="166">
        <v>0</v>
      </c>
      <c r="BD29" s="166">
        <v>0</v>
      </c>
      <c r="BE29" s="166">
        <v>0</v>
      </c>
      <c r="BF29" s="166">
        <v>0</v>
      </c>
      <c r="BG29" s="166">
        <v>0</v>
      </c>
      <c r="BH29" s="166">
        <v>0</v>
      </c>
      <c r="BI29" s="166">
        <v>0</v>
      </c>
      <c r="BJ29" s="166">
        <v>0</v>
      </c>
      <c r="BK29" s="166">
        <v>0</v>
      </c>
      <c r="BL29" s="166">
        <v>0</v>
      </c>
      <c r="BM29" s="166">
        <v>0</v>
      </c>
      <c r="BN29" s="166">
        <v>0</v>
      </c>
      <c r="BO29" s="166">
        <v>0</v>
      </c>
      <c r="BP29" s="166">
        <v>0</v>
      </c>
      <c r="BQ29" s="81" t="s">
        <v>1757</v>
      </c>
      <c r="BR29" s="81" t="s">
        <v>247</v>
      </c>
      <c r="BZ29" s="81" t="s">
        <v>155</v>
      </c>
      <c r="CA29" s="81">
        <v>1</v>
      </c>
      <c r="CC29" s="167">
        <f>N29</f>
        <v>1</v>
      </c>
      <c r="CD29" s="167">
        <v>0</v>
      </c>
      <c r="CE29" s="167">
        <v>0</v>
      </c>
      <c r="CF29" s="167">
        <v>0</v>
      </c>
      <c r="CG29" s="167">
        <v>0</v>
      </c>
      <c r="CH29" s="167">
        <v>0</v>
      </c>
      <c r="CI29" s="167">
        <v>0</v>
      </c>
      <c r="CJ29" s="167">
        <v>0</v>
      </c>
      <c r="CK29" s="167">
        <v>0</v>
      </c>
      <c r="CL29" s="167">
        <v>0</v>
      </c>
      <c r="CM29" s="167">
        <v>0</v>
      </c>
      <c r="CN29" s="167">
        <v>0</v>
      </c>
      <c r="CO29" s="167">
        <v>0</v>
      </c>
      <c r="CP29" s="167">
        <v>0</v>
      </c>
      <c r="CQ29" s="167">
        <v>0</v>
      </c>
      <c r="CR29" s="167">
        <v>0</v>
      </c>
      <c r="CS29" s="167">
        <v>0</v>
      </c>
      <c r="CT29" s="167">
        <v>0</v>
      </c>
      <c r="CU29" s="167">
        <v>0</v>
      </c>
      <c r="CV29" s="167">
        <v>0</v>
      </c>
      <c r="CW29" s="167">
        <v>0</v>
      </c>
      <c r="CX29" s="167">
        <f>SUM(CD29:CH29)</f>
        <v>0</v>
      </c>
      <c r="CY29" s="167">
        <f>SUM(CD29:CM29)</f>
        <v>0</v>
      </c>
    </row>
    <row r="30" spans="1:103" ht="12.75" customHeight="1" x14ac:dyDescent="0.2">
      <c r="A30" s="81">
        <v>3290</v>
      </c>
      <c r="B30" s="165" t="s">
        <v>1924</v>
      </c>
      <c r="C30" s="165" t="s">
        <v>527</v>
      </c>
      <c r="E30" s="165" t="s">
        <v>3082</v>
      </c>
      <c r="G30" s="81">
        <v>527974</v>
      </c>
      <c r="H30" s="81">
        <v>171515</v>
      </c>
      <c r="I30" s="165" t="s">
        <v>253</v>
      </c>
      <c r="J30" s="349">
        <v>42460</v>
      </c>
      <c r="K30" s="349">
        <v>42844</v>
      </c>
      <c r="L30" s="166">
        <v>1</v>
      </c>
      <c r="M30" s="166">
        <v>2</v>
      </c>
      <c r="N30" s="166">
        <v>1</v>
      </c>
      <c r="O30" s="166">
        <v>2</v>
      </c>
      <c r="P30" s="166">
        <v>1</v>
      </c>
      <c r="R30" s="165" t="s">
        <v>764</v>
      </c>
      <c r="S30" s="81" t="s">
        <v>113</v>
      </c>
      <c r="T30" s="349">
        <v>42289</v>
      </c>
      <c r="U30" s="349">
        <v>42404</v>
      </c>
      <c r="W30" s="81" t="s">
        <v>114</v>
      </c>
      <c r="Y30" s="81" t="s">
        <v>115</v>
      </c>
      <c r="Z30" s="81" t="s">
        <v>398</v>
      </c>
      <c r="AA30" s="81" t="s">
        <v>117</v>
      </c>
      <c r="AB30" s="81" t="s">
        <v>220</v>
      </c>
      <c r="AC30" s="166">
        <v>9.9999997764825804E-3</v>
      </c>
      <c r="AD30" s="349">
        <v>42460</v>
      </c>
      <c r="AF30" s="349">
        <v>42844</v>
      </c>
      <c r="AG30" s="81" t="s">
        <v>238</v>
      </c>
      <c r="AH30" s="81" t="s">
        <v>118</v>
      </c>
      <c r="AK30" s="166">
        <v>0</v>
      </c>
      <c r="AM30" s="166">
        <v>0</v>
      </c>
      <c r="AO30" s="166">
        <v>0</v>
      </c>
      <c r="AP30" s="166">
        <v>-1</v>
      </c>
      <c r="AQ30" s="166">
        <v>2</v>
      </c>
      <c r="AR30" s="166">
        <v>0</v>
      </c>
      <c r="AS30" s="166">
        <v>0</v>
      </c>
      <c r="AT30" s="166">
        <v>0</v>
      </c>
      <c r="AU30" s="166">
        <v>0</v>
      </c>
      <c r="AV30" s="166">
        <v>0</v>
      </c>
      <c r="AW30" s="166">
        <v>-1</v>
      </c>
      <c r="AX30" s="166">
        <v>2</v>
      </c>
      <c r="AY30" s="166">
        <v>0</v>
      </c>
      <c r="AZ30" s="166">
        <v>0</v>
      </c>
      <c r="BA30" s="166">
        <v>0</v>
      </c>
      <c r="BB30" s="166">
        <v>0</v>
      </c>
      <c r="BC30" s="166">
        <v>0</v>
      </c>
      <c r="BD30" s="166">
        <v>0</v>
      </c>
      <c r="BE30" s="166">
        <v>0</v>
      </c>
      <c r="BF30" s="166">
        <v>0</v>
      </c>
      <c r="BG30" s="166">
        <v>0</v>
      </c>
      <c r="BH30" s="166">
        <v>0</v>
      </c>
      <c r="BI30" s="166">
        <v>0</v>
      </c>
      <c r="BJ30" s="166">
        <v>0</v>
      </c>
      <c r="BK30" s="166">
        <v>0</v>
      </c>
      <c r="BL30" s="166">
        <v>0</v>
      </c>
      <c r="BM30" s="166">
        <v>0</v>
      </c>
      <c r="BN30" s="166">
        <v>0</v>
      </c>
      <c r="BO30" s="166">
        <v>0</v>
      </c>
      <c r="BP30" s="166">
        <v>0</v>
      </c>
      <c r="BQ30" s="81" t="s">
        <v>1757</v>
      </c>
      <c r="BZ30" s="81" t="s">
        <v>155</v>
      </c>
      <c r="CA30" s="81">
        <v>7</v>
      </c>
      <c r="CC30" s="167">
        <f>N30</f>
        <v>1</v>
      </c>
      <c r="CD30" s="167">
        <v>0</v>
      </c>
      <c r="CE30" s="167">
        <v>0</v>
      </c>
      <c r="CF30" s="167">
        <v>0</v>
      </c>
      <c r="CG30" s="167">
        <v>0</v>
      </c>
      <c r="CH30" s="167">
        <v>0</v>
      </c>
      <c r="CI30" s="167">
        <v>0</v>
      </c>
      <c r="CJ30" s="167">
        <v>0</v>
      </c>
      <c r="CK30" s="167">
        <v>0</v>
      </c>
      <c r="CL30" s="167">
        <v>0</v>
      </c>
      <c r="CM30" s="167">
        <v>0</v>
      </c>
      <c r="CN30" s="167">
        <v>0</v>
      </c>
      <c r="CO30" s="167">
        <v>0</v>
      </c>
      <c r="CP30" s="167">
        <v>0</v>
      </c>
      <c r="CQ30" s="167">
        <v>0</v>
      </c>
      <c r="CR30" s="167">
        <v>0</v>
      </c>
      <c r="CS30" s="167">
        <v>0</v>
      </c>
      <c r="CT30" s="167">
        <v>0</v>
      </c>
      <c r="CU30" s="167">
        <v>0</v>
      </c>
      <c r="CV30" s="167">
        <v>0</v>
      </c>
      <c r="CW30" s="167">
        <v>0</v>
      </c>
      <c r="CX30" s="167">
        <f>SUM(CD30:CH30)</f>
        <v>0</v>
      </c>
      <c r="CY30" s="167">
        <f>SUM(CD30:CM30)</f>
        <v>0</v>
      </c>
    </row>
    <row r="31" spans="1:103" ht="12.75" customHeight="1" x14ac:dyDescent="0.2">
      <c r="A31" s="81">
        <v>3338</v>
      </c>
      <c r="B31" s="165" t="s">
        <v>1924</v>
      </c>
      <c r="C31" s="165" t="s">
        <v>1019</v>
      </c>
      <c r="E31" s="165" t="s">
        <v>3083</v>
      </c>
      <c r="G31" s="81">
        <v>528077</v>
      </c>
      <c r="H31" s="81">
        <v>176658</v>
      </c>
      <c r="I31" s="165" t="s">
        <v>240</v>
      </c>
      <c r="J31" s="349">
        <v>42718</v>
      </c>
      <c r="K31" s="349">
        <v>43147</v>
      </c>
      <c r="L31" s="166">
        <v>0</v>
      </c>
      <c r="M31" s="166">
        <v>1</v>
      </c>
      <c r="N31" s="166">
        <v>1</v>
      </c>
      <c r="O31" s="166">
        <v>1</v>
      </c>
      <c r="P31" s="166">
        <v>1</v>
      </c>
      <c r="R31" s="165" t="s">
        <v>1020</v>
      </c>
      <c r="S31" s="81" t="s">
        <v>270</v>
      </c>
      <c r="T31" s="349">
        <v>42537</v>
      </c>
      <c r="U31" s="349">
        <v>42593</v>
      </c>
      <c r="W31" s="81" t="s">
        <v>114</v>
      </c>
      <c r="Y31" s="81" t="s">
        <v>115</v>
      </c>
      <c r="Z31" s="81" t="s">
        <v>310</v>
      </c>
      <c r="AA31" s="81" t="s">
        <v>117</v>
      </c>
      <c r="AB31" s="81" t="s">
        <v>399</v>
      </c>
      <c r="AC31" s="166">
        <v>3.0000000260770299E-3</v>
      </c>
      <c r="AD31" s="349">
        <v>42718</v>
      </c>
      <c r="AF31" s="349">
        <v>43147</v>
      </c>
      <c r="AG31" s="81" t="s">
        <v>238</v>
      </c>
      <c r="AH31" s="81" t="s">
        <v>118</v>
      </c>
      <c r="AK31" s="166">
        <v>0</v>
      </c>
      <c r="AM31" s="166">
        <v>0</v>
      </c>
      <c r="AO31" s="166">
        <v>0</v>
      </c>
      <c r="AP31" s="166">
        <v>1</v>
      </c>
      <c r="AQ31" s="166">
        <v>0</v>
      </c>
      <c r="AR31" s="166">
        <v>0</v>
      </c>
      <c r="AS31" s="166">
        <v>0</v>
      </c>
      <c r="AT31" s="166">
        <v>0</v>
      </c>
      <c r="AU31" s="166">
        <v>0</v>
      </c>
      <c r="AV31" s="166">
        <v>0</v>
      </c>
      <c r="AW31" s="166">
        <v>1</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81" t="s">
        <v>1757</v>
      </c>
      <c r="BZ31" s="81" t="s">
        <v>155</v>
      </c>
      <c r="CA31" s="81">
        <v>7</v>
      </c>
      <c r="CC31" s="167">
        <f>N31</f>
        <v>1</v>
      </c>
      <c r="CD31" s="167">
        <v>0</v>
      </c>
      <c r="CE31" s="167">
        <v>0</v>
      </c>
      <c r="CF31" s="167">
        <v>0</v>
      </c>
      <c r="CG31" s="167">
        <v>0</v>
      </c>
      <c r="CH31" s="167">
        <v>0</v>
      </c>
      <c r="CI31" s="167">
        <v>0</v>
      </c>
      <c r="CJ31" s="167">
        <v>0</v>
      </c>
      <c r="CK31" s="167">
        <v>0</v>
      </c>
      <c r="CL31" s="167">
        <v>0</v>
      </c>
      <c r="CM31" s="167">
        <v>0</v>
      </c>
      <c r="CN31" s="167">
        <v>0</v>
      </c>
      <c r="CO31" s="167">
        <v>0</v>
      </c>
      <c r="CP31" s="167">
        <v>0</v>
      </c>
      <c r="CQ31" s="167">
        <v>0</v>
      </c>
      <c r="CR31" s="167">
        <v>0</v>
      </c>
      <c r="CS31" s="167">
        <v>0</v>
      </c>
      <c r="CT31" s="167">
        <v>0</v>
      </c>
      <c r="CU31" s="167">
        <v>0</v>
      </c>
      <c r="CV31" s="167">
        <v>0</v>
      </c>
      <c r="CW31" s="167">
        <v>0</v>
      </c>
      <c r="CX31" s="167">
        <f>SUM(CD31:CH31)</f>
        <v>0</v>
      </c>
      <c r="CY31" s="167">
        <f>SUM(CD31:CM31)</f>
        <v>0</v>
      </c>
    </row>
    <row r="32" spans="1:103" ht="12.75" customHeight="1" x14ac:dyDescent="0.2">
      <c r="A32" s="81">
        <v>3438</v>
      </c>
      <c r="B32" s="165" t="s">
        <v>1924</v>
      </c>
      <c r="C32" s="165" t="s">
        <v>1422</v>
      </c>
      <c r="E32" s="165" t="s">
        <v>3084</v>
      </c>
      <c r="G32" s="81">
        <v>528986</v>
      </c>
      <c r="H32" s="81">
        <v>170585</v>
      </c>
      <c r="I32" s="165" t="s">
        <v>252</v>
      </c>
      <c r="J32" s="349">
        <v>42818</v>
      </c>
      <c r="K32" s="349">
        <v>42914</v>
      </c>
      <c r="L32" s="166">
        <v>0</v>
      </c>
      <c r="M32" s="166">
        <v>1</v>
      </c>
      <c r="N32" s="166">
        <v>1</v>
      </c>
      <c r="O32" s="166">
        <v>1</v>
      </c>
      <c r="P32" s="166">
        <v>1</v>
      </c>
      <c r="R32" s="165" t="s">
        <v>1423</v>
      </c>
      <c r="S32" s="81" t="s">
        <v>113</v>
      </c>
      <c r="T32" s="349">
        <v>42640</v>
      </c>
      <c r="U32" s="349">
        <v>42696</v>
      </c>
      <c r="W32" s="81" t="s">
        <v>114</v>
      </c>
      <c r="Y32" s="81" t="s">
        <v>115</v>
      </c>
      <c r="Z32" s="81" t="s">
        <v>398</v>
      </c>
      <c r="AA32" s="81" t="s">
        <v>117</v>
      </c>
      <c r="AB32" s="81" t="s">
        <v>102</v>
      </c>
      <c r="AC32" s="166">
        <v>6.0000000521540598E-3</v>
      </c>
      <c r="AD32" s="349">
        <v>42818</v>
      </c>
      <c r="AF32" s="349">
        <v>42914</v>
      </c>
      <c r="AG32" s="81" t="s">
        <v>238</v>
      </c>
      <c r="AH32" s="81" t="s">
        <v>118</v>
      </c>
      <c r="AK32" s="166">
        <v>0</v>
      </c>
      <c r="AM32" s="166">
        <v>0</v>
      </c>
      <c r="AO32" s="166">
        <v>0</v>
      </c>
      <c r="AP32" s="166">
        <v>1</v>
      </c>
      <c r="AQ32" s="166">
        <v>0</v>
      </c>
      <c r="AR32" s="166">
        <v>0</v>
      </c>
      <c r="AS32" s="166">
        <v>0</v>
      </c>
      <c r="AT32" s="166">
        <v>0</v>
      </c>
      <c r="AU32" s="166">
        <v>0</v>
      </c>
      <c r="AV32" s="166">
        <v>0</v>
      </c>
      <c r="AW32" s="166">
        <v>1</v>
      </c>
      <c r="AX32" s="166">
        <v>0</v>
      </c>
      <c r="AY32" s="166">
        <v>0</v>
      </c>
      <c r="AZ32" s="166">
        <v>0</v>
      </c>
      <c r="BA32" s="166">
        <v>0</v>
      </c>
      <c r="BB32" s="166">
        <v>0</v>
      </c>
      <c r="BC32" s="166">
        <v>0</v>
      </c>
      <c r="BD32" s="166">
        <v>0</v>
      </c>
      <c r="BE32" s="166">
        <v>0</v>
      </c>
      <c r="BF32" s="166">
        <v>0</v>
      </c>
      <c r="BG32" s="166">
        <v>0</v>
      </c>
      <c r="BH32" s="166">
        <v>0</v>
      </c>
      <c r="BI32" s="166">
        <v>0</v>
      </c>
      <c r="BJ32" s="166">
        <v>0</v>
      </c>
      <c r="BK32" s="166">
        <v>0</v>
      </c>
      <c r="BL32" s="166">
        <v>0</v>
      </c>
      <c r="BM32" s="166">
        <v>0</v>
      </c>
      <c r="BN32" s="166">
        <v>0</v>
      </c>
      <c r="BO32" s="166">
        <v>0</v>
      </c>
      <c r="BP32" s="166">
        <v>0</v>
      </c>
      <c r="BQ32" s="81" t="s">
        <v>1757</v>
      </c>
      <c r="BZ32" s="81" t="s">
        <v>155</v>
      </c>
      <c r="CA32" s="81">
        <v>7</v>
      </c>
      <c r="CC32" s="167">
        <f>N32</f>
        <v>1</v>
      </c>
      <c r="CD32" s="167">
        <v>0</v>
      </c>
      <c r="CE32" s="167">
        <v>0</v>
      </c>
      <c r="CF32" s="167">
        <v>0</v>
      </c>
      <c r="CG32" s="167">
        <v>0</v>
      </c>
      <c r="CH32" s="167">
        <v>0</v>
      </c>
      <c r="CI32" s="167">
        <v>0</v>
      </c>
      <c r="CJ32" s="167">
        <v>0</v>
      </c>
      <c r="CK32" s="167">
        <v>0</v>
      </c>
      <c r="CL32" s="167">
        <v>0</v>
      </c>
      <c r="CM32" s="167">
        <v>0</v>
      </c>
      <c r="CN32" s="167">
        <v>0</v>
      </c>
      <c r="CO32" s="167">
        <v>0</v>
      </c>
      <c r="CP32" s="167">
        <v>0</v>
      </c>
      <c r="CQ32" s="167">
        <v>0</v>
      </c>
      <c r="CR32" s="167">
        <v>0</v>
      </c>
      <c r="CS32" s="167">
        <v>0</v>
      </c>
      <c r="CT32" s="167">
        <v>0</v>
      </c>
      <c r="CU32" s="167">
        <v>0</v>
      </c>
      <c r="CV32" s="167">
        <v>0</v>
      </c>
      <c r="CW32" s="167">
        <v>0</v>
      </c>
      <c r="CX32" s="167">
        <f>SUM(CD32:CH32)</f>
        <v>0</v>
      </c>
      <c r="CY32" s="167">
        <f>SUM(CD32:CM32)</f>
        <v>0</v>
      </c>
    </row>
    <row r="33" spans="1:103" ht="12.75" customHeight="1" x14ac:dyDescent="0.2">
      <c r="A33" s="81">
        <v>3474</v>
      </c>
      <c r="B33" s="165" t="s">
        <v>1924</v>
      </c>
      <c r="C33" s="165" t="s">
        <v>3085</v>
      </c>
      <c r="E33" s="165" t="s">
        <v>3086</v>
      </c>
      <c r="G33" s="81">
        <v>527800</v>
      </c>
      <c r="H33" s="81">
        <v>172183</v>
      </c>
      <c r="I33" s="165" t="s">
        <v>242</v>
      </c>
      <c r="J33" s="349">
        <v>42971</v>
      </c>
      <c r="K33" s="349">
        <v>43190</v>
      </c>
      <c r="L33" s="166">
        <v>0</v>
      </c>
      <c r="M33" s="166">
        <v>1</v>
      </c>
      <c r="N33" s="166">
        <v>1</v>
      </c>
      <c r="O33" s="166">
        <v>1</v>
      </c>
      <c r="P33" s="166">
        <v>1</v>
      </c>
      <c r="R33" s="165" t="s">
        <v>3087</v>
      </c>
      <c r="S33" s="81" t="s">
        <v>113</v>
      </c>
      <c r="T33" s="349">
        <v>42919</v>
      </c>
      <c r="U33" s="349">
        <v>42971</v>
      </c>
      <c r="V33" s="81" t="s">
        <v>155</v>
      </c>
      <c r="W33" s="81" t="s">
        <v>114</v>
      </c>
      <c r="Y33" s="81" t="s">
        <v>115</v>
      </c>
      <c r="Z33" s="81" t="s">
        <v>398</v>
      </c>
      <c r="AA33" s="81" t="s">
        <v>117</v>
      </c>
      <c r="AB33" s="81" t="s">
        <v>218</v>
      </c>
      <c r="AC33" s="166">
        <v>7.0000002160668399E-3</v>
      </c>
      <c r="AD33" s="349">
        <v>42971</v>
      </c>
      <c r="AE33" s="81" t="s">
        <v>155</v>
      </c>
      <c r="AF33" s="349">
        <v>43190</v>
      </c>
      <c r="AG33" s="81" t="s">
        <v>238</v>
      </c>
      <c r="AH33" s="81" t="s">
        <v>118</v>
      </c>
      <c r="AK33" s="166">
        <v>0</v>
      </c>
      <c r="AM33" s="166">
        <v>0</v>
      </c>
      <c r="AO33" s="166">
        <v>0</v>
      </c>
      <c r="AP33" s="166">
        <v>0</v>
      </c>
      <c r="AQ33" s="166">
        <v>1</v>
      </c>
      <c r="AR33" s="166">
        <v>0</v>
      </c>
      <c r="AS33" s="166">
        <v>0</v>
      </c>
      <c r="AT33" s="166">
        <v>0</v>
      </c>
      <c r="AU33" s="166">
        <v>0</v>
      </c>
      <c r="AV33" s="166">
        <v>0</v>
      </c>
      <c r="AW33" s="166">
        <v>0</v>
      </c>
      <c r="AX33" s="166">
        <v>1</v>
      </c>
      <c r="AY33" s="166">
        <v>0</v>
      </c>
      <c r="AZ33" s="166">
        <v>0</v>
      </c>
      <c r="BA33" s="166">
        <v>0</v>
      </c>
      <c r="BB33" s="166">
        <v>0</v>
      </c>
      <c r="BC33" s="166">
        <v>0</v>
      </c>
      <c r="BD33" s="166">
        <v>0</v>
      </c>
      <c r="BE33" s="166">
        <v>0</v>
      </c>
      <c r="BF33" s="166">
        <v>0</v>
      </c>
      <c r="BG33" s="166">
        <v>0</v>
      </c>
      <c r="BH33" s="166">
        <v>0</v>
      </c>
      <c r="BI33" s="166">
        <v>0</v>
      </c>
      <c r="BJ33" s="166">
        <v>0</v>
      </c>
      <c r="BK33" s="166">
        <v>0</v>
      </c>
      <c r="BL33" s="166">
        <v>0</v>
      </c>
      <c r="BM33" s="166">
        <v>0</v>
      </c>
      <c r="BN33" s="166">
        <v>0</v>
      </c>
      <c r="BO33" s="166">
        <v>0</v>
      </c>
      <c r="BP33" s="166">
        <v>0</v>
      </c>
      <c r="BQ33" s="81" t="s">
        <v>1757</v>
      </c>
      <c r="BZ33" s="81" t="s">
        <v>155</v>
      </c>
      <c r="CA33" s="81">
        <v>7</v>
      </c>
      <c r="CC33" s="167">
        <f>N33</f>
        <v>1</v>
      </c>
      <c r="CD33" s="167">
        <v>0</v>
      </c>
      <c r="CE33" s="167">
        <v>0</v>
      </c>
      <c r="CF33" s="167">
        <v>0</v>
      </c>
      <c r="CG33" s="167">
        <v>0</v>
      </c>
      <c r="CH33" s="167">
        <v>0</v>
      </c>
      <c r="CI33" s="167">
        <v>0</v>
      </c>
      <c r="CJ33" s="167">
        <v>0</v>
      </c>
      <c r="CK33" s="167">
        <v>0</v>
      </c>
      <c r="CL33" s="167">
        <v>0</v>
      </c>
      <c r="CM33" s="167">
        <v>0</v>
      </c>
      <c r="CN33" s="167">
        <v>0</v>
      </c>
      <c r="CO33" s="167">
        <v>0</v>
      </c>
      <c r="CP33" s="167">
        <v>0</v>
      </c>
      <c r="CQ33" s="167">
        <v>0</v>
      </c>
      <c r="CR33" s="167">
        <v>0</v>
      </c>
      <c r="CS33" s="167">
        <v>0</v>
      </c>
      <c r="CT33" s="167">
        <v>0</v>
      </c>
      <c r="CU33" s="167">
        <v>0</v>
      </c>
      <c r="CV33" s="167">
        <v>0</v>
      </c>
      <c r="CW33" s="167">
        <v>0</v>
      </c>
      <c r="CX33" s="167">
        <f>SUM(CD33:CH33)</f>
        <v>0</v>
      </c>
      <c r="CY33" s="167">
        <f>SUM(CD33:CM33)</f>
        <v>0</v>
      </c>
    </row>
    <row r="34" spans="1:103" ht="12.75" customHeight="1" x14ac:dyDescent="0.2">
      <c r="A34" s="81">
        <v>3480</v>
      </c>
      <c r="B34" s="165" t="s">
        <v>1924</v>
      </c>
      <c r="C34" s="165" t="s">
        <v>1684</v>
      </c>
      <c r="E34" s="165" t="s">
        <v>3088</v>
      </c>
      <c r="G34" s="81">
        <v>523754</v>
      </c>
      <c r="H34" s="81">
        <v>175202</v>
      </c>
      <c r="I34" s="165" t="s">
        <v>259</v>
      </c>
      <c r="J34" s="349">
        <v>42829</v>
      </c>
      <c r="K34" s="349">
        <v>43027</v>
      </c>
      <c r="L34" s="166">
        <v>2</v>
      </c>
      <c r="M34" s="166">
        <v>1</v>
      </c>
      <c r="N34" s="166">
        <v>-1</v>
      </c>
      <c r="O34" s="166">
        <v>1</v>
      </c>
      <c r="P34" s="166">
        <v>-1</v>
      </c>
      <c r="R34" s="165" t="s">
        <v>1685</v>
      </c>
      <c r="S34" s="81" t="s">
        <v>113</v>
      </c>
      <c r="T34" s="349">
        <v>42030</v>
      </c>
      <c r="U34" s="349">
        <v>42086</v>
      </c>
      <c r="W34" s="81" t="s">
        <v>114</v>
      </c>
      <c r="Y34" s="81" t="s">
        <v>115</v>
      </c>
      <c r="Z34" s="81" t="s">
        <v>398</v>
      </c>
      <c r="AA34" s="81" t="s">
        <v>117</v>
      </c>
      <c r="AB34" s="81" t="s">
        <v>336</v>
      </c>
      <c r="AC34" s="166">
        <v>1.30000002682209E-2</v>
      </c>
      <c r="AD34" s="349">
        <v>42829</v>
      </c>
      <c r="AE34" s="81" t="s">
        <v>155</v>
      </c>
      <c r="AF34" s="349">
        <v>43027</v>
      </c>
      <c r="AG34" s="81" t="s">
        <v>238</v>
      </c>
      <c r="AH34" s="81" t="s">
        <v>118</v>
      </c>
      <c r="AK34" s="166">
        <v>0</v>
      </c>
      <c r="AM34" s="166">
        <v>0</v>
      </c>
      <c r="AO34" s="166">
        <v>0</v>
      </c>
      <c r="AP34" s="166">
        <v>0</v>
      </c>
      <c r="AQ34" s="166">
        <v>-2</v>
      </c>
      <c r="AR34" s="166">
        <v>0</v>
      </c>
      <c r="AS34" s="166">
        <v>1</v>
      </c>
      <c r="AT34" s="166">
        <v>0</v>
      </c>
      <c r="AU34" s="166">
        <v>0</v>
      </c>
      <c r="AV34" s="166">
        <v>0</v>
      </c>
      <c r="AW34" s="166">
        <v>0</v>
      </c>
      <c r="AX34" s="166">
        <v>-2</v>
      </c>
      <c r="AY34" s="166">
        <v>0</v>
      </c>
      <c r="AZ34" s="166">
        <v>0</v>
      </c>
      <c r="BA34" s="166">
        <v>0</v>
      </c>
      <c r="BB34" s="166">
        <v>0</v>
      </c>
      <c r="BC34" s="166">
        <v>0</v>
      </c>
      <c r="BD34" s="166">
        <v>0</v>
      </c>
      <c r="BE34" s="166">
        <v>0</v>
      </c>
      <c r="BF34" s="166">
        <v>0</v>
      </c>
      <c r="BG34" s="166">
        <v>1</v>
      </c>
      <c r="BH34" s="166">
        <v>0</v>
      </c>
      <c r="BI34" s="166">
        <v>0</v>
      </c>
      <c r="BJ34" s="166">
        <v>0</v>
      </c>
      <c r="BK34" s="166">
        <v>0</v>
      </c>
      <c r="BL34" s="166">
        <v>0</v>
      </c>
      <c r="BM34" s="166">
        <v>0</v>
      </c>
      <c r="BN34" s="166">
        <v>0</v>
      </c>
      <c r="BO34" s="166">
        <v>0</v>
      </c>
      <c r="BP34" s="166">
        <v>0</v>
      </c>
      <c r="BQ34" s="81" t="s">
        <v>1758</v>
      </c>
      <c r="BZ34" s="81" t="s">
        <v>155</v>
      </c>
      <c r="CA34" s="81">
        <v>7</v>
      </c>
      <c r="CC34" s="167">
        <f>N34</f>
        <v>-1</v>
      </c>
      <c r="CD34" s="167">
        <v>0</v>
      </c>
      <c r="CE34" s="167">
        <v>0</v>
      </c>
      <c r="CF34" s="167">
        <v>0</v>
      </c>
      <c r="CG34" s="167">
        <v>0</v>
      </c>
      <c r="CH34" s="167">
        <v>0</v>
      </c>
      <c r="CI34" s="167">
        <v>0</v>
      </c>
      <c r="CJ34" s="167">
        <v>0</v>
      </c>
      <c r="CK34" s="167">
        <v>0</v>
      </c>
      <c r="CL34" s="167">
        <v>0</v>
      </c>
      <c r="CM34" s="167">
        <v>0</v>
      </c>
      <c r="CN34" s="167">
        <v>0</v>
      </c>
      <c r="CO34" s="167">
        <v>0</v>
      </c>
      <c r="CP34" s="167">
        <v>0</v>
      </c>
      <c r="CQ34" s="167">
        <v>0</v>
      </c>
      <c r="CR34" s="167">
        <v>0</v>
      </c>
      <c r="CS34" s="167">
        <v>0</v>
      </c>
      <c r="CT34" s="167">
        <v>0</v>
      </c>
      <c r="CU34" s="167">
        <v>0</v>
      </c>
      <c r="CV34" s="167">
        <v>0</v>
      </c>
      <c r="CW34" s="167">
        <v>0</v>
      </c>
      <c r="CX34" s="167">
        <f>SUM(CD34:CH34)</f>
        <v>0</v>
      </c>
      <c r="CY34" s="167">
        <f>SUM(CD34:CM34)</f>
        <v>0</v>
      </c>
    </row>
    <row r="35" spans="1:103" ht="12.75" customHeight="1" x14ac:dyDescent="0.2">
      <c r="A35" s="81">
        <v>3501</v>
      </c>
      <c r="B35" s="165" t="s">
        <v>1924</v>
      </c>
      <c r="C35" s="165" t="s">
        <v>442</v>
      </c>
      <c r="E35" s="165" t="s">
        <v>2081</v>
      </c>
      <c r="F35" s="165" t="s">
        <v>2082</v>
      </c>
      <c r="G35" s="81">
        <v>526469</v>
      </c>
      <c r="H35" s="81">
        <v>175635</v>
      </c>
      <c r="I35" s="165" t="s">
        <v>257</v>
      </c>
      <c r="J35" s="349">
        <v>42275</v>
      </c>
      <c r="L35" s="166">
        <v>0</v>
      </c>
      <c r="M35" s="166">
        <v>12</v>
      </c>
      <c r="N35" s="166">
        <v>12</v>
      </c>
      <c r="O35" s="166">
        <v>51</v>
      </c>
      <c r="P35" s="166">
        <v>51</v>
      </c>
      <c r="Q35" s="81" t="s">
        <v>155</v>
      </c>
      <c r="R35" s="165" t="s">
        <v>754</v>
      </c>
      <c r="S35" s="81" t="s">
        <v>104</v>
      </c>
      <c r="T35" s="349">
        <v>41862</v>
      </c>
      <c r="U35" s="349">
        <v>42179</v>
      </c>
      <c r="W35" s="81" t="s">
        <v>114</v>
      </c>
      <c r="Y35" s="81" t="s">
        <v>115</v>
      </c>
      <c r="Z35" s="81" t="s">
        <v>116</v>
      </c>
      <c r="AA35" s="81" t="s">
        <v>116</v>
      </c>
      <c r="AB35" s="81" t="s">
        <v>117</v>
      </c>
      <c r="AC35" s="166">
        <v>4.80000004172325E-2</v>
      </c>
      <c r="AD35" s="349">
        <v>42275</v>
      </c>
      <c r="AF35" s="349">
        <v>43111</v>
      </c>
      <c r="AG35" s="81" t="s">
        <v>154</v>
      </c>
      <c r="AH35" s="81" t="s">
        <v>276</v>
      </c>
      <c r="AI35" s="81" t="s">
        <v>2083</v>
      </c>
      <c r="AK35" s="166">
        <v>12</v>
      </c>
      <c r="AM35" s="166">
        <v>0</v>
      </c>
      <c r="AO35" s="166">
        <v>0</v>
      </c>
      <c r="AP35" s="166">
        <v>0</v>
      </c>
      <c r="AQ35" s="166">
        <v>3</v>
      </c>
      <c r="AR35" s="166">
        <v>9</v>
      </c>
      <c r="AS35" s="166">
        <v>0</v>
      </c>
      <c r="AT35" s="166">
        <v>0</v>
      </c>
      <c r="AU35" s="166">
        <v>0</v>
      </c>
      <c r="AV35" s="166">
        <v>0</v>
      </c>
      <c r="AW35" s="166">
        <v>0</v>
      </c>
      <c r="AX35" s="166">
        <v>3</v>
      </c>
      <c r="AY35" s="166">
        <v>9</v>
      </c>
      <c r="AZ35" s="166">
        <v>0</v>
      </c>
      <c r="BA35" s="166">
        <v>0</v>
      </c>
      <c r="BB35" s="166">
        <v>0</v>
      </c>
      <c r="BC35" s="166">
        <v>0</v>
      </c>
      <c r="BD35" s="166">
        <v>0</v>
      </c>
      <c r="BE35" s="166">
        <v>0</v>
      </c>
      <c r="BF35" s="166">
        <v>0</v>
      </c>
      <c r="BG35" s="166">
        <v>0</v>
      </c>
      <c r="BH35" s="166">
        <v>0</v>
      </c>
      <c r="BI35" s="166">
        <v>0</v>
      </c>
      <c r="BJ35" s="166">
        <v>0</v>
      </c>
      <c r="BK35" s="166">
        <v>0</v>
      </c>
      <c r="BL35" s="166">
        <v>0</v>
      </c>
      <c r="BM35" s="166">
        <v>0</v>
      </c>
      <c r="BN35" s="166">
        <v>0</v>
      </c>
      <c r="BO35" s="166">
        <v>0</v>
      </c>
      <c r="BP35" s="166">
        <v>0</v>
      </c>
      <c r="BQ35" s="81" t="s">
        <v>1757</v>
      </c>
      <c r="BX35" s="81" t="s">
        <v>155</v>
      </c>
      <c r="BZ35" s="81" t="s">
        <v>155</v>
      </c>
      <c r="CA35" s="81">
        <v>1</v>
      </c>
      <c r="CC35" s="167">
        <f>N35</f>
        <v>12</v>
      </c>
      <c r="CD35" s="167">
        <v>0</v>
      </c>
      <c r="CE35" s="167">
        <v>0</v>
      </c>
      <c r="CF35" s="167">
        <v>0</v>
      </c>
      <c r="CG35" s="167">
        <v>0</v>
      </c>
      <c r="CH35" s="167">
        <v>0</v>
      </c>
      <c r="CI35" s="167">
        <v>0</v>
      </c>
      <c r="CJ35" s="167">
        <v>0</v>
      </c>
      <c r="CK35" s="167">
        <v>0</v>
      </c>
      <c r="CL35" s="167">
        <v>0</v>
      </c>
      <c r="CM35" s="167">
        <v>0</v>
      </c>
      <c r="CN35" s="167">
        <v>0</v>
      </c>
      <c r="CO35" s="167">
        <v>0</v>
      </c>
      <c r="CP35" s="167">
        <v>0</v>
      </c>
      <c r="CQ35" s="167">
        <v>0</v>
      </c>
      <c r="CR35" s="167">
        <v>0</v>
      </c>
      <c r="CS35" s="167">
        <v>0</v>
      </c>
      <c r="CT35" s="167">
        <v>0</v>
      </c>
      <c r="CU35" s="167">
        <v>0</v>
      </c>
      <c r="CV35" s="167">
        <v>0</v>
      </c>
      <c r="CW35" s="167">
        <v>0</v>
      </c>
      <c r="CX35" s="167">
        <f>SUM(CD35:CH35)</f>
        <v>0</v>
      </c>
      <c r="CY35" s="167">
        <f>SUM(CD35:CM35)</f>
        <v>0</v>
      </c>
    </row>
    <row r="36" spans="1:103" ht="12.75" customHeight="1" x14ac:dyDescent="0.2">
      <c r="A36" s="81">
        <v>3501</v>
      </c>
      <c r="B36" s="165" t="s">
        <v>1924</v>
      </c>
      <c r="C36" s="165" t="s">
        <v>442</v>
      </c>
      <c r="E36" s="165" t="s">
        <v>2081</v>
      </c>
      <c r="F36" s="165" t="s">
        <v>2096</v>
      </c>
      <c r="G36" s="81">
        <v>526469</v>
      </c>
      <c r="H36" s="81">
        <v>175635</v>
      </c>
      <c r="I36" s="165" t="s">
        <v>257</v>
      </c>
      <c r="J36" s="349">
        <v>42275</v>
      </c>
      <c r="L36" s="166">
        <v>0</v>
      </c>
      <c r="M36" s="166">
        <v>5</v>
      </c>
      <c r="N36" s="166">
        <v>5</v>
      </c>
      <c r="O36" s="166">
        <v>51</v>
      </c>
      <c r="P36" s="166">
        <v>51</v>
      </c>
      <c r="Q36" s="81" t="s">
        <v>155</v>
      </c>
      <c r="R36" s="165" t="s">
        <v>754</v>
      </c>
      <c r="S36" s="81" t="s">
        <v>104</v>
      </c>
      <c r="T36" s="349">
        <v>41862</v>
      </c>
      <c r="U36" s="349">
        <v>42179</v>
      </c>
      <c r="W36" s="81" t="s">
        <v>114</v>
      </c>
      <c r="Y36" s="81" t="s">
        <v>115</v>
      </c>
      <c r="Z36" s="81" t="s">
        <v>116</v>
      </c>
      <c r="AA36" s="81" t="s">
        <v>116</v>
      </c>
      <c r="AB36" s="81" t="s">
        <v>117</v>
      </c>
      <c r="AC36" s="166">
        <v>0</v>
      </c>
      <c r="AD36" s="349">
        <v>42275</v>
      </c>
      <c r="AF36" s="349">
        <v>43186</v>
      </c>
      <c r="AG36" s="81" t="s">
        <v>238</v>
      </c>
      <c r="AH36" s="81" t="s">
        <v>118</v>
      </c>
      <c r="AI36" s="81" t="s">
        <v>2083</v>
      </c>
      <c r="AK36" s="166">
        <v>0</v>
      </c>
      <c r="AM36" s="166">
        <v>0</v>
      </c>
      <c r="AO36" s="166">
        <v>0</v>
      </c>
      <c r="AP36" s="166">
        <v>4</v>
      </c>
      <c r="AQ36" s="166">
        <v>1</v>
      </c>
      <c r="AR36" s="166">
        <v>0</v>
      </c>
      <c r="AS36" s="166">
        <v>0</v>
      </c>
      <c r="AT36" s="166">
        <v>0</v>
      </c>
      <c r="AU36" s="166">
        <v>0</v>
      </c>
      <c r="AV36" s="166">
        <v>0</v>
      </c>
      <c r="AW36" s="166">
        <v>4</v>
      </c>
      <c r="AX36" s="166">
        <v>1</v>
      </c>
      <c r="AY36" s="166">
        <v>0</v>
      </c>
      <c r="AZ36" s="166">
        <v>0</v>
      </c>
      <c r="BA36" s="166">
        <v>0</v>
      </c>
      <c r="BB36" s="166">
        <v>0</v>
      </c>
      <c r="BC36" s="166">
        <v>0</v>
      </c>
      <c r="BD36" s="166">
        <v>0</v>
      </c>
      <c r="BE36" s="166">
        <v>0</v>
      </c>
      <c r="BF36" s="166">
        <v>0</v>
      </c>
      <c r="BG36" s="166">
        <v>0</v>
      </c>
      <c r="BH36" s="166">
        <v>0</v>
      </c>
      <c r="BI36" s="166">
        <v>0</v>
      </c>
      <c r="BJ36" s="166">
        <v>0</v>
      </c>
      <c r="BK36" s="166">
        <v>0</v>
      </c>
      <c r="BL36" s="166">
        <v>0</v>
      </c>
      <c r="BM36" s="166">
        <v>0</v>
      </c>
      <c r="BN36" s="166">
        <v>0</v>
      </c>
      <c r="BO36" s="166">
        <v>0</v>
      </c>
      <c r="BP36" s="166">
        <v>0</v>
      </c>
      <c r="BQ36" s="81" t="s">
        <v>1757</v>
      </c>
      <c r="BX36" s="81" t="s">
        <v>155</v>
      </c>
      <c r="BZ36" s="81" t="s">
        <v>155</v>
      </c>
      <c r="CA36" s="81">
        <v>1</v>
      </c>
      <c r="CC36" s="167">
        <f>N36</f>
        <v>5</v>
      </c>
      <c r="CD36" s="167">
        <v>0</v>
      </c>
      <c r="CE36" s="167">
        <v>0</v>
      </c>
      <c r="CF36" s="167">
        <v>0</v>
      </c>
      <c r="CG36" s="167">
        <v>0</v>
      </c>
      <c r="CH36" s="167">
        <v>0</v>
      </c>
      <c r="CI36" s="167">
        <v>0</v>
      </c>
      <c r="CJ36" s="167">
        <v>0</v>
      </c>
      <c r="CK36" s="167">
        <v>0</v>
      </c>
      <c r="CL36" s="167">
        <v>0</v>
      </c>
      <c r="CM36" s="167">
        <v>0</v>
      </c>
      <c r="CN36" s="167">
        <v>0</v>
      </c>
      <c r="CO36" s="167">
        <v>0</v>
      </c>
      <c r="CP36" s="167">
        <v>0</v>
      </c>
      <c r="CQ36" s="167">
        <v>0</v>
      </c>
      <c r="CR36" s="167">
        <v>0</v>
      </c>
      <c r="CS36" s="167">
        <v>0</v>
      </c>
      <c r="CT36" s="167">
        <v>0</v>
      </c>
      <c r="CU36" s="167">
        <v>0</v>
      </c>
      <c r="CV36" s="167">
        <v>0</v>
      </c>
      <c r="CW36" s="167">
        <v>0</v>
      </c>
      <c r="CX36" s="167">
        <f>SUM(CD36:CH36)</f>
        <v>0</v>
      </c>
      <c r="CY36" s="167">
        <f>SUM(CD36:CM36)</f>
        <v>0</v>
      </c>
    </row>
    <row r="37" spans="1:103" ht="12.75" customHeight="1" x14ac:dyDescent="0.2">
      <c r="A37" s="81">
        <v>3510</v>
      </c>
      <c r="B37" s="165" t="s">
        <v>1924</v>
      </c>
      <c r="C37" s="165" t="s">
        <v>224</v>
      </c>
      <c r="D37" s="165" t="s">
        <v>225</v>
      </c>
      <c r="E37" s="165" t="s">
        <v>2138</v>
      </c>
      <c r="F37" s="165" t="s">
        <v>226</v>
      </c>
      <c r="G37" s="81">
        <v>529424</v>
      </c>
      <c r="H37" s="81">
        <v>177541</v>
      </c>
      <c r="I37" s="165" t="s">
        <v>240</v>
      </c>
      <c r="J37" s="349">
        <v>40892</v>
      </c>
      <c r="K37" s="349">
        <v>43190</v>
      </c>
      <c r="L37" s="166">
        <v>0</v>
      </c>
      <c r="M37" s="166">
        <v>74</v>
      </c>
      <c r="N37" s="166">
        <v>74</v>
      </c>
      <c r="O37" s="166">
        <v>813</v>
      </c>
      <c r="P37" s="166">
        <v>813</v>
      </c>
      <c r="Q37" s="81" t="s">
        <v>155</v>
      </c>
      <c r="R37" s="165" t="s">
        <v>503</v>
      </c>
      <c r="S37" s="81" t="s">
        <v>104</v>
      </c>
      <c r="T37" s="349">
        <v>40786</v>
      </c>
      <c r="U37" s="349">
        <v>40892</v>
      </c>
      <c r="W37" s="81" t="s">
        <v>114</v>
      </c>
      <c r="Y37" s="81" t="s">
        <v>115</v>
      </c>
      <c r="Z37" s="81" t="s">
        <v>116</v>
      </c>
      <c r="AA37" s="81" t="s">
        <v>116</v>
      </c>
      <c r="AB37" s="81" t="s">
        <v>117</v>
      </c>
      <c r="AC37" s="166">
        <v>0.167999997735023</v>
      </c>
      <c r="AD37" s="349">
        <v>41852</v>
      </c>
      <c r="AF37" s="349">
        <v>43190</v>
      </c>
      <c r="AG37" s="81" t="s">
        <v>238</v>
      </c>
      <c r="AH37" s="81" t="s">
        <v>118</v>
      </c>
      <c r="AI37" s="81" t="s">
        <v>2139</v>
      </c>
      <c r="AK37" s="166">
        <v>74</v>
      </c>
      <c r="AM37" s="166">
        <v>7</v>
      </c>
      <c r="AO37" s="166">
        <v>5</v>
      </c>
      <c r="AP37" s="166">
        <v>18</v>
      </c>
      <c r="AQ37" s="166">
        <v>14</v>
      </c>
      <c r="AR37" s="166">
        <v>37</v>
      </c>
      <c r="AS37" s="166">
        <v>0</v>
      </c>
      <c r="AT37" s="166">
        <v>0</v>
      </c>
      <c r="AU37" s="166">
        <v>0</v>
      </c>
      <c r="AV37" s="166">
        <v>5</v>
      </c>
      <c r="AW37" s="166">
        <v>18</v>
      </c>
      <c r="AX37" s="166">
        <v>14</v>
      </c>
      <c r="AY37" s="166">
        <v>37</v>
      </c>
      <c r="AZ37" s="166">
        <v>0</v>
      </c>
      <c r="BA37" s="166">
        <v>0</v>
      </c>
      <c r="BB37" s="166">
        <v>0</v>
      </c>
      <c r="BC37" s="166">
        <v>0</v>
      </c>
      <c r="BD37" s="166">
        <v>0</v>
      </c>
      <c r="BE37" s="166">
        <v>0</v>
      </c>
      <c r="BF37" s="166">
        <v>0</v>
      </c>
      <c r="BG37" s="166">
        <v>0</v>
      </c>
      <c r="BH37" s="166">
        <v>0</v>
      </c>
      <c r="BI37" s="166">
        <v>0</v>
      </c>
      <c r="BJ37" s="166">
        <v>0</v>
      </c>
      <c r="BK37" s="166">
        <v>0</v>
      </c>
      <c r="BL37" s="166">
        <v>0</v>
      </c>
      <c r="BM37" s="166">
        <v>0</v>
      </c>
      <c r="BN37" s="166">
        <v>0</v>
      </c>
      <c r="BO37" s="166">
        <v>0</v>
      </c>
      <c r="BP37" s="166">
        <v>0</v>
      </c>
      <c r="BQ37" s="81" t="s">
        <v>1759</v>
      </c>
      <c r="BS37" s="81" t="s">
        <v>155</v>
      </c>
      <c r="BZ37" s="81" t="s">
        <v>155</v>
      </c>
      <c r="CA37" s="81">
        <v>1</v>
      </c>
      <c r="CC37" s="167">
        <f>N37</f>
        <v>74</v>
      </c>
      <c r="CD37" s="167">
        <v>0</v>
      </c>
      <c r="CE37" s="167">
        <v>0</v>
      </c>
      <c r="CF37" s="167">
        <v>0</v>
      </c>
      <c r="CG37" s="167">
        <v>0</v>
      </c>
      <c r="CH37" s="167">
        <v>0</v>
      </c>
      <c r="CI37" s="167">
        <v>0</v>
      </c>
      <c r="CJ37" s="167">
        <v>0</v>
      </c>
      <c r="CK37" s="167">
        <v>0</v>
      </c>
      <c r="CL37" s="167">
        <v>0</v>
      </c>
      <c r="CM37" s="167">
        <v>0</v>
      </c>
      <c r="CN37" s="167">
        <v>0</v>
      </c>
      <c r="CO37" s="167">
        <v>0</v>
      </c>
      <c r="CP37" s="167">
        <v>0</v>
      </c>
      <c r="CQ37" s="167">
        <v>0</v>
      </c>
      <c r="CR37" s="167">
        <v>0</v>
      </c>
      <c r="CS37" s="167">
        <v>0</v>
      </c>
      <c r="CT37" s="167">
        <v>0</v>
      </c>
      <c r="CU37" s="167">
        <v>0</v>
      </c>
      <c r="CV37" s="167">
        <v>0</v>
      </c>
      <c r="CW37" s="167">
        <v>0</v>
      </c>
      <c r="CX37" s="167">
        <f>SUM(CD37:CH37)</f>
        <v>0</v>
      </c>
      <c r="CY37" s="167">
        <f>SUM(CD37:CM37)</f>
        <v>0</v>
      </c>
    </row>
    <row r="38" spans="1:103" ht="12.75" customHeight="1" x14ac:dyDescent="0.2">
      <c r="A38" s="81">
        <v>3510</v>
      </c>
      <c r="B38" s="165" t="s">
        <v>1924</v>
      </c>
      <c r="C38" s="165" t="s">
        <v>1497</v>
      </c>
      <c r="D38" s="165" t="s">
        <v>225</v>
      </c>
      <c r="E38" s="165" t="s">
        <v>2138</v>
      </c>
      <c r="G38" s="81">
        <v>529424</v>
      </c>
      <c r="H38" s="81">
        <v>177541</v>
      </c>
      <c r="I38" s="165" t="s">
        <v>240</v>
      </c>
      <c r="J38" s="349">
        <v>42858</v>
      </c>
      <c r="K38" s="349">
        <v>42991</v>
      </c>
      <c r="L38" s="166">
        <v>2</v>
      </c>
      <c r="M38" s="166">
        <v>1</v>
      </c>
      <c r="N38" s="166">
        <v>-1</v>
      </c>
      <c r="O38" s="166">
        <v>1</v>
      </c>
      <c r="P38" s="166">
        <v>-1</v>
      </c>
      <c r="R38" s="165" t="s">
        <v>1498</v>
      </c>
      <c r="S38" s="81" t="s">
        <v>113</v>
      </c>
      <c r="T38" s="349">
        <v>42712</v>
      </c>
      <c r="U38" s="349">
        <v>42748</v>
      </c>
      <c r="W38" s="81" t="s">
        <v>114</v>
      </c>
      <c r="Y38" s="81" t="s">
        <v>115</v>
      </c>
      <c r="Z38" s="81" t="s">
        <v>119</v>
      </c>
      <c r="AA38" s="81" t="s">
        <v>117</v>
      </c>
      <c r="AB38" s="81" t="s">
        <v>300</v>
      </c>
      <c r="AC38" s="166">
        <v>1.8999999389052401E-2</v>
      </c>
      <c r="AD38" s="349">
        <v>42858</v>
      </c>
      <c r="AE38" s="81" t="s">
        <v>155</v>
      </c>
      <c r="AF38" s="349">
        <v>42991</v>
      </c>
      <c r="AG38" s="81" t="s">
        <v>238</v>
      </c>
      <c r="AH38" s="81" t="s">
        <v>118</v>
      </c>
      <c r="AI38" s="81" t="s">
        <v>2139</v>
      </c>
      <c r="AK38" s="166">
        <v>0</v>
      </c>
      <c r="AM38" s="166">
        <v>0</v>
      </c>
      <c r="AO38" s="166">
        <v>0</v>
      </c>
      <c r="AP38" s="166">
        <v>0</v>
      </c>
      <c r="AQ38" s="166">
        <v>-2</v>
      </c>
      <c r="AR38" s="166">
        <v>0</v>
      </c>
      <c r="AS38" s="166">
        <v>1</v>
      </c>
      <c r="AT38" s="166">
        <v>0</v>
      </c>
      <c r="AU38" s="166">
        <v>0</v>
      </c>
      <c r="AV38" s="166">
        <v>0</v>
      </c>
      <c r="AW38" s="166">
        <v>0</v>
      </c>
      <c r="AX38" s="166">
        <v>-2</v>
      </c>
      <c r="AY38" s="166">
        <v>0</v>
      </c>
      <c r="AZ38" s="166">
        <v>1</v>
      </c>
      <c r="BA38" s="166">
        <v>0</v>
      </c>
      <c r="BB38" s="166">
        <v>0</v>
      </c>
      <c r="BC38" s="166">
        <v>0</v>
      </c>
      <c r="BD38" s="166">
        <v>0</v>
      </c>
      <c r="BE38" s="166">
        <v>0</v>
      </c>
      <c r="BF38" s="166">
        <v>0</v>
      </c>
      <c r="BG38" s="166">
        <v>0</v>
      </c>
      <c r="BH38" s="166">
        <v>0</v>
      </c>
      <c r="BI38" s="166">
        <v>0</v>
      </c>
      <c r="BJ38" s="166">
        <v>0</v>
      </c>
      <c r="BK38" s="166">
        <v>0</v>
      </c>
      <c r="BL38" s="166">
        <v>0</v>
      </c>
      <c r="BM38" s="166">
        <v>0</v>
      </c>
      <c r="BN38" s="166">
        <v>0</v>
      </c>
      <c r="BO38" s="166">
        <v>0</v>
      </c>
      <c r="BP38" s="166">
        <v>0</v>
      </c>
      <c r="BQ38" s="81" t="s">
        <v>1759</v>
      </c>
      <c r="BS38" s="81" t="s">
        <v>155</v>
      </c>
      <c r="BZ38" s="81" t="s">
        <v>155</v>
      </c>
      <c r="CA38" s="81">
        <v>7</v>
      </c>
      <c r="CC38" s="167">
        <f>N38</f>
        <v>-1</v>
      </c>
      <c r="CD38" s="167">
        <v>0</v>
      </c>
      <c r="CE38" s="167">
        <v>0</v>
      </c>
      <c r="CF38" s="167">
        <v>0</v>
      </c>
      <c r="CG38" s="167">
        <v>0</v>
      </c>
      <c r="CH38" s="167">
        <v>0</v>
      </c>
      <c r="CI38" s="167">
        <v>0</v>
      </c>
      <c r="CJ38" s="167">
        <v>0</v>
      </c>
      <c r="CK38" s="167">
        <v>0</v>
      </c>
      <c r="CL38" s="167">
        <v>0</v>
      </c>
      <c r="CM38" s="167">
        <v>0</v>
      </c>
      <c r="CN38" s="167">
        <v>0</v>
      </c>
      <c r="CO38" s="167">
        <v>0</v>
      </c>
      <c r="CP38" s="167">
        <v>0</v>
      </c>
      <c r="CQ38" s="167">
        <v>0</v>
      </c>
      <c r="CR38" s="167">
        <v>0</v>
      </c>
      <c r="CS38" s="167">
        <v>0</v>
      </c>
      <c r="CT38" s="167">
        <v>0</v>
      </c>
      <c r="CU38" s="167">
        <v>0</v>
      </c>
      <c r="CV38" s="167">
        <v>0</v>
      </c>
      <c r="CW38" s="167">
        <v>0</v>
      </c>
      <c r="CX38" s="167">
        <f>SUM(CD38:CH38)</f>
        <v>0</v>
      </c>
      <c r="CY38" s="167">
        <f>SUM(CD38:CM38)</f>
        <v>0</v>
      </c>
    </row>
    <row r="39" spans="1:103" ht="12.75" customHeight="1" x14ac:dyDescent="0.2">
      <c r="A39" s="81">
        <v>3516</v>
      </c>
      <c r="B39" s="165" t="s">
        <v>1924</v>
      </c>
      <c r="C39" s="165" t="s">
        <v>1174</v>
      </c>
      <c r="D39" s="165" t="s">
        <v>506</v>
      </c>
      <c r="E39" s="165" t="s">
        <v>2670</v>
      </c>
      <c r="F39" s="165" t="s">
        <v>25</v>
      </c>
      <c r="G39" s="81">
        <v>528672</v>
      </c>
      <c r="H39" s="81">
        <v>177315</v>
      </c>
      <c r="I39" s="165" t="s">
        <v>240</v>
      </c>
      <c r="J39" s="349">
        <v>41828</v>
      </c>
      <c r="K39" s="349">
        <v>43190</v>
      </c>
      <c r="L39" s="166">
        <v>0</v>
      </c>
      <c r="M39" s="166">
        <v>275</v>
      </c>
      <c r="N39" s="166">
        <v>275</v>
      </c>
      <c r="O39" s="166">
        <v>453</v>
      </c>
      <c r="P39" s="166">
        <v>453</v>
      </c>
      <c r="Q39" s="81" t="s">
        <v>155</v>
      </c>
      <c r="R39" s="165" t="s">
        <v>1175</v>
      </c>
      <c r="S39" s="81" t="s">
        <v>509</v>
      </c>
      <c r="T39" s="349">
        <v>42362</v>
      </c>
      <c r="U39" s="349">
        <v>42541</v>
      </c>
      <c r="W39" s="81" t="s">
        <v>114</v>
      </c>
      <c r="Y39" s="81" t="s">
        <v>115</v>
      </c>
      <c r="Z39" s="81" t="s">
        <v>116</v>
      </c>
      <c r="AA39" s="81" t="s">
        <v>116</v>
      </c>
      <c r="AB39" s="81" t="s">
        <v>117</v>
      </c>
      <c r="AC39" s="166">
        <v>0.66799998283386197</v>
      </c>
      <c r="AD39" s="349">
        <v>41828</v>
      </c>
      <c r="AF39" s="349">
        <v>43190</v>
      </c>
      <c r="AG39" s="81" t="s">
        <v>238</v>
      </c>
      <c r="AH39" s="81" t="s">
        <v>118</v>
      </c>
      <c r="AI39" s="81" t="s">
        <v>2671</v>
      </c>
      <c r="AK39" s="166">
        <v>0</v>
      </c>
      <c r="AM39" s="166">
        <v>0</v>
      </c>
      <c r="AN39" s="166">
        <v>45</v>
      </c>
      <c r="AO39" s="166">
        <v>0</v>
      </c>
      <c r="AP39" s="166">
        <v>60</v>
      </c>
      <c r="AQ39" s="166">
        <v>126</v>
      </c>
      <c r="AR39" s="166">
        <v>82</v>
      </c>
      <c r="AS39" s="166">
        <v>7</v>
      </c>
      <c r="AT39" s="166">
        <v>0</v>
      </c>
      <c r="AU39" s="166">
        <v>0</v>
      </c>
      <c r="AV39" s="166">
        <v>0</v>
      </c>
      <c r="AW39" s="166">
        <v>60</v>
      </c>
      <c r="AX39" s="166">
        <v>126</v>
      </c>
      <c r="AY39" s="166">
        <v>82</v>
      </c>
      <c r="AZ39" s="166">
        <v>7</v>
      </c>
      <c r="BA39" s="166">
        <v>0</v>
      </c>
      <c r="BB39" s="166">
        <v>0</v>
      </c>
      <c r="BC39" s="166">
        <v>0</v>
      </c>
      <c r="BD39" s="166">
        <v>0</v>
      </c>
      <c r="BE39" s="166">
        <v>0</v>
      </c>
      <c r="BF39" s="166">
        <v>0</v>
      </c>
      <c r="BG39" s="166">
        <v>0</v>
      </c>
      <c r="BH39" s="166">
        <v>0</v>
      </c>
      <c r="BI39" s="166">
        <v>0</v>
      </c>
      <c r="BJ39" s="166">
        <v>0</v>
      </c>
      <c r="BK39" s="166">
        <v>0</v>
      </c>
      <c r="BL39" s="166">
        <v>0</v>
      </c>
      <c r="BM39" s="166">
        <v>0</v>
      </c>
      <c r="BN39" s="166">
        <v>0</v>
      </c>
      <c r="BO39" s="166">
        <v>0</v>
      </c>
      <c r="BP39" s="166">
        <v>0</v>
      </c>
      <c r="BQ39" s="81" t="s">
        <v>1759</v>
      </c>
      <c r="BS39" s="81" t="s">
        <v>155</v>
      </c>
      <c r="BZ39" s="81" t="s">
        <v>155</v>
      </c>
      <c r="CA39" s="81">
        <v>1</v>
      </c>
      <c r="CC39" s="167">
        <f>N39</f>
        <v>275</v>
      </c>
      <c r="CD39" s="167">
        <v>0</v>
      </c>
      <c r="CE39" s="167">
        <v>0</v>
      </c>
      <c r="CF39" s="167">
        <v>0</v>
      </c>
      <c r="CG39" s="167">
        <v>0</v>
      </c>
      <c r="CH39" s="167">
        <v>0</v>
      </c>
      <c r="CI39" s="167">
        <v>0</v>
      </c>
      <c r="CJ39" s="167">
        <v>0</v>
      </c>
      <c r="CK39" s="167">
        <v>0</v>
      </c>
      <c r="CL39" s="167">
        <v>0</v>
      </c>
      <c r="CM39" s="167">
        <v>0</v>
      </c>
      <c r="CN39" s="167">
        <v>0</v>
      </c>
      <c r="CO39" s="167">
        <v>0</v>
      </c>
      <c r="CP39" s="167">
        <v>0</v>
      </c>
      <c r="CQ39" s="167">
        <v>0</v>
      </c>
      <c r="CR39" s="167">
        <v>0</v>
      </c>
      <c r="CS39" s="167">
        <v>0</v>
      </c>
      <c r="CT39" s="167">
        <v>0</v>
      </c>
      <c r="CU39" s="167">
        <v>0</v>
      </c>
      <c r="CV39" s="167">
        <v>0</v>
      </c>
      <c r="CW39" s="167">
        <v>0</v>
      </c>
      <c r="CX39" s="167">
        <f>SUM(CD39:CH39)</f>
        <v>0</v>
      </c>
      <c r="CY39" s="167">
        <f>SUM(CD39:CM39)</f>
        <v>0</v>
      </c>
    </row>
    <row r="40" spans="1:103" ht="12.75" customHeight="1" x14ac:dyDescent="0.2">
      <c r="A40" s="81">
        <v>3516</v>
      </c>
      <c r="B40" s="165" t="s">
        <v>1924</v>
      </c>
      <c r="C40" s="165" t="s">
        <v>1174</v>
      </c>
      <c r="D40" s="165" t="s">
        <v>506</v>
      </c>
      <c r="E40" s="165" t="s">
        <v>2670</v>
      </c>
      <c r="F40" s="165" t="s">
        <v>863</v>
      </c>
      <c r="G40" s="81">
        <v>528672</v>
      </c>
      <c r="H40" s="81">
        <v>177315</v>
      </c>
      <c r="I40" s="165" t="s">
        <v>240</v>
      </c>
      <c r="J40" s="349">
        <v>41828</v>
      </c>
      <c r="K40" s="349">
        <v>43190</v>
      </c>
      <c r="L40" s="166">
        <v>0</v>
      </c>
      <c r="M40" s="166">
        <v>110</v>
      </c>
      <c r="N40" s="166">
        <v>110</v>
      </c>
      <c r="O40" s="166">
        <v>453</v>
      </c>
      <c r="P40" s="166">
        <v>453</v>
      </c>
      <c r="Q40" s="81" t="s">
        <v>155</v>
      </c>
      <c r="R40" s="165" t="s">
        <v>1175</v>
      </c>
      <c r="S40" s="81" t="s">
        <v>509</v>
      </c>
      <c r="T40" s="349">
        <v>42362</v>
      </c>
      <c r="U40" s="349">
        <v>42541</v>
      </c>
      <c r="W40" s="81" t="s">
        <v>114</v>
      </c>
      <c r="Y40" s="81" t="s">
        <v>115</v>
      </c>
      <c r="Z40" s="81" t="s">
        <v>116</v>
      </c>
      <c r="AA40" s="81" t="s">
        <v>116</v>
      </c>
      <c r="AB40" s="81" t="s">
        <v>117</v>
      </c>
      <c r="AC40" s="166">
        <v>0.26699998974800099</v>
      </c>
      <c r="AD40" s="349">
        <v>41828</v>
      </c>
      <c r="AF40" s="349">
        <v>43190</v>
      </c>
      <c r="AG40" s="81" t="s">
        <v>238</v>
      </c>
      <c r="AH40" s="81" t="s">
        <v>118</v>
      </c>
      <c r="AI40" s="81" t="s">
        <v>2671</v>
      </c>
      <c r="AK40" s="166">
        <v>0</v>
      </c>
      <c r="AM40" s="166">
        <v>0</v>
      </c>
      <c r="AO40" s="166">
        <v>0</v>
      </c>
      <c r="AP40" s="166">
        <v>22</v>
      </c>
      <c r="AQ40" s="166">
        <v>54</v>
      </c>
      <c r="AR40" s="166">
        <v>34</v>
      </c>
      <c r="AS40" s="166">
        <v>0</v>
      </c>
      <c r="AT40" s="166">
        <v>0</v>
      </c>
      <c r="AU40" s="166">
        <v>0</v>
      </c>
      <c r="AV40" s="166">
        <v>0</v>
      </c>
      <c r="AW40" s="166">
        <v>22</v>
      </c>
      <c r="AX40" s="166">
        <v>54</v>
      </c>
      <c r="AY40" s="166">
        <v>34</v>
      </c>
      <c r="AZ40" s="166">
        <v>0</v>
      </c>
      <c r="BA40" s="166">
        <v>0</v>
      </c>
      <c r="BB40" s="166">
        <v>0</v>
      </c>
      <c r="BC40" s="166">
        <v>0</v>
      </c>
      <c r="BD40" s="166">
        <v>0</v>
      </c>
      <c r="BE40" s="166">
        <v>0</v>
      </c>
      <c r="BF40" s="166">
        <v>0</v>
      </c>
      <c r="BG40" s="166">
        <v>0</v>
      </c>
      <c r="BH40" s="166">
        <v>0</v>
      </c>
      <c r="BI40" s="166">
        <v>0</v>
      </c>
      <c r="BJ40" s="166">
        <v>0</v>
      </c>
      <c r="BK40" s="166">
        <v>0</v>
      </c>
      <c r="BL40" s="166">
        <v>0</v>
      </c>
      <c r="BM40" s="166">
        <v>0</v>
      </c>
      <c r="BN40" s="166">
        <v>0</v>
      </c>
      <c r="BO40" s="166">
        <v>0</v>
      </c>
      <c r="BP40" s="166">
        <v>0</v>
      </c>
      <c r="BQ40" s="81" t="s">
        <v>1759</v>
      </c>
      <c r="BS40" s="81" t="s">
        <v>155</v>
      </c>
      <c r="BZ40" s="81" t="s">
        <v>155</v>
      </c>
      <c r="CA40" s="81">
        <v>1</v>
      </c>
      <c r="CC40" s="167">
        <f>N40</f>
        <v>110</v>
      </c>
      <c r="CD40" s="167">
        <v>0</v>
      </c>
      <c r="CE40" s="167">
        <v>0</v>
      </c>
      <c r="CF40" s="167">
        <v>0</v>
      </c>
      <c r="CG40" s="167">
        <v>0</v>
      </c>
      <c r="CH40" s="167">
        <v>0</v>
      </c>
      <c r="CI40" s="167">
        <v>0</v>
      </c>
      <c r="CJ40" s="167">
        <v>0</v>
      </c>
      <c r="CK40" s="167">
        <v>0</v>
      </c>
      <c r="CL40" s="167">
        <v>0</v>
      </c>
      <c r="CM40" s="167">
        <v>0</v>
      </c>
      <c r="CN40" s="167">
        <v>0</v>
      </c>
      <c r="CO40" s="167">
        <v>0</v>
      </c>
      <c r="CP40" s="167">
        <v>0</v>
      </c>
      <c r="CQ40" s="167">
        <v>0</v>
      </c>
      <c r="CR40" s="167">
        <v>0</v>
      </c>
      <c r="CS40" s="167">
        <v>0</v>
      </c>
      <c r="CT40" s="167">
        <v>0</v>
      </c>
      <c r="CU40" s="167">
        <v>0</v>
      </c>
      <c r="CV40" s="167">
        <v>0</v>
      </c>
      <c r="CW40" s="167">
        <v>0</v>
      </c>
      <c r="CX40" s="167">
        <f>SUM(CD40:CH40)</f>
        <v>0</v>
      </c>
      <c r="CY40" s="167">
        <f>SUM(CD40:CM40)</f>
        <v>0</v>
      </c>
    </row>
    <row r="41" spans="1:103" ht="12.75" customHeight="1" x14ac:dyDescent="0.2">
      <c r="A41" s="81">
        <v>3516</v>
      </c>
      <c r="B41" s="165" t="s">
        <v>1924</v>
      </c>
      <c r="C41" s="165" t="s">
        <v>1174</v>
      </c>
      <c r="D41" s="165" t="s">
        <v>506</v>
      </c>
      <c r="E41" s="165" t="s">
        <v>2670</v>
      </c>
      <c r="F41" s="165" t="s">
        <v>863</v>
      </c>
      <c r="G41" s="81">
        <v>528672</v>
      </c>
      <c r="H41" s="81">
        <v>177315</v>
      </c>
      <c r="I41" s="165" t="s">
        <v>240</v>
      </c>
      <c r="J41" s="349">
        <v>41828</v>
      </c>
      <c r="K41" s="349">
        <v>43190</v>
      </c>
      <c r="L41" s="166">
        <v>0</v>
      </c>
      <c r="M41" s="166">
        <v>54</v>
      </c>
      <c r="N41" s="166">
        <v>54</v>
      </c>
      <c r="O41" s="166">
        <v>453</v>
      </c>
      <c r="P41" s="166">
        <v>453</v>
      </c>
      <c r="Q41" s="81" t="s">
        <v>155</v>
      </c>
      <c r="R41" s="165" t="s">
        <v>1175</v>
      </c>
      <c r="S41" s="81" t="s">
        <v>509</v>
      </c>
      <c r="T41" s="349">
        <v>42362</v>
      </c>
      <c r="U41" s="349">
        <v>42541</v>
      </c>
      <c r="W41" s="81" t="s">
        <v>114</v>
      </c>
      <c r="Y41" s="81" t="s">
        <v>115</v>
      </c>
      <c r="Z41" s="81" t="s">
        <v>116</v>
      </c>
      <c r="AA41" s="81" t="s">
        <v>116</v>
      </c>
      <c r="AB41" s="81" t="s">
        <v>117</v>
      </c>
      <c r="AC41" s="166">
        <v>0.13099999725818601</v>
      </c>
      <c r="AD41" s="349">
        <v>41828</v>
      </c>
      <c r="AF41" s="349">
        <v>43190</v>
      </c>
      <c r="AG41" s="81" t="s">
        <v>74</v>
      </c>
      <c r="AH41" s="81" t="s">
        <v>990</v>
      </c>
      <c r="AI41" s="81" t="s">
        <v>2671</v>
      </c>
      <c r="AK41" s="166">
        <v>0</v>
      </c>
      <c r="AM41" s="166">
        <v>0</v>
      </c>
      <c r="AO41" s="166">
        <v>0</v>
      </c>
      <c r="AP41" s="166">
        <v>19</v>
      </c>
      <c r="AQ41" s="166">
        <v>35</v>
      </c>
      <c r="AR41" s="166">
        <v>0</v>
      </c>
      <c r="AS41" s="166">
        <v>0</v>
      </c>
      <c r="AT41" s="166">
        <v>0</v>
      </c>
      <c r="AU41" s="166">
        <v>0</v>
      </c>
      <c r="AV41" s="166">
        <v>0</v>
      </c>
      <c r="AW41" s="166">
        <v>19</v>
      </c>
      <c r="AX41" s="166">
        <v>35</v>
      </c>
      <c r="AY41" s="166">
        <v>0</v>
      </c>
      <c r="AZ41" s="166">
        <v>0</v>
      </c>
      <c r="BA41" s="166">
        <v>0</v>
      </c>
      <c r="BB41" s="166">
        <v>0</v>
      </c>
      <c r="BC41" s="166">
        <v>0</v>
      </c>
      <c r="BD41" s="166">
        <v>0</v>
      </c>
      <c r="BE41" s="166">
        <v>0</v>
      </c>
      <c r="BF41" s="166">
        <v>0</v>
      </c>
      <c r="BG41" s="166">
        <v>0</v>
      </c>
      <c r="BH41" s="166">
        <v>0</v>
      </c>
      <c r="BI41" s="166">
        <v>0</v>
      </c>
      <c r="BJ41" s="166">
        <v>0</v>
      </c>
      <c r="BK41" s="166">
        <v>0</v>
      </c>
      <c r="BL41" s="166">
        <v>0</v>
      </c>
      <c r="BM41" s="166">
        <v>0</v>
      </c>
      <c r="BN41" s="166">
        <v>0</v>
      </c>
      <c r="BO41" s="166">
        <v>0</v>
      </c>
      <c r="BP41" s="166">
        <v>0</v>
      </c>
      <c r="BQ41" s="81" t="s">
        <v>1759</v>
      </c>
      <c r="BS41" s="81" t="s">
        <v>155</v>
      </c>
      <c r="BZ41" s="81" t="s">
        <v>155</v>
      </c>
      <c r="CA41" s="81">
        <v>1</v>
      </c>
      <c r="CC41" s="167">
        <f>N41</f>
        <v>54</v>
      </c>
      <c r="CD41" s="167">
        <v>0</v>
      </c>
      <c r="CE41" s="167">
        <v>0</v>
      </c>
      <c r="CF41" s="167">
        <v>0</v>
      </c>
      <c r="CG41" s="167">
        <v>0</v>
      </c>
      <c r="CH41" s="167">
        <v>0</v>
      </c>
      <c r="CI41" s="167">
        <v>0</v>
      </c>
      <c r="CJ41" s="167">
        <v>0</v>
      </c>
      <c r="CK41" s="167">
        <v>0</v>
      </c>
      <c r="CL41" s="167">
        <v>0</v>
      </c>
      <c r="CM41" s="167">
        <v>0</v>
      </c>
      <c r="CN41" s="167">
        <v>0</v>
      </c>
      <c r="CO41" s="167">
        <v>0</v>
      </c>
      <c r="CP41" s="167">
        <v>0</v>
      </c>
      <c r="CQ41" s="167">
        <v>0</v>
      </c>
      <c r="CR41" s="167">
        <v>0</v>
      </c>
      <c r="CS41" s="167">
        <v>0</v>
      </c>
      <c r="CT41" s="167">
        <v>0</v>
      </c>
      <c r="CU41" s="167">
        <v>0</v>
      </c>
      <c r="CV41" s="167">
        <v>0</v>
      </c>
      <c r="CW41" s="167">
        <v>0</v>
      </c>
      <c r="CX41" s="167">
        <f>SUM(CD41:CH41)</f>
        <v>0</v>
      </c>
      <c r="CY41" s="167">
        <f>SUM(CD41:CM41)</f>
        <v>0</v>
      </c>
    </row>
    <row r="42" spans="1:103" ht="12.75" customHeight="1" x14ac:dyDescent="0.2">
      <c r="A42" s="81">
        <v>3516</v>
      </c>
      <c r="B42" s="165" t="s">
        <v>1924</v>
      </c>
      <c r="C42" s="165" t="s">
        <v>1174</v>
      </c>
      <c r="D42" s="165" t="s">
        <v>506</v>
      </c>
      <c r="E42" s="165" t="s">
        <v>2670</v>
      </c>
      <c r="F42" s="165" t="s">
        <v>863</v>
      </c>
      <c r="G42" s="81">
        <v>528672</v>
      </c>
      <c r="H42" s="81">
        <v>177315</v>
      </c>
      <c r="I42" s="165" t="s">
        <v>240</v>
      </c>
      <c r="J42" s="349">
        <v>41828</v>
      </c>
      <c r="K42" s="349">
        <v>43190</v>
      </c>
      <c r="L42" s="166">
        <v>0</v>
      </c>
      <c r="M42" s="166">
        <v>14</v>
      </c>
      <c r="N42" s="166">
        <v>14</v>
      </c>
      <c r="O42" s="166">
        <v>453</v>
      </c>
      <c r="P42" s="166">
        <v>453</v>
      </c>
      <c r="Q42" s="81" t="s">
        <v>155</v>
      </c>
      <c r="R42" s="165" t="s">
        <v>1175</v>
      </c>
      <c r="S42" s="81" t="s">
        <v>509</v>
      </c>
      <c r="T42" s="349">
        <v>42362</v>
      </c>
      <c r="U42" s="349">
        <v>42541</v>
      </c>
      <c r="W42" s="81" t="s">
        <v>114</v>
      </c>
      <c r="Y42" s="81" t="s">
        <v>115</v>
      </c>
      <c r="Z42" s="81" t="s">
        <v>116</v>
      </c>
      <c r="AA42" s="81" t="s">
        <v>116</v>
      </c>
      <c r="AB42" s="81" t="s">
        <v>117</v>
      </c>
      <c r="AC42" s="166">
        <v>3.4000001847744002E-2</v>
      </c>
      <c r="AD42" s="349">
        <v>41828</v>
      </c>
      <c r="AF42" s="349">
        <v>43190</v>
      </c>
      <c r="AG42" s="81" t="s">
        <v>74</v>
      </c>
      <c r="AH42" s="81" t="s">
        <v>880</v>
      </c>
      <c r="AI42" s="81" t="s">
        <v>2671</v>
      </c>
      <c r="AK42" s="166">
        <v>0</v>
      </c>
      <c r="AM42" s="166">
        <v>0</v>
      </c>
      <c r="AO42" s="166">
        <v>0</v>
      </c>
      <c r="AP42" s="166">
        <v>0</v>
      </c>
      <c r="AQ42" s="166">
        <v>0</v>
      </c>
      <c r="AR42" s="166">
        <v>14</v>
      </c>
      <c r="AS42" s="166">
        <v>0</v>
      </c>
      <c r="AT42" s="166">
        <v>0</v>
      </c>
      <c r="AU42" s="166">
        <v>0</v>
      </c>
      <c r="AV42" s="166">
        <v>0</v>
      </c>
      <c r="AW42" s="166">
        <v>0</v>
      </c>
      <c r="AX42" s="166">
        <v>0</v>
      </c>
      <c r="AY42" s="166">
        <v>14</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81" t="s">
        <v>1759</v>
      </c>
      <c r="BS42" s="81" t="s">
        <v>155</v>
      </c>
      <c r="BZ42" s="81" t="s">
        <v>155</v>
      </c>
      <c r="CA42" s="81">
        <v>1</v>
      </c>
      <c r="CC42" s="167">
        <f>N42</f>
        <v>14</v>
      </c>
      <c r="CD42" s="167">
        <v>0</v>
      </c>
      <c r="CE42" s="167">
        <v>0</v>
      </c>
      <c r="CF42" s="167">
        <v>0</v>
      </c>
      <c r="CG42" s="167">
        <v>0</v>
      </c>
      <c r="CH42" s="167">
        <v>0</v>
      </c>
      <c r="CI42" s="167">
        <v>0</v>
      </c>
      <c r="CJ42" s="167">
        <v>0</v>
      </c>
      <c r="CK42" s="167">
        <v>0</v>
      </c>
      <c r="CL42" s="167">
        <v>0</v>
      </c>
      <c r="CM42" s="167">
        <v>0</v>
      </c>
      <c r="CN42" s="167">
        <v>0</v>
      </c>
      <c r="CO42" s="167">
        <v>0</v>
      </c>
      <c r="CP42" s="167">
        <v>0</v>
      </c>
      <c r="CQ42" s="167">
        <v>0</v>
      </c>
      <c r="CR42" s="167">
        <v>0</v>
      </c>
      <c r="CS42" s="167">
        <v>0</v>
      </c>
      <c r="CT42" s="167">
        <v>0</v>
      </c>
      <c r="CU42" s="167">
        <v>0</v>
      </c>
      <c r="CV42" s="167">
        <v>0</v>
      </c>
      <c r="CW42" s="167">
        <v>0</v>
      </c>
      <c r="CX42" s="167">
        <f>SUM(CD42:CH42)</f>
        <v>0</v>
      </c>
      <c r="CY42" s="167">
        <f>SUM(CD42:CM42)</f>
        <v>0</v>
      </c>
    </row>
    <row r="43" spans="1:103" ht="12.75" customHeight="1" x14ac:dyDescent="0.2">
      <c r="A43" s="81">
        <v>3518</v>
      </c>
      <c r="B43" s="165" t="s">
        <v>1924</v>
      </c>
      <c r="C43" s="165" t="s">
        <v>68</v>
      </c>
      <c r="D43" s="165" t="s">
        <v>507</v>
      </c>
      <c r="E43" s="165" t="s">
        <v>2692</v>
      </c>
      <c r="F43" s="165" t="s">
        <v>851</v>
      </c>
      <c r="G43" s="81">
        <v>525666</v>
      </c>
      <c r="H43" s="81">
        <v>174804</v>
      </c>
      <c r="I43" s="165" t="s">
        <v>251</v>
      </c>
      <c r="J43" s="349">
        <v>42095</v>
      </c>
      <c r="L43" s="166">
        <v>0</v>
      </c>
      <c r="M43" s="166">
        <v>55</v>
      </c>
      <c r="N43" s="166">
        <v>55</v>
      </c>
      <c r="O43" s="166">
        <v>663</v>
      </c>
      <c r="P43" s="166">
        <v>662</v>
      </c>
      <c r="Q43" s="81" t="s">
        <v>155</v>
      </c>
      <c r="R43" s="165" t="s">
        <v>741</v>
      </c>
      <c r="S43" s="81" t="s">
        <v>24</v>
      </c>
      <c r="T43" s="349">
        <v>41234</v>
      </c>
      <c r="U43" s="349">
        <v>41614</v>
      </c>
      <c r="W43" s="81" t="s">
        <v>114</v>
      </c>
      <c r="Y43" s="81" t="s">
        <v>115</v>
      </c>
      <c r="Z43" s="81" t="s">
        <v>116</v>
      </c>
      <c r="AA43" s="81" t="s">
        <v>116</v>
      </c>
      <c r="AB43" s="81" t="s">
        <v>117</v>
      </c>
      <c r="AC43" s="166">
        <v>0</v>
      </c>
      <c r="AD43" s="349">
        <v>42095</v>
      </c>
      <c r="AF43" s="349">
        <v>43152</v>
      </c>
      <c r="AG43" s="81" t="s">
        <v>238</v>
      </c>
      <c r="AH43" s="81" t="s">
        <v>118</v>
      </c>
      <c r="AI43" s="81" t="s">
        <v>2693</v>
      </c>
      <c r="AK43" s="166">
        <v>0</v>
      </c>
      <c r="AM43" s="166">
        <v>7</v>
      </c>
      <c r="AO43" s="166">
        <v>2</v>
      </c>
      <c r="AP43" s="166">
        <v>20</v>
      </c>
      <c r="AQ43" s="166">
        <v>11</v>
      </c>
      <c r="AR43" s="166">
        <v>22</v>
      </c>
      <c r="AS43" s="166">
        <v>0</v>
      </c>
      <c r="AT43" s="166">
        <v>0</v>
      </c>
      <c r="AU43" s="166">
        <v>0</v>
      </c>
      <c r="AV43" s="166">
        <v>2</v>
      </c>
      <c r="AW43" s="166">
        <v>20</v>
      </c>
      <c r="AX43" s="166">
        <v>11</v>
      </c>
      <c r="AY43" s="166">
        <v>22</v>
      </c>
      <c r="AZ43" s="166">
        <v>0</v>
      </c>
      <c r="BA43" s="166">
        <v>0</v>
      </c>
      <c r="BB43" s="166">
        <v>0</v>
      </c>
      <c r="BC43" s="166">
        <v>0</v>
      </c>
      <c r="BD43" s="166">
        <v>0</v>
      </c>
      <c r="BE43" s="166">
        <v>0</v>
      </c>
      <c r="BF43" s="166">
        <v>0</v>
      </c>
      <c r="BG43" s="166">
        <v>0</v>
      </c>
      <c r="BH43" s="166">
        <v>0</v>
      </c>
      <c r="BI43" s="166">
        <v>0</v>
      </c>
      <c r="BJ43" s="166">
        <v>0</v>
      </c>
      <c r="BK43" s="166">
        <v>0</v>
      </c>
      <c r="BL43" s="166">
        <v>0</v>
      </c>
      <c r="BM43" s="166">
        <v>0</v>
      </c>
      <c r="BN43" s="166">
        <v>0</v>
      </c>
      <c r="BO43" s="166">
        <v>0</v>
      </c>
      <c r="BP43" s="166">
        <v>0</v>
      </c>
      <c r="BQ43" s="81" t="s">
        <v>1758</v>
      </c>
      <c r="BR43" s="81" t="s">
        <v>202</v>
      </c>
      <c r="BT43" s="81" t="s">
        <v>155</v>
      </c>
      <c r="BZ43" s="81" t="s">
        <v>155</v>
      </c>
      <c r="CA43" s="81">
        <v>1</v>
      </c>
      <c r="CC43" s="167">
        <f>N43</f>
        <v>55</v>
      </c>
      <c r="CD43" s="167">
        <v>0</v>
      </c>
      <c r="CE43" s="167">
        <v>0</v>
      </c>
      <c r="CF43" s="167">
        <v>0</v>
      </c>
      <c r="CG43" s="167">
        <v>0</v>
      </c>
      <c r="CH43" s="167">
        <v>0</v>
      </c>
      <c r="CI43" s="167">
        <v>0</v>
      </c>
      <c r="CJ43" s="167">
        <v>0</v>
      </c>
      <c r="CK43" s="167">
        <v>0</v>
      </c>
      <c r="CL43" s="167">
        <v>0</v>
      </c>
      <c r="CM43" s="167">
        <v>0</v>
      </c>
      <c r="CN43" s="167">
        <v>0</v>
      </c>
      <c r="CO43" s="167">
        <v>0</v>
      </c>
      <c r="CP43" s="167">
        <v>0</v>
      </c>
      <c r="CQ43" s="167">
        <v>0</v>
      </c>
      <c r="CR43" s="167">
        <v>0</v>
      </c>
      <c r="CS43" s="167">
        <v>0</v>
      </c>
      <c r="CT43" s="167">
        <v>0</v>
      </c>
      <c r="CU43" s="167">
        <v>0</v>
      </c>
      <c r="CV43" s="167">
        <v>0</v>
      </c>
      <c r="CW43" s="167">
        <v>0</v>
      </c>
      <c r="CX43" s="167">
        <f>SUM(CD43:CH43)</f>
        <v>0</v>
      </c>
      <c r="CY43" s="167">
        <f>SUM(CD43:CM43)</f>
        <v>0</v>
      </c>
    </row>
    <row r="44" spans="1:103" ht="12.75" customHeight="1" x14ac:dyDescent="0.2">
      <c r="A44" s="81">
        <v>3518</v>
      </c>
      <c r="B44" s="165" t="s">
        <v>1924</v>
      </c>
      <c r="C44" s="165" t="s">
        <v>68</v>
      </c>
      <c r="D44" s="165" t="s">
        <v>507</v>
      </c>
      <c r="E44" s="165" t="s">
        <v>2692</v>
      </c>
      <c r="F44" s="165" t="s">
        <v>852</v>
      </c>
      <c r="G44" s="81">
        <v>525666</v>
      </c>
      <c r="H44" s="81">
        <v>174804</v>
      </c>
      <c r="I44" s="165" t="s">
        <v>251</v>
      </c>
      <c r="J44" s="349">
        <v>42095</v>
      </c>
      <c r="L44" s="166">
        <v>0</v>
      </c>
      <c r="M44" s="166">
        <v>87</v>
      </c>
      <c r="N44" s="166">
        <v>87</v>
      </c>
      <c r="O44" s="166">
        <v>663</v>
      </c>
      <c r="P44" s="166">
        <v>662</v>
      </c>
      <c r="Q44" s="81" t="s">
        <v>155</v>
      </c>
      <c r="R44" s="165" t="s">
        <v>741</v>
      </c>
      <c r="S44" s="81" t="s">
        <v>24</v>
      </c>
      <c r="T44" s="349">
        <v>41234</v>
      </c>
      <c r="U44" s="349">
        <v>41614</v>
      </c>
      <c r="W44" s="81" t="s">
        <v>114</v>
      </c>
      <c r="Y44" s="81" t="s">
        <v>115</v>
      </c>
      <c r="Z44" s="81" t="s">
        <v>116</v>
      </c>
      <c r="AA44" s="81" t="s">
        <v>116</v>
      </c>
      <c r="AB44" s="81" t="s">
        <v>117</v>
      </c>
      <c r="AC44" s="166">
        <v>0</v>
      </c>
      <c r="AD44" s="349">
        <v>42095</v>
      </c>
      <c r="AF44" s="349">
        <v>43152</v>
      </c>
      <c r="AG44" s="81" t="s">
        <v>238</v>
      </c>
      <c r="AH44" s="81" t="s">
        <v>118</v>
      </c>
      <c r="AI44" s="81" t="s">
        <v>2693</v>
      </c>
      <c r="AM44" s="166">
        <v>8</v>
      </c>
      <c r="AO44" s="166">
        <v>7</v>
      </c>
      <c r="AP44" s="166">
        <v>33</v>
      </c>
      <c r="AQ44" s="166">
        <v>22</v>
      </c>
      <c r="AR44" s="166">
        <v>24</v>
      </c>
      <c r="AS44" s="166">
        <v>1</v>
      </c>
      <c r="AT44" s="166">
        <v>0</v>
      </c>
      <c r="AU44" s="166">
        <v>0</v>
      </c>
      <c r="AV44" s="166">
        <v>7</v>
      </c>
      <c r="AW44" s="166">
        <v>33</v>
      </c>
      <c r="AX44" s="166">
        <v>22</v>
      </c>
      <c r="AY44" s="166">
        <v>24</v>
      </c>
      <c r="AZ44" s="166">
        <v>1</v>
      </c>
      <c r="BA44" s="166">
        <v>0</v>
      </c>
      <c r="BB44" s="166">
        <v>0</v>
      </c>
      <c r="BC44" s="166">
        <v>0</v>
      </c>
      <c r="BD44" s="166">
        <v>0</v>
      </c>
      <c r="BE44" s="166">
        <v>0</v>
      </c>
      <c r="BF44" s="166">
        <v>0</v>
      </c>
      <c r="BG44" s="166">
        <v>0</v>
      </c>
      <c r="BH44" s="166">
        <v>0</v>
      </c>
      <c r="BI44" s="166">
        <v>0</v>
      </c>
      <c r="BJ44" s="166">
        <v>0</v>
      </c>
      <c r="BK44" s="166">
        <v>0</v>
      </c>
      <c r="BL44" s="166">
        <v>0</v>
      </c>
      <c r="BM44" s="166">
        <v>0</v>
      </c>
      <c r="BN44" s="166">
        <v>0</v>
      </c>
      <c r="BO44" s="166">
        <v>0</v>
      </c>
      <c r="BP44" s="166">
        <v>0</v>
      </c>
      <c r="BQ44" s="81" t="s">
        <v>1758</v>
      </c>
      <c r="BR44" s="81" t="s">
        <v>202</v>
      </c>
      <c r="BT44" s="81" t="s">
        <v>155</v>
      </c>
      <c r="BZ44" s="81" t="s">
        <v>155</v>
      </c>
      <c r="CA44" s="81">
        <v>1</v>
      </c>
      <c r="CC44" s="167">
        <f>N44</f>
        <v>87</v>
      </c>
      <c r="CD44" s="167">
        <v>0</v>
      </c>
      <c r="CE44" s="167">
        <v>0</v>
      </c>
      <c r="CF44" s="167">
        <v>0</v>
      </c>
      <c r="CG44" s="167">
        <v>0</v>
      </c>
      <c r="CH44" s="167">
        <v>0</v>
      </c>
      <c r="CI44" s="167">
        <v>0</v>
      </c>
      <c r="CJ44" s="167">
        <v>0</v>
      </c>
      <c r="CK44" s="167">
        <v>0</v>
      </c>
      <c r="CL44" s="167">
        <v>0</v>
      </c>
      <c r="CM44" s="167">
        <v>0</v>
      </c>
      <c r="CN44" s="167">
        <v>0</v>
      </c>
      <c r="CO44" s="167">
        <v>0</v>
      </c>
      <c r="CP44" s="167">
        <v>0</v>
      </c>
      <c r="CQ44" s="167">
        <v>0</v>
      </c>
      <c r="CR44" s="167">
        <v>0</v>
      </c>
      <c r="CS44" s="167">
        <v>0</v>
      </c>
      <c r="CT44" s="167">
        <v>0</v>
      </c>
      <c r="CU44" s="167">
        <v>0</v>
      </c>
      <c r="CV44" s="167">
        <v>0</v>
      </c>
      <c r="CW44" s="167">
        <v>0</v>
      </c>
      <c r="CX44" s="167">
        <f>SUM(CD44:CH44)</f>
        <v>0</v>
      </c>
      <c r="CY44" s="167">
        <f>SUM(CD44:CM44)</f>
        <v>0</v>
      </c>
    </row>
    <row r="45" spans="1:103" ht="12.75" customHeight="1" x14ac:dyDescent="0.2">
      <c r="A45" s="81">
        <v>3518</v>
      </c>
      <c r="B45" s="165" t="s">
        <v>1924</v>
      </c>
      <c r="C45" s="165" t="s">
        <v>68</v>
      </c>
      <c r="D45" s="165" t="s">
        <v>507</v>
      </c>
      <c r="E45" s="165" t="s">
        <v>2692</v>
      </c>
      <c r="F45" s="165" t="s">
        <v>859</v>
      </c>
      <c r="G45" s="81">
        <v>525666</v>
      </c>
      <c r="H45" s="81">
        <v>174804</v>
      </c>
      <c r="I45" s="165" t="s">
        <v>251</v>
      </c>
      <c r="J45" s="349">
        <v>42095</v>
      </c>
      <c r="L45" s="166">
        <v>0</v>
      </c>
      <c r="M45" s="166">
        <v>63</v>
      </c>
      <c r="N45" s="166">
        <v>63</v>
      </c>
      <c r="O45" s="166">
        <v>663</v>
      </c>
      <c r="P45" s="166">
        <v>662</v>
      </c>
      <c r="Q45" s="81" t="s">
        <v>155</v>
      </c>
      <c r="R45" s="165" t="s">
        <v>741</v>
      </c>
      <c r="S45" s="81" t="s">
        <v>24</v>
      </c>
      <c r="T45" s="349">
        <v>41234</v>
      </c>
      <c r="U45" s="349">
        <v>41614</v>
      </c>
      <c r="W45" s="81" t="s">
        <v>114</v>
      </c>
      <c r="Y45" s="81" t="s">
        <v>115</v>
      </c>
      <c r="Z45" s="81" t="s">
        <v>116</v>
      </c>
      <c r="AA45" s="81" t="s">
        <v>116</v>
      </c>
      <c r="AB45" s="81" t="s">
        <v>117</v>
      </c>
      <c r="AC45" s="166">
        <v>0</v>
      </c>
      <c r="AD45" s="349">
        <v>42095</v>
      </c>
      <c r="AF45" s="349">
        <v>43152</v>
      </c>
      <c r="AG45" s="81" t="s">
        <v>238</v>
      </c>
      <c r="AH45" s="81" t="s">
        <v>118</v>
      </c>
      <c r="AI45" s="81" t="s">
        <v>2693</v>
      </c>
      <c r="AK45" s="166">
        <v>0</v>
      </c>
      <c r="AM45" s="166">
        <v>14</v>
      </c>
      <c r="AO45" s="166">
        <v>1</v>
      </c>
      <c r="AP45" s="166">
        <v>29</v>
      </c>
      <c r="AQ45" s="166">
        <v>21</v>
      </c>
      <c r="AR45" s="166">
        <v>11</v>
      </c>
      <c r="AS45" s="166">
        <v>1</v>
      </c>
      <c r="AT45" s="166">
        <v>0</v>
      </c>
      <c r="AU45" s="166">
        <v>0</v>
      </c>
      <c r="AV45" s="166">
        <v>1</v>
      </c>
      <c r="AW45" s="166">
        <v>29</v>
      </c>
      <c r="AX45" s="166">
        <v>21</v>
      </c>
      <c r="AY45" s="166">
        <v>11</v>
      </c>
      <c r="AZ45" s="166">
        <v>1</v>
      </c>
      <c r="BA45" s="166">
        <v>0</v>
      </c>
      <c r="BB45" s="166">
        <v>0</v>
      </c>
      <c r="BC45" s="166">
        <v>0</v>
      </c>
      <c r="BD45" s="166">
        <v>0</v>
      </c>
      <c r="BE45" s="166">
        <v>0</v>
      </c>
      <c r="BF45" s="166">
        <v>0</v>
      </c>
      <c r="BG45" s="166">
        <v>0</v>
      </c>
      <c r="BH45" s="166">
        <v>0</v>
      </c>
      <c r="BI45" s="166">
        <v>0</v>
      </c>
      <c r="BJ45" s="166">
        <v>0</v>
      </c>
      <c r="BK45" s="166">
        <v>0</v>
      </c>
      <c r="BL45" s="166">
        <v>0</v>
      </c>
      <c r="BM45" s="166">
        <v>0</v>
      </c>
      <c r="BN45" s="166">
        <v>0</v>
      </c>
      <c r="BO45" s="166">
        <v>0</v>
      </c>
      <c r="BP45" s="166">
        <v>0</v>
      </c>
      <c r="BQ45" s="81" t="s">
        <v>1758</v>
      </c>
      <c r="BR45" s="81" t="s">
        <v>202</v>
      </c>
      <c r="BT45" s="81" t="s">
        <v>155</v>
      </c>
      <c r="BZ45" s="81" t="s">
        <v>155</v>
      </c>
      <c r="CA45" s="81">
        <v>1</v>
      </c>
      <c r="CC45" s="167">
        <f>N45</f>
        <v>63</v>
      </c>
      <c r="CD45" s="167">
        <v>0</v>
      </c>
      <c r="CE45" s="167">
        <v>0</v>
      </c>
      <c r="CF45" s="167">
        <v>0</v>
      </c>
      <c r="CG45" s="167">
        <v>0</v>
      </c>
      <c r="CH45" s="167">
        <v>0</v>
      </c>
      <c r="CI45" s="167">
        <v>0</v>
      </c>
      <c r="CJ45" s="167">
        <v>0</v>
      </c>
      <c r="CK45" s="167">
        <v>0</v>
      </c>
      <c r="CL45" s="167">
        <v>0</v>
      </c>
      <c r="CM45" s="167">
        <v>0</v>
      </c>
      <c r="CN45" s="167">
        <v>0</v>
      </c>
      <c r="CO45" s="167">
        <v>0</v>
      </c>
      <c r="CP45" s="167">
        <v>0</v>
      </c>
      <c r="CQ45" s="167">
        <v>0</v>
      </c>
      <c r="CR45" s="167">
        <v>0</v>
      </c>
      <c r="CS45" s="167">
        <v>0</v>
      </c>
      <c r="CT45" s="167">
        <v>0</v>
      </c>
      <c r="CU45" s="167">
        <v>0</v>
      </c>
      <c r="CV45" s="167">
        <v>0</v>
      </c>
      <c r="CW45" s="167">
        <v>0</v>
      </c>
      <c r="CX45" s="167">
        <f>SUM(CD45:CH45)</f>
        <v>0</v>
      </c>
      <c r="CY45" s="167">
        <f>SUM(CD45:CM45)</f>
        <v>0</v>
      </c>
    </row>
    <row r="46" spans="1:103" ht="12.75" customHeight="1" x14ac:dyDescent="0.2">
      <c r="A46" s="81">
        <v>3518</v>
      </c>
      <c r="B46" s="165" t="s">
        <v>1924</v>
      </c>
      <c r="C46" s="165" t="s">
        <v>68</v>
      </c>
      <c r="D46" s="165" t="s">
        <v>507</v>
      </c>
      <c r="E46" s="165" t="s">
        <v>2692</v>
      </c>
      <c r="F46" s="165" t="s">
        <v>862</v>
      </c>
      <c r="G46" s="81">
        <v>525666</v>
      </c>
      <c r="H46" s="81">
        <v>174804</v>
      </c>
      <c r="I46" s="165" t="s">
        <v>251</v>
      </c>
      <c r="J46" s="349">
        <v>42095</v>
      </c>
      <c r="L46" s="166">
        <v>0</v>
      </c>
      <c r="M46" s="166">
        <v>12</v>
      </c>
      <c r="N46" s="166">
        <v>12</v>
      </c>
      <c r="O46" s="166">
        <v>663</v>
      </c>
      <c r="P46" s="166">
        <v>662</v>
      </c>
      <c r="Q46" s="81" t="s">
        <v>155</v>
      </c>
      <c r="R46" s="165" t="s">
        <v>741</v>
      </c>
      <c r="S46" s="81" t="s">
        <v>24</v>
      </c>
      <c r="T46" s="349">
        <v>41234</v>
      </c>
      <c r="U46" s="349">
        <v>41614</v>
      </c>
      <c r="W46" s="81" t="s">
        <v>114</v>
      </c>
      <c r="Y46" s="81" t="s">
        <v>115</v>
      </c>
      <c r="Z46" s="81" t="s">
        <v>116</v>
      </c>
      <c r="AA46" s="81" t="s">
        <v>116</v>
      </c>
      <c r="AB46" s="81" t="s">
        <v>117</v>
      </c>
      <c r="AC46" s="166">
        <v>0</v>
      </c>
      <c r="AD46" s="349">
        <v>42095</v>
      </c>
      <c r="AF46" s="349">
        <v>43190</v>
      </c>
      <c r="AG46" s="81" t="s">
        <v>238</v>
      </c>
      <c r="AH46" s="81" t="s">
        <v>118</v>
      </c>
      <c r="AI46" s="81" t="s">
        <v>2693</v>
      </c>
      <c r="AK46" s="166">
        <v>0</v>
      </c>
      <c r="AM46" s="166">
        <v>0</v>
      </c>
      <c r="AO46" s="166">
        <v>0</v>
      </c>
      <c r="AP46" s="166">
        <v>6</v>
      </c>
      <c r="AQ46" s="166">
        <v>6</v>
      </c>
      <c r="AR46" s="166">
        <v>0</v>
      </c>
      <c r="AS46" s="166">
        <v>0</v>
      </c>
      <c r="AT46" s="166">
        <v>0</v>
      </c>
      <c r="AU46" s="166">
        <v>0</v>
      </c>
      <c r="AV46" s="166">
        <v>0</v>
      </c>
      <c r="AW46" s="166">
        <v>6</v>
      </c>
      <c r="AX46" s="166">
        <v>6</v>
      </c>
      <c r="AY46" s="166">
        <v>0</v>
      </c>
      <c r="AZ46" s="166">
        <v>0</v>
      </c>
      <c r="BA46" s="166">
        <v>0</v>
      </c>
      <c r="BB46" s="166">
        <v>0</v>
      </c>
      <c r="BC46" s="166">
        <v>0</v>
      </c>
      <c r="BD46" s="166">
        <v>0</v>
      </c>
      <c r="BE46" s="166">
        <v>0</v>
      </c>
      <c r="BF46" s="166">
        <v>0</v>
      </c>
      <c r="BG46" s="166">
        <v>0</v>
      </c>
      <c r="BH46" s="166">
        <v>0</v>
      </c>
      <c r="BI46" s="166">
        <v>0</v>
      </c>
      <c r="BJ46" s="166">
        <v>0</v>
      </c>
      <c r="BK46" s="166">
        <v>0</v>
      </c>
      <c r="BL46" s="166">
        <v>0</v>
      </c>
      <c r="BM46" s="166">
        <v>0</v>
      </c>
      <c r="BN46" s="166">
        <v>0</v>
      </c>
      <c r="BO46" s="166">
        <v>0</v>
      </c>
      <c r="BP46" s="166">
        <v>0</v>
      </c>
      <c r="BQ46" s="81" t="s">
        <v>1758</v>
      </c>
      <c r="BR46" s="81" t="s">
        <v>202</v>
      </c>
      <c r="BT46" s="81" t="s">
        <v>155</v>
      </c>
      <c r="BZ46" s="81" t="s">
        <v>155</v>
      </c>
      <c r="CA46" s="81">
        <v>1</v>
      </c>
      <c r="CC46" s="167">
        <f>N46</f>
        <v>12</v>
      </c>
      <c r="CD46" s="167">
        <v>0</v>
      </c>
      <c r="CE46" s="167">
        <v>0</v>
      </c>
      <c r="CF46" s="167">
        <v>0</v>
      </c>
      <c r="CG46" s="167">
        <v>0</v>
      </c>
      <c r="CH46" s="167">
        <v>0</v>
      </c>
      <c r="CI46" s="167">
        <v>0</v>
      </c>
      <c r="CJ46" s="167">
        <v>0</v>
      </c>
      <c r="CK46" s="167">
        <v>0</v>
      </c>
      <c r="CL46" s="167">
        <v>0</v>
      </c>
      <c r="CM46" s="167">
        <v>0</v>
      </c>
      <c r="CN46" s="167">
        <v>0</v>
      </c>
      <c r="CO46" s="167">
        <v>0</v>
      </c>
      <c r="CP46" s="167">
        <v>0</v>
      </c>
      <c r="CQ46" s="167">
        <v>0</v>
      </c>
      <c r="CR46" s="167">
        <v>0</v>
      </c>
      <c r="CS46" s="167">
        <v>0</v>
      </c>
      <c r="CT46" s="167">
        <v>0</v>
      </c>
      <c r="CU46" s="167">
        <v>0</v>
      </c>
      <c r="CV46" s="167">
        <v>0</v>
      </c>
      <c r="CW46" s="167">
        <v>0</v>
      </c>
      <c r="CX46" s="167">
        <f>SUM(CD46:CH46)</f>
        <v>0</v>
      </c>
      <c r="CY46" s="167">
        <f>SUM(CD46:CM46)</f>
        <v>0</v>
      </c>
    </row>
    <row r="47" spans="1:103" ht="12.75" customHeight="1" x14ac:dyDescent="0.2">
      <c r="A47" s="81">
        <v>3577</v>
      </c>
      <c r="B47" s="165" t="s">
        <v>1924</v>
      </c>
      <c r="C47" s="165" t="s">
        <v>332</v>
      </c>
      <c r="E47" s="165" t="s">
        <v>3099</v>
      </c>
      <c r="G47" s="81">
        <v>529035</v>
      </c>
      <c r="H47" s="81">
        <v>176328</v>
      </c>
      <c r="I47" s="165" t="s">
        <v>240</v>
      </c>
      <c r="J47" s="349">
        <v>40945</v>
      </c>
      <c r="K47" s="349">
        <v>43087</v>
      </c>
      <c r="L47" s="166">
        <v>2</v>
      </c>
      <c r="M47" s="166">
        <v>9</v>
      </c>
      <c r="N47" s="166">
        <v>7</v>
      </c>
      <c r="O47" s="166">
        <v>9</v>
      </c>
      <c r="P47" s="166">
        <v>7</v>
      </c>
      <c r="R47" s="165" t="s">
        <v>333</v>
      </c>
      <c r="S47" s="81" t="s">
        <v>113</v>
      </c>
      <c r="T47" s="349">
        <v>40382</v>
      </c>
      <c r="U47" s="349">
        <v>40464</v>
      </c>
      <c r="W47" s="81" t="s">
        <v>114</v>
      </c>
      <c r="Y47" s="81" t="s">
        <v>115</v>
      </c>
      <c r="Z47" s="81" t="s">
        <v>116</v>
      </c>
      <c r="AA47" s="81" t="s">
        <v>117</v>
      </c>
      <c r="AB47" s="81" t="s">
        <v>218</v>
      </c>
      <c r="AC47" s="166">
        <v>3.29999998211861E-2</v>
      </c>
      <c r="AD47" s="349">
        <v>40945</v>
      </c>
      <c r="AF47" s="349">
        <v>43087</v>
      </c>
      <c r="AG47" s="81" t="s">
        <v>238</v>
      </c>
      <c r="AH47" s="81" t="s">
        <v>118</v>
      </c>
      <c r="AK47" s="166">
        <v>9</v>
      </c>
      <c r="AM47" s="166">
        <v>1</v>
      </c>
      <c r="AO47" s="166">
        <v>0</v>
      </c>
      <c r="AP47" s="166">
        <v>2</v>
      </c>
      <c r="AQ47" s="166">
        <v>2</v>
      </c>
      <c r="AR47" s="166">
        <v>3</v>
      </c>
      <c r="AS47" s="166">
        <v>0</v>
      </c>
      <c r="AT47" s="166">
        <v>0</v>
      </c>
      <c r="AU47" s="166">
        <v>0</v>
      </c>
      <c r="AV47" s="166">
        <v>0</v>
      </c>
      <c r="AW47" s="166">
        <v>2</v>
      </c>
      <c r="AX47" s="166">
        <v>2</v>
      </c>
      <c r="AY47" s="166">
        <v>3</v>
      </c>
      <c r="AZ47" s="166">
        <v>0</v>
      </c>
      <c r="BA47" s="166">
        <v>0</v>
      </c>
      <c r="BB47" s="166">
        <v>0</v>
      </c>
      <c r="BC47" s="166">
        <v>0</v>
      </c>
      <c r="BD47" s="166">
        <v>0</v>
      </c>
      <c r="BE47" s="166">
        <v>0</v>
      </c>
      <c r="BF47" s="166">
        <v>0</v>
      </c>
      <c r="BG47" s="166">
        <v>0</v>
      </c>
      <c r="BH47" s="166">
        <v>0</v>
      </c>
      <c r="BI47" s="166">
        <v>0</v>
      </c>
      <c r="BJ47" s="166">
        <v>0</v>
      </c>
      <c r="BK47" s="166">
        <v>0</v>
      </c>
      <c r="BL47" s="166">
        <v>0</v>
      </c>
      <c r="BM47" s="166">
        <v>0</v>
      </c>
      <c r="BN47" s="166">
        <v>0</v>
      </c>
      <c r="BO47" s="166">
        <v>0</v>
      </c>
      <c r="BP47" s="166">
        <v>0</v>
      </c>
      <c r="BQ47" s="81" t="s">
        <v>1759</v>
      </c>
      <c r="BS47" s="81" t="s">
        <v>155</v>
      </c>
      <c r="BZ47" s="81" t="s">
        <v>155</v>
      </c>
      <c r="CA47" s="81">
        <v>1</v>
      </c>
      <c r="CC47" s="167">
        <f>N47</f>
        <v>7</v>
      </c>
      <c r="CD47" s="167">
        <v>0</v>
      </c>
      <c r="CE47" s="167">
        <v>0</v>
      </c>
      <c r="CF47" s="167">
        <v>0</v>
      </c>
      <c r="CG47" s="167">
        <v>0</v>
      </c>
      <c r="CH47" s="167">
        <v>0</v>
      </c>
      <c r="CI47" s="167">
        <v>0</v>
      </c>
      <c r="CJ47" s="167">
        <v>0</v>
      </c>
      <c r="CK47" s="167">
        <v>0</v>
      </c>
      <c r="CL47" s="167">
        <v>0</v>
      </c>
      <c r="CM47" s="167">
        <v>0</v>
      </c>
      <c r="CN47" s="167">
        <v>0</v>
      </c>
      <c r="CO47" s="167">
        <v>0</v>
      </c>
      <c r="CP47" s="167">
        <v>0</v>
      </c>
      <c r="CQ47" s="167">
        <v>0</v>
      </c>
      <c r="CR47" s="167">
        <v>0</v>
      </c>
      <c r="CS47" s="167">
        <v>0</v>
      </c>
      <c r="CT47" s="167">
        <v>0</v>
      </c>
      <c r="CU47" s="167">
        <v>0</v>
      </c>
      <c r="CV47" s="167">
        <v>0</v>
      </c>
      <c r="CW47" s="167">
        <v>0</v>
      </c>
      <c r="CX47" s="167">
        <f>SUM(CD47:CH47)</f>
        <v>0</v>
      </c>
      <c r="CY47" s="167">
        <f>SUM(CD47:CM47)</f>
        <v>0</v>
      </c>
    </row>
    <row r="48" spans="1:103" ht="12.75" customHeight="1" x14ac:dyDescent="0.2">
      <c r="A48" s="81">
        <v>3704</v>
      </c>
      <c r="B48" s="165" t="s">
        <v>1924</v>
      </c>
      <c r="C48" s="165" t="s">
        <v>317</v>
      </c>
      <c r="E48" s="165" t="s">
        <v>3100</v>
      </c>
      <c r="G48" s="81">
        <v>527795</v>
      </c>
      <c r="H48" s="81">
        <v>171699</v>
      </c>
      <c r="I48" s="165" t="s">
        <v>253</v>
      </c>
      <c r="J48" s="349">
        <v>42963</v>
      </c>
      <c r="K48" s="349">
        <v>43080</v>
      </c>
      <c r="L48" s="166">
        <v>0</v>
      </c>
      <c r="M48" s="166">
        <v>1</v>
      </c>
      <c r="N48" s="166">
        <v>1</v>
      </c>
      <c r="O48" s="166">
        <v>1</v>
      </c>
      <c r="P48" s="166">
        <v>1</v>
      </c>
      <c r="R48" s="165" t="s">
        <v>318</v>
      </c>
      <c r="S48" s="81" t="s">
        <v>113</v>
      </c>
      <c r="T48" s="349">
        <v>41823</v>
      </c>
      <c r="U48" s="349">
        <v>41893</v>
      </c>
      <c r="W48" s="81" t="s">
        <v>114</v>
      </c>
      <c r="Y48" s="81" t="s">
        <v>115</v>
      </c>
      <c r="Z48" s="81" t="s">
        <v>310</v>
      </c>
      <c r="AA48" s="81" t="s">
        <v>117</v>
      </c>
      <c r="AB48" s="81" t="s">
        <v>311</v>
      </c>
      <c r="AC48" s="166">
        <v>4.0000001899898104E-3</v>
      </c>
      <c r="AD48" s="349">
        <v>42963</v>
      </c>
      <c r="AE48" s="81" t="s">
        <v>155</v>
      </c>
      <c r="AF48" s="349">
        <v>43080</v>
      </c>
      <c r="AG48" s="81" t="s">
        <v>238</v>
      </c>
      <c r="AH48" s="81" t="s">
        <v>118</v>
      </c>
      <c r="AK48" s="166">
        <v>0</v>
      </c>
      <c r="AM48" s="166">
        <v>0</v>
      </c>
      <c r="AO48" s="166">
        <v>0</v>
      </c>
      <c r="AP48" s="166">
        <v>1</v>
      </c>
      <c r="AQ48" s="166">
        <v>0</v>
      </c>
      <c r="AR48" s="166">
        <v>0</v>
      </c>
      <c r="AS48" s="166">
        <v>0</v>
      </c>
      <c r="AT48" s="166">
        <v>0</v>
      </c>
      <c r="AU48" s="166">
        <v>0</v>
      </c>
      <c r="AV48" s="166">
        <v>0</v>
      </c>
      <c r="AW48" s="166">
        <v>0</v>
      </c>
      <c r="AX48" s="166">
        <v>0</v>
      </c>
      <c r="AY48" s="166">
        <v>0</v>
      </c>
      <c r="AZ48" s="166">
        <v>0</v>
      </c>
      <c r="BA48" s="166">
        <v>0</v>
      </c>
      <c r="BB48" s="166">
        <v>0</v>
      </c>
      <c r="BC48" s="166">
        <v>0</v>
      </c>
      <c r="BD48" s="166">
        <v>1</v>
      </c>
      <c r="BE48" s="166">
        <v>0</v>
      </c>
      <c r="BF48" s="166">
        <v>0</v>
      </c>
      <c r="BG48" s="166">
        <v>0</v>
      </c>
      <c r="BH48" s="166">
        <v>0</v>
      </c>
      <c r="BI48" s="166">
        <v>0</v>
      </c>
      <c r="BJ48" s="166">
        <v>0</v>
      </c>
      <c r="BK48" s="166">
        <v>0</v>
      </c>
      <c r="BL48" s="166">
        <v>0</v>
      </c>
      <c r="BM48" s="166">
        <v>0</v>
      </c>
      <c r="BN48" s="166">
        <v>0</v>
      </c>
      <c r="BO48" s="166">
        <v>0</v>
      </c>
      <c r="BP48" s="166">
        <v>0</v>
      </c>
      <c r="BQ48" s="81" t="s">
        <v>1757</v>
      </c>
      <c r="BZ48" s="81" t="s">
        <v>155</v>
      </c>
      <c r="CA48" s="81">
        <v>7</v>
      </c>
      <c r="CC48" s="167">
        <f>N48</f>
        <v>1</v>
      </c>
      <c r="CD48" s="167">
        <v>0</v>
      </c>
      <c r="CE48" s="167">
        <v>0</v>
      </c>
      <c r="CF48" s="167">
        <v>0</v>
      </c>
      <c r="CG48" s="167">
        <v>0</v>
      </c>
      <c r="CH48" s="167">
        <v>0</v>
      </c>
      <c r="CI48" s="167">
        <v>0</v>
      </c>
      <c r="CJ48" s="167">
        <v>0</v>
      </c>
      <c r="CK48" s="167">
        <v>0</v>
      </c>
      <c r="CL48" s="167">
        <v>0</v>
      </c>
      <c r="CM48" s="167">
        <v>0</v>
      </c>
      <c r="CN48" s="167">
        <v>0</v>
      </c>
      <c r="CO48" s="167">
        <v>0</v>
      </c>
      <c r="CP48" s="167">
        <v>0</v>
      </c>
      <c r="CQ48" s="167">
        <v>0</v>
      </c>
      <c r="CR48" s="167">
        <v>0</v>
      </c>
      <c r="CS48" s="167">
        <v>0</v>
      </c>
      <c r="CT48" s="167">
        <v>0</v>
      </c>
      <c r="CU48" s="167">
        <v>0</v>
      </c>
      <c r="CV48" s="167">
        <v>0</v>
      </c>
      <c r="CW48" s="167">
        <v>0</v>
      </c>
      <c r="CX48" s="167">
        <f>SUM(CD48:CH48)</f>
        <v>0</v>
      </c>
      <c r="CY48" s="167">
        <f>SUM(CD48:CM48)</f>
        <v>0</v>
      </c>
    </row>
    <row r="49" spans="1:103" ht="12.75" customHeight="1" x14ac:dyDescent="0.2">
      <c r="A49" s="81">
        <v>3743</v>
      </c>
      <c r="B49" s="165" t="s">
        <v>1924</v>
      </c>
      <c r="C49" s="165" t="s">
        <v>997</v>
      </c>
      <c r="E49" s="165" t="s">
        <v>3101</v>
      </c>
      <c r="G49" s="81">
        <v>529002</v>
      </c>
      <c r="H49" s="81">
        <v>173313</v>
      </c>
      <c r="I49" s="165" t="s">
        <v>247</v>
      </c>
      <c r="J49" s="349">
        <v>42810</v>
      </c>
      <c r="K49" s="349">
        <v>42915</v>
      </c>
      <c r="L49" s="166">
        <v>1</v>
      </c>
      <c r="M49" s="166">
        <v>1</v>
      </c>
      <c r="N49" s="166">
        <v>0</v>
      </c>
      <c r="O49" s="166">
        <v>1</v>
      </c>
      <c r="P49" s="166">
        <v>0</v>
      </c>
      <c r="R49" s="165" t="s">
        <v>998</v>
      </c>
      <c r="S49" s="81" t="s">
        <v>113</v>
      </c>
      <c r="T49" s="349">
        <v>42507</v>
      </c>
      <c r="U49" s="349">
        <v>42563</v>
      </c>
      <c r="W49" s="81" t="s">
        <v>114</v>
      </c>
      <c r="Y49" s="81" t="s">
        <v>115</v>
      </c>
      <c r="Z49" s="81" t="s">
        <v>398</v>
      </c>
      <c r="AA49" s="81" t="s">
        <v>117</v>
      </c>
      <c r="AB49" s="81" t="s">
        <v>336</v>
      </c>
      <c r="AC49" s="166">
        <v>9.9999997764825804E-3</v>
      </c>
      <c r="AD49" s="349">
        <v>42810</v>
      </c>
      <c r="AF49" s="349">
        <v>42915</v>
      </c>
      <c r="AG49" s="81" t="s">
        <v>238</v>
      </c>
      <c r="AH49" s="81" t="s">
        <v>118</v>
      </c>
      <c r="AK49" s="166">
        <v>0</v>
      </c>
      <c r="AM49" s="166">
        <v>0</v>
      </c>
      <c r="AO49" s="166">
        <v>0</v>
      </c>
      <c r="AP49" s="166">
        <v>0</v>
      </c>
      <c r="AQ49" s="166">
        <v>0</v>
      </c>
      <c r="AR49" s="166">
        <v>0</v>
      </c>
      <c r="AS49" s="166">
        <v>-1</v>
      </c>
      <c r="AT49" s="166">
        <v>1</v>
      </c>
      <c r="AU49" s="166">
        <v>0</v>
      </c>
      <c r="AV49" s="166">
        <v>0</v>
      </c>
      <c r="AW49" s="166">
        <v>0</v>
      </c>
      <c r="AX49" s="166">
        <v>0</v>
      </c>
      <c r="AY49" s="166">
        <v>0</v>
      </c>
      <c r="AZ49" s="166">
        <v>-1</v>
      </c>
      <c r="BA49" s="166">
        <v>0</v>
      </c>
      <c r="BB49" s="166">
        <v>0</v>
      </c>
      <c r="BC49" s="166">
        <v>0</v>
      </c>
      <c r="BD49" s="166">
        <v>0</v>
      </c>
      <c r="BE49" s="166">
        <v>0</v>
      </c>
      <c r="BF49" s="166">
        <v>0</v>
      </c>
      <c r="BG49" s="166">
        <v>0</v>
      </c>
      <c r="BH49" s="166">
        <v>1</v>
      </c>
      <c r="BI49" s="166">
        <v>0</v>
      </c>
      <c r="BJ49" s="166">
        <v>0</v>
      </c>
      <c r="BK49" s="166">
        <v>0</v>
      </c>
      <c r="BL49" s="166">
        <v>0</v>
      </c>
      <c r="BM49" s="166">
        <v>0</v>
      </c>
      <c r="BN49" s="166">
        <v>0</v>
      </c>
      <c r="BO49" s="166">
        <v>0</v>
      </c>
      <c r="BP49" s="166">
        <v>0</v>
      </c>
      <c r="BQ49" s="81" t="s">
        <v>1757</v>
      </c>
      <c r="BZ49" s="81" t="s">
        <v>155</v>
      </c>
      <c r="CA49" s="81">
        <v>7</v>
      </c>
      <c r="CC49" s="167">
        <f>N49</f>
        <v>0</v>
      </c>
      <c r="CD49" s="167">
        <v>0</v>
      </c>
      <c r="CE49" s="167">
        <v>0</v>
      </c>
      <c r="CF49" s="167">
        <v>0</v>
      </c>
      <c r="CG49" s="167">
        <v>0</v>
      </c>
      <c r="CH49" s="167">
        <v>0</v>
      </c>
      <c r="CI49" s="167">
        <v>0</v>
      </c>
      <c r="CJ49" s="167">
        <v>0</v>
      </c>
      <c r="CK49" s="167">
        <v>0</v>
      </c>
      <c r="CL49" s="167">
        <v>0</v>
      </c>
      <c r="CM49" s="167">
        <v>0</v>
      </c>
      <c r="CN49" s="167">
        <v>0</v>
      </c>
      <c r="CO49" s="167">
        <v>0</v>
      </c>
      <c r="CP49" s="167">
        <v>0</v>
      </c>
      <c r="CQ49" s="167">
        <v>0</v>
      </c>
      <c r="CR49" s="167">
        <v>0</v>
      </c>
      <c r="CS49" s="167">
        <v>0</v>
      </c>
      <c r="CT49" s="167">
        <v>0</v>
      </c>
      <c r="CU49" s="167">
        <v>0</v>
      </c>
      <c r="CV49" s="167">
        <v>0</v>
      </c>
      <c r="CW49" s="167">
        <v>0</v>
      </c>
      <c r="CX49" s="167">
        <f>SUM(CD49:CH49)</f>
        <v>0</v>
      </c>
      <c r="CY49" s="167">
        <f>SUM(CD49:CM49)</f>
        <v>0</v>
      </c>
    </row>
    <row r="50" spans="1:103" ht="12.75" customHeight="1" x14ac:dyDescent="0.2">
      <c r="A50" s="81">
        <v>3845</v>
      </c>
      <c r="B50" s="165" t="s">
        <v>1924</v>
      </c>
      <c r="C50" s="165" t="s">
        <v>1009</v>
      </c>
      <c r="E50" s="165" t="s">
        <v>3102</v>
      </c>
      <c r="G50" s="81">
        <v>528714</v>
      </c>
      <c r="H50" s="81">
        <v>173055</v>
      </c>
      <c r="I50" s="165" t="s">
        <v>254</v>
      </c>
      <c r="J50" s="349">
        <v>42677</v>
      </c>
      <c r="K50" s="349">
        <v>42943</v>
      </c>
      <c r="L50" s="166">
        <v>0</v>
      </c>
      <c r="M50" s="166">
        <v>1</v>
      </c>
      <c r="N50" s="166">
        <v>1</v>
      </c>
      <c r="O50" s="166">
        <v>1</v>
      </c>
      <c r="P50" s="166">
        <v>1</v>
      </c>
      <c r="R50" s="165" t="s">
        <v>1010</v>
      </c>
      <c r="S50" s="81" t="s">
        <v>113</v>
      </c>
      <c r="T50" s="349">
        <v>42509</v>
      </c>
      <c r="U50" s="349">
        <v>42600</v>
      </c>
      <c r="W50" s="81" t="s">
        <v>114</v>
      </c>
      <c r="Y50" s="81" t="s">
        <v>115</v>
      </c>
      <c r="Z50" s="81" t="s">
        <v>398</v>
      </c>
      <c r="AA50" s="81" t="s">
        <v>117</v>
      </c>
      <c r="AB50" s="81" t="s">
        <v>102</v>
      </c>
      <c r="AC50" s="166">
        <v>4.0000001899898104E-3</v>
      </c>
      <c r="AD50" s="349">
        <v>42677</v>
      </c>
      <c r="AF50" s="349">
        <v>42943</v>
      </c>
      <c r="AG50" s="81" t="s">
        <v>238</v>
      </c>
      <c r="AH50" s="81" t="s">
        <v>118</v>
      </c>
      <c r="AK50" s="166">
        <v>0</v>
      </c>
      <c r="AM50" s="166">
        <v>0</v>
      </c>
      <c r="AO50" s="166">
        <v>0</v>
      </c>
      <c r="AP50" s="166">
        <v>0</v>
      </c>
      <c r="AQ50" s="166">
        <v>1</v>
      </c>
      <c r="AR50" s="166">
        <v>0</v>
      </c>
      <c r="AS50" s="166">
        <v>0</v>
      </c>
      <c r="AT50" s="166">
        <v>0</v>
      </c>
      <c r="AU50" s="166">
        <v>0</v>
      </c>
      <c r="AV50" s="166">
        <v>0</v>
      </c>
      <c r="AW50" s="166">
        <v>0</v>
      </c>
      <c r="AX50" s="166">
        <v>1</v>
      </c>
      <c r="AY50" s="166">
        <v>0</v>
      </c>
      <c r="AZ50" s="166">
        <v>0</v>
      </c>
      <c r="BA50" s="166">
        <v>0</v>
      </c>
      <c r="BB50" s="166">
        <v>0</v>
      </c>
      <c r="BC50" s="166">
        <v>0</v>
      </c>
      <c r="BD50" s="166">
        <v>0</v>
      </c>
      <c r="BE50" s="166">
        <v>0</v>
      </c>
      <c r="BF50" s="166">
        <v>0</v>
      </c>
      <c r="BG50" s="166">
        <v>0</v>
      </c>
      <c r="BH50" s="166">
        <v>0</v>
      </c>
      <c r="BI50" s="166">
        <v>0</v>
      </c>
      <c r="BJ50" s="166">
        <v>0</v>
      </c>
      <c r="BK50" s="166">
        <v>0</v>
      </c>
      <c r="BL50" s="166">
        <v>0</v>
      </c>
      <c r="BM50" s="166">
        <v>0</v>
      </c>
      <c r="BN50" s="166">
        <v>0</v>
      </c>
      <c r="BO50" s="166">
        <v>0</v>
      </c>
      <c r="BP50" s="166">
        <v>0</v>
      </c>
      <c r="BQ50" s="81" t="s">
        <v>1757</v>
      </c>
      <c r="BZ50" s="81" t="s">
        <v>155</v>
      </c>
      <c r="CA50" s="81">
        <v>7</v>
      </c>
      <c r="CC50" s="167">
        <f>N50</f>
        <v>1</v>
      </c>
      <c r="CD50" s="167">
        <v>0</v>
      </c>
      <c r="CE50" s="167">
        <v>0</v>
      </c>
      <c r="CF50" s="167">
        <v>0</v>
      </c>
      <c r="CG50" s="167">
        <v>0</v>
      </c>
      <c r="CH50" s="167">
        <v>0</v>
      </c>
      <c r="CI50" s="167">
        <v>0</v>
      </c>
      <c r="CJ50" s="167">
        <v>0</v>
      </c>
      <c r="CK50" s="167">
        <v>0</v>
      </c>
      <c r="CL50" s="167">
        <v>0</v>
      </c>
      <c r="CM50" s="167">
        <v>0</v>
      </c>
      <c r="CN50" s="167">
        <v>0</v>
      </c>
      <c r="CO50" s="167">
        <v>0</v>
      </c>
      <c r="CP50" s="167">
        <v>0</v>
      </c>
      <c r="CQ50" s="167">
        <v>0</v>
      </c>
      <c r="CR50" s="167">
        <v>0</v>
      </c>
      <c r="CS50" s="167">
        <v>0</v>
      </c>
      <c r="CT50" s="167">
        <v>0</v>
      </c>
      <c r="CU50" s="167">
        <v>0</v>
      </c>
      <c r="CV50" s="167">
        <v>0</v>
      </c>
      <c r="CW50" s="167">
        <v>0</v>
      </c>
      <c r="CX50" s="167">
        <f>SUM(CD50:CH50)</f>
        <v>0</v>
      </c>
      <c r="CY50" s="167">
        <f>SUM(CD50:CM50)</f>
        <v>0</v>
      </c>
    </row>
    <row r="51" spans="1:103" ht="12.75" customHeight="1" x14ac:dyDescent="0.2">
      <c r="A51" s="81">
        <v>3944</v>
      </c>
      <c r="B51" s="165" t="s">
        <v>1924</v>
      </c>
      <c r="C51" s="165" t="s">
        <v>1045</v>
      </c>
      <c r="D51" s="165" t="s">
        <v>512</v>
      </c>
      <c r="E51" s="165" t="s">
        <v>3091</v>
      </c>
      <c r="F51" s="165" t="s">
        <v>3941</v>
      </c>
      <c r="G51" s="81">
        <v>529725</v>
      </c>
      <c r="H51" s="81">
        <v>177404</v>
      </c>
      <c r="I51" s="165" t="s">
        <v>240</v>
      </c>
      <c r="J51" s="349">
        <v>42095</v>
      </c>
      <c r="L51" s="166">
        <v>0</v>
      </c>
      <c r="M51" s="166">
        <v>114</v>
      </c>
      <c r="N51" s="166">
        <v>114</v>
      </c>
      <c r="O51" s="166">
        <v>514</v>
      </c>
      <c r="P51" s="166">
        <v>514</v>
      </c>
      <c r="Q51" s="81" t="s">
        <v>155</v>
      </c>
      <c r="R51" s="165" t="s">
        <v>1046</v>
      </c>
      <c r="S51" s="81" t="s">
        <v>509</v>
      </c>
      <c r="T51" s="165">
        <v>42669</v>
      </c>
      <c r="U51" s="350">
        <v>42810</v>
      </c>
      <c r="V51" s="349"/>
      <c r="W51" s="349" t="s">
        <v>114</v>
      </c>
      <c r="Y51" s="81" t="s">
        <v>115</v>
      </c>
      <c r="Z51" s="81" t="s">
        <v>116</v>
      </c>
      <c r="AA51" s="81" t="s">
        <v>116</v>
      </c>
      <c r="AB51" s="81" t="s">
        <v>117</v>
      </c>
      <c r="AC51" s="81">
        <v>0.19099999964237199</v>
      </c>
      <c r="AD51" s="81">
        <v>42095</v>
      </c>
      <c r="AE51" s="351"/>
      <c r="AF51" s="349">
        <v>42978</v>
      </c>
      <c r="AG51" s="81" t="s">
        <v>238</v>
      </c>
      <c r="AH51" s="81" t="s">
        <v>1815</v>
      </c>
      <c r="AI51" s="81" t="s">
        <v>3092</v>
      </c>
      <c r="AK51" s="81">
        <v>0</v>
      </c>
      <c r="AL51" s="81"/>
      <c r="AM51" s="166">
        <v>0</v>
      </c>
      <c r="AO51" s="166">
        <v>0</v>
      </c>
      <c r="AP51" s="166">
        <v>52</v>
      </c>
      <c r="AQ51" s="166">
        <v>56</v>
      </c>
      <c r="AR51" s="166">
        <v>6</v>
      </c>
      <c r="AS51" s="166">
        <v>0</v>
      </c>
      <c r="AT51" s="166">
        <v>0</v>
      </c>
      <c r="AU51" s="166">
        <v>0</v>
      </c>
      <c r="AV51" s="166">
        <v>0</v>
      </c>
      <c r="AW51" s="166">
        <v>52</v>
      </c>
      <c r="AX51" s="166">
        <v>56</v>
      </c>
      <c r="AY51" s="166">
        <v>6</v>
      </c>
      <c r="AZ51" s="166">
        <v>0</v>
      </c>
      <c r="BA51" s="166">
        <v>0</v>
      </c>
      <c r="BB51" s="166">
        <v>0</v>
      </c>
      <c r="BC51" s="166">
        <v>0</v>
      </c>
      <c r="BD51" s="166">
        <v>0</v>
      </c>
      <c r="BE51" s="166">
        <v>0</v>
      </c>
      <c r="BF51" s="166">
        <v>0</v>
      </c>
      <c r="BG51" s="166">
        <v>0</v>
      </c>
      <c r="BH51" s="166">
        <v>0</v>
      </c>
      <c r="BI51" s="166">
        <v>0</v>
      </c>
      <c r="BJ51" s="166">
        <v>0</v>
      </c>
      <c r="BK51" s="166">
        <v>0</v>
      </c>
      <c r="BL51" s="166">
        <v>0</v>
      </c>
      <c r="BM51" s="166">
        <v>0</v>
      </c>
      <c r="BN51" s="166">
        <v>0</v>
      </c>
      <c r="BO51" s="166">
        <v>0</v>
      </c>
      <c r="BP51" s="166">
        <v>0</v>
      </c>
      <c r="BQ51" s="81" t="s">
        <v>1759</v>
      </c>
      <c r="BS51" s="81" t="s">
        <v>155</v>
      </c>
      <c r="BZ51" s="81" t="s">
        <v>155</v>
      </c>
      <c r="CA51" s="81">
        <v>1</v>
      </c>
      <c r="CC51" s="167">
        <f>N51</f>
        <v>114</v>
      </c>
      <c r="CD51" s="167">
        <v>0</v>
      </c>
      <c r="CE51" s="167">
        <v>0</v>
      </c>
      <c r="CF51" s="167">
        <v>0</v>
      </c>
      <c r="CG51" s="167">
        <v>0</v>
      </c>
      <c r="CH51" s="167">
        <v>0</v>
      </c>
      <c r="CI51" s="167">
        <v>0</v>
      </c>
      <c r="CJ51" s="167">
        <v>0</v>
      </c>
      <c r="CK51" s="167">
        <v>0</v>
      </c>
      <c r="CL51" s="167">
        <v>0</v>
      </c>
      <c r="CM51" s="167">
        <v>0</v>
      </c>
      <c r="CN51" s="167">
        <v>0</v>
      </c>
      <c r="CO51" s="167">
        <v>0</v>
      </c>
      <c r="CP51" s="167">
        <v>0</v>
      </c>
      <c r="CQ51" s="167">
        <v>0</v>
      </c>
      <c r="CR51" s="167">
        <v>0</v>
      </c>
      <c r="CS51" s="167">
        <v>0</v>
      </c>
      <c r="CT51" s="167">
        <v>0</v>
      </c>
      <c r="CU51" s="167">
        <v>0</v>
      </c>
      <c r="CV51" s="167">
        <v>0</v>
      </c>
      <c r="CW51" s="167">
        <v>0</v>
      </c>
      <c r="CX51" s="167">
        <f>SUM(CD51:CH51)</f>
        <v>0</v>
      </c>
      <c r="CY51" s="167">
        <f>SUM(CD51:CM51)</f>
        <v>0</v>
      </c>
    </row>
    <row r="52" spans="1:103" ht="12.75" customHeight="1" x14ac:dyDescent="0.2">
      <c r="A52" s="81">
        <v>3944</v>
      </c>
      <c r="B52" s="165" t="s">
        <v>1924</v>
      </c>
      <c r="C52" s="165" t="s">
        <v>1045</v>
      </c>
      <c r="D52" s="165" t="s">
        <v>512</v>
      </c>
      <c r="E52" s="165" t="s">
        <v>3091</v>
      </c>
      <c r="F52" s="165" t="s">
        <v>3941</v>
      </c>
      <c r="G52" s="81">
        <v>529725</v>
      </c>
      <c r="H52" s="81">
        <v>177404</v>
      </c>
      <c r="I52" s="165" t="s">
        <v>240</v>
      </c>
      <c r="J52" s="349">
        <v>42095</v>
      </c>
      <c r="L52" s="166">
        <v>0</v>
      </c>
      <c r="M52" s="166">
        <v>44</v>
      </c>
      <c r="N52" s="166">
        <v>44</v>
      </c>
      <c r="O52" s="166">
        <v>514</v>
      </c>
      <c r="P52" s="166">
        <v>514</v>
      </c>
      <c r="Q52" s="81" t="s">
        <v>155</v>
      </c>
      <c r="R52" s="165" t="s">
        <v>1046</v>
      </c>
      <c r="S52" s="81" t="s">
        <v>509</v>
      </c>
      <c r="T52" s="165">
        <v>42669</v>
      </c>
      <c r="U52" s="350">
        <v>42810</v>
      </c>
      <c r="V52" s="349"/>
      <c r="W52" s="349" t="s">
        <v>114</v>
      </c>
      <c r="Y52" s="81" t="s">
        <v>115</v>
      </c>
      <c r="Z52" s="81" t="s">
        <v>116</v>
      </c>
      <c r="AA52" s="81" t="s">
        <v>116</v>
      </c>
      <c r="AB52" s="81" t="s">
        <v>117</v>
      </c>
      <c r="AC52" s="81">
        <v>7.4000000953674303E-2</v>
      </c>
      <c r="AD52" s="81">
        <v>42095</v>
      </c>
      <c r="AE52" s="351"/>
      <c r="AF52" s="349">
        <v>42978</v>
      </c>
      <c r="AG52" s="81" t="s">
        <v>154</v>
      </c>
      <c r="AH52" s="81" t="s">
        <v>276</v>
      </c>
      <c r="AI52" s="81" t="s">
        <v>3092</v>
      </c>
      <c r="AK52" s="81">
        <v>0</v>
      </c>
      <c r="AL52" s="81"/>
      <c r="AM52" s="166">
        <v>0</v>
      </c>
      <c r="AO52" s="166">
        <v>0</v>
      </c>
      <c r="AP52" s="166">
        <v>7</v>
      </c>
      <c r="AQ52" s="166">
        <v>18</v>
      </c>
      <c r="AR52" s="166">
        <v>16</v>
      </c>
      <c r="AS52" s="166">
        <v>3</v>
      </c>
      <c r="AT52" s="166">
        <v>0</v>
      </c>
      <c r="AU52" s="166">
        <v>0</v>
      </c>
      <c r="AV52" s="166">
        <v>0</v>
      </c>
      <c r="AW52" s="166">
        <v>7</v>
      </c>
      <c r="AX52" s="166">
        <v>18</v>
      </c>
      <c r="AY52" s="166">
        <v>16</v>
      </c>
      <c r="AZ52" s="166">
        <v>3</v>
      </c>
      <c r="BA52" s="166">
        <v>0</v>
      </c>
      <c r="BB52" s="166">
        <v>0</v>
      </c>
      <c r="BC52" s="166">
        <v>0</v>
      </c>
      <c r="BD52" s="166">
        <v>0</v>
      </c>
      <c r="BE52" s="166">
        <v>0</v>
      </c>
      <c r="BF52" s="166">
        <v>0</v>
      </c>
      <c r="BG52" s="166">
        <v>0</v>
      </c>
      <c r="BH52" s="166">
        <v>0</v>
      </c>
      <c r="BI52" s="166">
        <v>0</v>
      </c>
      <c r="BJ52" s="166">
        <v>0</v>
      </c>
      <c r="BK52" s="166">
        <v>0</v>
      </c>
      <c r="BL52" s="166">
        <v>0</v>
      </c>
      <c r="BM52" s="166">
        <v>0</v>
      </c>
      <c r="BN52" s="166">
        <v>0</v>
      </c>
      <c r="BO52" s="166">
        <v>0</v>
      </c>
      <c r="BP52" s="166">
        <v>0</v>
      </c>
      <c r="BQ52" s="81" t="s">
        <v>1759</v>
      </c>
      <c r="BS52" s="81" t="s">
        <v>155</v>
      </c>
      <c r="BZ52" s="81" t="s">
        <v>155</v>
      </c>
      <c r="CA52" s="81">
        <v>1</v>
      </c>
      <c r="CC52" s="167">
        <f>N52</f>
        <v>44</v>
      </c>
      <c r="CD52" s="167">
        <v>0</v>
      </c>
      <c r="CE52" s="167">
        <v>0</v>
      </c>
      <c r="CF52" s="167">
        <v>0</v>
      </c>
      <c r="CG52" s="167">
        <v>0</v>
      </c>
      <c r="CH52" s="167">
        <v>0</v>
      </c>
      <c r="CI52" s="167">
        <v>0</v>
      </c>
      <c r="CJ52" s="167">
        <v>0</v>
      </c>
      <c r="CK52" s="167">
        <v>0</v>
      </c>
      <c r="CL52" s="167">
        <v>0</v>
      </c>
      <c r="CM52" s="167">
        <v>0</v>
      </c>
      <c r="CN52" s="167">
        <v>0</v>
      </c>
      <c r="CO52" s="167">
        <v>0</v>
      </c>
      <c r="CP52" s="167">
        <v>0</v>
      </c>
      <c r="CQ52" s="167">
        <v>0</v>
      </c>
      <c r="CR52" s="167">
        <v>0</v>
      </c>
      <c r="CS52" s="167">
        <v>0</v>
      </c>
      <c r="CT52" s="167">
        <v>0</v>
      </c>
      <c r="CU52" s="167">
        <v>0</v>
      </c>
      <c r="CV52" s="167">
        <v>0</v>
      </c>
      <c r="CW52" s="167">
        <v>0</v>
      </c>
      <c r="CX52" s="167">
        <f>SUM(CD52:CH52)</f>
        <v>0</v>
      </c>
      <c r="CY52" s="167">
        <f>SUM(CD52:CM52)</f>
        <v>0</v>
      </c>
    </row>
    <row r="53" spans="1:103" ht="12.75" customHeight="1" x14ac:dyDescent="0.2">
      <c r="A53" s="81">
        <v>3944</v>
      </c>
      <c r="B53" s="165" t="s">
        <v>1924</v>
      </c>
      <c r="C53" s="165" t="s">
        <v>1045</v>
      </c>
      <c r="D53" s="165" t="s">
        <v>512</v>
      </c>
      <c r="E53" s="165" t="s">
        <v>3091</v>
      </c>
      <c r="F53" s="165" t="s">
        <v>3941</v>
      </c>
      <c r="G53" s="81">
        <v>529725</v>
      </c>
      <c r="H53" s="81">
        <v>177404</v>
      </c>
      <c r="I53" s="165" t="s">
        <v>240</v>
      </c>
      <c r="J53" s="349">
        <v>42095</v>
      </c>
      <c r="L53" s="166">
        <v>0</v>
      </c>
      <c r="M53" s="166">
        <v>32</v>
      </c>
      <c r="N53" s="166">
        <v>32</v>
      </c>
      <c r="O53" s="166">
        <v>514</v>
      </c>
      <c r="P53" s="166">
        <v>514</v>
      </c>
      <c r="Q53" s="81" t="s">
        <v>155</v>
      </c>
      <c r="R53" s="165" t="s">
        <v>1046</v>
      </c>
      <c r="S53" s="81" t="s">
        <v>509</v>
      </c>
      <c r="T53" s="165">
        <v>42669</v>
      </c>
      <c r="U53" s="350">
        <v>42810</v>
      </c>
      <c r="V53" s="349"/>
      <c r="W53" s="349" t="s">
        <v>114</v>
      </c>
      <c r="Y53" s="81" t="s">
        <v>115</v>
      </c>
      <c r="Z53" s="81" t="s">
        <v>116</v>
      </c>
      <c r="AA53" s="81" t="s">
        <v>116</v>
      </c>
      <c r="AB53" s="81" t="s">
        <v>117</v>
      </c>
      <c r="AC53" s="81">
        <v>5.4000001400709201E-2</v>
      </c>
      <c r="AD53" s="81">
        <v>42095</v>
      </c>
      <c r="AE53" s="351"/>
      <c r="AF53" s="349">
        <v>42978</v>
      </c>
      <c r="AG53" s="81" t="s">
        <v>74</v>
      </c>
      <c r="AH53" s="81" t="s">
        <v>880</v>
      </c>
      <c r="AI53" s="81" t="s">
        <v>3092</v>
      </c>
      <c r="AK53" s="81">
        <v>0</v>
      </c>
      <c r="AL53" s="81"/>
      <c r="AM53" s="166">
        <v>0</v>
      </c>
      <c r="AO53" s="166">
        <v>0</v>
      </c>
      <c r="AP53" s="166">
        <v>18</v>
      </c>
      <c r="AQ53" s="166">
        <v>14</v>
      </c>
      <c r="AR53" s="166">
        <v>0</v>
      </c>
      <c r="AS53" s="166">
        <v>0</v>
      </c>
      <c r="AT53" s="166">
        <v>0</v>
      </c>
      <c r="AU53" s="166">
        <v>0</v>
      </c>
      <c r="AV53" s="166">
        <v>0</v>
      </c>
      <c r="AW53" s="166">
        <v>18</v>
      </c>
      <c r="AX53" s="166">
        <v>14</v>
      </c>
      <c r="AY53" s="166">
        <v>0</v>
      </c>
      <c r="AZ53" s="166">
        <v>0</v>
      </c>
      <c r="BA53" s="166">
        <v>0</v>
      </c>
      <c r="BB53" s="166">
        <v>0</v>
      </c>
      <c r="BC53" s="166">
        <v>0</v>
      </c>
      <c r="BD53" s="166">
        <v>0</v>
      </c>
      <c r="BE53" s="166">
        <v>0</v>
      </c>
      <c r="BF53" s="166">
        <v>0</v>
      </c>
      <c r="BG53" s="166">
        <v>0</v>
      </c>
      <c r="BH53" s="166">
        <v>0</v>
      </c>
      <c r="BI53" s="166">
        <v>0</v>
      </c>
      <c r="BJ53" s="166">
        <v>0</v>
      </c>
      <c r="BK53" s="166">
        <v>0</v>
      </c>
      <c r="BL53" s="166">
        <v>0</v>
      </c>
      <c r="BM53" s="166">
        <v>0</v>
      </c>
      <c r="BN53" s="166">
        <v>0</v>
      </c>
      <c r="BO53" s="166">
        <v>0</v>
      </c>
      <c r="BP53" s="166">
        <v>0</v>
      </c>
      <c r="BQ53" s="81" t="s">
        <v>1759</v>
      </c>
      <c r="BS53" s="81" t="s">
        <v>155</v>
      </c>
      <c r="BZ53" s="81" t="s">
        <v>155</v>
      </c>
      <c r="CA53" s="81">
        <v>1</v>
      </c>
      <c r="CC53" s="167">
        <f>N53</f>
        <v>32</v>
      </c>
      <c r="CD53" s="167">
        <v>0</v>
      </c>
      <c r="CE53" s="167">
        <v>0</v>
      </c>
      <c r="CF53" s="167">
        <v>0</v>
      </c>
      <c r="CG53" s="167">
        <v>0</v>
      </c>
      <c r="CH53" s="167">
        <v>0</v>
      </c>
      <c r="CI53" s="167">
        <v>0</v>
      </c>
      <c r="CJ53" s="167">
        <v>0</v>
      </c>
      <c r="CK53" s="167">
        <v>0</v>
      </c>
      <c r="CL53" s="167">
        <v>0</v>
      </c>
      <c r="CM53" s="167">
        <v>0</v>
      </c>
      <c r="CN53" s="167">
        <v>0</v>
      </c>
      <c r="CO53" s="167">
        <v>0</v>
      </c>
      <c r="CP53" s="167">
        <v>0</v>
      </c>
      <c r="CQ53" s="167">
        <v>0</v>
      </c>
      <c r="CR53" s="167">
        <v>0</v>
      </c>
      <c r="CS53" s="167">
        <v>0</v>
      </c>
      <c r="CT53" s="167">
        <v>0</v>
      </c>
      <c r="CU53" s="167">
        <v>0</v>
      </c>
      <c r="CV53" s="167">
        <v>0</v>
      </c>
      <c r="CW53" s="167">
        <v>0</v>
      </c>
      <c r="CX53" s="167">
        <f>SUM(CD53:CH53)</f>
        <v>0</v>
      </c>
      <c r="CY53" s="167">
        <f>SUM(CD53:CM53)</f>
        <v>0</v>
      </c>
    </row>
    <row r="54" spans="1:103" ht="12.75" customHeight="1" x14ac:dyDescent="0.2">
      <c r="A54" s="81">
        <v>4043</v>
      </c>
      <c r="B54" s="165" t="s">
        <v>1924</v>
      </c>
      <c r="C54" s="165" t="s">
        <v>1594</v>
      </c>
      <c r="E54" s="165" t="s">
        <v>3103</v>
      </c>
      <c r="G54" s="81">
        <v>527663</v>
      </c>
      <c r="H54" s="81">
        <v>174334</v>
      </c>
      <c r="I54" s="165" t="s">
        <v>255</v>
      </c>
      <c r="J54" s="349">
        <v>42936</v>
      </c>
      <c r="K54" s="349">
        <v>43185</v>
      </c>
      <c r="L54" s="166">
        <v>0</v>
      </c>
      <c r="M54" s="166">
        <v>1</v>
      </c>
      <c r="N54" s="166">
        <v>1</v>
      </c>
      <c r="O54" s="166">
        <v>1</v>
      </c>
      <c r="P54" s="166">
        <v>1</v>
      </c>
      <c r="R54" s="165" t="s">
        <v>1595</v>
      </c>
      <c r="S54" s="81" t="s">
        <v>110</v>
      </c>
      <c r="T54" s="349">
        <v>42780</v>
      </c>
      <c r="U54" s="349">
        <v>42836</v>
      </c>
      <c r="V54" s="81" t="s">
        <v>155</v>
      </c>
      <c r="W54" s="81" t="s">
        <v>114</v>
      </c>
      <c r="Y54" s="81" t="s">
        <v>115</v>
      </c>
      <c r="Z54" s="81" t="s">
        <v>310</v>
      </c>
      <c r="AA54" s="81" t="s">
        <v>117</v>
      </c>
      <c r="AB54" s="81" t="s">
        <v>102</v>
      </c>
      <c r="AC54" s="166">
        <v>8.0000003799796104E-3</v>
      </c>
      <c r="AD54" s="349">
        <v>42936</v>
      </c>
      <c r="AE54" s="81" t="s">
        <v>155</v>
      </c>
      <c r="AF54" s="349">
        <v>43185</v>
      </c>
      <c r="AG54" s="81" t="s">
        <v>238</v>
      </c>
      <c r="AH54" s="81" t="s">
        <v>118</v>
      </c>
      <c r="AK54" s="166">
        <v>0</v>
      </c>
      <c r="AM54" s="166">
        <v>0</v>
      </c>
      <c r="AO54" s="166">
        <v>0</v>
      </c>
      <c r="AP54" s="166">
        <v>1</v>
      </c>
      <c r="AQ54" s="166">
        <v>0</v>
      </c>
      <c r="AR54" s="166">
        <v>0</v>
      </c>
      <c r="AS54" s="166">
        <v>0</v>
      </c>
      <c r="AT54" s="166">
        <v>0</v>
      </c>
      <c r="AU54" s="166">
        <v>0</v>
      </c>
      <c r="AV54" s="166">
        <v>0</v>
      </c>
      <c r="AW54" s="166">
        <v>1</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81" t="s">
        <v>1757</v>
      </c>
      <c r="BZ54" s="81" t="s">
        <v>155</v>
      </c>
      <c r="CA54" s="81">
        <v>7</v>
      </c>
      <c r="CC54" s="167">
        <f>N54</f>
        <v>1</v>
      </c>
      <c r="CD54" s="167">
        <v>0</v>
      </c>
      <c r="CE54" s="167">
        <v>0</v>
      </c>
      <c r="CF54" s="167">
        <v>0</v>
      </c>
      <c r="CG54" s="167">
        <v>0</v>
      </c>
      <c r="CH54" s="167">
        <v>0</v>
      </c>
      <c r="CI54" s="167">
        <v>0</v>
      </c>
      <c r="CJ54" s="167">
        <v>0</v>
      </c>
      <c r="CK54" s="167">
        <v>0</v>
      </c>
      <c r="CL54" s="167">
        <v>0</v>
      </c>
      <c r="CM54" s="167">
        <v>0</v>
      </c>
      <c r="CN54" s="167">
        <v>0</v>
      </c>
      <c r="CO54" s="167">
        <v>0</v>
      </c>
      <c r="CP54" s="167">
        <v>0</v>
      </c>
      <c r="CQ54" s="167">
        <v>0</v>
      </c>
      <c r="CR54" s="167">
        <v>0</v>
      </c>
      <c r="CS54" s="167">
        <v>0</v>
      </c>
      <c r="CT54" s="167">
        <v>0</v>
      </c>
      <c r="CU54" s="167">
        <v>0</v>
      </c>
      <c r="CV54" s="167">
        <v>0</v>
      </c>
      <c r="CW54" s="167">
        <v>0</v>
      </c>
      <c r="CX54" s="167">
        <f>SUM(CD54:CH54)</f>
        <v>0</v>
      </c>
      <c r="CY54" s="167">
        <f>SUM(CD54:CM54)</f>
        <v>0</v>
      </c>
    </row>
    <row r="55" spans="1:103" ht="12.75" customHeight="1" x14ac:dyDescent="0.2">
      <c r="A55" s="81">
        <v>4043</v>
      </c>
      <c r="B55" s="165" t="s">
        <v>1924</v>
      </c>
      <c r="C55" s="165" t="s">
        <v>3104</v>
      </c>
      <c r="E55" s="165" t="s">
        <v>3103</v>
      </c>
      <c r="G55" s="81">
        <v>527663</v>
      </c>
      <c r="H55" s="81">
        <v>174334</v>
      </c>
      <c r="I55" s="165" t="s">
        <v>255</v>
      </c>
      <c r="J55" s="349">
        <v>42936</v>
      </c>
      <c r="K55" s="349">
        <v>43185</v>
      </c>
      <c r="L55" s="166">
        <v>1</v>
      </c>
      <c r="M55" s="166">
        <v>2</v>
      </c>
      <c r="N55" s="166">
        <v>1</v>
      </c>
      <c r="O55" s="166">
        <v>2</v>
      </c>
      <c r="P55" s="166">
        <v>1</v>
      </c>
      <c r="R55" s="165" t="s">
        <v>3105</v>
      </c>
      <c r="S55" s="81" t="s">
        <v>113</v>
      </c>
      <c r="T55" s="349">
        <v>42919</v>
      </c>
      <c r="U55" s="349">
        <v>42971</v>
      </c>
      <c r="V55" s="81" t="s">
        <v>155</v>
      </c>
      <c r="W55" s="81" t="s">
        <v>114</v>
      </c>
      <c r="Y55" s="81" t="s">
        <v>115</v>
      </c>
      <c r="Z55" s="81" t="s">
        <v>119</v>
      </c>
      <c r="AA55" s="81" t="s">
        <v>117</v>
      </c>
      <c r="AB55" s="81" t="s">
        <v>220</v>
      </c>
      <c r="AC55" s="166">
        <v>8.0000003799796104E-3</v>
      </c>
      <c r="AD55" s="349">
        <v>42936</v>
      </c>
      <c r="AE55" s="81" t="s">
        <v>155</v>
      </c>
      <c r="AF55" s="349">
        <v>43185</v>
      </c>
      <c r="AG55" s="81" t="s">
        <v>238</v>
      </c>
      <c r="AH55" s="81" t="s">
        <v>118</v>
      </c>
      <c r="AK55" s="166">
        <v>0</v>
      </c>
      <c r="AM55" s="166">
        <v>0</v>
      </c>
      <c r="AO55" s="166">
        <v>0</v>
      </c>
      <c r="AP55" s="166">
        <v>1</v>
      </c>
      <c r="AQ55" s="166">
        <v>1</v>
      </c>
      <c r="AR55" s="166">
        <v>-1</v>
      </c>
      <c r="AS55" s="166">
        <v>0</v>
      </c>
      <c r="AT55" s="166">
        <v>0</v>
      </c>
      <c r="AU55" s="166">
        <v>0</v>
      </c>
      <c r="AV55" s="166">
        <v>0</v>
      </c>
      <c r="AW55" s="166">
        <v>1</v>
      </c>
      <c r="AX55" s="166">
        <v>1</v>
      </c>
      <c r="AY55" s="166">
        <v>-1</v>
      </c>
      <c r="AZ55" s="166">
        <v>0</v>
      </c>
      <c r="BA55" s="166">
        <v>0</v>
      </c>
      <c r="BB55" s="166">
        <v>0</v>
      </c>
      <c r="BC55" s="166">
        <v>0</v>
      </c>
      <c r="BD55" s="166">
        <v>0</v>
      </c>
      <c r="BE55" s="166">
        <v>0</v>
      </c>
      <c r="BF55" s="166">
        <v>0</v>
      </c>
      <c r="BG55" s="166">
        <v>0</v>
      </c>
      <c r="BH55" s="166">
        <v>0</v>
      </c>
      <c r="BI55" s="166">
        <v>0</v>
      </c>
      <c r="BJ55" s="166">
        <v>0</v>
      </c>
      <c r="BK55" s="166">
        <v>0</v>
      </c>
      <c r="BL55" s="166">
        <v>0</v>
      </c>
      <c r="BM55" s="166">
        <v>0</v>
      </c>
      <c r="BN55" s="166">
        <v>0</v>
      </c>
      <c r="BO55" s="166">
        <v>0</v>
      </c>
      <c r="BP55" s="166">
        <v>0</v>
      </c>
      <c r="BQ55" s="81" t="s">
        <v>1757</v>
      </c>
      <c r="BZ55" s="81" t="s">
        <v>155</v>
      </c>
      <c r="CA55" s="81">
        <v>7</v>
      </c>
      <c r="CC55" s="167">
        <f>N55</f>
        <v>1</v>
      </c>
      <c r="CD55" s="167">
        <v>0</v>
      </c>
      <c r="CE55" s="167">
        <v>0</v>
      </c>
      <c r="CF55" s="167">
        <v>0</v>
      </c>
      <c r="CG55" s="167">
        <v>0</v>
      </c>
      <c r="CH55" s="167">
        <v>0</v>
      </c>
      <c r="CI55" s="167">
        <v>0</v>
      </c>
      <c r="CJ55" s="167">
        <v>0</v>
      </c>
      <c r="CK55" s="167">
        <v>0</v>
      </c>
      <c r="CL55" s="167">
        <v>0</v>
      </c>
      <c r="CM55" s="167">
        <v>0</v>
      </c>
      <c r="CN55" s="167">
        <v>0</v>
      </c>
      <c r="CO55" s="167">
        <v>0</v>
      </c>
      <c r="CP55" s="167">
        <v>0</v>
      </c>
      <c r="CQ55" s="167">
        <v>0</v>
      </c>
      <c r="CR55" s="167">
        <v>0</v>
      </c>
      <c r="CS55" s="167">
        <v>0</v>
      </c>
      <c r="CT55" s="167">
        <v>0</v>
      </c>
      <c r="CU55" s="167">
        <v>0</v>
      </c>
      <c r="CV55" s="167">
        <v>0</v>
      </c>
      <c r="CW55" s="167">
        <v>0</v>
      </c>
      <c r="CX55" s="167">
        <f>SUM(CD55:CH55)</f>
        <v>0</v>
      </c>
      <c r="CY55" s="167">
        <f>SUM(CD55:CM55)</f>
        <v>0</v>
      </c>
    </row>
    <row r="56" spans="1:103" ht="12.75" customHeight="1" x14ac:dyDescent="0.2">
      <c r="A56" s="81">
        <v>4047</v>
      </c>
      <c r="B56" s="165" t="s">
        <v>1924</v>
      </c>
      <c r="C56" s="165" t="s">
        <v>568</v>
      </c>
      <c r="E56" s="165" t="s">
        <v>3106</v>
      </c>
      <c r="G56" s="81">
        <v>524590</v>
      </c>
      <c r="H56" s="81">
        <v>175197</v>
      </c>
      <c r="I56" s="165" t="s">
        <v>259</v>
      </c>
      <c r="J56" s="349">
        <v>42857</v>
      </c>
      <c r="K56" s="349">
        <v>43108</v>
      </c>
      <c r="L56" s="166">
        <v>0</v>
      </c>
      <c r="M56" s="166">
        <v>1</v>
      </c>
      <c r="N56" s="166">
        <v>1</v>
      </c>
      <c r="O56" s="166">
        <v>1</v>
      </c>
      <c r="P56" s="166">
        <v>1</v>
      </c>
      <c r="R56" s="165" t="s">
        <v>569</v>
      </c>
      <c r="S56" s="81" t="s">
        <v>110</v>
      </c>
      <c r="T56" s="349">
        <v>42139</v>
      </c>
      <c r="U56" s="349">
        <v>42195</v>
      </c>
      <c r="W56" s="81" t="s">
        <v>114</v>
      </c>
      <c r="Y56" s="81" t="s">
        <v>115</v>
      </c>
      <c r="Z56" s="81" t="s">
        <v>310</v>
      </c>
      <c r="AA56" s="81" t="s">
        <v>117</v>
      </c>
      <c r="AB56" s="81" t="s">
        <v>399</v>
      </c>
      <c r="AC56" s="166">
        <v>8.0000003799796104E-3</v>
      </c>
      <c r="AD56" s="349">
        <v>42857</v>
      </c>
      <c r="AE56" s="81" t="s">
        <v>155</v>
      </c>
      <c r="AF56" s="349">
        <v>43108</v>
      </c>
      <c r="AG56" s="81" t="s">
        <v>238</v>
      </c>
      <c r="AH56" s="81" t="s">
        <v>118</v>
      </c>
      <c r="AK56" s="166">
        <v>0</v>
      </c>
      <c r="AM56" s="166">
        <v>0</v>
      </c>
      <c r="AO56" s="166">
        <v>0</v>
      </c>
      <c r="AP56" s="166">
        <v>0</v>
      </c>
      <c r="AQ56" s="166">
        <v>1</v>
      </c>
      <c r="AR56" s="166">
        <v>0</v>
      </c>
      <c r="AS56" s="166">
        <v>0</v>
      </c>
      <c r="AT56" s="166">
        <v>0</v>
      </c>
      <c r="AU56" s="166">
        <v>0</v>
      </c>
      <c r="AV56" s="166">
        <v>0</v>
      </c>
      <c r="AW56" s="166">
        <v>0</v>
      </c>
      <c r="AX56" s="166">
        <v>1</v>
      </c>
      <c r="AY56" s="166">
        <v>0</v>
      </c>
      <c r="AZ56" s="166">
        <v>0</v>
      </c>
      <c r="BA56" s="166">
        <v>0</v>
      </c>
      <c r="BB56" s="166">
        <v>0</v>
      </c>
      <c r="BC56" s="166">
        <v>0</v>
      </c>
      <c r="BD56" s="166">
        <v>0</v>
      </c>
      <c r="BE56" s="166">
        <v>0</v>
      </c>
      <c r="BF56" s="166">
        <v>0</v>
      </c>
      <c r="BG56" s="166">
        <v>0</v>
      </c>
      <c r="BH56" s="166">
        <v>0</v>
      </c>
      <c r="BI56" s="166">
        <v>0</v>
      </c>
      <c r="BJ56" s="166">
        <v>0</v>
      </c>
      <c r="BK56" s="166">
        <v>0</v>
      </c>
      <c r="BL56" s="166">
        <v>0</v>
      </c>
      <c r="BM56" s="166">
        <v>0</v>
      </c>
      <c r="BN56" s="166">
        <v>0</v>
      </c>
      <c r="BO56" s="166">
        <v>0</v>
      </c>
      <c r="BP56" s="166">
        <v>0</v>
      </c>
      <c r="BQ56" s="81" t="s">
        <v>1758</v>
      </c>
      <c r="BZ56" s="81" t="s">
        <v>155</v>
      </c>
      <c r="CA56" s="81">
        <v>7</v>
      </c>
      <c r="CC56" s="167">
        <f>N56</f>
        <v>1</v>
      </c>
      <c r="CD56" s="167">
        <v>0</v>
      </c>
      <c r="CE56" s="167">
        <v>0</v>
      </c>
      <c r="CF56" s="167">
        <v>0</v>
      </c>
      <c r="CG56" s="167">
        <v>0</v>
      </c>
      <c r="CH56" s="167">
        <v>0</v>
      </c>
      <c r="CI56" s="167">
        <v>0</v>
      </c>
      <c r="CJ56" s="167">
        <v>0</v>
      </c>
      <c r="CK56" s="167">
        <v>0</v>
      </c>
      <c r="CL56" s="167">
        <v>0</v>
      </c>
      <c r="CM56" s="167">
        <v>0</v>
      </c>
      <c r="CN56" s="167">
        <v>0</v>
      </c>
      <c r="CO56" s="167">
        <v>0</v>
      </c>
      <c r="CP56" s="167">
        <v>0</v>
      </c>
      <c r="CQ56" s="167">
        <v>0</v>
      </c>
      <c r="CR56" s="167">
        <v>0</v>
      </c>
      <c r="CS56" s="167">
        <v>0</v>
      </c>
      <c r="CT56" s="167">
        <v>0</v>
      </c>
      <c r="CU56" s="167">
        <v>0</v>
      </c>
      <c r="CV56" s="167">
        <v>0</v>
      </c>
      <c r="CW56" s="167">
        <v>0</v>
      </c>
      <c r="CX56" s="167">
        <f>SUM(CD56:CH56)</f>
        <v>0</v>
      </c>
      <c r="CY56" s="167">
        <f>SUM(CD56:CM56)</f>
        <v>0</v>
      </c>
    </row>
    <row r="57" spans="1:103" ht="12.75" customHeight="1" x14ac:dyDescent="0.2">
      <c r="A57" s="81">
        <v>4193</v>
      </c>
      <c r="B57" s="165" t="s">
        <v>1924</v>
      </c>
      <c r="C57" s="165" t="s">
        <v>3107</v>
      </c>
      <c r="E57" s="165" t="s">
        <v>3108</v>
      </c>
      <c r="G57" s="81">
        <v>528045</v>
      </c>
      <c r="H57" s="81">
        <v>172866</v>
      </c>
      <c r="I57" s="165" t="s">
        <v>254</v>
      </c>
      <c r="J57" s="349">
        <v>42909</v>
      </c>
      <c r="K57" s="349">
        <v>43190</v>
      </c>
      <c r="L57" s="166">
        <v>1</v>
      </c>
      <c r="M57" s="166">
        <v>3</v>
      </c>
      <c r="N57" s="166">
        <v>2</v>
      </c>
      <c r="O57" s="166">
        <v>3</v>
      </c>
      <c r="P57" s="166">
        <v>2</v>
      </c>
      <c r="R57" s="165" t="s">
        <v>3109</v>
      </c>
      <c r="S57" s="81" t="s">
        <v>113</v>
      </c>
      <c r="T57" s="349">
        <v>42853</v>
      </c>
      <c r="U57" s="349">
        <v>42909</v>
      </c>
      <c r="V57" s="81" t="s">
        <v>155</v>
      </c>
      <c r="W57" s="81" t="s">
        <v>114</v>
      </c>
      <c r="Y57" s="81" t="s">
        <v>115</v>
      </c>
      <c r="Z57" s="81" t="s">
        <v>398</v>
      </c>
      <c r="AA57" s="81" t="s">
        <v>117</v>
      </c>
      <c r="AB57" s="81" t="s">
        <v>120</v>
      </c>
      <c r="AC57" s="166">
        <v>1.7999999225139601E-2</v>
      </c>
      <c r="AD57" s="349">
        <v>42909</v>
      </c>
      <c r="AE57" s="81" t="s">
        <v>155</v>
      </c>
      <c r="AF57" s="349">
        <v>43190</v>
      </c>
      <c r="AG57" s="81" t="s">
        <v>238</v>
      </c>
      <c r="AH57" s="81" t="s">
        <v>118</v>
      </c>
      <c r="AK57" s="166">
        <v>0</v>
      </c>
      <c r="AM57" s="166">
        <v>0</v>
      </c>
      <c r="AO57" s="166">
        <v>0</v>
      </c>
      <c r="AP57" s="166">
        <v>1</v>
      </c>
      <c r="AQ57" s="166">
        <v>1</v>
      </c>
      <c r="AR57" s="166">
        <v>1</v>
      </c>
      <c r="AS57" s="166">
        <v>0</v>
      </c>
      <c r="AT57" s="166">
        <v>-1</v>
      </c>
      <c r="AU57" s="166">
        <v>0</v>
      </c>
      <c r="AV57" s="166">
        <v>0</v>
      </c>
      <c r="AW57" s="166">
        <v>1</v>
      </c>
      <c r="AX57" s="166">
        <v>1</v>
      </c>
      <c r="AY57" s="166">
        <v>1</v>
      </c>
      <c r="AZ57" s="166">
        <v>0</v>
      </c>
      <c r="BA57" s="166">
        <v>0</v>
      </c>
      <c r="BB57" s="166">
        <v>0</v>
      </c>
      <c r="BC57" s="166">
        <v>0</v>
      </c>
      <c r="BD57" s="166">
        <v>0</v>
      </c>
      <c r="BE57" s="166">
        <v>0</v>
      </c>
      <c r="BF57" s="166">
        <v>0</v>
      </c>
      <c r="BG57" s="166">
        <v>0</v>
      </c>
      <c r="BH57" s="166">
        <v>-1</v>
      </c>
      <c r="BI57" s="166">
        <v>0</v>
      </c>
      <c r="BJ57" s="166">
        <v>0</v>
      </c>
      <c r="BK57" s="166">
        <v>0</v>
      </c>
      <c r="BL57" s="166">
        <v>0</v>
      </c>
      <c r="BM57" s="166">
        <v>0</v>
      </c>
      <c r="BN57" s="166">
        <v>0</v>
      </c>
      <c r="BO57" s="166">
        <v>0</v>
      </c>
      <c r="BP57" s="166">
        <v>0</v>
      </c>
      <c r="BQ57" s="81" t="s">
        <v>1757</v>
      </c>
      <c r="BZ57" s="81" t="s">
        <v>155</v>
      </c>
      <c r="CA57" s="81">
        <v>7</v>
      </c>
      <c r="CC57" s="167">
        <f>N57</f>
        <v>2</v>
      </c>
      <c r="CD57" s="167">
        <v>0</v>
      </c>
      <c r="CE57" s="167">
        <v>0</v>
      </c>
      <c r="CF57" s="167">
        <v>0</v>
      </c>
      <c r="CG57" s="167">
        <v>0</v>
      </c>
      <c r="CH57" s="167">
        <v>0</v>
      </c>
      <c r="CI57" s="167">
        <v>0</v>
      </c>
      <c r="CJ57" s="167">
        <v>0</v>
      </c>
      <c r="CK57" s="167">
        <v>0</v>
      </c>
      <c r="CL57" s="167">
        <v>0</v>
      </c>
      <c r="CM57" s="167">
        <v>0</v>
      </c>
      <c r="CN57" s="167">
        <v>0</v>
      </c>
      <c r="CO57" s="167">
        <v>0</v>
      </c>
      <c r="CP57" s="167">
        <v>0</v>
      </c>
      <c r="CQ57" s="167">
        <v>0</v>
      </c>
      <c r="CR57" s="167">
        <v>0</v>
      </c>
      <c r="CS57" s="167">
        <v>0</v>
      </c>
      <c r="CT57" s="167">
        <v>0</v>
      </c>
      <c r="CU57" s="167">
        <v>0</v>
      </c>
      <c r="CV57" s="167">
        <v>0</v>
      </c>
      <c r="CW57" s="167">
        <v>0</v>
      </c>
      <c r="CX57" s="167">
        <f>SUM(CD57:CH57)</f>
        <v>0</v>
      </c>
      <c r="CY57" s="167">
        <f>SUM(CD57:CM57)</f>
        <v>0</v>
      </c>
    </row>
    <row r="58" spans="1:103" ht="12.75" customHeight="1" x14ac:dyDescent="0.2">
      <c r="A58" s="81">
        <v>4669</v>
      </c>
      <c r="B58" s="165" t="s">
        <v>1924</v>
      </c>
      <c r="C58" s="165" t="s">
        <v>86</v>
      </c>
      <c r="E58" s="165" t="s">
        <v>3110</v>
      </c>
      <c r="G58" s="81">
        <v>528025</v>
      </c>
      <c r="H58" s="81">
        <v>174475</v>
      </c>
      <c r="I58" s="165" t="s">
        <v>247</v>
      </c>
      <c r="J58" s="349">
        <v>42264</v>
      </c>
      <c r="K58" s="349">
        <v>43190</v>
      </c>
      <c r="L58" s="166">
        <v>1</v>
      </c>
      <c r="M58" s="166">
        <v>2</v>
      </c>
      <c r="N58" s="166">
        <v>1</v>
      </c>
      <c r="O58" s="166">
        <v>2</v>
      </c>
      <c r="P58" s="166">
        <v>1</v>
      </c>
      <c r="R58" s="165" t="s">
        <v>752</v>
      </c>
      <c r="S58" s="81" t="s">
        <v>113</v>
      </c>
      <c r="T58" s="349">
        <v>41820</v>
      </c>
      <c r="U58" s="349">
        <v>41926</v>
      </c>
      <c r="W58" s="81" t="s">
        <v>114</v>
      </c>
      <c r="Y58" s="81" t="s">
        <v>115</v>
      </c>
      <c r="Z58" s="81" t="s">
        <v>398</v>
      </c>
      <c r="AA58" s="81" t="s">
        <v>117</v>
      </c>
      <c r="AB58" s="81" t="s">
        <v>220</v>
      </c>
      <c r="AC58" s="166">
        <v>8.9999996125698107E-3</v>
      </c>
      <c r="AD58" s="349">
        <v>42264</v>
      </c>
      <c r="AF58" s="349">
        <v>43190</v>
      </c>
      <c r="AG58" s="81" t="s">
        <v>238</v>
      </c>
      <c r="AH58" s="81" t="s">
        <v>118</v>
      </c>
      <c r="AK58" s="166">
        <v>0</v>
      </c>
      <c r="AM58" s="166">
        <v>0</v>
      </c>
      <c r="AO58" s="166">
        <v>0</v>
      </c>
      <c r="AP58" s="166">
        <v>1</v>
      </c>
      <c r="AQ58" s="166">
        <v>-1</v>
      </c>
      <c r="AR58" s="166">
        <v>1</v>
      </c>
      <c r="AS58" s="166">
        <v>0</v>
      </c>
      <c r="AT58" s="166">
        <v>0</v>
      </c>
      <c r="AU58" s="166">
        <v>0</v>
      </c>
      <c r="AV58" s="166">
        <v>0</v>
      </c>
      <c r="AW58" s="166">
        <v>1</v>
      </c>
      <c r="AX58" s="166">
        <v>-1</v>
      </c>
      <c r="AY58" s="166">
        <v>1</v>
      </c>
      <c r="AZ58" s="166">
        <v>0</v>
      </c>
      <c r="BA58" s="166">
        <v>0</v>
      </c>
      <c r="BB58" s="166">
        <v>0</v>
      </c>
      <c r="BC58" s="166">
        <v>0</v>
      </c>
      <c r="BD58" s="166">
        <v>0</v>
      </c>
      <c r="BE58" s="166">
        <v>0</v>
      </c>
      <c r="BF58" s="166">
        <v>0</v>
      </c>
      <c r="BG58" s="166">
        <v>0</v>
      </c>
      <c r="BH58" s="166">
        <v>0</v>
      </c>
      <c r="BI58" s="166">
        <v>0</v>
      </c>
      <c r="BJ58" s="166">
        <v>0</v>
      </c>
      <c r="BK58" s="166">
        <v>0</v>
      </c>
      <c r="BL58" s="166">
        <v>0</v>
      </c>
      <c r="BM58" s="166">
        <v>0</v>
      </c>
      <c r="BN58" s="166">
        <v>0</v>
      </c>
      <c r="BO58" s="166">
        <v>0</v>
      </c>
      <c r="BP58" s="166">
        <v>0</v>
      </c>
      <c r="BQ58" s="81" t="s">
        <v>1757</v>
      </c>
      <c r="BZ58" s="81" t="s">
        <v>155</v>
      </c>
      <c r="CA58" s="81">
        <v>7</v>
      </c>
      <c r="CC58" s="167">
        <f>N58</f>
        <v>1</v>
      </c>
      <c r="CD58" s="167">
        <v>0</v>
      </c>
      <c r="CE58" s="167">
        <v>0</v>
      </c>
      <c r="CF58" s="167">
        <v>0</v>
      </c>
      <c r="CG58" s="167">
        <v>0</v>
      </c>
      <c r="CH58" s="167">
        <v>0</v>
      </c>
      <c r="CI58" s="167">
        <v>0</v>
      </c>
      <c r="CJ58" s="167">
        <v>0</v>
      </c>
      <c r="CK58" s="167">
        <v>0</v>
      </c>
      <c r="CL58" s="167">
        <v>0</v>
      </c>
      <c r="CM58" s="167">
        <v>0</v>
      </c>
      <c r="CN58" s="167">
        <v>0</v>
      </c>
      <c r="CO58" s="167">
        <v>0</v>
      </c>
      <c r="CP58" s="167">
        <v>0</v>
      </c>
      <c r="CQ58" s="167">
        <v>0</v>
      </c>
      <c r="CR58" s="167">
        <v>0</v>
      </c>
      <c r="CS58" s="167">
        <v>0</v>
      </c>
      <c r="CT58" s="167">
        <v>0</v>
      </c>
      <c r="CU58" s="167">
        <v>0</v>
      </c>
      <c r="CV58" s="167">
        <v>0</v>
      </c>
      <c r="CW58" s="167">
        <v>0</v>
      </c>
      <c r="CX58" s="167">
        <f>SUM(CD58:CH58)</f>
        <v>0</v>
      </c>
      <c r="CY58" s="167">
        <f>SUM(CD58:CM58)</f>
        <v>0</v>
      </c>
    </row>
    <row r="59" spans="1:103" ht="12.75" customHeight="1" x14ac:dyDescent="0.2">
      <c r="A59" s="81">
        <v>4718</v>
      </c>
      <c r="B59" s="165" t="s">
        <v>1924</v>
      </c>
      <c r="C59" s="165" t="s">
        <v>969</v>
      </c>
      <c r="D59" s="165" t="s">
        <v>406</v>
      </c>
      <c r="E59" s="165" t="s">
        <v>3089</v>
      </c>
      <c r="F59" s="165" t="s">
        <v>970</v>
      </c>
      <c r="G59" s="81">
        <v>529643</v>
      </c>
      <c r="H59" s="81">
        <v>177593</v>
      </c>
      <c r="I59" s="165" t="s">
        <v>240</v>
      </c>
      <c r="J59" s="349">
        <v>41275</v>
      </c>
      <c r="K59" s="349">
        <v>43190</v>
      </c>
      <c r="L59" s="166">
        <v>0</v>
      </c>
      <c r="M59" s="166">
        <v>1</v>
      </c>
      <c r="N59" s="166">
        <v>1</v>
      </c>
      <c r="O59" s="166">
        <v>8</v>
      </c>
      <c r="P59" s="166">
        <v>8</v>
      </c>
      <c r="Q59" s="81" t="s">
        <v>155</v>
      </c>
      <c r="R59" s="165" t="s">
        <v>971</v>
      </c>
      <c r="S59" s="81" t="s">
        <v>509</v>
      </c>
      <c r="T59" s="349">
        <v>42362</v>
      </c>
      <c r="U59" s="349">
        <v>42865</v>
      </c>
      <c r="V59" s="81" t="s">
        <v>155</v>
      </c>
      <c r="W59" s="81" t="s">
        <v>114</v>
      </c>
      <c r="Y59" s="81" t="s">
        <v>115</v>
      </c>
      <c r="Z59" s="81" t="s">
        <v>116</v>
      </c>
      <c r="AA59" s="81" t="s">
        <v>116</v>
      </c>
      <c r="AB59" s="81" t="s">
        <v>117</v>
      </c>
      <c r="AC59" s="166">
        <v>2.0000000949949E-3</v>
      </c>
      <c r="AD59" s="349">
        <v>41275</v>
      </c>
      <c r="AF59" s="349">
        <v>43190</v>
      </c>
      <c r="AG59" s="81" t="s">
        <v>238</v>
      </c>
      <c r="AH59" s="81" t="s">
        <v>118</v>
      </c>
      <c r="AI59" s="81" t="s">
        <v>3090</v>
      </c>
      <c r="AK59" s="166">
        <v>1</v>
      </c>
      <c r="AM59" s="166">
        <v>0</v>
      </c>
      <c r="AO59" s="166">
        <v>0</v>
      </c>
      <c r="AP59" s="166">
        <v>0</v>
      </c>
      <c r="AQ59" s="166">
        <v>1</v>
      </c>
      <c r="AR59" s="166">
        <v>0</v>
      </c>
      <c r="AS59" s="166">
        <v>0</v>
      </c>
      <c r="AT59" s="166">
        <v>0</v>
      </c>
      <c r="AU59" s="166">
        <v>0</v>
      </c>
      <c r="AV59" s="166">
        <v>0</v>
      </c>
      <c r="AW59" s="166">
        <v>0</v>
      </c>
      <c r="AX59" s="166">
        <v>1</v>
      </c>
      <c r="AY59" s="166">
        <v>0</v>
      </c>
      <c r="AZ59" s="166">
        <v>0</v>
      </c>
      <c r="BA59" s="166">
        <v>0</v>
      </c>
      <c r="BB59" s="166">
        <v>0</v>
      </c>
      <c r="BC59" s="166">
        <v>0</v>
      </c>
      <c r="BD59" s="166">
        <v>0</v>
      </c>
      <c r="BE59" s="166">
        <v>0</v>
      </c>
      <c r="BF59" s="166">
        <v>0</v>
      </c>
      <c r="BG59" s="166">
        <v>0</v>
      </c>
      <c r="BH59" s="166">
        <v>0</v>
      </c>
      <c r="BI59" s="166">
        <v>0</v>
      </c>
      <c r="BJ59" s="166">
        <v>0</v>
      </c>
      <c r="BK59" s="166">
        <v>0</v>
      </c>
      <c r="BL59" s="166">
        <v>0</v>
      </c>
      <c r="BM59" s="166">
        <v>0</v>
      </c>
      <c r="BN59" s="166">
        <v>0</v>
      </c>
      <c r="BO59" s="166">
        <v>0</v>
      </c>
      <c r="BP59" s="166">
        <v>0</v>
      </c>
      <c r="BQ59" s="81" t="s">
        <v>1759</v>
      </c>
      <c r="BS59" s="81" t="s">
        <v>155</v>
      </c>
      <c r="BZ59" s="81" t="s">
        <v>155</v>
      </c>
      <c r="CA59" s="81">
        <v>1</v>
      </c>
      <c r="CC59" s="167">
        <f>N59</f>
        <v>1</v>
      </c>
      <c r="CD59" s="167">
        <v>0</v>
      </c>
      <c r="CE59" s="167">
        <v>0</v>
      </c>
      <c r="CF59" s="167">
        <v>0</v>
      </c>
      <c r="CG59" s="167">
        <v>0</v>
      </c>
      <c r="CH59" s="167">
        <v>0</v>
      </c>
      <c r="CI59" s="167">
        <v>0</v>
      </c>
      <c r="CJ59" s="167">
        <v>0</v>
      </c>
      <c r="CK59" s="167">
        <v>0</v>
      </c>
      <c r="CL59" s="167">
        <v>0</v>
      </c>
      <c r="CM59" s="167">
        <v>0</v>
      </c>
      <c r="CN59" s="167">
        <v>0</v>
      </c>
      <c r="CO59" s="167">
        <v>0</v>
      </c>
      <c r="CP59" s="167">
        <v>0</v>
      </c>
      <c r="CQ59" s="167">
        <v>0</v>
      </c>
      <c r="CR59" s="167">
        <v>0</v>
      </c>
      <c r="CS59" s="167">
        <v>0</v>
      </c>
      <c r="CT59" s="167">
        <v>0</v>
      </c>
      <c r="CU59" s="167">
        <v>0</v>
      </c>
      <c r="CV59" s="167">
        <v>0</v>
      </c>
      <c r="CW59" s="167">
        <v>0</v>
      </c>
      <c r="CX59" s="167">
        <f>SUM(CD59:CH59)</f>
        <v>0</v>
      </c>
      <c r="CY59" s="167">
        <f>SUM(CD59:CM59)</f>
        <v>0</v>
      </c>
    </row>
    <row r="60" spans="1:103" ht="12.75" customHeight="1" x14ac:dyDescent="0.2">
      <c r="A60" s="81">
        <v>4718</v>
      </c>
      <c r="B60" s="165" t="s">
        <v>1924</v>
      </c>
      <c r="C60" s="165" t="s">
        <v>969</v>
      </c>
      <c r="D60" s="165" t="s">
        <v>406</v>
      </c>
      <c r="E60" s="165" t="s">
        <v>3089</v>
      </c>
      <c r="F60" s="165" t="s">
        <v>972</v>
      </c>
      <c r="G60" s="81">
        <v>529643</v>
      </c>
      <c r="H60" s="81">
        <v>177593</v>
      </c>
      <c r="I60" s="165" t="s">
        <v>240</v>
      </c>
      <c r="J60" s="349">
        <v>41275</v>
      </c>
      <c r="K60" s="349">
        <v>43190</v>
      </c>
      <c r="L60" s="166">
        <v>0</v>
      </c>
      <c r="M60" s="166">
        <v>6</v>
      </c>
      <c r="N60" s="166">
        <v>6</v>
      </c>
      <c r="O60" s="166">
        <v>8</v>
      </c>
      <c r="P60" s="166">
        <v>8</v>
      </c>
      <c r="Q60" s="81" t="s">
        <v>155</v>
      </c>
      <c r="R60" s="165" t="s">
        <v>971</v>
      </c>
      <c r="S60" s="81" t="s">
        <v>509</v>
      </c>
      <c r="T60" s="349">
        <v>42362</v>
      </c>
      <c r="U60" s="349">
        <v>42865</v>
      </c>
      <c r="V60" s="81" t="s">
        <v>155</v>
      </c>
      <c r="W60" s="81" t="s">
        <v>114</v>
      </c>
      <c r="Y60" s="81" t="s">
        <v>115</v>
      </c>
      <c r="Z60" s="81" t="s">
        <v>116</v>
      </c>
      <c r="AA60" s="81" t="s">
        <v>116</v>
      </c>
      <c r="AB60" s="81" t="s">
        <v>117</v>
      </c>
      <c r="AC60" s="166">
        <v>7.0000002160668399E-3</v>
      </c>
      <c r="AD60" s="349">
        <v>41275</v>
      </c>
      <c r="AF60" s="349">
        <v>43190</v>
      </c>
      <c r="AG60" s="81" t="s">
        <v>238</v>
      </c>
      <c r="AH60" s="81" t="s">
        <v>118</v>
      </c>
      <c r="AI60" s="81" t="s">
        <v>3090</v>
      </c>
      <c r="AK60" s="166">
        <v>6</v>
      </c>
      <c r="AM60" s="166">
        <v>1</v>
      </c>
      <c r="AO60" s="166">
        <v>0</v>
      </c>
      <c r="AP60" s="166">
        <v>3</v>
      </c>
      <c r="AQ60" s="166">
        <v>2</v>
      </c>
      <c r="AR60" s="166">
        <v>1</v>
      </c>
      <c r="AS60" s="166">
        <v>0</v>
      </c>
      <c r="AT60" s="166">
        <v>0</v>
      </c>
      <c r="AU60" s="166">
        <v>0</v>
      </c>
      <c r="AV60" s="166">
        <v>0</v>
      </c>
      <c r="AW60" s="166">
        <v>3</v>
      </c>
      <c r="AX60" s="166">
        <v>2</v>
      </c>
      <c r="AY60" s="166">
        <v>1</v>
      </c>
      <c r="AZ60" s="166">
        <v>0</v>
      </c>
      <c r="BA60" s="166">
        <v>0</v>
      </c>
      <c r="BB60" s="166">
        <v>0</v>
      </c>
      <c r="BC60" s="166">
        <v>0</v>
      </c>
      <c r="BD60" s="166">
        <v>0</v>
      </c>
      <c r="BE60" s="166">
        <v>0</v>
      </c>
      <c r="BF60" s="166">
        <v>0</v>
      </c>
      <c r="BG60" s="166">
        <v>0</v>
      </c>
      <c r="BH60" s="166">
        <v>0</v>
      </c>
      <c r="BI60" s="166">
        <v>0</v>
      </c>
      <c r="BJ60" s="166">
        <v>0</v>
      </c>
      <c r="BK60" s="166">
        <v>0</v>
      </c>
      <c r="BL60" s="166">
        <v>0</v>
      </c>
      <c r="BM60" s="166">
        <v>0</v>
      </c>
      <c r="BN60" s="166">
        <v>0</v>
      </c>
      <c r="BO60" s="166">
        <v>0</v>
      </c>
      <c r="BP60" s="166">
        <v>0</v>
      </c>
      <c r="BQ60" s="81" t="s">
        <v>1759</v>
      </c>
      <c r="BS60" s="81" t="s">
        <v>155</v>
      </c>
      <c r="BZ60" s="81" t="s">
        <v>155</v>
      </c>
      <c r="CA60" s="81">
        <v>1</v>
      </c>
      <c r="CC60" s="167">
        <f>N60</f>
        <v>6</v>
      </c>
      <c r="CD60" s="167">
        <v>0</v>
      </c>
      <c r="CE60" s="167">
        <v>0</v>
      </c>
      <c r="CF60" s="167">
        <v>0</v>
      </c>
      <c r="CG60" s="167">
        <v>0</v>
      </c>
      <c r="CH60" s="167">
        <v>0</v>
      </c>
      <c r="CI60" s="167">
        <v>0</v>
      </c>
      <c r="CJ60" s="167">
        <v>0</v>
      </c>
      <c r="CK60" s="167">
        <v>0</v>
      </c>
      <c r="CL60" s="167">
        <v>0</v>
      </c>
      <c r="CM60" s="167">
        <v>0</v>
      </c>
      <c r="CN60" s="167">
        <v>0</v>
      </c>
      <c r="CO60" s="167">
        <v>0</v>
      </c>
      <c r="CP60" s="167">
        <v>0</v>
      </c>
      <c r="CQ60" s="167">
        <v>0</v>
      </c>
      <c r="CR60" s="167">
        <v>0</v>
      </c>
      <c r="CS60" s="167">
        <v>0</v>
      </c>
      <c r="CT60" s="167">
        <v>0</v>
      </c>
      <c r="CU60" s="167">
        <v>0</v>
      </c>
      <c r="CV60" s="167">
        <v>0</v>
      </c>
      <c r="CW60" s="167">
        <v>0</v>
      </c>
      <c r="CX60" s="167">
        <f>SUM(CD60:CH60)</f>
        <v>0</v>
      </c>
      <c r="CY60" s="167">
        <f>SUM(CD60:CM60)</f>
        <v>0</v>
      </c>
    </row>
    <row r="61" spans="1:103" ht="12.75" customHeight="1" x14ac:dyDescent="0.2">
      <c r="A61" s="81">
        <v>4718</v>
      </c>
      <c r="B61" s="165" t="s">
        <v>1924</v>
      </c>
      <c r="C61" s="165" t="s">
        <v>969</v>
      </c>
      <c r="D61" s="165" t="s">
        <v>406</v>
      </c>
      <c r="E61" s="165" t="s">
        <v>3089</v>
      </c>
      <c r="F61" s="165" t="s">
        <v>973</v>
      </c>
      <c r="G61" s="81">
        <v>529643</v>
      </c>
      <c r="H61" s="81">
        <v>177593</v>
      </c>
      <c r="I61" s="165" t="s">
        <v>240</v>
      </c>
      <c r="J61" s="349">
        <v>41275</v>
      </c>
      <c r="K61" s="349">
        <v>43190</v>
      </c>
      <c r="L61" s="166">
        <v>0</v>
      </c>
      <c r="M61" s="166">
        <v>1</v>
      </c>
      <c r="N61" s="166">
        <v>1</v>
      </c>
      <c r="O61" s="166">
        <v>8</v>
      </c>
      <c r="P61" s="166">
        <v>8</v>
      </c>
      <c r="Q61" s="81" t="s">
        <v>155</v>
      </c>
      <c r="R61" s="165" t="s">
        <v>971</v>
      </c>
      <c r="S61" s="81" t="s">
        <v>509</v>
      </c>
      <c r="T61" s="349">
        <v>42362</v>
      </c>
      <c r="U61" s="349">
        <v>42865</v>
      </c>
      <c r="V61" s="81" t="s">
        <v>155</v>
      </c>
      <c r="W61" s="81" t="s">
        <v>114</v>
      </c>
      <c r="Y61" s="81" t="s">
        <v>115</v>
      </c>
      <c r="Z61" s="81" t="s">
        <v>116</v>
      </c>
      <c r="AA61" s="81" t="s">
        <v>116</v>
      </c>
      <c r="AB61" s="81" t="s">
        <v>117</v>
      </c>
      <c r="AC61" s="166">
        <v>1.00000004749745E-3</v>
      </c>
      <c r="AD61" s="349">
        <v>41275</v>
      </c>
      <c r="AF61" s="349">
        <v>43190</v>
      </c>
      <c r="AG61" s="81" t="s">
        <v>238</v>
      </c>
      <c r="AH61" s="81" t="s">
        <v>118</v>
      </c>
      <c r="AI61" s="81" t="s">
        <v>3090</v>
      </c>
      <c r="AK61" s="166">
        <v>1</v>
      </c>
      <c r="AM61" s="166">
        <v>0</v>
      </c>
      <c r="AO61" s="166">
        <v>0</v>
      </c>
      <c r="AP61" s="166">
        <v>1</v>
      </c>
      <c r="AQ61" s="166">
        <v>0</v>
      </c>
      <c r="AR61" s="166">
        <v>0</v>
      </c>
      <c r="AS61" s="166">
        <v>0</v>
      </c>
      <c r="AT61" s="166">
        <v>0</v>
      </c>
      <c r="AU61" s="166">
        <v>0</v>
      </c>
      <c r="AV61" s="166">
        <v>0</v>
      </c>
      <c r="AW61" s="166">
        <v>1</v>
      </c>
      <c r="AX61" s="166">
        <v>0</v>
      </c>
      <c r="AY61" s="166">
        <v>0</v>
      </c>
      <c r="AZ61" s="166">
        <v>0</v>
      </c>
      <c r="BA61" s="166">
        <v>0</v>
      </c>
      <c r="BB61" s="166">
        <v>0</v>
      </c>
      <c r="BC61" s="166">
        <v>0</v>
      </c>
      <c r="BD61" s="166">
        <v>0</v>
      </c>
      <c r="BE61" s="166">
        <v>0</v>
      </c>
      <c r="BF61" s="166">
        <v>0</v>
      </c>
      <c r="BG61" s="166">
        <v>0</v>
      </c>
      <c r="BH61" s="166">
        <v>0</v>
      </c>
      <c r="BI61" s="166">
        <v>0</v>
      </c>
      <c r="BJ61" s="166">
        <v>0</v>
      </c>
      <c r="BK61" s="166">
        <v>0</v>
      </c>
      <c r="BL61" s="166">
        <v>0</v>
      </c>
      <c r="BM61" s="166">
        <v>0</v>
      </c>
      <c r="BN61" s="166">
        <v>0</v>
      </c>
      <c r="BO61" s="166">
        <v>0</v>
      </c>
      <c r="BP61" s="166">
        <v>0</v>
      </c>
      <c r="BQ61" s="81" t="s">
        <v>1759</v>
      </c>
      <c r="BS61" s="81" t="s">
        <v>155</v>
      </c>
      <c r="BZ61" s="81" t="s">
        <v>155</v>
      </c>
      <c r="CA61" s="81">
        <v>1</v>
      </c>
      <c r="CC61" s="167">
        <f>N61</f>
        <v>1</v>
      </c>
      <c r="CD61" s="167">
        <v>0</v>
      </c>
      <c r="CE61" s="167">
        <v>0</v>
      </c>
      <c r="CF61" s="167">
        <v>0</v>
      </c>
      <c r="CG61" s="167">
        <v>0</v>
      </c>
      <c r="CH61" s="167">
        <v>0</v>
      </c>
      <c r="CI61" s="167">
        <v>0</v>
      </c>
      <c r="CJ61" s="167">
        <v>0</v>
      </c>
      <c r="CK61" s="167">
        <v>0</v>
      </c>
      <c r="CL61" s="167">
        <v>0</v>
      </c>
      <c r="CM61" s="167">
        <v>0</v>
      </c>
      <c r="CN61" s="167">
        <v>0</v>
      </c>
      <c r="CO61" s="167">
        <v>0</v>
      </c>
      <c r="CP61" s="167">
        <v>0</v>
      </c>
      <c r="CQ61" s="167">
        <v>0</v>
      </c>
      <c r="CR61" s="167">
        <v>0</v>
      </c>
      <c r="CS61" s="167">
        <v>0</v>
      </c>
      <c r="CT61" s="167">
        <v>0</v>
      </c>
      <c r="CU61" s="167">
        <v>0</v>
      </c>
      <c r="CV61" s="167">
        <v>0</v>
      </c>
      <c r="CW61" s="167">
        <v>0</v>
      </c>
      <c r="CX61" s="167">
        <f>SUM(CD61:CH61)</f>
        <v>0</v>
      </c>
      <c r="CY61" s="167">
        <f>SUM(CD61:CM61)</f>
        <v>0</v>
      </c>
    </row>
    <row r="62" spans="1:103" ht="12.75" customHeight="1" x14ac:dyDescent="0.2">
      <c r="A62" s="81">
        <v>4748</v>
      </c>
      <c r="B62" s="165" t="s">
        <v>1924</v>
      </c>
      <c r="C62" s="165" t="s">
        <v>515</v>
      </c>
      <c r="E62" s="165" t="s">
        <v>3113</v>
      </c>
      <c r="G62" s="81">
        <v>529231</v>
      </c>
      <c r="H62" s="81">
        <v>171142</v>
      </c>
      <c r="I62" s="165" t="s">
        <v>252</v>
      </c>
      <c r="J62" s="349">
        <v>42277</v>
      </c>
      <c r="K62" s="349">
        <v>42920</v>
      </c>
      <c r="L62" s="166">
        <v>0</v>
      </c>
      <c r="M62" s="166">
        <v>1</v>
      </c>
      <c r="N62" s="166">
        <v>1</v>
      </c>
      <c r="O62" s="166">
        <v>1</v>
      </c>
      <c r="P62" s="166">
        <v>1</v>
      </c>
      <c r="R62" s="165" t="s">
        <v>750</v>
      </c>
      <c r="S62" s="81" t="s">
        <v>113</v>
      </c>
      <c r="T62" s="349">
        <v>41773</v>
      </c>
      <c r="U62" s="349">
        <v>41828</v>
      </c>
      <c r="W62" s="81" t="s">
        <v>114</v>
      </c>
      <c r="Y62" s="81" t="s">
        <v>115</v>
      </c>
      <c r="Z62" s="81" t="s">
        <v>310</v>
      </c>
      <c r="AA62" s="81" t="s">
        <v>117</v>
      </c>
      <c r="AB62" s="81" t="s">
        <v>399</v>
      </c>
      <c r="AC62" s="166">
        <v>4.9999998882412902E-3</v>
      </c>
      <c r="AD62" s="349">
        <v>42277</v>
      </c>
      <c r="AF62" s="349">
        <v>42920</v>
      </c>
      <c r="AG62" s="81" t="s">
        <v>238</v>
      </c>
      <c r="AH62" s="81" t="s">
        <v>118</v>
      </c>
      <c r="AK62" s="166">
        <v>0</v>
      </c>
      <c r="AM62" s="166">
        <v>0</v>
      </c>
      <c r="AO62" s="166">
        <v>0</v>
      </c>
      <c r="AP62" s="166">
        <v>1</v>
      </c>
      <c r="AQ62" s="166">
        <v>0</v>
      </c>
      <c r="AR62" s="166">
        <v>0</v>
      </c>
      <c r="AS62" s="166">
        <v>0</v>
      </c>
      <c r="AT62" s="166">
        <v>0</v>
      </c>
      <c r="AU62" s="166">
        <v>0</v>
      </c>
      <c r="AV62" s="166">
        <v>0</v>
      </c>
      <c r="AW62" s="166">
        <v>1</v>
      </c>
      <c r="AX62" s="166">
        <v>0</v>
      </c>
      <c r="AY62" s="166">
        <v>0</v>
      </c>
      <c r="AZ62" s="166">
        <v>0</v>
      </c>
      <c r="BA62" s="166">
        <v>0</v>
      </c>
      <c r="BB62" s="166">
        <v>0</v>
      </c>
      <c r="BC62" s="166">
        <v>0</v>
      </c>
      <c r="BD62" s="166">
        <v>0</v>
      </c>
      <c r="BE62" s="166">
        <v>0</v>
      </c>
      <c r="BF62" s="166">
        <v>0</v>
      </c>
      <c r="BG62" s="166">
        <v>0</v>
      </c>
      <c r="BH62" s="166">
        <v>0</v>
      </c>
      <c r="BI62" s="166">
        <v>0</v>
      </c>
      <c r="BJ62" s="166">
        <v>0</v>
      </c>
      <c r="BK62" s="166">
        <v>0</v>
      </c>
      <c r="BL62" s="166">
        <v>0</v>
      </c>
      <c r="BM62" s="166">
        <v>0</v>
      </c>
      <c r="BN62" s="166">
        <v>0</v>
      </c>
      <c r="BO62" s="166">
        <v>0</v>
      </c>
      <c r="BP62" s="166">
        <v>0</v>
      </c>
      <c r="BQ62" s="81" t="s">
        <v>1757</v>
      </c>
      <c r="BZ62" s="81" t="s">
        <v>155</v>
      </c>
      <c r="CA62" s="81">
        <v>7</v>
      </c>
      <c r="CC62" s="167">
        <f>N62</f>
        <v>1</v>
      </c>
      <c r="CD62" s="167">
        <v>0</v>
      </c>
      <c r="CE62" s="167">
        <v>0</v>
      </c>
      <c r="CF62" s="167">
        <v>0</v>
      </c>
      <c r="CG62" s="167">
        <v>0</v>
      </c>
      <c r="CH62" s="167">
        <v>0</v>
      </c>
      <c r="CI62" s="167">
        <v>0</v>
      </c>
      <c r="CJ62" s="167">
        <v>0</v>
      </c>
      <c r="CK62" s="167">
        <v>0</v>
      </c>
      <c r="CL62" s="167">
        <v>0</v>
      </c>
      <c r="CM62" s="167">
        <v>0</v>
      </c>
      <c r="CN62" s="167">
        <v>0</v>
      </c>
      <c r="CO62" s="167">
        <v>0</v>
      </c>
      <c r="CP62" s="167">
        <v>0</v>
      </c>
      <c r="CQ62" s="167">
        <v>0</v>
      </c>
      <c r="CR62" s="167">
        <v>0</v>
      </c>
      <c r="CS62" s="167">
        <v>0</v>
      </c>
      <c r="CT62" s="167">
        <v>0</v>
      </c>
      <c r="CU62" s="167">
        <v>0</v>
      </c>
      <c r="CV62" s="167">
        <v>0</v>
      </c>
      <c r="CW62" s="167">
        <v>0</v>
      </c>
      <c r="CX62" s="167">
        <f>SUM(CD62:CH62)</f>
        <v>0</v>
      </c>
      <c r="CY62" s="167">
        <f>SUM(CD62:CM62)</f>
        <v>0</v>
      </c>
    </row>
    <row r="63" spans="1:103" ht="12.75" customHeight="1" x14ac:dyDescent="0.2">
      <c r="A63" s="81">
        <v>4748</v>
      </c>
      <c r="B63" s="165" t="s">
        <v>1924</v>
      </c>
      <c r="C63" s="165" t="s">
        <v>3114</v>
      </c>
      <c r="E63" s="165" t="s">
        <v>3113</v>
      </c>
      <c r="G63" s="81">
        <v>529231</v>
      </c>
      <c r="H63" s="81">
        <v>171142</v>
      </c>
      <c r="I63" s="165" t="s">
        <v>252</v>
      </c>
      <c r="J63" s="349">
        <v>42942</v>
      </c>
      <c r="K63" s="349">
        <v>42942</v>
      </c>
      <c r="L63" s="166">
        <v>1</v>
      </c>
      <c r="M63" s="166">
        <v>1</v>
      </c>
      <c r="N63" s="166">
        <v>0</v>
      </c>
      <c r="O63" s="166">
        <v>1</v>
      </c>
      <c r="P63" s="166">
        <v>0</v>
      </c>
      <c r="R63" s="165" t="s">
        <v>3115</v>
      </c>
      <c r="S63" s="81" t="s">
        <v>113</v>
      </c>
      <c r="T63" s="349">
        <v>42886</v>
      </c>
      <c r="U63" s="349">
        <v>42942</v>
      </c>
      <c r="V63" s="81" t="s">
        <v>155</v>
      </c>
      <c r="W63" s="81" t="s">
        <v>114</v>
      </c>
      <c r="Y63" s="81" t="s">
        <v>115</v>
      </c>
      <c r="Z63" s="81" t="s">
        <v>398</v>
      </c>
      <c r="AA63" s="81" t="s">
        <v>117</v>
      </c>
      <c r="AB63" s="81" t="s">
        <v>220</v>
      </c>
      <c r="AC63" s="166">
        <v>4.9999998882412902E-3</v>
      </c>
      <c r="AD63" s="349">
        <v>42942</v>
      </c>
      <c r="AE63" s="81" t="s">
        <v>155</v>
      </c>
      <c r="AF63" s="349">
        <v>42942</v>
      </c>
      <c r="AG63" s="81" t="s">
        <v>238</v>
      </c>
      <c r="AH63" s="81" t="s">
        <v>118</v>
      </c>
      <c r="AK63" s="166">
        <v>0</v>
      </c>
      <c r="AM63" s="166">
        <v>0</v>
      </c>
      <c r="AO63" s="166">
        <v>0</v>
      </c>
      <c r="AP63" s="166">
        <v>-1</v>
      </c>
      <c r="AQ63" s="166">
        <v>1</v>
      </c>
      <c r="AR63" s="166">
        <v>0</v>
      </c>
      <c r="AS63" s="166">
        <v>0</v>
      </c>
      <c r="AT63" s="166">
        <v>0</v>
      </c>
      <c r="AU63" s="166">
        <v>0</v>
      </c>
      <c r="AV63" s="166">
        <v>0</v>
      </c>
      <c r="AW63" s="166">
        <v>-1</v>
      </c>
      <c r="AX63" s="166">
        <v>1</v>
      </c>
      <c r="AY63" s="166">
        <v>0</v>
      </c>
      <c r="AZ63" s="166">
        <v>0</v>
      </c>
      <c r="BA63" s="166">
        <v>0</v>
      </c>
      <c r="BB63" s="166">
        <v>0</v>
      </c>
      <c r="BC63" s="166">
        <v>0</v>
      </c>
      <c r="BD63" s="166">
        <v>0</v>
      </c>
      <c r="BE63" s="166">
        <v>0</v>
      </c>
      <c r="BF63" s="166">
        <v>0</v>
      </c>
      <c r="BG63" s="166">
        <v>0</v>
      </c>
      <c r="BH63" s="166">
        <v>0</v>
      </c>
      <c r="BI63" s="166">
        <v>0</v>
      </c>
      <c r="BJ63" s="166">
        <v>0</v>
      </c>
      <c r="BK63" s="166">
        <v>0</v>
      </c>
      <c r="BL63" s="166">
        <v>0</v>
      </c>
      <c r="BM63" s="166">
        <v>0</v>
      </c>
      <c r="BN63" s="166">
        <v>0</v>
      </c>
      <c r="BO63" s="166">
        <v>0</v>
      </c>
      <c r="BP63" s="166">
        <v>0</v>
      </c>
      <c r="BQ63" s="81" t="s">
        <v>1757</v>
      </c>
      <c r="BZ63" s="81" t="s">
        <v>155</v>
      </c>
      <c r="CA63" s="81">
        <v>7</v>
      </c>
      <c r="CC63" s="167">
        <f>N63</f>
        <v>0</v>
      </c>
      <c r="CD63" s="167">
        <v>0</v>
      </c>
      <c r="CE63" s="167">
        <v>0</v>
      </c>
      <c r="CF63" s="167">
        <v>0</v>
      </c>
      <c r="CG63" s="167">
        <v>0</v>
      </c>
      <c r="CH63" s="167">
        <v>0</v>
      </c>
      <c r="CI63" s="167">
        <v>0</v>
      </c>
      <c r="CJ63" s="167">
        <v>0</v>
      </c>
      <c r="CK63" s="167">
        <v>0</v>
      </c>
      <c r="CL63" s="167">
        <v>0</v>
      </c>
      <c r="CM63" s="167">
        <v>0</v>
      </c>
      <c r="CN63" s="167">
        <v>0</v>
      </c>
      <c r="CO63" s="167">
        <v>0</v>
      </c>
      <c r="CP63" s="167">
        <v>0</v>
      </c>
      <c r="CQ63" s="167">
        <v>0</v>
      </c>
      <c r="CR63" s="167">
        <v>0</v>
      </c>
      <c r="CS63" s="167">
        <v>0</v>
      </c>
      <c r="CT63" s="167">
        <v>0</v>
      </c>
      <c r="CU63" s="167">
        <v>0</v>
      </c>
      <c r="CV63" s="167">
        <v>0</v>
      </c>
      <c r="CW63" s="167">
        <v>0</v>
      </c>
      <c r="CX63" s="167">
        <f>SUM(CD63:CH63)</f>
        <v>0</v>
      </c>
      <c r="CY63" s="167">
        <f>SUM(CD63:CM63)</f>
        <v>0</v>
      </c>
    </row>
    <row r="64" spans="1:103" ht="12.75" customHeight="1" x14ac:dyDescent="0.2">
      <c r="A64" s="81">
        <v>4774</v>
      </c>
      <c r="B64" s="165" t="s">
        <v>1924</v>
      </c>
      <c r="C64" s="165" t="s">
        <v>302</v>
      </c>
      <c r="E64" s="165" t="s">
        <v>3116</v>
      </c>
      <c r="G64" s="81">
        <v>527896</v>
      </c>
      <c r="H64" s="81">
        <v>172432</v>
      </c>
      <c r="I64" s="165" t="s">
        <v>254</v>
      </c>
      <c r="J64" s="349">
        <v>42409</v>
      </c>
      <c r="K64" s="349">
        <v>43074</v>
      </c>
      <c r="L64" s="166">
        <v>0</v>
      </c>
      <c r="M64" s="166">
        <v>1</v>
      </c>
      <c r="N64" s="166">
        <v>1</v>
      </c>
      <c r="O64" s="166">
        <v>1</v>
      </c>
      <c r="P64" s="166">
        <v>1</v>
      </c>
      <c r="R64" s="165" t="s">
        <v>303</v>
      </c>
      <c r="S64" s="81" t="s">
        <v>113</v>
      </c>
      <c r="T64" s="349">
        <v>42010</v>
      </c>
      <c r="U64" s="349">
        <v>42066</v>
      </c>
      <c r="W64" s="81" t="s">
        <v>114</v>
      </c>
      <c r="Y64" s="81" t="s">
        <v>115</v>
      </c>
      <c r="Z64" s="81" t="s">
        <v>310</v>
      </c>
      <c r="AA64" s="81" t="s">
        <v>117</v>
      </c>
      <c r="AB64" s="81" t="s">
        <v>102</v>
      </c>
      <c r="AC64" s="166">
        <v>6.0000000521540598E-3</v>
      </c>
      <c r="AD64" s="349">
        <v>42409</v>
      </c>
      <c r="AF64" s="349">
        <v>43074</v>
      </c>
      <c r="AG64" s="81" t="s">
        <v>238</v>
      </c>
      <c r="AH64" s="81" t="s">
        <v>118</v>
      </c>
      <c r="AK64" s="166">
        <v>0</v>
      </c>
      <c r="AM64" s="166">
        <v>0</v>
      </c>
      <c r="AO64" s="166">
        <v>0</v>
      </c>
      <c r="AP64" s="166">
        <v>1</v>
      </c>
      <c r="AQ64" s="166">
        <v>0</v>
      </c>
      <c r="AR64" s="166">
        <v>0</v>
      </c>
      <c r="AS64" s="166">
        <v>0</v>
      </c>
      <c r="AT64" s="166">
        <v>0</v>
      </c>
      <c r="AU64" s="166">
        <v>0</v>
      </c>
      <c r="AV64" s="166">
        <v>0</v>
      </c>
      <c r="AW64" s="166">
        <v>1</v>
      </c>
      <c r="AX64" s="166">
        <v>0</v>
      </c>
      <c r="AY64" s="166">
        <v>0</v>
      </c>
      <c r="AZ64" s="166">
        <v>0</v>
      </c>
      <c r="BA64" s="166">
        <v>0</v>
      </c>
      <c r="BB64" s="166">
        <v>0</v>
      </c>
      <c r="BC64" s="166">
        <v>0</v>
      </c>
      <c r="BD64" s="166">
        <v>0</v>
      </c>
      <c r="BE64" s="166">
        <v>0</v>
      </c>
      <c r="BF64" s="166">
        <v>0</v>
      </c>
      <c r="BG64" s="166">
        <v>0</v>
      </c>
      <c r="BH64" s="166">
        <v>0</v>
      </c>
      <c r="BI64" s="166">
        <v>0</v>
      </c>
      <c r="BJ64" s="166">
        <v>0</v>
      </c>
      <c r="BK64" s="166">
        <v>0</v>
      </c>
      <c r="BL64" s="166">
        <v>0</v>
      </c>
      <c r="BM64" s="166">
        <v>0</v>
      </c>
      <c r="BN64" s="166">
        <v>0</v>
      </c>
      <c r="BO64" s="166">
        <v>0</v>
      </c>
      <c r="BP64" s="166">
        <v>0</v>
      </c>
      <c r="BQ64" s="81" t="s">
        <v>1757</v>
      </c>
      <c r="BZ64" s="81" t="s">
        <v>155</v>
      </c>
      <c r="CA64" s="81">
        <v>7</v>
      </c>
      <c r="CC64" s="167">
        <f>N64</f>
        <v>1</v>
      </c>
      <c r="CD64" s="167">
        <v>0</v>
      </c>
      <c r="CE64" s="167">
        <v>0</v>
      </c>
      <c r="CF64" s="167">
        <v>0</v>
      </c>
      <c r="CG64" s="167">
        <v>0</v>
      </c>
      <c r="CH64" s="167">
        <v>0</v>
      </c>
      <c r="CI64" s="167">
        <v>0</v>
      </c>
      <c r="CJ64" s="167">
        <v>0</v>
      </c>
      <c r="CK64" s="167">
        <v>0</v>
      </c>
      <c r="CL64" s="167">
        <v>0</v>
      </c>
      <c r="CM64" s="167">
        <v>0</v>
      </c>
      <c r="CN64" s="167">
        <v>0</v>
      </c>
      <c r="CO64" s="167">
        <v>0</v>
      </c>
      <c r="CP64" s="167">
        <v>0</v>
      </c>
      <c r="CQ64" s="167">
        <v>0</v>
      </c>
      <c r="CR64" s="167">
        <v>0</v>
      </c>
      <c r="CS64" s="167">
        <v>0</v>
      </c>
      <c r="CT64" s="167">
        <v>0</v>
      </c>
      <c r="CU64" s="167">
        <v>0</v>
      </c>
      <c r="CV64" s="167">
        <v>0</v>
      </c>
      <c r="CW64" s="167">
        <v>0</v>
      </c>
      <c r="CX64" s="167">
        <f>SUM(CD64:CH64)</f>
        <v>0</v>
      </c>
      <c r="CY64" s="167">
        <f>SUM(CD64:CM64)</f>
        <v>0</v>
      </c>
    </row>
    <row r="65" spans="1:103" ht="12.75" customHeight="1" x14ac:dyDescent="0.2">
      <c r="A65" s="81">
        <v>4775</v>
      </c>
      <c r="B65" s="165" t="s">
        <v>1924</v>
      </c>
      <c r="C65" s="165" t="s">
        <v>35</v>
      </c>
      <c r="E65" s="165" t="s">
        <v>2104</v>
      </c>
      <c r="G65" s="81">
        <v>521333</v>
      </c>
      <c r="H65" s="81">
        <v>174425</v>
      </c>
      <c r="I65" s="165" t="s">
        <v>877</v>
      </c>
      <c r="J65" s="349">
        <v>42094</v>
      </c>
      <c r="K65" s="349">
        <v>43190</v>
      </c>
      <c r="L65" s="166">
        <v>0</v>
      </c>
      <c r="M65" s="166">
        <v>2</v>
      </c>
      <c r="N65" s="166">
        <v>2</v>
      </c>
      <c r="O65" s="166">
        <v>2</v>
      </c>
      <c r="P65" s="166">
        <v>2</v>
      </c>
      <c r="R65" s="165" t="s">
        <v>749</v>
      </c>
      <c r="S65" s="81" t="s">
        <v>113</v>
      </c>
      <c r="T65" s="349">
        <v>41730</v>
      </c>
      <c r="U65" s="349">
        <v>41842</v>
      </c>
      <c r="W65" s="81" t="s">
        <v>114</v>
      </c>
      <c r="Y65" s="81" t="s">
        <v>115</v>
      </c>
      <c r="Z65" s="81" t="s">
        <v>116</v>
      </c>
      <c r="AA65" s="81" t="s">
        <v>117</v>
      </c>
      <c r="AB65" s="81" t="s">
        <v>218</v>
      </c>
      <c r="AC65" s="166">
        <v>1.60000007599592E-2</v>
      </c>
      <c r="AD65" s="349">
        <v>42094</v>
      </c>
      <c r="AF65" s="349">
        <v>43190</v>
      </c>
      <c r="AG65" s="81" t="s">
        <v>238</v>
      </c>
      <c r="AH65" s="81" t="s">
        <v>118</v>
      </c>
      <c r="AK65" s="166">
        <v>0</v>
      </c>
      <c r="AM65" s="166">
        <v>0</v>
      </c>
      <c r="AO65" s="166">
        <v>0</v>
      </c>
      <c r="AP65" s="166">
        <v>1</v>
      </c>
      <c r="AQ65" s="166">
        <v>1</v>
      </c>
      <c r="AR65" s="166">
        <v>0</v>
      </c>
      <c r="AS65" s="166">
        <v>0</v>
      </c>
      <c r="AT65" s="166">
        <v>0</v>
      </c>
      <c r="AU65" s="166">
        <v>0</v>
      </c>
      <c r="AV65" s="166">
        <v>0</v>
      </c>
      <c r="AW65" s="166">
        <v>1</v>
      </c>
      <c r="AX65" s="166">
        <v>1</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81" t="s">
        <v>1758</v>
      </c>
      <c r="BZ65" s="81" t="s">
        <v>155</v>
      </c>
      <c r="CA65" s="81">
        <v>1</v>
      </c>
      <c r="CC65" s="167">
        <f>N65</f>
        <v>2</v>
      </c>
      <c r="CD65" s="167">
        <v>0</v>
      </c>
      <c r="CE65" s="167">
        <v>0</v>
      </c>
      <c r="CF65" s="167">
        <v>0</v>
      </c>
      <c r="CG65" s="167">
        <v>0</v>
      </c>
      <c r="CH65" s="167">
        <v>0</v>
      </c>
      <c r="CI65" s="167">
        <v>0</v>
      </c>
      <c r="CJ65" s="167">
        <v>0</v>
      </c>
      <c r="CK65" s="167">
        <v>0</v>
      </c>
      <c r="CL65" s="167">
        <v>0</v>
      </c>
      <c r="CM65" s="167">
        <v>0</v>
      </c>
      <c r="CN65" s="167">
        <v>0</v>
      </c>
      <c r="CO65" s="167">
        <v>0</v>
      </c>
      <c r="CP65" s="167">
        <v>0</v>
      </c>
      <c r="CQ65" s="167">
        <v>0</v>
      </c>
      <c r="CR65" s="167">
        <v>0</v>
      </c>
      <c r="CS65" s="167">
        <v>0</v>
      </c>
      <c r="CT65" s="167">
        <v>0</v>
      </c>
      <c r="CU65" s="167">
        <v>0</v>
      </c>
      <c r="CV65" s="167">
        <v>0</v>
      </c>
      <c r="CW65" s="167">
        <v>0</v>
      </c>
      <c r="CX65" s="167">
        <f>SUM(CD65:CH65)</f>
        <v>0</v>
      </c>
      <c r="CY65" s="167">
        <f>SUM(CD65:CM65)</f>
        <v>0</v>
      </c>
    </row>
    <row r="66" spans="1:103" ht="12.75" customHeight="1" x14ac:dyDescent="0.2">
      <c r="A66" s="81">
        <v>4811</v>
      </c>
      <c r="B66" s="165" t="s">
        <v>1924</v>
      </c>
      <c r="C66" s="165" t="s">
        <v>3117</v>
      </c>
      <c r="E66" s="165" t="s">
        <v>3118</v>
      </c>
      <c r="G66" s="81">
        <v>524902</v>
      </c>
      <c r="H66" s="81">
        <v>174155</v>
      </c>
      <c r="I66" s="165" t="s">
        <v>250</v>
      </c>
      <c r="J66" s="349">
        <v>43039</v>
      </c>
      <c r="K66" s="349">
        <v>43190</v>
      </c>
      <c r="L66" s="166">
        <v>2</v>
      </c>
      <c r="M66" s="166">
        <v>0</v>
      </c>
      <c r="N66" s="166">
        <v>-2</v>
      </c>
      <c r="O66" s="166">
        <v>0</v>
      </c>
      <c r="P66" s="166">
        <v>-2</v>
      </c>
      <c r="R66" s="165" t="s">
        <v>3119</v>
      </c>
      <c r="S66" s="81" t="s">
        <v>113</v>
      </c>
      <c r="T66" s="349">
        <v>42983</v>
      </c>
      <c r="U66" s="349">
        <v>43039</v>
      </c>
      <c r="V66" s="81" t="s">
        <v>155</v>
      </c>
      <c r="W66" s="81" t="s">
        <v>114</v>
      </c>
      <c r="Y66" s="81" t="s">
        <v>115</v>
      </c>
      <c r="Z66" s="81" t="s">
        <v>398</v>
      </c>
      <c r="AA66" s="81" t="s">
        <v>117</v>
      </c>
      <c r="AB66" s="81" t="s">
        <v>300</v>
      </c>
      <c r="AC66" s="166">
        <v>3.5000000149011598E-2</v>
      </c>
      <c r="AD66" s="349">
        <v>43039</v>
      </c>
      <c r="AE66" s="81" t="s">
        <v>155</v>
      </c>
      <c r="AF66" s="349">
        <v>43190</v>
      </c>
      <c r="AG66" s="81" t="s">
        <v>238</v>
      </c>
      <c r="AH66" s="81" t="s">
        <v>118</v>
      </c>
      <c r="AK66" s="166">
        <v>0</v>
      </c>
      <c r="AM66" s="166">
        <v>0</v>
      </c>
      <c r="AO66" s="166">
        <v>0</v>
      </c>
      <c r="AP66" s="166">
        <v>-1</v>
      </c>
      <c r="AQ66" s="166">
        <v>0</v>
      </c>
      <c r="AR66" s="166">
        <v>0</v>
      </c>
      <c r="AS66" s="166">
        <v>-1</v>
      </c>
      <c r="AT66" s="166">
        <v>0</v>
      </c>
      <c r="AU66" s="166">
        <v>0</v>
      </c>
      <c r="AV66" s="166">
        <v>0</v>
      </c>
      <c r="AW66" s="166">
        <v>-1</v>
      </c>
      <c r="AX66" s="166">
        <v>0</v>
      </c>
      <c r="AY66" s="166">
        <v>0</v>
      </c>
      <c r="AZ66" s="166">
        <v>-1</v>
      </c>
      <c r="BA66" s="166">
        <v>0</v>
      </c>
      <c r="BB66" s="166">
        <v>0</v>
      </c>
      <c r="BC66" s="166">
        <v>0</v>
      </c>
      <c r="BD66" s="166">
        <v>0</v>
      </c>
      <c r="BE66" s="166">
        <v>0</v>
      </c>
      <c r="BF66" s="166">
        <v>0</v>
      </c>
      <c r="BG66" s="166">
        <v>0</v>
      </c>
      <c r="BH66" s="166">
        <v>0</v>
      </c>
      <c r="BI66" s="166">
        <v>0</v>
      </c>
      <c r="BJ66" s="166">
        <v>0</v>
      </c>
      <c r="BK66" s="166">
        <v>0</v>
      </c>
      <c r="BL66" s="166">
        <v>0</v>
      </c>
      <c r="BM66" s="166">
        <v>0</v>
      </c>
      <c r="BN66" s="166">
        <v>0</v>
      </c>
      <c r="BO66" s="166">
        <v>0</v>
      </c>
      <c r="BP66" s="166">
        <v>0</v>
      </c>
      <c r="BQ66" s="81" t="s">
        <v>1758</v>
      </c>
      <c r="BZ66" s="81" t="s">
        <v>155</v>
      </c>
      <c r="CA66" s="81">
        <v>7</v>
      </c>
      <c r="CC66" s="167">
        <f>N66</f>
        <v>-2</v>
      </c>
      <c r="CD66" s="167">
        <v>0</v>
      </c>
      <c r="CE66" s="167">
        <v>0</v>
      </c>
      <c r="CF66" s="167">
        <v>0</v>
      </c>
      <c r="CG66" s="167">
        <v>0</v>
      </c>
      <c r="CH66" s="167">
        <v>0</v>
      </c>
      <c r="CI66" s="167">
        <v>0</v>
      </c>
      <c r="CJ66" s="167">
        <v>0</v>
      </c>
      <c r="CK66" s="167">
        <v>0</v>
      </c>
      <c r="CL66" s="167">
        <v>0</v>
      </c>
      <c r="CM66" s="167">
        <v>0</v>
      </c>
      <c r="CN66" s="167">
        <v>0</v>
      </c>
      <c r="CO66" s="167">
        <v>0</v>
      </c>
      <c r="CP66" s="167">
        <v>0</v>
      </c>
      <c r="CQ66" s="167">
        <v>0</v>
      </c>
      <c r="CR66" s="167">
        <v>0</v>
      </c>
      <c r="CS66" s="167">
        <v>0</v>
      </c>
      <c r="CT66" s="167">
        <v>0</v>
      </c>
      <c r="CU66" s="167">
        <v>0</v>
      </c>
      <c r="CV66" s="167">
        <v>0</v>
      </c>
      <c r="CW66" s="167">
        <v>0</v>
      </c>
      <c r="CX66" s="167">
        <f>SUM(CD66:CH66)</f>
        <v>0</v>
      </c>
      <c r="CY66" s="167">
        <f>SUM(CD66:CM66)</f>
        <v>0</v>
      </c>
    </row>
    <row r="67" spans="1:103" ht="12.75" customHeight="1" x14ac:dyDescent="0.2">
      <c r="A67" s="81">
        <v>4822</v>
      </c>
      <c r="B67" s="165" t="s">
        <v>1924</v>
      </c>
      <c r="C67" s="165" t="s">
        <v>1059</v>
      </c>
      <c r="E67" s="165" t="s">
        <v>3120</v>
      </c>
      <c r="G67" s="81">
        <v>527588</v>
      </c>
      <c r="H67" s="81">
        <v>171057</v>
      </c>
      <c r="I67" s="165" t="s">
        <v>253</v>
      </c>
      <c r="J67" s="349">
        <v>42559</v>
      </c>
      <c r="K67" s="349">
        <v>43190</v>
      </c>
      <c r="L67" s="166">
        <v>0</v>
      </c>
      <c r="M67" s="166">
        <v>5</v>
      </c>
      <c r="N67" s="166">
        <v>5</v>
      </c>
      <c r="O67" s="166">
        <v>5</v>
      </c>
      <c r="P67" s="166">
        <v>5</v>
      </c>
      <c r="R67" s="165" t="s">
        <v>1060</v>
      </c>
      <c r="S67" s="81" t="s">
        <v>113</v>
      </c>
      <c r="T67" s="349">
        <v>42636</v>
      </c>
      <c r="U67" s="349">
        <v>42822</v>
      </c>
      <c r="W67" s="81" t="s">
        <v>114</v>
      </c>
      <c r="Y67" s="81" t="s">
        <v>115</v>
      </c>
      <c r="Z67" s="81" t="s">
        <v>310</v>
      </c>
      <c r="AA67" s="81" t="s">
        <v>117</v>
      </c>
      <c r="AB67" s="81" t="s">
        <v>399</v>
      </c>
      <c r="AC67" s="166">
        <v>3.5000000149011598E-2</v>
      </c>
      <c r="AD67" s="349">
        <v>42559</v>
      </c>
      <c r="AF67" s="349">
        <v>43190</v>
      </c>
      <c r="AG67" s="81" t="s">
        <v>238</v>
      </c>
      <c r="AH67" s="81" t="s">
        <v>118</v>
      </c>
      <c r="AK67" s="166">
        <v>0</v>
      </c>
      <c r="AM67" s="166">
        <v>0</v>
      </c>
      <c r="AO67" s="166">
        <v>0</v>
      </c>
      <c r="AP67" s="166">
        <v>5</v>
      </c>
      <c r="AQ67" s="166">
        <v>0</v>
      </c>
      <c r="AR67" s="166">
        <v>0</v>
      </c>
      <c r="AS67" s="166">
        <v>0</v>
      </c>
      <c r="AT67" s="166">
        <v>0</v>
      </c>
      <c r="AU67" s="166">
        <v>0</v>
      </c>
      <c r="AV67" s="166">
        <v>0</v>
      </c>
      <c r="AW67" s="166">
        <v>0</v>
      </c>
      <c r="AX67" s="166">
        <v>0</v>
      </c>
      <c r="AY67" s="166">
        <v>0</v>
      </c>
      <c r="AZ67" s="166">
        <v>0</v>
      </c>
      <c r="BA67" s="166">
        <v>0</v>
      </c>
      <c r="BB67" s="166">
        <v>0</v>
      </c>
      <c r="BC67" s="166">
        <v>0</v>
      </c>
      <c r="BD67" s="166">
        <v>5</v>
      </c>
      <c r="BE67" s="166">
        <v>0</v>
      </c>
      <c r="BF67" s="166">
        <v>0</v>
      </c>
      <c r="BG67" s="166">
        <v>0</v>
      </c>
      <c r="BH67" s="166">
        <v>0</v>
      </c>
      <c r="BI67" s="166">
        <v>0</v>
      </c>
      <c r="BJ67" s="166">
        <v>0</v>
      </c>
      <c r="BK67" s="166">
        <v>0</v>
      </c>
      <c r="BL67" s="166">
        <v>0</v>
      </c>
      <c r="BM67" s="166">
        <v>0</v>
      </c>
      <c r="BN67" s="166">
        <v>0</v>
      </c>
      <c r="BO67" s="166">
        <v>0</v>
      </c>
      <c r="BP67" s="166">
        <v>0</v>
      </c>
      <c r="BQ67" s="81" t="s">
        <v>1757</v>
      </c>
      <c r="BZ67" s="81" t="s">
        <v>155</v>
      </c>
      <c r="CA67" s="81">
        <v>7</v>
      </c>
      <c r="CC67" s="167">
        <f>N67</f>
        <v>5</v>
      </c>
      <c r="CD67" s="167">
        <v>0</v>
      </c>
      <c r="CE67" s="167">
        <v>0</v>
      </c>
      <c r="CF67" s="167">
        <v>0</v>
      </c>
      <c r="CG67" s="167">
        <v>0</v>
      </c>
      <c r="CH67" s="167">
        <v>0</v>
      </c>
      <c r="CI67" s="167">
        <v>0</v>
      </c>
      <c r="CJ67" s="167">
        <v>0</v>
      </c>
      <c r="CK67" s="167">
        <v>0</v>
      </c>
      <c r="CL67" s="167">
        <v>0</v>
      </c>
      <c r="CM67" s="167">
        <v>0</v>
      </c>
      <c r="CN67" s="167">
        <v>0</v>
      </c>
      <c r="CO67" s="167">
        <v>0</v>
      </c>
      <c r="CP67" s="167">
        <v>0</v>
      </c>
      <c r="CQ67" s="167">
        <v>0</v>
      </c>
      <c r="CR67" s="167">
        <v>0</v>
      </c>
      <c r="CS67" s="167">
        <v>0</v>
      </c>
      <c r="CT67" s="167">
        <v>0</v>
      </c>
      <c r="CU67" s="167">
        <v>0</v>
      </c>
      <c r="CV67" s="167">
        <v>0</v>
      </c>
      <c r="CW67" s="167">
        <v>0</v>
      </c>
      <c r="CX67" s="167">
        <f>SUM(CD67:CH67)</f>
        <v>0</v>
      </c>
      <c r="CY67" s="167">
        <f>SUM(CD67:CM67)</f>
        <v>0</v>
      </c>
    </row>
    <row r="68" spans="1:103" ht="12.75" customHeight="1" x14ac:dyDescent="0.2">
      <c r="A68" s="81">
        <v>4954</v>
      </c>
      <c r="B68" s="165" t="s">
        <v>1924</v>
      </c>
      <c r="C68" s="165" t="s">
        <v>1709</v>
      </c>
      <c r="E68" s="165" t="s">
        <v>3121</v>
      </c>
      <c r="G68" s="81">
        <v>527231</v>
      </c>
      <c r="H68" s="81">
        <v>177059</v>
      </c>
      <c r="I68" s="165" t="s">
        <v>257</v>
      </c>
      <c r="J68" s="349">
        <v>42937</v>
      </c>
      <c r="K68" s="349">
        <v>43190</v>
      </c>
      <c r="L68" s="166">
        <v>1</v>
      </c>
      <c r="M68" s="166">
        <v>1</v>
      </c>
      <c r="N68" s="166">
        <v>0</v>
      </c>
      <c r="O68" s="166">
        <v>1</v>
      </c>
      <c r="P68" s="166">
        <v>0</v>
      </c>
      <c r="R68" s="165" t="s">
        <v>1710</v>
      </c>
      <c r="S68" s="81" t="s">
        <v>113</v>
      </c>
      <c r="T68" s="349">
        <v>42765</v>
      </c>
      <c r="U68" s="349">
        <v>42821</v>
      </c>
      <c r="W68" s="81" t="s">
        <v>114</v>
      </c>
      <c r="Y68" s="81" t="s">
        <v>115</v>
      </c>
      <c r="Z68" s="81" t="s">
        <v>116</v>
      </c>
      <c r="AA68" s="81" t="s">
        <v>117</v>
      </c>
      <c r="AB68" s="81" t="s">
        <v>218</v>
      </c>
      <c r="AC68" s="166">
        <v>2.0000000949949E-3</v>
      </c>
      <c r="AD68" s="349">
        <v>42937</v>
      </c>
      <c r="AE68" s="81" t="s">
        <v>155</v>
      </c>
      <c r="AF68" s="349">
        <v>43190</v>
      </c>
      <c r="AG68" s="81" t="s">
        <v>238</v>
      </c>
      <c r="AH68" s="81" t="s">
        <v>118</v>
      </c>
      <c r="AK68" s="166">
        <v>0</v>
      </c>
      <c r="AM68" s="166">
        <v>0</v>
      </c>
      <c r="AO68" s="166">
        <v>0</v>
      </c>
      <c r="AP68" s="166">
        <v>0</v>
      </c>
      <c r="AQ68" s="166">
        <v>0</v>
      </c>
      <c r="AR68" s="166">
        <v>0</v>
      </c>
      <c r="AS68" s="166">
        <v>0</v>
      </c>
      <c r="AT68" s="166">
        <v>0</v>
      </c>
      <c r="AU68" s="166">
        <v>0</v>
      </c>
      <c r="AV68" s="166">
        <v>0</v>
      </c>
      <c r="AW68" s="166">
        <v>0</v>
      </c>
      <c r="AX68" s="166">
        <v>0</v>
      </c>
      <c r="AY68" s="166">
        <v>0</v>
      </c>
      <c r="AZ68" s="166">
        <v>0</v>
      </c>
      <c r="BA68" s="166">
        <v>0</v>
      </c>
      <c r="BB68" s="166">
        <v>0</v>
      </c>
      <c r="BC68" s="166">
        <v>0</v>
      </c>
      <c r="BD68" s="166">
        <v>0</v>
      </c>
      <c r="BE68" s="166">
        <v>0</v>
      </c>
      <c r="BF68" s="166">
        <v>0</v>
      </c>
      <c r="BG68" s="166">
        <v>0</v>
      </c>
      <c r="BH68" s="166">
        <v>0</v>
      </c>
      <c r="BI68" s="166">
        <v>0</v>
      </c>
      <c r="BJ68" s="166">
        <v>0</v>
      </c>
      <c r="BK68" s="166">
        <v>0</v>
      </c>
      <c r="BL68" s="166">
        <v>0</v>
      </c>
      <c r="BM68" s="166">
        <v>0</v>
      </c>
      <c r="BN68" s="166">
        <v>0</v>
      </c>
      <c r="BO68" s="166">
        <v>0</v>
      </c>
      <c r="BP68" s="166">
        <v>0</v>
      </c>
      <c r="BQ68" s="81" t="s">
        <v>1757</v>
      </c>
      <c r="BZ68" s="81" t="s">
        <v>155</v>
      </c>
      <c r="CA68" s="81">
        <v>1</v>
      </c>
      <c r="CC68" s="167">
        <f>N68</f>
        <v>0</v>
      </c>
      <c r="CD68" s="167">
        <v>0</v>
      </c>
      <c r="CE68" s="167">
        <v>0</v>
      </c>
      <c r="CF68" s="167">
        <v>0</v>
      </c>
      <c r="CG68" s="167">
        <v>0</v>
      </c>
      <c r="CH68" s="167">
        <v>0</v>
      </c>
      <c r="CI68" s="167">
        <v>0</v>
      </c>
      <c r="CJ68" s="167">
        <v>0</v>
      </c>
      <c r="CK68" s="167">
        <v>0</v>
      </c>
      <c r="CL68" s="167">
        <v>0</v>
      </c>
      <c r="CM68" s="167">
        <v>0</v>
      </c>
      <c r="CN68" s="167">
        <v>0</v>
      </c>
      <c r="CO68" s="167">
        <v>0</v>
      </c>
      <c r="CP68" s="167">
        <v>0</v>
      </c>
      <c r="CQ68" s="167">
        <v>0</v>
      </c>
      <c r="CR68" s="167">
        <v>0</v>
      </c>
      <c r="CS68" s="167">
        <v>0</v>
      </c>
      <c r="CT68" s="167">
        <v>0</v>
      </c>
      <c r="CU68" s="167">
        <v>0</v>
      </c>
      <c r="CV68" s="167">
        <v>0</v>
      </c>
      <c r="CW68" s="167">
        <v>0</v>
      </c>
      <c r="CX68" s="167">
        <f>SUM(CD68:CH68)</f>
        <v>0</v>
      </c>
      <c r="CY68" s="167">
        <f>SUM(CD68:CM68)</f>
        <v>0</v>
      </c>
    </row>
    <row r="69" spans="1:103" ht="12.75" customHeight="1" x14ac:dyDescent="0.2">
      <c r="A69" s="81">
        <v>5034</v>
      </c>
      <c r="B69" s="165" t="s">
        <v>1924</v>
      </c>
      <c r="C69" s="165" t="s">
        <v>17</v>
      </c>
      <c r="E69" s="165" t="s">
        <v>3122</v>
      </c>
      <c r="G69" s="81">
        <v>528686</v>
      </c>
      <c r="H69" s="81">
        <v>176535</v>
      </c>
      <c r="I69" s="165" t="s">
        <v>240</v>
      </c>
      <c r="J69" s="349">
        <v>42250</v>
      </c>
      <c r="K69" s="349">
        <v>42846</v>
      </c>
      <c r="L69" s="166">
        <v>1</v>
      </c>
      <c r="M69" s="166">
        <v>9</v>
      </c>
      <c r="N69" s="166">
        <v>8</v>
      </c>
      <c r="O69" s="166">
        <v>9</v>
      </c>
      <c r="P69" s="166">
        <v>8</v>
      </c>
      <c r="R69" s="165" t="s">
        <v>747</v>
      </c>
      <c r="S69" s="81" t="s">
        <v>113</v>
      </c>
      <c r="T69" s="349">
        <v>41646</v>
      </c>
      <c r="U69" s="349">
        <v>41702</v>
      </c>
      <c r="W69" s="81" t="s">
        <v>114</v>
      </c>
      <c r="Y69" s="81" t="s">
        <v>115</v>
      </c>
      <c r="Z69" s="81" t="s">
        <v>116</v>
      </c>
      <c r="AA69" s="81" t="s">
        <v>117</v>
      </c>
      <c r="AB69" s="81" t="s">
        <v>218</v>
      </c>
      <c r="AC69" s="166">
        <v>2.3000000044703501E-2</v>
      </c>
      <c r="AD69" s="349">
        <v>42250</v>
      </c>
      <c r="AF69" s="349">
        <v>42846</v>
      </c>
      <c r="AG69" s="81" t="s">
        <v>238</v>
      </c>
      <c r="AH69" s="81" t="s">
        <v>118</v>
      </c>
      <c r="AK69" s="166">
        <v>0</v>
      </c>
      <c r="AM69" s="166">
        <v>0</v>
      </c>
      <c r="AO69" s="166">
        <v>1</v>
      </c>
      <c r="AP69" s="166">
        <v>0</v>
      </c>
      <c r="AQ69" s="166">
        <v>8</v>
      </c>
      <c r="AR69" s="166">
        <v>0</v>
      </c>
      <c r="AS69" s="166">
        <v>-1</v>
      </c>
      <c r="AT69" s="166">
        <v>0</v>
      </c>
      <c r="AU69" s="166">
        <v>0</v>
      </c>
      <c r="AV69" s="166">
        <v>1</v>
      </c>
      <c r="AW69" s="166">
        <v>0</v>
      </c>
      <c r="AX69" s="166">
        <v>8</v>
      </c>
      <c r="AY69" s="166">
        <v>0</v>
      </c>
      <c r="AZ69" s="166">
        <v>0</v>
      </c>
      <c r="BA69" s="166">
        <v>0</v>
      </c>
      <c r="BB69" s="166">
        <v>0</v>
      </c>
      <c r="BC69" s="166">
        <v>0</v>
      </c>
      <c r="BD69" s="166">
        <v>0</v>
      </c>
      <c r="BE69" s="166">
        <v>0</v>
      </c>
      <c r="BF69" s="166">
        <v>0</v>
      </c>
      <c r="BG69" s="166">
        <v>-1</v>
      </c>
      <c r="BH69" s="166">
        <v>0</v>
      </c>
      <c r="BI69" s="166">
        <v>0</v>
      </c>
      <c r="BJ69" s="166">
        <v>0</v>
      </c>
      <c r="BK69" s="166">
        <v>0</v>
      </c>
      <c r="BL69" s="166">
        <v>0</v>
      </c>
      <c r="BM69" s="166">
        <v>0</v>
      </c>
      <c r="BN69" s="166">
        <v>0</v>
      </c>
      <c r="BO69" s="166">
        <v>0</v>
      </c>
      <c r="BP69" s="166">
        <v>0</v>
      </c>
      <c r="BQ69" s="81" t="s">
        <v>1757</v>
      </c>
      <c r="BZ69" s="81" t="s">
        <v>155</v>
      </c>
      <c r="CA69" s="81">
        <v>1</v>
      </c>
      <c r="CC69" s="167">
        <f>N69</f>
        <v>8</v>
      </c>
      <c r="CD69" s="167">
        <v>0</v>
      </c>
      <c r="CE69" s="167">
        <v>0</v>
      </c>
      <c r="CF69" s="167">
        <v>0</v>
      </c>
      <c r="CG69" s="167">
        <v>0</v>
      </c>
      <c r="CH69" s="167">
        <v>0</v>
      </c>
      <c r="CI69" s="167">
        <v>0</v>
      </c>
      <c r="CJ69" s="167">
        <v>0</v>
      </c>
      <c r="CK69" s="167">
        <v>0</v>
      </c>
      <c r="CL69" s="167">
        <v>0</v>
      </c>
      <c r="CM69" s="167">
        <v>0</v>
      </c>
      <c r="CN69" s="167">
        <v>0</v>
      </c>
      <c r="CO69" s="167">
        <v>0</v>
      </c>
      <c r="CP69" s="167">
        <v>0</v>
      </c>
      <c r="CQ69" s="167">
        <v>0</v>
      </c>
      <c r="CR69" s="167">
        <v>0</v>
      </c>
      <c r="CS69" s="167">
        <v>0</v>
      </c>
      <c r="CT69" s="167">
        <v>0</v>
      </c>
      <c r="CU69" s="167">
        <v>0</v>
      </c>
      <c r="CV69" s="167">
        <v>0</v>
      </c>
      <c r="CW69" s="167">
        <v>0</v>
      </c>
      <c r="CX69" s="167">
        <f>SUM(CD69:CH69)</f>
        <v>0</v>
      </c>
      <c r="CY69" s="167">
        <f>SUM(CD69:CM69)</f>
        <v>0</v>
      </c>
    </row>
    <row r="70" spans="1:103" ht="12.75" customHeight="1" x14ac:dyDescent="0.2">
      <c r="A70" s="81">
        <v>5189</v>
      </c>
      <c r="B70" s="165" t="s">
        <v>1924</v>
      </c>
      <c r="C70" s="165" t="s">
        <v>693</v>
      </c>
      <c r="E70" s="165" t="s">
        <v>3123</v>
      </c>
      <c r="G70" s="81">
        <v>527922</v>
      </c>
      <c r="H70" s="81">
        <v>175459</v>
      </c>
      <c r="I70" s="165" t="s">
        <v>256</v>
      </c>
      <c r="J70" s="349">
        <v>42481</v>
      </c>
      <c r="K70" s="349">
        <v>42894</v>
      </c>
      <c r="L70" s="166">
        <v>10</v>
      </c>
      <c r="M70" s="166">
        <v>6</v>
      </c>
      <c r="N70" s="166">
        <v>-4</v>
      </c>
      <c r="O70" s="166">
        <v>6</v>
      </c>
      <c r="P70" s="166">
        <v>-4</v>
      </c>
      <c r="R70" s="165" t="s">
        <v>1688</v>
      </c>
      <c r="S70" s="81" t="s">
        <v>113</v>
      </c>
      <c r="T70" s="349">
        <v>42389</v>
      </c>
      <c r="U70" s="349">
        <v>42445</v>
      </c>
      <c r="W70" s="81" t="s">
        <v>114</v>
      </c>
      <c r="Y70" s="81" t="s">
        <v>115</v>
      </c>
      <c r="Z70" s="81" t="s">
        <v>398</v>
      </c>
      <c r="AA70" s="81" t="s">
        <v>117</v>
      </c>
      <c r="AB70" s="81" t="s">
        <v>300</v>
      </c>
      <c r="AC70" s="166">
        <v>2.0999999716877899E-2</v>
      </c>
      <c r="AD70" s="349">
        <v>42481</v>
      </c>
      <c r="AF70" s="349">
        <v>42894</v>
      </c>
      <c r="AG70" s="81" t="s">
        <v>238</v>
      </c>
      <c r="AH70" s="81" t="s">
        <v>118</v>
      </c>
      <c r="AK70" s="166">
        <v>0</v>
      </c>
      <c r="AM70" s="166">
        <v>0</v>
      </c>
      <c r="AO70" s="166">
        <v>-7</v>
      </c>
      <c r="AP70" s="166">
        <v>3</v>
      </c>
      <c r="AQ70" s="166">
        <v>2</v>
      </c>
      <c r="AR70" s="166">
        <v>-2</v>
      </c>
      <c r="AS70" s="166">
        <v>0</v>
      </c>
      <c r="AT70" s="166">
        <v>0</v>
      </c>
      <c r="AU70" s="166">
        <v>0</v>
      </c>
      <c r="AV70" s="166">
        <v>-7</v>
      </c>
      <c r="AW70" s="166">
        <v>3</v>
      </c>
      <c r="AX70" s="166">
        <v>2</v>
      </c>
      <c r="AY70" s="166">
        <v>-2</v>
      </c>
      <c r="AZ70" s="166">
        <v>0</v>
      </c>
      <c r="BA70" s="166">
        <v>0</v>
      </c>
      <c r="BB70" s="166">
        <v>0</v>
      </c>
      <c r="BC70" s="166">
        <v>0</v>
      </c>
      <c r="BD70" s="166">
        <v>0</v>
      </c>
      <c r="BE70" s="166">
        <v>0</v>
      </c>
      <c r="BF70" s="166">
        <v>0</v>
      </c>
      <c r="BG70" s="166">
        <v>0</v>
      </c>
      <c r="BH70" s="166">
        <v>0</v>
      </c>
      <c r="BI70" s="166">
        <v>0</v>
      </c>
      <c r="BJ70" s="166">
        <v>0</v>
      </c>
      <c r="BK70" s="166">
        <v>0</v>
      </c>
      <c r="BL70" s="166">
        <v>0</v>
      </c>
      <c r="BM70" s="166">
        <v>0</v>
      </c>
      <c r="BN70" s="166">
        <v>0</v>
      </c>
      <c r="BO70" s="166">
        <v>0</v>
      </c>
      <c r="BP70" s="166">
        <v>0</v>
      </c>
      <c r="BQ70" s="81" t="s">
        <v>1757</v>
      </c>
      <c r="BZ70" s="81" t="s">
        <v>155</v>
      </c>
      <c r="CA70" s="81">
        <v>7</v>
      </c>
      <c r="CC70" s="167">
        <f>N70</f>
        <v>-4</v>
      </c>
      <c r="CD70" s="167">
        <v>0</v>
      </c>
      <c r="CE70" s="167">
        <v>0</v>
      </c>
      <c r="CF70" s="167">
        <v>0</v>
      </c>
      <c r="CG70" s="167">
        <v>0</v>
      </c>
      <c r="CH70" s="167">
        <v>0</v>
      </c>
      <c r="CI70" s="167">
        <v>0</v>
      </c>
      <c r="CJ70" s="167">
        <v>0</v>
      </c>
      <c r="CK70" s="167">
        <v>0</v>
      </c>
      <c r="CL70" s="167">
        <v>0</v>
      </c>
      <c r="CM70" s="167">
        <v>0</v>
      </c>
      <c r="CN70" s="167">
        <v>0</v>
      </c>
      <c r="CO70" s="167">
        <v>0</v>
      </c>
      <c r="CP70" s="167">
        <v>0</v>
      </c>
      <c r="CQ70" s="167">
        <v>0</v>
      </c>
      <c r="CR70" s="167">
        <v>0</v>
      </c>
      <c r="CS70" s="167">
        <v>0</v>
      </c>
      <c r="CT70" s="167">
        <v>0</v>
      </c>
      <c r="CU70" s="167">
        <v>0</v>
      </c>
      <c r="CV70" s="167">
        <v>0</v>
      </c>
      <c r="CW70" s="167">
        <v>0</v>
      </c>
      <c r="CX70" s="167">
        <f>SUM(CD70:CH70)</f>
        <v>0</v>
      </c>
      <c r="CY70" s="167">
        <f>SUM(CD70:CM70)</f>
        <v>0</v>
      </c>
    </row>
    <row r="71" spans="1:103" ht="12.75" customHeight="1" x14ac:dyDescent="0.2">
      <c r="A71" s="81">
        <v>5273</v>
      </c>
      <c r="B71" s="165" t="s">
        <v>1924</v>
      </c>
      <c r="C71" s="165" t="s">
        <v>1762</v>
      </c>
      <c r="E71" s="165" t="s">
        <v>3124</v>
      </c>
      <c r="G71" s="81">
        <v>527367</v>
      </c>
      <c r="H71" s="81">
        <v>171295</v>
      </c>
      <c r="I71" s="165" t="s">
        <v>253</v>
      </c>
      <c r="J71" s="349">
        <v>42248</v>
      </c>
      <c r="K71" s="349">
        <v>43190</v>
      </c>
      <c r="L71" s="166">
        <v>0</v>
      </c>
      <c r="M71" s="166">
        <v>1</v>
      </c>
      <c r="N71" s="166">
        <v>1</v>
      </c>
      <c r="O71" s="166">
        <v>1</v>
      </c>
      <c r="P71" s="166">
        <v>1</v>
      </c>
      <c r="R71" s="165" t="s">
        <v>1763</v>
      </c>
      <c r="S71" s="81" t="s">
        <v>113</v>
      </c>
      <c r="T71" s="349">
        <v>41432</v>
      </c>
      <c r="U71" s="349">
        <v>41488</v>
      </c>
      <c r="W71" s="81" t="s">
        <v>114</v>
      </c>
      <c r="Y71" s="81" t="s">
        <v>115</v>
      </c>
      <c r="Z71" s="81" t="s">
        <v>398</v>
      </c>
      <c r="AA71" s="81" t="s">
        <v>117</v>
      </c>
      <c r="AB71" s="81" t="s">
        <v>399</v>
      </c>
      <c r="AC71" s="166">
        <v>4.9999998882412902E-3</v>
      </c>
      <c r="AD71" s="349">
        <v>42248</v>
      </c>
      <c r="AF71" s="349">
        <v>43190</v>
      </c>
      <c r="AG71" s="81" t="s">
        <v>238</v>
      </c>
      <c r="AH71" s="81" t="s">
        <v>118</v>
      </c>
      <c r="AK71" s="166">
        <v>0</v>
      </c>
      <c r="AM71" s="166">
        <v>0</v>
      </c>
      <c r="AO71" s="166">
        <v>0</v>
      </c>
      <c r="AP71" s="166">
        <v>0</v>
      </c>
      <c r="AQ71" s="166">
        <v>1</v>
      </c>
      <c r="AR71" s="166">
        <v>0</v>
      </c>
      <c r="AS71" s="166">
        <v>0</v>
      </c>
      <c r="AT71" s="166">
        <v>0</v>
      </c>
      <c r="AU71" s="166">
        <v>0</v>
      </c>
      <c r="AV71" s="166">
        <v>0</v>
      </c>
      <c r="AW71" s="166">
        <v>0</v>
      </c>
      <c r="AX71" s="166">
        <v>1</v>
      </c>
      <c r="AY71" s="166">
        <v>0</v>
      </c>
      <c r="AZ71" s="166">
        <v>0</v>
      </c>
      <c r="BA71" s="166">
        <v>0</v>
      </c>
      <c r="BB71" s="166">
        <v>0</v>
      </c>
      <c r="BC71" s="166">
        <v>0</v>
      </c>
      <c r="BD71" s="166">
        <v>0</v>
      </c>
      <c r="BE71" s="166">
        <v>0</v>
      </c>
      <c r="BF71" s="166">
        <v>0</v>
      </c>
      <c r="BG71" s="166">
        <v>0</v>
      </c>
      <c r="BH71" s="166">
        <v>0</v>
      </c>
      <c r="BI71" s="166">
        <v>0</v>
      </c>
      <c r="BJ71" s="166">
        <v>0</v>
      </c>
      <c r="BK71" s="166">
        <v>0</v>
      </c>
      <c r="BL71" s="166">
        <v>0</v>
      </c>
      <c r="BM71" s="166">
        <v>0</v>
      </c>
      <c r="BN71" s="166">
        <v>0</v>
      </c>
      <c r="BO71" s="166">
        <v>0</v>
      </c>
      <c r="BP71" s="166">
        <v>0</v>
      </c>
      <c r="BQ71" s="81" t="s">
        <v>1757</v>
      </c>
      <c r="BZ71" s="81" t="s">
        <v>155</v>
      </c>
      <c r="CA71" s="81">
        <v>7</v>
      </c>
      <c r="CC71" s="167">
        <f>N71</f>
        <v>1</v>
      </c>
      <c r="CD71" s="167">
        <v>0</v>
      </c>
      <c r="CE71" s="167">
        <v>0</v>
      </c>
      <c r="CF71" s="167">
        <v>0</v>
      </c>
      <c r="CG71" s="167">
        <v>0</v>
      </c>
      <c r="CH71" s="167">
        <v>0</v>
      </c>
      <c r="CI71" s="167">
        <v>0</v>
      </c>
      <c r="CJ71" s="167">
        <v>0</v>
      </c>
      <c r="CK71" s="167">
        <v>0</v>
      </c>
      <c r="CL71" s="167">
        <v>0</v>
      </c>
      <c r="CM71" s="167">
        <v>0</v>
      </c>
      <c r="CN71" s="167">
        <v>0</v>
      </c>
      <c r="CO71" s="167">
        <v>0</v>
      </c>
      <c r="CP71" s="167">
        <v>0</v>
      </c>
      <c r="CQ71" s="167">
        <v>0</v>
      </c>
      <c r="CR71" s="167">
        <v>0</v>
      </c>
      <c r="CS71" s="167">
        <v>0</v>
      </c>
      <c r="CT71" s="167">
        <v>0</v>
      </c>
      <c r="CU71" s="167">
        <v>0</v>
      </c>
      <c r="CV71" s="167">
        <v>0</v>
      </c>
      <c r="CW71" s="167">
        <v>0</v>
      </c>
      <c r="CX71" s="167">
        <f>SUM(CD71:CH71)</f>
        <v>0</v>
      </c>
      <c r="CY71" s="167">
        <f>SUM(CD71:CM71)</f>
        <v>0</v>
      </c>
    </row>
    <row r="72" spans="1:103" ht="12.75" customHeight="1" x14ac:dyDescent="0.2">
      <c r="A72" s="81">
        <v>5286</v>
      </c>
      <c r="B72" s="165" t="s">
        <v>1924</v>
      </c>
      <c r="C72" s="165" t="s">
        <v>221</v>
      </c>
      <c r="E72" s="165" t="s">
        <v>3125</v>
      </c>
      <c r="G72" s="81">
        <v>526435</v>
      </c>
      <c r="H72" s="81">
        <v>174560</v>
      </c>
      <c r="I72" s="165" t="s">
        <v>260</v>
      </c>
      <c r="J72" s="349">
        <v>42928</v>
      </c>
      <c r="K72" s="349">
        <v>42979</v>
      </c>
      <c r="L72" s="166">
        <v>2</v>
      </c>
      <c r="M72" s="166">
        <v>1</v>
      </c>
      <c r="N72" s="166">
        <v>-1</v>
      </c>
      <c r="O72" s="166">
        <v>1</v>
      </c>
      <c r="P72" s="166">
        <v>-1</v>
      </c>
      <c r="R72" s="165" t="s">
        <v>222</v>
      </c>
      <c r="S72" s="81" t="s">
        <v>113</v>
      </c>
      <c r="T72" s="349">
        <v>41381</v>
      </c>
      <c r="U72" s="349">
        <v>41436</v>
      </c>
      <c r="W72" s="81" t="s">
        <v>114</v>
      </c>
      <c r="Y72" s="81" t="s">
        <v>115</v>
      </c>
      <c r="Z72" s="81" t="s">
        <v>119</v>
      </c>
      <c r="AA72" s="81" t="s">
        <v>117</v>
      </c>
      <c r="AB72" s="81" t="s">
        <v>336</v>
      </c>
      <c r="AC72" s="166">
        <v>1.30000002682209E-2</v>
      </c>
      <c r="AD72" s="349">
        <v>42928</v>
      </c>
      <c r="AE72" s="81" t="s">
        <v>155</v>
      </c>
      <c r="AF72" s="349">
        <v>42979</v>
      </c>
      <c r="AG72" s="81" t="s">
        <v>238</v>
      </c>
      <c r="AH72" s="81" t="s">
        <v>118</v>
      </c>
      <c r="AK72" s="166">
        <v>0</v>
      </c>
      <c r="AM72" s="166">
        <v>0</v>
      </c>
      <c r="AO72" s="166">
        <v>0</v>
      </c>
      <c r="AP72" s="166">
        <v>-1</v>
      </c>
      <c r="AQ72" s="166">
        <v>-1</v>
      </c>
      <c r="AR72" s="166">
        <v>0</v>
      </c>
      <c r="AS72" s="166">
        <v>1</v>
      </c>
      <c r="AT72" s="166">
        <v>0</v>
      </c>
      <c r="AU72" s="166">
        <v>0</v>
      </c>
      <c r="AV72" s="166">
        <v>0</v>
      </c>
      <c r="AW72" s="166">
        <v>-1</v>
      </c>
      <c r="AX72" s="166">
        <v>-1</v>
      </c>
      <c r="AY72" s="166">
        <v>0</v>
      </c>
      <c r="AZ72" s="166">
        <v>0</v>
      </c>
      <c r="BA72" s="166">
        <v>0</v>
      </c>
      <c r="BB72" s="166">
        <v>0</v>
      </c>
      <c r="BC72" s="166">
        <v>0</v>
      </c>
      <c r="BD72" s="166">
        <v>0</v>
      </c>
      <c r="BE72" s="166">
        <v>0</v>
      </c>
      <c r="BF72" s="166">
        <v>0</v>
      </c>
      <c r="BG72" s="166">
        <v>1</v>
      </c>
      <c r="BH72" s="166">
        <v>0</v>
      </c>
      <c r="BI72" s="166">
        <v>0</v>
      </c>
      <c r="BJ72" s="166">
        <v>0</v>
      </c>
      <c r="BK72" s="166">
        <v>0</v>
      </c>
      <c r="BL72" s="166">
        <v>0</v>
      </c>
      <c r="BM72" s="166">
        <v>0</v>
      </c>
      <c r="BN72" s="166">
        <v>0</v>
      </c>
      <c r="BO72" s="166">
        <v>0</v>
      </c>
      <c r="BP72" s="166">
        <v>0</v>
      </c>
      <c r="BQ72" s="81" t="s">
        <v>1758</v>
      </c>
      <c r="BZ72" s="81" t="s">
        <v>155</v>
      </c>
      <c r="CA72" s="81">
        <v>7</v>
      </c>
      <c r="CC72" s="167">
        <f>N72</f>
        <v>-1</v>
      </c>
      <c r="CD72" s="167">
        <v>0</v>
      </c>
      <c r="CE72" s="167">
        <v>0</v>
      </c>
      <c r="CF72" s="167">
        <v>0</v>
      </c>
      <c r="CG72" s="167">
        <v>0</v>
      </c>
      <c r="CH72" s="167">
        <v>0</v>
      </c>
      <c r="CI72" s="167">
        <v>0</v>
      </c>
      <c r="CJ72" s="167">
        <v>0</v>
      </c>
      <c r="CK72" s="167">
        <v>0</v>
      </c>
      <c r="CL72" s="167">
        <v>0</v>
      </c>
      <c r="CM72" s="167">
        <v>0</v>
      </c>
      <c r="CN72" s="167">
        <v>0</v>
      </c>
      <c r="CO72" s="167">
        <v>0</v>
      </c>
      <c r="CP72" s="167">
        <v>0</v>
      </c>
      <c r="CQ72" s="167">
        <v>0</v>
      </c>
      <c r="CR72" s="167">
        <v>0</v>
      </c>
      <c r="CS72" s="167">
        <v>0</v>
      </c>
      <c r="CT72" s="167">
        <v>0</v>
      </c>
      <c r="CU72" s="167">
        <v>0</v>
      </c>
      <c r="CV72" s="167">
        <v>0</v>
      </c>
      <c r="CW72" s="167">
        <v>0</v>
      </c>
      <c r="CX72" s="167">
        <f>SUM(CD72:CH72)</f>
        <v>0</v>
      </c>
      <c r="CY72" s="167">
        <f>SUM(CD72:CM72)</f>
        <v>0</v>
      </c>
    </row>
    <row r="73" spans="1:103" ht="12.75" customHeight="1" x14ac:dyDescent="0.2">
      <c r="A73" s="81">
        <v>5291</v>
      </c>
      <c r="B73" s="165" t="s">
        <v>1924</v>
      </c>
      <c r="C73" s="165" t="s">
        <v>182</v>
      </c>
      <c r="E73" s="165" t="s">
        <v>3126</v>
      </c>
      <c r="G73" s="81">
        <v>525172</v>
      </c>
      <c r="H73" s="81">
        <v>174052</v>
      </c>
      <c r="I73" s="165" t="s">
        <v>258</v>
      </c>
      <c r="J73" s="349">
        <v>42826</v>
      </c>
      <c r="K73" s="349">
        <v>43190</v>
      </c>
      <c r="L73" s="166">
        <v>2</v>
      </c>
      <c r="M73" s="166">
        <v>1</v>
      </c>
      <c r="N73" s="166">
        <v>-1</v>
      </c>
      <c r="O73" s="166">
        <v>1</v>
      </c>
      <c r="P73" s="166">
        <v>-1</v>
      </c>
      <c r="R73" s="165" t="s">
        <v>183</v>
      </c>
      <c r="S73" s="81" t="s">
        <v>113</v>
      </c>
      <c r="T73" s="349">
        <v>41402</v>
      </c>
      <c r="U73" s="349">
        <v>41451</v>
      </c>
      <c r="W73" s="81" t="s">
        <v>114</v>
      </c>
      <c r="Y73" s="81" t="s">
        <v>115</v>
      </c>
      <c r="Z73" s="81" t="s">
        <v>119</v>
      </c>
      <c r="AA73" s="81" t="s">
        <v>117</v>
      </c>
      <c r="AB73" s="81" t="s">
        <v>336</v>
      </c>
      <c r="AC73" s="166">
        <v>3.20000015199184E-2</v>
      </c>
      <c r="AD73" s="349">
        <v>42826</v>
      </c>
      <c r="AE73" s="81" t="s">
        <v>155</v>
      </c>
      <c r="AF73" s="349">
        <v>43190</v>
      </c>
      <c r="AG73" s="81" t="s">
        <v>238</v>
      </c>
      <c r="AH73" s="81" t="s">
        <v>118</v>
      </c>
      <c r="AK73" s="166">
        <v>0</v>
      </c>
      <c r="AM73" s="166">
        <v>0</v>
      </c>
      <c r="AO73" s="166">
        <v>0</v>
      </c>
      <c r="AP73" s="166">
        <v>0</v>
      </c>
      <c r="AQ73" s="166">
        <v>0</v>
      </c>
      <c r="AR73" s="166">
        <v>-2</v>
      </c>
      <c r="AS73" s="166">
        <v>1</v>
      </c>
      <c r="AT73" s="166">
        <v>0</v>
      </c>
      <c r="AU73" s="166">
        <v>0</v>
      </c>
      <c r="AV73" s="166">
        <v>0</v>
      </c>
      <c r="AW73" s="166">
        <v>0</v>
      </c>
      <c r="AX73" s="166">
        <v>0</v>
      </c>
      <c r="AY73" s="166">
        <v>-2</v>
      </c>
      <c r="AZ73" s="166">
        <v>0</v>
      </c>
      <c r="BA73" s="166">
        <v>0</v>
      </c>
      <c r="BB73" s="166">
        <v>0</v>
      </c>
      <c r="BC73" s="166">
        <v>0</v>
      </c>
      <c r="BD73" s="166">
        <v>0</v>
      </c>
      <c r="BE73" s="166">
        <v>0</v>
      </c>
      <c r="BF73" s="166">
        <v>0</v>
      </c>
      <c r="BG73" s="166">
        <v>1</v>
      </c>
      <c r="BH73" s="166">
        <v>0</v>
      </c>
      <c r="BI73" s="166">
        <v>0</v>
      </c>
      <c r="BJ73" s="166">
        <v>0</v>
      </c>
      <c r="BK73" s="166">
        <v>0</v>
      </c>
      <c r="BL73" s="166">
        <v>0</v>
      </c>
      <c r="BM73" s="166">
        <v>0</v>
      </c>
      <c r="BN73" s="166">
        <v>0</v>
      </c>
      <c r="BO73" s="166">
        <v>0</v>
      </c>
      <c r="BP73" s="166">
        <v>0</v>
      </c>
      <c r="BQ73" s="81" t="s">
        <v>1758</v>
      </c>
      <c r="BZ73" s="81" t="s">
        <v>155</v>
      </c>
      <c r="CA73" s="81">
        <v>7</v>
      </c>
      <c r="CC73" s="167">
        <f>N73</f>
        <v>-1</v>
      </c>
      <c r="CD73" s="167">
        <v>0</v>
      </c>
      <c r="CE73" s="167">
        <v>0</v>
      </c>
      <c r="CF73" s="167">
        <v>0</v>
      </c>
      <c r="CG73" s="167">
        <v>0</v>
      </c>
      <c r="CH73" s="167">
        <v>0</v>
      </c>
      <c r="CI73" s="167">
        <v>0</v>
      </c>
      <c r="CJ73" s="167">
        <v>0</v>
      </c>
      <c r="CK73" s="167">
        <v>0</v>
      </c>
      <c r="CL73" s="167">
        <v>0</v>
      </c>
      <c r="CM73" s="167">
        <v>0</v>
      </c>
      <c r="CN73" s="167">
        <v>0</v>
      </c>
      <c r="CO73" s="167">
        <v>0</v>
      </c>
      <c r="CP73" s="167">
        <v>0</v>
      </c>
      <c r="CQ73" s="167">
        <v>0</v>
      </c>
      <c r="CR73" s="167">
        <v>0</v>
      </c>
      <c r="CS73" s="167">
        <v>0</v>
      </c>
      <c r="CT73" s="167">
        <v>0</v>
      </c>
      <c r="CU73" s="167">
        <v>0</v>
      </c>
      <c r="CV73" s="167">
        <v>0</v>
      </c>
      <c r="CW73" s="167">
        <v>0</v>
      </c>
      <c r="CX73" s="167">
        <f>SUM(CD73:CH73)</f>
        <v>0</v>
      </c>
      <c r="CY73" s="167">
        <f>SUM(CD73:CM73)</f>
        <v>0</v>
      </c>
    </row>
    <row r="74" spans="1:103" ht="12.75" customHeight="1" x14ac:dyDescent="0.2">
      <c r="A74" s="81">
        <v>5297</v>
      </c>
      <c r="B74" s="165" t="s">
        <v>1924</v>
      </c>
      <c r="C74" s="165" t="s">
        <v>407</v>
      </c>
      <c r="E74" s="165" t="s">
        <v>3336</v>
      </c>
      <c r="G74" s="81">
        <v>527113</v>
      </c>
      <c r="H74" s="81">
        <v>176021</v>
      </c>
      <c r="I74" s="165" t="s">
        <v>241</v>
      </c>
      <c r="J74" s="349">
        <v>42825</v>
      </c>
      <c r="K74" s="349">
        <v>43076</v>
      </c>
      <c r="L74" s="166">
        <v>0</v>
      </c>
      <c r="M74" s="166">
        <v>16</v>
      </c>
      <c r="N74" s="166">
        <v>16</v>
      </c>
      <c r="O74" s="166">
        <v>25</v>
      </c>
      <c r="P74" s="166">
        <v>25</v>
      </c>
      <c r="Q74" s="81" t="s">
        <v>155</v>
      </c>
      <c r="R74" s="165" t="s">
        <v>896</v>
      </c>
      <c r="S74" s="81" t="s">
        <v>104</v>
      </c>
      <c r="T74" s="349">
        <v>41823</v>
      </c>
      <c r="U74" s="349">
        <v>42340</v>
      </c>
      <c r="W74" s="81" t="s">
        <v>114</v>
      </c>
      <c r="Y74" s="81" t="s">
        <v>115</v>
      </c>
      <c r="Z74" s="81" t="s">
        <v>116</v>
      </c>
      <c r="AA74" s="81" t="s">
        <v>116</v>
      </c>
      <c r="AB74" s="81" t="s">
        <v>117</v>
      </c>
      <c r="AC74" s="166">
        <v>0</v>
      </c>
      <c r="AD74" s="349">
        <v>42825</v>
      </c>
      <c r="AF74" s="349">
        <v>43076</v>
      </c>
      <c r="AG74" s="81" t="s">
        <v>238</v>
      </c>
      <c r="AH74" s="81" t="s">
        <v>118</v>
      </c>
      <c r="AK74" s="166">
        <v>16</v>
      </c>
      <c r="AM74" s="166">
        <v>1</v>
      </c>
      <c r="AO74" s="166">
        <v>0</v>
      </c>
      <c r="AP74" s="166">
        <v>3</v>
      </c>
      <c r="AQ74" s="166">
        <v>12</v>
      </c>
      <c r="AR74" s="166">
        <v>1</v>
      </c>
      <c r="AS74" s="166">
        <v>0</v>
      </c>
      <c r="AT74" s="166">
        <v>0</v>
      </c>
      <c r="AU74" s="166">
        <v>0</v>
      </c>
      <c r="AV74" s="166">
        <v>0</v>
      </c>
      <c r="AW74" s="166">
        <v>3</v>
      </c>
      <c r="AX74" s="166">
        <v>12</v>
      </c>
      <c r="AY74" s="166">
        <v>1</v>
      </c>
      <c r="AZ74" s="166">
        <v>0</v>
      </c>
      <c r="BA74" s="166">
        <v>0</v>
      </c>
      <c r="BB74" s="166">
        <v>0</v>
      </c>
      <c r="BC74" s="166">
        <v>0</v>
      </c>
      <c r="BD74" s="166">
        <v>0</v>
      </c>
      <c r="BE74" s="166">
        <v>0</v>
      </c>
      <c r="BF74" s="166">
        <v>0</v>
      </c>
      <c r="BG74" s="166">
        <v>0</v>
      </c>
      <c r="BH74" s="166">
        <v>0</v>
      </c>
      <c r="BI74" s="166">
        <v>0</v>
      </c>
      <c r="BJ74" s="166">
        <v>0</v>
      </c>
      <c r="BK74" s="166">
        <v>0</v>
      </c>
      <c r="BL74" s="166">
        <v>0</v>
      </c>
      <c r="BM74" s="166">
        <v>0</v>
      </c>
      <c r="BN74" s="166">
        <v>0</v>
      </c>
      <c r="BO74" s="166">
        <v>0</v>
      </c>
      <c r="BP74" s="166">
        <v>0</v>
      </c>
      <c r="BQ74" s="81" t="s">
        <v>1757</v>
      </c>
      <c r="BZ74" s="81" t="s">
        <v>155</v>
      </c>
      <c r="CA74" s="81">
        <v>1</v>
      </c>
      <c r="CC74" s="167">
        <f>N74</f>
        <v>16</v>
      </c>
      <c r="CD74" s="167">
        <v>0</v>
      </c>
      <c r="CE74" s="167">
        <v>0</v>
      </c>
      <c r="CF74" s="167">
        <v>0</v>
      </c>
      <c r="CG74" s="167">
        <v>0</v>
      </c>
      <c r="CH74" s="167">
        <v>0</v>
      </c>
      <c r="CI74" s="167">
        <v>0</v>
      </c>
      <c r="CJ74" s="167">
        <v>0</v>
      </c>
      <c r="CK74" s="167">
        <v>0</v>
      </c>
      <c r="CL74" s="167">
        <v>0</v>
      </c>
      <c r="CM74" s="167">
        <v>0</v>
      </c>
      <c r="CN74" s="167">
        <v>0</v>
      </c>
      <c r="CO74" s="167">
        <v>0</v>
      </c>
      <c r="CP74" s="167">
        <v>0</v>
      </c>
      <c r="CQ74" s="167">
        <v>0</v>
      </c>
      <c r="CR74" s="167">
        <v>0</v>
      </c>
      <c r="CS74" s="167">
        <v>0</v>
      </c>
      <c r="CT74" s="167">
        <v>0</v>
      </c>
      <c r="CU74" s="167">
        <v>0</v>
      </c>
      <c r="CV74" s="167">
        <v>0</v>
      </c>
      <c r="CW74" s="167">
        <v>0</v>
      </c>
      <c r="CX74" s="167">
        <f>SUM(CD74:CH74)</f>
        <v>0</v>
      </c>
      <c r="CY74" s="167">
        <f>SUM(CD74:CM74)</f>
        <v>0</v>
      </c>
    </row>
    <row r="75" spans="1:103" ht="12.75" customHeight="1" x14ac:dyDescent="0.2">
      <c r="A75" s="81">
        <v>5297</v>
      </c>
      <c r="B75" s="165" t="s">
        <v>1924</v>
      </c>
      <c r="C75" s="165" t="s">
        <v>407</v>
      </c>
      <c r="E75" s="165" t="s">
        <v>3336</v>
      </c>
      <c r="G75" s="81">
        <v>527113</v>
      </c>
      <c r="H75" s="81">
        <v>176021</v>
      </c>
      <c r="I75" s="165" t="s">
        <v>241</v>
      </c>
      <c r="J75" s="349">
        <v>42825</v>
      </c>
      <c r="K75" s="349">
        <v>43076</v>
      </c>
      <c r="L75" s="166">
        <v>0</v>
      </c>
      <c r="M75" s="166">
        <v>9</v>
      </c>
      <c r="N75" s="166">
        <v>9</v>
      </c>
      <c r="O75" s="166">
        <v>25</v>
      </c>
      <c r="P75" s="166">
        <v>25</v>
      </c>
      <c r="Q75" s="81" t="s">
        <v>155</v>
      </c>
      <c r="R75" s="165" t="s">
        <v>896</v>
      </c>
      <c r="S75" s="81" t="s">
        <v>104</v>
      </c>
      <c r="T75" s="349">
        <v>41823</v>
      </c>
      <c r="U75" s="349">
        <v>42340</v>
      </c>
      <c r="W75" s="81" t="s">
        <v>114</v>
      </c>
      <c r="Y75" s="81" t="s">
        <v>115</v>
      </c>
      <c r="Z75" s="81" t="s">
        <v>116</v>
      </c>
      <c r="AA75" s="81" t="s">
        <v>116</v>
      </c>
      <c r="AB75" s="81" t="s">
        <v>117</v>
      </c>
      <c r="AC75" s="166">
        <v>3.4000001847744002E-2</v>
      </c>
      <c r="AD75" s="349">
        <v>42825</v>
      </c>
      <c r="AF75" s="349">
        <v>43076</v>
      </c>
      <c r="AG75" s="81" t="s">
        <v>74</v>
      </c>
      <c r="AH75" s="81" t="s">
        <v>1913</v>
      </c>
      <c r="AK75" s="166">
        <v>9</v>
      </c>
      <c r="AM75" s="166">
        <v>1</v>
      </c>
      <c r="AO75" s="166">
        <v>0</v>
      </c>
      <c r="AP75" s="166">
        <v>1</v>
      </c>
      <c r="AQ75" s="166">
        <v>8</v>
      </c>
      <c r="AR75" s="166">
        <v>0</v>
      </c>
      <c r="AS75" s="166">
        <v>0</v>
      </c>
      <c r="AT75" s="166">
        <v>0</v>
      </c>
      <c r="AU75" s="166">
        <v>0</v>
      </c>
      <c r="AV75" s="166">
        <v>0</v>
      </c>
      <c r="AW75" s="166">
        <v>1</v>
      </c>
      <c r="AX75" s="166">
        <v>8</v>
      </c>
      <c r="AY75" s="166">
        <v>0</v>
      </c>
      <c r="AZ75" s="166">
        <v>0</v>
      </c>
      <c r="BA75" s="166">
        <v>0</v>
      </c>
      <c r="BB75" s="166">
        <v>0</v>
      </c>
      <c r="BC75" s="166">
        <v>0</v>
      </c>
      <c r="BD75" s="166">
        <v>0</v>
      </c>
      <c r="BE75" s="166">
        <v>0</v>
      </c>
      <c r="BF75" s="166">
        <v>0</v>
      </c>
      <c r="BG75" s="166">
        <v>0</v>
      </c>
      <c r="BH75" s="166">
        <v>0</v>
      </c>
      <c r="BI75" s="166">
        <v>0</v>
      </c>
      <c r="BJ75" s="166">
        <v>0</v>
      </c>
      <c r="BK75" s="166">
        <v>0</v>
      </c>
      <c r="BL75" s="166">
        <v>0</v>
      </c>
      <c r="BM75" s="166">
        <v>0</v>
      </c>
      <c r="BN75" s="166">
        <v>0</v>
      </c>
      <c r="BO75" s="166">
        <v>0</v>
      </c>
      <c r="BP75" s="166">
        <v>0</v>
      </c>
      <c r="BQ75" s="81" t="s">
        <v>1757</v>
      </c>
      <c r="BZ75" s="81" t="s">
        <v>155</v>
      </c>
      <c r="CA75" s="81">
        <v>1</v>
      </c>
      <c r="CC75" s="167">
        <f>N75</f>
        <v>9</v>
      </c>
      <c r="CD75" s="167">
        <v>0</v>
      </c>
      <c r="CE75" s="167">
        <v>0</v>
      </c>
      <c r="CF75" s="167">
        <v>0</v>
      </c>
      <c r="CG75" s="167">
        <v>0</v>
      </c>
      <c r="CH75" s="167">
        <v>0</v>
      </c>
      <c r="CI75" s="167">
        <v>0</v>
      </c>
      <c r="CJ75" s="167">
        <v>0</v>
      </c>
      <c r="CK75" s="167">
        <v>0</v>
      </c>
      <c r="CL75" s="167">
        <v>0</v>
      </c>
      <c r="CM75" s="167">
        <v>0</v>
      </c>
      <c r="CN75" s="167">
        <v>0</v>
      </c>
      <c r="CO75" s="167">
        <v>0</v>
      </c>
      <c r="CP75" s="167">
        <v>0</v>
      </c>
      <c r="CQ75" s="167">
        <v>0</v>
      </c>
      <c r="CR75" s="167">
        <v>0</v>
      </c>
      <c r="CS75" s="167">
        <v>0</v>
      </c>
      <c r="CT75" s="167">
        <v>0</v>
      </c>
      <c r="CU75" s="167">
        <v>0</v>
      </c>
      <c r="CV75" s="167">
        <v>0</v>
      </c>
      <c r="CW75" s="167">
        <v>0</v>
      </c>
      <c r="CX75" s="167">
        <f>SUM(CD75:CH75)</f>
        <v>0</v>
      </c>
      <c r="CY75" s="167">
        <f>SUM(CD75:CM75)</f>
        <v>0</v>
      </c>
    </row>
    <row r="76" spans="1:103" ht="12.75" customHeight="1" x14ac:dyDescent="0.2">
      <c r="A76" s="81">
        <v>5335</v>
      </c>
      <c r="B76" s="165" t="s">
        <v>1924</v>
      </c>
      <c r="C76" s="165" t="s">
        <v>405</v>
      </c>
      <c r="E76" s="165" t="s">
        <v>3129</v>
      </c>
      <c r="G76" s="81">
        <v>528599</v>
      </c>
      <c r="H76" s="81">
        <v>172872</v>
      </c>
      <c r="I76" s="165" t="s">
        <v>248</v>
      </c>
      <c r="J76" s="349">
        <v>42825</v>
      </c>
      <c r="K76" s="349">
        <v>43076</v>
      </c>
      <c r="L76" s="166">
        <v>1</v>
      </c>
      <c r="M76" s="166">
        <v>3</v>
      </c>
      <c r="N76" s="166">
        <v>2</v>
      </c>
      <c r="O76" s="166">
        <v>3</v>
      </c>
      <c r="P76" s="166">
        <v>2</v>
      </c>
      <c r="R76" s="165" t="s">
        <v>883</v>
      </c>
      <c r="S76" s="81" t="s">
        <v>113</v>
      </c>
      <c r="T76" s="349">
        <v>41435</v>
      </c>
      <c r="U76" s="349">
        <v>41624</v>
      </c>
      <c r="W76" s="81" t="s">
        <v>114</v>
      </c>
      <c r="Y76" s="81" t="s">
        <v>115</v>
      </c>
      <c r="Z76" s="81" t="s">
        <v>398</v>
      </c>
      <c r="AA76" s="81" t="s">
        <v>117</v>
      </c>
      <c r="AB76" s="81" t="s">
        <v>120</v>
      </c>
      <c r="AC76" s="166">
        <v>1.7000000923872001E-2</v>
      </c>
      <c r="AD76" s="349">
        <v>42825</v>
      </c>
      <c r="AF76" s="349">
        <v>43076</v>
      </c>
      <c r="AG76" s="81" t="s">
        <v>238</v>
      </c>
      <c r="AH76" s="81" t="s">
        <v>118</v>
      </c>
      <c r="AK76" s="166">
        <v>0</v>
      </c>
      <c r="AM76" s="166">
        <v>0</v>
      </c>
      <c r="AO76" s="166">
        <v>0</v>
      </c>
      <c r="AP76" s="166">
        <v>0</v>
      </c>
      <c r="AQ76" s="166">
        <v>2</v>
      </c>
      <c r="AR76" s="166">
        <v>1</v>
      </c>
      <c r="AS76" s="166">
        <v>-1</v>
      </c>
      <c r="AT76" s="166">
        <v>0</v>
      </c>
      <c r="AU76" s="166">
        <v>0</v>
      </c>
      <c r="AV76" s="166">
        <v>0</v>
      </c>
      <c r="AW76" s="166">
        <v>0</v>
      </c>
      <c r="AX76" s="166">
        <v>2</v>
      </c>
      <c r="AY76" s="166">
        <v>1</v>
      </c>
      <c r="AZ76" s="166">
        <v>0</v>
      </c>
      <c r="BA76" s="166">
        <v>0</v>
      </c>
      <c r="BB76" s="166">
        <v>0</v>
      </c>
      <c r="BC76" s="166">
        <v>0</v>
      </c>
      <c r="BD76" s="166">
        <v>0</v>
      </c>
      <c r="BE76" s="166">
        <v>0</v>
      </c>
      <c r="BF76" s="166">
        <v>0</v>
      </c>
      <c r="BG76" s="166">
        <v>-1</v>
      </c>
      <c r="BH76" s="166">
        <v>0</v>
      </c>
      <c r="BI76" s="166">
        <v>0</v>
      </c>
      <c r="BJ76" s="166">
        <v>0</v>
      </c>
      <c r="BK76" s="166">
        <v>0</v>
      </c>
      <c r="BL76" s="166">
        <v>0</v>
      </c>
      <c r="BM76" s="166">
        <v>0</v>
      </c>
      <c r="BN76" s="166">
        <v>0</v>
      </c>
      <c r="BO76" s="166">
        <v>0</v>
      </c>
      <c r="BP76" s="166">
        <v>0</v>
      </c>
      <c r="BQ76" s="81" t="s">
        <v>1757</v>
      </c>
      <c r="BZ76" s="81" t="s">
        <v>155</v>
      </c>
      <c r="CA76" s="81">
        <v>7</v>
      </c>
      <c r="CC76" s="167">
        <f>N76</f>
        <v>2</v>
      </c>
      <c r="CD76" s="167">
        <v>0</v>
      </c>
      <c r="CE76" s="167">
        <v>0</v>
      </c>
      <c r="CF76" s="167">
        <v>0</v>
      </c>
      <c r="CG76" s="167">
        <v>0</v>
      </c>
      <c r="CH76" s="167">
        <v>0</v>
      </c>
      <c r="CI76" s="167">
        <v>0</v>
      </c>
      <c r="CJ76" s="167">
        <v>0</v>
      </c>
      <c r="CK76" s="167">
        <v>0</v>
      </c>
      <c r="CL76" s="167">
        <v>0</v>
      </c>
      <c r="CM76" s="167">
        <v>0</v>
      </c>
      <c r="CN76" s="167">
        <v>0</v>
      </c>
      <c r="CO76" s="167">
        <v>0</v>
      </c>
      <c r="CP76" s="167">
        <v>0</v>
      </c>
      <c r="CQ76" s="167">
        <v>0</v>
      </c>
      <c r="CR76" s="167">
        <v>0</v>
      </c>
      <c r="CS76" s="167">
        <v>0</v>
      </c>
      <c r="CT76" s="167">
        <v>0</v>
      </c>
      <c r="CU76" s="167">
        <v>0</v>
      </c>
      <c r="CV76" s="167">
        <v>0</v>
      </c>
      <c r="CW76" s="167">
        <v>0</v>
      </c>
      <c r="CX76" s="167">
        <f>SUM(CD76:CH76)</f>
        <v>0</v>
      </c>
      <c r="CY76" s="167">
        <f>SUM(CD76:CM76)</f>
        <v>0</v>
      </c>
    </row>
    <row r="77" spans="1:103" ht="12.75" customHeight="1" x14ac:dyDescent="0.2">
      <c r="A77" s="81">
        <v>5360</v>
      </c>
      <c r="B77" s="165" t="s">
        <v>1924</v>
      </c>
      <c r="C77" s="165" t="s">
        <v>268</v>
      </c>
      <c r="E77" s="165" t="s">
        <v>3130</v>
      </c>
      <c r="G77" s="81">
        <v>526566</v>
      </c>
      <c r="H77" s="81">
        <v>172115</v>
      </c>
      <c r="I77" s="165" t="s">
        <v>249</v>
      </c>
      <c r="J77" s="349">
        <v>41843</v>
      </c>
      <c r="K77" s="349">
        <v>43190</v>
      </c>
      <c r="L77" s="166">
        <v>0</v>
      </c>
      <c r="M77" s="166">
        <v>1</v>
      </c>
      <c r="N77" s="166">
        <v>1</v>
      </c>
      <c r="O77" s="166">
        <v>1</v>
      </c>
      <c r="P77" s="166">
        <v>1</v>
      </c>
      <c r="R77" s="165" t="s">
        <v>269</v>
      </c>
      <c r="S77" s="81" t="s">
        <v>113</v>
      </c>
      <c r="T77" s="349">
        <v>41477</v>
      </c>
      <c r="U77" s="349">
        <v>41533</v>
      </c>
      <c r="W77" s="81" t="s">
        <v>114</v>
      </c>
      <c r="Y77" s="81" t="s">
        <v>115</v>
      </c>
      <c r="Z77" s="81" t="s">
        <v>116</v>
      </c>
      <c r="AA77" s="81" t="s">
        <v>117</v>
      </c>
      <c r="AB77" s="81" t="s">
        <v>218</v>
      </c>
      <c r="AC77" s="166">
        <v>8.0000003799796104E-3</v>
      </c>
      <c r="AD77" s="349">
        <v>41843</v>
      </c>
      <c r="AF77" s="349">
        <v>43190</v>
      </c>
      <c r="AG77" s="81" t="s">
        <v>238</v>
      </c>
      <c r="AH77" s="81" t="s">
        <v>118</v>
      </c>
      <c r="AK77" s="166">
        <v>0</v>
      </c>
      <c r="AM77" s="166">
        <v>0</v>
      </c>
      <c r="AO77" s="166">
        <v>0</v>
      </c>
      <c r="AP77" s="166">
        <v>0</v>
      </c>
      <c r="AQ77" s="166">
        <v>1</v>
      </c>
      <c r="AR77" s="166">
        <v>0</v>
      </c>
      <c r="AS77" s="166">
        <v>0</v>
      </c>
      <c r="AT77" s="166">
        <v>0</v>
      </c>
      <c r="AU77" s="166">
        <v>0</v>
      </c>
      <c r="AV77" s="166">
        <v>0</v>
      </c>
      <c r="AW77" s="166">
        <v>0</v>
      </c>
      <c r="AX77" s="166">
        <v>0</v>
      </c>
      <c r="AY77" s="166">
        <v>0</v>
      </c>
      <c r="AZ77" s="166">
        <v>0</v>
      </c>
      <c r="BA77" s="166">
        <v>0</v>
      </c>
      <c r="BB77" s="166">
        <v>0</v>
      </c>
      <c r="BC77" s="166">
        <v>0</v>
      </c>
      <c r="BD77" s="166">
        <v>0</v>
      </c>
      <c r="BE77" s="166">
        <v>1</v>
      </c>
      <c r="BF77" s="166">
        <v>0</v>
      </c>
      <c r="BG77" s="166">
        <v>0</v>
      </c>
      <c r="BH77" s="166">
        <v>0</v>
      </c>
      <c r="BI77" s="166">
        <v>0</v>
      </c>
      <c r="BJ77" s="166">
        <v>0</v>
      </c>
      <c r="BK77" s="166">
        <v>0</v>
      </c>
      <c r="BL77" s="166">
        <v>0</v>
      </c>
      <c r="BM77" s="166">
        <v>0</v>
      </c>
      <c r="BN77" s="166">
        <v>0</v>
      </c>
      <c r="BO77" s="166">
        <v>0</v>
      </c>
      <c r="BP77" s="166">
        <v>0</v>
      </c>
      <c r="BQ77" s="81" t="s">
        <v>1758</v>
      </c>
      <c r="BZ77" s="81" t="s">
        <v>155</v>
      </c>
      <c r="CA77" s="81">
        <v>1</v>
      </c>
      <c r="CC77" s="167">
        <f>N77</f>
        <v>1</v>
      </c>
      <c r="CD77" s="167">
        <v>0</v>
      </c>
      <c r="CE77" s="167">
        <v>0</v>
      </c>
      <c r="CF77" s="167">
        <v>0</v>
      </c>
      <c r="CG77" s="167">
        <v>0</v>
      </c>
      <c r="CH77" s="167">
        <v>0</v>
      </c>
      <c r="CI77" s="167">
        <v>0</v>
      </c>
      <c r="CJ77" s="167">
        <v>0</v>
      </c>
      <c r="CK77" s="167">
        <v>0</v>
      </c>
      <c r="CL77" s="167">
        <v>0</v>
      </c>
      <c r="CM77" s="167">
        <v>0</v>
      </c>
      <c r="CN77" s="167">
        <v>0</v>
      </c>
      <c r="CO77" s="167">
        <v>0</v>
      </c>
      <c r="CP77" s="167">
        <v>0</v>
      </c>
      <c r="CQ77" s="167">
        <v>0</v>
      </c>
      <c r="CR77" s="167">
        <v>0</v>
      </c>
      <c r="CS77" s="167">
        <v>0</v>
      </c>
      <c r="CT77" s="167">
        <v>0</v>
      </c>
      <c r="CU77" s="167">
        <v>0</v>
      </c>
      <c r="CV77" s="167">
        <v>0</v>
      </c>
      <c r="CW77" s="167">
        <v>0</v>
      </c>
      <c r="CX77" s="167">
        <f>SUM(CD77:CH77)</f>
        <v>0</v>
      </c>
      <c r="CY77" s="167">
        <f>SUM(CD77:CM77)</f>
        <v>0</v>
      </c>
    </row>
    <row r="78" spans="1:103" ht="12.75" customHeight="1" x14ac:dyDescent="0.2">
      <c r="A78" s="81">
        <v>5361</v>
      </c>
      <c r="B78" s="165" t="s">
        <v>1924</v>
      </c>
      <c r="C78" s="165" t="s">
        <v>411</v>
      </c>
      <c r="E78" s="165" t="s">
        <v>3131</v>
      </c>
      <c r="G78" s="81">
        <v>527921</v>
      </c>
      <c r="H78" s="81">
        <v>175466</v>
      </c>
      <c r="I78" s="165" t="s">
        <v>256</v>
      </c>
      <c r="J78" s="349">
        <v>42481</v>
      </c>
      <c r="K78" s="349">
        <v>42894</v>
      </c>
      <c r="L78" s="166">
        <v>4</v>
      </c>
      <c r="M78" s="166">
        <v>6</v>
      </c>
      <c r="N78" s="166">
        <v>2</v>
      </c>
      <c r="O78" s="166">
        <v>6</v>
      </c>
      <c r="P78" s="166">
        <v>2</v>
      </c>
      <c r="R78" s="165" t="s">
        <v>1680</v>
      </c>
      <c r="S78" s="81" t="s">
        <v>113</v>
      </c>
      <c r="T78" s="349">
        <v>41403</v>
      </c>
      <c r="U78" s="349">
        <v>41533</v>
      </c>
      <c r="W78" s="81" t="s">
        <v>114</v>
      </c>
      <c r="Y78" s="81" t="s">
        <v>115</v>
      </c>
      <c r="Z78" s="81" t="s">
        <v>398</v>
      </c>
      <c r="AA78" s="81" t="s">
        <v>117</v>
      </c>
      <c r="AB78" s="81" t="s">
        <v>218</v>
      </c>
      <c r="AC78" s="166">
        <v>2.0999999716877899E-2</v>
      </c>
      <c r="AD78" s="349">
        <v>42481</v>
      </c>
      <c r="AF78" s="349">
        <v>42894</v>
      </c>
      <c r="AG78" s="81" t="s">
        <v>238</v>
      </c>
      <c r="AH78" s="81" t="s">
        <v>118</v>
      </c>
      <c r="AK78" s="166">
        <v>0</v>
      </c>
      <c r="AM78" s="166">
        <v>0</v>
      </c>
      <c r="AO78" s="166">
        <v>-3</v>
      </c>
      <c r="AP78" s="166">
        <v>1</v>
      </c>
      <c r="AQ78" s="166">
        <v>3</v>
      </c>
      <c r="AR78" s="166">
        <v>2</v>
      </c>
      <c r="AS78" s="166">
        <v>-1</v>
      </c>
      <c r="AT78" s="166">
        <v>0</v>
      </c>
      <c r="AU78" s="166">
        <v>0</v>
      </c>
      <c r="AV78" s="166">
        <v>-3</v>
      </c>
      <c r="AW78" s="166">
        <v>1</v>
      </c>
      <c r="AX78" s="166">
        <v>3</v>
      </c>
      <c r="AY78" s="166">
        <v>2</v>
      </c>
      <c r="AZ78" s="166">
        <v>-1</v>
      </c>
      <c r="BA78" s="166">
        <v>0</v>
      </c>
      <c r="BB78" s="166">
        <v>0</v>
      </c>
      <c r="BC78" s="166">
        <v>0</v>
      </c>
      <c r="BD78" s="166">
        <v>0</v>
      </c>
      <c r="BE78" s="166">
        <v>0</v>
      </c>
      <c r="BF78" s="166">
        <v>0</v>
      </c>
      <c r="BG78" s="166">
        <v>0</v>
      </c>
      <c r="BH78" s="166">
        <v>0</v>
      </c>
      <c r="BI78" s="166">
        <v>0</v>
      </c>
      <c r="BJ78" s="166">
        <v>0</v>
      </c>
      <c r="BK78" s="166">
        <v>0</v>
      </c>
      <c r="BL78" s="166">
        <v>0</v>
      </c>
      <c r="BM78" s="166">
        <v>0</v>
      </c>
      <c r="BN78" s="166">
        <v>0</v>
      </c>
      <c r="BO78" s="166">
        <v>0</v>
      </c>
      <c r="BP78" s="166">
        <v>0</v>
      </c>
      <c r="BQ78" s="81" t="s">
        <v>1757</v>
      </c>
      <c r="BZ78" s="81" t="s">
        <v>155</v>
      </c>
      <c r="CA78" s="81">
        <v>7</v>
      </c>
      <c r="CC78" s="167">
        <f>N78</f>
        <v>2</v>
      </c>
      <c r="CD78" s="167">
        <v>0</v>
      </c>
      <c r="CE78" s="167">
        <v>0</v>
      </c>
      <c r="CF78" s="167">
        <v>0</v>
      </c>
      <c r="CG78" s="167">
        <v>0</v>
      </c>
      <c r="CH78" s="167">
        <v>0</v>
      </c>
      <c r="CI78" s="167">
        <v>0</v>
      </c>
      <c r="CJ78" s="167">
        <v>0</v>
      </c>
      <c r="CK78" s="167">
        <v>0</v>
      </c>
      <c r="CL78" s="167">
        <v>0</v>
      </c>
      <c r="CM78" s="167">
        <v>0</v>
      </c>
      <c r="CN78" s="167">
        <v>0</v>
      </c>
      <c r="CO78" s="167">
        <v>0</v>
      </c>
      <c r="CP78" s="167">
        <v>0</v>
      </c>
      <c r="CQ78" s="167">
        <v>0</v>
      </c>
      <c r="CR78" s="167">
        <v>0</v>
      </c>
      <c r="CS78" s="167">
        <v>0</v>
      </c>
      <c r="CT78" s="167">
        <v>0</v>
      </c>
      <c r="CU78" s="167">
        <v>0</v>
      </c>
      <c r="CV78" s="167">
        <v>0</v>
      </c>
      <c r="CW78" s="167">
        <v>0</v>
      </c>
      <c r="CX78" s="167">
        <f>SUM(CD78:CH78)</f>
        <v>0</v>
      </c>
      <c r="CY78" s="167">
        <f>SUM(CD78:CM78)</f>
        <v>0</v>
      </c>
    </row>
    <row r="79" spans="1:103" ht="12.75" customHeight="1" x14ac:dyDescent="0.2">
      <c r="A79" s="81">
        <v>5380</v>
      </c>
      <c r="B79" s="165" t="s">
        <v>1924</v>
      </c>
      <c r="C79" s="165" t="s">
        <v>1214</v>
      </c>
      <c r="E79" s="165" t="s">
        <v>3132</v>
      </c>
      <c r="G79" s="81">
        <v>523621</v>
      </c>
      <c r="H79" s="81">
        <v>175794</v>
      </c>
      <c r="I79" s="165" t="s">
        <v>259</v>
      </c>
      <c r="J79" s="349">
        <v>42678</v>
      </c>
      <c r="K79" s="349">
        <v>42969</v>
      </c>
      <c r="L79" s="166">
        <v>0</v>
      </c>
      <c r="M79" s="166">
        <v>1</v>
      </c>
      <c r="N79" s="166">
        <v>1</v>
      </c>
      <c r="O79" s="166">
        <v>1</v>
      </c>
      <c r="P79" s="166">
        <v>1</v>
      </c>
      <c r="R79" s="165" t="s">
        <v>1215</v>
      </c>
      <c r="S79" s="81" t="s">
        <v>113</v>
      </c>
      <c r="T79" s="349">
        <v>42461</v>
      </c>
      <c r="U79" s="349">
        <v>42517</v>
      </c>
      <c r="W79" s="81" t="s">
        <v>114</v>
      </c>
      <c r="Y79" s="81" t="s">
        <v>115</v>
      </c>
      <c r="Z79" s="81" t="s">
        <v>398</v>
      </c>
      <c r="AA79" s="81" t="s">
        <v>117</v>
      </c>
      <c r="AB79" s="81" t="s">
        <v>102</v>
      </c>
      <c r="AC79" s="166">
        <v>4.9999998882412902E-3</v>
      </c>
      <c r="AD79" s="349">
        <v>42678</v>
      </c>
      <c r="AF79" s="349">
        <v>42969</v>
      </c>
      <c r="AG79" s="81" t="s">
        <v>238</v>
      </c>
      <c r="AH79" s="81" t="s">
        <v>118</v>
      </c>
      <c r="AK79" s="166">
        <v>0</v>
      </c>
      <c r="AM79" s="166">
        <v>0</v>
      </c>
      <c r="AO79" s="166">
        <v>0</v>
      </c>
      <c r="AP79" s="166">
        <v>1</v>
      </c>
      <c r="AQ79" s="166">
        <v>0</v>
      </c>
      <c r="AR79" s="166">
        <v>0</v>
      </c>
      <c r="AS79" s="166">
        <v>0</v>
      </c>
      <c r="AT79" s="166">
        <v>0</v>
      </c>
      <c r="AU79" s="166">
        <v>0</v>
      </c>
      <c r="AV79" s="166">
        <v>0</v>
      </c>
      <c r="AW79" s="166">
        <v>1</v>
      </c>
      <c r="AX79" s="166">
        <v>0</v>
      </c>
      <c r="AY79" s="166">
        <v>0</v>
      </c>
      <c r="AZ79" s="166">
        <v>0</v>
      </c>
      <c r="BA79" s="166">
        <v>0</v>
      </c>
      <c r="BB79" s="166">
        <v>0</v>
      </c>
      <c r="BC79" s="166">
        <v>0</v>
      </c>
      <c r="BD79" s="166">
        <v>0</v>
      </c>
      <c r="BE79" s="166">
        <v>0</v>
      </c>
      <c r="BF79" s="166">
        <v>0</v>
      </c>
      <c r="BG79" s="166">
        <v>0</v>
      </c>
      <c r="BH79" s="166">
        <v>0</v>
      </c>
      <c r="BI79" s="166">
        <v>0</v>
      </c>
      <c r="BJ79" s="166">
        <v>0</v>
      </c>
      <c r="BK79" s="166">
        <v>0</v>
      </c>
      <c r="BL79" s="166">
        <v>0</v>
      </c>
      <c r="BM79" s="166">
        <v>0</v>
      </c>
      <c r="BN79" s="166">
        <v>0</v>
      </c>
      <c r="BO79" s="166">
        <v>0</v>
      </c>
      <c r="BP79" s="166">
        <v>0</v>
      </c>
      <c r="BQ79" s="81" t="s">
        <v>1758</v>
      </c>
      <c r="BZ79" s="81" t="s">
        <v>155</v>
      </c>
      <c r="CA79" s="81">
        <v>7</v>
      </c>
      <c r="CC79" s="167">
        <f>N79</f>
        <v>1</v>
      </c>
      <c r="CD79" s="167">
        <v>0</v>
      </c>
      <c r="CE79" s="167">
        <v>0</v>
      </c>
      <c r="CF79" s="167">
        <v>0</v>
      </c>
      <c r="CG79" s="167">
        <v>0</v>
      </c>
      <c r="CH79" s="167">
        <v>0</v>
      </c>
      <c r="CI79" s="167">
        <v>0</v>
      </c>
      <c r="CJ79" s="167">
        <v>0</v>
      </c>
      <c r="CK79" s="167">
        <v>0</v>
      </c>
      <c r="CL79" s="167">
        <v>0</v>
      </c>
      <c r="CM79" s="167">
        <v>0</v>
      </c>
      <c r="CN79" s="167">
        <v>0</v>
      </c>
      <c r="CO79" s="167">
        <v>0</v>
      </c>
      <c r="CP79" s="167">
        <v>0</v>
      </c>
      <c r="CQ79" s="167">
        <v>0</v>
      </c>
      <c r="CR79" s="167">
        <v>0</v>
      </c>
      <c r="CS79" s="167">
        <v>0</v>
      </c>
      <c r="CT79" s="167">
        <v>0</v>
      </c>
      <c r="CU79" s="167">
        <v>0</v>
      </c>
      <c r="CV79" s="167">
        <v>0</v>
      </c>
      <c r="CW79" s="167">
        <v>0</v>
      </c>
      <c r="CX79" s="167">
        <f>SUM(CD79:CH79)</f>
        <v>0</v>
      </c>
      <c r="CY79" s="167">
        <f>SUM(CD79:CM79)</f>
        <v>0</v>
      </c>
    </row>
    <row r="80" spans="1:103" ht="12.75" customHeight="1" x14ac:dyDescent="0.2">
      <c r="A80" s="81">
        <v>5391</v>
      </c>
      <c r="B80" s="165" t="s">
        <v>1924</v>
      </c>
      <c r="C80" s="165" t="s">
        <v>232</v>
      </c>
      <c r="E80" s="165" t="s">
        <v>3133</v>
      </c>
      <c r="G80" s="81">
        <v>524044</v>
      </c>
      <c r="H80" s="81">
        <v>175282</v>
      </c>
      <c r="I80" s="165" t="s">
        <v>259</v>
      </c>
      <c r="J80" s="349">
        <v>42412</v>
      </c>
      <c r="K80" s="349">
        <v>42867</v>
      </c>
      <c r="L80" s="166">
        <v>1</v>
      </c>
      <c r="M80" s="166">
        <v>3</v>
      </c>
      <c r="N80" s="166">
        <v>2</v>
      </c>
      <c r="O80" s="166">
        <v>3</v>
      </c>
      <c r="P80" s="166">
        <v>2</v>
      </c>
      <c r="R80" s="165" t="s">
        <v>1681</v>
      </c>
      <c r="S80" s="81" t="s">
        <v>113</v>
      </c>
      <c r="T80" s="349">
        <v>41548</v>
      </c>
      <c r="U80" s="349">
        <v>41626</v>
      </c>
      <c r="W80" s="81" t="s">
        <v>114</v>
      </c>
      <c r="Y80" s="81" t="s">
        <v>115</v>
      </c>
      <c r="Z80" s="81" t="s">
        <v>398</v>
      </c>
      <c r="AA80" s="81" t="s">
        <v>117</v>
      </c>
      <c r="AB80" s="81" t="s">
        <v>220</v>
      </c>
      <c r="AC80" s="166">
        <v>1.4000000432133701E-2</v>
      </c>
      <c r="AD80" s="349">
        <v>42412</v>
      </c>
      <c r="AF80" s="349">
        <v>42867</v>
      </c>
      <c r="AG80" s="81" t="s">
        <v>238</v>
      </c>
      <c r="AH80" s="81" t="s">
        <v>118</v>
      </c>
      <c r="AK80" s="166">
        <v>0</v>
      </c>
      <c r="AM80" s="166">
        <v>0</v>
      </c>
      <c r="AO80" s="166">
        <v>0</v>
      </c>
      <c r="AP80" s="166">
        <v>2</v>
      </c>
      <c r="AQ80" s="166">
        <v>1</v>
      </c>
      <c r="AR80" s="166">
        <v>0</v>
      </c>
      <c r="AS80" s="166">
        <v>0</v>
      </c>
      <c r="AT80" s="166">
        <v>-1</v>
      </c>
      <c r="AU80" s="166">
        <v>0</v>
      </c>
      <c r="AV80" s="166">
        <v>0</v>
      </c>
      <c r="AW80" s="166">
        <v>2</v>
      </c>
      <c r="AX80" s="166">
        <v>1</v>
      </c>
      <c r="AY80" s="166">
        <v>0</v>
      </c>
      <c r="AZ80" s="166">
        <v>0</v>
      </c>
      <c r="BA80" s="166">
        <v>-1</v>
      </c>
      <c r="BB80" s="166">
        <v>0</v>
      </c>
      <c r="BC80" s="166">
        <v>0</v>
      </c>
      <c r="BD80" s="166">
        <v>0</v>
      </c>
      <c r="BE80" s="166">
        <v>0</v>
      </c>
      <c r="BF80" s="166">
        <v>0</v>
      </c>
      <c r="BG80" s="166">
        <v>0</v>
      </c>
      <c r="BH80" s="166">
        <v>0</v>
      </c>
      <c r="BI80" s="166">
        <v>0</v>
      </c>
      <c r="BJ80" s="166">
        <v>0</v>
      </c>
      <c r="BK80" s="166">
        <v>0</v>
      </c>
      <c r="BL80" s="166">
        <v>0</v>
      </c>
      <c r="BM80" s="166">
        <v>0</v>
      </c>
      <c r="BN80" s="166">
        <v>0</v>
      </c>
      <c r="BO80" s="166">
        <v>0</v>
      </c>
      <c r="BP80" s="166">
        <v>0</v>
      </c>
      <c r="BQ80" s="81" t="s">
        <v>1758</v>
      </c>
      <c r="BR80" s="81" t="s">
        <v>161</v>
      </c>
      <c r="BZ80" s="81" t="s">
        <v>155</v>
      </c>
      <c r="CA80" s="81">
        <v>7</v>
      </c>
      <c r="CC80" s="167">
        <f>N80</f>
        <v>2</v>
      </c>
      <c r="CD80" s="167">
        <v>0</v>
      </c>
      <c r="CE80" s="167">
        <v>0</v>
      </c>
      <c r="CF80" s="167">
        <v>0</v>
      </c>
      <c r="CG80" s="167">
        <v>0</v>
      </c>
      <c r="CH80" s="167">
        <v>0</v>
      </c>
      <c r="CI80" s="167">
        <v>0</v>
      </c>
      <c r="CJ80" s="167">
        <v>0</v>
      </c>
      <c r="CK80" s="167">
        <v>0</v>
      </c>
      <c r="CL80" s="167">
        <v>0</v>
      </c>
      <c r="CM80" s="167">
        <v>0</v>
      </c>
      <c r="CN80" s="167">
        <v>0</v>
      </c>
      <c r="CO80" s="167">
        <v>0</v>
      </c>
      <c r="CP80" s="167">
        <v>0</v>
      </c>
      <c r="CQ80" s="167">
        <v>0</v>
      </c>
      <c r="CR80" s="167">
        <v>0</v>
      </c>
      <c r="CS80" s="167">
        <v>0</v>
      </c>
      <c r="CT80" s="167">
        <v>0</v>
      </c>
      <c r="CU80" s="167">
        <v>0</v>
      </c>
      <c r="CV80" s="167">
        <v>0</v>
      </c>
      <c r="CW80" s="167">
        <v>0</v>
      </c>
      <c r="CX80" s="167">
        <f>SUM(CD80:CH80)</f>
        <v>0</v>
      </c>
      <c r="CY80" s="167">
        <f>SUM(CD80:CM80)</f>
        <v>0</v>
      </c>
    </row>
    <row r="81" spans="1:103" ht="12.75" customHeight="1" x14ac:dyDescent="0.2">
      <c r="A81" s="81">
        <v>5420</v>
      </c>
      <c r="B81" s="165" t="s">
        <v>1924</v>
      </c>
      <c r="C81" s="165" t="s">
        <v>233</v>
      </c>
      <c r="E81" s="165" t="s">
        <v>3134</v>
      </c>
      <c r="G81" s="81">
        <v>527461</v>
      </c>
      <c r="H81" s="81">
        <v>171563</v>
      </c>
      <c r="I81" s="165" t="s">
        <v>242</v>
      </c>
      <c r="J81" s="349">
        <v>42185</v>
      </c>
      <c r="K81" s="349">
        <v>43066</v>
      </c>
      <c r="L81" s="166">
        <v>0</v>
      </c>
      <c r="M81" s="166">
        <v>9</v>
      </c>
      <c r="N81" s="166">
        <v>9</v>
      </c>
      <c r="O81" s="166">
        <v>9</v>
      </c>
      <c r="P81" s="166">
        <v>9</v>
      </c>
      <c r="R81" s="165" t="s">
        <v>745</v>
      </c>
      <c r="S81" s="81" t="s">
        <v>104</v>
      </c>
      <c r="T81" s="349">
        <v>41596</v>
      </c>
      <c r="U81" s="349">
        <v>41883</v>
      </c>
      <c r="W81" s="81" t="s">
        <v>114</v>
      </c>
      <c r="Y81" s="81" t="s">
        <v>115</v>
      </c>
      <c r="Z81" s="81" t="s">
        <v>398</v>
      </c>
      <c r="AA81" s="81" t="s">
        <v>117</v>
      </c>
      <c r="AB81" s="81" t="s">
        <v>218</v>
      </c>
      <c r="AC81" s="166">
        <v>8.6999997496604906E-2</v>
      </c>
      <c r="AD81" s="349">
        <v>42185</v>
      </c>
      <c r="AF81" s="349">
        <v>43066</v>
      </c>
      <c r="AG81" s="81" t="s">
        <v>238</v>
      </c>
      <c r="AH81" s="81" t="s">
        <v>118</v>
      </c>
      <c r="AK81" s="166">
        <v>0</v>
      </c>
      <c r="AM81" s="166">
        <v>0</v>
      </c>
      <c r="AO81" s="166">
        <v>0</v>
      </c>
      <c r="AP81" s="166">
        <v>1</v>
      </c>
      <c r="AQ81" s="166">
        <v>6</v>
      </c>
      <c r="AR81" s="166">
        <v>2</v>
      </c>
      <c r="AS81" s="166">
        <v>0</v>
      </c>
      <c r="AT81" s="166">
        <v>0</v>
      </c>
      <c r="AU81" s="166">
        <v>0</v>
      </c>
      <c r="AV81" s="166">
        <v>0</v>
      </c>
      <c r="AW81" s="166">
        <v>1</v>
      </c>
      <c r="AX81" s="166">
        <v>6</v>
      </c>
      <c r="AY81" s="166">
        <v>2</v>
      </c>
      <c r="AZ81" s="166">
        <v>0</v>
      </c>
      <c r="BA81" s="166">
        <v>0</v>
      </c>
      <c r="BB81" s="166">
        <v>0</v>
      </c>
      <c r="BC81" s="166">
        <v>0</v>
      </c>
      <c r="BD81" s="166">
        <v>0</v>
      </c>
      <c r="BE81" s="166">
        <v>0</v>
      </c>
      <c r="BF81" s="166">
        <v>0</v>
      </c>
      <c r="BG81" s="166">
        <v>0</v>
      </c>
      <c r="BH81" s="166">
        <v>0</v>
      </c>
      <c r="BI81" s="166">
        <v>0</v>
      </c>
      <c r="BJ81" s="166">
        <v>0</v>
      </c>
      <c r="BK81" s="166">
        <v>0</v>
      </c>
      <c r="BL81" s="166">
        <v>0</v>
      </c>
      <c r="BM81" s="166">
        <v>0</v>
      </c>
      <c r="BN81" s="166">
        <v>0</v>
      </c>
      <c r="BO81" s="166">
        <v>0</v>
      </c>
      <c r="BP81" s="166">
        <v>0</v>
      </c>
      <c r="BQ81" s="81" t="s">
        <v>1757</v>
      </c>
      <c r="BR81" s="81" t="s">
        <v>242</v>
      </c>
      <c r="BZ81" s="81" t="s">
        <v>155</v>
      </c>
      <c r="CA81" s="81">
        <v>7</v>
      </c>
      <c r="CC81" s="167">
        <f>N81</f>
        <v>9</v>
      </c>
      <c r="CD81" s="167">
        <v>0</v>
      </c>
      <c r="CE81" s="167">
        <v>0</v>
      </c>
      <c r="CF81" s="167">
        <v>0</v>
      </c>
      <c r="CG81" s="167">
        <v>0</v>
      </c>
      <c r="CH81" s="167">
        <v>0</v>
      </c>
      <c r="CI81" s="167">
        <v>0</v>
      </c>
      <c r="CJ81" s="167">
        <v>0</v>
      </c>
      <c r="CK81" s="167">
        <v>0</v>
      </c>
      <c r="CL81" s="167">
        <v>0</v>
      </c>
      <c r="CM81" s="167">
        <v>0</v>
      </c>
      <c r="CN81" s="167">
        <v>0</v>
      </c>
      <c r="CO81" s="167">
        <v>0</v>
      </c>
      <c r="CP81" s="167">
        <v>0</v>
      </c>
      <c r="CQ81" s="167">
        <v>0</v>
      </c>
      <c r="CR81" s="167">
        <v>0</v>
      </c>
      <c r="CS81" s="167">
        <v>0</v>
      </c>
      <c r="CT81" s="167">
        <v>0</v>
      </c>
      <c r="CU81" s="167">
        <v>0</v>
      </c>
      <c r="CV81" s="167">
        <v>0</v>
      </c>
      <c r="CW81" s="167">
        <v>0</v>
      </c>
      <c r="CX81" s="167">
        <f>SUM(CD81:CH81)</f>
        <v>0</v>
      </c>
      <c r="CY81" s="167">
        <f>SUM(CD81:CM81)</f>
        <v>0</v>
      </c>
    </row>
    <row r="82" spans="1:103" ht="12.75" customHeight="1" x14ac:dyDescent="0.2">
      <c r="A82" s="81">
        <v>5437</v>
      </c>
      <c r="B82" s="165" t="s">
        <v>1924</v>
      </c>
      <c r="C82" s="165" t="s">
        <v>16</v>
      </c>
      <c r="E82" s="165" t="s">
        <v>3135</v>
      </c>
      <c r="G82" s="81">
        <v>526888</v>
      </c>
      <c r="H82" s="81">
        <v>175093</v>
      </c>
      <c r="I82" s="165" t="s">
        <v>251</v>
      </c>
      <c r="J82" s="349">
        <v>42401</v>
      </c>
      <c r="K82" s="349">
        <v>42949</v>
      </c>
      <c r="L82" s="166">
        <v>0</v>
      </c>
      <c r="M82" s="166">
        <v>3</v>
      </c>
      <c r="N82" s="166">
        <v>3</v>
      </c>
      <c r="O82" s="166">
        <v>3</v>
      </c>
      <c r="P82" s="166">
        <v>3</v>
      </c>
      <c r="R82" s="165" t="s">
        <v>108</v>
      </c>
      <c r="S82" s="81" t="s">
        <v>113</v>
      </c>
      <c r="T82" s="349">
        <v>41494</v>
      </c>
      <c r="U82" s="349">
        <v>41557</v>
      </c>
      <c r="W82" s="81" t="s">
        <v>114</v>
      </c>
      <c r="Y82" s="81" t="s">
        <v>115</v>
      </c>
      <c r="Z82" s="81" t="s">
        <v>116</v>
      </c>
      <c r="AA82" s="81" t="s">
        <v>117</v>
      </c>
      <c r="AB82" s="81" t="s">
        <v>218</v>
      </c>
      <c r="AC82" s="166">
        <v>1.4000000432133701E-2</v>
      </c>
      <c r="AD82" s="349">
        <v>42401</v>
      </c>
      <c r="AF82" s="349">
        <v>42949</v>
      </c>
      <c r="AG82" s="81" t="s">
        <v>238</v>
      </c>
      <c r="AH82" s="81" t="s">
        <v>118</v>
      </c>
      <c r="AK82" s="166">
        <v>0</v>
      </c>
      <c r="AM82" s="166">
        <v>0</v>
      </c>
      <c r="AO82" s="166">
        <v>0</v>
      </c>
      <c r="AP82" s="166">
        <v>0</v>
      </c>
      <c r="AQ82" s="166">
        <v>0</v>
      </c>
      <c r="AR82" s="166">
        <v>3</v>
      </c>
      <c r="AS82" s="166">
        <v>0</v>
      </c>
      <c r="AT82" s="166">
        <v>0</v>
      </c>
      <c r="AU82" s="166">
        <v>0</v>
      </c>
      <c r="AV82" s="166">
        <v>0</v>
      </c>
      <c r="AW82" s="166">
        <v>0</v>
      </c>
      <c r="AX82" s="166">
        <v>0</v>
      </c>
      <c r="AY82" s="166">
        <v>3</v>
      </c>
      <c r="AZ82" s="166">
        <v>0</v>
      </c>
      <c r="BA82" s="166">
        <v>0</v>
      </c>
      <c r="BB82" s="166">
        <v>0</v>
      </c>
      <c r="BC82" s="166">
        <v>0</v>
      </c>
      <c r="BD82" s="166">
        <v>0</v>
      </c>
      <c r="BE82" s="166">
        <v>0</v>
      </c>
      <c r="BF82" s="166">
        <v>0</v>
      </c>
      <c r="BG82" s="166">
        <v>0</v>
      </c>
      <c r="BH82" s="166">
        <v>0</v>
      </c>
      <c r="BI82" s="166">
        <v>0</v>
      </c>
      <c r="BJ82" s="166">
        <v>0</v>
      </c>
      <c r="BK82" s="166">
        <v>0</v>
      </c>
      <c r="BL82" s="166">
        <v>0</v>
      </c>
      <c r="BM82" s="166">
        <v>0</v>
      </c>
      <c r="BN82" s="166">
        <v>0</v>
      </c>
      <c r="BO82" s="166">
        <v>0</v>
      </c>
      <c r="BP82" s="166">
        <v>0</v>
      </c>
      <c r="BQ82" s="81" t="s">
        <v>1758</v>
      </c>
      <c r="BZ82" s="81" t="s">
        <v>155</v>
      </c>
      <c r="CA82" s="81">
        <v>1</v>
      </c>
      <c r="CC82" s="167">
        <f>N82</f>
        <v>3</v>
      </c>
      <c r="CD82" s="167">
        <v>0</v>
      </c>
      <c r="CE82" s="167">
        <v>0</v>
      </c>
      <c r="CF82" s="167">
        <v>0</v>
      </c>
      <c r="CG82" s="167">
        <v>0</v>
      </c>
      <c r="CH82" s="167">
        <v>0</v>
      </c>
      <c r="CI82" s="167">
        <v>0</v>
      </c>
      <c r="CJ82" s="167">
        <v>0</v>
      </c>
      <c r="CK82" s="167">
        <v>0</v>
      </c>
      <c r="CL82" s="167">
        <v>0</v>
      </c>
      <c r="CM82" s="167">
        <v>0</v>
      </c>
      <c r="CN82" s="167">
        <v>0</v>
      </c>
      <c r="CO82" s="167">
        <v>0</v>
      </c>
      <c r="CP82" s="167">
        <v>0</v>
      </c>
      <c r="CQ82" s="167">
        <v>0</v>
      </c>
      <c r="CR82" s="167">
        <v>0</v>
      </c>
      <c r="CS82" s="167">
        <v>0</v>
      </c>
      <c r="CT82" s="167">
        <v>0</v>
      </c>
      <c r="CU82" s="167">
        <v>0</v>
      </c>
      <c r="CV82" s="167">
        <v>0</v>
      </c>
      <c r="CW82" s="167">
        <v>0</v>
      </c>
      <c r="CX82" s="167">
        <f>SUM(CD82:CH82)</f>
        <v>0</v>
      </c>
      <c r="CY82" s="167">
        <f>SUM(CD82:CM82)</f>
        <v>0</v>
      </c>
    </row>
    <row r="83" spans="1:103" ht="12.75" customHeight="1" x14ac:dyDescent="0.2">
      <c r="A83" s="81">
        <v>5480</v>
      </c>
      <c r="B83" s="165" t="s">
        <v>1924</v>
      </c>
      <c r="C83" s="165" t="s">
        <v>804</v>
      </c>
      <c r="E83" s="165" t="s">
        <v>3136</v>
      </c>
      <c r="G83" s="81">
        <v>527831</v>
      </c>
      <c r="H83" s="81">
        <v>176627</v>
      </c>
      <c r="I83" s="165" t="s">
        <v>240</v>
      </c>
      <c r="J83" s="349">
        <v>42825</v>
      </c>
      <c r="K83" s="349">
        <v>43190</v>
      </c>
      <c r="L83" s="166">
        <v>0</v>
      </c>
      <c r="M83" s="166">
        <v>1</v>
      </c>
      <c r="N83" s="166">
        <v>1</v>
      </c>
      <c r="O83" s="166">
        <v>1</v>
      </c>
      <c r="P83" s="166">
        <v>1</v>
      </c>
      <c r="R83" s="165" t="s">
        <v>975</v>
      </c>
      <c r="S83" s="81" t="s">
        <v>113</v>
      </c>
      <c r="T83" s="349">
        <v>42396</v>
      </c>
      <c r="U83" s="349">
        <v>42488</v>
      </c>
      <c r="W83" s="81" t="s">
        <v>114</v>
      </c>
      <c r="Y83" s="81" t="s">
        <v>115</v>
      </c>
      <c r="Z83" s="81" t="s">
        <v>219</v>
      </c>
      <c r="AA83" s="81" t="s">
        <v>117</v>
      </c>
      <c r="AB83" s="81" t="s">
        <v>3889</v>
      </c>
      <c r="AC83" s="166">
        <v>7.0000002160668399E-3</v>
      </c>
      <c r="AD83" s="349">
        <v>42825</v>
      </c>
      <c r="AF83" s="349">
        <v>43190</v>
      </c>
      <c r="AG83" s="81" t="s">
        <v>238</v>
      </c>
      <c r="AH83" s="81" t="s">
        <v>118</v>
      </c>
      <c r="AK83" s="166">
        <v>0</v>
      </c>
      <c r="AM83" s="166">
        <v>0</v>
      </c>
      <c r="AO83" s="166">
        <v>0</v>
      </c>
      <c r="AP83" s="166">
        <v>0</v>
      </c>
      <c r="AQ83" s="166">
        <v>0</v>
      </c>
      <c r="AR83" s="166">
        <v>1</v>
      </c>
      <c r="AS83" s="166">
        <v>0</v>
      </c>
      <c r="AT83" s="166">
        <v>0</v>
      </c>
      <c r="AU83" s="166">
        <v>0</v>
      </c>
      <c r="AV83" s="166">
        <v>0</v>
      </c>
      <c r="AW83" s="166">
        <v>0</v>
      </c>
      <c r="AX83" s="166">
        <v>0</v>
      </c>
      <c r="AY83" s="166">
        <v>1</v>
      </c>
      <c r="AZ83" s="166">
        <v>0</v>
      </c>
      <c r="BA83" s="166">
        <v>0</v>
      </c>
      <c r="BB83" s="166">
        <v>0</v>
      </c>
      <c r="BC83" s="166">
        <v>0</v>
      </c>
      <c r="BD83" s="166">
        <v>0</v>
      </c>
      <c r="BE83" s="166">
        <v>0</v>
      </c>
      <c r="BF83" s="166">
        <v>0</v>
      </c>
      <c r="BG83" s="166">
        <v>0</v>
      </c>
      <c r="BH83" s="166">
        <v>0</v>
      </c>
      <c r="BI83" s="166">
        <v>0</v>
      </c>
      <c r="BJ83" s="166">
        <v>0</v>
      </c>
      <c r="BK83" s="166">
        <v>0</v>
      </c>
      <c r="BL83" s="166">
        <v>0</v>
      </c>
      <c r="BM83" s="166">
        <v>0</v>
      </c>
      <c r="BN83" s="166">
        <v>0</v>
      </c>
      <c r="BO83" s="166">
        <v>0</v>
      </c>
      <c r="BP83" s="166">
        <v>0</v>
      </c>
      <c r="BQ83" s="81" t="s">
        <v>1757</v>
      </c>
      <c r="BZ83" s="81" t="s">
        <v>155</v>
      </c>
      <c r="CA83" s="81">
        <v>7</v>
      </c>
      <c r="CC83" s="167">
        <f>N83</f>
        <v>1</v>
      </c>
      <c r="CD83" s="167">
        <v>0</v>
      </c>
      <c r="CE83" s="167">
        <v>0</v>
      </c>
      <c r="CF83" s="167">
        <v>0</v>
      </c>
      <c r="CG83" s="167">
        <v>0</v>
      </c>
      <c r="CH83" s="167">
        <v>0</v>
      </c>
      <c r="CI83" s="167">
        <v>0</v>
      </c>
      <c r="CJ83" s="167">
        <v>0</v>
      </c>
      <c r="CK83" s="167">
        <v>0</v>
      </c>
      <c r="CL83" s="167">
        <v>0</v>
      </c>
      <c r="CM83" s="167">
        <v>0</v>
      </c>
      <c r="CN83" s="167">
        <v>0</v>
      </c>
      <c r="CO83" s="167">
        <v>0</v>
      </c>
      <c r="CP83" s="167">
        <v>0</v>
      </c>
      <c r="CQ83" s="167">
        <v>0</v>
      </c>
      <c r="CR83" s="167">
        <v>0</v>
      </c>
      <c r="CS83" s="167">
        <v>0</v>
      </c>
      <c r="CT83" s="167">
        <v>0</v>
      </c>
      <c r="CU83" s="167">
        <v>0</v>
      </c>
      <c r="CV83" s="167">
        <v>0</v>
      </c>
      <c r="CW83" s="167">
        <v>0</v>
      </c>
      <c r="CX83" s="167">
        <f>SUM(CD83:CH83)</f>
        <v>0</v>
      </c>
      <c r="CY83" s="167">
        <f>SUM(CD83:CM83)</f>
        <v>0</v>
      </c>
    </row>
    <row r="84" spans="1:103" ht="12.75" customHeight="1" x14ac:dyDescent="0.2">
      <c r="A84" s="81">
        <v>5526</v>
      </c>
      <c r="B84" s="165" t="s">
        <v>1924</v>
      </c>
      <c r="C84" s="165" t="s">
        <v>785</v>
      </c>
      <c r="D84" s="165" t="s">
        <v>511</v>
      </c>
      <c r="E84" s="165" t="s">
        <v>3137</v>
      </c>
      <c r="G84" s="81">
        <v>529051</v>
      </c>
      <c r="H84" s="81">
        <v>172623</v>
      </c>
      <c r="I84" s="165" t="s">
        <v>248</v>
      </c>
      <c r="J84" s="349">
        <v>42522</v>
      </c>
      <c r="K84" s="349">
        <v>43091</v>
      </c>
      <c r="L84" s="166">
        <v>0</v>
      </c>
      <c r="M84" s="166">
        <v>9</v>
      </c>
      <c r="N84" s="166">
        <v>9</v>
      </c>
      <c r="O84" s="166">
        <v>9</v>
      </c>
      <c r="P84" s="166">
        <v>9</v>
      </c>
      <c r="R84" s="165" t="s">
        <v>957</v>
      </c>
      <c r="S84" s="81" t="s">
        <v>113</v>
      </c>
      <c r="T84" s="349">
        <v>42272</v>
      </c>
      <c r="U84" s="349">
        <v>42464</v>
      </c>
      <c r="W84" s="81" t="s">
        <v>114</v>
      </c>
      <c r="Y84" s="81" t="s">
        <v>115</v>
      </c>
      <c r="Z84" s="81" t="s">
        <v>116</v>
      </c>
      <c r="AA84" s="81" t="s">
        <v>117</v>
      </c>
      <c r="AB84" s="81" t="s">
        <v>218</v>
      </c>
      <c r="AC84" s="166">
        <v>7.5000002980232197E-2</v>
      </c>
      <c r="AD84" s="349">
        <v>42522</v>
      </c>
      <c r="AF84" s="349">
        <v>43091</v>
      </c>
      <c r="AG84" s="81" t="s">
        <v>238</v>
      </c>
      <c r="AH84" s="81" t="s">
        <v>118</v>
      </c>
      <c r="AK84" s="166">
        <v>9</v>
      </c>
      <c r="AM84" s="166">
        <v>0</v>
      </c>
      <c r="AO84" s="166">
        <v>0</v>
      </c>
      <c r="AP84" s="166">
        <v>0</v>
      </c>
      <c r="AQ84" s="166">
        <v>6</v>
      </c>
      <c r="AR84" s="166">
        <v>3</v>
      </c>
      <c r="AS84" s="166">
        <v>0</v>
      </c>
      <c r="AT84" s="166">
        <v>0</v>
      </c>
      <c r="AU84" s="166">
        <v>0</v>
      </c>
      <c r="AV84" s="166">
        <v>0</v>
      </c>
      <c r="AW84" s="166">
        <v>0</v>
      </c>
      <c r="AX84" s="166">
        <v>6</v>
      </c>
      <c r="AY84" s="166">
        <v>3</v>
      </c>
      <c r="AZ84" s="166">
        <v>0</v>
      </c>
      <c r="BA84" s="166">
        <v>0</v>
      </c>
      <c r="BB84" s="166">
        <v>0</v>
      </c>
      <c r="BC84" s="166">
        <v>0</v>
      </c>
      <c r="BD84" s="166">
        <v>0</v>
      </c>
      <c r="BE84" s="166">
        <v>0</v>
      </c>
      <c r="BF84" s="166">
        <v>0</v>
      </c>
      <c r="BG84" s="166">
        <v>0</v>
      </c>
      <c r="BH84" s="166">
        <v>0</v>
      </c>
      <c r="BI84" s="166">
        <v>0</v>
      </c>
      <c r="BJ84" s="166">
        <v>0</v>
      </c>
      <c r="BK84" s="166">
        <v>0</v>
      </c>
      <c r="BL84" s="166">
        <v>0</v>
      </c>
      <c r="BM84" s="166">
        <v>0</v>
      </c>
      <c r="BN84" s="166">
        <v>0</v>
      </c>
      <c r="BO84" s="166">
        <v>0</v>
      </c>
      <c r="BP84" s="166">
        <v>0</v>
      </c>
      <c r="BQ84" s="81" t="s">
        <v>1757</v>
      </c>
      <c r="BZ84" s="81" t="s">
        <v>155</v>
      </c>
      <c r="CA84" s="81">
        <v>1</v>
      </c>
      <c r="CC84" s="167">
        <f>N84</f>
        <v>9</v>
      </c>
      <c r="CD84" s="167">
        <v>0</v>
      </c>
      <c r="CE84" s="167">
        <v>0</v>
      </c>
      <c r="CF84" s="167">
        <v>0</v>
      </c>
      <c r="CG84" s="167">
        <v>0</v>
      </c>
      <c r="CH84" s="167">
        <v>0</v>
      </c>
      <c r="CI84" s="167">
        <v>0</v>
      </c>
      <c r="CJ84" s="167">
        <v>0</v>
      </c>
      <c r="CK84" s="167">
        <v>0</v>
      </c>
      <c r="CL84" s="167">
        <v>0</v>
      </c>
      <c r="CM84" s="167">
        <v>0</v>
      </c>
      <c r="CN84" s="167">
        <v>0</v>
      </c>
      <c r="CO84" s="167">
        <v>0</v>
      </c>
      <c r="CP84" s="167">
        <v>0</v>
      </c>
      <c r="CQ84" s="167">
        <v>0</v>
      </c>
      <c r="CR84" s="167">
        <v>0</v>
      </c>
      <c r="CS84" s="167">
        <v>0</v>
      </c>
      <c r="CT84" s="167">
        <v>0</v>
      </c>
      <c r="CU84" s="167">
        <v>0</v>
      </c>
      <c r="CV84" s="167">
        <v>0</v>
      </c>
      <c r="CW84" s="167">
        <v>0</v>
      </c>
      <c r="CX84" s="167">
        <f>SUM(CD84:CH84)</f>
        <v>0</v>
      </c>
      <c r="CY84" s="167">
        <f>SUM(CD84:CM84)</f>
        <v>0</v>
      </c>
    </row>
    <row r="85" spans="1:103" ht="12.75" customHeight="1" x14ac:dyDescent="0.2">
      <c r="A85" s="81">
        <v>5546</v>
      </c>
      <c r="B85" s="165" t="s">
        <v>1924</v>
      </c>
      <c r="C85" s="165" t="s">
        <v>536</v>
      </c>
      <c r="E85" s="165" t="s">
        <v>3138</v>
      </c>
      <c r="G85" s="81">
        <v>525916</v>
      </c>
      <c r="H85" s="81">
        <v>173928</v>
      </c>
      <c r="I85" s="165" t="s">
        <v>249</v>
      </c>
      <c r="J85" s="349">
        <v>42844</v>
      </c>
      <c r="K85" s="349">
        <v>43190</v>
      </c>
      <c r="L85" s="166">
        <v>0</v>
      </c>
      <c r="M85" s="166">
        <v>1</v>
      </c>
      <c r="N85" s="166">
        <v>1</v>
      </c>
      <c r="O85" s="166">
        <v>1</v>
      </c>
      <c r="P85" s="166">
        <v>1</v>
      </c>
      <c r="R85" s="165" t="s">
        <v>537</v>
      </c>
      <c r="S85" s="81" t="s">
        <v>113</v>
      </c>
      <c r="T85" s="349">
        <v>41690</v>
      </c>
      <c r="U85" s="349">
        <v>41746</v>
      </c>
      <c r="W85" s="81" t="s">
        <v>114</v>
      </c>
      <c r="Y85" s="81" t="s">
        <v>115</v>
      </c>
      <c r="Z85" s="81" t="s">
        <v>116</v>
      </c>
      <c r="AA85" s="81" t="s">
        <v>117</v>
      </c>
      <c r="AB85" s="81" t="s">
        <v>218</v>
      </c>
      <c r="AC85" s="166">
        <v>4.9999998882412902E-3</v>
      </c>
      <c r="AD85" s="349">
        <v>42844</v>
      </c>
      <c r="AE85" s="81" t="s">
        <v>155</v>
      </c>
      <c r="AF85" s="349">
        <v>43190</v>
      </c>
      <c r="AG85" s="81" t="s">
        <v>238</v>
      </c>
      <c r="AH85" s="81" t="s">
        <v>118</v>
      </c>
      <c r="AK85" s="166">
        <v>0</v>
      </c>
      <c r="AM85" s="166">
        <v>0</v>
      </c>
      <c r="AO85" s="166">
        <v>0</v>
      </c>
      <c r="AP85" s="166">
        <v>1</v>
      </c>
      <c r="AQ85" s="166">
        <v>0</v>
      </c>
      <c r="AR85" s="166">
        <v>0</v>
      </c>
      <c r="AS85" s="166">
        <v>0</v>
      </c>
      <c r="AT85" s="166">
        <v>0</v>
      </c>
      <c r="AU85" s="166">
        <v>0</v>
      </c>
      <c r="AV85" s="166">
        <v>0</v>
      </c>
      <c r="AW85" s="166">
        <v>1</v>
      </c>
      <c r="AX85" s="166">
        <v>0</v>
      </c>
      <c r="AY85" s="166">
        <v>0</v>
      </c>
      <c r="AZ85" s="166">
        <v>0</v>
      </c>
      <c r="BA85" s="166">
        <v>0</v>
      </c>
      <c r="BB85" s="166">
        <v>0</v>
      </c>
      <c r="BC85" s="166">
        <v>0</v>
      </c>
      <c r="BD85" s="166">
        <v>0</v>
      </c>
      <c r="BE85" s="166">
        <v>0</v>
      </c>
      <c r="BF85" s="166">
        <v>0</v>
      </c>
      <c r="BG85" s="166">
        <v>0</v>
      </c>
      <c r="BH85" s="166">
        <v>0</v>
      </c>
      <c r="BI85" s="166">
        <v>0</v>
      </c>
      <c r="BJ85" s="166">
        <v>0</v>
      </c>
      <c r="BK85" s="166">
        <v>0</v>
      </c>
      <c r="BL85" s="166">
        <v>0</v>
      </c>
      <c r="BM85" s="166">
        <v>0</v>
      </c>
      <c r="BN85" s="166">
        <v>0</v>
      </c>
      <c r="BO85" s="166">
        <v>0</v>
      </c>
      <c r="BP85" s="166">
        <v>0</v>
      </c>
      <c r="BQ85" s="81" t="s">
        <v>1758</v>
      </c>
      <c r="BZ85" s="81" t="s">
        <v>155</v>
      </c>
      <c r="CA85" s="81">
        <v>1</v>
      </c>
      <c r="CC85" s="167">
        <f>N85</f>
        <v>1</v>
      </c>
      <c r="CD85" s="167">
        <v>0</v>
      </c>
      <c r="CE85" s="167">
        <v>0</v>
      </c>
      <c r="CF85" s="167">
        <v>0</v>
      </c>
      <c r="CG85" s="167">
        <v>0</v>
      </c>
      <c r="CH85" s="167">
        <v>0</v>
      </c>
      <c r="CI85" s="167">
        <v>0</v>
      </c>
      <c r="CJ85" s="167">
        <v>0</v>
      </c>
      <c r="CK85" s="167">
        <v>0</v>
      </c>
      <c r="CL85" s="167">
        <v>0</v>
      </c>
      <c r="CM85" s="167">
        <v>0</v>
      </c>
      <c r="CN85" s="167">
        <v>0</v>
      </c>
      <c r="CO85" s="167">
        <v>0</v>
      </c>
      <c r="CP85" s="167">
        <v>0</v>
      </c>
      <c r="CQ85" s="167">
        <v>0</v>
      </c>
      <c r="CR85" s="167">
        <v>0</v>
      </c>
      <c r="CS85" s="167">
        <v>0</v>
      </c>
      <c r="CT85" s="167">
        <v>0</v>
      </c>
      <c r="CU85" s="167">
        <v>0</v>
      </c>
      <c r="CV85" s="167">
        <v>0</v>
      </c>
      <c r="CW85" s="167">
        <v>0</v>
      </c>
      <c r="CX85" s="167">
        <f>SUM(CD85:CH85)</f>
        <v>0</v>
      </c>
      <c r="CY85" s="167">
        <f>SUM(CD85:CM85)</f>
        <v>0</v>
      </c>
    </row>
    <row r="86" spans="1:103" ht="12.75" customHeight="1" x14ac:dyDescent="0.2">
      <c r="A86" s="81">
        <v>5560</v>
      </c>
      <c r="B86" s="165" t="s">
        <v>1924</v>
      </c>
      <c r="C86" s="165" t="s">
        <v>789</v>
      </c>
      <c r="E86" s="165" t="s">
        <v>3139</v>
      </c>
      <c r="G86" s="81">
        <v>528096</v>
      </c>
      <c r="H86" s="81">
        <v>172192</v>
      </c>
      <c r="I86" s="165" t="s">
        <v>248</v>
      </c>
      <c r="J86" s="349">
        <v>42825</v>
      </c>
      <c r="K86" s="349">
        <v>43185</v>
      </c>
      <c r="L86" s="166">
        <v>1</v>
      </c>
      <c r="M86" s="166">
        <v>3</v>
      </c>
      <c r="N86" s="166">
        <v>2</v>
      </c>
      <c r="O86" s="166">
        <v>3</v>
      </c>
      <c r="P86" s="166">
        <v>2</v>
      </c>
      <c r="R86" s="165" t="s">
        <v>1150</v>
      </c>
      <c r="S86" s="81" t="s">
        <v>113</v>
      </c>
      <c r="T86" s="349">
        <v>42293</v>
      </c>
      <c r="U86" s="349">
        <v>42464</v>
      </c>
      <c r="W86" s="81" t="s">
        <v>114</v>
      </c>
      <c r="Y86" s="81" t="s">
        <v>115</v>
      </c>
      <c r="Z86" s="81" t="s">
        <v>398</v>
      </c>
      <c r="AA86" s="81" t="s">
        <v>117</v>
      </c>
      <c r="AB86" s="81" t="s">
        <v>120</v>
      </c>
      <c r="AC86" s="166">
        <v>2.0999999716877899E-2</v>
      </c>
      <c r="AD86" s="349">
        <v>42825</v>
      </c>
      <c r="AF86" s="349">
        <v>43185</v>
      </c>
      <c r="AG86" s="81" t="s">
        <v>238</v>
      </c>
      <c r="AH86" s="81" t="s">
        <v>118</v>
      </c>
      <c r="AK86" s="166">
        <v>0</v>
      </c>
      <c r="AM86" s="166">
        <v>0</v>
      </c>
      <c r="AO86" s="166">
        <v>0</v>
      </c>
      <c r="AP86" s="166">
        <v>1</v>
      </c>
      <c r="AQ86" s="166">
        <v>0</v>
      </c>
      <c r="AR86" s="166">
        <v>1</v>
      </c>
      <c r="AS86" s="166">
        <v>0</v>
      </c>
      <c r="AT86" s="166">
        <v>0</v>
      </c>
      <c r="AU86" s="166">
        <v>0</v>
      </c>
      <c r="AV86" s="166">
        <v>0</v>
      </c>
      <c r="AW86" s="166">
        <v>1</v>
      </c>
      <c r="AX86" s="166">
        <v>0</v>
      </c>
      <c r="AY86" s="166">
        <v>1</v>
      </c>
      <c r="AZ86" s="166">
        <v>1</v>
      </c>
      <c r="BA86" s="166">
        <v>0</v>
      </c>
      <c r="BB86" s="166">
        <v>0</v>
      </c>
      <c r="BC86" s="166">
        <v>0</v>
      </c>
      <c r="BD86" s="166">
        <v>0</v>
      </c>
      <c r="BE86" s="166">
        <v>0</v>
      </c>
      <c r="BF86" s="166">
        <v>0</v>
      </c>
      <c r="BG86" s="166">
        <v>-1</v>
      </c>
      <c r="BH86" s="166">
        <v>0</v>
      </c>
      <c r="BI86" s="166">
        <v>0</v>
      </c>
      <c r="BJ86" s="166">
        <v>0</v>
      </c>
      <c r="BK86" s="166">
        <v>0</v>
      </c>
      <c r="BL86" s="166">
        <v>0</v>
      </c>
      <c r="BM86" s="166">
        <v>0</v>
      </c>
      <c r="BN86" s="166">
        <v>0</v>
      </c>
      <c r="BO86" s="166">
        <v>0</v>
      </c>
      <c r="BP86" s="166">
        <v>0</v>
      </c>
      <c r="BQ86" s="81" t="s">
        <v>1757</v>
      </c>
      <c r="BZ86" s="81" t="s">
        <v>155</v>
      </c>
      <c r="CA86" s="81">
        <v>7</v>
      </c>
      <c r="CC86" s="167">
        <f>N86</f>
        <v>2</v>
      </c>
      <c r="CD86" s="167">
        <v>0</v>
      </c>
      <c r="CE86" s="167">
        <v>0</v>
      </c>
      <c r="CF86" s="167">
        <v>0</v>
      </c>
      <c r="CG86" s="167">
        <v>0</v>
      </c>
      <c r="CH86" s="167">
        <v>0</v>
      </c>
      <c r="CI86" s="167">
        <v>0</v>
      </c>
      <c r="CJ86" s="167">
        <v>0</v>
      </c>
      <c r="CK86" s="167">
        <v>0</v>
      </c>
      <c r="CL86" s="167">
        <v>0</v>
      </c>
      <c r="CM86" s="167">
        <v>0</v>
      </c>
      <c r="CN86" s="167">
        <v>0</v>
      </c>
      <c r="CO86" s="167">
        <v>0</v>
      </c>
      <c r="CP86" s="167">
        <v>0</v>
      </c>
      <c r="CQ86" s="167">
        <v>0</v>
      </c>
      <c r="CR86" s="167">
        <v>0</v>
      </c>
      <c r="CS86" s="167">
        <v>0</v>
      </c>
      <c r="CT86" s="167">
        <v>0</v>
      </c>
      <c r="CU86" s="167">
        <v>0</v>
      </c>
      <c r="CV86" s="167">
        <v>0</v>
      </c>
      <c r="CW86" s="167">
        <v>0</v>
      </c>
      <c r="CX86" s="167">
        <f>SUM(CD86:CH86)</f>
        <v>0</v>
      </c>
      <c r="CY86" s="167">
        <f>SUM(CD86:CM86)</f>
        <v>0</v>
      </c>
    </row>
    <row r="87" spans="1:103" ht="12.75" customHeight="1" x14ac:dyDescent="0.2">
      <c r="A87" s="81">
        <v>5562</v>
      </c>
      <c r="B87" s="165" t="s">
        <v>1924</v>
      </c>
      <c r="C87" s="165" t="s">
        <v>320</v>
      </c>
      <c r="E87" s="165" t="s">
        <v>3140</v>
      </c>
      <c r="G87" s="81">
        <v>526160</v>
      </c>
      <c r="H87" s="81">
        <v>174434</v>
      </c>
      <c r="I87" s="165" t="s">
        <v>251</v>
      </c>
      <c r="J87" s="349">
        <v>42649</v>
      </c>
      <c r="K87" s="349">
        <v>43059</v>
      </c>
      <c r="L87" s="166">
        <v>2</v>
      </c>
      <c r="M87" s="166">
        <v>1</v>
      </c>
      <c r="N87" s="166">
        <v>-1</v>
      </c>
      <c r="O87" s="166">
        <v>1</v>
      </c>
      <c r="P87" s="166">
        <v>-1</v>
      </c>
      <c r="R87" s="165" t="s">
        <v>321</v>
      </c>
      <c r="S87" s="81" t="s">
        <v>113</v>
      </c>
      <c r="T87" s="349">
        <v>41708</v>
      </c>
      <c r="U87" s="349">
        <v>41760</v>
      </c>
      <c r="W87" s="81" t="s">
        <v>114</v>
      </c>
      <c r="Y87" s="81" t="s">
        <v>115</v>
      </c>
      <c r="Z87" s="81" t="s">
        <v>119</v>
      </c>
      <c r="AA87" s="81" t="s">
        <v>117</v>
      </c>
      <c r="AB87" s="81" t="s">
        <v>336</v>
      </c>
      <c r="AC87" s="166">
        <v>1.4000000432133701E-2</v>
      </c>
      <c r="AD87" s="349">
        <v>42649</v>
      </c>
      <c r="AF87" s="349">
        <v>43059</v>
      </c>
      <c r="AG87" s="81" t="s">
        <v>238</v>
      </c>
      <c r="AH87" s="81" t="s">
        <v>118</v>
      </c>
      <c r="AK87" s="166">
        <v>0</v>
      </c>
      <c r="AM87" s="166">
        <v>0</v>
      </c>
      <c r="AO87" s="166">
        <v>0</v>
      </c>
      <c r="AP87" s="166">
        <v>-1</v>
      </c>
      <c r="AQ87" s="166">
        <v>-1</v>
      </c>
      <c r="AR87" s="166">
        <v>1</v>
      </c>
      <c r="AS87" s="166">
        <v>0</v>
      </c>
      <c r="AT87" s="166">
        <v>0</v>
      </c>
      <c r="AU87" s="166">
        <v>0</v>
      </c>
      <c r="AV87" s="166">
        <v>0</v>
      </c>
      <c r="AW87" s="166">
        <v>-1</v>
      </c>
      <c r="AX87" s="166">
        <v>-1</v>
      </c>
      <c r="AY87" s="166">
        <v>0</v>
      </c>
      <c r="AZ87" s="166">
        <v>0</v>
      </c>
      <c r="BA87" s="166">
        <v>0</v>
      </c>
      <c r="BB87" s="166">
        <v>0</v>
      </c>
      <c r="BC87" s="166">
        <v>0</v>
      </c>
      <c r="BD87" s="166">
        <v>0</v>
      </c>
      <c r="BE87" s="166">
        <v>0</v>
      </c>
      <c r="BF87" s="166">
        <v>1</v>
      </c>
      <c r="BG87" s="166">
        <v>0</v>
      </c>
      <c r="BH87" s="166">
        <v>0</v>
      </c>
      <c r="BI87" s="166">
        <v>0</v>
      </c>
      <c r="BJ87" s="166">
        <v>0</v>
      </c>
      <c r="BK87" s="166">
        <v>0</v>
      </c>
      <c r="BL87" s="166">
        <v>0</v>
      </c>
      <c r="BM87" s="166">
        <v>0</v>
      </c>
      <c r="BN87" s="166">
        <v>0</v>
      </c>
      <c r="BO87" s="166">
        <v>0</v>
      </c>
      <c r="BP87" s="166">
        <v>0</v>
      </c>
      <c r="BQ87" s="81" t="s">
        <v>1758</v>
      </c>
      <c r="BZ87" s="81" t="s">
        <v>155</v>
      </c>
      <c r="CA87" s="81">
        <v>7</v>
      </c>
      <c r="CC87" s="167">
        <f>N87</f>
        <v>-1</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f>SUM(CD87:CH87)</f>
        <v>0</v>
      </c>
      <c r="CY87" s="167">
        <f>SUM(CD87:CM87)</f>
        <v>0</v>
      </c>
    </row>
    <row r="88" spans="1:103" ht="12.75" customHeight="1" x14ac:dyDescent="0.2">
      <c r="A88" s="81">
        <v>5569</v>
      </c>
      <c r="B88" s="165" t="s">
        <v>1924</v>
      </c>
      <c r="C88" s="165" t="s">
        <v>83</v>
      </c>
      <c r="D88" s="165" t="s">
        <v>235</v>
      </c>
      <c r="E88" s="165" t="s">
        <v>3370</v>
      </c>
      <c r="G88" s="81">
        <v>525381</v>
      </c>
      <c r="H88" s="81">
        <v>174578</v>
      </c>
      <c r="I88" s="165" t="s">
        <v>258</v>
      </c>
      <c r="J88" s="349">
        <v>42643</v>
      </c>
      <c r="K88" s="349">
        <v>43190</v>
      </c>
      <c r="L88" s="166">
        <v>0</v>
      </c>
      <c r="M88" s="166">
        <v>73</v>
      </c>
      <c r="N88" s="166">
        <v>73</v>
      </c>
      <c r="O88" s="166">
        <v>77</v>
      </c>
      <c r="P88" s="166">
        <v>77</v>
      </c>
      <c r="Q88" s="81" t="s">
        <v>155</v>
      </c>
      <c r="R88" s="165" t="s">
        <v>886</v>
      </c>
      <c r="S88" s="81" t="s">
        <v>104</v>
      </c>
      <c r="T88" s="349">
        <v>41541</v>
      </c>
      <c r="U88" s="349">
        <v>41842</v>
      </c>
      <c r="W88" s="81" t="s">
        <v>114</v>
      </c>
      <c r="Y88" s="81" t="s">
        <v>115</v>
      </c>
      <c r="Z88" s="81" t="s">
        <v>116</v>
      </c>
      <c r="AA88" s="81" t="s">
        <v>116</v>
      </c>
      <c r="AB88" s="81" t="s">
        <v>117</v>
      </c>
      <c r="AC88" s="166">
        <v>4.1999999433755902E-2</v>
      </c>
      <c r="AD88" s="349">
        <v>42643</v>
      </c>
      <c r="AF88" s="349">
        <v>43190</v>
      </c>
      <c r="AG88" s="81" t="s">
        <v>238</v>
      </c>
      <c r="AH88" s="81" t="s">
        <v>118</v>
      </c>
      <c r="AI88" s="81" t="s">
        <v>3371</v>
      </c>
      <c r="AK88" s="166">
        <v>73</v>
      </c>
      <c r="AM88" s="166">
        <v>7</v>
      </c>
      <c r="AO88" s="166">
        <v>2</v>
      </c>
      <c r="AP88" s="166">
        <v>24</v>
      </c>
      <c r="AQ88" s="166">
        <v>41</v>
      </c>
      <c r="AR88" s="166">
        <v>6</v>
      </c>
      <c r="AS88" s="166">
        <v>0</v>
      </c>
      <c r="AT88" s="166">
        <v>0</v>
      </c>
      <c r="AU88" s="166">
        <v>0</v>
      </c>
      <c r="AV88" s="166">
        <v>2</v>
      </c>
      <c r="AW88" s="166">
        <v>24</v>
      </c>
      <c r="AX88" s="166">
        <v>41</v>
      </c>
      <c r="AY88" s="166">
        <v>6</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81" t="s">
        <v>1758</v>
      </c>
      <c r="BR88" s="81" t="s">
        <v>202</v>
      </c>
      <c r="BT88" s="81" t="s">
        <v>155</v>
      </c>
      <c r="BZ88" s="81" t="s">
        <v>155</v>
      </c>
      <c r="CA88" s="81">
        <v>1</v>
      </c>
      <c r="CC88" s="167">
        <f>N88</f>
        <v>73</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f>SUM(CD88:CH88)</f>
        <v>0</v>
      </c>
      <c r="CY88" s="167">
        <f>SUM(CD88:CM88)</f>
        <v>0</v>
      </c>
    </row>
    <row r="89" spans="1:103" ht="12.75" customHeight="1" x14ac:dyDescent="0.2">
      <c r="A89" s="81">
        <v>5569</v>
      </c>
      <c r="B89" s="165" t="s">
        <v>1924</v>
      </c>
      <c r="C89" s="165" t="s">
        <v>83</v>
      </c>
      <c r="D89" s="165" t="s">
        <v>235</v>
      </c>
      <c r="E89" s="165" t="s">
        <v>3370</v>
      </c>
      <c r="G89" s="81">
        <v>525381</v>
      </c>
      <c r="H89" s="81">
        <v>174578</v>
      </c>
      <c r="I89" s="165" t="s">
        <v>258</v>
      </c>
      <c r="J89" s="349">
        <v>42643</v>
      </c>
      <c r="K89" s="349">
        <v>43190</v>
      </c>
      <c r="L89" s="166">
        <v>0</v>
      </c>
      <c r="M89" s="166">
        <v>4</v>
      </c>
      <c r="N89" s="166">
        <v>4</v>
      </c>
      <c r="O89" s="166">
        <v>77</v>
      </c>
      <c r="P89" s="166">
        <v>77</v>
      </c>
      <c r="Q89" s="81" t="s">
        <v>155</v>
      </c>
      <c r="R89" s="165" t="s">
        <v>886</v>
      </c>
      <c r="S89" s="81" t="s">
        <v>104</v>
      </c>
      <c r="T89" s="349">
        <v>41541</v>
      </c>
      <c r="U89" s="349">
        <v>41842</v>
      </c>
      <c r="W89" s="81" t="s">
        <v>114</v>
      </c>
      <c r="Y89" s="81" t="s">
        <v>115</v>
      </c>
      <c r="Z89" s="81" t="s">
        <v>116</v>
      </c>
      <c r="AA89" s="81" t="s">
        <v>116</v>
      </c>
      <c r="AB89" s="81" t="s">
        <v>117</v>
      </c>
      <c r="AC89" s="166">
        <v>0</v>
      </c>
      <c r="AD89" s="349">
        <v>42643</v>
      </c>
      <c r="AF89" s="349">
        <v>43190</v>
      </c>
      <c r="AG89" s="81" t="s">
        <v>74</v>
      </c>
      <c r="AH89" s="81" t="s">
        <v>1913</v>
      </c>
      <c r="AI89" s="81" t="s">
        <v>3371</v>
      </c>
      <c r="AK89" s="166">
        <v>4</v>
      </c>
      <c r="AM89" s="166">
        <v>0</v>
      </c>
      <c r="AO89" s="166">
        <v>0</v>
      </c>
      <c r="AP89" s="166">
        <v>1</v>
      </c>
      <c r="AQ89" s="166">
        <v>3</v>
      </c>
      <c r="AR89" s="166">
        <v>0</v>
      </c>
      <c r="AS89" s="166">
        <v>0</v>
      </c>
      <c r="AT89" s="166">
        <v>0</v>
      </c>
      <c r="AU89" s="166">
        <v>0</v>
      </c>
      <c r="AV89" s="166">
        <v>0</v>
      </c>
      <c r="AW89" s="166">
        <v>1</v>
      </c>
      <c r="AX89" s="166">
        <v>3</v>
      </c>
      <c r="AY89" s="166">
        <v>0</v>
      </c>
      <c r="AZ89" s="166">
        <v>0</v>
      </c>
      <c r="BA89" s="166">
        <v>0</v>
      </c>
      <c r="BB89" s="166">
        <v>0</v>
      </c>
      <c r="BC89" s="166">
        <v>0</v>
      </c>
      <c r="BD89" s="166">
        <v>0</v>
      </c>
      <c r="BE89" s="166">
        <v>0</v>
      </c>
      <c r="BF89" s="166">
        <v>0</v>
      </c>
      <c r="BG89" s="166">
        <v>0</v>
      </c>
      <c r="BH89" s="166">
        <v>0</v>
      </c>
      <c r="BI89" s="166">
        <v>0</v>
      </c>
      <c r="BJ89" s="166">
        <v>0</v>
      </c>
      <c r="BK89" s="166">
        <v>0</v>
      </c>
      <c r="BL89" s="166">
        <v>0</v>
      </c>
      <c r="BM89" s="166">
        <v>0</v>
      </c>
      <c r="BN89" s="166">
        <v>0</v>
      </c>
      <c r="BO89" s="166">
        <v>0</v>
      </c>
      <c r="BP89" s="166">
        <v>0</v>
      </c>
      <c r="BQ89" s="81" t="s">
        <v>1758</v>
      </c>
      <c r="BR89" s="81" t="s">
        <v>202</v>
      </c>
      <c r="BT89" s="81" t="s">
        <v>155</v>
      </c>
      <c r="BZ89" s="81" t="s">
        <v>155</v>
      </c>
      <c r="CA89" s="81">
        <v>1</v>
      </c>
      <c r="CC89" s="167">
        <f>N89</f>
        <v>4</v>
      </c>
      <c r="CD89" s="167">
        <v>0</v>
      </c>
      <c r="CE89" s="167">
        <v>0</v>
      </c>
      <c r="CF89" s="167">
        <v>0</v>
      </c>
      <c r="CG89" s="167">
        <v>0</v>
      </c>
      <c r="CH89" s="167">
        <v>0</v>
      </c>
      <c r="CI89" s="167">
        <v>0</v>
      </c>
      <c r="CJ89" s="167">
        <v>0</v>
      </c>
      <c r="CK89" s="167">
        <v>0</v>
      </c>
      <c r="CL89" s="167">
        <v>0</v>
      </c>
      <c r="CM89" s="167">
        <v>0</v>
      </c>
      <c r="CN89" s="167">
        <v>0</v>
      </c>
      <c r="CO89" s="167">
        <v>0</v>
      </c>
      <c r="CP89" s="167">
        <v>0</v>
      </c>
      <c r="CQ89" s="167">
        <v>0</v>
      </c>
      <c r="CR89" s="167">
        <v>0</v>
      </c>
      <c r="CS89" s="167">
        <v>0</v>
      </c>
      <c r="CT89" s="167">
        <v>0</v>
      </c>
      <c r="CU89" s="167">
        <v>0</v>
      </c>
      <c r="CV89" s="167">
        <v>0</v>
      </c>
      <c r="CW89" s="167">
        <v>0</v>
      </c>
      <c r="CX89" s="167">
        <f>SUM(CD89:CH89)</f>
        <v>0</v>
      </c>
      <c r="CY89" s="167">
        <f>SUM(CD89:CM89)</f>
        <v>0</v>
      </c>
    </row>
    <row r="90" spans="1:103" ht="12.75" customHeight="1" x14ac:dyDescent="0.2">
      <c r="A90" s="81">
        <v>5600</v>
      </c>
      <c r="B90" s="165" t="s">
        <v>1924</v>
      </c>
      <c r="C90" s="165" t="s">
        <v>72</v>
      </c>
      <c r="E90" s="165" t="s">
        <v>3141</v>
      </c>
      <c r="G90" s="81">
        <v>527515</v>
      </c>
      <c r="H90" s="81">
        <v>173123</v>
      </c>
      <c r="I90" s="165" t="s">
        <v>254</v>
      </c>
      <c r="J90" s="349">
        <v>42014</v>
      </c>
      <c r="K90" s="349">
        <v>43190</v>
      </c>
      <c r="L90" s="166">
        <v>1</v>
      </c>
      <c r="M90" s="166">
        <v>3</v>
      </c>
      <c r="N90" s="166">
        <v>2</v>
      </c>
      <c r="O90" s="166">
        <v>3</v>
      </c>
      <c r="P90" s="166">
        <v>2</v>
      </c>
      <c r="R90" s="165" t="s">
        <v>73</v>
      </c>
      <c r="S90" s="81" t="s">
        <v>296</v>
      </c>
      <c r="T90" s="349">
        <v>41733</v>
      </c>
      <c r="U90" s="349">
        <v>41789</v>
      </c>
      <c r="W90" s="81" t="s">
        <v>297</v>
      </c>
      <c r="X90" s="349">
        <v>42013</v>
      </c>
      <c r="Y90" s="81" t="s">
        <v>115</v>
      </c>
      <c r="Z90" s="81" t="s">
        <v>119</v>
      </c>
      <c r="AA90" s="81" t="s">
        <v>117</v>
      </c>
      <c r="AB90" s="81" t="s">
        <v>220</v>
      </c>
      <c r="AC90" s="166">
        <v>1.60000007599592E-2</v>
      </c>
      <c r="AD90" s="349">
        <v>42014</v>
      </c>
      <c r="AF90" s="349">
        <v>43190</v>
      </c>
      <c r="AG90" s="81" t="s">
        <v>238</v>
      </c>
      <c r="AH90" s="81" t="s">
        <v>118</v>
      </c>
      <c r="AK90" s="166">
        <v>0</v>
      </c>
      <c r="AM90" s="166">
        <v>0</v>
      </c>
      <c r="AO90" s="166">
        <v>1</v>
      </c>
      <c r="AP90" s="166">
        <v>0</v>
      </c>
      <c r="AQ90" s="166">
        <v>2</v>
      </c>
      <c r="AR90" s="166">
        <v>0</v>
      </c>
      <c r="AS90" s="166">
        <v>-1</v>
      </c>
      <c r="AT90" s="166">
        <v>0</v>
      </c>
      <c r="AU90" s="166">
        <v>0</v>
      </c>
      <c r="AV90" s="166">
        <v>1</v>
      </c>
      <c r="AW90" s="166">
        <v>0</v>
      </c>
      <c r="AX90" s="166">
        <v>2</v>
      </c>
      <c r="AY90" s="166">
        <v>0</v>
      </c>
      <c r="AZ90" s="166">
        <v>-1</v>
      </c>
      <c r="BA90" s="166">
        <v>0</v>
      </c>
      <c r="BB90" s="166">
        <v>0</v>
      </c>
      <c r="BC90" s="166">
        <v>0</v>
      </c>
      <c r="BD90" s="166">
        <v>0</v>
      </c>
      <c r="BE90" s="166">
        <v>0</v>
      </c>
      <c r="BF90" s="166">
        <v>0</v>
      </c>
      <c r="BG90" s="166">
        <v>0</v>
      </c>
      <c r="BH90" s="166">
        <v>0</v>
      </c>
      <c r="BI90" s="166">
        <v>0</v>
      </c>
      <c r="BJ90" s="166">
        <v>0</v>
      </c>
      <c r="BK90" s="166">
        <v>0</v>
      </c>
      <c r="BL90" s="166">
        <v>0</v>
      </c>
      <c r="BM90" s="166">
        <v>0</v>
      </c>
      <c r="BN90" s="166">
        <v>0</v>
      </c>
      <c r="BO90" s="166">
        <v>0</v>
      </c>
      <c r="BP90" s="166">
        <v>0</v>
      </c>
      <c r="BQ90" s="81" t="s">
        <v>1757</v>
      </c>
      <c r="BZ90" s="81" t="s">
        <v>155</v>
      </c>
      <c r="CA90" s="81">
        <v>7</v>
      </c>
      <c r="CC90" s="167">
        <f>N90</f>
        <v>2</v>
      </c>
      <c r="CD90" s="167">
        <v>0</v>
      </c>
      <c r="CE90" s="167">
        <v>0</v>
      </c>
      <c r="CF90" s="167">
        <v>0</v>
      </c>
      <c r="CG90" s="167">
        <v>0</v>
      </c>
      <c r="CH90" s="167">
        <v>0</v>
      </c>
      <c r="CI90" s="167">
        <v>0</v>
      </c>
      <c r="CJ90" s="167">
        <v>0</v>
      </c>
      <c r="CK90" s="167">
        <v>0</v>
      </c>
      <c r="CL90" s="167">
        <v>0</v>
      </c>
      <c r="CM90" s="167">
        <v>0</v>
      </c>
      <c r="CN90" s="167">
        <v>0</v>
      </c>
      <c r="CO90" s="167">
        <v>0</v>
      </c>
      <c r="CP90" s="167">
        <v>0</v>
      </c>
      <c r="CQ90" s="167">
        <v>0</v>
      </c>
      <c r="CR90" s="167">
        <v>0</v>
      </c>
      <c r="CS90" s="167">
        <v>0</v>
      </c>
      <c r="CT90" s="167">
        <v>0</v>
      </c>
      <c r="CU90" s="167">
        <v>0</v>
      </c>
      <c r="CV90" s="167">
        <v>0</v>
      </c>
      <c r="CW90" s="167">
        <v>0</v>
      </c>
      <c r="CX90" s="167">
        <f>SUM(CD90:CH90)</f>
        <v>0</v>
      </c>
      <c r="CY90" s="167">
        <f>SUM(CD90:CM90)</f>
        <v>0</v>
      </c>
    </row>
    <row r="91" spans="1:103" ht="12.75" customHeight="1" x14ac:dyDescent="0.2">
      <c r="A91" s="81">
        <v>5613</v>
      </c>
      <c r="B91" s="165" t="s">
        <v>1924</v>
      </c>
      <c r="C91" s="165" t="s">
        <v>371</v>
      </c>
      <c r="E91" s="165" t="s">
        <v>3142</v>
      </c>
      <c r="G91" s="81">
        <v>527472</v>
      </c>
      <c r="H91" s="81">
        <v>174926</v>
      </c>
      <c r="I91" s="165" t="s">
        <v>255</v>
      </c>
      <c r="J91" s="349">
        <v>42233</v>
      </c>
      <c r="K91" s="349">
        <v>42894</v>
      </c>
      <c r="L91" s="166">
        <v>0</v>
      </c>
      <c r="M91" s="166">
        <v>1</v>
      </c>
      <c r="N91" s="166">
        <v>1</v>
      </c>
      <c r="O91" s="166">
        <v>1</v>
      </c>
      <c r="P91" s="166">
        <v>1</v>
      </c>
      <c r="R91" s="165" t="s">
        <v>1686</v>
      </c>
      <c r="S91" s="81" t="s">
        <v>113</v>
      </c>
      <c r="T91" s="349">
        <v>42002</v>
      </c>
      <c r="U91" s="349">
        <v>42121</v>
      </c>
      <c r="W91" s="81" t="s">
        <v>114</v>
      </c>
      <c r="Y91" s="81" t="s">
        <v>115</v>
      </c>
      <c r="Z91" s="81" t="s">
        <v>219</v>
      </c>
      <c r="AA91" s="81" t="s">
        <v>117</v>
      </c>
      <c r="AB91" s="81" t="s">
        <v>3889</v>
      </c>
      <c r="AC91" s="166">
        <v>4.0000001899898104E-3</v>
      </c>
      <c r="AD91" s="349">
        <v>42233</v>
      </c>
      <c r="AF91" s="349">
        <v>42894</v>
      </c>
      <c r="AG91" s="81" t="s">
        <v>238</v>
      </c>
      <c r="AH91" s="81" t="s">
        <v>118</v>
      </c>
      <c r="AK91" s="166">
        <v>0</v>
      </c>
      <c r="AM91" s="166">
        <v>0</v>
      </c>
      <c r="AO91" s="166">
        <v>0</v>
      </c>
      <c r="AP91" s="166">
        <v>0</v>
      </c>
      <c r="AQ91" s="166">
        <v>1</v>
      </c>
      <c r="AR91" s="166">
        <v>0</v>
      </c>
      <c r="AS91" s="166">
        <v>0</v>
      </c>
      <c r="AT91" s="166">
        <v>0</v>
      </c>
      <c r="AU91" s="166">
        <v>0</v>
      </c>
      <c r="AV91" s="166">
        <v>0</v>
      </c>
      <c r="AW91" s="166">
        <v>0</v>
      </c>
      <c r="AX91" s="166">
        <v>1</v>
      </c>
      <c r="AY91" s="166">
        <v>0</v>
      </c>
      <c r="AZ91" s="166">
        <v>0</v>
      </c>
      <c r="BA91" s="166">
        <v>0</v>
      </c>
      <c r="BB91" s="166">
        <v>0</v>
      </c>
      <c r="BC91" s="166">
        <v>0</v>
      </c>
      <c r="BD91" s="166">
        <v>0</v>
      </c>
      <c r="BE91" s="166">
        <v>0</v>
      </c>
      <c r="BF91" s="166">
        <v>0</v>
      </c>
      <c r="BG91" s="166">
        <v>0</v>
      </c>
      <c r="BH91" s="166">
        <v>0</v>
      </c>
      <c r="BI91" s="166">
        <v>0</v>
      </c>
      <c r="BJ91" s="166">
        <v>0</v>
      </c>
      <c r="BK91" s="166">
        <v>0</v>
      </c>
      <c r="BL91" s="166">
        <v>0</v>
      </c>
      <c r="BM91" s="166">
        <v>0</v>
      </c>
      <c r="BN91" s="166">
        <v>0</v>
      </c>
      <c r="BO91" s="166">
        <v>0</v>
      </c>
      <c r="BP91" s="166">
        <v>0</v>
      </c>
      <c r="BQ91" s="81" t="s">
        <v>1757</v>
      </c>
      <c r="BR91" s="81" t="s">
        <v>160</v>
      </c>
      <c r="BZ91" s="81" t="s">
        <v>155</v>
      </c>
      <c r="CA91" s="81">
        <v>7</v>
      </c>
      <c r="CC91" s="167">
        <f>N91</f>
        <v>1</v>
      </c>
      <c r="CD91" s="167">
        <v>0</v>
      </c>
      <c r="CE91" s="167">
        <v>0</v>
      </c>
      <c r="CF91" s="167">
        <v>0</v>
      </c>
      <c r="CG91" s="167">
        <v>0</v>
      </c>
      <c r="CH91" s="167">
        <v>0</v>
      </c>
      <c r="CI91" s="167">
        <v>0</v>
      </c>
      <c r="CJ91" s="167">
        <v>0</v>
      </c>
      <c r="CK91" s="167">
        <v>0</v>
      </c>
      <c r="CL91" s="167">
        <v>0</v>
      </c>
      <c r="CM91" s="167">
        <v>0</v>
      </c>
      <c r="CN91" s="167">
        <v>0</v>
      </c>
      <c r="CO91" s="167">
        <v>0</v>
      </c>
      <c r="CP91" s="167">
        <v>0</v>
      </c>
      <c r="CQ91" s="167">
        <v>0</v>
      </c>
      <c r="CR91" s="167">
        <v>0</v>
      </c>
      <c r="CS91" s="167">
        <v>0</v>
      </c>
      <c r="CT91" s="167">
        <v>0</v>
      </c>
      <c r="CU91" s="167">
        <v>0</v>
      </c>
      <c r="CV91" s="167">
        <v>0</v>
      </c>
      <c r="CW91" s="167">
        <v>0</v>
      </c>
      <c r="CX91" s="167">
        <f>SUM(CD91:CH91)</f>
        <v>0</v>
      </c>
      <c r="CY91" s="167">
        <f>SUM(CD91:CM91)</f>
        <v>0</v>
      </c>
    </row>
    <row r="92" spans="1:103" ht="12.75" customHeight="1" x14ac:dyDescent="0.2">
      <c r="A92" s="81">
        <v>5629</v>
      </c>
      <c r="B92" s="165" t="s">
        <v>1924</v>
      </c>
      <c r="C92" s="165" t="s">
        <v>127</v>
      </c>
      <c r="E92" s="165" t="s">
        <v>3376</v>
      </c>
      <c r="G92" s="81">
        <v>525681</v>
      </c>
      <c r="H92" s="81">
        <v>174324</v>
      </c>
      <c r="I92" s="165" t="s">
        <v>258</v>
      </c>
      <c r="J92" s="349">
        <v>41921</v>
      </c>
      <c r="K92" s="349">
        <v>42852</v>
      </c>
      <c r="L92" s="166">
        <v>0</v>
      </c>
      <c r="M92" s="166">
        <v>14</v>
      </c>
      <c r="N92" s="166">
        <v>14</v>
      </c>
      <c r="O92" s="166">
        <v>14</v>
      </c>
      <c r="P92" s="166">
        <v>14</v>
      </c>
      <c r="Q92" s="81" t="s">
        <v>155</v>
      </c>
      <c r="R92" s="165" t="s">
        <v>39</v>
      </c>
      <c r="S92" s="81" t="s">
        <v>110</v>
      </c>
      <c r="T92" s="349">
        <v>41766</v>
      </c>
      <c r="U92" s="349">
        <v>41822</v>
      </c>
      <c r="W92" s="81" t="s">
        <v>114</v>
      </c>
      <c r="Y92" s="81" t="s">
        <v>115</v>
      </c>
      <c r="Z92" s="81" t="s">
        <v>310</v>
      </c>
      <c r="AA92" s="81" t="s">
        <v>117</v>
      </c>
      <c r="AB92" s="81" t="s">
        <v>399</v>
      </c>
      <c r="AC92" s="166">
        <v>2.60000005364418E-2</v>
      </c>
      <c r="AD92" s="349">
        <v>41921</v>
      </c>
      <c r="AF92" s="349">
        <v>42852</v>
      </c>
      <c r="AG92" s="81" t="s">
        <v>238</v>
      </c>
      <c r="AH92" s="81" t="s">
        <v>118</v>
      </c>
      <c r="AK92" s="166">
        <v>0</v>
      </c>
      <c r="AM92" s="166">
        <v>0</v>
      </c>
      <c r="AO92" s="166">
        <v>0</v>
      </c>
      <c r="AP92" s="166">
        <v>12</v>
      </c>
      <c r="AQ92" s="166">
        <v>2</v>
      </c>
      <c r="AR92" s="166">
        <v>0</v>
      </c>
      <c r="AS92" s="166">
        <v>0</v>
      </c>
      <c r="AT92" s="166">
        <v>0</v>
      </c>
      <c r="AU92" s="166">
        <v>0</v>
      </c>
      <c r="AV92" s="166">
        <v>0</v>
      </c>
      <c r="AW92" s="166">
        <v>12</v>
      </c>
      <c r="AX92" s="166">
        <v>2</v>
      </c>
      <c r="AY92" s="166">
        <v>0</v>
      </c>
      <c r="AZ92" s="166">
        <v>0</v>
      </c>
      <c r="BA92" s="166">
        <v>0</v>
      </c>
      <c r="BB92" s="166">
        <v>0</v>
      </c>
      <c r="BC92" s="166">
        <v>0</v>
      </c>
      <c r="BD92" s="166">
        <v>0</v>
      </c>
      <c r="BE92" s="166">
        <v>0</v>
      </c>
      <c r="BF92" s="166">
        <v>0</v>
      </c>
      <c r="BG92" s="166">
        <v>0</v>
      </c>
      <c r="BH92" s="166">
        <v>0</v>
      </c>
      <c r="BI92" s="166">
        <v>0</v>
      </c>
      <c r="BJ92" s="166">
        <v>0</v>
      </c>
      <c r="BK92" s="166">
        <v>0</v>
      </c>
      <c r="BL92" s="166">
        <v>0</v>
      </c>
      <c r="BM92" s="166">
        <v>0</v>
      </c>
      <c r="BN92" s="166">
        <v>0</v>
      </c>
      <c r="BO92" s="166">
        <v>0</v>
      </c>
      <c r="BP92" s="166">
        <v>0</v>
      </c>
      <c r="BQ92" s="81" t="s">
        <v>1758</v>
      </c>
      <c r="BR92" s="81" t="s">
        <v>202</v>
      </c>
      <c r="BT92" s="81" t="s">
        <v>155</v>
      </c>
      <c r="BZ92" s="81" t="s">
        <v>155</v>
      </c>
      <c r="CA92" s="81">
        <v>7</v>
      </c>
      <c r="CC92" s="167">
        <f>N92</f>
        <v>14</v>
      </c>
      <c r="CD92" s="167">
        <v>0</v>
      </c>
      <c r="CE92" s="167">
        <v>0</v>
      </c>
      <c r="CF92" s="167">
        <v>0</v>
      </c>
      <c r="CG92" s="167">
        <v>0</v>
      </c>
      <c r="CH92" s="167">
        <v>0</v>
      </c>
      <c r="CI92" s="167">
        <v>0</v>
      </c>
      <c r="CJ92" s="167">
        <v>0</v>
      </c>
      <c r="CK92" s="167">
        <v>0</v>
      </c>
      <c r="CL92" s="167">
        <v>0</v>
      </c>
      <c r="CM92" s="167">
        <v>0</v>
      </c>
      <c r="CN92" s="167">
        <v>0</v>
      </c>
      <c r="CO92" s="167">
        <v>0</v>
      </c>
      <c r="CP92" s="167">
        <v>0</v>
      </c>
      <c r="CQ92" s="167">
        <v>0</v>
      </c>
      <c r="CR92" s="167">
        <v>0</v>
      </c>
      <c r="CS92" s="167">
        <v>0</v>
      </c>
      <c r="CT92" s="167">
        <v>0</v>
      </c>
      <c r="CU92" s="167">
        <v>0</v>
      </c>
      <c r="CV92" s="167">
        <v>0</v>
      </c>
      <c r="CW92" s="167">
        <v>0</v>
      </c>
      <c r="CX92" s="167">
        <f>SUM(CD92:CH92)</f>
        <v>0</v>
      </c>
      <c r="CY92" s="167">
        <f>SUM(CD92:CM92)</f>
        <v>0</v>
      </c>
    </row>
    <row r="93" spans="1:103" ht="12.75" customHeight="1" x14ac:dyDescent="0.2">
      <c r="A93" s="81">
        <v>5629</v>
      </c>
      <c r="B93" s="165" t="s">
        <v>1924</v>
      </c>
      <c r="C93" s="165" t="s">
        <v>81</v>
      </c>
      <c r="E93" s="165" t="s">
        <v>3376</v>
      </c>
      <c r="G93" s="81">
        <v>525681</v>
      </c>
      <c r="H93" s="81">
        <v>174324</v>
      </c>
      <c r="I93" s="165" t="s">
        <v>258</v>
      </c>
      <c r="J93" s="349">
        <v>42125</v>
      </c>
      <c r="K93" s="349">
        <v>42852</v>
      </c>
      <c r="L93" s="166">
        <v>0</v>
      </c>
      <c r="M93" s="166">
        <v>2</v>
      </c>
      <c r="N93" s="166">
        <v>2</v>
      </c>
      <c r="O93" s="166">
        <v>2</v>
      </c>
      <c r="P93" s="166">
        <v>2</v>
      </c>
      <c r="R93" s="165" t="s">
        <v>82</v>
      </c>
      <c r="S93" s="81" t="s">
        <v>270</v>
      </c>
      <c r="T93" s="349">
        <v>41975</v>
      </c>
      <c r="U93" s="349">
        <v>42031</v>
      </c>
      <c r="W93" s="81" t="s">
        <v>114</v>
      </c>
      <c r="Y93" s="81" t="s">
        <v>115</v>
      </c>
      <c r="Z93" s="81" t="s">
        <v>310</v>
      </c>
      <c r="AA93" s="81" t="s">
        <v>117</v>
      </c>
      <c r="AB93" s="81" t="s">
        <v>399</v>
      </c>
      <c r="AC93" s="166">
        <v>1.30000002682209E-2</v>
      </c>
      <c r="AD93" s="349">
        <v>42125</v>
      </c>
      <c r="AF93" s="349">
        <v>42852</v>
      </c>
      <c r="AG93" s="81" t="s">
        <v>238</v>
      </c>
      <c r="AH93" s="81" t="s">
        <v>118</v>
      </c>
      <c r="AK93" s="166">
        <v>0</v>
      </c>
      <c r="AM93" s="166">
        <v>0</v>
      </c>
      <c r="AO93" s="166">
        <v>0</v>
      </c>
      <c r="AP93" s="166">
        <v>1</v>
      </c>
      <c r="AQ93" s="166">
        <v>1</v>
      </c>
      <c r="AR93" s="166">
        <v>0</v>
      </c>
      <c r="AS93" s="166">
        <v>0</v>
      </c>
      <c r="AT93" s="166">
        <v>0</v>
      </c>
      <c r="AU93" s="166">
        <v>0</v>
      </c>
      <c r="AV93" s="166">
        <v>0</v>
      </c>
      <c r="AW93" s="166">
        <v>1</v>
      </c>
      <c r="AX93" s="166">
        <v>1</v>
      </c>
      <c r="AY93" s="166">
        <v>0</v>
      </c>
      <c r="AZ93" s="166">
        <v>0</v>
      </c>
      <c r="BA93" s="166">
        <v>0</v>
      </c>
      <c r="BB93" s="166">
        <v>0</v>
      </c>
      <c r="BC93" s="166">
        <v>0</v>
      </c>
      <c r="BD93" s="166">
        <v>0</v>
      </c>
      <c r="BE93" s="166">
        <v>0</v>
      </c>
      <c r="BF93" s="166">
        <v>0</v>
      </c>
      <c r="BG93" s="166">
        <v>0</v>
      </c>
      <c r="BH93" s="166">
        <v>0</v>
      </c>
      <c r="BI93" s="166">
        <v>0</v>
      </c>
      <c r="BJ93" s="166">
        <v>0</v>
      </c>
      <c r="BK93" s="166">
        <v>0</v>
      </c>
      <c r="BL93" s="166">
        <v>0</v>
      </c>
      <c r="BM93" s="166">
        <v>0</v>
      </c>
      <c r="BN93" s="166">
        <v>0</v>
      </c>
      <c r="BO93" s="166">
        <v>0</v>
      </c>
      <c r="BP93" s="166">
        <v>0</v>
      </c>
      <c r="BQ93" s="81" t="s">
        <v>1758</v>
      </c>
      <c r="BR93" s="81" t="s">
        <v>202</v>
      </c>
      <c r="BT93" s="81" t="s">
        <v>155</v>
      </c>
      <c r="BZ93" s="81" t="s">
        <v>155</v>
      </c>
      <c r="CA93" s="81">
        <v>7</v>
      </c>
      <c r="CC93" s="167">
        <f>N93</f>
        <v>2</v>
      </c>
      <c r="CD93" s="167">
        <v>0</v>
      </c>
      <c r="CE93" s="167">
        <v>0</v>
      </c>
      <c r="CF93" s="167">
        <v>0</v>
      </c>
      <c r="CG93" s="167">
        <v>0</v>
      </c>
      <c r="CH93" s="167">
        <v>0</v>
      </c>
      <c r="CI93" s="167">
        <v>0</v>
      </c>
      <c r="CJ93" s="167">
        <v>0</v>
      </c>
      <c r="CK93" s="167">
        <v>0</v>
      </c>
      <c r="CL93" s="167">
        <v>0</v>
      </c>
      <c r="CM93" s="167">
        <v>0</v>
      </c>
      <c r="CN93" s="167">
        <v>0</v>
      </c>
      <c r="CO93" s="167">
        <v>0</v>
      </c>
      <c r="CP93" s="167">
        <v>0</v>
      </c>
      <c r="CQ93" s="167">
        <v>0</v>
      </c>
      <c r="CR93" s="167">
        <v>0</v>
      </c>
      <c r="CS93" s="167">
        <v>0</v>
      </c>
      <c r="CT93" s="167">
        <v>0</v>
      </c>
      <c r="CU93" s="167">
        <v>0</v>
      </c>
      <c r="CV93" s="167">
        <v>0</v>
      </c>
      <c r="CW93" s="167">
        <v>0</v>
      </c>
      <c r="CX93" s="167">
        <f>SUM(CD93:CH93)</f>
        <v>0</v>
      </c>
      <c r="CY93" s="167">
        <f>SUM(CD93:CM93)</f>
        <v>0</v>
      </c>
    </row>
    <row r="94" spans="1:103" ht="12.75" customHeight="1" x14ac:dyDescent="0.2">
      <c r="A94" s="81">
        <v>5639</v>
      </c>
      <c r="B94" s="165" t="s">
        <v>1924</v>
      </c>
      <c r="C94" s="165" t="s">
        <v>385</v>
      </c>
      <c r="E94" s="165" t="s">
        <v>3143</v>
      </c>
      <c r="G94" s="81">
        <v>525706</v>
      </c>
      <c r="H94" s="81">
        <v>174298</v>
      </c>
      <c r="I94" s="165" t="s">
        <v>258</v>
      </c>
      <c r="J94" s="349">
        <v>42125</v>
      </c>
      <c r="K94" s="349">
        <v>42852</v>
      </c>
      <c r="L94" s="166">
        <v>0</v>
      </c>
      <c r="M94" s="166">
        <v>4</v>
      </c>
      <c r="N94" s="166">
        <v>4</v>
      </c>
      <c r="O94" s="166">
        <v>4</v>
      </c>
      <c r="P94" s="166">
        <v>4</v>
      </c>
      <c r="R94" s="165" t="s">
        <v>386</v>
      </c>
      <c r="S94" s="81" t="s">
        <v>110</v>
      </c>
      <c r="T94" s="349">
        <v>41870</v>
      </c>
      <c r="U94" s="349">
        <v>41920</v>
      </c>
      <c r="W94" s="81" t="s">
        <v>114</v>
      </c>
      <c r="Y94" s="81" t="s">
        <v>115</v>
      </c>
      <c r="Z94" s="81" t="s">
        <v>310</v>
      </c>
      <c r="AA94" s="81" t="s">
        <v>117</v>
      </c>
      <c r="AB94" s="81" t="s">
        <v>399</v>
      </c>
      <c r="AC94" s="166">
        <v>1.30000002682209E-2</v>
      </c>
      <c r="AD94" s="349">
        <v>42125</v>
      </c>
      <c r="AF94" s="349">
        <v>42852</v>
      </c>
      <c r="AG94" s="81" t="s">
        <v>238</v>
      </c>
      <c r="AH94" s="81" t="s">
        <v>118</v>
      </c>
      <c r="AK94" s="166">
        <v>0</v>
      </c>
      <c r="AM94" s="166">
        <v>0</v>
      </c>
      <c r="AO94" s="166">
        <v>0</v>
      </c>
      <c r="AP94" s="166">
        <v>2</v>
      </c>
      <c r="AQ94" s="166">
        <v>2</v>
      </c>
      <c r="AR94" s="166">
        <v>0</v>
      </c>
      <c r="AS94" s="166">
        <v>0</v>
      </c>
      <c r="AT94" s="166">
        <v>0</v>
      </c>
      <c r="AU94" s="166">
        <v>0</v>
      </c>
      <c r="AV94" s="166">
        <v>0</v>
      </c>
      <c r="AW94" s="166">
        <v>2</v>
      </c>
      <c r="AX94" s="166">
        <v>2</v>
      </c>
      <c r="AY94" s="166">
        <v>0</v>
      </c>
      <c r="AZ94" s="166">
        <v>0</v>
      </c>
      <c r="BA94" s="166">
        <v>0</v>
      </c>
      <c r="BB94" s="166">
        <v>0</v>
      </c>
      <c r="BC94" s="166">
        <v>0</v>
      </c>
      <c r="BD94" s="166">
        <v>0</v>
      </c>
      <c r="BE94" s="166">
        <v>0</v>
      </c>
      <c r="BF94" s="166">
        <v>0</v>
      </c>
      <c r="BG94" s="166">
        <v>0</v>
      </c>
      <c r="BH94" s="166">
        <v>0</v>
      </c>
      <c r="BI94" s="166">
        <v>0</v>
      </c>
      <c r="BJ94" s="166">
        <v>0</v>
      </c>
      <c r="BK94" s="166">
        <v>0</v>
      </c>
      <c r="BL94" s="166">
        <v>0</v>
      </c>
      <c r="BM94" s="166">
        <v>0</v>
      </c>
      <c r="BN94" s="166">
        <v>0</v>
      </c>
      <c r="BO94" s="166">
        <v>0</v>
      </c>
      <c r="BP94" s="166">
        <v>0</v>
      </c>
      <c r="BQ94" s="81" t="s">
        <v>1758</v>
      </c>
      <c r="BR94" s="81" t="s">
        <v>202</v>
      </c>
      <c r="BT94" s="81" t="s">
        <v>155</v>
      </c>
      <c r="BZ94" s="81" t="s">
        <v>155</v>
      </c>
      <c r="CA94" s="81">
        <v>7</v>
      </c>
      <c r="CC94" s="167">
        <f>N94</f>
        <v>4</v>
      </c>
      <c r="CD94" s="167">
        <v>0</v>
      </c>
      <c r="CE94" s="167">
        <v>0</v>
      </c>
      <c r="CF94" s="167">
        <v>0</v>
      </c>
      <c r="CG94" s="167">
        <v>0</v>
      </c>
      <c r="CH94" s="167">
        <v>0</v>
      </c>
      <c r="CI94" s="167">
        <v>0</v>
      </c>
      <c r="CJ94" s="167">
        <v>0</v>
      </c>
      <c r="CK94" s="167">
        <v>0</v>
      </c>
      <c r="CL94" s="167">
        <v>0</v>
      </c>
      <c r="CM94" s="167">
        <v>0</v>
      </c>
      <c r="CN94" s="167">
        <v>0</v>
      </c>
      <c r="CO94" s="167">
        <v>0</v>
      </c>
      <c r="CP94" s="167">
        <v>0</v>
      </c>
      <c r="CQ94" s="167">
        <v>0</v>
      </c>
      <c r="CR94" s="167">
        <v>0</v>
      </c>
      <c r="CS94" s="167">
        <v>0</v>
      </c>
      <c r="CT94" s="167">
        <v>0</v>
      </c>
      <c r="CU94" s="167">
        <v>0</v>
      </c>
      <c r="CV94" s="167">
        <v>0</v>
      </c>
      <c r="CW94" s="167">
        <v>0</v>
      </c>
      <c r="CX94" s="167">
        <f>SUM(CD94:CH94)</f>
        <v>0</v>
      </c>
      <c r="CY94" s="167">
        <f>SUM(CD94:CM94)</f>
        <v>0</v>
      </c>
    </row>
    <row r="95" spans="1:103" ht="12.75" customHeight="1" x14ac:dyDescent="0.2">
      <c r="A95" s="81">
        <v>5643</v>
      </c>
      <c r="B95" s="165" t="s">
        <v>1924</v>
      </c>
      <c r="C95" s="165" t="s">
        <v>341</v>
      </c>
      <c r="E95" s="165" t="s">
        <v>3144</v>
      </c>
      <c r="G95" s="81">
        <v>527641</v>
      </c>
      <c r="H95" s="81">
        <v>175495</v>
      </c>
      <c r="I95" s="165" t="s">
        <v>256</v>
      </c>
      <c r="J95" s="349">
        <v>42298</v>
      </c>
      <c r="K95" s="349">
        <v>42880</v>
      </c>
      <c r="L95" s="166">
        <v>0</v>
      </c>
      <c r="M95" s="166">
        <v>3</v>
      </c>
      <c r="N95" s="166">
        <v>3</v>
      </c>
      <c r="O95" s="166">
        <v>3</v>
      </c>
      <c r="P95" s="166">
        <v>3</v>
      </c>
      <c r="R95" s="165" t="s">
        <v>757</v>
      </c>
      <c r="S95" s="81" t="s">
        <v>113</v>
      </c>
      <c r="T95" s="349">
        <v>41982</v>
      </c>
      <c r="U95" s="349">
        <v>42073</v>
      </c>
      <c r="W95" s="81" t="s">
        <v>114</v>
      </c>
      <c r="Y95" s="81" t="s">
        <v>115</v>
      </c>
      <c r="Z95" s="81" t="s">
        <v>398</v>
      </c>
      <c r="AA95" s="81" t="s">
        <v>117</v>
      </c>
      <c r="AB95" s="81" t="s">
        <v>399</v>
      </c>
      <c r="AC95" s="166">
        <v>1.09999999403954E-2</v>
      </c>
      <c r="AD95" s="349">
        <v>42298</v>
      </c>
      <c r="AF95" s="349">
        <v>42880</v>
      </c>
      <c r="AG95" s="81" t="s">
        <v>238</v>
      </c>
      <c r="AH95" s="81" t="s">
        <v>118</v>
      </c>
      <c r="AK95" s="166">
        <v>3</v>
      </c>
      <c r="AM95" s="166">
        <v>0</v>
      </c>
      <c r="AO95" s="166">
        <v>0</v>
      </c>
      <c r="AP95" s="166">
        <v>2</v>
      </c>
      <c r="AQ95" s="166">
        <v>1</v>
      </c>
      <c r="AR95" s="166">
        <v>0</v>
      </c>
      <c r="AS95" s="166">
        <v>0</v>
      </c>
      <c r="AT95" s="166">
        <v>0</v>
      </c>
      <c r="AU95" s="166">
        <v>0</v>
      </c>
      <c r="AV95" s="166">
        <v>0</v>
      </c>
      <c r="AW95" s="166">
        <v>2</v>
      </c>
      <c r="AX95" s="166">
        <v>1</v>
      </c>
      <c r="AY95" s="166">
        <v>0</v>
      </c>
      <c r="AZ95" s="166">
        <v>0</v>
      </c>
      <c r="BA95" s="166">
        <v>0</v>
      </c>
      <c r="BB95" s="166">
        <v>0</v>
      </c>
      <c r="BC95" s="166">
        <v>0</v>
      </c>
      <c r="BD95" s="166">
        <v>0</v>
      </c>
      <c r="BE95" s="166">
        <v>0</v>
      </c>
      <c r="BF95" s="166">
        <v>0</v>
      </c>
      <c r="BG95" s="166">
        <v>0</v>
      </c>
      <c r="BH95" s="166">
        <v>0</v>
      </c>
      <c r="BI95" s="166">
        <v>0</v>
      </c>
      <c r="BJ95" s="166">
        <v>0</v>
      </c>
      <c r="BK95" s="166">
        <v>0</v>
      </c>
      <c r="BL95" s="166">
        <v>0</v>
      </c>
      <c r="BM95" s="166">
        <v>0</v>
      </c>
      <c r="BN95" s="166">
        <v>0</v>
      </c>
      <c r="BO95" s="166">
        <v>0</v>
      </c>
      <c r="BP95" s="166">
        <v>0</v>
      </c>
      <c r="BQ95" s="81" t="s">
        <v>1757</v>
      </c>
      <c r="BR95" s="81" t="s">
        <v>160</v>
      </c>
      <c r="BZ95" s="81" t="s">
        <v>155</v>
      </c>
      <c r="CA95" s="81">
        <v>7</v>
      </c>
      <c r="CC95" s="167">
        <f>N95</f>
        <v>3</v>
      </c>
      <c r="CD95" s="167">
        <v>0</v>
      </c>
      <c r="CE95" s="167">
        <v>0</v>
      </c>
      <c r="CF95" s="167">
        <v>0</v>
      </c>
      <c r="CG95" s="167">
        <v>0</v>
      </c>
      <c r="CH95" s="167">
        <v>0</v>
      </c>
      <c r="CI95" s="167">
        <v>0</v>
      </c>
      <c r="CJ95" s="167">
        <v>0</v>
      </c>
      <c r="CK95" s="167">
        <v>0</v>
      </c>
      <c r="CL95" s="167">
        <v>0</v>
      </c>
      <c r="CM95" s="167">
        <v>0</v>
      </c>
      <c r="CN95" s="167">
        <v>0</v>
      </c>
      <c r="CO95" s="167">
        <v>0</v>
      </c>
      <c r="CP95" s="167">
        <v>0</v>
      </c>
      <c r="CQ95" s="167">
        <v>0</v>
      </c>
      <c r="CR95" s="167">
        <v>0</v>
      </c>
      <c r="CS95" s="167">
        <v>0</v>
      </c>
      <c r="CT95" s="167">
        <v>0</v>
      </c>
      <c r="CU95" s="167">
        <v>0</v>
      </c>
      <c r="CV95" s="167">
        <v>0</v>
      </c>
      <c r="CW95" s="167">
        <v>0</v>
      </c>
      <c r="CX95" s="167">
        <f>SUM(CD95:CH95)</f>
        <v>0</v>
      </c>
      <c r="CY95" s="167">
        <f>SUM(CD95:CM95)</f>
        <v>0</v>
      </c>
    </row>
    <row r="96" spans="1:103" ht="12.75" customHeight="1" x14ac:dyDescent="0.2">
      <c r="A96" s="81">
        <v>5645</v>
      </c>
      <c r="B96" s="165" t="s">
        <v>1924</v>
      </c>
      <c r="C96" s="165" t="s">
        <v>63</v>
      </c>
      <c r="D96" s="165" t="s">
        <v>2107</v>
      </c>
      <c r="E96" s="165" t="s">
        <v>3145</v>
      </c>
      <c r="G96" s="81">
        <v>527292</v>
      </c>
      <c r="H96" s="81">
        <v>177189</v>
      </c>
      <c r="I96" s="165" t="s">
        <v>257</v>
      </c>
      <c r="J96" s="349">
        <v>42060</v>
      </c>
      <c r="L96" s="166">
        <v>0</v>
      </c>
      <c r="M96" s="166">
        <v>1</v>
      </c>
      <c r="N96" s="166">
        <v>1</v>
      </c>
      <c r="O96" s="166">
        <v>2</v>
      </c>
      <c r="P96" s="166">
        <v>2</v>
      </c>
      <c r="R96" s="165" t="s">
        <v>42</v>
      </c>
      <c r="S96" s="81" t="s">
        <v>270</v>
      </c>
      <c r="T96" s="349">
        <v>41947</v>
      </c>
      <c r="U96" s="349">
        <v>42060</v>
      </c>
      <c r="W96" s="81" t="s">
        <v>114</v>
      </c>
      <c r="Y96" s="81" t="s">
        <v>115</v>
      </c>
      <c r="Z96" s="81" t="s">
        <v>310</v>
      </c>
      <c r="AA96" s="81" t="s">
        <v>117</v>
      </c>
      <c r="AB96" s="81" t="s">
        <v>399</v>
      </c>
      <c r="AC96" s="166">
        <v>4.0000001899898104E-3</v>
      </c>
      <c r="AD96" s="349">
        <v>42060</v>
      </c>
      <c r="AF96" s="349">
        <v>42826</v>
      </c>
      <c r="AG96" s="81" t="s">
        <v>238</v>
      </c>
      <c r="AH96" s="81" t="s">
        <v>118</v>
      </c>
      <c r="AK96" s="166">
        <v>0</v>
      </c>
      <c r="AM96" s="166">
        <v>0</v>
      </c>
      <c r="AO96" s="166">
        <v>1</v>
      </c>
      <c r="AP96" s="166">
        <v>0</v>
      </c>
      <c r="AQ96" s="166">
        <v>0</v>
      </c>
      <c r="AR96" s="166">
        <v>0</v>
      </c>
      <c r="AS96" s="166">
        <v>0</v>
      </c>
      <c r="AT96" s="166">
        <v>0</v>
      </c>
      <c r="AU96" s="166">
        <v>0</v>
      </c>
      <c r="AV96" s="166">
        <v>1</v>
      </c>
      <c r="AW96" s="166">
        <v>0</v>
      </c>
      <c r="AX96" s="166">
        <v>0</v>
      </c>
      <c r="AY96" s="166">
        <v>0</v>
      </c>
      <c r="AZ96" s="166">
        <v>0</v>
      </c>
      <c r="BA96" s="166">
        <v>0</v>
      </c>
      <c r="BB96" s="166">
        <v>0</v>
      </c>
      <c r="BC96" s="166">
        <v>0</v>
      </c>
      <c r="BD96" s="166">
        <v>0</v>
      </c>
      <c r="BE96" s="166">
        <v>0</v>
      </c>
      <c r="BF96" s="166">
        <v>0</v>
      </c>
      <c r="BG96" s="166">
        <v>0</v>
      </c>
      <c r="BH96" s="166">
        <v>0</v>
      </c>
      <c r="BI96" s="166">
        <v>0</v>
      </c>
      <c r="BJ96" s="166">
        <v>0</v>
      </c>
      <c r="BK96" s="166">
        <v>0</v>
      </c>
      <c r="BL96" s="166">
        <v>0</v>
      </c>
      <c r="BM96" s="166">
        <v>0</v>
      </c>
      <c r="BN96" s="166">
        <v>0</v>
      </c>
      <c r="BO96" s="166">
        <v>0</v>
      </c>
      <c r="BP96" s="166">
        <v>0</v>
      </c>
      <c r="BQ96" s="81" t="s">
        <v>1757</v>
      </c>
      <c r="BX96" s="81" t="s">
        <v>155</v>
      </c>
      <c r="BZ96" s="81" t="s">
        <v>155</v>
      </c>
      <c r="CA96" s="81">
        <v>7</v>
      </c>
      <c r="CC96" s="167">
        <f>N96</f>
        <v>1</v>
      </c>
      <c r="CD96" s="167">
        <v>0</v>
      </c>
      <c r="CE96" s="167">
        <v>0</v>
      </c>
      <c r="CF96" s="167">
        <v>0</v>
      </c>
      <c r="CG96" s="167">
        <v>0</v>
      </c>
      <c r="CH96" s="167">
        <v>0</v>
      </c>
      <c r="CI96" s="167">
        <v>0</v>
      </c>
      <c r="CJ96" s="167">
        <v>0</v>
      </c>
      <c r="CK96" s="167">
        <v>0</v>
      </c>
      <c r="CL96" s="167">
        <v>0</v>
      </c>
      <c r="CM96" s="167">
        <v>0</v>
      </c>
      <c r="CN96" s="167">
        <v>0</v>
      </c>
      <c r="CO96" s="167">
        <v>0</v>
      </c>
      <c r="CP96" s="167">
        <v>0</v>
      </c>
      <c r="CQ96" s="167">
        <v>0</v>
      </c>
      <c r="CR96" s="167">
        <v>0</v>
      </c>
      <c r="CS96" s="167">
        <v>0</v>
      </c>
      <c r="CT96" s="167">
        <v>0</v>
      </c>
      <c r="CU96" s="167">
        <v>0</v>
      </c>
      <c r="CV96" s="167">
        <v>0</v>
      </c>
      <c r="CW96" s="167">
        <v>0</v>
      </c>
      <c r="CX96" s="167">
        <f>SUM(CD96:CH96)</f>
        <v>0</v>
      </c>
      <c r="CY96" s="167">
        <f>SUM(CD96:CM96)</f>
        <v>0</v>
      </c>
    </row>
    <row r="97" spans="1:103" ht="12.75" customHeight="1" x14ac:dyDescent="0.2">
      <c r="A97" s="81">
        <v>5647</v>
      </c>
      <c r="B97" s="165" t="s">
        <v>1924</v>
      </c>
      <c r="C97" s="165" t="s">
        <v>109</v>
      </c>
      <c r="E97" s="165" t="s">
        <v>3146</v>
      </c>
      <c r="G97" s="81">
        <v>523995</v>
      </c>
      <c r="H97" s="81">
        <v>175107</v>
      </c>
      <c r="I97" s="165" t="s">
        <v>259</v>
      </c>
      <c r="J97" s="349">
        <v>42514</v>
      </c>
      <c r="K97" s="349">
        <v>42858</v>
      </c>
      <c r="L97" s="166">
        <v>0</v>
      </c>
      <c r="M97" s="166">
        <v>9</v>
      </c>
      <c r="N97" s="166">
        <v>9</v>
      </c>
      <c r="O97" s="166">
        <v>9</v>
      </c>
      <c r="P97" s="166">
        <v>9</v>
      </c>
      <c r="R97" s="165" t="s">
        <v>217</v>
      </c>
      <c r="S97" s="81" t="s">
        <v>110</v>
      </c>
      <c r="T97" s="349">
        <v>41835</v>
      </c>
      <c r="U97" s="349">
        <v>41891</v>
      </c>
      <c r="W97" s="81" t="s">
        <v>114</v>
      </c>
      <c r="Y97" s="81" t="s">
        <v>115</v>
      </c>
      <c r="Z97" s="81" t="s">
        <v>310</v>
      </c>
      <c r="AA97" s="81" t="s">
        <v>117</v>
      </c>
      <c r="AB97" s="81" t="s">
        <v>399</v>
      </c>
      <c r="AC97" s="166">
        <v>1.30000002682209E-2</v>
      </c>
      <c r="AD97" s="349">
        <v>42514</v>
      </c>
      <c r="AF97" s="349">
        <v>42858</v>
      </c>
      <c r="AG97" s="81" t="s">
        <v>238</v>
      </c>
      <c r="AH97" s="81" t="s">
        <v>118</v>
      </c>
      <c r="AK97" s="166">
        <v>0</v>
      </c>
      <c r="AM97" s="166">
        <v>0</v>
      </c>
      <c r="AO97" s="166">
        <v>9</v>
      </c>
      <c r="AP97" s="166">
        <v>0</v>
      </c>
      <c r="AQ97" s="166">
        <v>0</v>
      </c>
      <c r="AR97" s="166">
        <v>0</v>
      </c>
      <c r="AS97" s="166">
        <v>0</v>
      </c>
      <c r="AT97" s="166">
        <v>0</v>
      </c>
      <c r="AU97" s="166">
        <v>0</v>
      </c>
      <c r="AV97" s="166">
        <v>9</v>
      </c>
      <c r="AW97" s="166">
        <v>0</v>
      </c>
      <c r="AX97" s="166">
        <v>0</v>
      </c>
      <c r="AY97" s="166">
        <v>0</v>
      </c>
      <c r="AZ97" s="166">
        <v>0</v>
      </c>
      <c r="BA97" s="166">
        <v>0</v>
      </c>
      <c r="BB97" s="166">
        <v>0</v>
      </c>
      <c r="BC97" s="166">
        <v>0</v>
      </c>
      <c r="BD97" s="166">
        <v>0</v>
      </c>
      <c r="BE97" s="166">
        <v>0</v>
      </c>
      <c r="BF97" s="166">
        <v>0</v>
      </c>
      <c r="BG97" s="166">
        <v>0</v>
      </c>
      <c r="BH97" s="166">
        <v>0</v>
      </c>
      <c r="BI97" s="166">
        <v>0</v>
      </c>
      <c r="BJ97" s="166">
        <v>0</v>
      </c>
      <c r="BK97" s="166">
        <v>0</v>
      </c>
      <c r="BL97" s="166">
        <v>0</v>
      </c>
      <c r="BM97" s="166">
        <v>0</v>
      </c>
      <c r="BN97" s="166">
        <v>0</v>
      </c>
      <c r="BO97" s="166">
        <v>0</v>
      </c>
      <c r="BP97" s="166">
        <v>0</v>
      </c>
      <c r="BQ97" s="81" t="s">
        <v>1758</v>
      </c>
      <c r="BR97" s="81" t="s">
        <v>161</v>
      </c>
      <c r="BZ97" s="81" t="s">
        <v>155</v>
      </c>
      <c r="CA97" s="81">
        <v>7</v>
      </c>
      <c r="CC97" s="167">
        <f>N97</f>
        <v>9</v>
      </c>
      <c r="CD97" s="167">
        <v>0</v>
      </c>
      <c r="CE97" s="167">
        <v>0</v>
      </c>
      <c r="CF97" s="167">
        <v>0</v>
      </c>
      <c r="CG97" s="167">
        <v>0</v>
      </c>
      <c r="CH97" s="167">
        <v>0</v>
      </c>
      <c r="CI97" s="167">
        <v>0</v>
      </c>
      <c r="CJ97" s="167">
        <v>0</v>
      </c>
      <c r="CK97" s="167">
        <v>0</v>
      </c>
      <c r="CL97" s="167">
        <v>0</v>
      </c>
      <c r="CM97" s="167">
        <v>0</v>
      </c>
      <c r="CN97" s="167">
        <v>0</v>
      </c>
      <c r="CO97" s="167">
        <v>0</v>
      </c>
      <c r="CP97" s="167">
        <v>0</v>
      </c>
      <c r="CQ97" s="167">
        <v>0</v>
      </c>
      <c r="CR97" s="167">
        <v>0</v>
      </c>
      <c r="CS97" s="167">
        <v>0</v>
      </c>
      <c r="CT97" s="167">
        <v>0</v>
      </c>
      <c r="CU97" s="167">
        <v>0</v>
      </c>
      <c r="CV97" s="167">
        <v>0</v>
      </c>
      <c r="CW97" s="167">
        <v>0</v>
      </c>
      <c r="CX97" s="167">
        <f>SUM(CD97:CH97)</f>
        <v>0</v>
      </c>
      <c r="CY97" s="167">
        <f>SUM(CD97:CM97)</f>
        <v>0</v>
      </c>
    </row>
    <row r="98" spans="1:103" ht="12.75" customHeight="1" x14ac:dyDescent="0.2">
      <c r="A98" s="81">
        <v>5649</v>
      </c>
      <c r="B98" s="165" t="s">
        <v>1924</v>
      </c>
      <c r="C98" s="165" t="s">
        <v>215</v>
      </c>
      <c r="E98" s="165" t="s">
        <v>3147</v>
      </c>
      <c r="G98" s="81">
        <v>524193</v>
      </c>
      <c r="H98" s="81">
        <v>172907</v>
      </c>
      <c r="I98" s="165" t="s">
        <v>111</v>
      </c>
      <c r="J98" s="349">
        <v>42395</v>
      </c>
      <c r="K98" s="349">
        <v>42852</v>
      </c>
      <c r="L98" s="166">
        <v>2</v>
      </c>
      <c r="M98" s="166">
        <v>1</v>
      </c>
      <c r="N98" s="166">
        <v>-1</v>
      </c>
      <c r="O98" s="166">
        <v>1</v>
      </c>
      <c r="P98" s="166">
        <v>-1</v>
      </c>
      <c r="R98" s="165" t="s">
        <v>216</v>
      </c>
      <c r="S98" s="81" t="s">
        <v>113</v>
      </c>
      <c r="T98" s="349">
        <v>41787</v>
      </c>
      <c r="U98" s="349">
        <v>41843</v>
      </c>
      <c r="W98" s="81" t="s">
        <v>114</v>
      </c>
      <c r="Y98" s="81" t="s">
        <v>115</v>
      </c>
      <c r="Z98" s="81" t="s">
        <v>119</v>
      </c>
      <c r="AA98" s="81" t="s">
        <v>117</v>
      </c>
      <c r="AB98" s="81" t="s">
        <v>336</v>
      </c>
      <c r="AC98" s="166">
        <v>7.4000000953674303E-2</v>
      </c>
      <c r="AD98" s="349">
        <v>42395</v>
      </c>
      <c r="AF98" s="349">
        <v>42852</v>
      </c>
      <c r="AG98" s="81" t="s">
        <v>238</v>
      </c>
      <c r="AH98" s="81" t="s">
        <v>118</v>
      </c>
      <c r="AK98" s="166">
        <v>0</v>
      </c>
      <c r="AM98" s="166">
        <v>0</v>
      </c>
      <c r="AO98" s="166">
        <v>0</v>
      </c>
      <c r="AP98" s="166">
        <v>0</v>
      </c>
      <c r="AQ98" s="166">
        <v>-1</v>
      </c>
      <c r="AR98" s="166">
        <v>-1</v>
      </c>
      <c r="AS98" s="166">
        <v>1</v>
      </c>
      <c r="AT98" s="166">
        <v>0</v>
      </c>
      <c r="AU98" s="166">
        <v>0</v>
      </c>
      <c r="AV98" s="166">
        <v>0</v>
      </c>
      <c r="AW98" s="166">
        <v>0</v>
      </c>
      <c r="AX98" s="166">
        <v>-1</v>
      </c>
      <c r="AY98" s="166">
        <v>-1</v>
      </c>
      <c r="AZ98" s="166">
        <v>0</v>
      </c>
      <c r="BA98" s="166">
        <v>0</v>
      </c>
      <c r="BB98" s="166">
        <v>0</v>
      </c>
      <c r="BC98" s="166">
        <v>0</v>
      </c>
      <c r="BD98" s="166">
        <v>0</v>
      </c>
      <c r="BE98" s="166">
        <v>0</v>
      </c>
      <c r="BF98" s="166">
        <v>0</v>
      </c>
      <c r="BG98" s="166">
        <v>1</v>
      </c>
      <c r="BH98" s="166">
        <v>0</v>
      </c>
      <c r="BI98" s="166">
        <v>0</v>
      </c>
      <c r="BJ98" s="166">
        <v>0</v>
      </c>
      <c r="BK98" s="166">
        <v>0</v>
      </c>
      <c r="BL98" s="166">
        <v>0</v>
      </c>
      <c r="BM98" s="166">
        <v>0</v>
      </c>
      <c r="BN98" s="166">
        <v>0</v>
      </c>
      <c r="BO98" s="166">
        <v>0</v>
      </c>
      <c r="BP98" s="166">
        <v>0</v>
      </c>
      <c r="BQ98" s="81" t="s">
        <v>1758</v>
      </c>
      <c r="BZ98" s="81" t="s">
        <v>155</v>
      </c>
      <c r="CA98" s="81">
        <v>7</v>
      </c>
      <c r="CC98" s="167">
        <f>N98</f>
        <v>-1</v>
      </c>
      <c r="CD98" s="167">
        <v>0</v>
      </c>
      <c r="CE98" s="167">
        <v>0</v>
      </c>
      <c r="CF98" s="167">
        <v>0</v>
      </c>
      <c r="CG98" s="167">
        <v>0</v>
      </c>
      <c r="CH98" s="167">
        <v>0</v>
      </c>
      <c r="CI98" s="167">
        <v>0</v>
      </c>
      <c r="CJ98" s="167">
        <v>0</v>
      </c>
      <c r="CK98" s="167">
        <v>0</v>
      </c>
      <c r="CL98" s="167">
        <v>0</v>
      </c>
      <c r="CM98" s="167">
        <v>0</v>
      </c>
      <c r="CN98" s="167">
        <v>0</v>
      </c>
      <c r="CO98" s="167">
        <v>0</v>
      </c>
      <c r="CP98" s="167">
        <v>0</v>
      </c>
      <c r="CQ98" s="167">
        <v>0</v>
      </c>
      <c r="CR98" s="167">
        <v>0</v>
      </c>
      <c r="CS98" s="167">
        <v>0</v>
      </c>
      <c r="CT98" s="167">
        <v>0</v>
      </c>
      <c r="CU98" s="167">
        <v>0</v>
      </c>
      <c r="CV98" s="167">
        <v>0</v>
      </c>
      <c r="CW98" s="167">
        <v>0</v>
      </c>
      <c r="CX98" s="167">
        <f>SUM(CD98:CH98)</f>
        <v>0</v>
      </c>
      <c r="CY98" s="167">
        <f>SUM(CD98:CM98)</f>
        <v>0</v>
      </c>
    </row>
    <row r="99" spans="1:103" ht="12.75" customHeight="1" x14ac:dyDescent="0.2">
      <c r="A99" s="81">
        <v>5669</v>
      </c>
      <c r="B99" s="165" t="s">
        <v>1924</v>
      </c>
      <c r="C99" s="165" t="s">
        <v>85</v>
      </c>
      <c r="E99" s="165" t="s">
        <v>3148</v>
      </c>
      <c r="G99" s="81">
        <v>523325</v>
      </c>
      <c r="H99" s="81">
        <v>175241</v>
      </c>
      <c r="I99" s="165" t="s">
        <v>59</v>
      </c>
      <c r="J99" s="349">
        <v>42018</v>
      </c>
      <c r="K99" s="349">
        <v>42865</v>
      </c>
      <c r="L99" s="166">
        <v>1</v>
      </c>
      <c r="M99" s="166">
        <v>2</v>
      </c>
      <c r="N99" s="166">
        <v>1</v>
      </c>
      <c r="O99" s="166">
        <v>2</v>
      </c>
      <c r="P99" s="166">
        <v>1</v>
      </c>
      <c r="R99" s="165" t="s">
        <v>751</v>
      </c>
      <c r="S99" s="81" t="s">
        <v>113</v>
      </c>
      <c r="T99" s="349">
        <v>41801</v>
      </c>
      <c r="U99" s="349">
        <v>41934</v>
      </c>
      <c r="W99" s="81" t="s">
        <v>114</v>
      </c>
      <c r="Y99" s="81" t="s">
        <v>115</v>
      </c>
      <c r="Z99" s="81" t="s">
        <v>398</v>
      </c>
      <c r="AA99" s="81" t="s">
        <v>117</v>
      </c>
      <c r="AB99" s="81" t="s">
        <v>218</v>
      </c>
      <c r="AC99" s="166">
        <v>8.0000003799796104E-3</v>
      </c>
      <c r="AD99" s="349">
        <v>42018</v>
      </c>
      <c r="AF99" s="349">
        <v>42865</v>
      </c>
      <c r="AG99" s="81" t="s">
        <v>238</v>
      </c>
      <c r="AH99" s="81" t="s">
        <v>118</v>
      </c>
      <c r="AK99" s="166">
        <v>0</v>
      </c>
      <c r="AM99" s="166">
        <v>0</v>
      </c>
      <c r="AO99" s="166">
        <v>0</v>
      </c>
      <c r="AP99" s="166">
        <v>1</v>
      </c>
      <c r="AQ99" s="166">
        <v>0</v>
      </c>
      <c r="AR99" s="166">
        <v>0</v>
      </c>
      <c r="AS99" s="166">
        <v>0</v>
      </c>
      <c r="AT99" s="166">
        <v>0</v>
      </c>
      <c r="AU99" s="166">
        <v>0</v>
      </c>
      <c r="AV99" s="166">
        <v>0</v>
      </c>
      <c r="AW99" s="166">
        <v>1</v>
      </c>
      <c r="AX99" s="166">
        <v>-1</v>
      </c>
      <c r="AY99" s="166">
        <v>0</v>
      </c>
      <c r="AZ99" s="166">
        <v>0</v>
      </c>
      <c r="BA99" s="166">
        <v>0</v>
      </c>
      <c r="BB99" s="166">
        <v>0</v>
      </c>
      <c r="BC99" s="166">
        <v>0</v>
      </c>
      <c r="BD99" s="166">
        <v>0</v>
      </c>
      <c r="BE99" s="166">
        <v>1</v>
      </c>
      <c r="BF99" s="166">
        <v>0</v>
      </c>
      <c r="BG99" s="166">
        <v>0</v>
      </c>
      <c r="BH99" s="166">
        <v>0</v>
      </c>
      <c r="BI99" s="166">
        <v>0</v>
      </c>
      <c r="BJ99" s="166">
        <v>0</v>
      </c>
      <c r="BK99" s="166">
        <v>0</v>
      </c>
      <c r="BL99" s="166">
        <v>0</v>
      </c>
      <c r="BM99" s="166">
        <v>0</v>
      </c>
      <c r="BN99" s="166">
        <v>0</v>
      </c>
      <c r="BO99" s="166">
        <v>0</v>
      </c>
      <c r="BP99" s="166">
        <v>0</v>
      </c>
      <c r="BQ99" s="81" t="s">
        <v>1758</v>
      </c>
      <c r="BZ99" s="81" t="s">
        <v>155</v>
      </c>
      <c r="CA99" s="81">
        <v>7</v>
      </c>
      <c r="CC99" s="167">
        <f>N99</f>
        <v>1</v>
      </c>
      <c r="CD99" s="167">
        <v>0</v>
      </c>
      <c r="CE99" s="167">
        <v>0</v>
      </c>
      <c r="CF99" s="167">
        <v>0</v>
      </c>
      <c r="CG99" s="167">
        <v>0</v>
      </c>
      <c r="CH99" s="167">
        <v>0</v>
      </c>
      <c r="CI99" s="167">
        <v>0</v>
      </c>
      <c r="CJ99" s="167">
        <v>0</v>
      </c>
      <c r="CK99" s="167">
        <v>0</v>
      </c>
      <c r="CL99" s="167">
        <v>0</v>
      </c>
      <c r="CM99" s="167">
        <v>0</v>
      </c>
      <c r="CN99" s="167">
        <v>0</v>
      </c>
      <c r="CO99" s="167">
        <v>0</v>
      </c>
      <c r="CP99" s="167">
        <v>0</v>
      </c>
      <c r="CQ99" s="167">
        <v>0</v>
      </c>
      <c r="CR99" s="167">
        <v>0</v>
      </c>
      <c r="CS99" s="167">
        <v>0</v>
      </c>
      <c r="CT99" s="167">
        <v>0</v>
      </c>
      <c r="CU99" s="167">
        <v>0</v>
      </c>
      <c r="CV99" s="167">
        <v>0</v>
      </c>
      <c r="CW99" s="167">
        <v>0</v>
      </c>
      <c r="CX99" s="167">
        <f>SUM(CD99:CH99)</f>
        <v>0</v>
      </c>
      <c r="CY99" s="167">
        <f>SUM(CD99:CM99)</f>
        <v>0</v>
      </c>
    </row>
    <row r="100" spans="1:103" ht="12.75" customHeight="1" x14ac:dyDescent="0.2">
      <c r="A100" s="81">
        <v>5687</v>
      </c>
      <c r="B100" s="165" t="s">
        <v>1924</v>
      </c>
      <c r="C100" s="165" t="s">
        <v>1001</v>
      </c>
      <c r="E100" s="165" t="s">
        <v>3149</v>
      </c>
      <c r="G100" s="81">
        <v>525944</v>
      </c>
      <c r="H100" s="81">
        <v>174996</v>
      </c>
      <c r="I100" s="165" t="s">
        <v>251</v>
      </c>
      <c r="J100" s="349">
        <v>42343</v>
      </c>
      <c r="K100" s="349">
        <v>42921</v>
      </c>
      <c r="L100" s="166">
        <v>1</v>
      </c>
      <c r="M100" s="166">
        <v>3</v>
      </c>
      <c r="N100" s="166">
        <v>2</v>
      </c>
      <c r="O100" s="166">
        <v>3</v>
      </c>
      <c r="P100" s="166">
        <v>2</v>
      </c>
      <c r="R100" s="165" t="s">
        <v>1002</v>
      </c>
      <c r="S100" s="81" t="s">
        <v>113</v>
      </c>
      <c r="T100" s="349">
        <v>42507</v>
      </c>
      <c r="U100" s="349">
        <v>42657</v>
      </c>
      <c r="W100" s="81" t="s">
        <v>114</v>
      </c>
      <c r="Y100" s="81" t="s">
        <v>115</v>
      </c>
      <c r="Z100" s="81" t="s">
        <v>398</v>
      </c>
      <c r="AA100" s="81" t="s">
        <v>117</v>
      </c>
      <c r="AB100" s="81" t="s">
        <v>399</v>
      </c>
      <c r="AC100" s="166">
        <v>8.9999996125698107E-3</v>
      </c>
      <c r="AD100" s="349">
        <v>42343</v>
      </c>
      <c r="AF100" s="349">
        <v>42921</v>
      </c>
      <c r="AG100" s="81" t="s">
        <v>238</v>
      </c>
      <c r="AH100" s="81" t="s">
        <v>118</v>
      </c>
      <c r="AK100" s="166">
        <v>0</v>
      </c>
      <c r="AM100" s="166">
        <v>0</v>
      </c>
      <c r="AO100" s="166">
        <v>0</v>
      </c>
      <c r="AP100" s="166">
        <v>1</v>
      </c>
      <c r="AQ100" s="166">
        <v>0</v>
      </c>
      <c r="AR100" s="166">
        <v>0</v>
      </c>
      <c r="AS100" s="166">
        <v>1</v>
      </c>
      <c r="AT100" s="166">
        <v>0</v>
      </c>
      <c r="AU100" s="166">
        <v>0</v>
      </c>
      <c r="AV100" s="166">
        <v>0</v>
      </c>
      <c r="AW100" s="166">
        <v>1</v>
      </c>
      <c r="AX100" s="166">
        <v>0</v>
      </c>
      <c r="AY100" s="166">
        <v>0</v>
      </c>
      <c r="AZ100" s="166">
        <v>1</v>
      </c>
      <c r="BA100" s="166">
        <v>0</v>
      </c>
      <c r="BB100" s="166">
        <v>0</v>
      </c>
      <c r="BC100" s="166">
        <v>0</v>
      </c>
      <c r="BD100" s="166">
        <v>0</v>
      </c>
      <c r="BE100" s="166">
        <v>0</v>
      </c>
      <c r="BF100" s="166">
        <v>0</v>
      </c>
      <c r="BG100" s="166">
        <v>0</v>
      </c>
      <c r="BH100" s="166">
        <v>0</v>
      </c>
      <c r="BI100" s="166">
        <v>0</v>
      </c>
      <c r="BJ100" s="166">
        <v>0</v>
      </c>
      <c r="BK100" s="166">
        <v>0</v>
      </c>
      <c r="BL100" s="166">
        <v>0</v>
      </c>
      <c r="BM100" s="166">
        <v>0</v>
      </c>
      <c r="BN100" s="166">
        <v>0</v>
      </c>
      <c r="BO100" s="166">
        <v>0</v>
      </c>
      <c r="BP100" s="166">
        <v>0</v>
      </c>
      <c r="BQ100" s="81" t="s">
        <v>1758</v>
      </c>
      <c r="BZ100" s="81" t="s">
        <v>155</v>
      </c>
      <c r="CA100" s="81">
        <v>7</v>
      </c>
      <c r="CC100" s="167">
        <f>N100</f>
        <v>2</v>
      </c>
      <c r="CD100" s="167">
        <v>0</v>
      </c>
      <c r="CE100" s="167">
        <v>0</v>
      </c>
      <c r="CF100" s="167">
        <v>0</v>
      </c>
      <c r="CG100" s="167">
        <v>0</v>
      </c>
      <c r="CH100" s="167">
        <v>0</v>
      </c>
      <c r="CI100" s="167">
        <v>0</v>
      </c>
      <c r="CJ100" s="167">
        <v>0</v>
      </c>
      <c r="CK100" s="167">
        <v>0</v>
      </c>
      <c r="CL100" s="167">
        <v>0</v>
      </c>
      <c r="CM100" s="167">
        <v>0</v>
      </c>
      <c r="CN100" s="167">
        <v>0</v>
      </c>
      <c r="CO100" s="167">
        <v>0</v>
      </c>
      <c r="CP100" s="167">
        <v>0</v>
      </c>
      <c r="CQ100" s="167">
        <v>0</v>
      </c>
      <c r="CR100" s="167">
        <v>0</v>
      </c>
      <c r="CS100" s="167">
        <v>0</v>
      </c>
      <c r="CT100" s="167">
        <v>0</v>
      </c>
      <c r="CU100" s="167">
        <v>0</v>
      </c>
      <c r="CV100" s="167">
        <v>0</v>
      </c>
      <c r="CW100" s="167">
        <v>0</v>
      </c>
      <c r="CX100" s="167">
        <f>SUM(CD100:CH100)</f>
        <v>0</v>
      </c>
      <c r="CY100" s="167">
        <f>SUM(CD100:CM100)</f>
        <v>0</v>
      </c>
    </row>
    <row r="101" spans="1:103" ht="12.75" customHeight="1" x14ac:dyDescent="0.2">
      <c r="A101" s="81">
        <v>5694</v>
      </c>
      <c r="B101" s="165" t="s">
        <v>1924</v>
      </c>
      <c r="C101" s="165" t="s">
        <v>3150</v>
      </c>
      <c r="E101" s="165" t="s">
        <v>3151</v>
      </c>
      <c r="G101" s="81">
        <v>527981</v>
      </c>
      <c r="H101" s="81">
        <v>172352</v>
      </c>
      <c r="I101" s="165" t="s">
        <v>254</v>
      </c>
      <c r="J101" s="349">
        <v>42879</v>
      </c>
      <c r="K101" s="349">
        <v>43147</v>
      </c>
      <c r="L101" s="166">
        <v>8</v>
      </c>
      <c r="M101" s="166">
        <v>6</v>
      </c>
      <c r="N101" s="166">
        <v>-2</v>
      </c>
      <c r="O101" s="166">
        <v>6</v>
      </c>
      <c r="P101" s="166">
        <v>-2</v>
      </c>
      <c r="R101" s="165" t="s">
        <v>3152</v>
      </c>
      <c r="S101" s="81" t="s">
        <v>113</v>
      </c>
      <c r="T101" s="349">
        <v>42821</v>
      </c>
      <c r="U101" s="349">
        <v>42879</v>
      </c>
      <c r="V101" s="81" t="s">
        <v>155</v>
      </c>
      <c r="W101" s="81" t="s">
        <v>114</v>
      </c>
      <c r="Y101" s="81" t="s">
        <v>115</v>
      </c>
      <c r="Z101" s="81" t="s">
        <v>219</v>
      </c>
      <c r="AA101" s="81" t="s">
        <v>117</v>
      </c>
      <c r="AB101" s="81" t="s">
        <v>300</v>
      </c>
      <c r="AC101" s="166">
        <v>3.5999998450279201E-2</v>
      </c>
      <c r="AD101" s="349">
        <v>42879</v>
      </c>
      <c r="AE101" s="81" t="s">
        <v>155</v>
      </c>
      <c r="AF101" s="349">
        <v>43147</v>
      </c>
      <c r="AG101" s="81" t="s">
        <v>238</v>
      </c>
      <c r="AH101" s="81" t="s">
        <v>118</v>
      </c>
      <c r="AK101" s="166">
        <v>0</v>
      </c>
      <c r="AM101" s="166">
        <v>0</v>
      </c>
      <c r="AO101" s="166">
        <v>0</v>
      </c>
      <c r="AP101" s="166">
        <v>0</v>
      </c>
      <c r="AQ101" s="166">
        <v>-1</v>
      </c>
      <c r="AR101" s="166">
        <v>-1</v>
      </c>
      <c r="AS101" s="166">
        <v>0</v>
      </c>
      <c r="AT101" s="166">
        <v>0</v>
      </c>
      <c r="AU101" s="166">
        <v>0</v>
      </c>
      <c r="AV101" s="166">
        <v>0</v>
      </c>
      <c r="AW101" s="166">
        <v>0</v>
      </c>
      <c r="AX101" s="166">
        <v>-1</v>
      </c>
      <c r="AY101" s="166">
        <v>-1</v>
      </c>
      <c r="AZ101" s="166">
        <v>0</v>
      </c>
      <c r="BA101" s="166">
        <v>0</v>
      </c>
      <c r="BB101" s="166">
        <v>0</v>
      </c>
      <c r="BC101" s="166">
        <v>0</v>
      </c>
      <c r="BD101" s="166">
        <v>0</v>
      </c>
      <c r="BE101" s="166">
        <v>0</v>
      </c>
      <c r="BF101" s="166">
        <v>0</v>
      </c>
      <c r="BG101" s="166">
        <v>0</v>
      </c>
      <c r="BH101" s="166">
        <v>0</v>
      </c>
      <c r="BI101" s="166">
        <v>0</v>
      </c>
      <c r="BJ101" s="166">
        <v>0</v>
      </c>
      <c r="BK101" s="166">
        <v>0</v>
      </c>
      <c r="BL101" s="166">
        <v>0</v>
      </c>
      <c r="BM101" s="166">
        <v>0</v>
      </c>
      <c r="BN101" s="166">
        <v>0</v>
      </c>
      <c r="BO101" s="166">
        <v>0</v>
      </c>
      <c r="BP101" s="166">
        <v>0</v>
      </c>
      <c r="BQ101" s="81" t="s">
        <v>1757</v>
      </c>
      <c r="BZ101" s="81" t="s">
        <v>155</v>
      </c>
      <c r="CA101" s="81">
        <v>7</v>
      </c>
      <c r="CC101" s="167">
        <f>N101</f>
        <v>-2</v>
      </c>
      <c r="CD101" s="167">
        <v>0</v>
      </c>
      <c r="CE101" s="167">
        <v>0</v>
      </c>
      <c r="CF101" s="167">
        <v>0</v>
      </c>
      <c r="CG101" s="167">
        <v>0</v>
      </c>
      <c r="CH101" s="167">
        <v>0</v>
      </c>
      <c r="CI101" s="167">
        <v>0</v>
      </c>
      <c r="CJ101" s="167">
        <v>0</v>
      </c>
      <c r="CK101" s="167">
        <v>0</v>
      </c>
      <c r="CL101" s="167">
        <v>0</v>
      </c>
      <c r="CM101" s="167">
        <v>0</v>
      </c>
      <c r="CN101" s="167">
        <v>0</v>
      </c>
      <c r="CO101" s="167">
        <v>0</v>
      </c>
      <c r="CP101" s="167">
        <v>0</v>
      </c>
      <c r="CQ101" s="167">
        <v>0</v>
      </c>
      <c r="CR101" s="167">
        <v>0</v>
      </c>
      <c r="CS101" s="167">
        <v>0</v>
      </c>
      <c r="CT101" s="167">
        <v>0</v>
      </c>
      <c r="CU101" s="167">
        <v>0</v>
      </c>
      <c r="CV101" s="167">
        <v>0</v>
      </c>
      <c r="CW101" s="167">
        <v>0</v>
      </c>
      <c r="CX101" s="167">
        <f>SUM(CD101:CH101)</f>
        <v>0</v>
      </c>
      <c r="CY101" s="167">
        <f>SUM(CD101:CM101)</f>
        <v>0</v>
      </c>
    </row>
    <row r="102" spans="1:103" ht="12.75" customHeight="1" x14ac:dyDescent="0.2">
      <c r="A102" s="81">
        <v>5699</v>
      </c>
      <c r="B102" s="165" t="s">
        <v>1924</v>
      </c>
      <c r="C102" s="165" t="s">
        <v>30</v>
      </c>
      <c r="E102" s="165" t="s">
        <v>3153</v>
      </c>
      <c r="G102" s="81">
        <v>523902</v>
      </c>
      <c r="H102" s="81">
        <v>174030</v>
      </c>
      <c r="I102" s="165" t="s">
        <v>250</v>
      </c>
      <c r="J102" s="349">
        <v>42826</v>
      </c>
      <c r="K102" s="349">
        <v>43190</v>
      </c>
      <c r="L102" s="166">
        <v>0</v>
      </c>
      <c r="M102" s="166">
        <v>1</v>
      </c>
      <c r="N102" s="166">
        <v>1</v>
      </c>
      <c r="O102" s="166">
        <v>1</v>
      </c>
      <c r="P102" s="166">
        <v>1</v>
      </c>
      <c r="R102" s="165" t="s">
        <v>31</v>
      </c>
      <c r="S102" s="81" t="s">
        <v>113</v>
      </c>
      <c r="T102" s="349">
        <v>41857</v>
      </c>
      <c r="U102" s="349">
        <v>41956</v>
      </c>
      <c r="W102" s="81" t="s">
        <v>114</v>
      </c>
      <c r="Y102" s="81" t="s">
        <v>115</v>
      </c>
      <c r="Z102" s="81" t="s">
        <v>116</v>
      </c>
      <c r="AA102" s="81" t="s">
        <v>117</v>
      </c>
      <c r="AB102" s="81" t="s">
        <v>218</v>
      </c>
      <c r="AC102" s="166">
        <v>1.4999999664723899E-2</v>
      </c>
      <c r="AD102" s="349">
        <v>42826</v>
      </c>
      <c r="AE102" s="81" t="s">
        <v>155</v>
      </c>
      <c r="AF102" s="349">
        <v>43190</v>
      </c>
      <c r="AG102" s="81" t="s">
        <v>238</v>
      </c>
      <c r="AH102" s="81" t="s">
        <v>118</v>
      </c>
      <c r="AK102" s="166">
        <v>0</v>
      </c>
      <c r="AM102" s="166">
        <v>0</v>
      </c>
      <c r="AO102" s="166">
        <v>0</v>
      </c>
      <c r="AP102" s="166">
        <v>0</v>
      </c>
      <c r="AQ102" s="166">
        <v>0</v>
      </c>
      <c r="AR102" s="166">
        <v>0</v>
      </c>
      <c r="AS102" s="166">
        <v>1</v>
      </c>
      <c r="AT102" s="166">
        <v>0</v>
      </c>
      <c r="AU102" s="166">
        <v>0</v>
      </c>
      <c r="AV102" s="166">
        <v>0</v>
      </c>
      <c r="AW102" s="166">
        <v>0</v>
      </c>
      <c r="AX102" s="166">
        <v>0</v>
      </c>
      <c r="AY102" s="166">
        <v>0</v>
      </c>
      <c r="AZ102" s="166">
        <v>0</v>
      </c>
      <c r="BA102" s="166">
        <v>0</v>
      </c>
      <c r="BB102" s="166">
        <v>0</v>
      </c>
      <c r="BC102" s="166">
        <v>0</v>
      </c>
      <c r="BD102" s="166">
        <v>0</v>
      </c>
      <c r="BE102" s="166">
        <v>0</v>
      </c>
      <c r="BF102" s="166">
        <v>0</v>
      </c>
      <c r="BG102" s="166">
        <v>1</v>
      </c>
      <c r="BH102" s="166">
        <v>0</v>
      </c>
      <c r="BI102" s="166">
        <v>0</v>
      </c>
      <c r="BJ102" s="166">
        <v>0</v>
      </c>
      <c r="BK102" s="166">
        <v>0</v>
      </c>
      <c r="BL102" s="166">
        <v>0</v>
      </c>
      <c r="BM102" s="166">
        <v>0</v>
      </c>
      <c r="BN102" s="166">
        <v>0</v>
      </c>
      <c r="BO102" s="166">
        <v>0</v>
      </c>
      <c r="BP102" s="166">
        <v>0</v>
      </c>
      <c r="BQ102" s="81" t="s">
        <v>1758</v>
      </c>
      <c r="BZ102" s="81" t="s">
        <v>155</v>
      </c>
      <c r="CA102" s="81">
        <v>1</v>
      </c>
      <c r="CC102" s="167">
        <f>N102</f>
        <v>1</v>
      </c>
      <c r="CD102" s="167">
        <v>0</v>
      </c>
      <c r="CE102" s="167">
        <v>0</v>
      </c>
      <c r="CF102" s="167">
        <v>0</v>
      </c>
      <c r="CG102" s="167">
        <v>0</v>
      </c>
      <c r="CH102" s="167">
        <v>0</v>
      </c>
      <c r="CI102" s="167">
        <v>0</v>
      </c>
      <c r="CJ102" s="167">
        <v>0</v>
      </c>
      <c r="CK102" s="167">
        <v>0</v>
      </c>
      <c r="CL102" s="167">
        <v>0</v>
      </c>
      <c r="CM102" s="167">
        <v>0</v>
      </c>
      <c r="CN102" s="167">
        <v>0</v>
      </c>
      <c r="CO102" s="167">
        <v>0</v>
      </c>
      <c r="CP102" s="167">
        <v>0</v>
      </c>
      <c r="CQ102" s="167">
        <v>0</v>
      </c>
      <c r="CR102" s="167">
        <v>0</v>
      </c>
      <c r="CS102" s="167">
        <v>0</v>
      </c>
      <c r="CT102" s="167">
        <v>0</v>
      </c>
      <c r="CU102" s="167">
        <v>0</v>
      </c>
      <c r="CV102" s="167">
        <v>0</v>
      </c>
      <c r="CW102" s="167">
        <v>0</v>
      </c>
      <c r="CX102" s="167">
        <f>SUM(CD102:CH102)</f>
        <v>0</v>
      </c>
      <c r="CY102" s="167">
        <f>SUM(CD102:CM102)</f>
        <v>0</v>
      </c>
    </row>
    <row r="103" spans="1:103" ht="12.75" customHeight="1" x14ac:dyDescent="0.2">
      <c r="A103" s="81">
        <v>5720</v>
      </c>
      <c r="B103" s="165" t="s">
        <v>1924</v>
      </c>
      <c r="C103" s="165" t="s">
        <v>502</v>
      </c>
      <c r="E103" s="165" t="s">
        <v>3154</v>
      </c>
      <c r="G103" s="81">
        <v>527464</v>
      </c>
      <c r="H103" s="81">
        <v>172254</v>
      </c>
      <c r="I103" s="165" t="s">
        <v>242</v>
      </c>
      <c r="J103" s="349">
        <v>42825</v>
      </c>
      <c r="K103" s="349">
        <v>43069</v>
      </c>
      <c r="L103" s="166">
        <v>0</v>
      </c>
      <c r="M103" s="166">
        <v>1</v>
      </c>
      <c r="N103" s="166">
        <v>1</v>
      </c>
      <c r="O103" s="166">
        <v>2</v>
      </c>
      <c r="P103" s="166">
        <v>1</v>
      </c>
      <c r="R103" s="165" t="s">
        <v>423</v>
      </c>
      <c r="S103" s="81" t="s">
        <v>113</v>
      </c>
      <c r="T103" s="349">
        <v>42052</v>
      </c>
      <c r="U103" s="349">
        <v>42108</v>
      </c>
      <c r="W103" s="81" t="s">
        <v>114</v>
      </c>
      <c r="Y103" s="81" t="s">
        <v>115</v>
      </c>
      <c r="Z103" s="81" t="s">
        <v>398</v>
      </c>
      <c r="AA103" s="81" t="s">
        <v>117</v>
      </c>
      <c r="AB103" s="81" t="s">
        <v>218</v>
      </c>
      <c r="AC103" s="166">
        <v>4.0000001899898104E-3</v>
      </c>
      <c r="AD103" s="349">
        <v>42825</v>
      </c>
      <c r="AF103" s="349">
        <v>43069</v>
      </c>
      <c r="AG103" s="81" t="s">
        <v>238</v>
      </c>
      <c r="AH103" s="81" t="s">
        <v>118</v>
      </c>
      <c r="AK103" s="166">
        <v>0</v>
      </c>
      <c r="AM103" s="166">
        <v>0</v>
      </c>
      <c r="AO103" s="166">
        <v>0</v>
      </c>
      <c r="AP103" s="166">
        <v>1</v>
      </c>
      <c r="AQ103" s="166">
        <v>0</v>
      </c>
      <c r="AR103" s="166">
        <v>0</v>
      </c>
      <c r="AS103" s="166">
        <v>0</v>
      </c>
      <c r="AT103" s="166">
        <v>0</v>
      </c>
      <c r="AU103" s="166">
        <v>0</v>
      </c>
      <c r="AV103" s="166">
        <v>0</v>
      </c>
      <c r="AW103" s="166">
        <v>1</v>
      </c>
      <c r="AX103" s="166">
        <v>0</v>
      </c>
      <c r="AY103" s="166">
        <v>0</v>
      </c>
      <c r="AZ103" s="166">
        <v>0</v>
      </c>
      <c r="BA103" s="166">
        <v>0</v>
      </c>
      <c r="BB103" s="166">
        <v>0</v>
      </c>
      <c r="BC103" s="166">
        <v>0</v>
      </c>
      <c r="BD103" s="166">
        <v>0</v>
      </c>
      <c r="BE103" s="166">
        <v>0</v>
      </c>
      <c r="BF103" s="166">
        <v>0</v>
      </c>
      <c r="BG103" s="166">
        <v>0</v>
      </c>
      <c r="BH103" s="166">
        <v>0</v>
      </c>
      <c r="BI103" s="166">
        <v>0</v>
      </c>
      <c r="BJ103" s="166">
        <v>0</v>
      </c>
      <c r="BK103" s="166">
        <v>0</v>
      </c>
      <c r="BL103" s="166">
        <v>0</v>
      </c>
      <c r="BM103" s="166">
        <v>0</v>
      </c>
      <c r="BN103" s="166">
        <v>0</v>
      </c>
      <c r="BO103" s="166">
        <v>0</v>
      </c>
      <c r="BP103" s="166">
        <v>0</v>
      </c>
      <c r="BQ103" s="81" t="s">
        <v>1757</v>
      </c>
      <c r="BZ103" s="81" t="s">
        <v>155</v>
      </c>
      <c r="CA103" s="81">
        <v>7</v>
      </c>
      <c r="CC103" s="167">
        <f>N103</f>
        <v>1</v>
      </c>
      <c r="CD103" s="167">
        <v>0</v>
      </c>
      <c r="CE103" s="167">
        <v>0</v>
      </c>
      <c r="CF103" s="167">
        <v>0</v>
      </c>
      <c r="CG103" s="167">
        <v>0</v>
      </c>
      <c r="CH103" s="167">
        <v>0</v>
      </c>
      <c r="CI103" s="167">
        <v>0</v>
      </c>
      <c r="CJ103" s="167">
        <v>0</v>
      </c>
      <c r="CK103" s="167">
        <v>0</v>
      </c>
      <c r="CL103" s="167">
        <v>0</v>
      </c>
      <c r="CM103" s="167">
        <v>0</v>
      </c>
      <c r="CN103" s="167">
        <v>0</v>
      </c>
      <c r="CO103" s="167">
        <v>0</v>
      </c>
      <c r="CP103" s="167">
        <v>0</v>
      </c>
      <c r="CQ103" s="167">
        <v>0</v>
      </c>
      <c r="CR103" s="167">
        <v>0</v>
      </c>
      <c r="CS103" s="167">
        <v>0</v>
      </c>
      <c r="CT103" s="167">
        <v>0</v>
      </c>
      <c r="CU103" s="167">
        <v>0</v>
      </c>
      <c r="CV103" s="167">
        <v>0</v>
      </c>
      <c r="CW103" s="167">
        <v>0</v>
      </c>
      <c r="CX103" s="167">
        <f>SUM(CD103:CH103)</f>
        <v>0</v>
      </c>
      <c r="CY103" s="167">
        <f>SUM(CD103:CM103)</f>
        <v>0</v>
      </c>
    </row>
    <row r="104" spans="1:103" ht="12.75" customHeight="1" x14ac:dyDescent="0.2">
      <c r="A104" s="81">
        <v>5720</v>
      </c>
      <c r="B104" s="165" t="s">
        <v>1924</v>
      </c>
      <c r="C104" s="165" t="s">
        <v>502</v>
      </c>
      <c r="E104" s="165" t="s">
        <v>3154</v>
      </c>
      <c r="G104" s="81">
        <v>527464</v>
      </c>
      <c r="H104" s="81">
        <v>172254</v>
      </c>
      <c r="I104" s="165" t="s">
        <v>242</v>
      </c>
      <c r="J104" s="349">
        <v>42825</v>
      </c>
      <c r="K104" s="349">
        <v>43069</v>
      </c>
      <c r="L104" s="166">
        <v>1</v>
      </c>
      <c r="M104" s="166">
        <v>1</v>
      </c>
      <c r="N104" s="166">
        <v>0</v>
      </c>
      <c r="O104" s="166">
        <v>2</v>
      </c>
      <c r="P104" s="166">
        <v>1</v>
      </c>
      <c r="R104" s="165" t="s">
        <v>423</v>
      </c>
      <c r="S104" s="81" t="s">
        <v>113</v>
      </c>
      <c r="T104" s="349">
        <v>42052</v>
      </c>
      <c r="U104" s="349">
        <v>42108</v>
      </c>
      <c r="W104" s="81" t="s">
        <v>114</v>
      </c>
      <c r="Y104" s="81" t="s">
        <v>115</v>
      </c>
      <c r="Z104" s="81" t="s">
        <v>398</v>
      </c>
      <c r="AA104" s="81" t="s">
        <v>117</v>
      </c>
      <c r="AB104" s="81" t="s">
        <v>220</v>
      </c>
      <c r="AC104" s="166">
        <v>4.9999998882412902E-3</v>
      </c>
      <c r="AD104" s="349">
        <v>42825</v>
      </c>
      <c r="AF104" s="349">
        <v>43069</v>
      </c>
      <c r="AG104" s="81" t="s">
        <v>238</v>
      </c>
      <c r="AH104" s="81" t="s">
        <v>118</v>
      </c>
      <c r="AK104" s="166">
        <v>0</v>
      </c>
      <c r="AM104" s="166">
        <v>0</v>
      </c>
      <c r="AO104" s="166">
        <v>0</v>
      </c>
      <c r="AP104" s="166">
        <v>0</v>
      </c>
      <c r="AQ104" s="166">
        <v>0</v>
      </c>
      <c r="AR104" s="166">
        <v>1</v>
      </c>
      <c r="AS104" s="166">
        <v>-1</v>
      </c>
      <c r="AT104" s="166">
        <v>0</v>
      </c>
      <c r="AU104" s="166">
        <v>0</v>
      </c>
      <c r="AV104" s="166">
        <v>0</v>
      </c>
      <c r="AW104" s="166">
        <v>0</v>
      </c>
      <c r="AX104" s="166">
        <v>0</v>
      </c>
      <c r="AY104" s="166">
        <v>1</v>
      </c>
      <c r="AZ104" s="166">
        <v>-1</v>
      </c>
      <c r="BA104" s="166">
        <v>0</v>
      </c>
      <c r="BB104" s="166">
        <v>0</v>
      </c>
      <c r="BC104" s="166">
        <v>0</v>
      </c>
      <c r="BD104" s="166">
        <v>0</v>
      </c>
      <c r="BE104" s="166">
        <v>0</v>
      </c>
      <c r="BF104" s="166">
        <v>0</v>
      </c>
      <c r="BG104" s="166">
        <v>0</v>
      </c>
      <c r="BH104" s="166">
        <v>0</v>
      </c>
      <c r="BI104" s="166">
        <v>0</v>
      </c>
      <c r="BJ104" s="166">
        <v>0</v>
      </c>
      <c r="BK104" s="166">
        <v>0</v>
      </c>
      <c r="BL104" s="166">
        <v>0</v>
      </c>
      <c r="BM104" s="166">
        <v>0</v>
      </c>
      <c r="BN104" s="166">
        <v>0</v>
      </c>
      <c r="BO104" s="166">
        <v>0</v>
      </c>
      <c r="BP104" s="166">
        <v>0</v>
      </c>
      <c r="BQ104" s="81" t="s">
        <v>1757</v>
      </c>
      <c r="BZ104" s="81" t="s">
        <v>155</v>
      </c>
      <c r="CA104" s="81">
        <v>7</v>
      </c>
      <c r="CC104" s="167">
        <f>N104</f>
        <v>0</v>
      </c>
      <c r="CD104" s="167">
        <v>0</v>
      </c>
      <c r="CE104" s="167">
        <v>0</v>
      </c>
      <c r="CF104" s="167">
        <v>0</v>
      </c>
      <c r="CG104" s="167">
        <v>0</v>
      </c>
      <c r="CH104" s="167">
        <v>0</v>
      </c>
      <c r="CI104" s="167">
        <v>0</v>
      </c>
      <c r="CJ104" s="167">
        <v>0</v>
      </c>
      <c r="CK104" s="167">
        <v>0</v>
      </c>
      <c r="CL104" s="167">
        <v>0</v>
      </c>
      <c r="CM104" s="167">
        <v>0</v>
      </c>
      <c r="CN104" s="167">
        <v>0</v>
      </c>
      <c r="CO104" s="167">
        <v>0</v>
      </c>
      <c r="CP104" s="167">
        <v>0</v>
      </c>
      <c r="CQ104" s="167">
        <v>0</v>
      </c>
      <c r="CR104" s="167">
        <v>0</v>
      </c>
      <c r="CS104" s="167">
        <v>0</v>
      </c>
      <c r="CT104" s="167">
        <v>0</v>
      </c>
      <c r="CU104" s="167">
        <v>0</v>
      </c>
      <c r="CV104" s="167">
        <v>0</v>
      </c>
      <c r="CW104" s="167">
        <v>0</v>
      </c>
      <c r="CX104" s="167">
        <f>SUM(CD104:CH104)</f>
        <v>0</v>
      </c>
      <c r="CY104" s="167">
        <f>SUM(CD104:CM104)</f>
        <v>0</v>
      </c>
    </row>
    <row r="105" spans="1:103" ht="12.75" customHeight="1" x14ac:dyDescent="0.2">
      <c r="A105" s="81">
        <v>5725</v>
      </c>
      <c r="B105" s="165" t="s">
        <v>1924</v>
      </c>
      <c r="C105" s="165" t="s">
        <v>993</v>
      </c>
      <c r="E105" s="165" t="s">
        <v>3155</v>
      </c>
      <c r="G105" s="81">
        <v>524061</v>
      </c>
      <c r="H105" s="81">
        <v>174621</v>
      </c>
      <c r="I105" s="165" t="s">
        <v>250</v>
      </c>
      <c r="J105" s="349">
        <v>42774</v>
      </c>
      <c r="K105" s="349">
        <v>43067</v>
      </c>
      <c r="L105" s="166">
        <v>1</v>
      </c>
      <c r="M105" s="166">
        <v>1</v>
      </c>
      <c r="N105" s="166">
        <v>0</v>
      </c>
      <c r="O105" s="166">
        <v>1</v>
      </c>
      <c r="P105" s="166">
        <v>0</v>
      </c>
      <c r="R105" s="165" t="s">
        <v>994</v>
      </c>
      <c r="S105" s="81" t="s">
        <v>113</v>
      </c>
      <c r="T105" s="349">
        <v>42481</v>
      </c>
      <c r="U105" s="349">
        <v>42535</v>
      </c>
      <c r="W105" s="81" t="s">
        <v>114</v>
      </c>
      <c r="Y105" s="81" t="s">
        <v>115</v>
      </c>
      <c r="Z105" s="81" t="s">
        <v>116</v>
      </c>
      <c r="AA105" s="81" t="s">
        <v>117</v>
      </c>
      <c r="AB105" s="81" t="s">
        <v>218</v>
      </c>
      <c r="AC105" s="166">
        <v>3.5000000149011598E-2</v>
      </c>
      <c r="AD105" s="349">
        <v>42774</v>
      </c>
      <c r="AF105" s="349">
        <v>43067</v>
      </c>
      <c r="AG105" s="81" t="s">
        <v>238</v>
      </c>
      <c r="AH105" s="81" t="s">
        <v>118</v>
      </c>
      <c r="AK105" s="166">
        <v>1</v>
      </c>
      <c r="AM105" s="166">
        <v>0</v>
      </c>
      <c r="AO105" s="166">
        <v>0</v>
      </c>
      <c r="AP105" s="166">
        <v>0</v>
      </c>
      <c r="AQ105" s="166">
        <v>-1</v>
      </c>
      <c r="AR105" s="166">
        <v>1</v>
      </c>
      <c r="AS105" s="166">
        <v>0</v>
      </c>
      <c r="AT105" s="166">
        <v>0</v>
      </c>
      <c r="AU105" s="166">
        <v>0</v>
      </c>
      <c r="AV105" s="166">
        <v>0</v>
      </c>
      <c r="AW105" s="166">
        <v>0</v>
      </c>
      <c r="AX105" s="166">
        <v>0</v>
      </c>
      <c r="AY105" s="166">
        <v>0</v>
      </c>
      <c r="AZ105" s="166">
        <v>0</v>
      </c>
      <c r="BA105" s="166">
        <v>0</v>
      </c>
      <c r="BB105" s="166">
        <v>0</v>
      </c>
      <c r="BC105" s="166">
        <v>0</v>
      </c>
      <c r="BD105" s="166">
        <v>0</v>
      </c>
      <c r="BE105" s="166">
        <v>-1</v>
      </c>
      <c r="BF105" s="166">
        <v>1</v>
      </c>
      <c r="BG105" s="166">
        <v>0</v>
      </c>
      <c r="BH105" s="166">
        <v>0</v>
      </c>
      <c r="BI105" s="166">
        <v>0</v>
      </c>
      <c r="BJ105" s="166">
        <v>0</v>
      </c>
      <c r="BK105" s="166">
        <v>0</v>
      </c>
      <c r="BL105" s="166">
        <v>0</v>
      </c>
      <c r="BM105" s="166">
        <v>0</v>
      </c>
      <c r="BN105" s="166">
        <v>0</v>
      </c>
      <c r="BO105" s="166">
        <v>0</v>
      </c>
      <c r="BP105" s="166">
        <v>0</v>
      </c>
      <c r="BQ105" s="81" t="s">
        <v>1758</v>
      </c>
      <c r="BZ105" s="81" t="s">
        <v>155</v>
      </c>
      <c r="CA105" s="81">
        <v>1</v>
      </c>
      <c r="CC105" s="167">
        <f>N105</f>
        <v>0</v>
      </c>
      <c r="CD105" s="167">
        <v>0</v>
      </c>
      <c r="CE105" s="167">
        <v>0</v>
      </c>
      <c r="CF105" s="167">
        <v>0</v>
      </c>
      <c r="CG105" s="167">
        <v>0</v>
      </c>
      <c r="CH105" s="167">
        <v>0</v>
      </c>
      <c r="CI105" s="167">
        <v>0</v>
      </c>
      <c r="CJ105" s="167">
        <v>0</v>
      </c>
      <c r="CK105" s="167">
        <v>0</v>
      </c>
      <c r="CL105" s="167">
        <v>0</v>
      </c>
      <c r="CM105" s="167">
        <v>0</v>
      </c>
      <c r="CN105" s="167">
        <v>0</v>
      </c>
      <c r="CO105" s="167">
        <v>0</v>
      </c>
      <c r="CP105" s="167">
        <v>0</v>
      </c>
      <c r="CQ105" s="167">
        <v>0</v>
      </c>
      <c r="CR105" s="167">
        <v>0</v>
      </c>
      <c r="CS105" s="167">
        <v>0</v>
      </c>
      <c r="CT105" s="167">
        <v>0</v>
      </c>
      <c r="CU105" s="167">
        <v>0</v>
      </c>
      <c r="CV105" s="167">
        <v>0</v>
      </c>
      <c r="CW105" s="167">
        <v>0</v>
      </c>
      <c r="CX105" s="167">
        <f>SUM(CD105:CH105)</f>
        <v>0</v>
      </c>
      <c r="CY105" s="167">
        <f>SUM(CD105:CM105)</f>
        <v>0</v>
      </c>
    </row>
    <row r="106" spans="1:103" ht="12.75" customHeight="1" x14ac:dyDescent="0.2">
      <c r="A106" s="81">
        <v>5728</v>
      </c>
      <c r="B106" s="165" t="s">
        <v>1924</v>
      </c>
      <c r="C106" s="165" t="s">
        <v>89</v>
      </c>
      <c r="E106" s="165" t="s">
        <v>3156</v>
      </c>
      <c r="G106" s="81">
        <v>527445</v>
      </c>
      <c r="H106" s="81">
        <v>177289</v>
      </c>
      <c r="I106" s="165" t="s">
        <v>257</v>
      </c>
      <c r="J106" s="349">
        <v>42094</v>
      </c>
      <c r="K106" s="349">
        <v>43190</v>
      </c>
      <c r="L106" s="166">
        <v>2</v>
      </c>
      <c r="M106" s="166">
        <v>1</v>
      </c>
      <c r="N106" s="166">
        <v>-1</v>
      </c>
      <c r="O106" s="166">
        <v>1</v>
      </c>
      <c r="P106" s="166">
        <v>-1</v>
      </c>
      <c r="R106" s="165" t="s">
        <v>90</v>
      </c>
      <c r="S106" s="81" t="s">
        <v>113</v>
      </c>
      <c r="T106" s="349">
        <v>41904</v>
      </c>
      <c r="U106" s="349">
        <v>41960</v>
      </c>
      <c r="W106" s="81" t="s">
        <v>114</v>
      </c>
      <c r="Y106" s="81" t="s">
        <v>115</v>
      </c>
      <c r="Z106" s="81" t="s">
        <v>398</v>
      </c>
      <c r="AA106" s="81" t="s">
        <v>117</v>
      </c>
      <c r="AB106" s="81" t="s">
        <v>300</v>
      </c>
      <c r="AC106" s="166">
        <v>1.4000000432133701E-2</v>
      </c>
      <c r="AD106" s="349">
        <v>42094</v>
      </c>
      <c r="AF106" s="349">
        <v>43190</v>
      </c>
      <c r="AG106" s="81" t="s">
        <v>238</v>
      </c>
      <c r="AH106" s="81" t="s">
        <v>118</v>
      </c>
      <c r="AK106" s="166">
        <v>0</v>
      </c>
      <c r="AM106" s="166">
        <v>0</v>
      </c>
      <c r="AO106" s="166">
        <v>0</v>
      </c>
      <c r="AP106" s="166">
        <v>-1</v>
      </c>
      <c r="AQ106" s="166">
        <v>0</v>
      </c>
      <c r="AR106" s="166">
        <v>-1</v>
      </c>
      <c r="AS106" s="166">
        <v>1</v>
      </c>
      <c r="AT106" s="166">
        <v>0</v>
      </c>
      <c r="AU106" s="166">
        <v>0</v>
      </c>
      <c r="AV106" s="166">
        <v>0</v>
      </c>
      <c r="AW106" s="166">
        <v>-1</v>
      </c>
      <c r="AX106" s="166">
        <v>0</v>
      </c>
      <c r="AY106" s="166">
        <v>-1</v>
      </c>
      <c r="AZ106" s="166">
        <v>1</v>
      </c>
      <c r="BA106" s="166">
        <v>0</v>
      </c>
      <c r="BB106" s="166">
        <v>0</v>
      </c>
      <c r="BC106" s="166">
        <v>0</v>
      </c>
      <c r="BD106" s="166">
        <v>0</v>
      </c>
      <c r="BE106" s="166">
        <v>0</v>
      </c>
      <c r="BF106" s="166">
        <v>0</v>
      </c>
      <c r="BG106" s="166">
        <v>0</v>
      </c>
      <c r="BH106" s="166">
        <v>0</v>
      </c>
      <c r="BI106" s="166">
        <v>0</v>
      </c>
      <c r="BJ106" s="166">
        <v>0</v>
      </c>
      <c r="BK106" s="166">
        <v>0</v>
      </c>
      <c r="BL106" s="166">
        <v>0</v>
      </c>
      <c r="BM106" s="166">
        <v>0</v>
      </c>
      <c r="BN106" s="166">
        <v>0</v>
      </c>
      <c r="BO106" s="166">
        <v>0</v>
      </c>
      <c r="BP106" s="166">
        <v>0</v>
      </c>
      <c r="BQ106" s="81" t="s">
        <v>1757</v>
      </c>
      <c r="BX106" s="81" t="s">
        <v>155</v>
      </c>
      <c r="BZ106" s="81" t="s">
        <v>155</v>
      </c>
      <c r="CA106" s="81">
        <v>7</v>
      </c>
      <c r="CC106" s="167">
        <f>N106</f>
        <v>-1</v>
      </c>
      <c r="CD106" s="167">
        <v>0</v>
      </c>
      <c r="CE106" s="167">
        <v>0</v>
      </c>
      <c r="CF106" s="167">
        <v>0</v>
      </c>
      <c r="CG106" s="167">
        <v>0</v>
      </c>
      <c r="CH106" s="167">
        <v>0</v>
      </c>
      <c r="CI106" s="167">
        <v>0</v>
      </c>
      <c r="CJ106" s="167">
        <v>0</v>
      </c>
      <c r="CK106" s="167">
        <v>0</v>
      </c>
      <c r="CL106" s="167">
        <v>0</v>
      </c>
      <c r="CM106" s="167">
        <v>0</v>
      </c>
      <c r="CN106" s="167">
        <v>0</v>
      </c>
      <c r="CO106" s="167">
        <v>0</v>
      </c>
      <c r="CP106" s="167">
        <v>0</v>
      </c>
      <c r="CQ106" s="167">
        <v>0</v>
      </c>
      <c r="CR106" s="167">
        <v>0</v>
      </c>
      <c r="CS106" s="167">
        <v>0</v>
      </c>
      <c r="CT106" s="167">
        <v>0</v>
      </c>
      <c r="CU106" s="167">
        <v>0</v>
      </c>
      <c r="CV106" s="167">
        <v>0</v>
      </c>
      <c r="CW106" s="167">
        <v>0</v>
      </c>
      <c r="CX106" s="167">
        <f>SUM(CD106:CH106)</f>
        <v>0</v>
      </c>
      <c r="CY106" s="167">
        <f>SUM(CD106:CM106)</f>
        <v>0</v>
      </c>
    </row>
    <row r="107" spans="1:103" ht="12.75" customHeight="1" x14ac:dyDescent="0.2">
      <c r="A107" s="81">
        <v>5741</v>
      </c>
      <c r="B107" s="165" t="s">
        <v>1924</v>
      </c>
      <c r="C107" s="165" t="s">
        <v>521</v>
      </c>
      <c r="E107" s="165" t="s">
        <v>3157</v>
      </c>
      <c r="G107" s="81">
        <v>527218</v>
      </c>
      <c r="H107" s="81">
        <v>171484</v>
      </c>
      <c r="I107" s="165" t="s">
        <v>242</v>
      </c>
      <c r="J107" s="349">
        <v>42374</v>
      </c>
      <c r="K107" s="349">
        <v>43080</v>
      </c>
      <c r="L107" s="166">
        <v>2</v>
      </c>
      <c r="M107" s="166">
        <v>3</v>
      </c>
      <c r="N107" s="166">
        <v>1</v>
      </c>
      <c r="O107" s="166">
        <v>3</v>
      </c>
      <c r="P107" s="166">
        <v>1</v>
      </c>
      <c r="R107" s="165" t="s">
        <v>762</v>
      </c>
      <c r="S107" s="81" t="s">
        <v>113</v>
      </c>
      <c r="T107" s="349">
        <v>42166</v>
      </c>
      <c r="U107" s="349">
        <v>42222</v>
      </c>
      <c r="W107" s="81" t="s">
        <v>114</v>
      </c>
      <c r="Y107" s="81" t="s">
        <v>115</v>
      </c>
      <c r="Z107" s="81" t="s">
        <v>398</v>
      </c>
      <c r="AA107" s="81" t="s">
        <v>117</v>
      </c>
      <c r="AB107" s="81" t="s">
        <v>220</v>
      </c>
      <c r="AC107" s="166">
        <v>1.30000002682209E-2</v>
      </c>
      <c r="AD107" s="349">
        <v>42374</v>
      </c>
      <c r="AF107" s="349">
        <v>43080</v>
      </c>
      <c r="AG107" s="81" t="s">
        <v>238</v>
      </c>
      <c r="AH107" s="81" t="s">
        <v>118</v>
      </c>
      <c r="AK107" s="166">
        <v>0</v>
      </c>
      <c r="AM107" s="166">
        <v>0</v>
      </c>
      <c r="AO107" s="166">
        <v>0</v>
      </c>
      <c r="AP107" s="166">
        <v>0</v>
      </c>
      <c r="AQ107" s="166">
        <v>1</v>
      </c>
      <c r="AR107" s="166">
        <v>0</v>
      </c>
      <c r="AS107" s="166">
        <v>0</v>
      </c>
      <c r="AT107" s="166">
        <v>0</v>
      </c>
      <c r="AU107" s="166">
        <v>0</v>
      </c>
      <c r="AV107" s="166">
        <v>0</v>
      </c>
      <c r="AW107" s="166">
        <v>0</v>
      </c>
      <c r="AX107" s="166">
        <v>1</v>
      </c>
      <c r="AY107" s="166">
        <v>0</v>
      </c>
      <c r="AZ107" s="166">
        <v>0</v>
      </c>
      <c r="BA107" s="166">
        <v>0</v>
      </c>
      <c r="BB107" s="166">
        <v>0</v>
      </c>
      <c r="BC107" s="166">
        <v>0</v>
      </c>
      <c r="BD107" s="166">
        <v>0</v>
      </c>
      <c r="BE107" s="166">
        <v>0</v>
      </c>
      <c r="BF107" s="166">
        <v>0</v>
      </c>
      <c r="BG107" s="166">
        <v>0</v>
      </c>
      <c r="BH107" s="166">
        <v>0</v>
      </c>
      <c r="BI107" s="166">
        <v>0</v>
      </c>
      <c r="BJ107" s="166">
        <v>0</v>
      </c>
      <c r="BK107" s="166">
        <v>0</v>
      </c>
      <c r="BL107" s="166">
        <v>0</v>
      </c>
      <c r="BM107" s="166">
        <v>0</v>
      </c>
      <c r="BN107" s="166">
        <v>0</v>
      </c>
      <c r="BO107" s="166">
        <v>0</v>
      </c>
      <c r="BP107" s="166">
        <v>0</v>
      </c>
      <c r="BQ107" s="81" t="s">
        <v>1757</v>
      </c>
      <c r="BZ107" s="81" t="s">
        <v>155</v>
      </c>
      <c r="CA107" s="81">
        <v>7</v>
      </c>
      <c r="CC107" s="167">
        <f>N107</f>
        <v>1</v>
      </c>
      <c r="CD107" s="167">
        <v>0</v>
      </c>
      <c r="CE107" s="167">
        <v>0</v>
      </c>
      <c r="CF107" s="167">
        <v>0</v>
      </c>
      <c r="CG107" s="167">
        <v>0</v>
      </c>
      <c r="CH107" s="167">
        <v>0</v>
      </c>
      <c r="CI107" s="167">
        <v>0</v>
      </c>
      <c r="CJ107" s="167">
        <v>0</v>
      </c>
      <c r="CK107" s="167">
        <v>0</v>
      </c>
      <c r="CL107" s="167">
        <v>0</v>
      </c>
      <c r="CM107" s="167">
        <v>0</v>
      </c>
      <c r="CN107" s="167">
        <v>0</v>
      </c>
      <c r="CO107" s="167">
        <v>0</v>
      </c>
      <c r="CP107" s="167">
        <v>0</v>
      </c>
      <c r="CQ107" s="167">
        <v>0</v>
      </c>
      <c r="CR107" s="167">
        <v>0</v>
      </c>
      <c r="CS107" s="167">
        <v>0</v>
      </c>
      <c r="CT107" s="167">
        <v>0</v>
      </c>
      <c r="CU107" s="167">
        <v>0</v>
      </c>
      <c r="CV107" s="167">
        <v>0</v>
      </c>
      <c r="CW107" s="167">
        <v>0</v>
      </c>
      <c r="CX107" s="167">
        <f>SUM(CD107:CH107)</f>
        <v>0</v>
      </c>
      <c r="CY107" s="167">
        <f>SUM(CD107:CM107)</f>
        <v>0</v>
      </c>
    </row>
    <row r="108" spans="1:103" ht="12.75" customHeight="1" x14ac:dyDescent="0.2">
      <c r="A108" s="81">
        <v>5746</v>
      </c>
      <c r="B108" s="165" t="s">
        <v>1924</v>
      </c>
      <c r="C108" s="165" t="s">
        <v>369</v>
      </c>
      <c r="E108" s="165" t="s">
        <v>3158</v>
      </c>
      <c r="G108" s="81">
        <v>528552</v>
      </c>
      <c r="H108" s="81">
        <v>173138</v>
      </c>
      <c r="I108" s="165" t="s">
        <v>254</v>
      </c>
      <c r="J108" s="349">
        <v>42423</v>
      </c>
      <c r="K108" s="349">
        <v>43045</v>
      </c>
      <c r="L108" s="166">
        <v>0</v>
      </c>
      <c r="M108" s="166">
        <v>4</v>
      </c>
      <c r="N108" s="166">
        <v>4</v>
      </c>
      <c r="O108" s="166">
        <v>4</v>
      </c>
      <c r="P108" s="166">
        <v>4</v>
      </c>
      <c r="R108" s="165" t="s">
        <v>315</v>
      </c>
      <c r="S108" s="81" t="s">
        <v>113</v>
      </c>
      <c r="T108" s="349">
        <v>41922</v>
      </c>
      <c r="U108" s="349">
        <v>42114</v>
      </c>
      <c r="W108" s="81" t="s">
        <v>114</v>
      </c>
      <c r="Y108" s="81" t="s">
        <v>115</v>
      </c>
      <c r="Z108" s="81" t="s">
        <v>116</v>
      </c>
      <c r="AA108" s="81" t="s">
        <v>117</v>
      </c>
      <c r="AB108" s="81" t="s">
        <v>218</v>
      </c>
      <c r="AC108" s="166">
        <v>1.7000000923872001E-2</v>
      </c>
      <c r="AD108" s="349">
        <v>42423</v>
      </c>
      <c r="AF108" s="349">
        <v>43045</v>
      </c>
      <c r="AG108" s="81" t="s">
        <v>238</v>
      </c>
      <c r="AH108" s="81" t="s">
        <v>118</v>
      </c>
      <c r="AK108" s="166">
        <v>4</v>
      </c>
      <c r="AM108" s="166">
        <v>0</v>
      </c>
      <c r="AO108" s="166">
        <v>0</v>
      </c>
      <c r="AP108" s="166">
        <v>2</v>
      </c>
      <c r="AQ108" s="166">
        <v>2</v>
      </c>
      <c r="AR108" s="166">
        <v>0</v>
      </c>
      <c r="AS108" s="166">
        <v>0</v>
      </c>
      <c r="AT108" s="166">
        <v>0</v>
      </c>
      <c r="AU108" s="166">
        <v>0</v>
      </c>
      <c r="AV108" s="166">
        <v>0</v>
      </c>
      <c r="AW108" s="166">
        <v>2</v>
      </c>
      <c r="AX108" s="166">
        <v>2</v>
      </c>
      <c r="AY108" s="166">
        <v>0</v>
      </c>
      <c r="AZ108" s="166">
        <v>0</v>
      </c>
      <c r="BA108" s="166">
        <v>0</v>
      </c>
      <c r="BB108" s="166">
        <v>0</v>
      </c>
      <c r="BC108" s="166">
        <v>0</v>
      </c>
      <c r="BD108" s="166">
        <v>0</v>
      </c>
      <c r="BE108" s="166">
        <v>0</v>
      </c>
      <c r="BF108" s="166">
        <v>0</v>
      </c>
      <c r="BG108" s="166">
        <v>0</v>
      </c>
      <c r="BH108" s="166">
        <v>0</v>
      </c>
      <c r="BI108" s="166">
        <v>0</v>
      </c>
      <c r="BJ108" s="166">
        <v>0</v>
      </c>
      <c r="BK108" s="166">
        <v>0</v>
      </c>
      <c r="BL108" s="166">
        <v>0</v>
      </c>
      <c r="BM108" s="166">
        <v>0</v>
      </c>
      <c r="BN108" s="166">
        <v>0</v>
      </c>
      <c r="BO108" s="166">
        <v>0</v>
      </c>
      <c r="BP108" s="166">
        <v>0</v>
      </c>
      <c r="BQ108" s="81" t="s">
        <v>1757</v>
      </c>
      <c r="BZ108" s="81" t="s">
        <v>155</v>
      </c>
      <c r="CA108" s="81">
        <v>1</v>
      </c>
      <c r="CC108" s="167">
        <f>N108</f>
        <v>4</v>
      </c>
      <c r="CD108" s="167">
        <v>0</v>
      </c>
      <c r="CE108" s="167">
        <v>0</v>
      </c>
      <c r="CF108" s="167">
        <v>0</v>
      </c>
      <c r="CG108" s="167">
        <v>0</v>
      </c>
      <c r="CH108" s="167">
        <v>0</v>
      </c>
      <c r="CI108" s="167">
        <v>0</v>
      </c>
      <c r="CJ108" s="167">
        <v>0</v>
      </c>
      <c r="CK108" s="167">
        <v>0</v>
      </c>
      <c r="CL108" s="167">
        <v>0</v>
      </c>
      <c r="CM108" s="167">
        <v>0</v>
      </c>
      <c r="CN108" s="167">
        <v>0</v>
      </c>
      <c r="CO108" s="167">
        <v>0</v>
      </c>
      <c r="CP108" s="167">
        <v>0</v>
      </c>
      <c r="CQ108" s="167">
        <v>0</v>
      </c>
      <c r="CR108" s="167">
        <v>0</v>
      </c>
      <c r="CS108" s="167">
        <v>0</v>
      </c>
      <c r="CT108" s="167">
        <v>0</v>
      </c>
      <c r="CU108" s="167">
        <v>0</v>
      </c>
      <c r="CV108" s="167">
        <v>0</v>
      </c>
      <c r="CW108" s="167">
        <v>0</v>
      </c>
      <c r="CX108" s="167">
        <f>SUM(CD108:CH108)</f>
        <v>0</v>
      </c>
      <c r="CY108" s="167">
        <f>SUM(CD108:CM108)</f>
        <v>0</v>
      </c>
    </row>
    <row r="109" spans="1:103" ht="12.75" customHeight="1" x14ac:dyDescent="0.2">
      <c r="A109" s="81">
        <v>5752</v>
      </c>
      <c r="B109" s="165" t="s">
        <v>1924</v>
      </c>
      <c r="C109" s="165" t="s">
        <v>656</v>
      </c>
      <c r="E109" s="165" t="s">
        <v>3159</v>
      </c>
      <c r="G109" s="81">
        <v>524731</v>
      </c>
      <c r="H109" s="81">
        <v>174845</v>
      </c>
      <c r="I109" s="165" t="s">
        <v>250</v>
      </c>
      <c r="J109" s="349">
        <v>42826</v>
      </c>
      <c r="K109" s="349">
        <v>43190</v>
      </c>
      <c r="L109" s="166">
        <v>0</v>
      </c>
      <c r="M109" s="166">
        <v>2</v>
      </c>
      <c r="N109" s="166">
        <v>2</v>
      </c>
      <c r="O109" s="166">
        <v>2</v>
      </c>
      <c r="P109" s="166">
        <v>2</v>
      </c>
      <c r="R109" s="165" t="s">
        <v>1144</v>
      </c>
      <c r="S109" s="81" t="s">
        <v>113</v>
      </c>
      <c r="T109" s="349">
        <v>42255</v>
      </c>
      <c r="U109" s="349">
        <v>42339</v>
      </c>
      <c r="W109" s="81" t="s">
        <v>114</v>
      </c>
      <c r="Y109" s="81" t="s">
        <v>115</v>
      </c>
      <c r="Z109" s="81" t="s">
        <v>398</v>
      </c>
      <c r="AA109" s="81" t="s">
        <v>117</v>
      </c>
      <c r="AB109" s="81" t="s">
        <v>218</v>
      </c>
      <c r="AC109" s="166">
        <v>6.0000000521540598E-3</v>
      </c>
      <c r="AD109" s="349">
        <v>42826</v>
      </c>
      <c r="AE109" s="81" t="s">
        <v>155</v>
      </c>
      <c r="AF109" s="349">
        <v>43190</v>
      </c>
      <c r="AG109" s="81" t="s">
        <v>154</v>
      </c>
      <c r="AH109" s="81" t="s">
        <v>276</v>
      </c>
      <c r="AK109" s="166">
        <v>0</v>
      </c>
      <c r="AM109" s="166">
        <v>0</v>
      </c>
      <c r="AO109" s="166">
        <v>0</v>
      </c>
      <c r="AP109" s="166">
        <v>2</v>
      </c>
      <c r="AQ109" s="166">
        <v>0</v>
      </c>
      <c r="AR109" s="166">
        <v>0</v>
      </c>
      <c r="AS109" s="166">
        <v>0</v>
      </c>
      <c r="AT109" s="166">
        <v>0</v>
      </c>
      <c r="AU109" s="166">
        <v>0</v>
      </c>
      <c r="AV109" s="166">
        <v>0</v>
      </c>
      <c r="AW109" s="166">
        <v>2</v>
      </c>
      <c r="AX109" s="166">
        <v>0</v>
      </c>
      <c r="AY109" s="166">
        <v>0</v>
      </c>
      <c r="AZ109" s="166">
        <v>0</v>
      </c>
      <c r="BA109" s="166">
        <v>0</v>
      </c>
      <c r="BB109" s="166">
        <v>0</v>
      </c>
      <c r="BC109" s="166">
        <v>0</v>
      </c>
      <c r="BD109" s="166">
        <v>0</v>
      </c>
      <c r="BE109" s="166">
        <v>0</v>
      </c>
      <c r="BF109" s="166">
        <v>0</v>
      </c>
      <c r="BG109" s="166">
        <v>0</v>
      </c>
      <c r="BH109" s="166">
        <v>0</v>
      </c>
      <c r="BI109" s="166">
        <v>0</v>
      </c>
      <c r="BJ109" s="166">
        <v>0</v>
      </c>
      <c r="BK109" s="166">
        <v>0</v>
      </c>
      <c r="BL109" s="166">
        <v>0</v>
      </c>
      <c r="BM109" s="166">
        <v>0</v>
      </c>
      <c r="BN109" s="166">
        <v>0</v>
      </c>
      <c r="BO109" s="166">
        <v>0</v>
      </c>
      <c r="BP109" s="166">
        <v>0</v>
      </c>
      <c r="BQ109" s="81" t="s">
        <v>1758</v>
      </c>
      <c r="BZ109" s="81" t="s">
        <v>155</v>
      </c>
      <c r="CA109" s="81">
        <v>7</v>
      </c>
      <c r="CC109" s="167">
        <f>N109</f>
        <v>2</v>
      </c>
      <c r="CD109" s="167">
        <v>0</v>
      </c>
      <c r="CE109" s="167">
        <v>0</v>
      </c>
      <c r="CF109" s="167">
        <v>0</v>
      </c>
      <c r="CG109" s="167">
        <v>0</v>
      </c>
      <c r="CH109" s="167">
        <v>0</v>
      </c>
      <c r="CI109" s="167">
        <v>0</v>
      </c>
      <c r="CJ109" s="167">
        <v>0</v>
      </c>
      <c r="CK109" s="167">
        <v>0</v>
      </c>
      <c r="CL109" s="167">
        <v>0</v>
      </c>
      <c r="CM109" s="167">
        <v>0</v>
      </c>
      <c r="CN109" s="167">
        <v>0</v>
      </c>
      <c r="CO109" s="167">
        <v>0</v>
      </c>
      <c r="CP109" s="167">
        <v>0</v>
      </c>
      <c r="CQ109" s="167">
        <v>0</v>
      </c>
      <c r="CR109" s="167">
        <v>0</v>
      </c>
      <c r="CS109" s="167">
        <v>0</v>
      </c>
      <c r="CT109" s="167">
        <v>0</v>
      </c>
      <c r="CU109" s="167">
        <v>0</v>
      </c>
      <c r="CV109" s="167">
        <v>0</v>
      </c>
      <c r="CW109" s="167">
        <v>0</v>
      </c>
      <c r="CX109" s="167">
        <f>SUM(CD109:CH109)</f>
        <v>0</v>
      </c>
      <c r="CY109" s="167">
        <f>SUM(CD109:CM109)</f>
        <v>0</v>
      </c>
    </row>
    <row r="110" spans="1:103" ht="12.75" customHeight="1" x14ac:dyDescent="0.2">
      <c r="A110" s="81">
        <v>5796</v>
      </c>
      <c r="B110" s="165" t="s">
        <v>1924</v>
      </c>
      <c r="C110" s="165" t="s">
        <v>339</v>
      </c>
      <c r="E110" s="165" t="s">
        <v>3415</v>
      </c>
      <c r="G110" s="81">
        <v>527522</v>
      </c>
      <c r="H110" s="81">
        <v>171673</v>
      </c>
      <c r="I110" s="165" t="s">
        <v>242</v>
      </c>
      <c r="J110" s="349">
        <v>43033</v>
      </c>
      <c r="K110" s="349">
        <v>43059</v>
      </c>
      <c r="L110" s="166">
        <v>0</v>
      </c>
      <c r="M110" s="166">
        <v>10</v>
      </c>
      <c r="N110" s="166">
        <v>10</v>
      </c>
      <c r="O110" s="166">
        <v>10</v>
      </c>
      <c r="P110" s="166">
        <v>10</v>
      </c>
      <c r="Q110" s="81" t="s">
        <v>155</v>
      </c>
      <c r="R110" s="165" t="s">
        <v>340</v>
      </c>
      <c r="S110" s="81" t="s">
        <v>110</v>
      </c>
      <c r="T110" s="349">
        <v>41985</v>
      </c>
      <c r="U110" s="349">
        <v>42041</v>
      </c>
      <c r="W110" s="81" t="s">
        <v>114</v>
      </c>
      <c r="Y110" s="81" t="s">
        <v>115</v>
      </c>
      <c r="Z110" s="81" t="s">
        <v>310</v>
      </c>
      <c r="AA110" s="81" t="s">
        <v>117</v>
      </c>
      <c r="AB110" s="81" t="s">
        <v>399</v>
      </c>
      <c r="AC110" s="166">
        <v>2.5000000372528999E-2</v>
      </c>
      <c r="AD110" s="349">
        <v>43033</v>
      </c>
      <c r="AE110" s="81" t="s">
        <v>155</v>
      </c>
      <c r="AF110" s="349">
        <v>43059</v>
      </c>
      <c r="AG110" s="81" t="s">
        <v>238</v>
      </c>
      <c r="AH110" s="81" t="s">
        <v>118</v>
      </c>
      <c r="AK110" s="166">
        <v>0</v>
      </c>
      <c r="AM110" s="166">
        <v>0</v>
      </c>
      <c r="AO110" s="166">
        <v>10</v>
      </c>
      <c r="AP110" s="166">
        <v>0</v>
      </c>
      <c r="AQ110" s="166">
        <v>0</v>
      </c>
      <c r="AR110" s="166">
        <v>0</v>
      </c>
      <c r="AS110" s="166">
        <v>0</v>
      </c>
      <c r="AT110" s="166">
        <v>0</v>
      </c>
      <c r="AU110" s="166">
        <v>0</v>
      </c>
      <c r="AV110" s="166">
        <v>10</v>
      </c>
      <c r="AW110" s="166">
        <v>0</v>
      </c>
      <c r="AX110" s="166">
        <v>0</v>
      </c>
      <c r="AY110" s="166">
        <v>0</v>
      </c>
      <c r="AZ110" s="166">
        <v>0</v>
      </c>
      <c r="BA110" s="166">
        <v>0</v>
      </c>
      <c r="BB110" s="166">
        <v>0</v>
      </c>
      <c r="BC110" s="166">
        <v>0</v>
      </c>
      <c r="BD110" s="166">
        <v>0</v>
      </c>
      <c r="BE110" s="166">
        <v>0</v>
      </c>
      <c r="BF110" s="166">
        <v>0</v>
      </c>
      <c r="BG110" s="166">
        <v>0</v>
      </c>
      <c r="BH110" s="166">
        <v>0</v>
      </c>
      <c r="BI110" s="166">
        <v>0</v>
      </c>
      <c r="BJ110" s="166">
        <v>0</v>
      </c>
      <c r="BK110" s="166">
        <v>0</v>
      </c>
      <c r="BL110" s="166">
        <v>0</v>
      </c>
      <c r="BM110" s="166">
        <v>0</v>
      </c>
      <c r="BN110" s="166">
        <v>0</v>
      </c>
      <c r="BO110" s="166">
        <v>0</v>
      </c>
      <c r="BP110" s="166">
        <v>0</v>
      </c>
      <c r="BQ110" s="81" t="s">
        <v>1757</v>
      </c>
      <c r="BR110" s="81" t="s">
        <v>242</v>
      </c>
      <c r="BZ110" s="81" t="s">
        <v>155</v>
      </c>
      <c r="CA110" s="81">
        <v>7</v>
      </c>
      <c r="CC110" s="167">
        <f>N110</f>
        <v>10</v>
      </c>
      <c r="CD110" s="167">
        <v>0</v>
      </c>
      <c r="CE110" s="167">
        <v>0</v>
      </c>
      <c r="CF110" s="167">
        <v>0</v>
      </c>
      <c r="CG110" s="167">
        <v>0</v>
      </c>
      <c r="CH110" s="167">
        <v>0</v>
      </c>
      <c r="CI110" s="167">
        <v>0</v>
      </c>
      <c r="CJ110" s="167">
        <v>0</v>
      </c>
      <c r="CK110" s="167">
        <v>0</v>
      </c>
      <c r="CL110" s="167">
        <v>0</v>
      </c>
      <c r="CM110" s="167">
        <v>0</v>
      </c>
      <c r="CN110" s="167">
        <v>0</v>
      </c>
      <c r="CO110" s="167">
        <v>0</v>
      </c>
      <c r="CP110" s="167">
        <v>0</v>
      </c>
      <c r="CQ110" s="167">
        <v>0</v>
      </c>
      <c r="CR110" s="167">
        <v>0</v>
      </c>
      <c r="CS110" s="167">
        <v>0</v>
      </c>
      <c r="CT110" s="167">
        <v>0</v>
      </c>
      <c r="CU110" s="167">
        <v>0</v>
      </c>
      <c r="CV110" s="167">
        <v>0</v>
      </c>
      <c r="CW110" s="167">
        <v>0</v>
      </c>
      <c r="CX110" s="167">
        <f>SUM(CD110:CH110)</f>
        <v>0</v>
      </c>
      <c r="CY110" s="167">
        <f>SUM(CD110:CM110)</f>
        <v>0</v>
      </c>
    </row>
    <row r="111" spans="1:103" ht="12.75" customHeight="1" x14ac:dyDescent="0.2">
      <c r="A111" s="81">
        <v>5813</v>
      </c>
      <c r="B111" s="165" t="s">
        <v>1924</v>
      </c>
      <c r="C111" s="165" t="s">
        <v>337</v>
      </c>
      <c r="E111" s="165" t="s">
        <v>3160</v>
      </c>
      <c r="G111" s="81">
        <v>527658</v>
      </c>
      <c r="H111" s="81">
        <v>175538</v>
      </c>
      <c r="I111" s="165" t="s">
        <v>256</v>
      </c>
      <c r="J111" s="349">
        <v>42354</v>
      </c>
      <c r="K111" s="349">
        <v>42859</v>
      </c>
      <c r="L111" s="166">
        <v>0</v>
      </c>
      <c r="M111" s="166">
        <v>2</v>
      </c>
      <c r="N111" s="166">
        <v>2</v>
      </c>
      <c r="O111" s="166">
        <v>2</v>
      </c>
      <c r="P111" s="166">
        <v>2</v>
      </c>
      <c r="R111" s="165" t="s">
        <v>338</v>
      </c>
      <c r="S111" s="81" t="s">
        <v>113</v>
      </c>
      <c r="T111" s="349">
        <v>41988</v>
      </c>
      <c r="U111" s="349">
        <v>42044</v>
      </c>
      <c r="W111" s="81" t="s">
        <v>114</v>
      </c>
      <c r="Y111" s="81" t="s">
        <v>115</v>
      </c>
      <c r="Z111" s="81" t="s">
        <v>398</v>
      </c>
      <c r="AA111" s="81" t="s">
        <v>117</v>
      </c>
      <c r="AB111" s="81" t="s">
        <v>399</v>
      </c>
      <c r="AC111" s="166">
        <v>6.0000000521540598E-3</v>
      </c>
      <c r="AD111" s="349">
        <v>42354</v>
      </c>
      <c r="AF111" s="349">
        <v>42859</v>
      </c>
      <c r="AG111" s="81" t="s">
        <v>238</v>
      </c>
      <c r="AH111" s="81" t="s">
        <v>118</v>
      </c>
      <c r="AK111" s="166">
        <v>0</v>
      </c>
      <c r="AM111" s="166">
        <v>0</v>
      </c>
      <c r="AO111" s="166">
        <v>1</v>
      </c>
      <c r="AP111" s="166">
        <v>1</v>
      </c>
      <c r="AQ111" s="166">
        <v>0</v>
      </c>
      <c r="AR111" s="166">
        <v>0</v>
      </c>
      <c r="AS111" s="166">
        <v>0</v>
      </c>
      <c r="AT111" s="166">
        <v>0</v>
      </c>
      <c r="AU111" s="166">
        <v>0</v>
      </c>
      <c r="AV111" s="166">
        <v>1</v>
      </c>
      <c r="AW111" s="166">
        <v>1</v>
      </c>
      <c r="AX111" s="166">
        <v>0</v>
      </c>
      <c r="AY111" s="166">
        <v>0</v>
      </c>
      <c r="AZ111" s="166">
        <v>0</v>
      </c>
      <c r="BA111" s="166">
        <v>0</v>
      </c>
      <c r="BB111" s="166">
        <v>0</v>
      </c>
      <c r="BC111" s="166">
        <v>0</v>
      </c>
      <c r="BD111" s="166">
        <v>0</v>
      </c>
      <c r="BE111" s="166">
        <v>0</v>
      </c>
      <c r="BF111" s="166">
        <v>0</v>
      </c>
      <c r="BG111" s="166">
        <v>0</v>
      </c>
      <c r="BH111" s="166">
        <v>0</v>
      </c>
      <c r="BI111" s="166">
        <v>0</v>
      </c>
      <c r="BJ111" s="166">
        <v>0</v>
      </c>
      <c r="BK111" s="166">
        <v>0</v>
      </c>
      <c r="BL111" s="166">
        <v>0</v>
      </c>
      <c r="BM111" s="166">
        <v>0</v>
      </c>
      <c r="BN111" s="166">
        <v>0</v>
      </c>
      <c r="BO111" s="166">
        <v>0</v>
      </c>
      <c r="BP111" s="166">
        <v>0</v>
      </c>
      <c r="BQ111" s="81" t="s">
        <v>1757</v>
      </c>
      <c r="BR111" s="81" t="s">
        <v>160</v>
      </c>
      <c r="BZ111" s="81" t="s">
        <v>155</v>
      </c>
      <c r="CA111" s="81">
        <v>7</v>
      </c>
      <c r="CC111" s="167">
        <f>N111</f>
        <v>2</v>
      </c>
      <c r="CD111" s="167">
        <v>0</v>
      </c>
      <c r="CE111" s="167">
        <v>0</v>
      </c>
      <c r="CF111" s="167">
        <v>0</v>
      </c>
      <c r="CG111" s="167">
        <v>0</v>
      </c>
      <c r="CH111" s="167">
        <v>0</v>
      </c>
      <c r="CI111" s="167">
        <v>0</v>
      </c>
      <c r="CJ111" s="167">
        <v>0</v>
      </c>
      <c r="CK111" s="167">
        <v>0</v>
      </c>
      <c r="CL111" s="167">
        <v>0</v>
      </c>
      <c r="CM111" s="167">
        <v>0</v>
      </c>
      <c r="CN111" s="167">
        <v>0</v>
      </c>
      <c r="CO111" s="167">
        <v>0</v>
      </c>
      <c r="CP111" s="167">
        <v>0</v>
      </c>
      <c r="CQ111" s="167">
        <v>0</v>
      </c>
      <c r="CR111" s="167">
        <v>0</v>
      </c>
      <c r="CS111" s="167">
        <v>0</v>
      </c>
      <c r="CT111" s="167">
        <v>0</v>
      </c>
      <c r="CU111" s="167">
        <v>0</v>
      </c>
      <c r="CV111" s="167">
        <v>0</v>
      </c>
      <c r="CW111" s="167">
        <v>0</v>
      </c>
      <c r="CX111" s="167">
        <f>SUM(CD111:CH111)</f>
        <v>0</v>
      </c>
      <c r="CY111" s="167">
        <f>SUM(CD111:CM111)</f>
        <v>0</v>
      </c>
    </row>
    <row r="112" spans="1:103" ht="12.75" customHeight="1" x14ac:dyDescent="0.2">
      <c r="A112" s="81">
        <v>5817</v>
      </c>
      <c r="B112" s="165" t="s">
        <v>1924</v>
      </c>
      <c r="C112" s="165" t="s">
        <v>1280</v>
      </c>
      <c r="E112" s="165" t="s">
        <v>3161</v>
      </c>
      <c r="G112" s="81">
        <v>525896</v>
      </c>
      <c r="H112" s="81">
        <v>173915</v>
      </c>
      <c r="I112" s="165" t="s">
        <v>249</v>
      </c>
      <c r="J112" s="349">
        <v>42614</v>
      </c>
      <c r="K112" s="349">
        <v>42856</v>
      </c>
      <c r="L112" s="166">
        <v>1</v>
      </c>
      <c r="M112" s="166">
        <v>1</v>
      </c>
      <c r="N112" s="166">
        <v>0</v>
      </c>
      <c r="O112" s="166">
        <v>1</v>
      </c>
      <c r="P112" s="166">
        <v>0</v>
      </c>
      <c r="R112" s="165" t="s">
        <v>1281</v>
      </c>
      <c r="S112" s="81" t="s">
        <v>113</v>
      </c>
      <c r="T112" s="349">
        <v>42534</v>
      </c>
      <c r="U112" s="349">
        <v>42587</v>
      </c>
      <c r="W112" s="81" t="s">
        <v>114</v>
      </c>
      <c r="Y112" s="81" t="s">
        <v>115</v>
      </c>
      <c r="Z112" s="81" t="s">
        <v>398</v>
      </c>
      <c r="AA112" s="81" t="s">
        <v>117</v>
      </c>
      <c r="AB112" s="81" t="s">
        <v>311</v>
      </c>
      <c r="AC112" s="166">
        <v>6.0000000521540598E-3</v>
      </c>
      <c r="AD112" s="349">
        <v>42614</v>
      </c>
      <c r="AF112" s="349">
        <v>42856</v>
      </c>
      <c r="AG112" s="81" t="s">
        <v>238</v>
      </c>
      <c r="AH112" s="81" t="s">
        <v>118</v>
      </c>
      <c r="AK112" s="166">
        <v>0</v>
      </c>
      <c r="AM112" s="166">
        <v>0</v>
      </c>
      <c r="AO112" s="166">
        <v>-1</v>
      </c>
      <c r="AP112" s="166">
        <v>1</v>
      </c>
      <c r="AQ112" s="166">
        <v>0</v>
      </c>
      <c r="AR112" s="166">
        <v>0</v>
      </c>
      <c r="AS112" s="166">
        <v>0</v>
      </c>
      <c r="AT112" s="166">
        <v>0</v>
      </c>
      <c r="AU112" s="166">
        <v>0</v>
      </c>
      <c r="AV112" s="166">
        <v>-1</v>
      </c>
      <c r="AW112" s="166">
        <v>1</v>
      </c>
      <c r="AX112" s="166">
        <v>0</v>
      </c>
      <c r="AY112" s="166">
        <v>0</v>
      </c>
      <c r="AZ112" s="166">
        <v>0</v>
      </c>
      <c r="BA112" s="166">
        <v>0</v>
      </c>
      <c r="BB112" s="166">
        <v>0</v>
      </c>
      <c r="BC112" s="166">
        <v>0</v>
      </c>
      <c r="BD112" s="166">
        <v>0</v>
      </c>
      <c r="BE112" s="166">
        <v>0</v>
      </c>
      <c r="BF112" s="166">
        <v>0</v>
      </c>
      <c r="BG112" s="166">
        <v>0</v>
      </c>
      <c r="BH112" s="166">
        <v>0</v>
      </c>
      <c r="BI112" s="166">
        <v>0</v>
      </c>
      <c r="BJ112" s="166">
        <v>0</v>
      </c>
      <c r="BK112" s="166">
        <v>0</v>
      </c>
      <c r="BL112" s="166">
        <v>0</v>
      </c>
      <c r="BM112" s="166">
        <v>0</v>
      </c>
      <c r="BN112" s="166">
        <v>0</v>
      </c>
      <c r="BO112" s="166">
        <v>0</v>
      </c>
      <c r="BP112" s="166">
        <v>0</v>
      </c>
      <c r="BQ112" s="81" t="s">
        <v>1758</v>
      </c>
      <c r="BZ112" s="81" t="s">
        <v>155</v>
      </c>
      <c r="CA112" s="81">
        <v>7</v>
      </c>
      <c r="CC112" s="167">
        <f>N112</f>
        <v>0</v>
      </c>
      <c r="CD112" s="167">
        <v>0</v>
      </c>
      <c r="CE112" s="167">
        <v>0</v>
      </c>
      <c r="CF112" s="167">
        <v>0</v>
      </c>
      <c r="CG112" s="167">
        <v>0</v>
      </c>
      <c r="CH112" s="167">
        <v>0</v>
      </c>
      <c r="CI112" s="167">
        <v>0</v>
      </c>
      <c r="CJ112" s="167">
        <v>0</v>
      </c>
      <c r="CK112" s="167">
        <v>0</v>
      </c>
      <c r="CL112" s="167">
        <v>0</v>
      </c>
      <c r="CM112" s="167">
        <v>0</v>
      </c>
      <c r="CN112" s="167">
        <v>0</v>
      </c>
      <c r="CO112" s="167">
        <v>0</v>
      </c>
      <c r="CP112" s="167">
        <v>0</v>
      </c>
      <c r="CQ112" s="167">
        <v>0</v>
      </c>
      <c r="CR112" s="167">
        <v>0</v>
      </c>
      <c r="CS112" s="167">
        <v>0</v>
      </c>
      <c r="CT112" s="167">
        <v>0</v>
      </c>
      <c r="CU112" s="167">
        <v>0</v>
      </c>
      <c r="CV112" s="167">
        <v>0</v>
      </c>
      <c r="CW112" s="167">
        <v>0</v>
      </c>
      <c r="CX112" s="167">
        <f>SUM(CD112:CH112)</f>
        <v>0</v>
      </c>
      <c r="CY112" s="167">
        <f>SUM(CD112:CM112)</f>
        <v>0</v>
      </c>
    </row>
    <row r="113" spans="1:103" ht="12.75" customHeight="1" x14ac:dyDescent="0.2">
      <c r="A113" s="81">
        <v>5822</v>
      </c>
      <c r="B113" s="165" t="s">
        <v>1924</v>
      </c>
      <c r="C113" s="165" t="s">
        <v>379</v>
      </c>
      <c r="E113" s="165" t="s">
        <v>3162</v>
      </c>
      <c r="G113" s="81">
        <v>527719</v>
      </c>
      <c r="H113" s="81">
        <v>174621</v>
      </c>
      <c r="I113" s="165" t="s">
        <v>255</v>
      </c>
      <c r="J113" s="349">
        <v>42221</v>
      </c>
      <c r="K113" s="349">
        <v>42826</v>
      </c>
      <c r="L113" s="166">
        <v>2</v>
      </c>
      <c r="M113" s="166">
        <v>1</v>
      </c>
      <c r="N113" s="166">
        <v>-1</v>
      </c>
      <c r="O113" s="166">
        <v>1</v>
      </c>
      <c r="P113" s="166">
        <v>-1</v>
      </c>
      <c r="R113" s="165" t="s">
        <v>759</v>
      </c>
      <c r="S113" s="81" t="s">
        <v>113</v>
      </c>
      <c r="T113" s="349">
        <v>41995</v>
      </c>
      <c r="U113" s="349">
        <v>42051</v>
      </c>
      <c r="W113" s="81" t="s">
        <v>114</v>
      </c>
      <c r="Y113" s="81" t="s">
        <v>115</v>
      </c>
      <c r="Z113" s="81" t="s">
        <v>119</v>
      </c>
      <c r="AA113" s="81" t="s">
        <v>117</v>
      </c>
      <c r="AB113" s="81" t="s">
        <v>336</v>
      </c>
      <c r="AC113" s="166">
        <v>1.2000000104308101E-2</v>
      </c>
      <c r="AD113" s="349">
        <v>42221</v>
      </c>
      <c r="AF113" s="349">
        <v>42826</v>
      </c>
      <c r="AG113" s="81" t="s">
        <v>238</v>
      </c>
      <c r="AH113" s="81" t="s">
        <v>118</v>
      </c>
      <c r="AK113" s="166">
        <v>0</v>
      </c>
      <c r="AM113" s="166">
        <v>0</v>
      </c>
      <c r="AO113" s="166">
        <v>0</v>
      </c>
      <c r="AP113" s="166">
        <v>0</v>
      </c>
      <c r="AQ113" s="166">
        <v>-1</v>
      </c>
      <c r="AR113" s="166">
        <v>0</v>
      </c>
      <c r="AS113" s="166">
        <v>0</v>
      </c>
      <c r="AT113" s="166">
        <v>0</v>
      </c>
      <c r="AU113" s="166">
        <v>0</v>
      </c>
      <c r="AV113" s="166">
        <v>0</v>
      </c>
      <c r="AW113" s="166">
        <v>0</v>
      </c>
      <c r="AX113" s="166">
        <v>-1</v>
      </c>
      <c r="AY113" s="166">
        <v>-1</v>
      </c>
      <c r="AZ113" s="166">
        <v>0</v>
      </c>
      <c r="BA113" s="166">
        <v>0</v>
      </c>
      <c r="BB113" s="166">
        <v>0</v>
      </c>
      <c r="BC113" s="166">
        <v>0</v>
      </c>
      <c r="BD113" s="166">
        <v>0</v>
      </c>
      <c r="BE113" s="166">
        <v>0</v>
      </c>
      <c r="BF113" s="166">
        <v>1</v>
      </c>
      <c r="BG113" s="166">
        <v>0</v>
      </c>
      <c r="BH113" s="166">
        <v>0</v>
      </c>
      <c r="BI113" s="166">
        <v>0</v>
      </c>
      <c r="BJ113" s="166">
        <v>0</v>
      </c>
      <c r="BK113" s="166">
        <v>0</v>
      </c>
      <c r="BL113" s="166">
        <v>0</v>
      </c>
      <c r="BM113" s="166">
        <v>0</v>
      </c>
      <c r="BN113" s="166">
        <v>0</v>
      </c>
      <c r="BO113" s="166">
        <v>0</v>
      </c>
      <c r="BP113" s="166">
        <v>0</v>
      </c>
      <c r="BQ113" s="81" t="s">
        <v>1757</v>
      </c>
      <c r="BZ113" s="81" t="s">
        <v>155</v>
      </c>
      <c r="CA113" s="81">
        <v>7</v>
      </c>
      <c r="CC113" s="167">
        <f>N113</f>
        <v>-1</v>
      </c>
      <c r="CD113" s="167">
        <v>0</v>
      </c>
      <c r="CE113" s="167">
        <v>0</v>
      </c>
      <c r="CF113" s="167">
        <v>0</v>
      </c>
      <c r="CG113" s="167">
        <v>0</v>
      </c>
      <c r="CH113" s="167">
        <v>0</v>
      </c>
      <c r="CI113" s="167">
        <v>0</v>
      </c>
      <c r="CJ113" s="167">
        <v>0</v>
      </c>
      <c r="CK113" s="167">
        <v>0</v>
      </c>
      <c r="CL113" s="167">
        <v>0</v>
      </c>
      <c r="CM113" s="167">
        <v>0</v>
      </c>
      <c r="CN113" s="167">
        <v>0</v>
      </c>
      <c r="CO113" s="167">
        <v>0</v>
      </c>
      <c r="CP113" s="167">
        <v>0</v>
      </c>
      <c r="CQ113" s="167">
        <v>0</v>
      </c>
      <c r="CR113" s="167">
        <v>0</v>
      </c>
      <c r="CS113" s="167">
        <v>0</v>
      </c>
      <c r="CT113" s="167">
        <v>0</v>
      </c>
      <c r="CU113" s="167">
        <v>0</v>
      </c>
      <c r="CV113" s="167">
        <v>0</v>
      </c>
      <c r="CW113" s="167">
        <v>0</v>
      </c>
      <c r="CX113" s="167">
        <f>SUM(CD113:CH113)</f>
        <v>0</v>
      </c>
      <c r="CY113" s="167">
        <f>SUM(CD113:CM113)</f>
        <v>0</v>
      </c>
    </row>
    <row r="114" spans="1:103" ht="12.75" customHeight="1" x14ac:dyDescent="0.2">
      <c r="A114" s="81">
        <v>5824</v>
      </c>
      <c r="B114" s="165" t="s">
        <v>1924</v>
      </c>
      <c r="C114" s="165" t="s">
        <v>342</v>
      </c>
      <c r="E114" s="165" t="s">
        <v>3163</v>
      </c>
      <c r="G114" s="81">
        <v>527513</v>
      </c>
      <c r="H114" s="81">
        <v>171624</v>
      </c>
      <c r="I114" s="165" t="s">
        <v>242</v>
      </c>
      <c r="J114" s="349">
        <v>42826</v>
      </c>
      <c r="K114" s="349">
        <v>43190</v>
      </c>
      <c r="L114" s="166">
        <v>0</v>
      </c>
      <c r="M114" s="166">
        <v>1</v>
      </c>
      <c r="N114" s="166">
        <v>1</v>
      </c>
      <c r="O114" s="166">
        <v>1</v>
      </c>
      <c r="P114" s="166">
        <v>1</v>
      </c>
      <c r="R114" s="165" t="s">
        <v>343</v>
      </c>
      <c r="S114" s="81" t="s">
        <v>113</v>
      </c>
      <c r="T114" s="349">
        <v>41985</v>
      </c>
      <c r="U114" s="349">
        <v>42041</v>
      </c>
      <c r="W114" s="81" t="s">
        <v>114</v>
      </c>
      <c r="Y114" s="81" t="s">
        <v>115</v>
      </c>
      <c r="Z114" s="81" t="s">
        <v>116</v>
      </c>
      <c r="AA114" s="81" t="s">
        <v>117</v>
      </c>
      <c r="AB114" s="81" t="s">
        <v>218</v>
      </c>
      <c r="AC114" s="166">
        <v>4.0000001899898104E-3</v>
      </c>
      <c r="AD114" s="349">
        <v>42826</v>
      </c>
      <c r="AE114" s="81" t="s">
        <v>155</v>
      </c>
      <c r="AF114" s="349">
        <v>43190</v>
      </c>
      <c r="AG114" s="81" t="s">
        <v>238</v>
      </c>
      <c r="AH114" s="81" t="s">
        <v>118</v>
      </c>
      <c r="AK114" s="166">
        <v>0</v>
      </c>
      <c r="AM114" s="166">
        <v>0</v>
      </c>
      <c r="AO114" s="166">
        <v>0</v>
      </c>
      <c r="AP114" s="166">
        <v>0</v>
      </c>
      <c r="AQ114" s="166">
        <v>1</v>
      </c>
      <c r="AR114" s="166">
        <v>0</v>
      </c>
      <c r="AS114" s="166">
        <v>0</v>
      </c>
      <c r="AT114" s="166">
        <v>0</v>
      </c>
      <c r="AU114" s="166">
        <v>0</v>
      </c>
      <c r="AV114" s="166">
        <v>0</v>
      </c>
      <c r="AW114" s="166">
        <v>0</v>
      </c>
      <c r="AX114" s="166">
        <v>1</v>
      </c>
      <c r="AY114" s="166">
        <v>0</v>
      </c>
      <c r="AZ114" s="166">
        <v>0</v>
      </c>
      <c r="BA114" s="166">
        <v>0</v>
      </c>
      <c r="BB114" s="166">
        <v>0</v>
      </c>
      <c r="BC114" s="166">
        <v>0</v>
      </c>
      <c r="BD114" s="166">
        <v>0</v>
      </c>
      <c r="BE114" s="166">
        <v>0</v>
      </c>
      <c r="BF114" s="166">
        <v>0</v>
      </c>
      <c r="BG114" s="166">
        <v>0</v>
      </c>
      <c r="BH114" s="166">
        <v>0</v>
      </c>
      <c r="BI114" s="166">
        <v>0</v>
      </c>
      <c r="BJ114" s="166">
        <v>0</v>
      </c>
      <c r="BK114" s="166">
        <v>0</v>
      </c>
      <c r="BL114" s="166">
        <v>0</v>
      </c>
      <c r="BM114" s="166">
        <v>0</v>
      </c>
      <c r="BN114" s="166">
        <v>0</v>
      </c>
      <c r="BO114" s="166">
        <v>0</v>
      </c>
      <c r="BP114" s="166">
        <v>0</v>
      </c>
      <c r="BQ114" s="81" t="s">
        <v>1757</v>
      </c>
      <c r="BR114" s="81" t="s">
        <v>242</v>
      </c>
      <c r="BZ114" s="81" t="s">
        <v>155</v>
      </c>
      <c r="CA114" s="81">
        <v>1</v>
      </c>
      <c r="CC114" s="167">
        <f>N114</f>
        <v>1</v>
      </c>
      <c r="CD114" s="167">
        <v>0</v>
      </c>
      <c r="CE114" s="167">
        <v>0</v>
      </c>
      <c r="CF114" s="167">
        <v>0</v>
      </c>
      <c r="CG114" s="167">
        <v>0</v>
      </c>
      <c r="CH114" s="167">
        <v>0</v>
      </c>
      <c r="CI114" s="167">
        <v>0</v>
      </c>
      <c r="CJ114" s="167">
        <v>0</v>
      </c>
      <c r="CK114" s="167">
        <v>0</v>
      </c>
      <c r="CL114" s="167">
        <v>0</v>
      </c>
      <c r="CM114" s="167">
        <v>0</v>
      </c>
      <c r="CN114" s="167">
        <v>0</v>
      </c>
      <c r="CO114" s="167">
        <v>0</v>
      </c>
      <c r="CP114" s="167">
        <v>0</v>
      </c>
      <c r="CQ114" s="167">
        <v>0</v>
      </c>
      <c r="CR114" s="167">
        <v>0</v>
      </c>
      <c r="CS114" s="167">
        <v>0</v>
      </c>
      <c r="CT114" s="167">
        <v>0</v>
      </c>
      <c r="CU114" s="167">
        <v>0</v>
      </c>
      <c r="CV114" s="167">
        <v>0</v>
      </c>
      <c r="CW114" s="167">
        <v>0</v>
      </c>
      <c r="CX114" s="167">
        <f>SUM(CD114:CH114)</f>
        <v>0</v>
      </c>
      <c r="CY114" s="167">
        <f>SUM(CD114:CM114)</f>
        <v>0</v>
      </c>
    </row>
    <row r="115" spans="1:103" ht="12.75" customHeight="1" x14ac:dyDescent="0.2">
      <c r="A115" s="81">
        <v>5837</v>
      </c>
      <c r="B115" s="165" t="s">
        <v>1924</v>
      </c>
      <c r="C115" s="165" t="s">
        <v>210</v>
      </c>
      <c r="E115" s="165" t="s">
        <v>3164</v>
      </c>
      <c r="G115" s="81">
        <v>526501</v>
      </c>
      <c r="H115" s="81">
        <v>174529</v>
      </c>
      <c r="I115" s="165" t="s">
        <v>260</v>
      </c>
      <c r="J115" s="349">
        <v>42094</v>
      </c>
      <c r="K115" s="349">
        <v>43190</v>
      </c>
      <c r="L115" s="166">
        <v>2</v>
      </c>
      <c r="M115" s="166">
        <v>1</v>
      </c>
      <c r="N115" s="166">
        <v>-1</v>
      </c>
      <c r="O115" s="166">
        <v>1</v>
      </c>
      <c r="P115" s="166">
        <v>-1</v>
      </c>
      <c r="R115" s="165" t="s">
        <v>211</v>
      </c>
      <c r="S115" s="81" t="s">
        <v>113</v>
      </c>
      <c r="T115" s="349">
        <v>42002</v>
      </c>
      <c r="U115" s="349">
        <v>42054</v>
      </c>
      <c r="W115" s="81" t="s">
        <v>114</v>
      </c>
      <c r="Y115" s="81" t="s">
        <v>115</v>
      </c>
      <c r="Z115" s="81" t="s">
        <v>398</v>
      </c>
      <c r="AA115" s="81" t="s">
        <v>117</v>
      </c>
      <c r="AB115" s="81" t="s">
        <v>336</v>
      </c>
      <c r="AC115" s="166">
        <v>1.8999999389052401E-2</v>
      </c>
      <c r="AD115" s="349">
        <v>42094</v>
      </c>
      <c r="AF115" s="349">
        <v>43190</v>
      </c>
      <c r="AG115" s="81" t="s">
        <v>238</v>
      </c>
      <c r="AH115" s="81" t="s">
        <v>118</v>
      </c>
      <c r="AK115" s="166">
        <v>0</v>
      </c>
      <c r="AM115" s="166">
        <v>0</v>
      </c>
      <c r="AO115" s="166">
        <v>0</v>
      </c>
      <c r="AP115" s="166">
        <v>-1</v>
      </c>
      <c r="AQ115" s="166">
        <v>-1</v>
      </c>
      <c r="AR115" s="166">
        <v>1</v>
      </c>
      <c r="AS115" s="166">
        <v>0</v>
      </c>
      <c r="AT115" s="166">
        <v>0</v>
      </c>
      <c r="AU115" s="166">
        <v>0</v>
      </c>
      <c r="AV115" s="166">
        <v>0</v>
      </c>
      <c r="AW115" s="166">
        <v>-1</v>
      </c>
      <c r="AX115" s="166">
        <v>-1</v>
      </c>
      <c r="AY115" s="166">
        <v>0</v>
      </c>
      <c r="AZ115" s="166">
        <v>0</v>
      </c>
      <c r="BA115" s="166">
        <v>0</v>
      </c>
      <c r="BB115" s="166">
        <v>0</v>
      </c>
      <c r="BC115" s="166">
        <v>0</v>
      </c>
      <c r="BD115" s="166">
        <v>0</v>
      </c>
      <c r="BE115" s="166">
        <v>0</v>
      </c>
      <c r="BF115" s="166">
        <v>1</v>
      </c>
      <c r="BG115" s="166">
        <v>0</v>
      </c>
      <c r="BH115" s="166">
        <v>0</v>
      </c>
      <c r="BI115" s="166">
        <v>0</v>
      </c>
      <c r="BJ115" s="166">
        <v>0</v>
      </c>
      <c r="BK115" s="166">
        <v>0</v>
      </c>
      <c r="BL115" s="166">
        <v>0</v>
      </c>
      <c r="BM115" s="166">
        <v>0</v>
      </c>
      <c r="BN115" s="166">
        <v>0</v>
      </c>
      <c r="BO115" s="166">
        <v>0</v>
      </c>
      <c r="BP115" s="166">
        <v>0</v>
      </c>
      <c r="BQ115" s="81" t="s">
        <v>1758</v>
      </c>
      <c r="BZ115" s="81" t="s">
        <v>155</v>
      </c>
      <c r="CA115" s="81">
        <v>7</v>
      </c>
      <c r="CC115" s="167">
        <f>N115</f>
        <v>-1</v>
      </c>
      <c r="CD115" s="167">
        <v>0</v>
      </c>
      <c r="CE115" s="167">
        <v>0</v>
      </c>
      <c r="CF115" s="167">
        <v>0</v>
      </c>
      <c r="CG115" s="167">
        <v>0</v>
      </c>
      <c r="CH115" s="167">
        <v>0</v>
      </c>
      <c r="CI115" s="167">
        <v>0</v>
      </c>
      <c r="CJ115" s="167">
        <v>0</v>
      </c>
      <c r="CK115" s="167">
        <v>0</v>
      </c>
      <c r="CL115" s="167">
        <v>0</v>
      </c>
      <c r="CM115" s="167">
        <v>0</v>
      </c>
      <c r="CN115" s="167">
        <v>0</v>
      </c>
      <c r="CO115" s="167">
        <v>0</v>
      </c>
      <c r="CP115" s="167">
        <v>0</v>
      </c>
      <c r="CQ115" s="167">
        <v>0</v>
      </c>
      <c r="CR115" s="167">
        <v>0</v>
      </c>
      <c r="CS115" s="167">
        <v>0</v>
      </c>
      <c r="CT115" s="167">
        <v>0</v>
      </c>
      <c r="CU115" s="167">
        <v>0</v>
      </c>
      <c r="CV115" s="167">
        <v>0</v>
      </c>
      <c r="CW115" s="167">
        <v>0</v>
      </c>
      <c r="CX115" s="167">
        <f>SUM(CD115:CH115)</f>
        <v>0</v>
      </c>
      <c r="CY115" s="167">
        <f>SUM(CD115:CM115)</f>
        <v>0</v>
      </c>
    </row>
    <row r="116" spans="1:103" ht="12.75" customHeight="1" x14ac:dyDescent="0.2">
      <c r="A116" s="81">
        <v>5839</v>
      </c>
      <c r="B116" s="165" t="s">
        <v>1924</v>
      </c>
      <c r="C116" s="165" t="s">
        <v>377</v>
      </c>
      <c r="E116" s="165" t="s">
        <v>3165</v>
      </c>
      <c r="G116" s="81">
        <v>528757</v>
      </c>
      <c r="H116" s="81">
        <v>173681</v>
      </c>
      <c r="I116" s="165" t="s">
        <v>247</v>
      </c>
      <c r="J116" s="349">
        <v>42522</v>
      </c>
      <c r="K116" s="349">
        <v>42885</v>
      </c>
      <c r="L116" s="166">
        <v>0</v>
      </c>
      <c r="M116" s="166">
        <v>1</v>
      </c>
      <c r="N116" s="166">
        <v>1</v>
      </c>
      <c r="O116" s="166">
        <v>1</v>
      </c>
      <c r="P116" s="166">
        <v>1</v>
      </c>
      <c r="R116" s="165" t="s">
        <v>378</v>
      </c>
      <c r="S116" s="81" t="s">
        <v>270</v>
      </c>
      <c r="T116" s="349">
        <v>41988</v>
      </c>
      <c r="U116" s="349">
        <v>42044</v>
      </c>
      <c r="W116" s="81" t="s">
        <v>114</v>
      </c>
      <c r="Y116" s="81" t="s">
        <v>115</v>
      </c>
      <c r="Z116" s="81" t="s">
        <v>310</v>
      </c>
      <c r="AA116" s="81" t="s">
        <v>117</v>
      </c>
      <c r="AB116" s="81" t="s">
        <v>102</v>
      </c>
      <c r="AC116" s="166">
        <v>1.00000004749745E-3</v>
      </c>
      <c r="AD116" s="349">
        <v>42522</v>
      </c>
      <c r="AF116" s="349">
        <v>42885</v>
      </c>
      <c r="AG116" s="81" t="s">
        <v>238</v>
      </c>
      <c r="AH116" s="81" t="s">
        <v>118</v>
      </c>
      <c r="AK116" s="166">
        <v>0</v>
      </c>
      <c r="AM116" s="166">
        <v>0</v>
      </c>
      <c r="AO116" s="166">
        <v>0</v>
      </c>
      <c r="AP116" s="166">
        <v>1</v>
      </c>
      <c r="AQ116" s="166">
        <v>0</v>
      </c>
      <c r="AR116" s="166">
        <v>0</v>
      </c>
      <c r="AS116" s="166">
        <v>0</v>
      </c>
      <c r="AT116" s="166">
        <v>0</v>
      </c>
      <c r="AU116" s="166">
        <v>0</v>
      </c>
      <c r="AV116" s="166">
        <v>0</v>
      </c>
      <c r="AW116" s="166">
        <v>1</v>
      </c>
      <c r="AX116" s="166">
        <v>0</v>
      </c>
      <c r="AY116" s="166">
        <v>0</v>
      </c>
      <c r="AZ116" s="166">
        <v>0</v>
      </c>
      <c r="BA116" s="166">
        <v>0</v>
      </c>
      <c r="BB116" s="166">
        <v>0</v>
      </c>
      <c r="BC116" s="166">
        <v>0</v>
      </c>
      <c r="BD116" s="166">
        <v>0</v>
      </c>
      <c r="BE116" s="166">
        <v>0</v>
      </c>
      <c r="BF116" s="166">
        <v>0</v>
      </c>
      <c r="BG116" s="166">
        <v>0</v>
      </c>
      <c r="BH116" s="166">
        <v>0</v>
      </c>
      <c r="BI116" s="166">
        <v>0</v>
      </c>
      <c r="BJ116" s="166">
        <v>0</v>
      </c>
      <c r="BK116" s="166">
        <v>0</v>
      </c>
      <c r="BL116" s="166">
        <v>0</v>
      </c>
      <c r="BM116" s="166">
        <v>0</v>
      </c>
      <c r="BN116" s="166">
        <v>0</v>
      </c>
      <c r="BO116" s="166">
        <v>0</v>
      </c>
      <c r="BP116" s="166">
        <v>0</v>
      </c>
      <c r="BQ116" s="81" t="s">
        <v>1757</v>
      </c>
      <c r="BR116" s="81" t="s">
        <v>247</v>
      </c>
      <c r="BZ116" s="81" t="s">
        <v>155</v>
      </c>
      <c r="CA116" s="81">
        <v>7</v>
      </c>
      <c r="CC116" s="167">
        <f>N116</f>
        <v>1</v>
      </c>
      <c r="CD116" s="167">
        <v>0</v>
      </c>
      <c r="CE116" s="167">
        <v>0</v>
      </c>
      <c r="CF116" s="167">
        <v>0</v>
      </c>
      <c r="CG116" s="167">
        <v>0</v>
      </c>
      <c r="CH116" s="167">
        <v>0</v>
      </c>
      <c r="CI116" s="167">
        <v>0</v>
      </c>
      <c r="CJ116" s="167">
        <v>0</v>
      </c>
      <c r="CK116" s="167">
        <v>0</v>
      </c>
      <c r="CL116" s="167">
        <v>0</v>
      </c>
      <c r="CM116" s="167">
        <v>0</v>
      </c>
      <c r="CN116" s="167">
        <v>0</v>
      </c>
      <c r="CO116" s="167">
        <v>0</v>
      </c>
      <c r="CP116" s="167">
        <v>0</v>
      </c>
      <c r="CQ116" s="167">
        <v>0</v>
      </c>
      <c r="CR116" s="167">
        <v>0</v>
      </c>
      <c r="CS116" s="167">
        <v>0</v>
      </c>
      <c r="CT116" s="167">
        <v>0</v>
      </c>
      <c r="CU116" s="167">
        <v>0</v>
      </c>
      <c r="CV116" s="167">
        <v>0</v>
      </c>
      <c r="CW116" s="167">
        <v>0</v>
      </c>
      <c r="CX116" s="167">
        <f>SUM(CD116:CH116)</f>
        <v>0</v>
      </c>
      <c r="CY116" s="167">
        <f>SUM(CD116:CM116)</f>
        <v>0</v>
      </c>
    </row>
    <row r="117" spans="1:103" ht="12.75" customHeight="1" x14ac:dyDescent="0.2">
      <c r="A117" s="81">
        <v>5843</v>
      </c>
      <c r="B117" s="165" t="s">
        <v>1924</v>
      </c>
      <c r="C117" s="165" t="s">
        <v>421</v>
      </c>
      <c r="E117" s="165" t="s">
        <v>3166</v>
      </c>
      <c r="G117" s="81">
        <v>528907</v>
      </c>
      <c r="H117" s="81">
        <v>173296</v>
      </c>
      <c r="I117" s="165" t="s">
        <v>247</v>
      </c>
      <c r="J117" s="349">
        <v>42041</v>
      </c>
      <c r="K117" s="349">
        <v>42838</v>
      </c>
      <c r="L117" s="166">
        <v>1</v>
      </c>
      <c r="M117" s="166">
        <v>3</v>
      </c>
      <c r="N117" s="166">
        <v>2</v>
      </c>
      <c r="O117" s="166">
        <v>3</v>
      </c>
      <c r="P117" s="166">
        <v>2</v>
      </c>
      <c r="R117" s="165" t="s">
        <v>495</v>
      </c>
      <c r="S117" s="81" t="s">
        <v>113</v>
      </c>
      <c r="T117" s="349">
        <v>42031</v>
      </c>
      <c r="U117" s="349">
        <v>42107</v>
      </c>
      <c r="W117" s="81" t="s">
        <v>114</v>
      </c>
      <c r="Y117" s="81" t="s">
        <v>115</v>
      </c>
      <c r="Z117" s="81" t="s">
        <v>119</v>
      </c>
      <c r="AA117" s="81" t="s">
        <v>117</v>
      </c>
      <c r="AB117" s="81" t="s">
        <v>120</v>
      </c>
      <c r="AC117" s="166">
        <v>1.7000000923872001E-2</v>
      </c>
      <c r="AD117" s="349">
        <v>42041</v>
      </c>
      <c r="AF117" s="349">
        <v>42838</v>
      </c>
      <c r="AG117" s="81" t="s">
        <v>238</v>
      </c>
      <c r="AH117" s="81" t="s">
        <v>118</v>
      </c>
      <c r="AK117" s="166">
        <v>0</v>
      </c>
      <c r="AM117" s="166">
        <v>0</v>
      </c>
      <c r="AO117" s="166">
        <v>0</v>
      </c>
      <c r="AP117" s="166">
        <v>2</v>
      </c>
      <c r="AQ117" s="166">
        <v>0</v>
      </c>
      <c r="AR117" s="166">
        <v>1</v>
      </c>
      <c r="AS117" s="166">
        <v>0</v>
      </c>
      <c r="AT117" s="166">
        <v>-1</v>
      </c>
      <c r="AU117" s="166">
        <v>0</v>
      </c>
      <c r="AV117" s="166">
        <v>0</v>
      </c>
      <c r="AW117" s="166">
        <v>2</v>
      </c>
      <c r="AX117" s="166">
        <v>0</v>
      </c>
      <c r="AY117" s="166">
        <v>1</v>
      </c>
      <c r="AZ117" s="166">
        <v>0</v>
      </c>
      <c r="BA117" s="166">
        <v>0</v>
      </c>
      <c r="BB117" s="166">
        <v>0</v>
      </c>
      <c r="BC117" s="166">
        <v>0</v>
      </c>
      <c r="BD117" s="166">
        <v>0</v>
      </c>
      <c r="BE117" s="166">
        <v>0</v>
      </c>
      <c r="BF117" s="166">
        <v>0</v>
      </c>
      <c r="BG117" s="166">
        <v>0</v>
      </c>
      <c r="BH117" s="166">
        <v>-1</v>
      </c>
      <c r="BI117" s="166">
        <v>0</v>
      </c>
      <c r="BJ117" s="166">
        <v>0</v>
      </c>
      <c r="BK117" s="166">
        <v>0</v>
      </c>
      <c r="BL117" s="166">
        <v>0</v>
      </c>
      <c r="BM117" s="166">
        <v>0</v>
      </c>
      <c r="BN117" s="166">
        <v>0</v>
      </c>
      <c r="BO117" s="166">
        <v>0</v>
      </c>
      <c r="BP117" s="166">
        <v>0</v>
      </c>
      <c r="BQ117" s="81" t="s">
        <v>1757</v>
      </c>
      <c r="BZ117" s="81" t="s">
        <v>155</v>
      </c>
      <c r="CA117" s="81">
        <v>7</v>
      </c>
      <c r="CC117" s="167">
        <f>N117</f>
        <v>2</v>
      </c>
      <c r="CD117" s="167">
        <v>0</v>
      </c>
      <c r="CE117" s="167">
        <v>0</v>
      </c>
      <c r="CF117" s="167">
        <v>0</v>
      </c>
      <c r="CG117" s="167">
        <v>0</v>
      </c>
      <c r="CH117" s="167">
        <v>0</v>
      </c>
      <c r="CI117" s="167">
        <v>0</v>
      </c>
      <c r="CJ117" s="167">
        <v>0</v>
      </c>
      <c r="CK117" s="167">
        <v>0</v>
      </c>
      <c r="CL117" s="167">
        <v>0</v>
      </c>
      <c r="CM117" s="167">
        <v>0</v>
      </c>
      <c r="CN117" s="167">
        <v>0</v>
      </c>
      <c r="CO117" s="167">
        <v>0</v>
      </c>
      <c r="CP117" s="167">
        <v>0</v>
      </c>
      <c r="CQ117" s="167">
        <v>0</v>
      </c>
      <c r="CR117" s="167">
        <v>0</v>
      </c>
      <c r="CS117" s="167">
        <v>0</v>
      </c>
      <c r="CT117" s="167">
        <v>0</v>
      </c>
      <c r="CU117" s="167">
        <v>0</v>
      </c>
      <c r="CV117" s="167">
        <v>0</v>
      </c>
      <c r="CW117" s="167">
        <v>0</v>
      </c>
      <c r="CX117" s="167">
        <f>SUM(CD117:CH117)</f>
        <v>0</v>
      </c>
      <c r="CY117" s="167">
        <f>SUM(CD117:CM117)</f>
        <v>0</v>
      </c>
    </row>
    <row r="118" spans="1:103" ht="12.75" customHeight="1" x14ac:dyDescent="0.2">
      <c r="A118" s="81">
        <v>5848</v>
      </c>
      <c r="B118" s="165" t="s">
        <v>1924</v>
      </c>
      <c r="C118" s="165" t="s">
        <v>370</v>
      </c>
      <c r="E118" s="165" t="s">
        <v>3167</v>
      </c>
      <c r="G118" s="81">
        <v>525374</v>
      </c>
      <c r="H118" s="81">
        <v>172805</v>
      </c>
      <c r="I118" s="165" t="s">
        <v>258</v>
      </c>
      <c r="J118" s="349">
        <v>42283</v>
      </c>
      <c r="K118" s="349">
        <v>43159</v>
      </c>
      <c r="L118" s="166">
        <v>0</v>
      </c>
      <c r="M118" s="166">
        <v>9</v>
      </c>
      <c r="N118" s="166">
        <v>9</v>
      </c>
      <c r="O118" s="166">
        <v>9</v>
      </c>
      <c r="P118" s="166">
        <v>9</v>
      </c>
      <c r="R118" s="165" t="s">
        <v>493</v>
      </c>
      <c r="S118" s="81" t="s">
        <v>113</v>
      </c>
      <c r="T118" s="349">
        <v>42010</v>
      </c>
      <c r="U118" s="349">
        <v>42116</v>
      </c>
      <c r="W118" s="81" t="s">
        <v>114</v>
      </c>
      <c r="Y118" s="81" t="s">
        <v>115</v>
      </c>
      <c r="Z118" s="81" t="s">
        <v>116</v>
      </c>
      <c r="AA118" s="81" t="s">
        <v>117</v>
      </c>
      <c r="AB118" s="81" t="s">
        <v>218</v>
      </c>
      <c r="AC118" s="166">
        <v>6.1000000685453401E-2</v>
      </c>
      <c r="AD118" s="349">
        <v>42283</v>
      </c>
      <c r="AF118" s="349">
        <v>43159</v>
      </c>
      <c r="AG118" s="81" t="s">
        <v>238</v>
      </c>
      <c r="AH118" s="81" t="s">
        <v>118</v>
      </c>
      <c r="AK118" s="166">
        <v>9</v>
      </c>
      <c r="AM118" s="166">
        <v>0</v>
      </c>
      <c r="AO118" s="166">
        <v>0</v>
      </c>
      <c r="AP118" s="166">
        <v>0</v>
      </c>
      <c r="AQ118" s="166">
        <v>2</v>
      </c>
      <c r="AR118" s="166">
        <v>7</v>
      </c>
      <c r="AS118" s="166">
        <v>0</v>
      </c>
      <c r="AT118" s="166">
        <v>0</v>
      </c>
      <c r="AU118" s="166">
        <v>0</v>
      </c>
      <c r="AV118" s="166">
        <v>0</v>
      </c>
      <c r="AW118" s="166">
        <v>0</v>
      </c>
      <c r="AX118" s="166">
        <v>2</v>
      </c>
      <c r="AY118" s="166">
        <v>7</v>
      </c>
      <c r="AZ118" s="166">
        <v>0</v>
      </c>
      <c r="BA118" s="166">
        <v>0</v>
      </c>
      <c r="BB118" s="166">
        <v>0</v>
      </c>
      <c r="BC118" s="166">
        <v>0</v>
      </c>
      <c r="BD118" s="166">
        <v>0</v>
      </c>
      <c r="BE118" s="166">
        <v>0</v>
      </c>
      <c r="BF118" s="166">
        <v>0</v>
      </c>
      <c r="BG118" s="166">
        <v>0</v>
      </c>
      <c r="BH118" s="166">
        <v>0</v>
      </c>
      <c r="BI118" s="166">
        <v>0</v>
      </c>
      <c r="BJ118" s="166">
        <v>0</v>
      </c>
      <c r="BK118" s="166">
        <v>0</v>
      </c>
      <c r="BL118" s="166">
        <v>0</v>
      </c>
      <c r="BM118" s="166">
        <v>0</v>
      </c>
      <c r="BN118" s="166">
        <v>0</v>
      </c>
      <c r="BO118" s="166">
        <v>0</v>
      </c>
      <c r="BP118" s="166">
        <v>0</v>
      </c>
      <c r="BQ118" s="81" t="s">
        <v>1758</v>
      </c>
      <c r="BY118" s="81" t="s">
        <v>155</v>
      </c>
      <c r="BZ118" s="81" t="s">
        <v>155</v>
      </c>
      <c r="CA118" s="81">
        <v>1</v>
      </c>
      <c r="CC118" s="167">
        <f>N118</f>
        <v>9</v>
      </c>
      <c r="CD118" s="167">
        <v>0</v>
      </c>
      <c r="CE118" s="167">
        <v>0</v>
      </c>
      <c r="CF118" s="167">
        <v>0</v>
      </c>
      <c r="CG118" s="167">
        <v>0</v>
      </c>
      <c r="CH118" s="167">
        <v>0</v>
      </c>
      <c r="CI118" s="167">
        <v>0</v>
      </c>
      <c r="CJ118" s="167">
        <v>0</v>
      </c>
      <c r="CK118" s="167">
        <v>0</v>
      </c>
      <c r="CL118" s="167">
        <v>0</v>
      </c>
      <c r="CM118" s="167">
        <v>0</v>
      </c>
      <c r="CN118" s="167">
        <v>0</v>
      </c>
      <c r="CO118" s="167">
        <v>0</v>
      </c>
      <c r="CP118" s="167">
        <v>0</v>
      </c>
      <c r="CQ118" s="167">
        <v>0</v>
      </c>
      <c r="CR118" s="167">
        <v>0</v>
      </c>
      <c r="CS118" s="167">
        <v>0</v>
      </c>
      <c r="CT118" s="167">
        <v>0</v>
      </c>
      <c r="CU118" s="167">
        <v>0</v>
      </c>
      <c r="CV118" s="167">
        <v>0</v>
      </c>
      <c r="CW118" s="167">
        <v>0</v>
      </c>
      <c r="CX118" s="167">
        <f>SUM(CD118:CH118)</f>
        <v>0</v>
      </c>
      <c r="CY118" s="167">
        <f>SUM(CD118:CM118)</f>
        <v>0</v>
      </c>
    </row>
    <row r="119" spans="1:103" ht="12.75" customHeight="1" x14ac:dyDescent="0.2">
      <c r="A119" s="81">
        <v>5886</v>
      </c>
      <c r="B119" s="165" t="s">
        <v>1924</v>
      </c>
      <c r="C119" s="165" t="s">
        <v>1487</v>
      </c>
      <c r="E119" s="165" t="s">
        <v>3168</v>
      </c>
      <c r="G119" s="81">
        <v>523460</v>
      </c>
      <c r="H119" s="81">
        <v>175163</v>
      </c>
      <c r="I119" s="165" t="s">
        <v>59</v>
      </c>
      <c r="J119" s="349">
        <v>42826</v>
      </c>
      <c r="K119" s="349">
        <v>42903</v>
      </c>
      <c r="L119" s="166">
        <v>2</v>
      </c>
      <c r="M119" s="166">
        <v>1</v>
      </c>
      <c r="N119" s="166">
        <v>-1</v>
      </c>
      <c r="O119" s="166">
        <v>1</v>
      </c>
      <c r="P119" s="166">
        <v>-1</v>
      </c>
      <c r="R119" s="165" t="s">
        <v>1488</v>
      </c>
      <c r="S119" s="81" t="s">
        <v>113</v>
      </c>
      <c r="T119" s="349">
        <v>42712</v>
      </c>
      <c r="U119" s="349">
        <v>42768</v>
      </c>
      <c r="W119" s="81" t="s">
        <v>114</v>
      </c>
      <c r="Y119" s="81" t="s">
        <v>115</v>
      </c>
      <c r="Z119" s="81" t="s">
        <v>119</v>
      </c>
      <c r="AA119" s="81" t="s">
        <v>117</v>
      </c>
      <c r="AB119" s="81" t="s">
        <v>300</v>
      </c>
      <c r="AC119" s="166">
        <v>1.2000000104308101E-2</v>
      </c>
      <c r="AD119" s="349">
        <v>42826</v>
      </c>
      <c r="AE119" s="81" t="s">
        <v>155</v>
      </c>
      <c r="AF119" s="349">
        <v>42903</v>
      </c>
      <c r="AG119" s="81" t="s">
        <v>238</v>
      </c>
      <c r="AH119" s="81" t="s">
        <v>118</v>
      </c>
      <c r="AK119" s="166">
        <v>0</v>
      </c>
      <c r="AM119" s="166">
        <v>0</v>
      </c>
      <c r="AO119" s="166">
        <v>0</v>
      </c>
      <c r="AP119" s="166">
        <v>-1</v>
      </c>
      <c r="AQ119" s="166">
        <v>0</v>
      </c>
      <c r="AR119" s="166">
        <v>0</v>
      </c>
      <c r="AS119" s="166">
        <v>0</v>
      </c>
      <c r="AT119" s="166">
        <v>0</v>
      </c>
      <c r="AU119" s="166">
        <v>0</v>
      </c>
      <c r="AV119" s="166">
        <v>0</v>
      </c>
      <c r="AW119" s="166">
        <v>-1</v>
      </c>
      <c r="AX119" s="166">
        <v>0</v>
      </c>
      <c r="AY119" s="166">
        <v>0</v>
      </c>
      <c r="AZ119" s="166">
        <v>0</v>
      </c>
      <c r="BA119" s="166">
        <v>0</v>
      </c>
      <c r="BB119" s="166">
        <v>0</v>
      </c>
      <c r="BC119" s="166">
        <v>0</v>
      </c>
      <c r="BD119" s="166">
        <v>0</v>
      </c>
      <c r="BE119" s="166">
        <v>0</v>
      </c>
      <c r="BF119" s="166">
        <v>0</v>
      </c>
      <c r="BG119" s="166">
        <v>0</v>
      </c>
      <c r="BH119" s="166">
        <v>0</v>
      </c>
      <c r="BI119" s="166">
        <v>0</v>
      </c>
      <c r="BJ119" s="166">
        <v>0</v>
      </c>
      <c r="BK119" s="166">
        <v>0</v>
      </c>
      <c r="BL119" s="166">
        <v>0</v>
      </c>
      <c r="BM119" s="166">
        <v>0</v>
      </c>
      <c r="BN119" s="166">
        <v>0</v>
      </c>
      <c r="BO119" s="166">
        <v>0</v>
      </c>
      <c r="BP119" s="166">
        <v>0</v>
      </c>
      <c r="BQ119" s="81" t="s">
        <v>1758</v>
      </c>
      <c r="BZ119" s="81" t="s">
        <v>155</v>
      </c>
      <c r="CA119" s="81">
        <v>7</v>
      </c>
      <c r="CC119" s="167">
        <f>N119</f>
        <v>-1</v>
      </c>
      <c r="CD119" s="167">
        <v>0</v>
      </c>
      <c r="CE119" s="167">
        <v>0</v>
      </c>
      <c r="CF119" s="167">
        <v>0</v>
      </c>
      <c r="CG119" s="167">
        <v>0</v>
      </c>
      <c r="CH119" s="167">
        <v>0</v>
      </c>
      <c r="CI119" s="167">
        <v>0</v>
      </c>
      <c r="CJ119" s="167">
        <v>0</v>
      </c>
      <c r="CK119" s="167">
        <v>0</v>
      </c>
      <c r="CL119" s="167">
        <v>0</v>
      </c>
      <c r="CM119" s="167">
        <v>0</v>
      </c>
      <c r="CN119" s="167">
        <v>0</v>
      </c>
      <c r="CO119" s="167">
        <v>0</v>
      </c>
      <c r="CP119" s="167">
        <v>0</v>
      </c>
      <c r="CQ119" s="167">
        <v>0</v>
      </c>
      <c r="CR119" s="167">
        <v>0</v>
      </c>
      <c r="CS119" s="167">
        <v>0</v>
      </c>
      <c r="CT119" s="167">
        <v>0</v>
      </c>
      <c r="CU119" s="167">
        <v>0</v>
      </c>
      <c r="CV119" s="167">
        <v>0</v>
      </c>
      <c r="CW119" s="167">
        <v>0</v>
      </c>
      <c r="CX119" s="167">
        <f>SUM(CD119:CH119)</f>
        <v>0</v>
      </c>
      <c r="CY119" s="167">
        <f>SUM(CD119:CM119)</f>
        <v>0</v>
      </c>
    </row>
    <row r="120" spans="1:103" ht="12.75" customHeight="1" x14ac:dyDescent="0.2">
      <c r="A120" s="81">
        <v>5930</v>
      </c>
      <c r="B120" s="165" t="s">
        <v>1924</v>
      </c>
      <c r="C120" s="165" t="s">
        <v>519</v>
      </c>
      <c r="E120" s="165" t="s">
        <v>3169</v>
      </c>
      <c r="G120" s="81">
        <v>526145</v>
      </c>
      <c r="H120" s="81">
        <v>172581</v>
      </c>
      <c r="I120" s="165" t="s">
        <v>249</v>
      </c>
      <c r="J120" s="349">
        <v>42326</v>
      </c>
      <c r="K120" s="349">
        <v>43189</v>
      </c>
      <c r="L120" s="166">
        <v>0</v>
      </c>
      <c r="M120" s="166">
        <v>4</v>
      </c>
      <c r="N120" s="166">
        <v>4</v>
      </c>
      <c r="O120" s="166">
        <v>4</v>
      </c>
      <c r="P120" s="166">
        <v>4</v>
      </c>
      <c r="R120" s="165" t="s">
        <v>760</v>
      </c>
      <c r="S120" s="81" t="s">
        <v>113</v>
      </c>
      <c r="T120" s="349">
        <v>42135</v>
      </c>
      <c r="U120" s="349">
        <v>42187</v>
      </c>
      <c r="W120" s="81" t="s">
        <v>114</v>
      </c>
      <c r="Y120" s="81" t="s">
        <v>115</v>
      </c>
      <c r="Z120" s="81" t="s">
        <v>398</v>
      </c>
      <c r="AA120" s="81" t="s">
        <v>117</v>
      </c>
      <c r="AB120" s="81" t="s">
        <v>218</v>
      </c>
      <c r="AC120" s="166">
        <v>2.3000000044703501E-2</v>
      </c>
      <c r="AD120" s="349">
        <v>42326</v>
      </c>
      <c r="AF120" s="349">
        <v>43189</v>
      </c>
      <c r="AG120" s="81" t="s">
        <v>238</v>
      </c>
      <c r="AH120" s="81" t="s">
        <v>118</v>
      </c>
      <c r="AK120" s="166">
        <v>0</v>
      </c>
      <c r="AM120" s="166">
        <v>0</v>
      </c>
      <c r="AO120" s="166">
        <v>0</v>
      </c>
      <c r="AP120" s="166">
        <v>2</v>
      </c>
      <c r="AQ120" s="166">
        <v>2</v>
      </c>
      <c r="AR120" s="166">
        <v>0</v>
      </c>
      <c r="AS120" s="166">
        <v>0</v>
      </c>
      <c r="AT120" s="166">
        <v>0</v>
      </c>
      <c r="AU120" s="166">
        <v>0</v>
      </c>
      <c r="AV120" s="166">
        <v>0</v>
      </c>
      <c r="AW120" s="166">
        <v>2</v>
      </c>
      <c r="AX120" s="166">
        <v>2</v>
      </c>
      <c r="AY120" s="166">
        <v>0</v>
      </c>
      <c r="AZ120" s="166">
        <v>0</v>
      </c>
      <c r="BA120" s="166">
        <v>0</v>
      </c>
      <c r="BB120" s="166">
        <v>0</v>
      </c>
      <c r="BC120" s="166">
        <v>0</v>
      </c>
      <c r="BD120" s="166">
        <v>0</v>
      </c>
      <c r="BE120" s="166">
        <v>0</v>
      </c>
      <c r="BF120" s="166">
        <v>0</v>
      </c>
      <c r="BG120" s="166">
        <v>0</v>
      </c>
      <c r="BH120" s="166">
        <v>0</v>
      </c>
      <c r="BI120" s="166">
        <v>0</v>
      </c>
      <c r="BJ120" s="166">
        <v>0</v>
      </c>
      <c r="BK120" s="166">
        <v>0</v>
      </c>
      <c r="BL120" s="166">
        <v>0</v>
      </c>
      <c r="BM120" s="166">
        <v>0</v>
      </c>
      <c r="BN120" s="166">
        <v>0</v>
      </c>
      <c r="BO120" s="166">
        <v>0</v>
      </c>
      <c r="BP120" s="166">
        <v>0</v>
      </c>
      <c r="BQ120" s="81" t="s">
        <v>1758</v>
      </c>
      <c r="BZ120" s="81" t="s">
        <v>155</v>
      </c>
      <c r="CA120" s="81">
        <v>7</v>
      </c>
      <c r="CC120" s="167">
        <f>N120</f>
        <v>4</v>
      </c>
      <c r="CD120" s="167">
        <v>0</v>
      </c>
      <c r="CE120" s="167">
        <v>0</v>
      </c>
      <c r="CF120" s="167">
        <v>0</v>
      </c>
      <c r="CG120" s="167">
        <v>0</v>
      </c>
      <c r="CH120" s="167">
        <v>0</v>
      </c>
      <c r="CI120" s="167">
        <v>0</v>
      </c>
      <c r="CJ120" s="167">
        <v>0</v>
      </c>
      <c r="CK120" s="167">
        <v>0</v>
      </c>
      <c r="CL120" s="167">
        <v>0</v>
      </c>
      <c r="CM120" s="167">
        <v>0</v>
      </c>
      <c r="CN120" s="167">
        <v>0</v>
      </c>
      <c r="CO120" s="167">
        <v>0</v>
      </c>
      <c r="CP120" s="167">
        <v>0</v>
      </c>
      <c r="CQ120" s="167">
        <v>0</v>
      </c>
      <c r="CR120" s="167">
        <v>0</v>
      </c>
      <c r="CS120" s="167">
        <v>0</v>
      </c>
      <c r="CT120" s="167">
        <v>0</v>
      </c>
      <c r="CU120" s="167">
        <v>0</v>
      </c>
      <c r="CV120" s="167">
        <v>0</v>
      </c>
      <c r="CW120" s="167">
        <v>0</v>
      </c>
      <c r="CX120" s="167">
        <f>SUM(CD120:CH120)</f>
        <v>0</v>
      </c>
      <c r="CY120" s="167">
        <f>SUM(CD120:CM120)</f>
        <v>0</v>
      </c>
    </row>
    <row r="121" spans="1:103" ht="12.75" customHeight="1" x14ac:dyDescent="0.2">
      <c r="A121" s="81">
        <v>5931</v>
      </c>
      <c r="B121" s="165" t="s">
        <v>1924</v>
      </c>
      <c r="C121" s="165" t="s">
        <v>550</v>
      </c>
      <c r="E121" s="165" t="s">
        <v>3170</v>
      </c>
      <c r="G121" s="81">
        <v>529306</v>
      </c>
      <c r="H121" s="81">
        <v>171047</v>
      </c>
      <c r="I121" s="165" t="s">
        <v>252</v>
      </c>
      <c r="J121" s="349">
        <v>42825</v>
      </c>
      <c r="K121" s="349">
        <v>43190</v>
      </c>
      <c r="L121" s="166">
        <v>0</v>
      </c>
      <c r="M121" s="166">
        <v>9</v>
      </c>
      <c r="N121" s="166">
        <v>9</v>
      </c>
      <c r="O121" s="166">
        <v>9</v>
      </c>
      <c r="P121" s="166">
        <v>9</v>
      </c>
      <c r="R121" s="165" t="s">
        <v>551</v>
      </c>
      <c r="S121" s="81" t="s">
        <v>113</v>
      </c>
      <c r="T121" s="349">
        <v>42109</v>
      </c>
      <c r="U121" s="349">
        <v>42230</v>
      </c>
      <c r="W121" s="81" t="s">
        <v>114</v>
      </c>
      <c r="Y121" s="81" t="s">
        <v>115</v>
      </c>
      <c r="Z121" s="81" t="s">
        <v>116</v>
      </c>
      <c r="AA121" s="81" t="s">
        <v>117</v>
      </c>
      <c r="AB121" s="81" t="s">
        <v>218</v>
      </c>
      <c r="AC121" s="166">
        <v>0.12600000202655801</v>
      </c>
      <c r="AD121" s="349">
        <v>42825</v>
      </c>
      <c r="AF121" s="349">
        <v>43190</v>
      </c>
      <c r="AG121" s="81" t="s">
        <v>238</v>
      </c>
      <c r="AH121" s="81" t="s">
        <v>118</v>
      </c>
      <c r="AK121" s="166">
        <v>9</v>
      </c>
      <c r="AM121" s="166">
        <v>0</v>
      </c>
      <c r="AO121" s="166">
        <v>0</v>
      </c>
      <c r="AP121" s="166">
        <v>0</v>
      </c>
      <c r="AQ121" s="166">
        <v>0</v>
      </c>
      <c r="AR121" s="166">
        <v>9</v>
      </c>
      <c r="AS121" s="166">
        <v>0</v>
      </c>
      <c r="AT121" s="166">
        <v>0</v>
      </c>
      <c r="AU121" s="166">
        <v>0</v>
      </c>
      <c r="AV121" s="166">
        <v>0</v>
      </c>
      <c r="AW121" s="166">
        <v>0</v>
      </c>
      <c r="AX121" s="166">
        <v>0</v>
      </c>
      <c r="AY121" s="166">
        <v>0</v>
      </c>
      <c r="AZ121" s="166">
        <v>0</v>
      </c>
      <c r="BA121" s="166">
        <v>0</v>
      </c>
      <c r="BB121" s="166">
        <v>0</v>
      </c>
      <c r="BC121" s="166">
        <v>0</v>
      </c>
      <c r="BD121" s="166">
        <v>0</v>
      </c>
      <c r="BE121" s="166">
        <v>0</v>
      </c>
      <c r="BF121" s="166">
        <v>9</v>
      </c>
      <c r="BG121" s="166">
        <v>0</v>
      </c>
      <c r="BH121" s="166">
        <v>0</v>
      </c>
      <c r="BI121" s="166">
        <v>0</v>
      </c>
      <c r="BJ121" s="166">
        <v>0</v>
      </c>
      <c r="BK121" s="166">
        <v>0</v>
      </c>
      <c r="BL121" s="166">
        <v>0</v>
      </c>
      <c r="BM121" s="166">
        <v>0</v>
      </c>
      <c r="BN121" s="166">
        <v>0</v>
      </c>
      <c r="BO121" s="166">
        <v>0</v>
      </c>
      <c r="BP121" s="166">
        <v>0</v>
      </c>
      <c r="BQ121" s="81" t="s">
        <v>1757</v>
      </c>
      <c r="BZ121" s="81" t="s">
        <v>155</v>
      </c>
      <c r="CA121" s="81">
        <v>1</v>
      </c>
      <c r="CC121" s="167">
        <f>N121</f>
        <v>9</v>
      </c>
      <c r="CD121" s="167">
        <v>0</v>
      </c>
      <c r="CE121" s="167">
        <v>0</v>
      </c>
      <c r="CF121" s="167">
        <v>0</v>
      </c>
      <c r="CG121" s="167">
        <v>0</v>
      </c>
      <c r="CH121" s="167">
        <v>0</v>
      </c>
      <c r="CI121" s="167">
        <v>0</v>
      </c>
      <c r="CJ121" s="167">
        <v>0</v>
      </c>
      <c r="CK121" s="167">
        <v>0</v>
      </c>
      <c r="CL121" s="167">
        <v>0</v>
      </c>
      <c r="CM121" s="167">
        <v>0</v>
      </c>
      <c r="CN121" s="167">
        <v>0</v>
      </c>
      <c r="CO121" s="167">
        <v>0</v>
      </c>
      <c r="CP121" s="167">
        <v>0</v>
      </c>
      <c r="CQ121" s="167">
        <v>0</v>
      </c>
      <c r="CR121" s="167">
        <v>0</v>
      </c>
      <c r="CS121" s="167">
        <v>0</v>
      </c>
      <c r="CT121" s="167">
        <v>0</v>
      </c>
      <c r="CU121" s="167">
        <v>0</v>
      </c>
      <c r="CV121" s="167">
        <v>0</v>
      </c>
      <c r="CW121" s="167">
        <v>0</v>
      </c>
      <c r="CX121" s="167">
        <f>SUM(CD121:CH121)</f>
        <v>0</v>
      </c>
      <c r="CY121" s="167">
        <f>SUM(CD121:CM121)</f>
        <v>0</v>
      </c>
    </row>
    <row r="122" spans="1:103" ht="12.75" customHeight="1" x14ac:dyDescent="0.2">
      <c r="A122" s="81">
        <v>5933</v>
      </c>
      <c r="B122" s="165" t="s">
        <v>1924</v>
      </c>
      <c r="C122" s="165" t="s">
        <v>557</v>
      </c>
      <c r="E122" s="165" t="s">
        <v>3171</v>
      </c>
      <c r="G122" s="81">
        <v>527226</v>
      </c>
      <c r="H122" s="81">
        <v>175356</v>
      </c>
      <c r="I122" s="165" t="s">
        <v>255</v>
      </c>
      <c r="J122" s="349">
        <v>42254</v>
      </c>
      <c r="K122" s="349">
        <v>42844</v>
      </c>
      <c r="L122" s="166">
        <v>0</v>
      </c>
      <c r="M122" s="166">
        <v>1</v>
      </c>
      <c r="N122" s="166">
        <v>1</v>
      </c>
      <c r="O122" s="166">
        <v>1</v>
      </c>
      <c r="P122" s="166">
        <v>1</v>
      </c>
      <c r="R122" s="165" t="s">
        <v>558</v>
      </c>
      <c r="S122" s="81" t="s">
        <v>110</v>
      </c>
      <c r="T122" s="349">
        <v>42117</v>
      </c>
      <c r="U122" s="349">
        <v>42173</v>
      </c>
      <c r="W122" s="81" t="s">
        <v>114</v>
      </c>
      <c r="Y122" s="81" t="s">
        <v>115</v>
      </c>
      <c r="Z122" s="81" t="s">
        <v>310</v>
      </c>
      <c r="AA122" s="81" t="s">
        <v>117</v>
      </c>
      <c r="AB122" s="81" t="s">
        <v>399</v>
      </c>
      <c r="AC122" s="166">
        <v>4.9999998882412902E-3</v>
      </c>
      <c r="AD122" s="349">
        <v>42254</v>
      </c>
      <c r="AF122" s="349">
        <v>42844</v>
      </c>
      <c r="AG122" s="81" t="s">
        <v>238</v>
      </c>
      <c r="AH122" s="81" t="s">
        <v>118</v>
      </c>
      <c r="AK122" s="166">
        <v>0</v>
      </c>
      <c r="AM122" s="166">
        <v>0</v>
      </c>
      <c r="AO122" s="166">
        <v>0</v>
      </c>
      <c r="AP122" s="166">
        <v>1</v>
      </c>
      <c r="AQ122" s="166">
        <v>0</v>
      </c>
      <c r="AR122" s="166">
        <v>0</v>
      </c>
      <c r="AS122" s="166">
        <v>0</v>
      </c>
      <c r="AT122" s="166">
        <v>0</v>
      </c>
      <c r="AU122" s="166">
        <v>0</v>
      </c>
      <c r="AV122" s="166">
        <v>0</v>
      </c>
      <c r="AW122" s="166">
        <v>1</v>
      </c>
      <c r="AX122" s="166">
        <v>0</v>
      </c>
      <c r="AY122" s="166">
        <v>0</v>
      </c>
      <c r="AZ122" s="166">
        <v>0</v>
      </c>
      <c r="BA122" s="166">
        <v>0</v>
      </c>
      <c r="BB122" s="166">
        <v>0</v>
      </c>
      <c r="BC122" s="166">
        <v>0</v>
      </c>
      <c r="BD122" s="166">
        <v>0</v>
      </c>
      <c r="BE122" s="166">
        <v>0</v>
      </c>
      <c r="BF122" s="166">
        <v>0</v>
      </c>
      <c r="BG122" s="166">
        <v>0</v>
      </c>
      <c r="BH122" s="166">
        <v>0</v>
      </c>
      <c r="BI122" s="166">
        <v>0</v>
      </c>
      <c r="BJ122" s="166">
        <v>0</v>
      </c>
      <c r="BK122" s="166">
        <v>0</v>
      </c>
      <c r="BL122" s="166">
        <v>0</v>
      </c>
      <c r="BM122" s="166">
        <v>0</v>
      </c>
      <c r="BN122" s="166">
        <v>0</v>
      </c>
      <c r="BO122" s="166">
        <v>0</v>
      </c>
      <c r="BP122" s="166">
        <v>0</v>
      </c>
      <c r="BQ122" s="81" t="s">
        <v>1757</v>
      </c>
      <c r="BR122" s="81" t="s">
        <v>160</v>
      </c>
      <c r="BZ122" s="81" t="s">
        <v>155</v>
      </c>
      <c r="CA122" s="81">
        <v>7</v>
      </c>
      <c r="CC122" s="167">
        <f>N122</f>
        <v>1</v>
      </c>
      <c r="CD122" s="167">
        <v>0</v>
      </c>
      <c r="CE122" s="167">
        <v>0</v>
      </c>
      <c r="CF122" s="167">
        <v>0</v>
      </c>
      <c r="CG122" s="167">
        <v>0</v>
      </c>
      <c r="CH122" s="167">
        <v>0</v>
      </c>
      <c r="CI122" s="167">
        <v>0</v>
      </c>
      <c r="CJ122" s="167">
        <v>0</v>
      </c>
      <c r="CK122" s="167">
        <v>0</v>
      </c>
      <c r="CL122" s="167">
        <v>0</v>
      </c>
      <c r="CM122" s="167">
        <v>0</v>
      </c>
      <c r="CN122" s="167">
        <v>0</v>
      </c>
      <c r="CO122" s="167">
        <v>0</v>
      </c>
      <c r="CP122" s="167">
        <v>0</v>
      </c>
      <c r="CQ122" s="167">
        <v>0</v>
      </c>
      <c r="CR122" s="167">
        <v>0</v>
      </c>
      <c r="CS122" s="167">
        <v>0</v>
      </c>
      <c r="CT122" s="167">
        <v>0</v>
      </c>
      <c r="CU122" s="167">
        <v>0</v>
      </c>
      <c r="CV122" s="167">
        <v>0</v>
      </c>
      <c r="CW122" s="167">
        <v>0</v>
      </c>
      <c r="CX122" s="167">
        <f>SUM(CD122:CH122)</f>
        <v>0</v>
      </c>
      <c r="CY122" s="167">
        <f>SUM(CD122:CM122)</f>
        <v>0</v>
      </c>
    </row>
    <row r="123" spans="1:103" ht="12.75" customHeight="1" x14ac:dyDescent="0.2">
      <c r="A123" s="81">
        <v>5933</v>
      </c>
      <c r="B123" s="165" t="s">
        <v>1924</v>
      </c>
      <c r="C123" s="165" t="s">
        <v>1692</v>
      </c>
      <c r="E123" s="165" t="s">
        <v>3171</v>
      </c>
      <c r="G123" s="81">
        <v>527226</v>
      </c>
      <c r="H123" s="81">
        <v>175356</v>
      </c>
      <c r="I123" s="165" t="s">
        <v>255</v>
      </c>
      <c r="J123" s="349">
        <v>42254</v>
      </c>
      <c r="K123" s="349">
        <v>42844</v>
      </c>
      <c r="L123" s="166">
        <v>0</v>
      </c>
      <c r="M123" s="166">
        <v>1</v>
      </c>
      <c r="N123" s="166">
        <v>1</v>
      </c>
      <c r="O123" s="166">
        <v>2</v>
      </c>
      <c r="P123" s="166">
        <v>2</v>
      </c>
      <c r="R123" s="165" t="s">
        <v>1693</v>
      </c>
      <c r="S123" s="81" t="s">
        <v>113</v>
      </c>
      <c r="T123" s="349">
        <v>42473</v>
      </c>
      <c r="U123" s="349">
        <v>42529</v>
      </c>
      <c r="W123" s="81" t="s">
        <v>114</v>
      </c>
      <c r="Y123" s="81" t="s">
        <v>115</v>
      </c>
      <c r="Z123" s="81" t="s">
        <v>398</v>
      </c>
      <c r="AA123" s="81" t="s">
        <v>117</v>
      </c>
      <c r="AB123" s="81" t="s">
        <v>102</v>
      </c>
      <c r="AC123" s="166">
        <v>4.9999998882412902E-3</v>
      </c>
      <c r="AD123" s="349">
        <v>42254</v>
      </c>
      <c r="AF123" s="349">
        <v>42844</v>
      </c>
      <c r="AG123" s="81" t="s">
        <v>238</v>
      </c>
      <c r="AH123" s="81" t="s">
        <v>118</v>
      </c>
      <c r="AK123" s="166">
        <v>0</v>
      </c>
      <c r="AM123" s="166">
        <v>0</v>
      </c>
      <c r="AO123" s="166">
        <v>1</v>
      </c>
      <c r="AP123" s="166">
        <v>0</v>
      </c>
      <c r="AQ123" s="166">
        <v>0</v>
      </c>
      <c r="AR123" s="166">
        <v>0</v>
      </c>
      <c r="AS123" s="166">
        <v>0</v>
      </c>
      <c r="AT123" s="166">
        <v>0</v>
      </c>
      <c r="AU123" s="166">
        <v>0</v>
      </c>
      <c r="AV123" s="166">
        <v>1</v>
      </c>
      <c r="AW123" s="166">
        <v>0</v>
      </c>
      <c r="AX123" s="166">
        <v>0</v>
      </c>
      <c r="AY123" s="166">
        <v>0</v>
      </c>
      <c r="AZ123" s="166">
        <v>0</v>
      </c>
      <c r="BA123" s="166">
        <v>0</v>
      </c>
      <c r="BB123" s="166">
        <v>0</v>
      </c>
      <c r="BC123" s="166">
        <v>0</v>
      </c>
      <c r="BD123" s="166">
        <v>0</v>
      </c>
      <c r="BE123" s="166">
        <v>0</v>
      </c>
      <c r="BF123" s="166">
        <v>0</v>
      </c>
      <c r="BG123" s="166">
        <v>0</v>
      </c>
      <c r="BH123" s="166">
        <v>0</v>
      </c>
      <c r="BI123" s="166">
        <v>0</v>
      </c>
      <c r="BJ123" s="166">
        <v>0</v>
      </c>
      <c r="BK123" s="166">
        <v>0</v>
      </c>
      <c r="BL123" s="166">
        <v>0</v>
      </c>
      <c r="BM123" s="166">
        <v>0</v>
      </c>
      <c r="BN123" s="166">
        <v>0</v>
      </c>
      <c r="BO123" s="166">
        <v>0</v>
      </c>
      <c r="BP123" s="166">
        <v>0</v>
      </c>
      <c r="BQ123" s="81" t="s">
        <v>1757</v>
      </c>
      <c r="BR123" s="81" t="s">
        <v>160</v>
      </c>
      <c r="BZ123" s="81" t="s">
        <v>155</v>
      </c>
      <c r="CA123" s="81">
        <v>7</v>
      </c>
      <c r="CC123" s="167">
        <f>N123</f>
        <v>1</v>
      </c>
      <c r="CD123" s="167">
        <v>0</v>
      </c>
      <c r="CE123" s="167">
        <v>0</v>
      </c>
      <c r="CF123" s="167">
        <v>0</v>
      </c>
      <c r="CG123" s="167">
        <v>0</v>
      </c>
      <c r="CH123" s="167">
        <v>0</v>
      </c>
      <c r="CI123" s="167">
        <v>0</v>
      </c>
      <c r="CJ123" s="167">
        <v>0</v>
      </c>
      <c r="CK123" s="167">
        <v>0</v>
      </c>
      <c r="CL123" s="167">
        <v>0</v>
      </c>
      <c r="CM123" s="167">
        <v>0</v>
      </c>
      <c r="CN123" s="167">
        <v>0</v>
      </c>
      <c r="CO123" s="167">
        <v>0</v>
      </c>
      <c r="CP123" s="167">
        <v>0</v>
      </c>
      <c r="CQ123" s="167">
        <v>0</v>
      </c>
      <c r="CR123" s="167">
        <v>0</v>
      </c>
      <c r="CS123" s="167">
        <v>0</v>
      </c>
      <c r="CT123" s="167">
        <v>0</v>
      </c>
      <c r="CU123" s="167">
        <v>0</v>
      </c>
      <c r="CV123" s="167">
        <v>0</v>
      </c>
      <c r="CW123" s="167">
        <v>0</v>
      </c>
      <c r="CX123" s="167">
        <f>SUM(CD123:CH123)</f>
        <v>0</v>
      </c>
      <c r="CY123" s="167">
        <f>SUM(CD123:CM123)</f>
        <v>0</v>
      </c>
    </row>
    <row r="124" spans="1:103" ht="12.75" customHeight="1" x14ac:dyDescent="0.2">
      <c r="A124" s="81">
        <v>5933</v>
      </c>
      <c r="B124" s="165" t="s">
        <v>1924</v>
      </c>
      <c r="C124" s="165" t="s">
        <v>1692</v>
      </c>
      <c r="E124" s="165" t="s">
        <v>3171</v>
      </c>
      <c r="G124" s="81">
        <v>527226</v>
      </c>
      <c r="H124" s="81">
        <v>175356</v>
      </c>
      <c r="I124" s="165" t="s">
        <v>255</v>
      </c>
      <c r="J124" s="349">
        <v>42254</v>
      </c>
      <c r="K124" s="349">
        <v>42844</v>
      </c>
      <c r="L124" s="166">
        <v>0</v>
      </c>
      <c r="M124" s="166">
        <v>1</v>
      </c>
      <c r="N124" s="166">
        <v>1</v>
      </c>
      <c r="O124" s="166">
        <v>2</v>
      </c>
      <c r="P124" s="166">
        <v>2</v>
      </c>
      <c r="R124" s="165" t="s">
        <v>1693</v>
      </c>
      <c r="S124" s="81" t="s">
        <v>113</v>
      </c>
      <c r="T124" s="349">
        <v>42473</v>
      </c>
      <c r="U124" s="349">
        <v>42529</v>
      </c>
      <c r="W124" s="81" t="s">
        <v>114</v>
      </c>
      <c r="Y124" s="81" t="s">
        <v>115</v>
      </c>
      <c r="Z124" s="81" t="s">
        <v>398</v>
      </c>
      <c r="AA124" s="81" t="s">
        <v>117</v>
      </c>
      <c r="AB124" s="81" t="s">
        <v>218</v>
      </c>
      <c r="AC124" s="166">
        <v>4.9999998882412902E-3</v>
      </c>
      <c r="AD124" s="349">
        <v>42254</v>
      </c>
      <c r="AF124" s="349">
        <v>42844</v>
      </c>
      <c r="AG124" s="81" t="s">
        <v>238</v>
      </c>
      <c r="AH124" s="81" t="s">
        <v>118</v>
      </c>
      <c r="AK124" s="166">
        <v>0</v>
      </c>
      <c r="AM124" s="166">
        <v>0</v>
      </c>
      <c r="AO124" s="166">
        <v>1</v>
      </c>
      <c r="AP124" s="166">
        <v>0</v>
      </c>
      <c r="AQ124" s="166">
        <v>0</v>
      </c>
      <c r="AR124" s="166">
        <v>0</v>
      </c>
      <c r="AS124" s="166">
        <v>0</v>
      </c>
      <c r="AT124" s="166">
        <v>0</v>
      </c>
      <c r="AU124" s="166">
        <v>0</v>
      </c>
      <c r="AV124" s="166">
        <v>1</v>
      </c>
      <c r="AW124" s="166">
        <v>0</v>
      </c>
      <c r="AX124" s="166">
        <v>0</v>
      </c>
      <c r="AY124" s="166">
        <v>0</v>
      </c>
      <c r="AZ124" s="166">
        <v>0</v>
      </c>
      <c r="BA124" s="166">
        <v>0</v>
      </c>
      <c r="BB124" s="166">
        <v>0</v>
      </c>
      <c r="BC124" s="166">
        <v>0</v>
      </c>
      <c r="BD124" s="166">
        <v>0</v>
      </c>
      <c r="BE124" s="166">
        <v>0</v>
      </c>
      <c r="BF124" s="166">
        <v>0</v>
      </c>
      <c r="BG124" s="166">
        <v>0</v>
      </c>
      <c r="BH124" s="166">
        <v>0</v>
      </c>
      <c r="BI124" s="166">
        <v>0</v>
      </c>
      <c r="BJ124" s="166">
        <v>0</v>
      </c>
      <c r="BK124" s="166">
        <v>0</v>
      </c>
      <c r="BL124" s="166">
        <v>0</v>
      </c>
      <c r="BM124" s="166">
        <v>0</v>
      </c>
      <c r="BN124" s="166">
        <v>0</v>
      </c>
      <c r="BO124" s="166">
        <v>0</v>
      </c>
      <c r="BP124" s="166">
        <v>0</v>
      </c>
      <c r="BQ124" s="81" t="s">
        <v>1757</v>
      </c>
      <c r="BR124" s="81" t="s">
        <v>160</v>
      </c>
      <c r="BZ124" s="81" t="s">
        <v>155</v>
      </c>
      <c r="CA124" s="81">
        <v>7</v>
      </c>
      <c r="CC124" s="167">
        <f>N124</f>
        <v>1</v>
      </c>
      <c r="CD124" s="167">
        <v>0</v>
      </c>
      <c r="CE124" s="167">
        <v>0</v>
      </c>
      <c r="CF124" s="167">
        <v>0</v>
      </c>
      <c r="CG124" s="167">
        <v>0</v>
      </c>
      <c r="CH124" s="167">
        <v>0</v>
      </c>
      <c r="CI124" s="167">
        <v>0</v>
      </c>
      <c r="CJ124" s="167">
        <v>0</v>
      </c>
      <c r="CK124" s="167">
        <v>0</v>
      </c>
      <c r="CL124" s="167">
        <v>0</v>
      </c>
      <c r="CM124" s="167">
        <v>0</v>
      </c>
      <c r="CN124" s="167">
        <v>0</v>
      </c>
      <c r="CO124" s="167">
        <v>0</v>
      </c>
      <c r="CP124" s="167">
        <v>0</v>
      </c>
      <c r="CQ124" s="167">
        <v>0</v>
      </c>
      <c r="CR124" s="167">
        <v>0</v>
      </c>
      <c r="CS124" s="167">
        <v>0</v>
      </c>
      <c r="CT124" s="167">
        <v>0</v>
      </c>
      <c r="CU124" s="167">
        <v>0</v>
      </c>
      <c r="CV124" s="167">
        <v>0</v>
      </c>
      <c r="CW124" s="167">
        <v>0</v>
      </c>
      <c r="CX124" s="167">
        <f>SUM(CD124:CH124)</f>
        <v>0</v>
      </c>
      <c r="CY124" s="167">
        <f>SUM(CD124:CM124)</f>
        <v>0</v>
      </c>
    </row>
    <row r="125" spans="1:103" ht="12.75" customHeight="1" x14ac:dyDescent="0.2">
      <c r="A125" s="81">
        <v>5941</v>
      </c>
      <c r="B125" s="165" t="s">
        <v>1924</v>
      </c>
      <c r="C125" s="165" t="s">
        <v>1003</v>
      </c>
      <c r="E125" s="165" t="s">
        <v>3172</v>
      </c>
      <c r="G125" s="81">
        <v>527877</v>
      </c>
      <c r="H125" s="81">
        <v>175208</v>
      </c>
      <c r="I125" s="165" t="s">
        <v>256</v>
      </c>
      <c r="J125" s="349">
        <v>42825</v>
      </c>
      <c r="K125" s="349">
        <v>43190</v>
      </c>
      <c r="L125" s="166">
        <v>1</v>
      </c>
      <c r="M125" s="166">
        <v>4</v>
      </c>
      <c r="N125" s="166">
        <v>3</v>
      </c>
      <c r="O125" s="166">
        <v>4</v>
      </c>
      <c r="P125" s="166">
        <v>3</v>
      </c>
      <c r="R125" s="165" t="s">
        <v>1004</v>
      </c>
      <c r="S125" s="81" t="s">
        <v>113</v>
      </c>
      <c r="T125" s="349">
        <v>42509</v>
      </c>
      <c r="U125" s="349">
        <v>42565</v>
      </c>
      <c r="W125" s="81" t="s">
        <v>114</v>
      </c>
      <c r="Y125" s="81" t="s">
        <v>115</v>
      </c>
      <c r="Z125" s="81" t="s">
        <v>398</v>
      </c>
      <c r="AA125" s="81" t="s">
        <v>117</v>
      </c>
      <c r="AB125" s="81" t="s">
        <v>120</v>
      </c>
      <c r="AC125" s="166">
        <v>2.5000000372528999E-2</v>
      </c>
      <c r="AD125" s="349">
        <v>42825</v>
      </c>
      <c r="AF125" s="349">
        <v>43190</v>
      </c>
      <c r="AG125" s="81" t="s">
        <v>238</v>
      </c>
      <c r="AH125" s="81" t="s">
        <v>118</v>
      </c>
      <c r="AK125" s="166">
        <v>0</v>
      </c>
      <c r="AM125" s="166">
        <v>0</v>
      </c>
      <c r="AO125" s="166">
        <v>0</v>
      </c>
      <c r="AP125" s="166">
        <v>1</v>
      </c>
      <c r="AQ125" s="166">
        <v>2</v>
      </c>
      <c r="AR125" s="166">
        <v>1</v>
      </c>
      <c r="AS125" s="166">
        <v>-1</v>
      </c>
      <c r="AT125" s="166">
        <v>0</v>
      </c>
      <c r="AU125" s="166">
        <v>0</v>
      </c>
      <c r="AV125" s="166">
        <v>0</v>
      </c>
      <c r="AW125" s="166">
        <v>1</v>
      </c>
      <c r="AX125" s="166">
        <v>2</v>
      </c>
      <c r="AY125" s="166">
        <v>1</v>
      </c>
      <c r="AZ125" s="166">
        <v>0</v>
      </c>
      <c r="BA125" s="166">
        <v>0</v>
      </c>
      <c r="BB125" s="166">
        <v>0</v>
      </c>
      <c r="BC125" s="166">
        <v>0</v>
      </c>
      <c r="BD125" s="166">
        <v>0</v>
      </c>
      <c r="BE125" s="166">
        <v>0</v>
      </c>
      <c r="BF125" s="166">
        <v>0</v>
      </c>
      <c r="BG125" s="166">
        <v>-1</v>
      </c>
      <c r="BH125" s="166">
        <v>0</v>
      </c>
      <c r="BI125" s="166">
        <v>0</v>
      </c>
      <c r="BJ125" s="166">
        <v>0</v>
      </c>
      <c r="BK125" s="166">
        <v>0</v>
      </c>
      <c r="BL125" s="166">
        <v>0</v>
      </c>
      <c r="BM125" s="166">
        <v>0</v>
      </c>
      <c r="BN125" s="166">
        <v>0</v>
      </c>
      <c r="BO125" s="166">
        <v>0</v>
      </c>
      <c r="BP125" s="166">
        <v>0</v>
      </c>
      <c r="BQ125" s="81" t="s">
        <v>1757</v>
      </c>
      <c r="BZ125" s="81" t="s">
        <v>155</v>
      </c>
      <c r="CA125" s="81">
        <v>7</v>
      </c>
      <c r="CC125" s="167">
        <f>N125</f>
        <v>3</v>
      </c>
      <c r="CD125" s="167">
        <v>0</v>
      </c>
      <c r="CE125" s="167">
        <v>0</v>
      </c>
      <c r="CF125" s="167">
        <v>0</v>
      </c>
      <c r="CG125" s="167">
        <v>0</v>
      </c>
      <c r="CH125" s="167">
        <v>0</v>
      </c>
      <c r="CI125" s="167">
        <v>0</v>
      </c>
      <c r="CJ125" s="167">
        <v>0</v>
      </c>
      <c r="CK125" s="167">
        <v>0</v>
      </c>
      <c r="CL125" s="167">
        <v>0</v>
      </c>
      <c r="CM125" s="167">
        <v>0</v>
      </c>
      <c r="CN125" s="167">
        <v>0</v>
      </c>
      <c r="CO125" s="167">
        <v>0</v>
      </c>
      <c r="CP125" s="167">
        <v>0</v>
      </c>
      <c r="CQ125" s="167">
        <v>0</v>
      </c>
      <c r="CR125" s="167">
        <v>0</v>
      </c>
      <c r="CS125" s="167">
        <v>0</v>
      </c>
      <c r="CT125" s="167">
        <v>0</v>
      </c>
      <c r="CU125" s="167">
        <v>0</v>
      </c>
      <c r="CV125" s="167">
        <v>0</v>
      </c>
      <c r="CW125" s="167">
        <v>0</v>
      </c>
      <c r="CX125" s="167">
        <f>SUM(CD125:CH125)</f>
        <v>0</v>
      </c>
      <c r="CY125" s="167">
        <f>SUM(CD125:CM125)</f>
        <v>0</v>
      </c>
    </row>
    <row r="126" spans="1:103" ht="12.75" customHeight="1" x14ac:dyDescent="0.2">
      <c r="A126" s="81">
        <v>5943</v>
      </c>
      <c r="B126" s="165" t="s">
        <v>1924</v>
      </c>
      <c r="C126" s="165" t="s">
        <v>554</v>
      </c>
      <c r="E126" s="165" t="s">
        <v>3173</v>
      </c>
      <c r="G126" s="81">
        <v>527832</v>
      </c>
      <c r="H126" s="81">
        <v>172523</v>
      </c>
      <c r="I126" s="165" t="s">
        <v>254</v>
      </c>
      <c r="J126" s="349">
        <v>42825</v>
      </c>
      <c r="K126" s="349">
        <v>43190</v>
      </c>
      <c r="L126" s="166">
        <v>0</v>
      </c>
      <c r="M126" s="166">
        <v>9</v>
      </c>
      <c r="N126" s="166">
        <v>9</v>
      </c>
      <c r="O126" s="166">
        <v>9</v>
      </c>
      <c r="P126" s="166">
        <v>9</v>
      </c>
      <c r="R126" s="165" t="s">
        <v>555</v>
      </c>
      <c r="S126" s="81" t="s">
        <v>113</v>
      </c>
      <c r="T126" s="349">
        <v>42114</v>
      </c>
      <c r="U126" s="349">
        <v>42206</v>
      </c>
      <c r="W126" s="81" t="s">
        <v>114</v>
      </c>
      <c r="Y126" s="81" t="s">
        <v>115</v>
      </c>
      <c r="Z126" s="81" t="s">
        <v>398</v>
      </c>
      <c r="AA126" s="81" t="s">
        <v>117</v>
      </c>
      <c r="AB126" s="81" t="s">
        <v>218</v>
      </c>
      <c r="AC126" s="166">
        <v>0.103000000119209</v>
      </c>
      <c r="AD126" s="349">
        <v>42825</v>
      </c>
      <c r="AF126" s="349">
        <v>43190</v>
      </c>
      <c r="AG126" s="81" t="s">
        <v>238</v>
      </c>
      <c r="AH126" s="81" t="s">
        <v>118</v>
      </c>
      <c r="AK126" s="166">
        <v>0</v>
      </c>
      <c r="AM126" s="166">
        <v>0</v>
      </c>
      <c r="AO126" s="166">
        <v>0</v>
      </c>
      <c r="AP126" s="166">
        <v>3</v>
      </c>
      <c r="AQ126" s="166">
        <v>6</v>
      </c>
      <c r="AR126" s="166">
        <v>0</v>
      </c>
      <c r="AS126" s="166">
        <v>0</v>
      </c>
      <c r="AT126" s="166">
        <v>0</v>
      </c>
      <c r="AU126" s="166">
        <v>0</v>
      </c>
      <c r="AV126" s="166">
        <v>0</v>
      </c>
      <c r="AW126" s="166">
        <v>3</v>
      </c>
      <c r="AX126" s="166">
        <v>6</v>
      </c>
      <c r="AY126" s="166">
        <v>0</v>
      </c>
      <c r="AZ126" s="166">
        <v>0</v>
      </c>
      <c r="BA126" s="166">
        <v>0</v>
      </c>
      <c r="BB126" s="166">
        <v>0</v>
      </c>
      <c r="BC126" s="166">
        <v>0</v>
      </c>
      <c r="BD126" s="166">
        <v>0</v>
      </c>
      <c r="BE126" s="166">
        <v>0</v>
      </c>
      <c r="BF126" s="166">
        <v>0</v>
      </c>
      <c r="BG126" s="166">
        <v>0</v>
      </c>
      <c r="BH126" s="166">
        <v>0</v>
      </c>
      <c r="BI126" s="166">
        <v>0</v>
      </c>
      <c r="BJ126" s="166">
        <v>0</v>
      </c>
      <c r="BK126" s="166">
        <v>0</v>
      </c>
      <c r="BL126" s="166">
        <v>0</v>
      </c>
      <c r="BM126" s="166">
        <v>0</v>
      </c>
      <c r="BN126" s="166">
        <v>0</v>
      </c>
      <c r="BO126" s="166">
        <v>0</v>
      </c>
      <c r="BP126" s="166">
        <v>0</v>
      </c>
      <c r="BQ126" s="81" t="s">
        <v>1757</v>
      </c>
      <c r="BZ126" s="81" t="s">
        <v>155</v>
      </c>
      <c r="CA126" s="81">
        <v>7</v>
      </c>
      <c r="CC126" s="167">
        <f>N126</f>
        <v>9</v>
      </c>
      <c r="CD126" s="167">
        <v>0</v>
      </c>
      <c r="CE126" s="167">
        <v>0</v>
      </c>
      <c r="CF126" s="167">
        <v>0</v>
      </c>
      <c r="CG126" s="167">
        <v>0</v>
      </c>
      <c r="CH126" s="167">
        <v>0</v>
      </c>
      <c r="CI126" s="167">
        <v>0</v>
      </c>
      <c r="CJ126" s="167">
        <v>0</v>
      </c>
      <c r="CK126" s="167">
        <v>0</v>
      </c>
      <c r="CL126" s="167">
        <v>0</v>
      </c>
      <c r="CM126" s="167">
        <v>0</v>
      </c>
      <c r="CN126" s="167">
        <v>0</v>
      </c>
      <c r="CO126" s="167">
        <v>0</v>
      </c>
      <c r="CP126" s="167">
        <v>0</v>
      </c>
      <c r="CQ126" s="167">
        <v>0</v>
      </c>
      <c r="CR126" s="167">
        <v>0</v>
      </c>
      <c r="CS126" s="167">
        <v>0</v>
      </c>
      <c r="CT126" s="167">
        <v>0</v>
      </c>
      <c r="CU126" s="167">
        <v>0</v>
      </c>
      <c r="CV126" s="167">
        <v>0</v>
      </c>
      <c r="CW126" s="167">
        <v>0</v>
      </c>
      <c r="CX126" s="167">
        <f>SUM(CD126:CH126)</f>
        <v>0</v>
      </c>
      <c r="CY126" s="167">
        <f>SUM(CD126:CM126)</f>
        <v>0</v>
      </c>
    </row>
    <row r="127" spans="1:103" ht="12.75" customHeight="1" x14ac:dyDescent="0.2">
      <c r="A127" s="81">
        <v>5946</v>
      </c>
      <c r="B127" s="165" t="s">
        <v>1924</v>
      </c>
      <c r="C127" s="165" t="s">
        <v>563</v>
      </c>
      <c r="E127" s="165" t="s">
        <v>3174</v>
      </c>
      <c r="G127" s="81">
        <v>528334</v>
      </c>
      <c r="H127" s="81">
        <v>175747</v>
      </c>
      <c r="I127" s="165" t="s">
        <v>256</v>
      </c>
      <c r="J127" s="349">
        <v>42825</v>
      </c>
      <c r="L127" s="166">
        <v>0</v>
      </c>
      <c r="M127" s="166">
        <v>1</v>
      </c>
      <c r="N127" s="166">
        <v>1</v>
      </c>
      <c r="O127" s="166">
        <v>3</v>
      </c>
      <c r="P127" s="166">
        <v>2</v>
      </c>
      <c r="R127" s="165" t="s">
        <v>911</v>
      </c>
      <c r="S127" s="81" t="s">
        <v>113</v>
      </c>
      <c r="T127" s="349">
        <v>42123</v>
      </c>
      <c r="U127" s="349">
        <v>42299</v>
      </c>
      <c r="W127" s="81" t="s">
        <v>114</v>
      </c>
      <c r="Y127" s="81" t="s">
        <v>115</v>
      </c>
      <c r="Z127" s="81" t="s">
        <v>398</v>
      </c>
      <c r="AA127" s="81" t="s">
        <v>117</v>
      </c>
      <c r="AB127" s="81" t="s">
        <v>102</v>
      </c>
      <c r="AC127" s="166">
        <v>0</v>
      </c>
      <c r="AD127" s="349">
        <v>42825</v>
      </c>
      <c r="AF127" s="349">
        <v>43157</v>
      </c>
      <c r="AG127" s="81" t="s">
        <v>238</v>
      </c>
      <c r="AH127" s="81" t="s">
        <v>118</v>
      </c>
      <c r="AK127" s="166">
        <v>0</v>
      </c>
      <c r="AM127" s="166">
        <v>0</v>
      </c>
      <c r="AO127" s="166">
        <v>0</v>
      </c>
      <c r="AP127" s="166">
        <v>0</v>
      </c>
      <c r="AQ127" s="166">
        <v>1</v>
      </c>
      <c r="AR127" s="166">
        <v>0</v>
      </c>
      <c r="AS127" s="166">
        <v>0</v>
      </c>
      <c r="AT127" s="166">
        <v>0</v>
      </c>
      <c r="AU127" s="166">
        <v>0</v>
      </c>
      <c r="AV127" s="166">
        <v>0</v>
      </c>
      <c r="AW127" s="166">
        <v>0</v>
      </c>
      <c r="AX127" s="166">
        <v>1</v>
      </c>
      <c r="AY127" s="166">
        <v>0</v>
      </c>
      <c r="AZ127" s="166">
        <v>0</v>
      </c>
      <c r="BA127" s="166">
        <v>0</v>
      </c>
      <c r="BB127" s="166">
        <v>0</v>
      </c>
      <c r="BC127" s="166">
        <v>0</v>
      </c>
      <c r="BD127" s="166">
        <v>0</v>
      </c>
      <c r="BE127" s="166">
        <v>0</v>
      </c>
      <c r="BF127" s="166">
        <v>0</v>
      </c>
      <c r="BG127" s="166">
        <v>0</v>
      </c>
      <c r="BH127" s="166">
        <v>0</v>
      </c>
      <c r="BI127" s="166">
        <v>0</v>
      </c>
      <c r="BJ127" s="166">
        <v>0</v>
      </c>
      <c r="BK127" s="166">
        <v>0</v>
      </c>
      <c r="BL127" s="166">
        <v>0</v>
      </c>
      <c r="BM127" s="166">
        <v>0</v>
      </c>
      <c r="BN127" s="166">
        <v>0</v>
      </c>
      <c r="BO127" s="166">
        <v>0</v>
      </c>
      <c r="BP127" s="166">
        <v>0</v>
      </c>
      <c r="BQ127" s="81" t="s">
        <v>1757</v>
      </c>
      <c r="BZ127" s="81" t="s">
        <v>155</v>
      </c>
      <c r="CA127" s="81">
        <v>7</v>
      </c>
      <c r="CC127" s="167">
        <f>N127</f>
        <v>1</v>
      </c>
      <c r="CD127" s="167">
        <v>0</v>
      </c>
      <c r="CE127" s="167">
        <v>0</v>
      </c>
      <c r="CF127" s="167">
        <v>0</v>
      </c>
      <c r="CG127" s="167">
        <v>0</v>
      </c>
      <c r="CH127" s="167">
        <v>0</v>
      </c>
      <c r="CI127" s="167">
        <v>0</v>
      </c>
      <c r="CJ127" s="167">
        <v>0</v>
      </c>
      <c r="CK127" s="167">
        <v>0</v>
      </c>
      <c r="CL127" s="167">
        <v>0</v>
      </c>
      <c r="CM127" s="167">
        <v>0</v>
      </c>
      <c r="CN127" s="167">
        <v>0</v>
      </c>
      <c r="CO127" s="167">
        <v>0</v>
      </c>
      <c r="CP127" s="167">
        <v>0</v>
      </c>
      <c r="CQ127" s="167">
        <v>0</v>
      </c>
      <c r="CR127" s="167">
        <v>0</v>
      </c>
      <c r="CS127" s="167">
        <v>0</v>
      </c>
      <c r="CT127" s="167">
        <v>0</v>
      </c>
      <c r="CU127" s="167">
        <v>0</v>
      </c>
      <c r="CV127" s="167">
        <v>0</v>
      </c>
      <c r="CW127" s="167">
        <v>0</v>
      </c>
      <c r="CX127" s="167">
        <f>SUM(CD127:CH127)</f>
        <v>0</v>
      </c>
      <c r="CY127" s="167">
        <f>SUM(CD127:CM127)</f>
        <v>0</v>
      </c>
    </row>
    <row r="128" spans="1:103" ht="12.75" customHeight="1" x14ac:dyDescent="0.2">
      <c r="A128" s="81">
        <v>5954</v>
      </c>
      <c r="B128" s="165" t="s">
        <v>1924</v>
      </c>
      <c r="C128" s="165" t="s">
        <v>520</v>
      </c>
      <c r="E128" s="165" t="s">
        <v>3175</v>
      </c>
      <c r="G128" s="81">
        <v>526836</v>
      </c>
      <c r="H128" s="81">
        <v>175207</v>
      </c>
      <c r="I128" s="165" t="s">
        <v>251</v>
      </c>
      <c r="J128" s="349">
        <v>42284</v>
      </c>
      <c r="K128" s="349">
        <v>43190</v>
      </c>
      <c r="L128" s="166">
        <v>2</v>
      </c>
      <c r="M128" s="166">
        <v>1</v>
      </c>
      <c r="N128" s="166">
        <v>-1</v>
      </c>
      <c r="O128" s="166">
        <v>1</v>
      </c>
      <c r="P128" s="166">
        <v>-1</v>
      </c>
      <c r="R128" s="165" t="s">
        <v>761</v>
      </c>
      <c r="S128" s="81" t="s">
        <v>113</v>
      </c>
      <c r="T128" s="349">
        <v>42160</v>
      </c>
      <c r="U128" s="349">
        <v>42212</v>
      </c>
      <c r="W128" s="81" t="s">
        <v>114</v>
      </c>
      <c r="Y128" s="81" t="s">
        <v>115</v>
      </c>
      <c r="Z128" s="81" t="s">
        <v>398</v>
      </c>
      <c r="AA128" s="81" t="s">
        <v>117</v>
      </c>
      <c r="AB128" s="81" t="s">
        <v>336</v>
      </c>
      <c r="AC128" s="166">
        <v>1.4000000432133701E-2</v>
      </c>
      <c r="AD128" s="349">
        <v>42285</v>
      </c>
      <c r="AF128" s="349">
        <v>43190</v>
      </c>
      <c r="AG128" s="81" t="s">
        <v>238</v>
      </c>
      <c r="AH128" s="81" t="s">
        <v>118</v>
      </c>
      <c r="AK128" s="166">
        <v>0</v>
      </c>
      <c r="AM128" s="166">
        <v>0</v>
      </c>
      <c r="AO128" s="166">
        <v>0</v>
      </c>
      <c r="AP128" s="166">
        <v>-1</v>
      </c>
      <c r="AQ128" s="166">
        <v>0</v>
      </c>
      <c r="AR128" s="166">
        <v>0</v>
      </c>
      <c r="AS128" s="166">
        <v>-1</v>
      </c>
      <c r="AT128" s="166">
        <v>1</v>
      </c>
      <c r="AU128" s="166">
        <v>0</v>
      </c>
      <c r="AV128" s="166">
        <v>0</v>
      </c>
      <c r="AW128" s="166">
        <v>-1</v>
      </c>
      <c r="AX128" s="166">
        <v>0</v>
      </c>
      <c r="AY128" s="166">
        <v>0</v>
      </c>
      <c r="AZ128" s="166">
        <v>-1</v>
      </c>
      <c r="BA128" s="166">
        <v>0</v>
      </c>
      <c r="BB128" s="166">
        <v>0</v>
      </c>
      <c r="BC128" s="166">
        <v>0</v>
      </c>
      <c r="BD128" s="166">
        <v>0</v>
      </c>
      <c r="BE128" s="166">
        <v>0</v>
      </c>
      <c r="BF128" s="166">
        <v>0</v>
      </c>
      <c r="BG128" s="166">
        <v>0</v>
      </c>
      <c r="BH128" s="166">
        <v>1</v>
      </c>
      <c r="BI128" s="166">
        <v>0</v>
      </c>
      <c r="BJ128" s="166">
        <v>0</v>
      </c>
      <c r="BK128" s="166">
        <v>0</v>
      </c>
      <c r="BL128" s="166">
        <v>0</v>
      </c>
      <c r="BM128" s="166">
        <v>0</v>
      </c>
      <c r="BN128" s="166">
        <v>0</v>
      </c>
      <c r="BO128" s="166">
        <v>0</v>
      </c>
      <c r="BP128" s="166">
        <v>0</v>
      </c>
      <c r="BQ128" s="81" t="s">
        <v>1758</v>
      </c>
      <c r="BZ128" s="81" t="s">
        <v>155</v>
      </c>
      <c r="CA128" s="81">
        <v>7</v>
      </c>
      <c r="CC128" s="167">
        <f>N128</f>
        <v>-1</v>
      </c>
      <c r="CD128" s="167">
        <v>0</v>
      </c>
      <c r="CE128" s="167">
        <v>0</v>
      </c>
      <c r="CF128" s="167">
        <v>0</v>
      </c>
      <c r="CG128" s="167">
        <v>0</v>
      </c>
      <c r="CH128" s="167">
        <v>0</v>
      </c>
      <c r="CI128" s="167">
        <v>0</v>
      </c>
      <c r="CJ128" s="167">
        <v>0</v>
      </c>
      <c r="CK128" s="167">
        <v>0</v>
      </c>
      <c r="CL128" s="167">
        <v>0</v>
      </c>
      <c r="CM128" s="167">
        <v>0</v>
      </c>
      <c r="CN128" s="167">
        <v>0</v>
      </c>
      <c r="CO128" s="167">
        <v>0</v>
      </c>
      <c r="CP128" s="167">
        <v>0</v>
      </c>
      <c r="CQ128" s="167">
        <v>0</v>
      </c>
      <c r="CR128" s="167">
        <v>0</v>
      </c>
      <c r="CS128" s="167">
        <v>0</v>
      </c>
      <c r="CT128" s="167">
        <v>0</v>
      </c>
      <c r="CU128" s="167">
        <v>0</v>
      </c>
      <c r="CV128" s="167">
        <v>0</v>
      </c>
      <c r="CW128" s="167">
        <v>0</v>
      </c>
      <c r="CX128" s="167">
        <f>SUM(CD128:CH128)</f>
        <v>0</v>
      </c>
      <c r="CY128" s="167">
        <f>SUM(CD128:CM128)</f>
        <v>0</v>
      </c>
    </row>
    <row r="129" spans="1:103" ht="12.75" customHeight="1" x14ac:dyDescent="0.2">
      <c r="A129" s="81">
        <v>5956</v>
      </c>
      <c r="B129" s="165" t="s">
        <v>1924</v>
      </c>
      <c r="C129" s="165" t="s">
        <v>572</v>
      </c>
      <c r="E129" s="165" t="s">
        <v>3176</v>
      </c>
      <c r="G129" s="81">
        <v>523775</v>
      </c>
      <c r="H129" s="81">
        <v>175783</v>
      </c>
      <c r="I129" s="165" t="s">
        <v>259</v>
      </c>
      <c r="J129" s="349">
        <v>42305</v>
      </c>
      <c r="K129" s="349">
        <v>43190</v>
      </c>
      <c r="L129" s="166">
        <v>1</v>
      </c>
      <c r="M129" s="166">
        <v>2</v>
      </c>
      <c r="N129" s="166">
        <v>1</v>
      </c>
      <c r="O129" s="166">
        <v>2</v>
      </c>
      <c r="P129" s="166">
        <v>1</v>
      </c>
      <c r="R129" s="165" t="s">
        <v>1133</v>
      </c>
      <c r="S129" s="81" t="s">
        <v>113</v>
      </c>
      <c r="T129" s="349">
        <v>42109</v>
      </c>
      <c r="U129" s="349">
        <v>42305</v>
      </c>
      <c r="W129" s="81" t="s">
        <v>114</v>
      </c>
      <c r="Y129" s="81" t="s">
        <v>115</v>
      </c>
      <c r="Z129" s="81" t="s">
        <v>398</v>
      </c>
      <c r="AA129" s="81" t="s">
        <v>117</v>
      </c>
      <c r="AB129" s="81" t="s">
        <v>220</v>
      </c>
      <c r="AC129" s="166">
        <v>7.0000002160668399E-3</v>
      </c>
      <c r="AD129" s="349">
        <v>42305</v>
      </c>
      <c r="AF129" s="349">
        <v>43190</v>
      </c>
      <c r="AG129" s="81" t="s">
        <v>238</v>
      </c>
      <c r="AH129" s="81" t="s">
        <v>118</v>
      </c>
      <c r="AK129" s="166">
        <v>0</v>
      </c>
      <c r="AM129" s="166">
        <v>0</v>
      </c>
      <c r="AO129" s="166">
        <v>0</v>
      </c>
      <c r="AP129" s="166">
        <v>2</v>
      </c>
      <c r="AQ129" s="166">
        <v>0</v>
      </c>
      <c r="AR129" s="166">
        <v>-1</v>
      </c>
      <c r="AS129" s="166">
        <v>0</v>
      </c>
      <c r="AT129" s="166">
        <v>0</v>
      </c>
      <c r="AU129" s="166">
        <v>0</v>
      </c>
      <c r="AV129" s="166">
        <v>0</v>
      </c>
      <c r="AW129" s="166">
        <v>2</v>
      </c>
      <c r="AX129" s="166">
        <v>0</v>
      </c>
      <c r="AY129" s="166">
        <v>-1</v>
      </c>
      <c r="AZ129" s="166">
        <v>0</v>
      </c>
      <c r="BA129" s="166">
        <v>0</v>
      </c>
      <c r="BB129" s="166">
        <v>0</v>
      </c>
      <c r="BC129" s="166">
        <v>0</v>
      </c>
      <c r="BD129" s="166">
        <v>0</v>
      </c>
      <c r="BE129" s="166">
        <v>0</v>
      </c>
      <c r="BF129" s="166">
        <v>0</v>
      </c>
      <c r="BG129" s="166">
        <v>0</v>
      </c>
      <c r="BH129" s="166">
        <v>0</v>
      </c>
      <c r="BI129" s="166">
        <v>0</v>
      </c>
      <c r="BJ129" s="166">
        <v>0</v>
      </c>
      <c r="BK129" s="166">
        <v>0</v>
      </c>
      <c r="BL129" s="166">
        <v>0</v>
      </c>
      <c r="BM129" s="166">
        <v>0</v>
      </c>
      <c r="BN129" s="166">
        <v>0</v>
      </c>
      <c r="BO129" s="166">
        <v>0</v>
      </c>
      <c r="BP129" s="166">
        <v>0</v>
      </c>
      <c r="BQ129" s="81" t="s">
        <v>1758</v>
      </c>
      <c r="BZ129" s="81" t="s">
        <v>155</v>
      </c>
      <c r="CA129" s="81">
        <v>7</v>
      </c>
      <c r="CC129" s="167">
        <f>N129</f>
        <v>1</v>
      </c>
      <c r="CD129" s="167">
        <v>0</v>
      </c>
      <c r="CE129" s="167">
        <v>0</v>
      </c>
      <c r="CF129" s="167">
        <v>0</v>
      </c>
      <c r="CG129" s="167">
        <v>0</v>
      </c>
      <c r="CH129" s="167">
        <v>0</v>
      </c>
      <c r="CI129" s="167">
        <v>0</v>
      </c>
      <c r="CJ129" s="167">
        <v>0</v>
      </c>
      <c r="CK129" s="167">
        <v>0</v>
      </c>
      <c r="CL129" s="167">
        <v>0</v>
      </c>
      <c r="CM129" s="167">
        <v>0</v>
      </c>
      <c r="CN129" s="167">
        <v>0</v>
      </c>
      <c r="CO129" s="167">
        <v>0</v>
      </c>
      <c r="CP129" s="167">
        <v>0</v>
      </c>
      <c r="CQ129" s="167">
        <v>0</v>
      </c>
      <c r="CR129" s="167">
        <v>0</v>
      </c>
      <c r="CS129" s="167">
        <v>0</v>
      </c>
      <c r="CT129" s="167">
        <v>0</v>
      </c>
      <c r="CU129" s="167">
        <v>0</v>
      </c>
      <c r="CV129" s="167">
        <v>0</v>
      </c>
      <c r="CW129" s="167">
        <v>0</v>
      </c>
      <c r="CX129" s="167">
        <f>SUM(CD129:CH129)</f>
        <v>0</v>
      </c>
      <c r="CY129" s="167">
        <f>SUM(CD129:CM129)</f>
        <v>0</v>
      </c>
    </row>
    <row r="130" spans="1:103" ht="12.75" customHeight="1" x14ac:dyDescent="0.2">
      <c r="A130" s="81">
        <v>5964</v>
      </c>
      <c r="B130" s="165" t="s">
        <v>1924</v>
      </c>
      <c r="C130" s="165" t="s">
        <v>1696</v>
      </c>
      <c r="E130" s="165" t="s">
        <v>3177</v>
      </c>
      <c r="G130" s="81">
        <v>527305</v>
      </c>
      <c r="H130" s="81">
        <v>176281</v>
      </c>
      <c r="I130" s="165" t="s">
        <v>241</v>
      </c>
      <c r="J130" s="349">
        <v>42605</v>
      </c>
      <c r="K130" s="349">
        <v>42894</v>
      </c>
      <c r="L130" s="166">
        <v>0</v>
      </c>
      <c r="M130" s="166">
        <v>1</v>
      </c>
      <c r="N130" s="166">
        <v>1</v>
      </c>
      <c r="O130" s="166">
        <v>1</v>
      </c>
      <c r="P130" s="166">
        <v>1</v>
      </c>
      <c r="R130" s="165" t="s">
        <v>671</v>
      </c>
      <c r="S130" s="81" t="s">
        <v>270</v>
      </c>
      <c r="T130" s="349">
        <v>42461</v>
      </c>
      <c r="U130" s="349">
        <v>42514</v>
      </c>
      <c r="W130" s="81" t="s">
        <v>114</v>
      </c>
      <c r="Y130" s="81" t="s">
        <v>115</v>
      </c>
      <c r="Z130" s="81" t="s">
        <v>310</v>
      </c>
      <c r="AA130" s="81" t="s">
        <v>117</v>
      </c>
      <c r="AB130" s="81" t="s">
        <v>399</v>
      </c>
      <c r="AC130" s="166">
        <v>4.0000001899898104E-3</v>
      </c>
      <c r="AD130" s="349">
        <v>42605</v>
      </c>
      <c r="AF130" s="349">
        <v>42863</v>
      </c>
      <c r="AG130" s="81" t="s">
        <v>238</v>
      </c>
      <c r="AH130" s="81" t="s">
        <v>118</v>
      </c>
      <c r="AK130" s="166">
        <v>0</v>
      </c>
      <c r="AM130" s="166">
        <v>0</v>
      </c>
      <c r="AO130" s="166">
        <v>0</v>
      </c>
      <c r="AP130" s="166">
        <v>1</v>
      </c>
      <c r="AQ130" s="166">
        <v>0</v>
      </c>
      <c r="AR130" s="166">
        <v>0</v>
      </c>
      <c r="AS130" s="166">
        <v>0</v>
      </c>
      <c r="AT130" s="166">
        <v>0</v>
      </c>
      <c r="AU130" s="166">
        <v>0</v>
      </c>
      <c r="AV130" s="166">
        <v>0</v>
      </c>
      <c r="AW130" s="166">
        <v>1</v>
      </c>
      <c r="AX130" s="166">
        <v>0</v>
      </c>
      <c r="AY130" s="166">
        <v>0</v>
      </c>
      <c r="AZ130" s="166">
        <v>0</v>
      </c>
      <c r="BA130" s="166">
        <v>0</v>
      </c>
      <c r="BB130" s="166">
        <v>0</v>
      </c>
      <c r="BC130" s="166">
        <v>0</v>
      </c>
      <c r="BD130" s="166">
        <v>0</v>
      </c>
      <c r="BE130" s="166">
        <v>0</v>
      </c>
      <c r="BF130" s="166">
        <v>0</v>
      </c>
      <c r="BG130" s="166">
        <v>0</v>
      </c>
      <c r="BH130" s="166">
        <v>0</v>
      </c>
      <c r="BI130" s="166">
        <v>0</v>
      </c>
      <c r="BJ130" s="166">
        <v>0</v>
      </c>
      <c r="BK130" s="166">
        <v>0</v>
      </c>
      <c r="BL130" s="166">
        <v>0</v>
      </c>
      <c r="BM130" s="166">
        <v>0</v>
      </c>
      <c r="BN130" s="166">
        <v>0</v>
      </c>
      <c r="BO130" s="166">
        <v>0</v>
      </c>
      <c r="BP130" s="166">
        <v>0</v>
      </c>
      <c r="BQ130" s="81" t="s">
        <v>1757</v>
      </c>
      <c r="BZ130" s="81" t="s">
        <v>155</v>
      </c>
      <c r="CA130" s="81">
        <v>7</v>
      </c>
      <c r="CC130" s="167">
        <f>N130</f>
        <v>1</v>
      </c>
      <c r="CD130" s="167">
        <v>0</v>
      </c>
      <c r="CE130" s="167">
        <v>0</v>
      </c>
      <c r="CF130" s="167">
        <v>0</v>
      </c>
      <c r="CG130" s="167">
        <v>0</v>
      </c>
      <c r="CH130" s="167">
        <v>0</v>
      </c>
      <c r="CI130" s="167">
        <v>0</v>
      </c>
      <c r="CJ130" s="167">
        <v>0</v>
      </c>
      <c r="CK130" s="167">
        <v>0</v>
      </c>
      <c r="CL130" s="167">
        <v>0</v>
      </c>
      <c r="CM130" s="167">
        <v>0</v>
      </c>
      <c r="CN130" s="167">
        <v>0</v>
      </c>
      <c r="CO130" s="167">
        <v>0</v>
      </c>
      <c r="CP130" s="167">
        <v>0</v>
      </c>
      <c r="CQ130" s="167">
        <v>0</v>
      </c>
      <c r="CR130" s="167">
        <v>0</v>
      </c>
      <c r="CS130" s="167">
        <v>0</v>
      </c>
      <c r="CT130" s="167">
        <v>0</v>
      </c>
      <c r="CU130" s="167">
        <v>0</v>
      </c>
      <c r="CV130" s="167">
        <v>0</v>
      </c>
      <c r="CW130" s="167">
        <v>0</v>
      </c>
      <c r="CX130" s="167">
        <f>SUM(CD130:CH130)</f>
        <v>0</v>
      </c>
      <c r="CY130" s="167">
        <f>SUM(CD130:CM130)</f>
        <v>0</v>
      </c>
    </row>
    <row r="131" spans="1:103" ht="12.75" customHeight="1" x14ac:dyDescent="0.2">
      <c r="A131" s="81">
        <v>5966</v>
      </c>
      <c r="B131" s="165" t="s">
        <v>1924</v>
      </c>
      <c r="C131" s="165" t="s">
        <v>719</v>
      </c>
      <c r="D131" s="165" t="s">
        <v>2107</v>
      </c>
      <c r="E131" s="165" t="s">
        <v>3178</v>
      </c>
      <c r="G131" s="81">
        <v>527304</v>
      </c>
      <c r="H131" s="81">
        <v>177160</v>
      </c>
      <c r="I131" s="165" t="s">
        <v>257</v>
      </c>
      <c r="J131" s="349">
        <v>42825</v>
      </c>
      <c r="L131" s="166">
        <v>0</v>
      </c>
      <c r="M131" s="166">
        <v>1</v>
      </c>
      <c r="N131" s="166">
        <v>1</v>
      </c>
      <c r="O131" s="166">
        <v>2</v>
      </c>
      <c r="P131" s="166">
        <v>2</v>
      </c>
      <c r="R131" s="165" t="s">
        <v>720</v>
      </c>
      <c r="S131" s="81" t="s">
        <v>110</v>
      </c>
      <c r="T131" s="349">
        <v>42351</v>
      </c>
      <c r="U131" s="349">
        <v>42443</v>
      </c>
      <c r="W131" s="81" t="s">
        <v>114</v>
      </c>
      <c r="Y131" s="81" t="s">
        <v>115</v>
      </c>
      <c r="Z131" s="81" t="s">
        <v>310</v>
      </c>
      <c r="AA131" s="81" t="s">
        <v>117</v>
      </c>
      <c r="AB131" s="81" t="s">
        <v>399</v>
      </c>
      <c r="AC131" s="166">
        <v>2.8999999165535001E-2</v>
      </c>
      <c r="AD131" s="349">
        <v>42825</v>
      </c>
      <c r="AF131" s="349">
        <v>42826</v>
      </c>
      <c r="AG131" s="81" t="s">
        <v>238</v>
      </c>
      <c r="AH131" s="81" t="s">
        <v>118</v>
      </c>
      <c r="AK131" s="166">
        <v>0</v>
      </c>
      <c r="AM131" s="166">
        <v>0</v>
      </c>
      <c r="AO131" s="166">
        <v>1</v>
      </c>
      <c r="AP131" s="166">
        <v>0</v>
      </c>
      <c r="AQ131" s="166">
        <v>0</v>
      </c>
      <c r="AR131" s="166">
        <v>0</v>
      </c>
      <c r="AS131" s="166">
        <v>0</v>
      </c>
      <c r="AT131" s="166">
        <v>0</v>
      </c>
      <c r="AU131" s="166">
        <v>0</v>
      </c>
      <c r="AV131" s="166">
        <v>1</v>
      </c>
      <c r="AW131" s="166">
        <v>0</v>
      </c>
      <c r="AX131" s="166">
        <v>0</v>
      </c>
      <c r="AY131" s="166">
        <v>0</v>
      </c>
      <c r="AZ131" s="166">
        <v>0</v>
      </c>
      <c r="BA131" s="166">
        <v>0</v>
      </c>
      <c r="BB131" s="166">
        <v>0</v>
      </c>
      <c r="BC131" s="166">
        <v>0</v>
      </c>
      <c r="BD131" s="166">
        <v>0</v>
      </c>
      <c r="BE131" s="166">
        <v>0</v>
      </c>
      <c r="BF131" s="166">
        <v>0</v>
      </c>
      <c r="BG131" s="166">
        <v>0</v>
      </c>
      <c r="BH131" s="166">
        <v>0</v>
      </c>
      <c r="BI131" s="166">
        <v>0</v>
      </c>
      <c r="BJ131" s="166">
        <v>0</v>
      </c>
      <c r="BK131" s="166">
        <v>0</v>
      </c>
      <c r="BL131" s="166">
        <v>0</v>
      </c>
      <c r="BM131" s="166">
        <v>0</v>
      </c>
      <c r="BN131" s="166">
        <v>0</v>
      </c>
      <c r="BO131" s="166">
        <v>0</v>
      </c>
      <c r="BP131" s="166">
        <v>0</v>
      </c>
      <c r="BQ131" s="81" t="s">
        <v>1757</v>
      </c>
      <c r="BX131" s="81" t="s">
        <v>155</v>
      </c>
      <c r="BZ131" s="81" t="s">
        <v>155</v>
      </c>
      <c r="CA131" s="81">
        <v>7</v>
      </c>
      <c r="CC131" s="167">
        <f>N131</f>
        <v>1</v>
      </c>
      <c r="CD131" s="167">
        <v>0</v>
      </c>
      <c r="CE131" s="167">
        <v>0</v>
      </c>
      <c r="CF131" s="167">
        <v>0</v>
      </c>
      <c r="CG131" s="167">
        <v>0</v>
      </c>
      <c r="CH131" s="167">
        <v>0</v>
      </c>
      <c r="CI131" s="167">
        <v>0</v>
      </c>
      <c r="CJ131" s="167">
        <v>0</v>
      </c>
      <c r="CK131" s="167">
        <v>0</v>
      </c>
      <c r="CL131" s="167">
        <v>0</v>
      </c>
      <c r="CM131" s="167">
        <v>0</v>
      </c>
      <c r="CN131" s="167">
        <v>0</v>
      </c>
      <c r="CO131" s="167">
        <v>0</v>
      </c>
      <c r="CP131" s="167">
        <v>0</v>
      </c>
      <c r="CQ131" s="167">
        <v>0</v>
      </c>
      <c r="CR131" s="167">
        <v>0</v>
      </c>
      <c r="CS131" s="167">
        <v>0</v>
      </c>
      <c r="CT131" s="167">
        <v>0</v>
      </c>
      <c r="CU131" s="167">
        <v>0</v>
      </c>
      <c r="CV131" s="167">
        <v>0</v>
      </c>
      <c r="CW131" s="167">
        <v>0</v>
      </c>
      <c r="CX131" s="167">
        <f>SUM(CD131:CH131)</f>
        <v>0</v>
      </c>
      <c r="CY131" s="167">
        <f>SUM(CD131:CM131)</f>
        <v>0</v>
      </c>
    </row>
    <row r="132" spans="1:103" ht="12.75" customHeight="1" x14ac:dyDescent="0.2">
      <c r="A132" s="81">
        <v>5977</v>
      </c>
      <c r="B132" s="165" t="s">
        <v>1924</v>
      </c>
      <c r="C132" s="165" t="s">
        <v>580</v>
      </c>
      <c r="E132" s="165" t="s">
        <v>3179</v>
      </c>
      <c r="G132" s="81">
        <v>527954</v>
      </c>
      <c r="H132" s="81">
        <v>173242</v>
      </c>
      <c r="I132" s="165" t="s">
        <v>254</v>
      </c>
      <c r="J132" s="349">
        <v>42825</v>
      </c>
      <c r="K132" s="349">
        <v>43190</v>
      </c>
      <c r="L132" s="166">
        <v>3</v>
      </c>
      <c r="M132" s="166">
        <v>1</v>
      </c>
      <c r="N132" s="166">
        <v>-2</v>
      </c>
      <c r="O132" s="166">
        <v>1</v>
      </c>
      <c r="P132" s="166">
        <v>-2</v>
      </c>
      <c r="R132" s="165" t="s">
        <v>581</v>
      </c>
      <c r="S132" s="81" t="s">
        <v>113</v>
      </c>
      <c r="T132" s="349">
        <v>42144</v>
      </c>
      <c r="U132" s="349">
        <v>42200</v>
      </c>
      <c r="W132" s="81" t="s">
        <v>114</v>
      </c>
      <c r="Y132" s="81" t="s">
        <v>115</v>
      </c>
      <c r="Z132" s="81" t="s">
        <v>119</v>
      </c>
      <c r="AA132" s="81" t="s">
        <v>117</v>
      </c>
      <c r="AB132" s="81" t="s">
        <v>336</v>
      </c>
      <c r="AC132" s="166">
        <v>3.4000001847744002E-2</v>
      </c>
      <c r="AD132" s="349">
        <v>42825</v>
      </c>
      <c r="AF132" s="349">
        <v>43190</v>
      </c>
      <c r="AG132" s="81" t="s">
        <v>238</v>
      </c>
      <c r="AH132" s="81" t="s">
        <v>118</v>
      </c>
      <c r="AK132" s="166">
        <v>0</v>
      </c>
      <c r="AM132" s="166">
        <v>0</v>
      </c>
      <c r="AO132" s="166">
        <v>0</v>
      </c>
      <c r="AP132" s="166">
        <v>-2</v>
      </c>
      <c r="AQ132" s="166">
        <v>-1</v>
      </c>
      <c r="AR132" s="166">
        <v>1</v>
      </c>
      <c r="AS132" s="166">
        <v>0</v>
      </c>
      <c r="AT132" s="166">
        <v>0</v>
      </c>
      <c r="AU132" s="166">
        <v>0</v>
      </c>
      <c r="AV132" s="166">
        <v>0</v>
      </c>
      <c r="AW132" s="166">
        <v>-2</v>
      </c>
      <c r="AX132" s="166">
        <v>-1</v>
      </c>
      <c r="AY132" s="166">
        <v>0</v>
      </c>
      <c r="AZ132" s="166">
        <v>0</v>
      </c>
      <c r="BA132" s="166">
        <v>0</v>
      </c>
      <c r="BB132" s="166">
        <v>0</v>
      </c>
      <c r="BC132" s="166">
        <v>0</v>
      </c>
      <c r="BD132" s="166">
        <v>0</v>
      </c>
      <c r="BE132" s="166">
        <v>0</v>
      </c>
      <c r="BF132" s="166">
        <v>1</v>
      </c>
      <c r="BG132" s="166">
        <v>0</v>
      </c>
      <c r="BH132" s="166">
        <v>0</v>
      </c>
      <c r="BI132" s="166">
        <v>0</v>
      </c>
      <c r="BJ132" s="166">
        <v>0</v>
      </c>
      <c r="BK132" s="166">
        <v>0</v>
      </c>
      <c r="BL132" s="166">
        <v>0</v>
      </c>
      <c r="BM132" s="166">
        <v>0</v>
      </c>
      <c r="BN132" s="166">
        <v>0</v>
      </c>
      <c r="BO132" s="166">
        <v>0</v>
      </c>
      <c r="BP132" s="166">
        <v>0</v>
      </c>
      <c r="BQ132" s="81" t="s">
        <v>1757</v>
      </c>
      <c r="BZ132" s="81" t="s">
        <v>155</v>
      </c>
      <c r="CA132" s="81">
        <v>7</v>
      </c>
      <c r="CC132" s="167">
        <f>N132</f>
        <v>-2</v>
      </c>
      <c r="CD132" s="167">
        <v>0</v>
      </c>
      <c r="CE132" s="167">
        <v>0</v>
      </c>
      <c r="CF132" s="167">
        <v>0</v>
      </c>
      <c r="CG132" s="167">
        <v>0</v>
      </c>
      <c r="CH132" s="167">
        <v>0</v>
      </c>
      <c r="CI132" s="167">
        <v>0</v>
      </c>
      <c r="CJ132" s="167">
        <v>0</v>
      </c>
      <c r="CK132" s="167">
        <v>0</v>
      </c>
      <c r="CL132" s="167">
        <v>0</v>
      </c>
      <c r="CM132" s="167">
        <v>0</v>
      </c>
      <c r="CN132" s="167">
        <v>0</v>
      </c>
      <c r="CO132" s="167">
        <v>0</v>
      </c>
      <c r="CP132" s="167">
        <v>0</v>
      </c>
      <c r="CQ132" s="167">
        <v>0</v>
      </c>
      <c r="CR132" s="167">
        <v>0</v>
      </c>
      <c r="CS132" s="167">
        <v>0</v>
      </c>
      <c r="CT132" s="167">
        <v>0</v>
      </c>
      <c r="CU132" s="167">
        <v>0</v>
      </c>
      <c r="CV132" s="167">
        <v>0</v>
      </c>
      <c r="CW132" s="167">
        <v>0</v>
      </c>
      <c r="CX132" s="167">
        <f>SUM(CD132:CH132)</f>
        <v>0</v>
      </c>
      <c r="CY132" s="167">
        <f>SUM(CD132:CM132)</f>
        <v>0</v>
      </c>
    </row>
    <row r="133" spans="1:103" ht="12.75" customHeight="1" x14ac:dyDescent="0.2">
      <c r="A133" s="81">
        <v>5989</v>
      </c>
      <c r="B133" s="165" t="s">
        <v>1924</v>
      </c>
      <c r="C133" s="165" t="s">
        <v>620</v>
      </c>
      <c r="E133" s="165" t="s">
        <v>3180</v>
      </c>
      <c r="G133" s="81">
        <v>528980</v>
      </c>
      <c r="H133" s="81">
        <v>173751</v>
      </c>
      <c r="I133" s="165" t="s">
        <v>247</v>
      </c>
      <c r="J133" s="349">
        <v>42825</v>
      </c>
      <c r="K133" s="349">
        <v>43048</v>
      </c>
      <c r="L133" s="166">
        <v>2</v>
      </c>
      <c r="M133" s="166">
        <v>1</v>
      </c>
      <c r="N133" s="166">
        <v>-1</v>
      </c>
      <c r="O133" s="166">
        <v>1</v>
      </c>
      <c r="P133" s="166">
        <v>-1</v>
      </c>
      <c r="R133" s="165" t="s">
        <v>621</v>
      </c>
      <c r="S133" s="81" t="s">
        <v>113</v>
      </c>
      <c r="T133" s="349">
        <v>42188</v>
      </c>
      <c r="U133" s="349">
        <v>42243</v>
      </c>
      <c r="W133" s="81" t="s">
        <v>114</v>
      </c>
      <c r="Y133" s="81" t="s">
        <v>115</v>
      </c>
      <c r="Z133" s="81" t="s">
        <v>119</v>
      </c>
      <c r="AA133" s="81" t="s">
        <v>117</v>
      </c>
      <c r="AB133" s="81" t="s">
        <v>336</v>
      </c>
      <c r="AC133" s="166">
        <v>1.7999999225139601E-2</v>
      </c>
      <c r="AD133" s="349">
        <v>42825</v>
      </c>
      <c r="AF133" s="349">
        <v>43048</v>
      </c>
      <c r="AG133" s="81" t="s">
        <v>238</v>
      </c>
      <c r="AH133" s="81" t="s">
        <v>118</v>
      </c>
      <c r="AK133" s="166">
        <v>0</v>
      </c>
      <c r="AM133" s="166">
        <v>0</v>
      </c>
      <c r="AO133" s="166">
        <v>0</v>
      </c>
      <c r="AP133" s="166">
        <v>-1</v>
      </c>
      <c r="AQ133" s="166">
        <v>0</v>
      </c>
      <c r="AR133" s="166">
        <v>-1</v>
      </c>
      <c r="AS133" s="166">
        <v>1</v>
      </c>
      <c r="AT133" s="166">
        <v>0</v>
      </c>
      <c r="AU133" s="166">
        <v>0</v>
      </c>
      <c r="AV133" s="166">
        <v>0</v>
      </c>
      <c r="AW133" s="166">
        <v>-1</v>
      </c>
      <c r="AX133" s="166">
        <v>0</v>
      </c>
      <c r="AY133" s="166">
        <v>-1</v>
      </c>
      <c r="AZ133" s="166">
        <v>0</v>
      </c>
      <c r="BA133" s="166">
        <v>0</v>
      </c>
      <c r="BB133" s="166">
        <v>0</v>
      </c>
      <c r="BC133" s="166">
        <v>0</v>
      </c>
      <c r="BD133" s="166">
        <v>0</v>
      </c>
      <c r="BE133" s="166">
        <v>0</v>
      </c>
      <c r="BF133" s="166">
        <v>0</v>
      </c>
      <c r="BG133" s="166">
        <v>1</v>
      </c>
      <c r="BH133" s="166">
        <v>0</v>
      </c>
      <c r="BI133" s="166">
        <v>0</v>
      </c>
      <c r="BJ133" s="166">
        <v>0</v>
      </c>
      <c r="BK133" s="166">
        <v>0</v>
      </c>
      <c r="BL133" s="166">
        <v>0</v>
      </c>
      <c r="BM133" s="166">
        <v>0</v>
      </c>
      <c r="BN133" s="166">
        <v>0</v>
      </c>
      <c r="BO133" s="166">
        <v>0</v>
      </c>
      <c r="BP133" s="166">
        <v>0</v>
      </c>
      <c r="BQ133" s="81" t="s">
        <v>1757</v>
      </c>
      <c r="BZ133" s="81" t="s">
        <v>155</v>
      </c>
      <c r="CA133" s="81">
        <v>7</v>
      </c>
      <c r="CC133" s="167">
        <f>N133</f>
        <v>-1</v>
      </c>
      <c r="CD133" s="167">
        <v>0</v>
      </c>
      <c r="CE133" s="167">
        <v>0</v>
      </c>
      <c r="CF133" s="167">
        <v>0</v>
      </c>
      <c r="CG133" s="167">
        <v>0</v>
      </c>
      <c r="CH133" s="167">
        <v>0</v>
      </c>
      <c r="CI133" s="167">
        <v>0</v>
      </c>
      <c r="CJ133" s="167">
        <v>0</v>
      </c>
      <c r="CK133" s="167">
        <v>0</v>
      </c>
      <c r="CL133" s="167">
        <v>0</v>
      </c>
      <c r="CM133" s="167">
        <v>0</v>
      </c>
      <c r="CN133" s="167">
        <v>0</v>
      </c>
      <c r="CO133" s="167">
        <v>0</v>
      </c>
      <c r="CP133" s="167">
        <v>0</v>
      </c>
      <c r="CQ133" s="167">
        <v>0</v>
      </c>
      <c r="CR133" s="167">
        <v>0</v>
      </c>
      <c r="CS133" s="167">
        <v>0</v>
      </c>
      <c r="CT133" s="167">
        <v>0</v>
      </c>
      <c r="CU133" s="167">
        <v>0</v>
      </c>
      <c r="CV133" s="167">
        <v>0</v>
      </c>
      <c r="CW133" s="167">
        <v>0</v>
      </c>
      <c r="CX133" s="167">
        <f>SUM(CD133:CH133)</f>
        <v>0</v>
      </c>
      <c r="CY133" s="167">
        <f>SUM(CD133:CM133)</f>
        <v>0</v>
      </c>
    </row>
    <row r="134" spans="1:103" ht="12.75" customHeight="1" x14ac:dyDescent="0.2">
      <c r="A134" s="81">
        <v>6004</v>
      </c>
      <c r="B134" s="165" t="s">
        <v>1924</v>
      </c>
      <c r="C134" s="165" t="s">
        <v>577</v>
      </c>
      <c r="E134" s="165" t="s">
        <v>3181</v>
      </c>
      <c r="G134" s="81">
        <v>527498</v>
      </c>
      <c r="H134" s="81">
        <v>171520</v>
      </c>
      <c r="I134" s="165" t="s">
        <v>253</v>
      </c>
      <c r="J134" s="349">
        <v>42472</v>
      </c>
      <c r="K134" s="349">
        <v>42965</v>
      </c>
      <c r="L134" s="166">
        <v>0</v>
      </c>
      <c r="M134" s="166">
        <v>6</v>
      </c>
      <c r="N134" s="166">
        <v>6</v>
      </c>
      <c r="O134" s="166">
        <v>6</v>
      </c>
      <c r="P134" s="166">
        <v>6</v>
      </c>
      <c r="R134" s="165" t="s">
        <v>1135</v>
      </c>
      <c r="S134" s="81" t="s">
        <v>113</v>
      </c>
      <c r="T134" s="349">
        <v>42179</v>
      </c>
      <c r="U134" s="349">
        <v>42347</v>
      </c>
      <c r="W134" s="81" t="s">
        <v>114</v>
      </c>
      <c r="Y134" s="81" t="s">
        <v>115</v>
      </c>
      <c r="Z134" s="81" t="s">
        <v>398</v>
      </c>
      <c r="AA134" s="81" t="s">
        <v>117</v>
      </c>
      <c r="AB134" s="81" t="s">
        <v>218</v>
      </c>
      <c r="AC134" s="166">
        <v>1.7000000923872001E-2</v>
      </c>
      <c r="AD134" s="349">
        <v>42472</v>
      </c>
      <c r="AF134" s="349">
        <v>42965</v>
      </c>
      <c r="AG134" s="81" t="s">
        <v>238</v>
      </c>
      <c r="AH134" s="81" t="s">
        <v>118</v>
      </c>
      <c r="AI134" s="81" t="s">
        <v>2448</v>
      </c>
      <c r="AK134" s="166">
        <v>0</v>
      </c>
      <c r="AM134" s="166">
        <v>0</v>
      </c>
      <c r="AO134" s="166">
        <v>0</v>
      </c>
      <c r="AP134" s="166">
        <v>3</v>
      </c>
      <c r="AQ134" s="166">
        <v>3</v>
      </c>
      <c r="AR134" s="166">
        <v>0</v>
      </c>
      <c r="AS134" s="166">
        <v>0</v>
      </c>
      <c r="AT134" s="166">
        <v>0</v>
      </c>
      <c r="AU134" s="166">
        <v>0</v>
      </c>
      <c r="AV134" s="166">
        <v>0</v>
      </c>
      <c r="AW134" s="166">
        <v>3</v>
      </c>
      <c r="AX134" s="166">
        <v>3</v>
      </c>
      <c r="AY134" s="166">
        <v>0</v>
      </c>
      <c r="AZ134" s="166">
        <v>0</v>
      </c>
      <c r="BA134" s="166">
        <v>0</v>
      </c>
      <c r="BB134" s="166">
        <v>0</v>
      </c>
      <c r="BC134" s="166">
        <v>0</v>
      </c>
      <c r="BD134" s="166">
        <v>0</v>
      </c>
      <c r="BE134" s="166">
        <v>0</v>
      </c>
      <c r="BF134" s="166">
        <v>0</v>
      </c>
      <c r="BG134" s="166">
        <v>0</v>
      </c>
      <c r="BH134" s="166">
        <v>0</v>
      </c>
      <c r="BI134" s="166">
        <v>0</v>
      </c>
      <c r="BJ134" s="166">
        <v>0</v>
      </c>
      <c r="BK134" s="166">
        <v>0</v>
      </c>
      <c r="BL134" s="166">
        <v>0</v>
      </c>
      <c r="BM134" s="166">
        <v>0</v>
      </c>
      <c r="BN134" s="166">
        <v>0</v>
      </c>
      <c r="BO134" s="166">
        <v>0</v>
      </c>
      <c r="BP134" s="166">
        <v>0</v>
      </c>
      <c r="BQ134" s="81" t="s">
        <v>1757</v>
      </c>
      <c r="BR134" s="81" t="s">
        <v>242</v>
      </c>
      <c r="BZ134" s="81" t="s">
        <v>155</v>
      </c>
      <c r="CA134" s="81">
        <v>7</v>
      </c>
      <c r="CC134" s="167">
        <f>N134</f>
        <v>6</v>
      </c>
      <c r="CD134" s="167">
        <v>0</v>
      </c>
      <c r="CE134" s="167">
        <v>0</v>
      </c>
      <c r="CF134" s="167">
        <v>0</v>
      </c>
      <c r="CG134" s="167">
        <v>0</v>
      </c>
      <c r="CH134" s="167">
        <v>0</v>
      </c>
      <c r="CI134" s="167">
        <v>0</v>
      </c>
      <c r="CJ134" s="167">
        <v>0</v>
      </c>
      <c r="CK134" s="167">
        <v>0</v>
      </c>
      <c r="CL134" s="167">
        <v>0</v>
      </c>
      <c r="CM134" s="167">
        <v>0</v>
      </c>
      <c r="CN134" s="167">
        <v>0</v>
      </c>
      <c r="CO134" s="167">
        <v>0</v>
      </c>
      <c r="CP134" s="167">
        <v>0</v>
      </c>
      <c r="CQ134" s="167">
        <v>0</v>
      </c>
      <c r="CR134" s="167">
        <v>0</v>
      </c>
      <c r="CS134" s="167">
        <v>0</v>
      </c>
      <c r="CT134" s="167">
        <v>0</v>
      </c>
      <c r="CU134" s="167">
        <v>0</v>
      </c>
      <c r="CV134" s="167">
        <v>0</v>
      </c>
      <c r="CW134" s="167">
        <v>0</v>
      </c>
      <c r="CX134" s="167">
        <f>SUM(CD134:CH134)</f>
        <v>0</v>
      </c>
      <c r="CY134" s="167">
        <f>SUM(CD134:CM134)</f>
        <v>0</v>
      </c>
    </row>
    <row r="135" spans="1:103" ht="12.75" customHeight="1" x14ac:dyDescent="0.2">
      <c r="A135" s="81">
        <v>6005</v>
      </c>
      <c r="B135" s="165" t="s">
        <v>1924</v>
      </c>
      <c r="C135" s="165" t="s">
        <v>589</v>
      </c>
      <c r="E135" s="165" t="s">
        <v>3182</v>
      </c>
      <c r="G135" s="81">
        <v>523785</v>
      </c>
      <c r="H135" s="81">
        <v>174060</v>
      </c>
      <c r="I135" s="165" t="s">
        <v>250</v>
      </c>
      <c r="J135" s="349">
        <v>42826</v>
      </c>
      <c r="K135" s="349">
        <v>43190</v>
      </c>
      <c r="L135" s="166">
        <v>1</v>
      </c>
      <c r="M135" s="166">
        <v>2</v>
      </c>
      <c r="N135" s="166">
        <v>1</v>
      </c>
      <c r="O135" s="166">
        <v>2</v>
      </c>
      <c r="P135" s="166">
        <v>1</v>
      </c>
      <c r="R135" s="165" t="s">
        <v>590</v>
      </c>
      <c r="S135" s="81" t="s">
        <v>113</v>
      </c>
      <c r="T135" s="349">
        <v>42163</v>
      </c>
      <c r="U135" s="349">
        <v>42270</v>
      </c>
      <c r="W135" s="81" t="s">
        <v>114</v>
      </c>
      <c r="Y135" s="81" t="s">
        <v>115</v>
      </c>
      <c r="Z135" s="81" t="s">
        <v>119</v>
      </c>
      <c r="AA135" s="81" t="s">
        <v>117</v>
      </c>
      <c r="AB135" s="81" t="s">
        <v>3890</v>
      </c>
      <c r="AC135" s="166">
        <v>4.1999999433755902E-2</v>
      </c>
      <c r="AD135" s="349">
        <v>42826</v>
      </c>
      <c r="AE135" s="81" t="s">
        <v>155</v>
      </c>
      <c r="AF135" s="349">
        <v>43190</v>
      </c>
      <c r="AG135" s="81" t="s">
        <v>238</v>
      </c>
      <c r="AH135" s="81" t="s">
        <v>118</v>
      </c>
      <c r="AK135" s="166">
        <v>0</v>
      </c>
      <c r="AM135" s="166">
        <v>0</v>
      </c>
      <c r="AO135" s="166">
        <v>0</v>
      </c>
      <c r="AP135" s="166">
        <v>1</v>
      </c>
      <c r="AQ135" s="166">
        <v>0</v>
      </c>
      <c r="AR135" s="166">
        <v>0</v>
      </c>
      <c r="AS135" s="166">
        <v>1</v>
      </c>
      <c r="AT135" s="166">
        <v>-1</v>
      </c>
      <c r="AU135" s="166">
        <v>0</v>
      </c>
      <c r="AV135" s="166">
        <v>0</v>
      </c>
      <c r="AW135" s="166">
        <v>0</v>
      </c>
      <c r="AX135" s="166">
        <v>0</v>
      </c>
      <c r="AY135" s="166">
        <v>0</v>
      </c>
      <c r="AZ135" s="166">
        <v>0</v>
      </c>
      <c r="BA135" s="166">
        <v>0</v>
      </c>
      <c r="BB135" s="166">
        <v>0</v>
      </c>
      <c r="BC135" s="166">
        <v>0</v>
      </c>
      <c r="BD135" s="166">
        <v>1</v>
      </c>
      <c r="BE135" s="166">
        <v>0</v>
      </c>
      <c r="BF135" s="166">
        <v>0</v>
      </c>
      <c r="BG135" s="166">
        <v>1</v>
      </c>
      <c r="BH135" s="166">
        <v>-1</v>
      </c>
      <c r="BI135" s="166">
        <v>0</v>
      </c>
      <c r="BJ135" s="166">
        <v>0</v>
      </c>
      <c r="BK135" s="166">
        <v>0</v>
      </c>
      <c r="BL135" s="166">
        <v>0</v>
      </c>
      <c r="BM135" s="166">
        <v>0</v>
      </c>
      <c r="BN135" s="166">
        <v>0</v>
      </c>
      <c r="BO135" s="166">
        <v>0</v>
      </c>
      <c r="BP135" s="166">
        <v>0</v>
      </c>
      <c r="BQ135" s="81" t="s">
        <v>1758</v>
      </c>
      <c r="BZ135" s="81" t="s">
        <v>155</v>
      </c>
      <c r="CA135" s="81">
        <v>7</v>
      </c>
      <c r="CC135" s="167">
        <f>N135</f>
        <v>1</v>
      </c>
      <c r="CD135" s="167">
        <v>0</v>
      </c>
      <c r="CE135" s="167">
        <v>0</v>
      </c>
      <c r="CF135" s="167">
        <v>0</v>
      </c>
      <c r="CG135" s="167">
        <v>0</v>
      </c>
      <c r="CH135" s="167">
        <v>0</v>
      </c>
      <c r="CI135" s="167">
        <v>0</v>
      </c>
      <c r="CJ135" s="167">
        <v>0</v>
      </c>
      <c r="CK135" s="167">
        <v>0</v>
      </c>
      <c r="CL135" s="167">
        <v>0</v>
      </c>
      <c r="CM135" s="167">
        <v>0</v>
      </c>
      <c r="CN135" s="167">
        <v>0</v>
      </c>
      <c r="CO135" s="167">
        <v>0</v>
      </c>
      <c r="CP135" s="167">
        <v>0</v>
      </c>
      <c r="CQ135" s="167">
        <v>0</v>
      </c>
      <c r="CR135" s="167">
        <v>0</v>
      </c>
      <c r="CS135" s="167">
        <v>0</v>
      </c>
      <c r="CT135" s="167">
        <v>0</v>
      </c>
      <c r="CU135" s="167">
        <v>0</v>
      </c>
      <c r="CV135" s="167">
        <v>0</v>
      </c>
      <c r="CW135" s="167">
        <v>0</v>
      </c>
      <c r="CX135" s="167">
        <f>SUM(CD135:CH135)</f>
        <v>0</v>
      </c>
      <c r="CY135" s="167">
        <f>SUM(CD135:CM135)</f>
        <v>0</v>
      </c>
    </row>
    <row r="136" spans="1:103" ht="12.75" customHeight="1" x14ac:dyDescent="0.2">
      <c r="A136" s="81">
        <v>6012</v>
      </c>
      <c r="B136" s="165" t="s">
        <v>1924</v>
      </c>
      <c r="C136" s="165" t="s">
        <v>592</v>
      </c>
      <c r="E136" s="165" t="s">
        <v>3952</v>
      </c>
      <c r="G136" s="81">
        <v>523712</v>
      </c>
      <c r="H136" s="81">
        <v>172976</v>
      </c>
      <c r="I136" s="165" t="s">
        <v>111</v>
      </c>
      <c r="J136" s="349">
        <v>42640</v>
      </c>
      <c r="K136" s="349">
        <v>42944</v>
      </c>
      <c r="L136" s="166">
        <v>0</v>
      </c>
      <c r="M136" s="166">
        <v>2</v>
      </c>
      <c r="N136" s="166">
        <v>2</v>
      </c>
      <c r="O136" s="166">
        <v>2</v>
      </c>
      <c r="P136" s="166">
        <v>2</v>
      </c>
      <c r="R136" s="165" t="s">
        <v>593</v>
      </c>
      <c r="S136" s="81" t="s">
        <v>113</v>
      </c>
      <c r="T136" s="349">
        <v>42191</v>
      </c>
      <c r="U136" s="349">
        <v>42257</v>
      </c>
      <c r="W136" s="81" t="s">
        <v>114</v>
      </c>
      <c r="Y136" s="81" t="s">
        <v>115</v>
      </c>
      <c r="Z136" s="81" t="s">
        <v>116</v>
      </c>
      <c r="AA136" s="81" t="s">
        <v>117</v>
      </c>
      <c r="AB136" s="81" t="s">
        <v>218</v>
      </c>
      <c r="AC136" s="166">
        <v>3.4000001847744002E-2</v>
      </c>
      <c r="AD136" s="349">
        <v>42640</v>
      </c>
      <c r="AF136" s="349">
        <v>42944</v>
      </c>
      <c r="AG136" s="81" t="s">
        <v>154</v>
      </c>
      <c r="AH136" s="81" t="s">
        <v>38</v>
      </c>
      <c r="AK136" s="166">
        <v>2</v>
      </c>
      <c r="AM136" s="166">
        <v>0</v>
      </c>
      <c r="AO136" s="166">
        <v>0</v>
      </c>
      <c r="AP136" s="166">
        <v>0</v>
      </c>
      <c r="AQ136" s="166">
        <v>0</v>
      </c>
      <c r="AR136" s="166">
        <v>2</v>
      </c>
      <c r="AS136" s="166">
        <v>0</v>
      </c>
      <c r="AT136" s="166">
        <v>0</v>
      </c>
      <c r="AU136" s="166">
        <v>0</v>
      </c>
      <c r="AV136" s="166">
        <v>0</v>
      </c>
      <c r="AW136" s="166">
        <v>0</v>
      </c>
      <c r="AX136" s="166">
        <v>0</v>
      </c>
      <c r="AY136" s="166">
        <v>0</v>
      </c>
      <c r="AZ136" s="166">
        <v>0</v>
      </c>
      <c r="BA136" s="166">
        <v>0</v>
      </c>
      <c r="BB136" s="166">
        <v>0</v>
      </c>
      <c r="BC136" s="166">
        <v>0</v>
      </c>
      <c r="BD136" s="166">
        <v>0</v>
      </c>
      <c r="BE136" s="166">
        <v>0</v>
      </c>
      <c r="BF136" s="166">
        <v>2</v>
      </c>
      <c r="BG136" s="166">
        <v>0</v>
      </c>
      <c r="BH136" s="166">
        <v>0</v>
      </c>
      <c r="BI136" s="166">
        <v>0</v>
      </c>
      <c r="BJ136" s="166">
        <v>0</v>
      </c>
      <c r="BK136" s="166">
        <v>0</v>
      </c>
      <c r="BL136" s="166">
        <v>0</v>
      </c>
      <c r="BM136" s="166">
        <v>0</v>
      </c>
      <c r="BN136" s="166">
        <v>0</v>
      </c>
      <c r="BO136" s="166">
        <v>0</v>
      </c>
      <c r="BP136" s="166">
        <v>0</v>
      </c>
      <c r="BQ136" s="81" t="s">
        <v>1758</v>
      </c>
      <c r="BZ136" s="81" t="s">
        <v>155</v>
      </c>
      <c r="CA136" s="81">
        <v>1</v>
      </c>
      <c r="CC136" s="167">
        <f>N136</f>
        <v>2</v>
      </c>
      <c r="CD136" s="167">
        <v>0</v>
      </c>
      <c r="CE136" s="167">
        <v>0</v>
      </c>
      <c r="CF136" s="167">
        <v>0</v>
      </c>
      <c r="CG136" s="167">
        <v>0</v>
      </c>
      <c r="CH136" s="167">
        <v>0</v>
      </c>
      <c r="CI136" s="167">
        <v>0</v>
      </c>
      <c r="CJ136" s="167">
        <v>0</v>
      </c>
      <c r="CK136" s="167">
        <v>0</v>
      </c>
      <c r="CL136" s="167">
        <v>0</v>
      </c>
      <c r="CM136" s="167">
        <v>0</v>
      </c>
      <c r="CN136" s="167">
        <v>0</v>
      </c>
      <c r="CO136" s="167">
        <v>0</v>
      </c>
      <c r="CP136" s="167">
        <v>0</v>
      </c>
      <c r="CQ136" s="167">
        <v>0</v>
      </c>
      <c r="CR136" s="167">
        <v>0</v>
      </c>
      <c r="CS136" s="167">
        <v>0</v>
      </c>
      <c r="CT136" s="167">
        <v>0</v>
      </c>
      <c r="CU136" s="167">
        <v>0</v>
      </c>
      <c r="CV136" s="167">
        <v>0</v>
      </c>
      <c r="CW136" s="167">
        <v>0</v>
      </c>
      <c r="CX136" s="167">
        <f>SUM(CD136:CH136)</f>
        <v>0</v>
      </c>
      <c r="CY136" s="167">
        <f>SUM(CD136:CM136)</f>
        <v>0</v>
      </c>
    </row>
    <row r="137" spans="1:103" ht="12.75" customHeight="1" x14ac:dyDescent="0.2">
      <c r="A137" s="81">
        <v>6014</v>
      </c>
      <c r="B137" s="165" t="s">
        <v>1924</v>
      </c>
      <c r="C137" s="165" t="s">
        <v>961</v>
      </c>
      <c r="E137" s="165" t="s">
        <v>3183</v>
      </c>
      <c r="G137" s="81">
        <v>527855</v>
      </c>
      <c r="H137" s="81">
        <v>174092</v>
      </c>
      <c r="I137" s="165" t="s">
        <v>255</v>
      </c>
      <c r="J137" s="349">
        <v>42702</v>
      </c>
      <c r="K137" s="349">
        <v>43116</v>
      </c>
      <c r="L137" s="166">
        <v>0</v>
      </c>
      <c r="M137" s="166">
        <v>1</v>
      </c>
      <c r="N137" s="166">
        <v>1</v>
      </c>
      <c r="O137" s="166">
        <v>1</v>
      </c>
      <c r="P137" s="166">
        <v>1</v>
      </c>
      <c r="R137" s="165" t="s">
        <v>962</v>
      </c>
      <c r="S137" s="81" t="s">
        <v>296</v>
      </c>
      <c r="T137" s="349">
        <v>42299</v>
      </c>
      <c r="U137" s="349">
        <v>42391</v>
      </c>
      <c r="W137" s="81" t="s">
        <v>297</v>
      </c>
      <c r="X137" s="349">
        <v>42577</v>
      </c>
      <c r="Y137" s="81" t="s">
        <v>115</v>
      </c>
      <c r="Z137" s="81" t="s">
        <v>398</v>
      </c>
      <c r="AA137" s="81" t="s">
        <v>117</v>
      </c>
      <c r="AB137" s="81" t="s">
        <v>311</v>
      </c>
      <c r="AC137" s="166">
        <v>2.4000000208616298E-2</v>
      </c>
      <c r="AD137" s="349">
        <v>42702</v>
      </c>
      <c r="AF137" s="349">
        <v>43116</v>
      </c>
      <c r="AG137" s="81" t="s">
        <v>238</v>
      </c>
      <c r="AH137" s="81" t="s">
        <v>118</v>
      </c>
      <c r="AK137" s="166">
        <v>0</v>
      </c>
      <c r="AM137" s="166">
        <v>0</v>
      </c>
      <c r="AO137" s="166">
        <v>0</v>
      </c>
      <c r="AP137" s="166">
        <v>0</v>
      </c>
      <c r="AQ137" s="166">
        <v>0</v>
      </c>
      <c r="AR137" s="166">
        <v>0</v>
      </c>
      <c r="AS137" s="166">
        <v>0</v>
      </c>
      <c r="AT137" s="166">
        <v>1</v>
      </c>
      <c r="AU137" s="166">
        <v>0</v>
      </c>
      <c r="AV137" s="166">
        <v>0</v>
      </c>
      <c r="AW137" s="166">
        <v>0</v>
      </c>
      <c r="AX137" s="166">
        <v>0</v>
      </c>
      <c r="AY137" s="166">
        <v>0</v>
      </c>
      <c r="AZ137" s="166">
        <v>0</v>
      </c>
      <c r="BA137" s="166">
        <v>0</v>
      </c>
      <c r="BB137" s="166">
        <v>0</v>
      </c>
      <c r="BC137" s="166">
        <v>0</v>
      </c>
      <c r="BD137" s="166">
        <v>0</v>
      </c>
      <c r="BE137" s="166">
        <v>0</v>
      </c>
      <c r="BF137" s="166">
        <v>0</v>
      </c>
      <c r="BG137" s="166">
        <v>0</v>
      </c>
      <c r="BH137" s="166">
        <v>1</v>
      </c>
      <c r="BI137" s="166">
        <v>0</v>
      </c>
      <c r="BJ137" s="166">
        <v>0</v>
      </c>
      <c r="BK137" s="166">
        <v>0</v>
      </c>
      <c r="BL137" s="166">
        <v>0</v>
      </c>
      <c r="BM137" s="166">
        <v>0</v>
      </c>
      <c r="BN137" s="166">
        <v>0</v>
      </c>
      <c r="BO137" s="166">
        <v>0</v>
      </c>
      <c r="BP137" s="166">
        <v>0</v>
      </c>
      <c r="BQ137" s="81" t="s">
        <v>1757</v>
      </c>
      <c r="BZ137" s="81" t="s">
        <v>155</v>
      </c>
      <c r="CA137" s="81">
        <v>7</v>
      </c>
      <c r="CC137" s="167">
        <f>N137</f>
        <v>1</v>
      </c>
      <c r="CD137" s="167">
        <v>0</v>
      </c>
      <c r="CE137" s="167">
        <v>0</v>
      </c>
      <c r="CF137" s="167">
        <v>0</v>
      </c>
      <c r="CG137" s="167">
        <v>0</v>
      </c>
      <c r="CH137" s="167">
        <v>0</v>
      </c>
      <c r="CI137" s="167">
        <v>0</v>
      </c>
      <c r="CJ137" s="167">
        <v>0</v>
      </c>
      <c r="CK137" s="167">
        <v>0</v>
      </c>
      <c r="CL137" s="167">
        <v>0</v>
      </c>
      <c r="CM137" s="167">
        <v>0</v>
      </c>
      <c r="CN137" s="167">
        <v>0</v>
      </c>
      <c r="CO137" s="167">
        <v>0</v>
      </c>
      <c r="CP137" s="167">
        <v>0</v>
      </c>
      <c r="CQ137" s="167">
        <v>0</v>
      </c>
      <c r="CR137" s="167">
        <v>0</v>
      </c>
      <c r="CS137" s="167">
        <v>0</v>
      </c>
      <c r="CT137" s="167">
        <v>0</v>
      </c>
      <c r="CU137" s="167">
        <v>0</v>
      </c>
      <c r="CV137" s="167">
        <v>0</v>
      </c>
      <c r="CW137" s="167">
        <v>0</v>
      </c>
      <c r="CX137" s="167">
        <f>SUM(CD137:CH137)</f>
        <v>0</v>
      </c>
      <c r="CY137" s="167">
        <f>SUM(CD137:CM137)</f>
        <v>0</v>
      </c>
    </row>
    <row r="138" spans="1:103" ht="12.75" customHeight="1" x14ac:dyDescent="0.2">
      <c r="A138" s="81">
        <v>6019</v>
      </c>
      <c r="B138" s="165" t="s">
        <v>1924</v>
      </c>
      <c r="C138" s="165" t="s">
        <v>622</v>
      </c>
      <c r="E138" s="165" t="s">
        <v>3184</v>
      </c>
      <c r="G138" s="81">
        <v>525160</v>
      </c>
      <c r="H138" s="81">
        <v>174246</v>
      </c>
      <c r="I138" s="165" t="s">
        <v>250</v>
      </c>
      <c r="J138" s="349">
        <v>42825</v>
      </c>
      <c r="K138" s="349">
        <v>42891</v>
      </c>
      <c r="L138" s="166">
        <v>2</v>
      </c>
      <c r="M138" s="166">
        <v>1</v>
      </c>
      <c r="N138" s="166">
        <v>-1</v>
      </c>
      <c r="O138" s="166">
        <v>1</v>
      </c>
      <c r="P138" s="166">
        <v>-1</v>
      </c>
      <c r="R138" s="165" t="s">
        <v>623</v>
      </c>
      <c r="S138" s="81" t="s">
        <v>113</v>
      </c>
      <c r="T138" s="349">
        <v>42205</v>
      </c>
      <c r="U138" s="349">
        <v>42320</v>
      </c>
      <c r="W138" s="81" t="s">
        <v>114</v>
      </c>
      <c r="Y138" s="81" t="s">
        <v>115</v>
      </c>
      <c r="Z138" s="81" t="s">
        <v>398</v>
      </c>
      <c r="AA138" s="81" t="s">
        <v>117</v>
      </c>
      <c r="AB138" s="81" t="s">
        <v>336</v>
      </c>
      <c r="AC138" s="166">
        <v>1.4999999664723899E-2</v>
      </c>
      <c r="AD138" s="349">
        <v>42825</v>
      </c>
      <c r="AF138" s="349">
        <v>42891</v>
      </c>
      <c r="AG138" s="81" t="s">
        <v>238</v>
      </c>
      <c r="AH138" s="81" t="s">
        <v>118</v>
      </c>
      <c r="AK138" s="166">
        <v>0</v>
      </c>
      <c r="AM138" s="166">
        <v>0</v>
      </c>
      <c r="AO138" s="166">
        <v>0</v>
      </c>
      <c r="AP138" s="166">
        <v>-1</v>
      </c>
      <c r="AQ138" s="166">
        <v>-1</v>
      </c>
      <c r="AR138" s="166">
        <v>1</v>
      </c>
      <c r="AS138" s="166">
        <v>0</v>
      </c>
      <c r="AT138" s="166">
        <v>0</v>
      </c>
      <c r="AU138" s="166">
        <v>0</v>
      </c>
      <c r="AV138" s="166">
        <v>0</v>
      </c>
      <c r="AW138" s="166">
        <v>-1</v>
      </c>
      <c r="AX138" s="166">
        <v>-1</v>
      </c>
      <c r="AY138" s="166">
        <v>0</v>
      </c>
      <c r="AZ138" s="166">
        <v>0</v>
      </c>
      <c r="BA138" s="166">
        <v>0</v>
      </c>
      <c r="BB138" s="166">
        <v>0</v>
      </c>
      <c r="BC138" s="166">
        <v>0</v>
      </c>
      <c r="BD138" s="166">
        <v>0</v>
      </c>
      <c r="BE138" s="166">
        <v>0</v>
      </c>
      <c r="BF138" s="166">
        <v>1</v>
      </c>
      <c r="BG138" s="166">
        <v>0</v>
      </c>
      <c r="BH138" s="166">
        <v>0</v>
      </c>
      <c r="BI138" s="166">
        <v>0</v>
      </c>
      <c r="BJ138" s="166">
        <v>0</v>
      </c>
      <c r="BK138" s="166">
        <v>0</v>
      </c>
      <c r="BL138" s="166">
        <v>0</v>
      </c>
      <c r="BM138" s="166">
        <v>0</v>
      </c>
      <c r="BN138" s="166">
        <v>0</v>
      </c>
      <c r="BO138" s="166">
        <v>0</v>
      </c>
      <c r="BP138" s="166">
        <v>0</v>
      </c>
      <c r="BQ138" s="81" t="s">
        <v>1758</v>
      </c>
      <c r="BZ138" s="81" t="s">
        <v>155</v>
      </c>
      <c r="CA138" s="81">
        <v>7</v>
      </c>
      <c r="CC138" s="167">
        <f>N138</f>
        <v>-1</v>
      </c>
      <c r="CD138" s="167">
        <v>0</v>
      </c>
      <c r="CE138" s="167">
        <v>0</v>
      </c>
      <c r="CF138" s="167">
        <v>0</v>
      </c>
      <c r="CG138" s="167">
        <v>0</v>
      </c>
      <c r="CH138" s="167">
        <v>0</v>
      </c>
      <c r="CI138" s="167">
        <v>0</v>
      </c>
      <c r="CJ138" s="167">
        <v>0</v>
      </c>
      <c r="CK138" s="167">
        <v>0</v>
      </c>
      <c r="CL138" s="167">
        <v>0</v>
      </c>
      <c r="CM138" s="167">
        <v>0</v>
      </c>
      <c r="CN138" s="167">
        <v>0</v>
      </c>
      <c r="CO138" s="167">
        <v>0</v>
      </c>
      <c r="CP138" s="167">
        <v>0</v>
      </c>
      <c r="CQ138" s="167">
        <v>0</v>
      </c>
      <c r="CR138" s="167">
        <v>0</v>
      </c>
      <c r="CS138" s="167">
        <v>0</v>
      </c>
      <c r="CT138" s="167">
        <v>0</v>
      </c>
      <c r="CU138" s="167">
        <v>0</v>
      </c>
      <c r="CV138" s="167">
        <v>0</v>
      </c>
      <c r="CW138" s="167">
        <v>0</v>
      </c>
      <c r="CX138" s="167">
        <f>SUM(CD138:CH138)</f>
        <v>0</v>
      </c>
      <c r="CY138" s="167">
        <f>SUM(CD138:CM138)</f>
        <v>0</v>
      </c>
    </row>
    <row r="139" spans="1:103" ht="12.75" customHeight="1" x14ac:dyDescent="0.2">
      <c r="A139" s="81">
        <v>6026</v>
      </c>
      <c r="B139" s="165" t="s">
        <v>1924</v>
      </c>
      <c r="C139" s="165" t="s">
        <v>632</v>
      </c>
      <c r="E139" s="165" t="s">
        <v>3185</v>
      </c>
      <c r="G139" s="81">
        <v>528765</v>
      </c>
      <c r="H139" s="81">
        <v>174023</v>
      </c>
      <c r="I139" s="165" t="s">
        <v>247</v>
      </c>
      <c r="J139" s="349">
        <v>42825</v>
      </c>
      <c r="K139" s="349">
        <v>43112</v>
      </c>
      <c r="L139" s="166">
        <v>0</v>
      </c>
      <c r="M139" s="166">
        <v>7</v>
      </c>
      <c r="N139" s="166">
        <v>7</v>
      </c>
      <c r="O139" s="166">
        <v>7</v>
      </c>
      <c r="P139" s="166">
        <v>7</v>
      </c>
      <c r="R139" s="165" t="s">
        <v>913</v>
      </c>
      <c r="S139" s="81" t="s">
        <v>113</v>
      </c>
      <c r="T139" s="349">
        <v>42227</v>
      </c>
      <c r="U139" s="349">
        <v>42304</v>
      </c>
      <c r="W139" s="81" t="s">
        <v>114</v>
      </c>
      <c r="Y139" s="81" t="s">
        <v>115</v>
      </c>
      <c r="Z139" s="81" t="s">
        <v>398</v>
      </c>
      <c r="AA139" s="81" t="s">
        <v>117</v>
      </c>
      <c r="AB139" s="81" t="s">
        <v>399</v>
      </c>
      <c r="AC139" s="166">
        <v>3.7999998778104803E-2</v>
      </c>
      <c r="AD139" s="349">
        <v>42825</v>
      </c>
      <c r="AF139" s="349">
        <v>43112</v>
      </c>
      <c r="AG139" s="81" t="s">
        <v>238</v>
      </c>
      <c r="AH139" s="81" t="s">
        <v>118</v>
      </c>
      <c r="AK139" s="166">
        <v>7</v>
      </c>
      <c r="AM139" s="166">
        <v>0</v>
      </c>
      <c r="AO139" s="166">
        <v>1</v>
      </c>
      <c r="AP139" s="166">
        <v>3</v>
      </c>
      <c r="AQ139" s="166">
        <v>3</v>
      </c>
      <c r="AR139" s="166">
        <v>0</v>
      </c>
      <c r="AS139" s="166">
        <v>0</v>
      </c>
      <c r="AT139" s="166">
        <v>0</v>
      </c>
      <c r="AU139" s="166">
        <v>0</v>
      </c>
      <c r="AV139" s="166">
        <v>1</v>
      </c>
      <c r="AW139" s="166">
        <v>3</v>
      </c>
      <c r="AX139" s="166">
        <v>3</v>
      </c>
      <c r="AY139" s="166">
        <v>0</v>
      </c>
      <c r="AZ139" s="166">
        <v>0</v>
      </c>
      <c r="BA139" s="166">
        <v>0</v>
      </c>
      <c r="BB139" s="166">
        <v>0</v>
      </c>
      <c r="BC139" s="166">
        <v>0</v>
      </c>
      <c r="BD139" s="166">
        <v>0</v>
      </c>
      <c r="BE139" s="166">
        <v>0</v>
      </c>
      <c r="BF139" s="166">
        <v>0</v>
      </c>
      <c r="BG139" s="166">
        <v>0</v>
      </c>
      <c r="BH139" s="166">
        <v>0</v>
      </c>
      <c r="BI139" s="166">
        <v>0</v>
      </c>
      <c r="BJ139" s="166">
        <v>0</v>
      </c>
      <c r="BK139" s="166">
        <v>0</v>
      </c>
      <c r="BL139" s="166">
        <v>0</v>
      </c>
      <c r="BM139" s="166">
        <v>0</v>
      </c>
      <c r="BN139" s="166">
        <v>0</v>
      </c>
      <c r="BO139" s="166">
        <v>0</v>
      </c>
      <c r="BP139" s="166">
        <v>0</v>
      </c>
      <c r="BQ139" s="81" t="s">
        <v>1757</v>
      </c>
      <c r="BZ139" s="81" t="s">
        <v>155</v>
      </c>
      <c r="CA139" s="81">
        <v>7</v>
      </c>
      <c r="CC139" s="167">
        <f>N139</f>
        <v>7</v>
      </c>
      <c r="CD139" s="167">
        <v>0</v>
      </c>
      <c r="CE139" s="167">
        <v>0</v>
      </c>
      <c r="CF139" s="167">
        <v>0</v>
      </c>
      <c r="CG139" s="167">
        <v>0</v>
      </c>
      <c r="CH139" s="167">
        <v>0</v>
      </c>
      <c r="CI139" s="167">
        <v>0</v>
      </c>
      <c r="CJ139" s="167">
        <v>0</v>
      </c>
      <c r="CK139" s="167">
        <v>0</v>
      </c>
      <c r="CL139" s="167">
        <v>0</v>
      </c>
      <c r="CM139" s="167">
        <v>0</v>
      </c>
      <c r="CN139" s="167">
        <v>0</v>
      </c>
      <c r="CO139" s="167">
        <v>0</v>
      </c>
      <c r="CP139" s="167">
        <v>0</v>
      </c>
      <c r="CQ139" s="167">
        <v>0</v>
      </c>
      <c r="CR139" s="167">
        <v>0</v>
      </c>
      <c r="CS139" s="167">
        <v>0</v>
      </c>
      <c r="CT139" s="167">
        <v>0</v>
      </c>
      <c r="CU139" s="167">
        <v>0</v>
      </c>
      <c r="CV139" s="167">
        <v>0</v>
      </c>
      <c r="CW139" s="167">
        <v>0</v>
      </c>
      <c r="CX139" s="167">
        <f>SUM(CD139:CH139)</f>
        <v>0</v>
      </c>
      <c r="CY139" s="167">
        <f>SUM(CD139:CM139)</f>
        <v>0</v>
      </c>
    </row>
    <row r="140" spans="1:103" ht="12.75" customHeight="1" x14ac:dyDescent="0.2">
      <c r="A140" s="81">
        <v>6041</v>
      </c>
      <c r="B140" s="165" t="s">
        <v>1924</v>
      </c>
      <c r="C140" s="165" t="s">
        <v>531</v>
      </c>
      <c r="E140" s="165" t="s">
        <v>3186</v>
      </c>
      <c r="F140" s="165" t="s">
        <v>532</v>
      </c>
      <c r="G140" s="81">
        <v>528421</v>
      </c>
      <c r="H140" s="81">
        <v>173244</v>
      </c>
      <c r="I140" s="165" t="s">
        <v>254</v>
      </c>
      <c r="J140" s="349">
        <v>42432</v>
      </c>
      <c r="K140" s="349">
        <v>42838</v>
      </c>
      <c r="L140" s="166">
        <v>1</v>
      </c>
      <c r="M140" s="166">
        <v>2</v>
      </c>
      <c r="N140" s="166">
        <v>1</v>
      </c>
      <c r="O140" s="166">
        <v>4</v>
      </c>
      <c r="P140" s="166">
        <v>1</v>
      </c>
      <c r="R140" s="165" t="s">
        <v>766</v>
      </c>
      <c r="S140" s="81" t="s">
        <v>113</v>
      </c>
      <c r="T140" s="349">
        <v>42348</v>
      </c>
      <c r="U140" s="349">
        <v>42404</v>
      </c>
      <c r="W140" s="81" t="s">
        <v>114</v>
      </c>
      <c r="Y140" s="81" t="s">
        <v>115</v>
      </c>
      <c r="Z140" s="81" t="s">
        <v>398</v>
      </c>
      <c r="AA140" s="81" t="s">
        <v>117</v>
      </c>
      <c r="AB140" s="81" t="s">
        <v>220</v>
      </c>
      <c r="AC140" s="166">
        <v>1.2000000104308101E-2</v>
      </c>
      <c r="AD140" s="349">
        <v>42432</v>
      </c>
      <c r="AF140" s="349">
        <v>42838</v>
      </c>
      <c r="AG140" s="81" t="s">
        <v>238</v>
      </c>
      <c r="AH140" s="81" t="s">
        <v>118</v>
      </c>
      <c r="AK140" s="166">
        <v>0</v>
      </c>
      <c r="AM140" s="166">
        <v>0</v>
      </c>
      <c r="AO140" s="166">
        <v>0</v>
      </c>
      <c r="AP140" s="166">
        <v>1</v>
      </c>
      <c r="AQ140" s="166">
        <v>0</v>
      </c>
      <c r="AR140" s="166">
        <v>0</v>
      </c>
      <c r="AS140" s="166">
        <v>0</v>
      </c>
      <c r="AT140" s="166">
        <v>0</v>
      </c>
      <c r="AU140" s="166">
        <v>0</v>
      </c>
      <c r="AV140" s="166">
        <v>0</v>
      </c>
      <c r="AW140" s="166">
        <v>1</v>
      </c>
      <c r="AX140" s="166">
        <v>0</v>
      </c>
      <c r="AY140" s="166">
        <v>0</v>
      </c>
      <c r="AZ140" s="166">
        <v>0</v>
      </c>
      <c r="BA140" s="166">
        <v>0</v>
      </c>
      <c r="BB140" s="166">
        <v>0</v>
      </c>
      <c r="BC140" s="166">
        <v>0</v>
      </c>
      <c r="BD140" s="166">
        <v>0</v>
      </c>
      <c r="BE140" s="166">
        <v>0</v>
      </c>
      <c r="BF140" s="166">
        <v>0</v>
      </c>
      <c r="BG140" s="166">
        <v>0</v>
      </c>
      <c r="BH140" s="166">
        <v>0</v>
      </c>
      <c r="BI140" s="166">
        <v>0</v>
      </c>
      <c r="BJ140" s="166">
        <v>0</v>
      </c>
      <c r="BK140" s="166">
        <v>0</v>
      </c>
      <c r="BL140" s="166">
        <v>0</v>
      </c>
      <c r="BM140" s="166">
        <v>0</v>
      </c>
      <c r="BN140" s="166">
        <v>0</v>
      </c>
      <c r="BO140" s="166">
        <v>0</v>
      </c>
      <c r="BP140" s="166">
        <v>0</v>
      </c>
      <c r="BQ140" s="81" t="s">
        <v>1757</v>
      </c>
      <c r="BR140" s="81" t="s">
        <v>247</v>
      </c>
      <c r="BZ140" s="81" t="s">
        <v>155</v>
      </c>
      <c r="CA140" s="81">
        <v>7</v>
      </c>
      <c r="CC140" s="167">
        <f>N140</f>
        <v>1</v>
      </c>
      <c r="CD140" s="167">
        <v>0</v>
      </c>
      <c r="CE140" s="167">
        <v>0</v>
      </c>
      <c r="CF140" s="167">
        <v>0</v>
      </c>
      <c r="CG140" s="167">
        <v>0</v>
      </c>
      <c r="CH140" s="167">
        <v>0</v>
      </c>
      <c r="CI140" s="167">
        <v>0</v>
      </c>
      <c r="CJ140" s="167">
        <v>0</v>
      </c>
      <c r="CK140" s="167">
        <v>0</v>
      </c>
      <c r="CL140" s="167">
        <v>0</v>
      </c>
      <c r="CM140" s="167">
        <v>0</v>
      </c>
      <c r="CN140" s="167">
        <v>0</v>
      </c>
      <c r="CO140" s="167">
        <v>0</v>
      </c>
      <c r="CP140" s="167">
        <v>0</v>
      </c>
      <c r="CQ140" s="167">
        <v>0</v>
      </c>
      <c r="CR140" s="167">
        <v>0</v>
      </c>
      <c r="CS140" s="167">
        <v>0</v>
      </c>
      <c r="CT140" s="167">
        <v>0</v>
      </c>
      <c r="CU140" s="167">
        <v>0</v>
      </c>
      <c r="CV140" s="167">
        <v>0</v>
      </c>
      <c r="CW140" s="167">
        <v>0</v>
      </c>
      <c r="CX140" s="167">
        <f>SUM(CD140:CH140)</f>
        <v>0</v>
      </c>
      <c r="CY140" s="167">
        <f>SUM(CD140:CM140)</f>
        <v>0</v>
      </c>
    </row>
    <row r="141" spans="1:103" ht="12.75" customHeight="1" x14ac:dyDescent="0.2">
      <c r="A141" s="81">
        <v>6041</v>
      </c>
      <c r="B141" s="165" t="s">
        <v>1924</v>
      </c>
      <c r="C141" s="165" t="s">
        <v>531</v>
      </c>
      <c r="E141" s="165" t="s">
        <v>3186</v>
      </c>
      <c r="F141" s="165" t="s">
        <v>533</v>
      </c>
      <c r="G141" s="81">
        <v>528421</v>
      </c>
      <c r="H141" s="81">
        <v>173244</v>
      </c>
      <c r="I141" s="165" t="s">
        <v>254</v>
      </c>
      <c r="J141" s="349">
        <v>42432</v>
      </c>
      <c r="K141" s="349">
        <v>42838</v>
      </c>
      <c r="L141" s="166">
        <v>2</v>
      </c>
      <c r="M141" s="166">
        <v>2</v>
      </c>
      <c r="N141" s="166">
        <v>0</v>
      </c>
      <c r="O141" s="166">
        <v>4</v>
      </c>
      <c r="P141" s="166">
        <v>1</v>
      </c>
      <c r="R141" s="165" t="s">
        <v>766</v>
      </c>
      <c r="S141" s="81" t="s">
        <v>113</v>
      </c>
      <c r="T141" s="349">
        <v>42348</v>
      </c>
      <c r="U141" s="349">
        <v>42404</v>
      </c>
      <c r="W141" s="81" t="s">
        <v>114</v>
      </c>
      <c r="Y141" s="81" t="s">
        <v>115</v>
      </c>
      <c r="Z141" s="81" t="s">
        <v>398</v>
      </c>
      <c r="AA141" s="81" t="s">
        <v>117</v>
      </c>
      <c r="AB141" s="81" t="s">
        <v>220</v>
      </c>
      <c r="AC141" s="166">
        <v>1.2000000104308101E-2</v>
      </c>
      <c r="AD141" s="349">
        <v>42432</v>
      </c>
      <c r="AF141" s="349">
        <v>42838</v>
      </c>
      <c r="AG141" s="81" t="s">
        <v>238</v>
      </c>
      <c r="AH141" s="81" t="s">
        <v>118</v>
      </c>
      <c r="AK141" s="166">
        <v>0</v>
      </c>
      <c r="AM141" s="166">
        <v>0</v>
      </c>
      <c r="AO141" s="166">
        <v>-1</v>
      </c>
      <c r="AP141" s="166">
        <v>1</v>
      </c>
      <c r="AQ141" s="166">
        <v>0</v>
      </c>
      <c r="AR141" s="166">
        <v>0</v>
      </c>
      <c r="AS141" s="166">
        <v>0</v>
      </c>
      <c r="AT141" s="166">
        <v>0</v>
      </c>
      <c r="AU141" s="166">
        <v>0</v>
      </c>
      <c r="AV141" s="166">
        <v>-1</v>
      </c>
      <c r="AW141" s="166">
        <v>1</v>
      </c>
      <c r="AX141" s="166">
        <v>0</v>
      </c>
      <c r="AY141" s="166">
        <v>0</v>
      </c>
      <c r="AZ141" s="166">
        <v>0</v>
      </c>
      <c r="BA141" s="166">
        <v>0</v>
      </c>
      <c r="BB141" s="166">
        <v>0</v>
      </c>
      <c r="BC141" s="166">
        <v>0</v>
      </c>
      <c r="BD141" s="166">
        <v>0</v>
      </c>
      <c r="BE141" s="166">
        <v>0</v>
      </c>
      <c r="BF141" s="166">
        <v>0</v>
      </c>
      <c r="BG141" s="166">
        <v>0</v>
      </c>
      <c r="BH141" s="166">
        <v>0</v>
      </c>
      <c r="BI141" s="166">
        <v>0</v>
      </c>
      <c r="BJ141" s="166">
        <v>0</v>
      </c>
      <c r="BK141" s="166">
        <v>0</v>
      </c>
      <c r="BL141" s="166">
        <v>0</v>
      </c>
      <c r="BM141" s="166">
        <v>0</v>
      </c>
      <c r="BN141" s="166">
        <v>0</v>
      </c>
      <c r="BO141" s="166">
        <v>0</v>
      </c>
      <c r="BP141" s="166">
        <v>0</v>
      </c>
      <c r="BQ141" s="81" t="s">
        <v>1757</v>
      </c>
      <c r="BR141" s="81" t="s">
        <v>247</v>
      </c>
      <c r="BZ141" s="81" t="s">
        <v>155</v>
      </c>
      <c r="CA141" s="81">
        <v>7</v>
      </c>
      <c r="CC141" s="167">
        <f>N141</f>
        <v>0</v>
      </c>
      <c r="CD141" s="167">
        <v>0</v>
      </c>
      <c r="CE141" s="167">
        <v>0</v>
      </c>
      <c r="CF141" s="167">
        <v>0</v>
      </c>
      <c r="CG141" s="167">
        <v>0</v>
      </c>
      <c r="CH141" s="167">
        <v>0</v>
      </c>
      <c r="CI141" s="167">
        <v>0</v>
      </c>
      <c r="CJ141" s="167">
        <v>0</v>
      </c>
      <c r="CK141" s="167">
        <v>0</v>
      </c>
      <c r="CL141" s="167">
        <v>0</v>
      </c>
      <c r="CM141" s="167">
        <v>0</v>
      </c>
      <c r="CN141" s="167">
        <v>0</v>
      </c>
      <c r="CO141" s="167">
        <v>0</v>
      </c>
      <c r="CP141" s="167">
        <v>0</v>
      </c>
      <c r="CQ141" s="167">
        <v>0</v>
      </c>
      <c r="CR141" s="167">
        <v>0</v>
      </c>
      <c r="CS141" s="167">
        <v>0</v>
      </c>
      <c r="CT141" s="167">
        <v>0</v>
      </c>
      <c r="CU141" s="167">
        <v>0</v>
      </c>
      <c r="CV141" s="167">
        <v>0</v>
      </c>
      <c r="CW141" s="167">
        <v>0</v>
      </c>
      <c r="CX141" s="167">
        <f>SUM(CD141:CH141)</f>
        <v>0</v>
      </c>
      <c r="CY141" s="167">
        <f>SUM(CD141:CM141)</f>
        <v>0</v>
      </c>
    </row>
    <row r="142" spans="1:103" ht="12.75" customHeight="1" x14ac:dyDescent="0.2">
      <c r="A142" s="81">
        <v>6056</v>
      </c>
      <c r="B142" s="165" t="s">
        <v>1924</v>
      </c>
      <c r="C142" s="165" t="s">
        <v>526</v>
      </c>
      <c r="E142" s="165" t="s">
        <v>3187</v>
      </c>
      <c r="G142" s="81">
        <v>525134</v>
      </c>
      <c r="H142" s="81">
        <v>173399</v>
      </c>
      <c r="I142" s="165" t="s">
        <v>258</v>
      </c>
      <c r="J142" s="349">
        <v>42388</v>
      </c>
      <c r="K142" s="349">
        <v>42830</v>
      </c>
      <c r="L142" s="166">
        <v>0</v>
      </c>
      <c r="M142" s="166">
        <v>2</v>
      </c>
      <c r="N142" s="166">
        <v>2</v>
      </c>
      <c r="O142" s="166">
        <v>2</v>
      </c>
      <c r="P142" s="166">
        <v>2</v>
      </c>
      <c r="R142" s="165" t="s">
        <v>763</v>
      </c>
      <c r="S142" s="81" t="s">
        <v>113</v>
      </c>
      <c r="T142" s="349">
        <v>42325</v>
      </c>
      <c r="U142" s="349">
        <v>42381</v>
      </c>
      <c r="W142" s="81" t="s">
        <v>114</v>
      </c>
      <c r="Y142" s="81" t="s">
        <v>115</v>
      </c>
      <c r="Z142" s="81" t="s">
        <v>398</v>
      </c>
      <c r="AA142" s="81" t="s">
        <v>117</v>
      </c>
      <c r="AB142" s="81" t="s">
        <v>311</v>
      </c>
      <c r="AC142" s="166">
        <v>1.7000000923872001E-2</v>
      </c>
      <c r="AD142" s="349">
        <v>42388</v>
      </c>
      <c r="AF142" s="349">
        <v>42830</v>
      </c>
      <c r="AG142" s="81" t="s">
        <v>238</v>
      </c>
      <c r="AH142" s="81" t="s">
        <v>118</v>
      </c>
      <c r="AK142" s="166">
        <v>0</v>
      </c>
      <c r="AM142" s="166">
        <v>0</v>
      </c>
      <c r="AO142" s="166">
        <v>1</v>
      </c>
      <c r="AP142" s="166">
        <v>0</v>
      </c>
      <c r="AQ142" s="166">
        <v>0</v>
      </c>
      <c r="AR142" s="166">
        <v>1</v>
      </c>
      <c r="AS142" s="166">
        <v>0</v>
      </c>
      <c r="AT142" s="166">
        <v>0</v>
      </c>
      <c r="AU142" s="166">
        <v>0</v>
      </c>
      <c r="AV142" s="166">
        <v>1</v>
      </c>
      <c r="AW142" s="166">
        <v>0</v>
      </c>
      <c r="AX142" s="166">
        <v>0</v>
      </c>
      <c r="AY142" s="166">
        <v>1</v>
      </c>
      <c r="AZ142" s="166">
        <v>0</v>
      </c>
      <c r="BA142" s="166">
        <v>0</v>
      </c>
      <c r="BB142" s="166">
        <v>0</v>
      </c>
      <c r="BC142" s="166">
        <v>0</v>
      </c>
      <c r="BD142" s="166">
        <v>0</v>
      </c>
      <c r="BE142" s="166">
        <v>0</v>
      </c>
      <c r="BF142" s="166">
        <v>0</v>
      </c>
      <c r="BG142" s="166">
        <v>0</v>
      </c>
      <c r="BH142" s="166">
        <v>0</v>
      </c>
      <c r="BI142" s="166">
        <v>0</v>
      </c>
      <c r="BJ142" s="166">
        <v>0</v>
      </c>
      <c r="BK142" s="166">
        <v>0</v>
      </c>
      <c r="BL142" s="166">
        <v>0</v>
      </c>
      <c r="BM142" s="166">
        <v>0</v>
      </c>
      <c r="BN142" s="166">
        <v>0</v>
      </c>
      <c r="BO142" s="166">
        <v>0</v>
      </c>
      <c r="BP142" s="166">
        <v>0</v>
      </c>
      <c r="BQ142" s="81" t="s">
        <v>1758</v>
      </c>
      <c r="BZ142" s="81" t="s">
        <v>155</v>
      </c>
      <c r="CA142" s="81">
        <v>7</v>
      </c>
      <c r="CC142" s="167">
        <f>N142</f>
        <v>2</v>
      </c>
      <c r="CD142" s="167">
        <v>0</v>
      </c>
      <c r="CE142" s="167">
        <v>0</v>
      </c>
      <c r="CF142" s="167">
        <v>0</v>
      </c>
      <c r="CG142" s="167">
        <v>0</v>
      </c>
      <c r="CH142" s="167">
        <v>0</v>
      </c>
      <c r="CI142" s="167">
        <v>0</v>
      </c>
      <c r="CJ142" s="167">
        <v>0</v>
      </c>
      <c r="CK142" s="167">
        <v>0</v>
      </c>
      <c r="CL142" s="167">
        <v>0</v>
      </c>
      <c r="CM142" s="167">
        <v>0</v>
      </c>
      <c r="CN142" s="167">
        <v>0</v>
      </c>
      <c r="CO142" s="167">
        <v>0</v>
      </c>
      <c r="CP142" s="167">
        <v>0</v>
      </c>
      <c r="CQ142" s="167">
        <v>0</v>
      </c>
      <c r="CR142" s="167">
        <v>0</v>
      </c>
      <c r="CS142" s="167">
        <v>0</v>
      </c>
      <c r="CT142" s="167">
        <v>0</v>
      </c>
      <c r="CU142" s="167">
        <v>0</v>
      </c>
      <c r="CV142" s="167">
        <v>0</v>
      </c>
      <c r="CW142" s="167">
        <v>0</v>
      </c>
      <c r="CX142" s="167">
        <f>SUM(CD142:CH142)</f>
        <v>0</v>
      </c>
      <c r="CY142" s="167">
        <f>SUM(CD142:CM142)</f>
        <v>0</v>
      </c>
    </row>
    <row r="143" spans="1:103" ht="12.75" customHeight="1" x14ac:dyDescent="0.2">
      <c r="A143" s="81">
        <v>6059</v>
      </c>
      <c r="B143" s="165" t="s">
        <v>1924</v>
      </c>
      <c r="C143" s="165" t="s">
        <v>645</v>
      </c>
      <c r="E143" s="165" t="s">
        <v>3188</v>
      </c>
      <c r="G143" s="81">
        <v>522113</v>
      </c>
      <c r="H143" s="81">
        <v>175402</v>
      </c>
      <c r="I143" s="165" t="s">
        <v>59</v>
      </c>
      <c r="J143" s="349">
        <v>42826</v>
      </c>
      <c r="K143" s="349">
        <v>43190</v>
      </c>
      <c r="L143" s="166">
        <v>1</v>
      </c>
      <c r="M143" s="166">
        <v>2</v>
      </c>
      <c r="N143" s="166">
        <v>1</v>
      </c>
      <c r="O143" s="166">
        <v>2</v>
      </c>
      <c r="P143" s="166">
        <v>1</v>
      </c>
      <c r="R143" s="165" t="s">
        <v>646</v>
      </c>
      <c r="S143" s="81" t="s">
        <v>113</v>
      </c>
      <c r="T143" s="349">
        <v>42262</v>
      </c>
      <c r="U143" s="349">
        <v>42321</v>
      </c>
      <c r="W143" s="81" t="s">
        <v>114</v>
      </c>
      <c r="Y143" s="81" t="s">
        <v>115</v>
      </c>
      <c r="Z143" s="81" t="s">
        <v>119</v>
      </c>
      <c r="AA143" s="81" t="s">
        <v>117</v>
      </c>
      <c r="AB143" s="81" t="s">
        <v>120</v>
      </c>
      <c r="AC143" s="166">
        <v>2.8000000864267301E-2</v>
      </c>
      <c r="AD143" s="349">
        <v>42826</v>
      </c>
      <c r="AE143" s="81" t="s">
        <v>155</v>
      </c>
      <c r="AF143" s="349">
        <v>43190</v>
      </c>
      <c r="AG143" s="81" t="s">
        <v>238</v>
      </c>
      <c r="AH143" s="81" t="s">
        <v>118</v>
      </c>
      <c r="AK143" s="166">
        <v>0</v>
      </c>
      <c r="AM143" s="166">
        <v>0</v>
      </c>
      <c r="AO143" s="166">
        <v>0</v>
      </c>
      <c r="AP143" s="166">
        <v>0</v>
      </c>
      <c r="AQ143" s="166">
        <v>1</v>
      </c>
      <c r="AR143" s="166">
        <v>1</v>
      </c>
      <c r="AS143" s="166">
        <v>0</v>
      </c>
      <c r="AT143" s="166">
        <v>-1</v>
      </c>
      <c r="AU143" s="166">
        <v>0</v>
      </c>
      <c r="AV143" s="166">
        <v>0</v>
      </c>
      <c r="AW143" s="166">
        <v>0</v>
      </c>
      <c r="AX143" s="166">
        <v>1</v>
      </c>
      <c r="AY143" s="166">
        <v>1</v>
      </c>
      <c r="AZ143" s="166">
        <v>0</v>
      </c>
      <c r="BA143" s="166">
        <v>0</v>
      </c>
      <c r="BB143" s="166">
        <v>0</v>
      </c>
      <c r="BC143" s="166">
        <v>0</v>
      </c>
      <c r="BD143" s="166">
        <v>0</v>
      </c>
      <c r="BE143" s="166">
        <v>0</v>
      </c>
      <c r="BF143" s="166">
        <v>0</v>
      </c>
      <c r="BG143" s="166">
        <v>0</v>
      </c>
      <c r="BH143" s="166">
        <v>-1</v>
      </c>
      <c r="BI143" s="166">
        <v>0</v>
      </c>
      <c r="BJ143" s="166">
        <v>0</v>
      </c>
      <c r="BK143" s="166">
        <v>0</v>
      </c>
      <c r="BL143" s="166">
        <v>0</v>
      </c>
      <c r="BM143" s="166">
        <v>0</v>
      </c>
      <c r="BN143" s="166">
        <v>0</v>
      </c>
      <c r="BO143" s="166">
        <v>0</v>
      </c>
      <c r="BP143" s="166">
        <v>0</v>
      </c>
      <c r="BQ143" s="81" t="s">
        <v>1758</v>
      </c>
      <c r="BZ143" s="81" t="s">
        <v>155</v>
      </c>
      <c r="CA143" s="81">
        <v>7</v>
      </c>
      <c r="CC143" s="167">
        <f>N143</f>
        <v>1</v>
      </c>
      <c r="CD143" s="167">
        <v>0</v>
      </c>
      <c r="CE143" s="167">
        <v>0</v>
      </c>
      <c r="CF143" s="167">
        <v>0</v>
      </c>
      <c r="CG143" s="167">
        <v>0</v>
      </c>
      <c r="CH143" s="167">
        <v>0</v>
      </c>
      <c r="CI143" s="167">
        <v>0</v>
      </c>
      <c r="CJ143" s="167">
        <v>0</v>
      </c>
      <c r="CK143" s="167">
        <v>0</v>
      </c>
      <c r="CL143" s="167">
        <v>0</v>
      </c>
      <c r="CM143" s="167">
        <v>0</v>
      </c>
      <c r="CN143" s="167">
        <v>0</v>
      </c>
      <c r="CO143" s="167">
        <v>0</v>
      </c>
      <c r="CP143" s="167">
        <v>0</v>
      </c>
      <c r="CQ143" s="167">
        <v>0</v>
      </c>
      <c r="CR143" s="167">
        <v>0</v>
      </c>
      <c r="CS143" s="167">
        <v>0</v>
      </c>
      <c r="CT143" s="167">
        <v>0</v>
      </c>
      <c r="CU143" s="167">
        <v>0</v>
      </c>
      <c r="CV143" s="167">
        <v>0</v>
      </c>
      <c r="CW143" s="167">
        <v>0</v>
      </c>
      <c r="CX143" s="167">
        <f>SUM(CD143:CH143)</f>
        <v>0</v>
      </c>
      <c r="CY143" s="167">
        <f>SUM(CD143:CM143)</f>
        <v>0</v>
      </c>
    </row>
    <row r="144" spans="1:103" ht="12.75" customHeight="1" x14ac:dyDescent="0.2">
      <c r="A144" s="81">
        <v>6062</v>
      </c>
      <c r="B144" s="165" t="s">
        <v>1924</v>
      </c>
      <c r="C144" s="165" t="s">
        <v>3189</v>
      </c>
      <c r="E144" s="165" t="s">
        <v>3190</v>
      </c>
      <c r="G144" s="81">
        <v>527568</v>
      </c>
      <c r="H144" s="81">
        <v>174693</v>
      </c>
      <c r="I144" s="165" t="s">
        <v>255</v>
      </c>
      <c r="J144" s="349">
        <v>43052</v>
      </c>
      <c r="K144" s="349">
        <v>43190</v>
      </c>
      <c r="L144" s="166">
        <v>1</v>
      </c>
      <c r="M144" s="166">
        <v>2</v>
      </c>
      <c r="N144" s="166">
        <v>1</v>
      </c>
      <c r="O144" s="166">
        <v>2</v>
      </c>
      <c r="P144" s="166">
        <v>1</v>
      </c>
      <c r="R144" s="165" t="s">
        <v>3191</v>
      </c>
      <c r="S144" s="81" t="s">
        <v>113</v>
      </c>
      <c r="T144" s="349">
        <v>42977</v>
      </c>
      <c r="U144" s="349">
        <v>43052</v>
      </c>
      <c r="V144" s="81" t="s">
        <v>155</v>
      </c>
      <c r="W144" s="81" t="s">
        <v>114</v>
      </c>
      <c r="Y144" s="81" t="s">
        <v>115</v>
      </c>
      <c r="Z144" s="81" t="s">
        <v>398</v>
      </c>
      <c r="AA144" s="81" t="s">
        <v>117</v>
      </c>
      <c r="AB144" s="81" t="s">
        <v>120</v>
      </c>
      <c r="AC144" s="166">
        <v>1.60000007599592E-2</v>
      </c>
      <c r="AD144" s="349">
        <v>43052</v>
      </c>
      <c r="AE144" s="81" t="s">
        <v>155</v>
      </c>
      <c r="AF144" s="349">
        <v>43190</v>
      </c>
      <c r="AG144" s="81" t="s">
        <v>238</v>
      </c>
      <c r="AH144" s="81" t="s">
        <v>118</v>
      </c>
      <c r="AK144" s="166">
        <v>0</v>
      </c>
      <c r="AM144" s="166">
        <v>0</v>
      </c>
      <c r="AO144" s="166">
        <v>0</v>
      </c>
      <c r="AP144" s="166">
        <v>0</v>
      </c>
      <c r="AQ144" s="166">
        <v>1</v>
      </c>
      <c r="AR144" s="166">
        <v>0</v>
      </c>
      <c r="AS144" s="166">
        <v>0</v>
      </c>
      <c r="AT144" s="166">
        <v>0</v>
      </c>
      <c r="AU144" s="166">
        <v>0</v>
      </c>
      <c r="AV144" s="166">
        <v>0</v>
      </c>
      <c r="AW144" s="166">
        <v>0</v>
      </c>
      <c r="AX144" s="166">
        <v>1</v>
      </c>
      <c r="AY144" s="166">
        <v>1</v>
      </c>
      <c r="AZ144" s="166">
        <v>0</v>
      </c>
      <c r="BA144" s="166">
        <v>0</v>
      </c>
      <c r="BB144" s="166">
        <v>0</v>
      </c>
      <c r="BC144" s="166">
        <v>0</v>
      </c>
      <c r="BD144" s="166">
        <v>0</v>
      </c>
      <c r="BE144" s="166">
        <v>0</v>
      </c>
      <c r="BF144" s="166">
        <v>-1</v>
      </c>
      <c r="BG144" s="166">
        <v>0</v>
      </c>
      <c r="BH144" s="166">
        <v>0</v>
      </c>
      <c r="BI144" s="166">
        <v>0</v>
      </c>
      <c r="BJ144" s="166">
        <v>0</v>
      </c>
      <c r="BK144" s="166">
        <v>0</v>
      </c>
      <c r="BL144" s="166">
        <v>0</v>
      </c>
      <c r="BM144" s="166">
        <v>0</v>
      </c>
      <c r="BN144" s="166">
        <v>0</v>
      </c>
      <c r="BO144" s="166">
        <v>0</v>
      </c>
      <c r="BP144" s="166">
        <v>0</v>
      </c>
      <c r="BQ144" s="81" t="s">
        <v>1757</v>
      </c>
      <c r="BZ144" s="81" t="s">
        <v>155</v>
      </c>
      <c r="CA144" s="81">
        <v>7</v>
      </c>
      <c r="CC144" s="167">
        <f>N144</f>
        <v>1</v>
      </c>
      <c r="CD144" s="167">
        <v>0</v>
      </c>
      <c r="CE144" s="167">
        <v>0</v>
      </c>
      <c r="CF144" s="167">
        <v>0</v>
      </c>
      <c r="CG144" s="167">
        <v>0</v>
      </c>
      <c r="CH144" s="167">
        <v>0</v>
      </c>
      <c r="CI144" s="167">
        <v>0</v>
      </c>
      <c r="CJ144" s="167">
        <v>0</v>
      </c>
      <c r="CK144" s="167">
        <v>0</v>
      </c>
      <c r="CL144" s="167">
        <v>0</v>
      </c>
      <c r="CM144" s="167">
        <v>0</v>
      </c>
      <c r="CN144" s="167">
        <v>0</v>
      </c>
      <c r="CO144" s="167">
        <v>0</v>
      </c>
      <c r="CP144" s="167">
        <v>0</v>
      </c>
      <c r="CQ144" s="167">
        <v>0</v>
      </c>
      <c r="CR144" s="167">
        <v>0</v>
      </c>
      <c r="CS144" s="167">
        <v>0</v>
      </c>
      <c r="CT144" s="167">
        <v>0</v>
      </c>
      <c r="CU144" s="167">
        <v>0</v>
      </c>
      <c r="CV144" s="167">
        <v>0</v>
      </c>
      <c r="CW144" s="167">
        <v>0</v>
      </c>
      <c r="CX144" s="167">
        <f>SUM(CD144:CH144)</f>
        <v>0</v>
      </c>
      <c r="CY144" s="167">
        <f>SUM(CD144:CM144)</f>
        <v>0</v>
      </c>
    </row>
    <row r="145" spans="1:103" ht="12.75" customHeight="1" x14ac:dyDescent="0.2">
      <c r="A145" s="81">
        <v>6065</v>
      </c>
      <c r="B145" s="165" t="s">
        <v>1924</v>
      </c>
      <c r="C145" s="165" t="s">
        <v>530</v>
      </c>
      <c r="E145" s="165" t="s">
        <v>3192</v>
      </c>
      <c r="G145" s="81">
        <v>528949</v>
      </c>
      <c r="H145" s="81">
        <v>173592</v>
      </c>
      <c r="I145" s="165" t="s">
        <v>247</v>
      </c>
      <c r="J145" s="349">
        <v>42401</v>
      </c>
      <c r="K145" s="349">
        <v>42885</v>
      </c>
      <c r="L145" s="166">
        <v>0</v>
      </c>
      <c r="M145" s="166">
        <v>5</v>
      </c>
      <c r="N145" s="166">
        <v>5</v>
      </c>
      <c r="O145" s="166">
        <v>9</v>
      </c>
      <c r="P145" s="166">
        <v>9</v>
      </c>
      <c r="R145" s="165" t="s">
        <v>765</v>
      </c>
      <c r="S145" s="81" t="s">
        <v>113</v>
      </c>
      <c r="T145" s="349">
        <v>42276</v>
      </c>
      <c r="U145" s="349">
        <v>42359</v>
      </c>
      <c r="W145" s="81" t="s">
        <v>114</v>
      </c>
      <c r="Y145" s="81" t="s">
        <v>115</v>
      </c>
      <c r="Z145" s="81" t="s">
        <v>398</v>
      </c>
      <c r="AA145" s="81" t="s">
        <v>117</v>
      </c>
      <c r="AB145" s="81" t="s">
        <v>218</v>
      </c>
      <c r="AC145" s="166">
        <v>9.9999997764825804E-3</v>
      </c>
      <c r="AD145" s="349">
        <v>42401</v>
      </c>
      <c r="AF145" s="349">
        <v>42885</v>
      </c>
      <c r="AG145" s="81" t="s">
        <v>238</v>
      </c>
      <c r="AH145" s="81" t="s">
        <v>118</v>
      </c>
      <c r="AK145" s="166">
        <v>5</v>
      </c>
      <c r="AM145" s="166">
        <v>0</v>
      </c>
      <c r="AO145" s="166">
        <v>0</v>
      </c>
      <c r="AP145" s="166">
        <v>0</v>
      </c>
      <c r="AQ145" s="166">
        <v>5</v>
      </c>
      <c r="AR145" s="166">
        <v>0</v>
      </c>
      <c r="AS145" s="166">
        <v>0</v>
      </c>
      <c r="AT145" s="166">
        <v>0</v>
      </c>
      <c r="AU145" s="166">
        <v>0</v>
      </c>
      <c r="AV145" s="166">
        <v>0</v>
      </c>
      <c r="AW145" s="166">
        <v>0</v>
      </c>
      <c r="AX145" s="166">
        <v>4</v>
      </c>
      <c r="AY145" s="166">
        <v>0</v>
      </c>
      <c r="AZ145" s="166">
        <v>0</v>
      </c>
      <c r="BA145" s="166">
        <v>0</v>
      </c>
      <c r="BB145" s="166">
        <v>0</v>
      </c>
      <c r="BC145" s="166">
        <v>0</v>
      </c>
      <c r="BD145" s="166">
        <v>0</v>
      </c>
      <c r="BE145" s="166">
        <v>1</v>
      </c>
      <c r="BF145" s="166">
        <v>0</v>
      </c>
      <c r="BG145" s="166">
        <v>0</v>
      </c>
      <c r="BH145" s="166">
        <v>0</v>
      </c>
      <c r="BI145" s="166">
        <v>0</v>
      </c>
      <c r="BJ145" s="166">
        <v>0</v>
      </c>
      <c r="BK145" s="166">
        <v>0</v>
      </c>
      <c r="BL145" s="166">
        <v>0</v>
      </c>
      <c r="BM145" s="166">
        <v>0</v>
      </c>
      <c r="BN145" s="166">
        <v>0</v>
      </c>
      <c r="BO145" s="166">
        <v>0</v>
      </c>
      <c r="BP145" s="166">
        <v>0</v>
      </c>
      <c r="BQ145" s="81" t="s">
        <v>1757</v>
      </c>
      <c r="BZ145" s="81" t="s">
        <v>155</v>
      </c>
      <c r="CA145" s="81">
        <v>7</v>
      </c>
      <c r="CC145" s="167">
        <f>N145</f>
        <v>5</v>
      </c>
      <c r="CD145" s="167">
        <v>0</v>
      </c>
      <c r="CE145" s="167">
        <v>0</v>
      </c>
      <c r="CF145" s="167">
        <v>0</v>
      </c>
      <c r="CG145" s="167">
        <v>0</v>
      </c>
      <c r="CH145" s="167">
        <v>0</v>
      </c>
      <c r="CI145" s="167">
        <v>0</v>
      </c>
      <c r="CJ145" s="167">
        <v>0</v>
      </c>
      <c r="CK145" s="167">
        <v>0</v>
      </c>
      <c r="CL145" s="167">
        <v>0</v>
      </c>
      <c r="CM145" s="167">
        <v>0</v>
      </c>
      <c r="CN145" s="167">
        <v>0</v>
      </c>
      <c r="CO145" s="167">
        <v>0</v>
      </c>
      <c r="CP145" s="167">
        <v>0</v>
      </c>
      <c r="CQ145" s="167">
        <v>0</v>
      </c>
      <c r="CR145" s="167">
        <v>0</v>
      </c>
      <c r="CS145" s="167">
        <v>0</v>
      </c>
      <c r="CT145" s="167">
        <v>0</v>
      </c>
      <c r="CU145" s="167">
        <v>0</v>
      </c>
      <c r="CV145" s="167">
        <v>0</v>
      </c>
      <c r="CW145" s="167">
        <v>0</v>
      </c>
      <c r="CX145" s="167">
        <f>SUM(CD145:CH145)</f>
        <v>0</v>
      </c>
      <c r="CY145" s="167">
        <f>SUM(CD145:CM145)</f>
        <v>0</v>
      </c>
    </row>
    <row r="146" spans="1:103" ht="12.75" customHeight="1" x14ac:dyDescent="0.2">
      <c r="A146" s="81">
        <v>6065</v>
      </c>
      <c r="B146" s="165" t="s">
        <v>1924</v>
      </c>
      <c r="C146" s="165" t="s">
        <v>530</v>
      </c>
      <c r="E146" s="165" t="s">
        <v>3192</v>
      </c>
      <c r="G146" s="81">
        <v>528949</v>
      </c>
      <c r="H146" s="81">
        <v>173592</v>
      </c>
      <c r="I146" s="165" t="s">
        <v>247</v>
      </c>
      <c r="J146" s="349">
        <v>42401</v>
      </c>
      <c r="K146" s="349">
        <v>42885</v>
      </c>
      <c r="L146" s="166">
        <v>0</v>
      </c>
      <c r="M146" s="166">
        <v>4</v>
      </c>
      <c r="N146" s="166">
        <v>4</v>
      </c>
      <c r="O146" s="166">
        <v>9</v>
      </c>
      <c r="P146" s="166">
        <v>9</v>
      </c>
      <c r="R146" s="165" t="s">
        <v>765</v>
      </c>
      <c r="S146" s="81" t="s">
        <v>113</v>
      </c>
      <c r="T146" s="349">
        <v>42276</v>
      </c>
      <c r="U146" s="349">
        <v>42359</v>
      </c>
      <c r="W146" s="81" t="s">
        <v>114</v>
      </c>
      <c r="Y146" s="81" t="s">
        <v>115</v>
      </c>
      <c r="Z146" s="81" t="s">
        <v>398</v>
      </c>
      <c r="AA146" s="81" t="s">
        <v>117</v>
      </c>
      <c r="AB146" s="81" t="s">
        <v>218</v>
      </c>
      <c r="AC146" s="166">
        <v>2.60000005364418E-2</v>
      </c>
      <c r="AD146" s="349">
        <v>42401</v>
      </c>
      <c r="AF146" s="349">
        <v>42885</v>
      </c>
      <c r="AG146" s="81" t="s">
        <v>238</v>
      </c>
      <c r="AH146" s="81" t="s">
        <v>118</v>
      </c>
      <c r="AK146" s="166">
        <v>0</v>
      </c>
      <c r="AM146" s="166">
        <v>0</v>
      </c>
      <c r="AO146" s="166">
        <v>0</v>
      </c>
      <c r="AP146" s="166">
        <v>1</v>
      </c>
      <c r="AQ146" s="166">
        <v>2</v>
      </c>
      <c r="AR146" s="166">
        <v>1</v>
      </c>
      <c r="AS146" s="166">
        <v>0</v>
      </c>
      <c r="AT146" s="166">
        <v>0</v>
      </c>
      <c r="AU146" s="166">
        <v>0</v>
      </c>
      <c r="AV146" s="166">
        <v>0</v>
      </c>
      <c r="AW146" s="166">
        <v>1</v>
      </c>
      <c r="AX146" s="166">
        <v>2</v>
      </c>
      <c r="AY146" s="166">
        <v>1</v>
      </c>
      <c r="AZ146" s="166">
        <v>0</v>
      </c>
      <c r="BA146" s="166">
        <v>0</v>
      </c>
      <c r="BB146" s="166">
        <v>0</v>
      </c>
      <c r="BC146" s="166">
        <v>0</v>
      </c>
      <c r="BD146" s="166">
        <v>0</v>
      </c>
      <c r="BE146" s="166">
        <v>0</v>
      </c>
      <c r="BF146" s="166">
        <v>0</v>
      </c>
      <c r="BG146" s="166">
        <v>0</v>
      </c>
      <c r="BH146" s="166">
        <v>0</v>
      </c>
      <c r="BI146" s="166">
        <v>0</v>
      </c>
      <c r="BJ146" s="166">
        <v>0</v>
      </c>
      <c r="BK146" s="166">
        <v>0</v>
      </c>
      <c r="BL146" s="166">
        <v>0</v>
      </c>
      <c r="BM146" s="166">
        <v>0</v>
      </c>
      <c r="BN146" s="166">
        <v>0</v>
      </c>
      <c r="BO146" s="166">
        <v>0</v>
      </c>
      <c r="BP146" s="166">
        <v>0</v>
      </c>
      <c r="BQ146" s="81" t="s">
        <v>1757</v>
      </c>
      <c r="BZ146" s="81" t="s">
        <v>155</v>
      </c>
      <c r="CA146" s="81">
        <v>7</v>
      </c>
      <c r="CC146" s="167">
        <f>N146</f>
        <v>4</v>
      </c>
      <c r="CD146" s="167">
        <v>0</v>
      </c>
      <c r="CE146" s="167">
        <v>0</v>
      </c>
      <c r="CF146" s="167">
        <v>0</v>
      </c>
      <c r="CG146" s="167">
        <v>0</v>
      </c>
      <c r="CH146" s="167">
        <v>0</v>
      </c>
      <c r="CI146" s="167">
        <v>0</v>
      </c>
      <c r="CJ146" s="167">
        <v>0</v>
      </c>
      <c r="CK146" s="167">
        <v>0</v>
      </c>
      <c r="CL146" s="167">
        <v>0</v>
      </c>
      <c r="CM146" s="167">
        <v>0</v>
      </c>
      <c r="CN146" s="167">
        <v>0</v>
      </c>
      <c r="CO146" s="167">
        <v>0</v>
      </c>
      <c r="CP146" s="167">
        <v>0</v>
      </c>
      <c r="CQ146" s="167">
        <v>0</v>
      </c>
      <c r="CR146" s="167">
        <v>0</v>
      </c>
      <c r="CS146" s="167">
        <v>0</v>
      </c>
      <c r="CT146" s="167">
        <v>0</v>
      </c>
      <c r="CU146" s="167">
        <v>0</v>
      </c>
      <c r="CV146" s="167">
        <v>0</v>
      </c>
      <c r="CW146" s="167">
        <v>0</v>
      </c>
      <c r="CX146" s="167">
        <f>SUM(CD146:CH146)</f>
        <v>0</v>
      </c>
      <c r="CY146" s="167">
        <f>SUM(CD146:CM146)</f>
        <v>0</v>
      </c>
    </row>
    <row r="147" spans="1:103" ht="12.75" customHeight="1" x14ac:dyDescent="0.2">
      <c r="A147" s="81">
        <v>6073</v>
      </c>
      <c r="B147" s="165" t="s">
        <v>1924</v>
      </c>
      <c r="C147" s="165" t="s">
        <v>782</v>
      </c>
      <c r="E147" s="165" t="s">
        <v>3193</v>
      </c>
      <c r="G147" s="81">
        <v>527023</v>
      </c>
      <c r="H147" s="81">
        <v>176159</v>
      </c>
      <c r="I147" s="165" t="s">
        <v>257</v>
      </c>
      <c r="J147" s="349">
        <v>42825</v>
      </c>
      <c r="K147" s="349">
        <v>43190</v>
      </c>
      <c r="L147" s="166">
        <v>2</v>
      </c>
      <c r="M147" s="166">
        <v>4</v>
      </c>
      <c r="N147" s="166">
        <v>2</v>
      </c>
      <c r="O147" s="166">
        <v>6</v>
      </c>
      <c r="P147" s="166">
        <v>4</v>
      </c>
      <c r="R147" s="165" t="s">
        <v>783</v>
      </c>
      <c r="S147" s="81" t="s">
        <v>113</v>
      </c>
      <c r="T147" s="349">
        <v>42284</v>
      </c>
      <c r="U147" s="349">
        <v>42524</v>
      </c>
      <c r="W147" s="81" t="s">
        <v>114</v>
      </c>
      <c r="Y147" s="81" t="s">
        <v>115</v>
      </c>
      <c r="Z147" s="81" t="s">
        <v>398</v>
      </c>
      <c r="AA147" s="81" t="s">
        <v>117</v>
      </c>
      <c r="AB147" s="81" t="s">
        <v>220</v>
      </c>
      <c r="AC147" s="166">
        <v>4.0000001899898104E-3</v>
      </c>
      <c r="AD147" s="349">
        <v>42825</v>
      </c>
      <c r="AF147" s="349">
        <v>43190</v>
      </c>
      <c r="AG147" s="81" t="s">
        <v>238</v>
      </c>
      <c r="AH147" s="81" t="s">
        <v>118</v>
      </c>
      <c r="AK147" s="166">
        <v>4</v>
      </c>
      <c r="AM147" s="166">
        <v>0</v>
      </c>
      <c r="AO147" s="166">
        <v>0</v>
      </c>
      <c r="AP147" s="166">
        <v>3</v>
      </c>
      <c r="AQ147" s="166">
        <v>-1</v>
      </c>
      <c r="AR147" s="166">
        <v>0</v>
      </c>
      <c r="AS147" s="166">
        <v>0</v>
      </c>
      <c r="AT147" s="166">
        <v>0</v>
      </c>
      <c r="AU147" s="166">
        <v>0</v>
      </c>
      <c r="AV147" s="166">
        <v>0</v>
      </c>
      <c r="AW147" s="166">
        <v>3</v>
      </c>
      <c r="AX147" s="166">
        <v>-1</v>
      </c>
      <c r="AY147" s="166">
        <v>0</v>
      </c>
      <c r="AZ147" s="166">
        <v>0</v>
      </c>
      <c r="BA147" s="166">
        <v>0</v>
      </c>
      <c r="BB147" s="166">
        <v>0</v>
      </c>
      <c r="BC147" s="166">
        <v>0</v>
      </c>
      <c r="BD147" s="166">
        <v>0</v>
      </c>
      <c r="BE147" s="166">
        <v>0</v>
      </c>
      <c r="BF147" s="166">
        <v>0</v>
      </c>
      <c r="BG147" s="166">
        <v>0</v>
      </c>
      <c r="BH147" s="166">
        <v>0</v>
      </c>
      <c r="BI147" s="166">
        <v>0</v>
      </c>
      <c r="BJ147" s="166">
        <v>0</v>
      </c>
      <c r="BK147" s="166">
        <v>0</v>
      </c>
      <c r="BL147" s="166">
        <v>0</v>
      </c>
      <c r="BM147" s="166">
        <v>0</v>
      </c>
      <c r="BN147" s="166">
        <v>0</v>
      </c>
      <c r="BO147" s="166">
        <v>0</v>
      </c>
      <c r="BP147" s="166">
        <v>0</v>
      </c>
      <c r="BQ147" s="81" t="s">
        <v>1757</v>
      </c>
      <c r="BZ147" s="81" t="s">
        <v>155</v>
      </c>
      <c r="CA147" s="81">
        <v>7</v>
      </c>
      <c r="CC147" s="167">
        <f>N147</f>
        <v>2</v>
      </c>
      <c r="CD147" s="167">
        <v>0</v>
      </c>
      <c r="CE147" s="167">
        <v>0</v>
      </c>
      <c r="CF147" s="167">
        <v>0</v>
      </c>
      <c r="CG147" s="167">
        <v>0</v>
      </c>
      <c r="CH147" s="167">
        <v>0</v>
      </c>
      <c r="CI147" s="167">
        <v>0</v>
      </c>
      <c r="CJ147" s="167">
        <v>0</v>
      </c>
      <c r="CK147" s="167">
        <v>0</v>
      </c>
      <c r="CL147" s="167">
        <v>0</v>
      </c>
      <c r="CM147" s="167">
        <v>0</v>
      </c>
      <c r="CN147" s="167">
        <v>0</v>
      </c>
      <c r="CO147" s="167">
        <v>0</v>
      </c>
      <c r="CP147" s="167">
        <v>0</v>
      </c>
      <c r="CQ147" s="167">
        <v>0</v>
      </c>
      <c r="CR147" s="167">
        <v>0</v>
      </c>
      <c r="CS147" s="167">
        <v>0</v>
      </c>
      <c r="CT147" s="167">
        <v>0</v>
      </c>
      <c r="CU147" s="167">
        <v>0</v>
      </c>
      <c r="CV147" s="167">
        <v>0</v>
      </c>
      <c r="CW147" s="167">
        <v>0</v>
      </c>
      <c r="CX147" s="167">
        <f>SUM(CD147:CH147)</f>
        <v>0</v>
      </c>
      <c r="CY147" s="167">
        <f>SUM(CD147:CM147)</f>
        <v>0</v>
      </c>
    </row>
    <row r="148" spans="1:103" ht="12.75" customHeight="1" x14ac:dyDescent="0.2">
      <c r="A148" s="81">
        <v>6073</v>
      </c>
      <c r="B148" s="165" t="s">
        <v>1924</v>
      </c>
      <c r="C148" s="165" t="s">
        <v>782</v>
      </c>
      <c r="E148" s="165" t="s">
        <v>3193</v>
      </c>
      <c r="G148" s="81">
        <v>527023</v>
      </c>
      <c r="H148" s="81">
        <v>176159</v>
      </c>
      <c r="I148" s="165" t="s">
        <v>257</v>
      </c>
      <c r="J148" s="349">
        <v>42825</v>
      </c>
      <c r="K148" s="349">
        <v>43190</v>
      </c>
      <c r="L148" s="166">
        <v>0</v>
      </c>
      <c r="M148" s="166">
        <v>2</v>
      </c>
      <c r="N148" s="166">
        <v>2</v>
      </c>
      <c r="O148" s="166">
        <v>6</v>
      </c>
      <c r="P148" s="166">
        <v>4</v>
      </c>
      <c r="R148" s="165" t="s">
        <v>783</v>
      </c>
      <c r="S148" s="81" t="s">
        <v>113</v>
      </c>
      <c r="T148" s="349">
        <v>42284</v>
      </c>
      <c r="U148" s="349">
        <v>42524</v>
      </c>
      <c r="W148" s="81" t="s">
        <v>114</v>
      </c>
      <c r="Y148" s="81" t="s">
        <v>115</v>
      </c>
      <c r="Z148" s="81" t="s">
        <v>398</v>
      </c>
      <c r="AA148" s="81" t="s">
        <v>117</v>
      </c>
      <c r="AB148" s="81" t="s">
        <v>311</v>
      </c>
      <c r="AC148" s="166">
        <v>2.0000000949949E-3</v>
      </c>
      <c r="AD148" s="349">
        <v>42825</v>
      </c>
      <c r="AF148" s="349">
        <v>43190</v>
      </c>
      <c r="AG148" s="81" t="s">
        <v>238</v>
      </c>
      <c r="AH148" s="81" t="s">
        <v>118</v>
      </c>
      <c r="AK148" s="166">
        <v>0</v>
      </c>
      <c r="AM148" s="166">
        <v>0</v>
      </c>
      <c r="AO148" s="166">
        <v>0</v>
      </c>
      <c r="AP148" s="166">
        <v>2</v>
      </c>
      <c r="AQ148" s="166">
        <v>0</v>
      </c>
      <c r="AR148" s="166">
        <v>0</v>
      </c>
      <c r="AS148" s="166">
        <v>0</v>
      </c>
      <c r="AT148" s="166">
        <v>0</v>
      </c>
      <c r="AU148" s="166">
        <v>0</v>
      </c>
      <c r="AV148" s="166">
        <v>0</v>
      </c>
      <c r="AW148" s="166">
        <v>2</v>
      </c>
      <c r="AX148" s="166">
        <v>0</v>
      </c>
      <c r="AY148" s="166">
        <v>0</v>
      </c>
      <c r="AZ148" s="166">
        <v>0</v>
      </c>
      <c r="BA148" s="166">
        <v>0</v>
      </c>
      <c r="BB148" s="166">
        <v>0</v>
      </c>
      <c r="BC148" s="166">
        <v>0</v>
      </c>
      <c r="BD148" s="166">
        <v>0</v>
      </c>
      <c r="BE148" s="166">
        <v>0</v>
      </c>
      <c r="BF148" s="166">
        <v>0</v>
      </c>
      <c r="BG148" s="166">
        <v>0</v>
      </c>
      <c r="BH148" s="166">
        <v>0</v>
      </c>
      <c r="BI148" s="166">
        <v>0</v>
      </c>
      <c r="BJ148" s="166">
        <v>0</v>
      </c>
      <c r="BK148" s="166">
        <v>0</v>
      </c>
      <c r="BL148" s="166">
        <v>0</v>
      </c>
      <c r="BM148" s="166">
        <v>0</v>
      </c>
      <c r="BN148" s="166">
        <v>0</v>
      </c>
      <c r="BO148" s="166">
        <v>0</v>
      </c>
      <c r="BP148" s="166">
        <v>0</v>
      </c>
      <c r="BQ148" s="81" t="s">
        <v>1757</v>
      </c>
      <c r="BZ148" s="81" t="s">
        <v>155</v>
      </c>
      <c r="CA148" s="81">
        <v>7</v>
      </c>
      <c r="CC148" s="167">
        <f>N148</f>
        <v>2</v>
      </c>
      <c r="CD148" s="167">
        <v>0</v>
      </c>
      <c r="CE148" s="167">
        <v>0</v>
      </c>
      <c r="CF148" s="167">
        <v>0</v>
      </c>
      <c r="CG148" s="167">
        <v>0</v>
      </c>
      <c r="CH148" s="167">
        <v>0</v>
      </c>
      <c r="CI148" s="167">
        <v>0</v>
      </c>
      <c r="CJ148" s="167">
        <v>0</v>
      </c>
      <c r="CK148" s="167">
        <v>0</v>
      </c>
      <c r="CL148" s="167">
        <v>0</v>
      </c>
      <c r="CM148" s="167">
        <v>0</v>
      </c>
      <c r="CN148" s="167">
        <v>0</v>
      </c>
      <c r="CO148" s="167">
        <v>0</v>
      </c>
      <c r="CP148" s="167">
        <v>0</v>
      </c>
      <c r="CQ148" s="167">
        <v>0</v>
      </c>
      <c r="CR148" s="167">
        <v>0</v>
      </c>
      <c r="CS148" s="167">
        <v>0</v>
      </c>
      <c r="CT148" s="167">
        <v>0</v>
      </c>
      <c r="CU148" s="167">
        <v>0</v>
      </c>
      <c r="CV148" s="167">
        <v>0</v>
      </c>
      <c r="CW148" s="167">
        <v>0</v>
      </c>
      <c r="CX148" s="167">
        <f>SUM(CD148:CH148)</f>
        <v>0</v>
      </c>
      <c r="CY148" s="167">
        <f>SUM(CD148:CM148)</f>
        <v>0</v>
      </c>
    </row>
    <row r="149" spans="1:103" ht="12.75" customHeight="1" x14ac:dyDescent="0.2">
      <c r="A149" s="81">
        <v>6074</v>
      </c>
      <c r="B149" s="165" t="s">
        <v>1924</v>
      </c>
      <c r="C149" s="165" t="s">
        <v>650</v>
      </c>
      <c r="E149" s="165" t="s">
        <v>3194</v>
      </c>
      <c r="G149" s="81">
        <v>527474</v>
      </c>
      <c r="H149" s="81">
        <v>177065</v>
      </c>
      <c r="I149" s="165" t="s">
        <v>257</v>
      </c>
      <c r="J149" s="349">
        <v>42762</v>
      </c>
      <c r="K149" s="349">
        <v>42956</v>
      </c>
      <c r="L149" s="166">
        <v>2</v>
      </c>
      <c r="M149" s="166">
        <v>1</v>
      </c>
      <c r="N149" s="166">
        <v>-1</v>
      </c>
      <c r="O149" s="166">
        <v>1</v>
      </c>
      <c r="P149" s="166">
        <v>-1</v>
      </c>
      <c r="R149" s="165" t="s">
        <v>1142</v>
      </c>
      <c r="S149" s="81" t="s">
        <v>296</v>
      </c>
      <c r="T149" s="349">
        <v>42243</v>
      </c>
      <c r="U149" s="349">
        <v>42355</v>
      </c>
      <c r="W149" s="81" t="s">
        <v>297</v>
      </c>
      <c r="X149" s="349">
        <v>42499</v>
      </c>
      <c r="Y149" s="81" t="s">
        <v>115</v>
      </c>
      <c r="Z149" s="81" t="s">
        <v>119</v>
      </c>
      <c r="AA149" s="81" t="s">
        <v>117</v>
      </c>
      <c r="AB149" s="81" t="s">
        <v>336</v>
      </c>
      <c r="AC149" s="166">
        <v>1.30000002682209E-2</v>
      </c>
      <c r="AD149" s="349">
        <v>42762</v>
      </c>
      <c r="AF149" s="349">
        <v>42956</v>
      </c>
      <c r="AG149" s="81" t="s">
        <v>238</v>
      </c>
      <c r="AH149" s="81" t="s">
        <v>118</v>
      </c>
      <c r="AK149" s="166">
        <v>0</v>
      </c>
      <c r="AM149" s="166">
        <v>0</v>
      </c>
      <c r="AO149" s="166">
        <v>0</v>
      </c>
      <c r="AP149" s="166">
        <v>0</v>
      </c>
      <c r="AQ149" s="166">
        <v>-2</v>
      </c>
      <c r="AR149" s="166">
        <v>0</v>
      </c>
      <c r="AS149" s="166">
        <v>1</v>
      </c>
      <c r="AT149" s="166">
        <v>0</v>
      </c>
      <c r="AU149" s="166">
        <v>0</v>
      </c>
      <c r="AV149" s="166">
        <v>0</v>
      </c>
      <c r="AW149" s="166">
        <v>0</v>
      </c>
      <c r="AX149" s="166">
        <v>-2</v>
      </c>
      <c r="AY149" s="166">
        <v>0</v>
      </c>
      <c r="AZ149" s="166">
        <v>0</v>
      </c>
      <c r="BA149" s="166">
        <v>0</v>
      </c>
      <c r="BB149" s="166">
        <v>0</v>
      </c>
      <c r="BC149" s="166">
        <v>0</v>
      </c>
      <c r="BD149" s="166">
        <v>0</v>
      </c>
      <c r="BE149" s="166">
        <v>0</v>
      </c>
      <c r="BF149" s="166">
        <v>0</v>
      </c>
      <c r="BG149" s="166">
        <v>1</v>
      </c>
      <c r="BH149" s="166">
        <v>0</v>
      </c>
      <c r="BI149" s="166">
        <v>0</v>
      </c>
      <c r="BJ149" s="166">
        <v>0</v>
      </c>
      <c r="BK149" s="166">
        <v>0</v>
      </c>
      <c r="BL149" s="166">
        <v>0</v>
      </c>
      <c r="BM149" s="166">
        <v>0</v>
      </c>
      <c r="BN149" s="166">
        <v>0</v>
      </c>
      <c r="BO149" s="166">
        <v>0</v>
      </c>
      <c r="BP149" s="166">
        <v>0</v>
      </c>
      <c r="BQ149" s="81" t="s">
        <v>1757</v>
      </c>
      <c r="BZ149" s="81" t="s">
        <v>155</v>
      </c>
      <c r="CA149" s="81">
        <v>7</v>
      </c>
      <c r="CC149" s="167">
        <f>N149</f>
        <v>-1</v>
      </c>
      <c r="CD149" s="167">
        <v>0</v>
      </c>
      <c r="CE149" s="167">
        <v>0</v>
      </c>
      <c r="CF149" s="167">
        <v>0</v>
      </c>
      <c r="CG149" s="167">
        <v>0</v>
      </c>
      <c r="CH149" s="167">
        <v>0</v>
      </c>
      <c r="CI149" s="167">
        <v>0</v>
      </c>
      <c r="CJ149" s="167">
        <v>0</v>
      </c>
      <c r="CK149" s="167">
        <v>0</v>
      </c>
      <c r="CL149" s="167">
        <v>0</v>
      </c>
      <c r="CM149" s="167">
        <v>0</v>
      </c>
      <c r="CN149" s="167">
        <v>0</v>
      </c>
      <c r="CO149" s="167">
        <v>0</v>
      </c>
      <c r="CP149" s="167">
        <v>0</v>
      </c>
      <c r="CQ149" s="167">
        <v>0</v>
      </c>
      <c r="CR149" s="167">
        <v>0</v>
      </c>
      <c r="CS149" s="167">
        <v>0</v>
      </c>
      <c r="CT149" s="167">
        <v>0</v>
      </c>
      <c r="CU149" s="167">
        <v>0</v>
      </c>
      <c r="CV149" s="167">
        <v>0</v>
      </c>
      <c r="CW149" s="167">
        <v>0</v>
      </c>
      <c r="CX149" s="167">
        <f>SUM(CD149:CH149)</f>
        <v>0</v>
      </c>
      <c r="CY149" s="167">
        <f>SUM(CD149:CM149)</f>
        <v>0</v>
      </c>
    </row>
    <row r="150" spans="1:103" ht="12.75" customHeight="1" x14ac:dyDescent="0.2">
      <c r="A150" s="81">
        <v>6087</v>
      </c>
      <c r="B150" s="165" t="s">
        <v>1924</v>
      </c>
      <c r="C150" s="165" t="s">
        <v>680</v>
      </c>
      <c r="E150" s="165" t="s">
        <v>3195</v>
      </c>
      <c r="G150" s="81">
        <v>523892</v>
      </c>
      <c r="H150" s="81">
        <v>175481</v>
      </c>
      <c r="I150" s="165" t="s">
        <v>259</v>
      </c>
      <c r="J150" s="349">
        <v>42826</v>
      </c>
      <c r="K150" s="349">
        <v>43190</v>
      </c>
      <c r="L150" s="166">
        <v>0</v>
      </c>
      <c r="M150" s="166">
        <v>1</v>
      </c>
      <c r="N150" s="166">
        <v>1</v>
      </c>
      <c r="O150" s="166">
        <v>1</v>
      </c>
      <c r="P150" s="166">
        <v>1</v>
      </c>
      <c r="R150" s="165" t="s">
        <v>1151</v>
      </c>
      <c r="S150" s="81" t="s">
        <v>113</v>
      </c>
      <c r="T150" s="349">
        <v>42299</v>
      </c>
      <c r="U150" s="349">
        <v>42354</v>
      </c>
      <c r="W150" s="81" t="s">
        <v>114</v>
      </c>
      <c r="Y150" s="81" t="s">
        <v>115</v>
      </c>
      <c r="Z150" s="81" t="s">
        <v>398</v>
      </c>
      <c r="AA150" s="81" t="s">
        <v>117</v>
      </c>
      <c r="AB150" s="81" t="s">
        <v>102</v>
      </c>
      <c r="AC150" s="166">
        <v>9.9999997764825804E-3</v>
      </c>
      <c r="AD150" s="349">
        <v>42826</v>
      </c>
      <c r="AE150" s="81" t="s">
        <v>155</v>
      </c>
      <c r="AF150" s="349">
        <v>43190</v>
      </c>
      <c r="AG150" s="81" t="s">
        <v>238</v>
      </c>
      <c r="AH150" s="81" t="s">
        <v>118</v>
      </c>
      <c r="AK150" s="166">
        <v>0</v>
      </c>
      <c r="AM150" s="166">
        <v>0</v>
      </c>
      <c r="AO150" s="166">
        <v>0</v>
      </c>
      <c r="AP150" s="166">
        <v>0</v>
      </c>
      <c r="AQ150" s="166">
        <v>0</v>
      </c>
      <c r="AR150" s="166">
        <v>1</v>
      </c>
      <c r="AS150" s="166">
        <v>0</v>
      </c>
      <c r="AT150" s="166">
        <v>0</v>
      </c>
      <c r="AU150" s="166">
        <v>0</v>
      </c>
      <c r="AV150" s="166">
        <v>0</v>
      </c>
      <c r="AW150" s="166">
        <v>0</v>
      </c>
      <c r="AX150" s="166">
        <v>0</v>
      </c>
      <c r="AY150" s="166">
        <v>1</v>
      </c>
      <c r="AZ150" s="166">
        <v>0</v>
      </c>
      <c r="BA150" s="166">
        <v>0</v>
      </c>
      <c r="BB150" s="166">
        <v>0</v>
      </c>
      <c r="BC150" s="166">
        <v>0</v>
      </c>
      <c r="BD150" s="166">
        <v>0</v>
      </c>
      <c r="BE150" s="166">
        <v>0</v>
      </c>
      <c r="BF150" s="166">
        <v>0</v>
      </c>
      <c r="BG150" s="166">
        <v>0</v>
      </c>
      <c r="BH150" s="166">
        <v>0</v>
      </c>
      <c r="BI150" s="166">
        <v>0</v>
      </c>
      <c r="BJ150" s="166">
        <v>0</v>
      </c>
      <c r="BK150" s="166">
        <v>0</v>
      </c>
      <c r="BL150" s="166">
        <v>0</v>
      </c>
      <c r="BM150" s="166">
        <v>0</v>
      </c>
      <c r="BN150" s="166">
        <v>0</v>
      </c>
      <c r="BO150" s="166">
        <v>0</v>
      </c>
      <c r="BP150" s="166">
        <v>0</v>
      </c>
      <c r="BQ150" s="81" t="s">
        <v>1758</v>
      </c>
      <c r="BZ150" s="81" t="s">
        <v>155</v>
      </c>
      <c r="CA150" s="81">
        <v>7</v>
      </c>
      <c r="CC150" s="167">
        <f>N150</f>
        <v>1</v>
      </c>
      <c r="CD150" s="167">
        <v>0</v>
      </c>
      <c r="CE150" s="167">
        <v>0</v>
      </c>
      <c r="CF150" s="167">
        <v>0</v>
      </c>
      <c r="CG150" s="167">
        <v>0</v>
      </c>
      <c r="CH150" s="167">
        <v>0</v>
      </c>
      <c r="CI150" s="167">
        <v>0</v>
      </c>
      <c r="CJ150" s="167">
        <v>0</v>
      </c>
      <c r="CK150" s="167">
        <v>0</v>
      </c>
      <c r="CL150" s="167">
        <v>0</v>
      </c>
      <c r="CM150" s="167">
        <v>0</v>
      </c>
      <c r="CN150" s="167">
        <v>0</v>
      </c>
      <c r="CO150" s="167">
        <v>0</v>
      </c>
      <c r="CP150" s="167">
        <v>0</v>
      </c>
      <c r="CQ150" s="167">
        <v>0</v>
      </c>
      <c r="CR150" s="167">
        <v>0</v>
      </c>
      <c r="CS150" s="167">
        <v>0</v>
      </c>
      <c r="CT150" s="167">
        <v>0</v>
      </c>
      <c r="CU150" s="167">
        <v>0</v>
      </c>
      <c r="CV150" s="167">
        <v>0</v>
      </c>
      <c r="CW150" s="167">
        <v>0</v>
      </c>
      <c r="CX150" s="167">
        <f>SUM(CD150:CH150)</f>
        <v>0</v>
      </c>
      <c r="CY150" s="167">
        <f>SUM(CD150:CM150)</f>
        <v>0</v>
      </c>
    </row>
    <row r="151" spans="1:103" ht="12.75" customHeight="1" x14ac:dyDescent="0.2">
      <c r="A151" s="81">
        <v>6101</v>
      </c>
      <c r="B151" s="165" t="s">
        <v>1924</v>
      </c>
      <c r="C151" s="165" t="s">
        <v>698</v>
      </c>
      <c r="E151" s="165" t="s">
        <v>3196</v>
      </c>
      <c r="G151" s="81">
        <v>527880</v>
      </c>
      <c r="H151" s="81">
        <v>174389</v>
      </c>
      <c r="I151" s="165" t="s">
        <v>247</v>
      </c>
      <c r="J151" s="349">
        <v>42825</v>
      </c>
      <c r="K151" s="349">
        <v>43190</v>
      </c>
      <c r="L151" s="166">
        <v>2</v>
      </c>
      <c r="M151" s="166">
        <v>1</v>
      </c>
      <c r="N151" s="166">
        <v>-1</v>
      </c>
      <c r="O151" s="166">
        <v>1</v>
      </c>
      <c r="P151" s="166">
        <v>-1</v>
      </c>
      <c r="R151" s="165" t="s">
        <v>699</v>
      </c>
      <c r="S151" s="81" t="s">
        <v>113</v>
      </c>
      <c r="T151" s="349">
        <v>42320</v>
      </c>
      <c r="U151" s="349">
        <v>42376</v>
      </c>
      <c r="W151" s="81" t="s">
        <v>114</v>
      </c>
      <c r="Y151" s="81" t="s">
        <v>115</v>
      </c>
      <c r="Z151" s="81" t="s">
        <v>119</v>
      </c>
      <c r="AA151" s="81" t="s">
        <v>117</v>
      </c>
      <c r="AB151" s="81" t="s">
        <v>336</v>
      </c>
      <c r="AC151" s="166">
        <v>2.8000000864267301E-2</v>
      </c>
      <c r="AD151" s="349">
        <v>42825</v>
      </c>
      <c r="AF151" s="349">
        <v>43190</v>
      </c>
      <c r="AG151" s="81" t="s">
        <v>238</v>
      </c>
      <c r="AH151" s="81" t="s">
        <v>118</v>
      </c>
      <c r="AK151" s="166">
        <v>0</v>
      </c>
      <c r="AM151" s="166">
        <v>0</v>
      </c>
      <c r="AO151" s="166">
        <v>0</v>
      </c>
      <c r="AP151" s="166">
        <v>0</v>
      </c>
      <c r="AQ151" s="166">
        <v>-1</v>
      </c>
      <c r="AR151" s="166">
        <v>0</v>
      </c>
      <c r="AS151" s="166">
        <v>0</v>
      </c>
      <c r="AT151" s="166">
        <v>0</v>
      </c>
      <c r="AU151" s="166">
        <v>0</v>
      </c>
      <c r="AV151" s="166">
        <v>0</v>
      </c>
      <c r="AW151" s="166">
        <v>0</v>
      </c>
      <c r="AX151" s="166">
        <v>-1</v>
      </c>
      <c r="AY151" s="166">
        <v>-1</v>
      </c>
      <c r="AZ151" s="166">
        <v>0</v>
      </c>
      <c r="BA151" s="166">
        <v>0</v>
      </c>
      <c r="BB151" s="166">
        <v>0</v>
      </c>
      <c r="BC151" s="166">
        <v>0</v>
      </c>
      <c r="BD151" s="166">
        <v>0</v>
      </c>
      <c r="BE151" s="166">
        <v>0</v>
      </c>
      <c r="BF151" s="166">
        <v>1</v>
      </c>
      <c r="BG151" s="166">
        <v>0</v>
      </c>
      <c r="BH151" s="166">
        <v>0</v>
      </c>
      <c r="BI151" s="166">
        <v>0</v>
      </c>
      <c r="BJ151" s="166">
        <v>0</v>
      </c>
      <c r="BK151" s="166">
        <v>0</v>
      </c>
      <c r="BL151" s="166">
        <v>0</v>
      </c>
      <c r="BM151" s="166">
        <v>0</v>
      </c>
      <c r="BN151" s="166">
        <v>0</v>
      </c>
      <c r="BO151" s="166">
        <v>0</v>
      </c>
      <c r="BP151" s="166">
        <v>0</v>
      </c>
      <c r="BQ151" s="81" t="s">
        <v>1757</v>
      </c>
      <c r="BZ151" s="81" t="s">
        <v>155</v>
      </c>
      <c r="CA151" s="81">
        <v>7</v>
      </c>
      <c r="CC151" s="167">
        <f>N151</f>
        <v>-1</v>
      </c>
      <c r="CD151" s="167">
        <v>0</v>
      </c>
      <c r="CE151" s="167">
        <v>0</v>
      </c>
      <c r="CF151" s="167">
        <v>0</v>
      </c>
      <c r="CG151" s="167">
        <v>0</v>
      </c>
      <c r="CH151" s="167">
        <v>0</v>
      </c>
      <c r="CI151" s="167">
        <v>0</v>
      </c>
      <c r="CJ151" s="167">
        <v>0</v>
      </c>
      <c r="CK151" s="167">
        <v>0</v>
      </c>
      <c r="CL151" s="167">
        <v>0</v>
      </c>
      <c r="CM151" s="167">
        <v>0</v>
      </c>
      <c r="CN151" s="167">
        <v>0</v>
      </c>
      <c r="CO151" s="167">
        <v>0</v>
      </c>
      <c r="CP151" s="167">
        <v>0</v>
      </c>
      <c r="CQ151" s="167">
        <v>0</v>
      </c>
      <c r="CR151" s="167">
        <v>0</v>
      </c>
      <c r="CS151" s="167">
        <v>0</v>
      </c>
      <c r="CT151" s="167">
        <v>0</v>
      </c>
      <c r="CU151" s="167">
        <v>0</v>
      </c>
      <c r="CV151" s="167">
        <v>0</v>
      </c>
      <c r="CW151" s="167">
        <v>0</v>
      </c>
      <c r="CX151" s="167">
        <f>SUM(CD151:CH151)</f>
        <v>0</v>
      </c>
      <c r="CY151" s="167">
        <f>SUM(CD151:CM151)</f>
        <v>0</v>
      </c>
    </row>
    <row r="152" spans="1:103" ht="12.75" customHeight="1" x14ac:dyDescent="0.2">
      <c r="A152" s="81">
        <v>6104</v>
      </c>
      <c r="B152" s="165" t="s">
        <v>1924</v>
      </c>
      <c r="C152" s="165" t="s">
        <v>690</v>
      </c>
      <c r="E152" s="165" t="s">
        <v>3197</v>
      </c>
      <c r="G152" s="81">
        <v>528434</v>
      </c>
      <c r="H152" s="81">
        <v>175621</v>
      </c>
      <c r="I152" s="165" t="s">
        <v>256</v>
      </c>
      <c r="J152" s="349">
        <v>42826</v>
      </c>
      <c r="K152" s="349">
        <v>43190</v>
      </c>
      <c r="L152" s="166">
        <v>2</v>
      </c>
      <c r="M152" s="166">
        <v>2</v>
      </c>
      <c r="N152" s="166">
        <v>0</v>
      </c>
      <c r="O152" s="166">
        <v>2</v>
      </c>
      <c r="P152" s="166">
        <v>0</v>
      </c>
      <c r="R152" s="165" t="s">
        <v>1153</v>
      </c>
      <c r="S152" s="81" t="s">
        <v>113</v>
      </c>
      <c r="T152" s="349">
        <v>42328</v>
      </c>
      <c r="U152" s="349">
        <v>42384</v>
      </c>
      <c r="W152" s="81" t="s">
        <v>114</v>
      </c>
      <c r="Y152" s="81" t="s">
        <v>115</v>
      </c>
      <c r="Z152" s="81" t="s">
        <v>398</v>
      </c>
      <c r="AA152" s="81" t="s">
        <v>117</v>
      </c>
      <c r="AB152" s="81" t="s">
        <v>220</v>
      </c>
      <c r="AC152" s="166">
        <v>1.30000002682209E-2</v>
      </c>
      <c r="AD152" s="349">
        <v>42826</v>
      </c>
      <c r="AE152" s="81" t="s">
        <v>155</v>
      </c>
      <c r="AF152" s="349">
        <v>43190</v>
      </c>
      <c r="AG152" s="81" t="s">
        <v>238</v>
      </c>
      <c r="AH152" s="81" t="s">
        <v>118</v>
      </c>
      <c r="AK152" s="166">
        <v>0</v>
      </c>
      <c r="AM152" s="166">
        <v>0</v>
      </c>
      <c r="AO152" s="166">
        <v>0</v>
      </c>
      <c r="AP152" s="166">
        <v>-1</v>
      </c>
      <c r="AQ152" s="166">
        <v>1</v>
      </c>
      <c r="AR152" s="166">
        <v>-1</v>
      </c>
      <c r="AS152" s="166">
        <v>1</v>
      </c>
      <c r="AT152" s="166">
        <v>0</v>
      </c>
      <c r="AU152" s="166">
        <v>0</v>
      </c>
      <c r="AV152" s="166">
        <v>0</v>
      </c>
      <c r="AW152" s="166">
        <v>-1</v>
      </c>
      <c r="AX152" s="166">
        <v>1</v>
      </c>
      <c r="AY152" s="166">
        <v>-1</v>
      </c>
      <c r="AZ152" s="166">
        <v>1</v>
      </c>
      <c r="BA152" s="166">
        <v>0</v>
      </c>
      <c r="BB152" s="166">
        <v>0</v>
      </c>
      <c r="BC152" s="166">
        <v>0</v>
      </c>
      <c r="BD152" s="166">
        <v>0</v>
      </c>
      <c r="BE152" s="166">
        <v>0</v>
      </c>
      <c r="BF152" s="166">
        <v>0</v>
      </c>
      <c r="BG152" s="166">
        <v>0</v>
      </c>
      <c r="BH152" s="166">
        <v>0</v>
      </c>
      <c r="BI152" s="166">
        <v>0</v>
      </c>
      <c r="BJ152" s="166">
        <v>0</v>
      </c>
      <c r="BK152" s="166">
        <v>0</v>
      </c>
      <c r="BL152" s="166">
        <v>0</v>
      </c>
      <c r="BM152" s="166">
        <v>0</v>
      </c>
      <c r="BN152" s="166">
        <v>0</v>
      </c>
      <c r="BO152" s="166">
        <v>0</v>
      </c>
      <c r="BP152" s="166">
        <v>0</v>
      </c>
      <c r="BQ152" s="81" t="s">
        <v>1757</v>
      </c>
      <c r="BZ152" s="81" t="s">
        <v>155</v>
      </c>
      <c r="CA152" s="81">
        <v>7</v>
      </c>
      <c r="CC152" s="167">
        <f>N152</f>
        <v>0</v>
      </c>
      <c r="CD152" s="167">
        <v>0</v>
      </c>
      <c r="CE152" s="167">
        <v>0</v>
      </c>
      <c r="CF152" s="167">
        <v>0</v>
      </c>
      <c r="CG152" s="167">
        <v>0</v>
      </c>
      <c r="CH152" s="167">
        <v>0</v>
      </c>
      <c r="CI152" s="167">
        <v>0</v>
      </c>
      <c r="CJ152" s="167">
        <v>0</v>
      </c>
      <c r="CK152" s="167">
        <v>0</v>
      </c>
      <c r="CL152" s="167">
        <v>0</v>
      </c>
      <c r="CM152" s="167">
        <v>0</v>
      </c>
      <c r="CN152" s="167">
        <v>0</v>
      </c>
      <c r="CO152" s="167">
        <v>0</v>
      </c>
      <c r="CP152" s="167">
        <v>0</v>
      </c>
      <c r="CQ152" s="167">
        <v>0</v>
      </c>
      <c r="CR152" s="167">
        <v>0</v>
      </c>
      <c r="CS152" s="167">
        <v>0</v>
      </c>
      <c r="CT152" s="167">
        <v>0</v>
      </c>
      <c r="CU152" s="167">
        <v>0</v>
      </c>
      <c r="CV152" s="167">
        <v>0</v>
      </c>
      <c r="CW152" s="167">
        <v>0</v>
      </c>
      <c r="CX152" s="167">
        <f>SUM(CD152:CH152)</f>
        <v>0</v>
      </c>
      <c r="CY152" s="167">
        <f>SUM(CD152:CM152)</f>
        <v>0</v>
      </c>
    </row>
    <row r="153" spans="1:103" ht="12.75" customHeight="1" x14ac:dyDescent="0.2">
      <c r="A153" s="81">
        <v>6113</v>
      </c>
      <c r="B153" s="165" t="s">
        <v>1924</v>
      </c>
      <c r="C153" s="165" t="s">
        <v>1690</v>
      </c>
      <c r="E153" s="165" t="s">
        <v>3198</v>
      </c>
      <c r="G153" s="81">
        <v>525900</v>
      </c>
      <c r="H153" s="81">
        <v>173881</v>
      </c>
      <c r="I153" s="165" t="s">
        <v>249</v>
      </c>
      <c r="J153" s="349">
        <v>42613</v>
      </c>
      <c r="K153" s="349">
        <v>42899</v>
      </c>
      <c r="L153" s="166">
        <v>0</v>
      </c>
      <c r="M153" s="166">
        <v>2</v>
      </c>
      <c r="N153" s="166">
        <v>2</v>
      </c>
      <c r="O153" s="166">
        <v>3</v>
      </c>
      <c r="P153" s="166">
        <v>0</v>
      </c>
      <c r="R153" s="165" t="s">
        <v>1691</v>
      </c>
      <c r="S153" s="81" t="s">
        <v>113</v>
      </c>
      <c r="T153" s="349">
        <v>42425</v>
      </c>
      <c r="U153" s="349">
        <v>42481</v>
      </c>
      <c r="W153" s="81" t="s">
        <v>114</v>
      </c>
      <c r="Y153" s="81" t="s">
        <v>115</v>
      </c>
      <c r="Z153" s="81" t="s">
        <v>398</v>
      </c>
      <c r="AA153" s="81" t="s">
        <v>117</v>
      </c>
      <c r="AB153" s="81" t="s">
        <v>220</v>
      </c>
      <c r="AC153" s="166">
        <v>4.9999998882412902E-3</v>
      </c>
      <c r="AD153" s="349">
        <v>42613</v>
      </c>
      <c r="AF153" s="349">
        <v>42899</v>
      </c>
      <c r="AG153" s="81" t="s">
        <v>238</v>
      </c>
      <c r="AH153" s="81" t="s">
        <v>118</v>
      </c>
      <c r="AK153" s="166">
        <v>0</v>
      </c>
      <c r="AM153" s="166">
        <v>0</v>
      </c>
      <c r="AO153" s="166">
        <v>0</v>
      </c>
      <c r="AP153" s="166">
        <v>1</v>
      </c>
      <c r="AQ153" s="166">
        <v>1</v>
      </c>
      <c r="AR153" s="166">
        <v>0</v>
      </c>
      <c r="AS153" s="166">
        <v>0</v>
      </c>
      <c r="AT153" s="166">
        <v>0</v>
      </c>
      <c r="AU153" s="166">
        <v>0</v>
      </c>
      <c r="AV153" s="166">
        <v>0</v>
      </c>
      <c r="AW153" s="166">
        <v>1</v>
      </c>
      <c r="AX153" s="166">
        <v>1</v>
      </c>
      <c r="AY153" s="166">
        <v>0</v>
      </c>
      <c r="AZ153" s="166">
        <v>0</v>
      </c>
      <c r="BA153" s="166">
        <v>0</v>
      </c>
      <c r="BB153" s="166">
        <v>0</v>
      </c>
      <c r="BC153" s="166">
        <v>0</v>
      </c>
      <c r="BD153" s="166">
        <v>0</v>
      </c>
      <c r="BE153" s="166">
        <v>0</v>
      </c>
      <c r="BF153" s="166">
        <v>0</v>
      </c>
      <c r="BG153" s="166">
        <v>0</v>
      </c>
      <c r="BH153" s="166">
        <v>0</v>
      </c>
      <c r="BI153" s="166">
        <v>0</v>
      </c>
      <c r="BJ153" s="166">
        <v>0</v>
      </c>
      <c r="BK153" s="166">
        <v>0</v>
      </c>
      <c r="BL153" s="166">
        <v>0</v>
      </c>
      <c r="BM153" s="166">
        <v>0</v>
      </c>
      <c r="BN153" s="166">
        <v>0</v>
      </c>
      <c r="BO153" s="166">
        <v>0</v>
      </c>
      <c r="BP153" s="166">
        <v>0</v>
      </c>
      <c r="BQ153" s="81" t="s">
        <v>1758</v>
      </c>
      <c r="BZ153" s="81" t="s">
        <v>155</v>
      </c>
      <c r="CA153" s="81">
        <v>7</v>
      </c>
      <c r="CC153" s="167">
        <f>N153</f>
        <v>2</v>
      </c>
      <c r="CD153" s="167">
        <v>0</v>
      </c>
      <c r="CE153" s="167">
        <v>0</v>
      </c>
      <c r="CF153" s="167">
        <v>0</v>
      </c>
      <c r="CG153" s="167">
        <v>0</v>
      </c>
      <c r="CH153" s="167">
        <v>0</v>
      </c>
      <c r="CI153" s="167">
        <v>0</v>
      </c>
      <c r="CJ153" s="167">
        <v>0</v>
      </c>
      <c r="CK153" s="167">
        <v>0</v>
      </c>
      <c r="CL153" s="167">
        <v>0</v>
      </c>
      <c r="CM153" s="167">
        <v>0</v>
      </c>
      <c r="CN153" s="167">
        <v>0</v>
      </c>
      <c r="CO153" s="167">
        <v>0</v>
      </c>
      <c r="CP153" s="167">
        <v>0</v>
      </c>
      <c r="CQ153" s="167">
        <v>0</v>
      </c>
      <c r="CR153" s="167">
        <v>0</v>
      </c>
      <c r="CS153" s="167">
        <v>0</v>
      </c>
      <c r="CT153" s="167">
        <v>0</v>
      </c>
      <c r="CU153" s="167">
        <v>0</v>
      </c>
      <c r="CV153" s="167">
        <v>0</v>
      </c>
      <c r="CW153" s="167">
        <v>0</v>
      </c>
      <c r="CX153" s="167">
        <f>SUM(CD153:CH153)</f>
        <v>0</v>
      </c>
      <c r="CY153" s="167">
        <f>SUM(CD153:CM153)</f>
        <v>0</v>
      </c>
    </row>
    <row r="154" spans="1:103" ht="12.75" customHeight="1" x14ac:dyDescent="0.2">
      <c r="A154" s="81">
        <v>6113</v>
      </c>
      <c r="B154" s="165" t="s">
        <v>1924</v>
      </c>
      <c r="C154" s="165" t="s">
        <v>1690</v>
      </c>
      <c r="E154" s="165" t="s">
        <v>3198</v>
      </c>
      <c r="G154" s="81">
        <v>525900</v>
      </c>
      <c r="H154" s="81">
        <v>173881</v>
      </c>
      <c r="I154" s="165" t="s">
        <v>249</v>
      </c>
      <c r="J154" s="349">
        <v>42613</v>
      </c>
      <c r="K154" s="349">
        <v>42899</v>
      </c>
      <c r="L154" s="166">
        <v>3</v>
      </c>
      <c r="M154" s="166">
        <v>1</v>
      </c>
      <c r="N154" s="166">
        <v>-2</v>
      </c>
      <c r="O154" s="166">
        <v>3</v>
      </c>
      <c r="P154" s="166">
        <v>0</v>
      </c>
      <c r="R154" s="165" t="s">
        <v>1691</v>
      </c>
      <c r="S154" s="81" t="s">
        <v>113</v>
      </c>
      <c r="T154" s="349">
        <v>42425</v>
      </c>
      <c r="U154" s="349">
        <v>42481</v>
      </c>
      <c r="W154" s="81" t="s">
        <v>114</v>
      </c>
      <c r="Y154" s="81" t="s">
        <v>115</v>
      </c>
      <c r="Z154" s="81" t="s">
        <v>398</v>
      </c>
      <c r="AA154" s="81" t="s">
        <v>117</v>
      </c>
      <c r="AB154" s="81" t="s">
        <v>399</v>
      </c>
      <c r="AC154" s="166">
        <v>2.0000000949949E-3</v>
      </c>
      <c r="AD154" s="349">
        <v>42613</v>
      </c>
      <c r="AF154" s="349">
        <v>42899</v>
      </c>
      <c r="AG154" s="81" t="s">
        <v>238</v>
      </c>
      <c r="AH154" s="81" t="s">
        <v>118</v>
      </c>
      <c r="AK154" s="166">
        <v>0</v>
      </c>
      <c r="AM154" s="166">
        <v>0</v>
      </c>
      <c r="AO154" s="166">
        <v>0</v>
      </c>
      <c r="AP154" s="166">
        <v>-1</v>
      </c>
      <c r="AQ154" s="166">
        <v>0</v>
      </c>
      <c r="AR154" s="166">
        <v>-1</v>
      </c>
      <c r="AS154" s="166">
        <v>0</v>
      </c>
      <c r="AT154" s="166">
        <v>0</v>
      </c>
      <c r="AU154" s="166">
        <v>0</v>
      </c>
      <c r="AV154" s="166">
        <v>0</v>
      </c>
      <c r="AW154" s="166">
        <v>-1</v>
      </c>
      <c r="AX154" s="166">
        <v>0</v>
      </c>
      <c r="AY154" s="166">
        <v>-1</v>
      </c>
      <c r="AZ154" s="166">
        <v>0</v>
      </c>
      <c r="BA154" s="166">
        <v>0</v>
      </c>
      <c r="BB154" s="166">
        <v>0</v>
      </c>
      <c r="BC154" s="166">
        <v>0</v>
      </c>
      <c r="BD154" s="166">
        <v>0</v>
      </c>
      <c r="BE154" s="166">
        <v>0</v>
      </c>
      <c r="BF154" s="166">
        <v>0</v>
      </c>
      <c r="BG154" s="166">
        <v>0</v>
      </c>
      <c r="BH154" s="166">
        <v>0</v>
      </c>
      <c r="BI154" s="166">
        <v>0</v>
      </c>
      <c r="BJ154" s="166">
        <v>0</v>
      </c>
      <c r="BK154" s="166">
        <v>0</v>
      </c>
      <c r="BL154" s="166">
        <v>0</v>
      </c>
      <c r="BM154" s="166">
        <v>0</v>
      </c>
      <c r="BN154" s="166">
        <v>0</v>
      </c>
      <c r="BO154" s="166">
        <v>0</v>
      </c>
      <c r="BP154" s="166">
        <v>0</v>
      </c>
      <c r="BQ154" s="81" t="s">
        <v>1758</v>
      </c>
      <c r="BZ154" s="81" t="s">
        <v>155</v>
      </c>
      <c r="CA154" s="81">
        <v>7</v>
      </c>
      <c r="CC154" s="167">
        <f>N154</f>
        <v>-2</v>
      </c>
      <c r="CD154" s="167">
        <v>0</v>
      </c>
      <c r="CE154" s="167">
        <v>0</v>
      </c>
      <c r="CF154" s="167">
        <v>0</v>
      </c>
      <c r="CG154" s="167">
        <v>0</v>
      </c>
      <c r="CH154" s="167">
        <v>0</v>
      </c>
      <c r="CI154" s="167">
        <v>0</v>
      </c>
      <c r="CJ154" s="167">
        <v>0</v>
      </c>
      <c r="CK154" s="167">
        <v>0</v>
      </c>
      <c r="CL154" s="167">
        <v>0</v>
      </c>
      <c r="CM154" s="167">
        <v>0</v>
      </c>
      <c r="CN154" s="167">
        <v>0</v>
      </c>
      <c r="CO154" s="167">
        <v>0</v>
      </c>
      <c r="CP154" s="167">
        <v>0</v>
      </c>
      <c r="CQ154" s="167">
        <v>0</v>
      </c>
      <c r="CR154" s="167">
        <v>0</v>
      </c>
      <c r="CS154" s="167">
        <v>0</v>
      </c>
      <c r="CT154" s="167">
        <v>0</v>
      </c>
      <c r="CU154" s="167">
        <v>0</v>
      </c>
      <c r="CV154" s="167">
        <v>0</v>
      </c>
      <c r="CW154" s="167">
        <v>0</v>
      </c>
      <c r="CX154" s="167">
        <f>SUM(CD154:CH154)</f>
        <v>0</v>
      </c>
      <c r="CY154" s="167">
        <f>SUM(CD154:CM154)</f>
        <v>0</v>
      </c>
    </row>
    <row r="155" spans="1:103" ht="12.75" customHeight="1" x14ac:dyDescent="0.2">
      <c r="A155" s="81">
        <v>6115</v>
      </c>
      <c r="B155" s="165" t="s">
        <v>1924</v>
      </c>
      <c r="C155" s="165" t="s">
        <v>709</v>
      </c>
      <c r="E155" s="165" t="s">
        <v>3199</v>
      </c>
      <c r="G155" s="81">
        <v>525079</v>
      </c>
      <c r="H155" s="81">
        <v>174007</v>
      </c>
      <c r="I155" s="165" t="s">
        <v>258</v>
      </c>
      <c r="J155" s="349">
        <v>42825</v>
      </c>
      <c r="K155" s="349">
        <v>43136</v>
      </c>
      <c r="L155" s="166">
        <v>2</v>
      </c>
      <c r="M155" s="166">
        <v>1</v>
      </c>
      <c r="N155" s="166">
        <v>-1</v>
      </c>
      <c r="O155" s="166">
        <v>1</v>
      </c>
      <c r="P155" s="166">
        <v>-1</v>
      </c>
      <c r="R155" s="165" t="s">
        <v>967</v>
      </c>
      <c r="S155" s="81" t="s">
        <v>113</v>
      </c>
      <c r="T155" s="349">
        <v>42349</v>
      </c>
      <c r="U155" s="349">
        <v>42405</v>
      </c>
      <c r="W155" s="81" t="s">
        <v>114</v>
      </c>
      <c r="Y155" s="81" t="s">
        <v>115</v>
      </c>
      <c r="Z155" s="81" t="s">
        <v>398</v>
      </c>
      <c r="AA155" s="81" t="s">
        <v>117</v>
      </c>
      <c r="AB155" s="81" t="s">
        <v>300</v>
      </c>
      <c r="AC155" s="166">
        <v>1.4999999664723899E-2</v>
      </c>
      <c r="AD155" s="349">
        <v>42825</v>
      </c>
      <c r="AF155" s="349">
        <v>43136</v>
      </c>
      <c r="AG155" s="81" t="s">
        <v>238</v>
      </c>
      <c r="AH155" s="81" t="s">
        <v>118</v>
      </c>
      <c r="AK155" s="166">
        <v>0</v>
      </c>
      <c r="AM155" s="166">
        <v>0</v>
      </c>
      <c r="AO155" s="166">
        <v>0</v>
      </c>
      <c r="AP155" s="166">
        <v>-2</v>
      </c>
      <c r="AQ155" s="166">
        <v>1</v>
      </c>
      <c r="AR155" s="166">
        <v>0</v>
      </c>
      <c r="AS155" s="166">
        <v>0</v>
      </c>
      <c r="AT155" s="166">
        <v>0</v>
      </c>
      <c r="AU155" s="166">
        <v>0</v>
      </c>
      <c r="AV155" s="166">
        <v>0</v>
      </c>
      <c r="AW155" s="166">
        <v>-2</v>
      </c>
      <c r="AX155" s="166">
        <v>1</v>
      </c>
      <c r="AY155" s="166">
        <v>0</v>
      </c>
      <c r="AZ155" s="166">
        <v>0</v>
      </c>
      <c r="BA155" s="166">
        <v>0</v>
      </c>
      <c r="BB155" s="166">
        <v>0</v>
      </c>
      <c r="BC155" s="166">
        <v>0</v>
      </c>
      <c r="BD155" s="166">
        <v>0</v>
      </c>
      <c r="BE155" s="166">
        <v>0</v>
      </c>
      <c r="BF155" s="166">
        <v>0</v>
      </c>
      <c r="BG155" s="166">
        <v>0</v>
      </c>
      <c r="BH155" s="166">
        <v>0</v>
      </c>
      <c r="BI155" s="166">
        <v>0</v>
      </c>
      <c r="BJ155" s="166">
        <v>0</v>
      </c>
      <c r="BK155" s="166">
        <v>0</v>
      </c>
      <c r="BL155" s="166">
        <v>0</v>
      </c>
      <c r="BM155" s="166">
        <v>0</v>
      </c>
      <c r="BN155" s="166">
        <v>0</v>
      </c>
      <c r="BO155" s="166">
        <v>0</v>
      </c>
      <c r="BP155" s="166">
        <v>0</v>
      </c>
      <c r="BQ155" s="81" t="s">
        <v>1758</v>
      </c>
      <c r="BZ155" s="81" t="s">
        <v>155</v>
      </c>
      <c r="CA155" s="81">
        <v>7</v>
      </c>
      <c r="CC155" s="167">
        <f>N155</f>
        <v>-1</v>
      </c>
      <c r="CD155" s="167">
        <v>0</v>
      </c>
      <c r="CE155" s="167">
        <v>0</v>
      </c>
      <c r="CF155" s="167">
        <v>0</v>
      </c>
      <c r="CG155" s="167">
        <v>0</v>
      </c>
      <c r="CH155" s="167">
        <v>0</v>
      </c>
      <c r="CI155" s="167">
        <v>0</v>
      </c>
      <c r="CJ155" s="167">
        <v>0</v>
      </c>
      <c r="CK155" s="167">
        <v>0</v>
      </c>
      <c r="CL155" s="167">
        <v>0</v>
      </c>
      <c r="CM155" s="167">
        <v>0</v>
      </c>
      <c r="CN155" s="167">
        <v>0</v>
      </c>
      <c r="CO155" s="167">
        <v>0</v>
      </c>
      <c r="CP155" s="167">
        <v>0</v>
      </c>
      <c r="CQ155" s="167">
        <v>0</v>
      </c>
      <c r="CR155" s="167">
        <v>0</v>
      </c>
      <c r="CS155" s="167">
        <v>0</v>
      </c>
      <c r="CT155" s="167">
        <v>0</v>
      </c>
      <c r="CU155" s="167">
        <v>0</v>
      </c>
      <c r="CV155" s="167">
        <v>0</v>
      </c>
      <c r="CW155" s="167">
        <v>0</v>
      </c>
      <c r="CX155" s="167">
        <f>SUM(CD155:CH155)</f>
        <v>0</v>
      </c>
      <c r="CY155" s="167">
        <f>SUM(CD155:CM155)</f>
        <v>0</v>
      </c>
    </row>
    <row r="156" spans="1:103" ht="12.75" customHeight="1" x14ac:dyDescent="0.2">
      <c r="A156" s="81">
        <v>6128</v>
      </c>
      <c r="B156" s="165" t="s">
        <v>1924</v>
      </c>
      <c r="C156" s="165" t="s">
        <v>716</v>
      </c>
      <c r="E156" s="165" t="s">
        <v>3200</v>
      </c>
      <c r="G156" s="81">
        <v>523465</v>
      </c>
      <c r="H156" s="81">
        <v>175592</v>
      </c>
      <c r="I156" s="165" t="s">
        <v>259</v>
      </c>
      <c r="J156" s="349">
        <v>42645</v>
      </c>
      <c r="K156" s="349">
        <v>42870</v>
      </c>
      <c r="L156" s="166">
        <v>3</v>
      </c>
      <c r="M156" s="166">
        <v>1</v>
      </c>
      <c r="N156" s="166">
        <v>-2</v>
      </c>
      <c r="O156" s="166">
        <v>1</v>
      </c>
      <c r="P156" s="166">
        <v>-2</v>
      </c>
      <c r="R156" s="165" t="s">
        <v>717</v>
      </c>
      <c r="S156" s="81" t="s">
        <v>113</v>
      </c>
      <c r="T156" s="349">
        <v>42374</v>
      </c>
      <c r="U156" s="349">
        <v>42429</v>
      </c>
      <c r="W156" s="81" t="s">
        <v>114</v>
      </c>
      <c r="Y156" s="81" t="s">
        <v>115</v>
      </c>
      <c r="Z156" s="81" t="s">
        <v>119</v>
      </c>
      <c r="AA156" s="81" t="s">
        <v>117</v>
      </c>
      <c r="AB156" s="81" t="s">
        <v>336</v>
      </c>
      <c r="AC156" s="166">
        <v>1.4000000432133701E-2</v>
      </c>
      <c r="AD156" s="349">
        <v>42645</v>
      </c>
      <c r="AF156" s="349">
        <v>42870</v>
      </c>
      <c r="AG156" s="81" t="s">
        <v>238</v>
      </c>
      <c r="AH156" s="81" t="s">
        <v>118</v>
      </c>
      <c r="AK156" s="166">
        <v>0</v>
      </c>
      <c r="AM156" s="166">
        <v>0</v>
      </c>
      <c r="AO156" s="166">
        <v>-1</v>
      </c>
      <c r="AP156" s="166">
        <v>-1</v>
      </c>
      <c r="AQ156" s="166">
        <v>-1</v>
      </c>
      <c r="AR156" s="166">
        <v>0</v>
      </c>
      <c r="AS156" s="166">
        <v>1</v>
      </c>
      <c r="AT156" s="166">
        <v>0</v>
      </c>
      <c r="AU156" s="166">
        <v>0</v>
      </c>
      <c r="AV156" s="166">
        <v>-1</v>
      </c>
      <c r="AW156" s="166">
        <v>-1</v>
      </c>
      <c r="AX156" s="166">
        <v>-1</v>
      </c>
      <c r="AY156" s="166">
        <v>0</v>
      </c>
      <c r="AZ156" s="166">
        <v>0</v>
      </c>
      <c r="BA156" s="166">
        <v>0</v>
      </c>
      <c r="BB156" s="166">
        <v>0</v>
      </c>
      <c r="BC156" s="166">
        <v>0</v>
      </c>
      <c r="BD156" s="166">
        <v>0</v>
      </c>
      <c r="BE156" s="166">
        <v>0</v>
      </c>
      <c r="BF156" s="166">
        <v>0</v>
      </c>
      <c r="BG156" s="166">
        <v>1</v>
      </c>
      <c r="BH156" s="166">
        <v>0</v>
      </c>
      <c r="BI156" s="166">
        <v>0</v>
      </c>
      <c r="BJ156" s="166">
        <v>0</v>
      </c>
      <c r="BK156" s="166">
        <v>0</v>
      </c>
      <c r="BL156" s="166">
        <v>0</v>
      </c>
      <c r="BM156" s="166">
        <v>0</v>
      </c>
      <c r="BN156" s="166">
        <v>0</v>
      </c>
      <c r="BO156" s="166">
        <v>0</v>
      </c>
      <c r="BP156" s="166">
        <v>0</v>
      </c>
      <c r="BQ156" s="81" t="s">
        <v>1758</v>
      </c>
      <c r="BZ156" s="81" t="s">
        <v>155</v>
      </c>
      <c r="CA156" s="81">
        <v>7</v>
      </c>
      <c r="CC156" s="167">
        <f>N156</f>
        <v>-2</v>
      </c>
      <c r="CD156" s="167">
        <v>0</v>
      </c>
      <c r="CE156" s="167">
        <v>0</v>
      </c>
      <c r="CF156" s="167">
        <v>0</v>
      </c>
      <c r="CG156" s="167">
        <v>0</v>
      </c>
      <c r="CH156" s="167">
        <v>0</v>
      </c>
      <c r="CI156" s="167">
        <v>0</v>
      </c>
      <c r="CJ156" s="167">
        <v>0</v>
      </c>
      <c r="CK156" s="167">
        <v>0</v>
      </c>
      <c r="CL156" s="167">
        <v>0</v>
      </c>
      <c r="CM156" s="167">
        <v>0</v>
      </c>
      <c r="CN156" s="167">
        <v>0</v>
      </c>
      <c r="CO156" s="167">
        <v>0</v>
      </c>
      <c r="CP156" s="167">
        <v>0</v>
      </c>
      <c r="CQ156" s="167">
        <v>0</v>
      </c>
      <c r="CR156" s="167">
        <v>0</v>
      </c>
      <c r="CS156" s="167">
        <v>0</v>
      </c>
      <c r="CT156" s="167">
        <v>0</v>
      </c>
      <c r="CU156" s="167">
        <v>0</v>
      </c>
      <c r="CV156" s="167">
        <v>0</v>
      </c>
      <c r="CW156" s="167">
        <v>0</v>
      </c>
      <c r="CX156" s="167">
        <f>SUM(CD156:CH156)</f>
        <v>0</v>
      </c>
      <c r="CY156" s="167">
        <f>SUM(CD156:CM156)</f>
        <v>0</v>
      </c>
    </row>
    <row r="157" spans="1:103" ht="12.75" customHeight="1" x14ac:dyDescent="0.2">
      <c r="A157" s="81">
        <v>6134</v>
      </c>
      <c r="B157" s="165" t="s">
        <v>1924</v>
      </c>
      <c r="C157" s="165" t="s">
        <v>986</v>
      </c>
      <c r="E157" s="165" t="s">
        <v>3201</v>
      </c>
      <c r="G157" s="81">
        <v>527684</v>
      </c>
      <c r="H157" s="81">
        <v>171150</v>
      </c>
      <c r="I157" s="165" t="s">
        <v>253</v>
      </c>
      <c r="J157" s="349">
        <v>42825</v>
      </c>
      <c r="K157" s="349">
        <v>43027</v>
      </c>
      <c r="L157" s="166">
        <v>0</v>
      </c>
      <c r="M157" s="166">
        <v>1</v>
      </c>
      <c r="N157" s="166">
        <v>1</v>
      </c>
      <c r="O157" s="166">
        <v>1</v>
      </c>
      <c r="P157" s="166">
        <v>1</v>
      </c>
      <c r="R157" s="165" t="s">
        <v>987</v>
      </c>
      <c r="S157" s="81" t="s">
        <v>113</v>
      </c>
      <c r="T157" s="349">
        <v>42459</v>
      </c>
      <c r="U157" s="349">
        <v>42516</v>
      </c>
      <c r="W157" s="81" t="s">
        <v>114</v>
      </c>
      <c r="Y157" s="81" t="s">
        <v>115</v>
      </c>
      <c r="Z157" s="81" t="s">
        <v>219</v>
      </c>
      <c r="AA157" s="81" t="s">
        <v>117</v>
      </c>
      <c r="AB157" s="81" t="s">
        <v>3889</v>
      </c>
      <c r="AC157" s="166">
        <v>4.0000001899898104E-3</v>
      </c>
      <c r="AD157" s="349">
        <v>42825</v>
      </c>
      <c r="AF157" s="349">
        <v>43027</v>
      </c>
      <c r="AG157" s="81" t="s">
        <v>238</v>
      </c>
      <c r="AH157" s="81" t="s">
        <v>118</v>
      </c>
      <c r="AK157" s="166">
        <v>0</v>
      </c>
      <c r="AM157" s="166">
        <v>0</v>
      </c>
      <c r="AO157" s="166">
        <v>0</v>
      </c>
      <c r="AP157" s="166">
        <v>1</v>
      </c>
      <c r="AQ157" s="166">
        <v>0</v>
      </c>
      <c r="AR157" s="166">
        <v>0</v>
      </c>
      <c r="AS157" s="166">
        <v>0</v>
      </c>
      <c r="AT157" s="166">
        <v>0</v>
      </c>
      <c r="AU157" s="166">
        <v>0</v>
      </c>
      <c r="AV157" s="166">
        <v>0</v>
      </c>
      <c r="AW157" s="166">
        <v>1</v>
      </c>
      <c r="AX157" s="166">
        <v>0</v>
      </c>
      <c r="AY157" s="166">
        <v>0</v>
      </c>
      <c r="AZ157" s="166">
        <v>0</v>
      </c>
      <c r="BA157" s="166">
        <v>0</v>
      </c>
      <c r="BB157" s="166">
        <v>0</v>
      </c>
      <c r="BC157" s="166">
        <v>0</v>
      </c>
      <c r="BD157" s="166">
        <v>0</v>
      </c>
      <c r="BE157" s="166">
        <v>0</v>
      </c>
      <c r="BF157" s="166">
        <v>0</v>
      </c>
      <c r="BG157" s="166">
        <v>0</v>
      </c>
      <c r="BH157" s="166">
        <v>0</v>
      </c>
      <c r="BI157" s="166">
        <v>0</v>
      </c>
      <c r="BJ157" s="166">
        <v>0</v>
      </c>
      <c r="BK157" s="166">
        <v>0</v>
      </c>
      <c r="BL157" s="166">
        <v>0</v>
      </c>
      <c r="BM157" s="166">
        <v>0</v>
      </c>
      <c r="BN157" s="166">
        <v>0</v>
      </c>
      <c r="BO157" s="166">
        <v>0</v>
      </c>
      <c r="BP157" s="166">
        <v>0</v>
      </c>
      <c r="BQ157" s="81" t="s">
        <v>1757</v>
      </c>
      <c r="BZ157" s="81" t="s">
        <v>155</v>
      </c>
      <c r="CA157" s="81">
        <v>7</v>
      </c>
      <c r="CC157" s="167">
        <f>N157</f>
        <v>1</v>
      </c>
      <c r="CD157" s="167">
        <v>0</v>
      </c>
      <c r="CE157" s="167">
        <v>0</v>
      </c>
      <c r="CF157" s="167">
        <v>0</v>
      </c>
      <c r="CG157" s="167">
        <v>0</v>
      </c>
      <c r="CH157" s="167">
        <v>0</v>
      </c>
      <c r="CI157" s="167">
        <v>0</v>
      </c>
      <c r="CJ157" s="167">
        <v>0</v>
      </c>
      <c r="CK157" s="167">
        <v>0</v>
      </c>
      <c r="CL157" s="167">
        <v>0</v>
      </c>
      <c r="CM157" s="167">
        <v>0</v>
      </c>
      <c r="CN157" s="167">
        <v>0</v>
      </c>
      <c r="CO157" s="167">
        <v>0</v>
      </c>
      <c r="CP157" s="167">
        <v>0</v>
      </c>
      <c r="CQ157" s="167">
        <v>0</v>
      </c>
      <c r="CR157" s="167">
        <v>0</v>
      </c>
      <c r="CS157" s="167">
        <v>0</v>
      </c>
      <c r="CT157" s="167">
        <v>0</v>
      </c>
      <c r="CU157" s="167">
        <v>0</v>
      </c>
      <c r="CV157" s="167">
        <v>0</v>
      </c>
      <c r="CW157" s="167">
        <v>0</v>
      </c>
      <c r="CX157" s="167">
        <f>SUM(CD157:CH157)</f>
        <v>0</v>
      </c>
      <c r="CY157" s="167">
        <f>SUM(CD157:CM157)</f>
        <v>0</v>
      </c>
    </row>
    <row r="158" spans="1:103" ht="12.75" customHeight="1" x14ac:dyDescent="0.2">
      <c r="A158" s="81">
        <v>6137</v>
      </c>
      <c r="B158" s="165" t="s">
        <v>1924</v>
      </c>
      <c r="C158" s="165" t="s">
        <v>705</v>
      </c>
      <c r="E158" s="165" t="s">
        <v>3202</v>
      </c>
      <c r="G158" s="81">
        <v>527520</v>
      </c>
      <c r="H158" s="81">
        <v>176602</v>
      </c>
      <c r="I158" s="165" t="s">
        <v>257</v>
      </c>
      <c r="J158" s="349">
        <v>42825</v>
      </c>
      <c r="K158" s="349">
        <v>43081</v>
      </c>
      <c r="L158" s="166">
        <v>2</v>
      </c>
      <c r="M158" s="166">
        <v>1</v>
      </c>
      <c r="N158" s="166">
        <v>-1</v>
      </c>
      <c r="O158" s="166">
        <v>1</v>
      </c>
      <c r="P158" s="166">
        <v>-1</v>
      </c>
      <c r="R158" s="165" t="s">
        <v>963</v>
      </c>
      <c r="S158" s="81" t="s">
        <v>113</v>
      </c>
      <c r="T158" s="349">
        <v>42334</v>
      </c>
      <c r="U158" s="349">
        <v>42447</v>
      </c>
      <c r="W158" s="81" t="s">
        <v>114</v>
      </c>
      <c r="Y158" s="81" t="s">
        <v>115</v>
      </c>
      <c r="Z158" s="81" t="s">
        <v>398</v>
      </c>
      <c r="AA158" s="81" t="s">
        <v>117</v>
      </c>
      <c r="AB158" s="81" t="s">
        <v>336</v>
      </c>
      <c r="AC158" s="166">
        <v>1.30000002682209E-2</v>
      </c>
      <c r="AD158" s="349">
        <v>42825</v>
      </c>
      <c r="AF158" s="349">
        <v>43081</v>
      </c>
      <c r="AG158" s="81" t="s">
        <v>238</v>
      </c>
      <c r="AH158" s="81" t="s">
        <v>118</v>
      </c>
      <c r="AK158" s="166">
        <v>0</v>
      </c>
      <c r="AM158" s="166">
        <v>0</v>
      </c>
      <c r="AO158" s="166">
        <v>0</v>
      </c>
      <c r="AP158" s="166">
        <v>-1</v>
      </c>
      <c r="AQ158" s="166">
        <v>0</v>
      </c>
      <c r="AR158" s="166">
        <v>-1</v>
      </c>
      <c r="AS158" s="166">
        <v>1</v>
      </c>
      <c r="AT158" s="166">
        <v>0</v>
      </c>
      <c r="AU158" s="166">
        <v>0</v>
      </c>
      <c r="AV158" s="166">
        <v>0</v>
      </c>
      <c r="AW158" s="166">
        <v>-1</v>
      </c>
      <c r="AX158" s="166">
        <v>0</v>
      </c>
      <c r="AY158" s="166">
        <v>-1</v>
      </c>
      <c r="AZ158" s="166">
        <v>0</v>
      </c>
      <c r="BA158" s="166">
        <v>0</v>
      </c>
      <c r="BB158" s="166">
        <v>0</v>
      </c>
      <c r="BC158" s="166">
        <v>0</v>
      </c>
      <c r="BD158" s="166">
        <v>0</v>
      </c>
      <c r="BE158" s="166">
        <v>0</v>
      </c>
      <c r="BF158" s="166">
        <v>0</v>
      </c>
      <c r="BG158" s="166">
        <v>1</v>
      </c>
      <c r="BH158" s="166">
        <v>0</v>
      </c>
      <c r="BI158" s="166">
        <v>0</v>
      </c>
      <c r="BJ158" s="166">
        <v>0</v>
      </c>
      <c r="BK158" s="166">
        <v>0</v>
      </c>
      <c r="BL158" s="166">
        <v>0</v>
      </c>
      <c r="BM158" s="166">
        <v>0</v>
      </c>
      <c r="BN158" s="166">
        <v>0</v>
      </c>
      <c r="BO158" s="166">
        <v>0</v>
      </c>
      <c r="BP158" s="166">
        <v>0</v>
      </c>
      <c r="BQ158" s="81" t="s">
        <v>1757</v>
      </c>
      <c r="BZ158" s="81" t="s">
        <v>155</v>
      </c>
      <c r="CA158" s="81">
        <v>7</v>
      </c>
      <c r="CC158" s="167">
        <f>N158</f>
        <v>-1</v>
      </c>
      <c r="CD158" s="167">
        <v>0</v>
      </c>
      <c r="CE158" s="167">
        <v>0</v>
      </c>
      <c r="CF158" s="167">
        <v>0</v>
      </c>
      <c r="CG158" s="167">
        <v>0</v>
      </c>
      <c r="CH158" s="167">
        <v>0</v>
      </c>
      <c r="CI158" s="167">
        <v>0</v>
      </c>
      <c r="CJ158" s="167">
        <v>0</v>
      </c>
      <c r="CK158" s="167">
        <v>0</v>
      </c>
      <c r="CL158" s="167">
        <v>0</v>
      </c>
      <c r="CM158" s="167">
        <v>0</v>
      </c>
      <c r="CN158" s="167">
        <v>0</v>
      </c>
      <c r="CO158" s="167">
        <v>0</v>
      </c>
      <c r="CP158" s="167">
        <v>0</v>
      </c>
      <c r="CQ158" s="167">
        <v>0</v>
      </c>
      <c r="CR158" s="167">
        <v>0</v>
      </c>
      <c r="CS158" s="167">
        <v>0</v>
      </c>
      <c r="CT158" s="167">
        <v>0</v>
      </c>
      <c r="CU158" s="167">
        <v>0</v>
      </c>
      <c r="CV158" s="167">
        <v>0</v>
      </c>
      <c r="CW158" s="167">
        <v>0</v>
      </c>
      <c r="CX158" s="167">
        <f>SUM(CD158:CH158)</f>
        <v>0</v>
      </c>
      <c r="CY158" s="167">
        <f>SUM(CD158:CM158)</f>
        <v>0</v>
      </c>
    </row>
    <row r="159" spans="1:103" ht="12.75" customHeight="1" x14ac:dyDescent="0.2">
      <c r="A159" s="81">
        <v>6139</v>
      </c>
      <c r="B159" s="165" t="s">
        <v>1924</v>
      </c>
      <c r="C159" s="165" t="s">
        <v>726</v>
      </c>
      <c r="E159" s="165" t="s">
        <v>3203</v>
      </c>
      <c r="G159" s="81">
        <v>522866</v>
      </c>
      <c r="H159" s="81">
        <v>175962</v>
      </c>
      <c r="I159" s="165" t="s">
        <v>259</v>
      </c>
      <c r="J159" s="349">
        <v>42667</v>
      </c>
      <c r="K159" s="349">
        <v>42948</v>
      </c>
      <c r="L159" s="166">
        <v>0</v>
      </c>
      <c r="M159" s="166">
        <v>1</v>
      </c>
      <c r="N159" s="166">
        <v>1</v>
      </c>
      <c r="O159" s="166">
        <v>1</v>
      </c>
      <c r="P159" s="166">
        <v>1</v>
      </c>
      <c r="R159" s="165" t="s">
        <v>727</v>
      </c>
      <c r="S159" s="81" t="s">
        <v>113</v>
      </c>
      <c r="T159" s="349">
        <v>42390</v>
      </c>
      <c r="U159" s="349">
        <v>42446</v>
      </c>
      <c r="W159" s="81" t="s">
        <v>114</v>
      </c>
      <c r="Y159" s="81" t="s">
        <v>115</v>
      </c>
      <c r="Z159" s="81" t="s">
        <v>310</v>
      </c>
      <c r="AA159" s="81" t="s">
        <v>117</v>
      </c>
      <c r="AB159" s="81" t="s">
        <v>311</v>
      </c>
      <c r="AC159" s="166">
        <v>8.0000003799796104E-3</v>
      </c>
      <c r="AD159" s="349">
        <v>42667</v>
      </c>
      <c r="AF159" s="349">
        <v>42948</v>
      </c>
      <c r="AG159" s="81" t="s">
        <v>238</v>
      </c>
      <c r="AH159" s="81" t="s">
        <v>118</v>
      </c>
      <c r="AK159" s="166">
        <v>0</v>
      </c>
      <c r="AM159" s="166">
        <v>0</v>
      </c>
      <c r="AO159" s="166">
        <v>0</v>
      </c>
      <c r="AP159" s="166">
        <v>1</v>
      </c>
      <c r="AQ159" s="166">
        <v>0</v>
      </c>
      <c r="AR159" s="166">
        <v>0</v>
      </c>
      <c r="AS159" s="166">
        <v>0</v>
      </c>
      <c r="AT159" s="166">
        <v>0</v>
      </c>
      <c r="AU159" s="166">
        <v>0</v>
      </c>
      <c r="AV159" s="166">
        <v>0</v>
      </c>
      <c r="AW159" s="166">
        <v>1</v>
      </c>
      <c r="AX159" s="166">
        <v>0</v>
      </c>
      <c r="AY159" s="166">
        <v>0</v>
      </c>
      <c r="AZ159" s="166">
        <v>0</v>
      </c>
      <c r="BA159" s="166">
        <v>0</v>
      </c>
      <c r="BB159" s="166">
        <v>0</v>
      </c>
      <c r="BC159" s="166">
        <v>0</v>
      </c>
      <c r="BD159" s="166">
        <v>0</v>
      </c>
      <c r="BE159" s="166">
        <v>0</v>
      </c>
      <c r="BF159" s="166">
        <v>0</v>
      </c>
      <c r="BG159" s="166">
        <v>0</v>
      </c>
      <c r="BH159" s="166">
        <v>0</v>
      </c>
      <c r="BI159" s="166">
        <v>0</v>
      </c>
      <c r="BJ159" s="166">
        <v>0</v>
      </c>
      <c r="BK159" s="166">
        <v>0</v>
      </c>
      <c r="BL159" s="166">
        <v>0</v>
      </c>
      <c r="BM159" s="166">
        <v>0</v>
      </c>
      <c r="BN159" s="166">
        <v>0</v>
      </c>
      <c r="BO159" s="166">
        <v>0</v>
      </c>
      <c r="BP159" s="166">
        <v>0</v>
      </c>
      <c r="BQ159" s="81" t="s">
        <v>1758</v>
      </c>
      <c r="BZ159" s="81" t="s">
        <v>155</v>
      </c>
      <c r="CA159" s="81">
        <v>7</v>
      </c>
      <c r="CC159" s="167">
        <f>N159</f>
        <v>1</v>
      </c>
      <c r="CD159" s="167">
        <v>0</v>
      </c>
      <c r="CE159" s="167">
        <v>0</v>
      </c>
      <c r="CF159" s="167">
        <v>0</v>
      </c>
      <c r="CG159" s="167">
        <v>0</v>
      </c>
      <c r="CH159" s="167">
        <v>0</v>
      </c>
      <c r="CI159" s="167">
        <v>0</v>
      </c>
      <c r="CJ159" s="167">
        <v>0</v>
      </c>
      <c r="CK159" s="167">
        <v>0</v>
      </c>
      <c r="CL159" s="167">
        <v>0</v>
      </c>
      <c r="CM159" s="167">
        <v>0</v>
      </c>
      <c r="CN159" s="167">
        <v>0</v>
      </c>
      <c r="CO159" s="167">
        <v>0</v>
      </c>
      <c r="CP159" s="167">
        <v>0</v>
      </c>
      <c r="CQ159" s="167">
        <v>0</v>
      </c>
      <c r="CR159" s="167">
        <v>0</v>
      </c>
      <c r="CS159" s="167">
        <v>0</v>
      </c>
      <c r="CT159" s="167">
        <v>0</v>
      </c>
      <c r="CU159" s="167">
        <v>0</v>
      </c>
      <c r="CV159" s="167">
        <v>0</v>
      </c>
      <c r="CW159" s="167">
        <v>0</v>
      </c>
      <c r="CX159" s="167">
        <f>SUM(CD159:CH159)</f>
        <v>0</v>
      </c>
      <c r="CY159" s="167">
        <f>SUM(CD159:CM159)</f>
        <v>0</v>
      </c>
    </row>
    <row r="160" spans="1:103" ht="12.75" customHeight="1" x14ac:dyDescent="0.2">
      <c r="A160" s="81">
        <v>6140</v>
      </c>
      <c r="B160" s="165" t="s">
        <v>1924</v>
      </c>
      <c r="C160" s="165" t="s">
        <v>696</v>
      </c>
      <c r="E160" s="165" t="s">
        <v>3204</v>
      </c>
      <c r="G160" s="81">
        <v>524679</v>
      </c>
      <c r="H160" s="81">
        <v>174038</v>
      </c>
      <c r="I160" s="165" t="s">
        <v>250</v>
      </c>
      <c r="J160" s="349">
        <v>42825</v>
      </c>
      <c r="K160" s="349">
        <v>43190</v>
      </c>
      <c r="L160" s="166">
        <v>0</v>
      </c>
      <c r="M160" s="166">
        <v>1</v>
      </c>
      <c r="N160" s="166">
        <v>1</v>
      </c>
      <c r="O160" s="166">
        <v>1</v>
      </c>
      <c r="P160" s="166">
        <v>1</v>
      </c>
      <c r="R160" s="165" t="s">
        <v>697</v>
      </c>
      <c r="S160" s="81" t="s">
        <v>113</v>
      </c>
      <c r="T160" s="349">
        <v>42324</v>
      </c>
      <c r="U160" s="349">
        <v>42453</v>
      </c>
      <c r="W160" s="81" t="s">
        <v>114</v>
      </c>
      <c r="Y160" s="81" t="s">
        <v>115</v>
      </c>
      <c r="Z160" s="81" t="s">
        <v>398</v>
      </c>
      <c r="AA160" s="81" t="s">
        <v>117</v>
      </c>
      <c r="AB160" s="81" t="s">
        <v>399</v>
      </c>
      <c r="AC160" s="166">
        <v>2.60000005364418E-2</v>
      </c>
      <c r="AD160" s="349">
        <v>42825</v>
      </c>
      <c r="AF160" s="349">
        <v>43190</v>
      </c>
      <c r="AG160" s="81" t="s">
        <v>238</v>
      </c>
      <c r="AH160" s="81" t="s">
        <v>118</v>
      </c>
      <c r="AK160" s="166">
        <v>0</v>
      </c>
      <c r="AM160" s="166">
        <v>0</v>
      </c>
      <c r="AO160" s="166">
        <v>0</v>
      </c>
      <c r="AP160" s="166">
        <v>0</v>
      </c>
      <c r="AQ160" s="166">
        <v>0</v>
      </c>
      <c r="AR160" s="166">
        <v>1</v>
      </c>
      <c r="AS160" s="166">
        <v>0</v>
      </c>
      <c r="AT160" s="166">
        <v>0</v>
      </c>
      <c r="AU160" s="166">
        <v>0</v>
      </c>
      <c r="AV160" s="166">
        <v>0</v>
      </c>
      <c r="AW160" s="166">
        <v>0</v>
      </c>
      <c r="AX160" s="166">
        <v>0</v>
      </c>
      <c r="AY160" s="166">
        <v>0</v>
      </c>
      <c r="AZ160" s="166">
        <v>0</v>
      </c>
      <c r="BA160" s="166">
        <v>0</v>
      </c>
      <c r="BB160" s="166">
        <v>0</v>
      </c>
      <c r="BC160" s="166">
        <v>0</v>
      </c>
      <c r="BD160" s="166">
        <v>0</v>
      </c>
      <c r="BE160" s="166">
        <v>0</v>
      </c>
      <c r="BF160" s="166">
        <v>1</v>
      </c>
      <c r="BG160" s="166">
        <v>0</v>
      </c>
      <c r="BH160" s="166">
        <v>0</v>
      </c>
      <c r="BI160" s="166">
        <v>0</v>
      </c>
      <c r="BJ160" s="166">
        <v>0</v>
      </c>
      <c r="BK160" s="166">
        <v>0</v>
      </c>
      <c r="BL160" s="166">
        <v>0</v>
      </c>
      <c r="BM160" s="166">
        <v>0</v>
      </c>
      <c r="BN160" s="166">
        <v>0</v>
      </c>
      <c r="BO160" s="166">
        <v>0</v>
      </c>
      <c r="BP160" s="166">
        <v>0</v>
      </c>
      <c r="BQ160" s="81" t="s">
        <v>1758</v>
      </c>
      <c r="BZ160" s="81" t="s">
        <v>155</v>
      </c>
      <c r="CA160" s="81">
        <v>7</v>
      </c>
      <c r="CC160" s="167">
        <f>N160</f>
        <v>1</v>
      </c>
      <c r="CD160" s="167">
        <v>0</v>
      </c>
      <c r="CE160" s="167">
        <v>0</v>
      </c>
      <c r="CF160" s="167">
        <v>0</v>
      </c>
      <c r="CG160" s="167">
        <v>0</v>
      </c>
      <c r="CH160" s="167">
        <v>0</v>
      </c>
      <c r="CI160" s="167">
        <v>0</v>
      </c>
      <c r="CJ160" s="167">
        <v>0</v>
      </c>
      <c r="CK160" s="167">
        <v>0</v>
      </c>
      <c r="CL160" s="167">
        <v>0</v>
      </c>
      <c r="CM160" s="167">
        <v>0</v>
      </c>
      <c r="CN160" s="167">
        <v>0</v>
      </c>
      <c r="CO160" s="167">
        <v>0</v>
      </c>
      <c r="CP160" s="167">
        <v>0</v>
      </c>
      <c r="CQ160" s="167">
        <v>0</v>
      </c>
      <c r="CR160" s="167">
        <v>0</v>
      </c>
      <c r="CS160" s="167">
        <v>0</v>
      </c>
      <c r="CT160" s="167">
        <v>0</v>
      </c>
      <c r="CU160" s="167">
        <v>0</v>
      </c>
      <c r="CV160" s="167">
        <v>0</v>
      </c>
      <c r="CW160" s="167">
        <v>0</v>
      </c>
      <c r="CX160" s="167">
        <f>SUM(CD160:CH160)</f>
        <v>0</v>
      </c>
      <c r="CY160" s="167">
        <f>SUM(CD160:CM160)</f>
        <v>0</v>
      </c>
    </row>
    <row r="161" spans="1:103" ht="12.75" customHeight="1" x14ac:dyDescent="0.2">
      <c r="A161" s="81">
        <v>6143</v>
      </c>
      <c r="B161" s="165" t="s">
        <v>1924</v>
      </c>
      <c r="C161" s="165" t="s">
        <v>718</v>
      </c>
      <c r="E161" s="165" t="s">
        <v>3205</v>
      </c>
      <c r="G161" s="81">
        <v>526209</v>
      </c>
      <c r="H161" s="81">
        <v>174730</v>
      </c>
      <c r="I161" s="165" t="s">
        <v>260</v>
      </c>
      <c r="J161" s="349">
        <v>42485</v>
      </c>
      <c r="K161" s="349">
        <v>42944</v>
      </c>
      <c r="L161" s="166">
        <v>1</v>
      </c>
      <c r="M161" s="166">
        <v>2</v>
      </c>
      <c r="N161" s="166">
        <v>1</v>
      </c>
      <c r="O161" s="166">
        <v>2</v>
      </c>
      <c r="P161" s="166">
        <v>1</v>
      </c>
      <c r="R161" s="165" t="s">
        <v>1176</v>
      </c>
      <c r="S161" s="81" t="s">
        <v>113</v>
      </c>
      <c r="T161" s="349">
        <v>42401</v>
      </c>
      <c r="U161" s="349">
        <v>42453</v>
      </c>
      <c r="W161" s="81" t="s">
        <v>114</v>
      </c>
      <c r="Y161" s="81" t="s">
        <v>115</v>
      </c>
      <c r="Z161" s="81" t="s">
        <v>398</v>
      </c>
      <c r="AA161" s="81" t="s">
        <v>117</v>
      </c>
      <c r="AB161" s="81" t="s">
        <v>220</v>
      </c>
      <c r="AC161" s="166">
        <v>8.9999996125698107E-3</v>
      </c>
      <c r="AD161" s="349">
        <v>42485</v>
      </c>
      <c r="AF161" s="349">
        <v>42944</v>
      </c>
      <c r="AG161" s="81" t="s">
        <v>238</v>
      </c>
      <c r="AH161" s="81" t="s">
        <v>118</v>
      </c>
      <c r="AK161" s="166">
        <v>0</v>
      </c>
      <c r="AM161" s="166">
        <v>0</v>
      </c>
      <c r="AO161" s="166">
        <v>0</v>
      </c>
      <c r="AP161" s="166">
        <v>0</v>
      </c>
      <c r="AQ161" s="166">
        <v>1</v>
      </c>
      <c r="AR161" s="166">
        <v>0</v>
      </c>
      <c r="AS161" s="166">
        <v>0</v>
      </c>
      <c r="AT161" s="166">
        <v>0</v>
      </c>
      <c r="AU161" s="166">
        <v>0</v>
      </c>
      <c r="AV161" s="166">
        <v>0</v>
      </c>
      <c r="AW161" s="166">
        <v>0</v>
      </c>
      <c r="AX161" s="166">
        <v>1</v>
      </c>
      <c r="AY161" s="166">
        <v>0</v>
      </c>
      <c r="AZ161" s="166">
        <v>0</v>
      </c>
      <c r="BA161" s="166">
        <v>0</v>
      </c>
      <c r="BB161" s="166">
        <v>0</v>
      </c>
      <c r="BC161" s="166">
        <v>0</v>
      </c>
      <c r="BD161" s="166">
        <v>0</v>
      </c>
      <c r="BE161" s="166">
        <v>0</v>
      </c>
      <c r="BF161" s="166">
        <v>0</v>
      </c>
      <c r="BG161" s="166">
        <v>0</v>
      </c>
      <c r="BH161" s="166">
        <v>0</v>
      </c>
      <c r="BI161" s="166">
        <v>0</v>
      </c>
      <c r="BJ161" s="166">
        <v>0</v>
      </c>
      <c r="BK161" s="166">
        <v>0</v>
      </c>
      <c r="BL161" s="166">
        <v>0</v>
      </c>
      <c r="BM161" s="166">
        <v>0</v>
      </c>
      <c r="BN161" s="166">
        <v>0</v>
      </c>
      <c r="BO161" s="166">
        <v>0</v>
      </c>
      <c r="BP161" s="166">
        <v>0</v>
      </c>
      <c r="BQ161" s="81" t="s">
        <v>1758</v>
      </c>
      <c r="BZ161" s="81" t="s">
        <v>155</v>
      </c>
      <c r="CA161" s="81">
        <v>7</v>
      </c>
      <c r="CC161" s="167">
        <f>N161</f>
        <v>1</v>
      </c>
      <c r="CD161" s="167">
        <v>0</v>
      </c>
      <c r="CE161" s="167">
        <v>0</v>
      </c>
      <c r="CF161" s="167">
        <v>0</v>
      </c>
      <c r="CG161" s="167">
        <v>0</v>
      </c>
      <c r="CH161" s="167">
        <v>0</v>
      </c>
      <c r="CI161" s="167">
        <v>0</v>
      </c>
      <c r="CJ161" s="167">
        <v>0</v>
      </c>
      <c r="CK161" s="167">
        <v>0</v>
      </c>
      <c r="CL161" s="167">
        <v>0</v>
      </c>
      <c r="CM161" s="167">
        <v>0</v>
      </c>
      <c r="CN161" s="167">
        <v>0</v>
      </c>
      <c r="CO161" s="167">
        <v>0</v>
      </c>
      <c r="CP161" s="167">
        <v>0</v>
      </c>
      <c r="CQ161" s="167">
        <v>0</v>
      </c>
      <c r="CR161" s="167">
        <v>0</v>
      </c>
      <c r="CS161" s="167">
        <v>0</v>
      </c>
      <c r="CT161" s="167">
        <v>0</v>
      </c>
      <c r="CU161" s="167">
        <v>0</v>
      </c>
      <c r="CV161" s="167">
        <v>0</v>
      </c>
      <c r="CW161" s="167">
        <v>0</v>
      </c>
      <c r="CX161" s="167">
        <f>SUM(CD161:CH161)</f>
        <v>0</v>
      </c>
      <c r="CY161" s="167">
        <f>SUM(CD161:CM161)</f>
        <v>0</v>
      </c>
    </row>
    <row r="162" spans="1:103" ht="12.75" customHeight="1" x14ac:dyDescent="0.2">
      <c r="A162" s="81">
        <v>6146</v>
      </c>
      <c r="B162" s="165" t="s">
        <v>1924</v>
      </c>
      <c r="C162" s="165" t="s">
        <v>1644</v>
      </c>
      <c r="E162" s="165" t="s">
        <v>3206</v>
      </c>
      <c r="G162" s="81">
        <v>527723</v>
      </c>
      <c r="H162" s="81">
        <v>176500</v>
      </c>
      <c r="I162" s="165" t="s">
        <v>241</v>
      </c>
      <c r="J162" s="349">
        <v>43018</v>
      </c>
      <c r="K162" s="349">
        <v>43190</v>
      </c>
      <c r="L162" s="166">
        <v>1</v>
      </c>
      <c r="M162" s="166">
        <v>2</v>
      </c>
      <c r="N162" s="166">
        <v>1</v>
      </c>
      <c r="O162" s="166">
        <v>2</v>
      </c>
      <c r="P162" s="166">
        <v>1</v>
      </c>
      <c r="R162" s="165" t="s">
        <v>1645</v>
      </c>
      <c r="S162" s="81" t="s">
        <v>113</v>
      </c>
      <c r="T162" s="349">
        <v>42794</v>
      </c>
      <c r="U162" s="349">
        <v>42947</v>
      </c>
      <c r="V162" s="81" t="s">
        <v>155</v>
      </c>
      <c r="W162" s="81" t="s">
        <v>114</v>
      </c>
      <c r="Y162" s="81" t="s">
        <v>115</v>
      </c>
      <c r="Z162" s="81" t="s">
        <v>119</v>
      </c>
      <c r="AA162" s="81" t="s">
        <v>117</v>
      </c>
      <c r="AB162" s="81" t="s">
        <v>220</v>
      </c>
      <c r="AC162" s="166">
        <v>8.0000003799796104E-3</v>
      </c>
      <c r="AD162" s="349">
        <v>43018</v>
      </c>
      <c r="AE162" s="81" t="s">
        <v>155</v>
      </c>
      <c r="AF162" s="349">
        <v>43190</v>
      </c>
      <c r="AG162" s="81" t="s">
        <v>238</v>
      </c>
      <c r="AH162" s="81" t="s">
        <v>118</v>
      </c>
      <c r="AK162" s="166">
        <v>0</v>
      </c>
      <c r="AM162" s="166">
        <v>0</v>
      </c>
      <c r="AO162" s="166">
        <v>0</v>
      </c>
      <c r="AP162" s="166">
        <v>0</v>
      </c>
      <c r="AQ162" s="166">
        <v>2</v>
      </c>
      <c r="AR162" s="166">
        <v>-1</v>
      </c>
      <c r="AS162" s="166">
        <v>0</v>
      </c>
      <c r="AT162" s="166">
        <v>0</v>
      </c>
      <c r="AU162" s="166">
        <v>0</v>
      </c>
      <c r="AV162" s="166">
        <v>0</v>
      </c>
      <c r="AW162" s="166">
        <v>0</v>
      </c>
      <c r="AX162" s="166">
        <v>2</v>
      </c>
      <c r="AY162" s="166">
        <v>-1</v>
      </c>
      <c r="AZ162" s="166">
        <v>0</v>
      </c>
      <c r="BA162" s="166">
        <v>0</v>
      </c>
      <c r="BB162" s="166">
        <v>0</v>
      </c>
      <c r="BC162" s="166">
        <v>0</v>
      </c>
      <c r="BD162" s="166">
        <v>0</v>
      </c>
      <c r="BE162" s="166">
        <v>0</v>
      </c>
      <c r="BF162" s="166">
        <v>0</v>
      </c>
      <c r="BG162" s="166">
        <v>0</v>
      </c>
      <c r="BH162" s="166">
        <v>0</v>
      </c>
      <c r="BI162" s="166">
        <v>0</v>
      </c>
      <c r="BJ162" s="166">
        <v>0</v>
      </c>
      <c r="BK162" s="166">
        <v>0</v>
      </c>
      <c r="BL162" s="166">
        <v>0</v>
      </c>
      <c r="BM162" s="166">
        <v>0</v>
      </c>
      <c r="BN162" s="166">
        <v>0</v>
      </c>
      <c r="BO162" s="166">
        <v>0</v>
      </c>
      <c r="BP162" s="166">
        <v>0</v>
      </c>
      <c r="BQ162" s="81" t="s">
        <v>1757</v>
      </c>
      <c r="BZ162" s="81" t="s">
        <v>155</v>
      </c>
      <c r="CA162" s="81">
        <v>7</v>
      </c>
      <c r="CC162" s="167">
        <f>N162</f>
        <v>1</v>
      </c>
      <c r="CD162" s="167">
        <v>0</v>
      </c>
      <c r="CE162" s="167">
        <v>0</v>
      </c>
      <c r="CF162" s="167">
        <v>0</v>
      </c>
      <c r="CG162" s="167">
        <v>0</v>
      </c>
      <c r="CH162" s="167">
        <v>0</v>
      </c>
      <c r="CI162" s="167">
        <v>0</v>
      </c>
      <c r="CJ162" s="167">
        <v>0</v>
      </c>
      <c r="CK162" s="167">
        <v>0</v>
      </c>
      <c r="CL162" s="167">
        <v>0</v>
      </c>
      <c r="CM162" s="167">
        <v>0</v>
      </c>
      <c r="CN162" s="167">
        <v>0</v>
      </c>
      <c r="CO162" s="167">
        <v>0</v>
      </c>
      <c r="CP162" s="167">
        <v>0</v>
      </c>
      <c r="CQ162" s="167">
        <v>0</v>
      </c>
      <c r="CR162" s="167">
        <v>0</v>
      </c>
      <c r="CS162" s="167">
        <v>0</v>
      </c>
      <c r="CT162" s="167">
        <v>0</v>
      </c>
      <c r="CU162" s="167">
        <v>0</v>
      </c>
      <c r="CV162" s="167">
        <v>0</v>
      </c>
      <c r="CW162" s="167">
        <v>0</v>
      </c>
      <c r="CX162" s="167">
        <f>SUM(CD162:CH162)</f>
        <v>0</v>
      </c>
      <c r="CY162" s="167">
        <f>SUM(CD162:CM162)</f>
        <v>0</v>
      </c>
    </row>
    <row r="163" spans="1:103" ht="12.75" customHeight="1" x14ac:dyDescent="0.2">
      <c r="A163" s="81">
        <v>6152</v>
      </c>
      <c r="B163" s="165" t="s">
        <v>1924</v>
      </c>
      <c r="C163" s="165" t="s">
        <v>3207</v>
      </c>
      <c r="E163" s="165" t="s">
        <v>3208</v>
      </c>
      <c r="G163" s="81">
        <v>528379</v>
      </c>
      <c r="H163" s="81">
        <v>172983</v>
      </c>
      <c r="I163" s="165" t="s">
        <v>248</v>
      </c>
      <c r="J163" s="349">
        <v>42909</v>
      </c>
      <c r="K163" s="349">
        <v>43182</v>
      </c>
      <c r="L163" s="166">
        <v>0</v>
      </c>
      <c r="M163" s="166">
        <v>2</v>
      </c>
      <c r="N163" s="166">
        <v>2</v>
      </c>
      <c r="O163" s="166">
        <v>2</v>
      </c>
      <c r="P163" s="166">
        <v>2</v>
      </c>
      <c r="R163" s="165" t="s">
        <v>3209</v>
      </c>
      <c r="S163" s="81" t="s">
        <v>113</v>
      </c>
      <c r="T163" s="349">
        <v>42822</v>
      </c>
      <c r="U163" s="349">
        <v>42878</v>
      </c>
      <c r="V163" s="81" t="s">
        <v>155</v>
      </c>
      <c r="W163" s="81" t="s">
        <v>114</v>
      </c>
      <c r="Y163" s="81" t="s">
        <v>115</v>
      </c>
      <c r="Z163" s="81" t="s">
        <v>219</v>
      </c>
      <c r="AA163" s="81" t="s">
        <v>117</v>
      </c>
      <c r="AB163" s="81" t="s">
        <v>3889</v>
      </c>
      <c r="AC163" s="166">
        <v>1.09999999403954E-2</v>
      </c>
      <c r="AD163" s="349">
        <v>42909</v>
      </c>
      <c r="AE163" s="81" t="s">
        <v>155</v>
      </c>
      <c r="AF163" s="349">
        <v>43182</v>
      </c>
      <c r="AG163" s="81" t="s">
        <v>238</v>
      </c>
      <c r="AH163" s="81" t="s">
        <v>118</v>
      </c>
      <c r="AK163" s="166">
        <v>0</v>
      </c>
      <c r="AM163" s="166">
        <v>0</v>
      </c>
      <c r="AO163" s="166">
        <v>0</v>
      </c>
      <c r="AP163" s="166">
        <v>2</v>
      </c>
      <c r="AQ163" s="166">
        <v>0</v>
      </c>
      <c r="AR163" s="166">
        <v>0</v>
      </c>
      <c r="AS163" s="166">
        <v>0</v>
      </c>
      <c r="AT163" s="166">
        <v>0</v>
      </c>
      <c r="AU163" s="166">
        <v>0</v>
      </c>
      <c r="AV163" s="166">
        <v>0</v>
      </c>
      <c r="AW163" s="166">
        <v>2</v>
      </c>
      <c r="AX163" s="166">
        <v>0</v>
      </c>
      <c r="AY163" s="166">
        <v>0</v>
      </c>
      <c r="AZ163" s="166">
        <v>0</v>
      </c>
      <c r="BA163" s="166">
        <v>0</v>
      </c>
      <c r="BB163" s="166">
        <v>0</v>
      </c>
      <c r="BC163" s="166">
        <v>0</v>
      </c>
      <c r="BD163" s="166">
        <v>0</v>
      </c>
      <c r="BE163" s="166">
        <v>0</v>
      </c>
      <c r="BF163" s="166">
        <v>0</v>
      </c>
      <c r="BG163" s="166">
        <v>0</v>
      </c>
      <c r="BH163" s="166">
        <v>0</v>
      </c>
      <c r="BI163" s="166">
        <v>0</v>
      </c>
      <c r="BJ163" s="166">
        <v>0</v>
      </c>
      <c r="BK163" s="166">
        <v>0</v>
      </c>
      <c r="BL163" s="166">
        <v>0</v>
      </c>
      <c r="BM163" s="166">
        <v>0</v>
      </c>
      <c r="BN163" s="166">
        <v>0</v>
      </c>
      <c r="BO163" s="166">
        <v>0</v>
      </c>
      <c r="BP163" s="166">
        <v>0</v>
      </c>
      <c r="BQ163" s="81" t="s">
        <v>1757</v>
      </c>
      <c r="BZ163" s="81" t="s">
        <v>155</v>
      </c>
      <c r="CA163" s="81">
        <v>7</v>
      </c>
      <c r="CC163" s="167">
        <f>N163</f>
        <v>2</v>
      </c>
      <c r="CD163" s="167">
        <v>0</v>
      </c>
      <c r="CE163" s="167">
        <v>0</v>
      </c>
      <c r="CF163" s="167">
        <v>0</v>
      </c>
      <c r="CG163" s="167">
        <v>0</v>
      </c>
      <c r="CH163" s="167">
        <v>0</v>
      </c>
      <c r="CI163" s="167">
        <v>0</v>
      </c>
      <c r="CJ163" s="167">
        <v>0</v>
      </c>
      <c r="CK163" s="167">
        <v>0</v>
      </c>
      <c r="CL163" s="167">
        <v>0</v>
      </c>
      <c r="CM163" s="167">
        <v>0</v>
      </c>
      <c r="CN163" s="167">
        <v>0</v>
      </c>
      <c r="CO163" s="167">
        <v>0</v>
      </c>
      <c r="CP163" s="167">
        <v>0</v>
      </c>
      <c r="CQ163" s="167">
        <v>0</v>
      </c>
      <c r="CR163" s="167">
        <v>0</v>
      </c>
      <c r="CS163" s="167">
        <v>0</v>
      </c>
      <c r="CT163" s="167">
        <v>0</v>
      </c>
      <c r="CU163" s="167">
        <v>0</v>
      </c>
      <c r="CV163" s="167">
        <v>0</v>
      </c>
      <c r="CW163" s="167">
        <v>0</v>
      </c>
      <c r="CX163" s="167">
        <f>SUM(CD163:CH163)</f>
        <v>0</v>
      </c>
      <c r="CY163" s="167">
        <f>SUM(CD163:CM163)</f>
        <v>0</v>
      </c>
    </row>
    <row r="164" spans="1:103" ht="12.75" customHeight="1" x14ac:dyDescent="0.2">
      <c r="A164" s="81">
        <v>6155</v>
      </c>
      <c r="B164" s="165" t="s">
        <v>1924</v>
      </c>
      <c r="C164" s="165" t="s">
        <v>1051</v>
      </c>
      <c r="E164" s="165" t="s">
        <v>3210</v>
      </c>
      <c r="G164" s="81">
        <v>527814</v>
      </c>
      <c r="H164" s="81">
        <v>175648</v>
      </c>
      <c r="I164" s="165" t="s">
        <v>256</v>
      </c>
      <c r="J164" s="349">
        <v>42825</v>
      </c>
      <c r="K164" s="349">
        <v>43112</v>
      </c>
      <c r="L164" s="166">
        <v>0</v>
      </c>
      <c r="M164" s="166">
        <v>1</v>
      </c>
      <c r="N164" s="166">
        <v>1</v>
      </c>
      <c r="O164" s="166">
        <v>1</v>
      </c>
      <c r="P164" s="166">
        <v>1</v>
      </c>
      <c r="R164" s="165" t="s">
        <v>1052</v>
      </c>
      <c r="S164" s="81" t="s">
        <v>113</v>
      </c>
      <c r="T164" s="349">
        <v>42629</v>
      </c>
      <c r="U164" s="349">
        <v>42685</v>
      </c>
      <c r="W164" s="81" t="s">
        <v>114</v>
      </c>
      <c r="Y164" s="81" t="s">
        <v>115</v>
      </c>
      <c r="Z164" s="81" t="s">
        <v>219</v>
      </c>
      <c r="AA164" s="81" t="s">
        <v>117</v>
      </c>
      <c r="AB164" s="81" t="s">
        <v>3889</v>
      </c>
      <c r="AC164" s="166">
        <v>3.0000000260770299E-3</v>
      </c>
      <c r="AD164" s="349">
        <v>42825</v>
      </c>
      <c r="AF164" s="349">
        <v>43112</v>
      </c>
      <c r="AG164" s="81" t="s">
        <v>238</v>
      </c>
      <c r="AH164" s="81" t="s">
        <v>118</v>
      </c>
      <c r="AK164" s="166">
        <v>0</v>
      </c>
      <c r="AM164" s="166">
        <v>0</v>
      </c>
      <c r="AO164" s="166">
        <v>0</v>
      </c>
      <c r="AP164" s="166">
        <v>1</v>
      </c>
      <c r="AQ164" s="166">
        <v>0</v>
      </c>
      <c r="AR164" s="166">
        <v>0</v>
      </c>
      <c r="AS164" s="166">
        <v>0</v>
      </c>
      <c r="AT164" s="166">
        <v>0</v>
      </c>
      <c r="AU164" s="166">
        <v>0</v>
      </c>
      <c r="AV164" s="166">
        <v>0</v>
      </c>
      <c r="AW164" s="166">
        <v>1</v>
      </c>
      <c r="AX164" s="166">
        <v>0</v>
      </c>
      <c r="AY164" s="166">
        <v>0</v>
      </c>
      <c r="AZ164" s="166">
        <v>0</v>
      </c>
      <c r="BA164" s="166">
        <v>0</v>
      </c>
      <c r="BB164" s="166">
        <v>0</v>
      </c>
      <c r="BC164" s="166">
        <v>0</v>
      </c>
      <c r="BD164" s="166">
        <v>0</v>
      </c>
      <c r="BE164" s="166">
        <v>0</v>
      </c>
      <c r="BF164" s="166">
        <v>0</v>
      </c>
      <c r="BG164" s="166">
        <v>0</v>
      </c>
      <c r="BH164" s="166">
        <v>0</v>
      </c>
      <c r="BI164" s="166">
        <v>0</v>
      </c>
      <c r="BJ164" s="166">
        <v>0</v>
      </c>
      <c r="BK164" s="166">
        <v>0</v>
      </c>
      <c r="BL164" s="166">
        <v>0</v>
      </c>
      <c r="BM164" s="166">
        <v>0</v>
      </c>
      <c r="BN164" s="166">
        <v>0</v>
      </c>
      <c r="BO164" s="166">
        <v>0</v>
      </c>
      <c r="BP164" s="166">
        <v>0</v>
      </c>
      <c r="BQ164" s="81" t="s">
        <v>1757</v>
      </c>
      <c r="BZ164" s="81" t="s">
        <v>155</v>
      </c>
      <c r="CA164" s="81">
        <v>7</v>
      </c>
      <c r="CC164" s="167">
        <f>N164</f>
        <v>1</v>
      </c>
      <c r="CD164" s="167">
        <v>0</v>
      </c>
      <c r="CE164" s="167">
        <v>0</v>
      </c>
      <c r="CF164" s="167">
        <v>0</v>
      </c>
      <c r="CG164" s="167">
        <v>0</v>
      </c>
      <c r="CH164" s="167">
        <v>0</v>
      </c>
      <c r="CI164" s="167">
        <v>0</v>
      </c>
      <c r="CJ164" s="167">
        <v>0</v>
      </c>
      <c r="CK164" s="167">
        <v>0</v>
      </c>
      <c r="CL164" s="167">
        <v>0</v>
      </c>
      <c r="CM164" s="167">
        <v>0</v>
      </c>
      <c r="CN164" s="167">
        <v>0</v>
      </c>
      <c r="CO164" s="167">
        <v>0</v>
      </c>
      <c r="CP164" s="167">
        <v>0</v>
      </c>
      <c r="CQ164" s="167">
        <v>0</v>
      </c>
      <c r="CR164" s="167">
        <v>0</v>
      </c>
      <c r="CS164" s="167">
        <v>0</v>
      </c>
      <c r="CT164" s="167">
        <v>0</v>
      </c>
      <c r="CU164" s="167">
        <v>0</v>
      </c>
      <c r="CV164" s="167">
        <v>0</v>
      </c>
      <c r="CW164" s="167">
        <v>0</v>
      </c>
      <c r="CX164" s="167">
        <f>SUM(CD164:CH164)</f>
        <v>0</v>
      </c>
      <c r="CY164" s="167">
        <f>SUM(CD164:CM164)</f>
        <v>0</v>
      </c>
    </row>
    <row r="165" spans="1:103" ht="12.75" customHeight="1" x14ac:dyDescent="0.2">
      <c r="A165" s="81">
        <v>6156</v>
      </c>
      <c r="B165" s="165" t="s">
        <v>1924</v>
      </c>
      <c r="C165" s="165" t="s">
        <v>794</v>
      </c>
      <c r="E165" s="165" t="s">
        <v>3211</v>
      </c>
      <c r="G165" s="81">
        <v>526138</v>
      </c>
      <c r="H165" s="81">
        <v>172736</v>
      </c>
      <c r="I165" s="165" t="s">
        <v>249</v>
      </c>
      <c r="J165" s="349">
        <v>42577</v>
      </c>
      <c r="K165" s="349">
        <v>43060</v>
      </c>
      <c r="L165" s="166">
        <v>0</v>
      </c>
      <c r="M165" s="166">
        <v>1</v>
      </c>
      <c r="N165" s="166">
        <v>1</v>
      </c>
      <c r="O165" s="166">
        <v>1</v>
      </c>
      <c r="P165" s="166">
        <v>1</v>
      </c>
      <c r="R165" s="165" t="s">
        <v>795</v>
      </c>
      <c r="S165" s="81" t="s">
        <v>113</v>
      </c>
      <c r="T165" s="349">
        <v>42458</v>
      </c>
      <c r="U165" s="349">
        <v>42474</v>
      </c>
      <c r="W165" s="81" t="s">
        <v>114</v>
      </c>
      <c r="Y165" s="81" t="s">
        <v>115</v>
      </c>
      <c r="Z165" s="81" t="s">
        <v>398</v>
      </c>
      <c r="AA165" s="81" t="s">
        <v>117</v>
      </c>
      <c r="AB165" s="81" t="s">
        <v>102</v>
      </c>
      <c r="AC165" s="166">
        <v>6.0000000521540598E-3</v>
      </c>
      <c r="AD165" s="349">
        <v>42577</v>
      </c>
      <c r="AF165" s="349">
        <v>43060</v>
      </c>
      <c r="AG165" s="81" t="s">
        <v>238</v>
      </c>
      <c r="AH165" s="81" t="s">
        <v>118</v>
      </c>
      <c r="AK165" s="166">
        <v>0</v>
      </c>
      <c r="AM165" s="166">
        <v>0</v>
      </c>
      <c r="AO165" s="166">
        <v>0</v>
      </c>
      <c r="AP165" s="166">
        <v>0</v>
      </c>
      <c r="AQ165" s="166">
        <v>1</v>
      </c>
      <c r="AR165" s="166">
        <v>0</v>
      </c>
      <c r="AS165" s="166">
        <v>0</v>
      </c>
      <c r="AT165" s="166">
        <v>0</v>
      </c>
      <c r="AU165" s="166">
        <v>0</v>
      </c>
      <c r="AV165" s="166">
        <v>0</v>
      </c>
      <c r="AW165" s="166">
        <v>0</v>
      </c>
      <c r="AX165" s="166">
        <v>1</v>
      </c>
      <c r="AY165" s="166">
        <v>0</v>
      </c>
      <c r="AZ165" s="166">
        <v>0</v>
      </c>
      <c r="BA165" s="166">
        <v>0</v>
      </c>
      <c r="BB165" s="166">
        <v>0</v>
      </c>
      <c r="BC165" s="166">
        <v>0</v>
      </c>
      <c r="BD165" s="166">
        <v>0</v>
      </c>
      <c r="BE165" s="166">
        <v>0</v>
      </c>
      <c r="BF165" s="166">
        <v>0</v>
      </c>
      <c r="BG165" s="166">
        <v>0</v>
      </c>
      <c r="BH165" s="166">
        <v>0</v>
      </c>
      <c r="BI165" s="166">
        <v>0</v>
      </c>
      <c r="BJ165" s="166">
        <v>0</v>
      </c>
      <c r="BK165" s="166">
        <v>0</v>
      </c>
      <c r="BL165" s="166">
        <v>0</v>
      </c>
      <c r="BM165" s="166">
        <v>0</v>
      </c>
      <c r="BN165" s="166">
        <v>0</v>
      </c>
      <c r="BO165" s="166">
        <v>0</v>
      </c>
      <c r="BP165" s="166">
        <v>0</v>
      </c>
      <c r="BQ165" s="81" t="s">
        <v>1758</v>
      </c>
      <c r="BZ165" s="81" t="s">
        <v>155</v>
      </c>
      <c r="CA165" s="81">
        <v>7</v>
      </c>
      <c r="CC165" s="167">
        <f>N165</f>
        <v>1</v>
      </c>
      <c r="CD165" s="167">
        <v>0</v>
      </c>
      <c r="CE165" s="167">
        <v>0</v>
      </c>
      <c r="CF165" s="167">
        <v>0</v>
      </c>
      <c r="CG165" s="167">
        <v>0</v>
      </c>
      <c r="CH165" s="167">
        <v>0</v>
      </c>
      <c r="CI165" s="167">
        <v>0</v>
      </c>
      <c r="CJ165" s="167">
        <v>0</v>
      </c>
      <c r="CK165" s="167">
        <v>0</v>
      </c>
      <c r="CL165" s="167">
        <v>0</v>
      </c>
      <c r="CM165" s="167">
        <v>0</v>
      </c>
      <c r="CN165" s="167">
        <v>0</v>
      </c>
      <c r="CO165" s="167">
        <v>0</v>
      </c>
      <c r="CP165" s="167">
        <v>0</v>
      </c>
      <c r="CQ165" s="167">
        <v>0</v>
      </c>
      <c r="CR165" s="167">
        <v>0</v>
      </c>
      <c r="CS165" s="167">
        <v>0</v>
      </c>
      <c r="CT165" s="167">
        <v>0</v>
      </c>
      <c r="CU165" s="167">
        <v>0</v>
      </c>
      <c r="CV165" s="167">
        <v>0</v>
      </c>
      <c r="CW165" s="167">
        <v>0</v>
      </c>
      <c r="CX165" s="167">
        <f>SUM(CD165:CH165)</f>
        <v>0</v>
      </c>
      <c r="CY165" s="167">
        <f>SUM(CD165:CM165)</f>
        <v>0</v>
      </c>
    </row>
    <row r="166" spans="1:103" ht="12.75" customHeight="1" x14ac:dyDescent="0.2">
      <c r="A166" s="81">
        <v>6166</v>
      </c>
      <c r="B166" s="165" t="s">
        <v>1924</v>
      </c>
      <c r="C166" s="165" t="s">
        <v>722</v>
      </c>
      <c r="E166" s="165" t="s">
        <v>3212</v>
      </c>
      <c r="G166" s="81">
        <v>527326</v>
      </c>
      <c r="H166" s="81">
        <v>171532</v>
      </c>
      <c r="I166" s="165" t="s">
        <v>242</v>
      </c>
      <c r="J166" s="349">
        <v>42620</v>
      </c>
      <c r="K166" s="349">
        <v>42907</v>
      </c>
      <c r="L166" s="166">
        <v>0</v>
      </c>
      <c r="M166" s="166">
        <v>1</v>
      </c>
      <c r="N166" s="166">
        <v>1</v>
      </c>
      <c r="O166" s="166">
        <v>1</v>
      </c>
      <c r="P166" s="166">
        <v>1</v>
      </c>
      <c r="R166" s="165" t="s">
        <v>723</v>
      </c>
      <c r="S166" s="81" t="s">
        <v>113</v>
      </c>
      <c r="T166" s="349">
        <v>42382</v>
      </c>
      <c r="U166" s="349">
        <v>42437</v>
      </c>
      <c r="W166" s="81" t="s">
        <v>114</v>
      </c>
      <c r="Y166" s="81" t="s">
        <v>115</v>
      </c>
      <c r="Z166" s="81" t="s">
        <v>116</v>
      </c>
      <c r="AA166" s="81" t="s">
        <v>117</v>
      </c>
      <c r="AB166" s="81" t="s">
        <v>218</v>
      </c>
      <c r="AC166" s="166">
        <v>2.3000000044703501E-2</v>
      </c>
      <c r="AD166" s="349">
        <v>42620</v>
      </c>
      <c r="AF166" s="349">
        <v>42907</v>
      </c>
      <c r="AG166" s="81" t="s">
        <v>238</v>
      </c>
      <c r="AH166" s="81" t="s">
        <v>118</v>
      </c>
      <c r="AK166" s="166">
        <v>1</v>
      </c>
      <c r="AM166" s="166">
        <v>0</v>
      </c>
      <c r="AO166" s="166">
        <v>0</v>
      </c>
      <c r="AP166" s="166">
        <v>0</v>
      </c>
      <c r="AQ166" s="166">
        <v>1</v>
      </c>
      <c r="AR166" s="166">
        <v>0</v>
      </c>
      <c r="AS166" s="166">
        <v>0</v>
      </c>
      <c r="AT166" s="166">
        <v>0</v>
      </c>
      <c r="AU166" s="166">
        <v>0</v>
      </c>
      <c r="AV166" s="166">
        <v>0</v>
      </c>
      <c r="AW166" s="166">
        <v>0</v>
      </c>
      <c r="AX166" s="166">
        <v>0</v>
      </c>
      <c r="AY166" s="166">
        <v>0</v>
      </c>
      <c r="AZ166" s="166">
        <v>0</v>
      </c>
      <c r="BA166" s="166">
        <v>0</v>
      </c>
      <c r="BB166" s="166">
        <v>0</v>
      </c>
      <c r="BC166" s="166">
        <v>0</v>
      </c>
      <c r="BD166" s="166">
        <v>0</v>
      </c>
      <c r="BE166" s="166">
        <v>1</v>
      </c>
      <c r="BF166" s="166">
        <v>0</v>
      </c>
      <c r="BG166" s="166">
        <v>0</v>
      </c>
      <c r="BH166" s="166">
        <v>0</v>
      </c>
      <c r="BI166" s="166">
        <v>0</v>
      </c>
      <c r="BJ166" s="166">
        <v>0</v>
      </c>
      <c r="BK166" s="166">
        <v>0</v>
      </c>
      <c r="BL166" s="166">
        <v>0</v>
      </c>
      <c r="BM166" s="166">
        <v>0</v>
      </c>
      <c r="BN166" s="166">
        <v>0</v>
      </c>
      <c r="BO166" s="166">
        <v>0</v>
      </c>
      <c r="BP166" s="166">
        <v>0</v>
      </c>
      <c r="BQ166" s="81" t="s">
        <v>1757</v>
      </c>
      <c r="BZ166" s="81" t="s">
        <v>155</v>
      </c>
      <c r="CA166" s="81">
        <v>1</v>
      </c>
      <c r="CC166" s="167">
        <f>N166</f>
        <v>1</v>
      </c>
      <c r="CD166" s="167">
        <v>0</v>
      </c>
      <c r="CE166" s="167">
        <v>0</v>
      </c>
      <c r="CF166" s="167">
        <v>0</v>
      </c>
      <c r="CG166" s="167">
        <v>0</v>
      </c>
      <c r="CH166" s="167">
        <v>0</v>
      </c>
      <c r="CI166" s="167">
        <v>0</v>
      </c>
      <c r="CJ166" s="167">
        <v>0</v>
      </c>
      <c r="CK166" s="167">
        <v>0</v>
      </c>
      <c r="CL166" s="167">
        <v>0</v>
      </c>
      <c r="CM166" s="167">
        <v>0</v>
      </c>
      <c r="CN166" s="167">
        <v>0</v>
      </c>
      <c r="CO166" s="167">
        <v>0</v>
      </c>
      <c r="CP166" s="167">
        <v>0</v>
      </c>
      <c r="CQ166" s="167">
        <v>0</v>
      </c>
      <c r="CR166" s="167">
        <v>0</v>
      </c>
      <c r="CS166" s="167">
        <v>0</v>
      </c>
      <c r="CT166" s="167">
        <v>0</v>
      </c>
      <c r="CU166" s="167">
        <v>0</v>
      </c>
      <c r="CV166" s="167">
        <v>0</v>
      </c>
      <c r="CW166" s="167">
        <v>0</v>
      </c>
      <c r="CX166" s="167">
        <f>SUM(CD166:CH166)</f>
        <v>0</v>
      </c>
      <c r="CY166" s="167">
        <f>SUM(CD166:CM166)</f>
        <v>0</v>
      </c>
    </row>
    <row r="167" spans="1:103" ht="12.75" customHeight="1" x14ac:dyDescent="0.2">
      <c r="A167" s="81">
        <v>6178</v>
      </c>
      <c r="B167" s="165" t="s">
        <v>1924</v>
      </c>
      <c r="C167" s="165" t="s">
        <v>991</v>
      </c>
      <c r="E167" s="165" t="s">
        <v>3213</v>
      </c>
      <c r="G167" s="81">
        <v>521677</v>
      </c>
      <c r="H167" s="81">
        <v>172434</v>
      </c>
      <c r="I167" s="165" t="s">
        <v>877</v>
      </c>
      <c r="J167" s="349">
        <v>42657</v>
      </c>
      <c r="K167" s="349">
        <v>43087</v>
      </c>
      <c r="L167" s="166">
        <v>1</v>
      </c>
      <c r="M167" s="166">
        <v>4</v>
      </c>
      <c r="N167" s="166">
        <v>3</v>
      </c>
      <c r="O167" s="166">
        <v>4</v>
      </c>
      <c r="P167" s="166">
        <v>3</v>
      </c>
      <c r="R167" s="165" t="s">
        <v>992</v>
      </c>
      <c r="S167" s="81" t="s">
        <v>113</v>
      </c>
      <c r="T167" s="349">
        <v>42500</v>
      </c>
      <c r="U167" s="349">
        <v>42556</v>
      </c>
      <c r="W167" s="81" t="s">
        <v>114</v>
      </c>
      <c r="Y167" s="81" t="s">
        <v>115</v>
      </c>
      <c r="Z167" s="81" t="s">
        <v>398</v>
      </c>
      <c r="AA167" s="81" t="s">
        <v>117</v>
      </c>
      <c r="AB167" s="81" t="s">
        <v>120</v>
      </c>
      <c r="AC167" s="166">
        <v>5.4999999701976797E-2</v>
      </c>
      <c r="AD167" s="349">
        <v>42657</v>
      </c>
      <c r="AF167" s="349">
        <v>43087</v>
      </c>
      <c r="AG167" s="81" t="s">
        <v>238</v>
      </c>
      <c r="AH167" s="81" t="s">
        <v>118</v>
      </c>
      <c r="AK167" s="166">
        <v>0</v>
      </c>
      <c r="AM167" s="166">
        <v>0</v>
      </c>
      <c r="AO167" s="166">
        <v>1</v>
      </c>
      <c r="AP167" s="166">
        <v>0</v>
      </c>
      <c r="AQ167" s="166">
        <v>1</v>
      </c>
      <c r="AR167" s="166">
        <v>2</v>
      </c>
      <c r="AS167" s="166">
        <v>-1</v>
      </c>
      <c r="AT167" s="166">
        <v>0</v>
      </c>
      <c r="AU167" s="166">
        <v>0</v>
      </c>
      <c r="AV167" s="166">
        <v>1</v>
      </c>
      <c r="AW167" s="166">
        <v>0</v>
      </c>
      <c r="AX167" s="166">
        <v>1</v>
      </c>
      <c r="AY167" s="166">
        <v>2</v>
      </c>
      <c r="AZ167" s="166">
        <v>0</v>
      </c>
      <c r="BA167" s="166">
        <v>0</v>
      </c>
      <c r="BB167" s="166">
        <v>0</v>
      </c>
      <c r="BC167" s="166">
        <v>0</v>
      </c>
      <c r="BD167" s="166">
        <v>0</v>
      </c>
      <c r="BE167" s="166">
        <v>0</v>
      </c>
      <c r="BF167" s="166">
        <v>0</v>
      </c>
      <c r="BG167" s="166">
        <v>-1</v>
      </c>
      <c r="BH167" s="166">
        <v>0</v>
      </c>
      <c r="BI167" s="166">
        <v>0</v>
      </c>
      <c r="BJ167" s="166">
        <v>0</v>
      </c>
      <c r="BK167" s="166">
        <v>0</v>
      </c>
      <c r="BL167" s="166">
        <v>0</v>
      </c>
      <c r="BM167" s="166">
        <v>0</v>
      </c>
      <c r="BN167" s="166">
        <v>0</v>
      </c>
      <c r="BO167" s="166">
        <v>0</v>
      </c>
      <c r="BP167" s="166">
        <v>0</v>
      </c>
      <c r="BQ167" s="81" t="s">
        <v>1758</v>
      </c>
      <c r="BZ167" s="81" t="s">
        <v>155</v>
      </c>
      <c r="CA167" s="81">
        <v>7</v>
      </c>
      <c r="CC167" s="167">
        <f>N167</f>
        <v>3</v>
      </c>
      <c r="CD167" s="167">
        <v>0</v>
      </c>
      <c r="CE167" s="167">
        <v>0</v>
      </c>
      <c r="CF167" s="167">
        <v>0</v>
      </c>
      <c r="CG167" s="167">
        <v>0</v>
      </c>
      <c r="CH167" s="167">
        <v>0</v>
      </c>
      <c r="CI167" s="167">
        <v>0</v>
      </c>
      <c r="CJ167" s="167">
        <v>0</v>
      </c>
      <c r="CK167" s="167">
        <v>0</v>
      </c>
      <c r="CL167" s="167">
        <v>0</v>
      </c>
      <c r="CM167" s="167">
        <v>0</v>
      </c>
      <c r="CN167" s="167">
        <v>0</v>
      </c>
      <c r="CO167" s="167">
        <v>0</v>
      </c>
      <c r="CP167" s="167">
        <v>0</v>
      </c>
      <c r="CQ167" s="167">
        <v>0</v>
      </c>
      <c r="CR167" s="167">
        <v>0</v>
      </c>
      <c r="CS167" s="167">
        <v>0</v>
      </c>
      <c r="CT167" s="167">
        <v>0</v>
      </c>
      <c r="CU167" s="167">
        <v>0</v>
      </c>
      <c r="CV167" s="167">
        <v>0</v>
      </c>
      <c r="CW167" s="167">
        <v>0</v>
      </c>
      <c r="CX167" s="167">
        <f>SUM(CD167:CH167)</f>
        <v>0</v>
      </c>
      <c r="CY167" s="167">
        <f>SUM(CD167:CM167)</f>
        <v>0</v>
      </c>
    </row>
    <row r="168" spans="1:103" ht="12.75" customHeight="1" x14ac:dyDescent="0.2">
      <c r="A168" s="81">
        <v>6186</v>
      </c>
      <c r="B168" s="165" t="s">
        <v>1924</v>
      </c>
      <c r="C168" s="165" t="s">
        <v>3214</v>
      </c>
      <c r="E168" s="165" t="s">
        <v>3215</v>
      </c>
      <c r="G168" s="81">
        <v>527237</v>
      </c>
      <c r="H168" s="81">
        <v>171543</v>
      </c>
      <c r="I168" s="165" t="s">
        <v>242</v>
      </c>
      <c r="J168" s="349">
        <v>42941</v>
      </c>
      <c r="K168" s="349">
        <v>43160</v>
      </c>
      <c r="L168" s="166">
        <v>2</v>
      </c>
      <c r="M168" s="166">
        <v>1</v>
      </c>
      <c r="N168" s="166">
        <v>-1</v>
      </c>
      <c r="O168" s="166">
        <v>1</v>
      </c>
      <c r="P168" s="166">
        <v>-1</v>
      </c>
      <c r="R168" s="165" t="s">
        <v>3216</v>
      </c>
      <c r="S168" s="81" t="s">
        <v>113</v>
      </c>
      <c r="T168" s="349">
        <v>42885</v>
      </c>
      <c r="U168" s="349">
        <v>42941</v>
      </c>
      <c r="V168" s="81" t="s">
        <v>155</v>
      </c>
      <c r="W168" s="81" t="s">
        <v>114</v>
      </c>
      <c r="Y168" s="81" t="s">
        <v>115</v>
      </c>
      <c r="Z168" s="81" t="s">
        <v>119</v>
      </c>
      <c r="AA168" s="81" t="s">
        <v>117</v>
      </c>
      <c r="AB168" s="81" t="s">
        <v>336</v>
      </c>
      <c r="AC168" s="166">
        <v>1.4000000432133701E-2</v>
      </c>
      <c r="AD168" s="349">
        <v>42941</v>
      </c>
      <c r="AE168" s="81" t="s">
        <v>155</v>
      </c>
      <c r="AF168" s="349">
        <v>43160</v>
      </c>
      <c r="AG168" s="81" t="s">
        <v>238</v>
      </c>
      <c r="AH168" s="81" t="s">
        <v>118</v>
      </c>
      <c r="AK168" s="166">
        <v>0</v>
      </c>
      <c r="AM168" s="166">
        <v>0</v>
      </c>
      <c r="AO168" s="166">
        <v>0</v>
      </c>
      <c r="AP168" s="166">
        <v>-1</v>
      </c>
      <c r="AQ168" s="166">
        <v>0</v>
      </c>
      <c r="AR168" s="166">
        <v>-1</v>
      </c>
      <c r="AS168" s="166">
        <v>0</v>
      </c>
      <c r="AT168" s="166">
        <v>1</v>
      </c>
      <c r="AU168" s="166">
        <v>0</v>
      </c>
      <c r="AV168" s="166">
        <v>0</v>
      </c>
      <c r="AW168" s="166">
        <v>-1</v>
      </c>
      <c r="AX168" s="166">
        <v>0</v>
      </c>
      <c r="AY168" s="166">
        <v>-1</v>
      </c>
      <c r="AZ168" s="166">
        <v>0</v>
      </c>
      <c r="BA168" s="166">
        <v>0</v>
      </c>
      <c r="BB168" s="166">
        <v>0</v>
      </c>
      <c r="BC168" s="166">
        <v>0</v>
      </c>
      <c r="BD168" s="166">
        <v>0</v>
      </c>
      <c r="BE168" s="166">
        <v>0</v>
      </c>
      <c r="BF168" s="166">
        <v>0</v>
      </c>
      <c r="BG168" s="166">
        <v>0</v>
      </c>
      <c r="BH168" s="166">
        <v>1</v>
      </c>
      <c r="BI168" s="166">
        <v>0</v>
      </c>
      <c r="BJ168" s="166">
        <v>0</v>
      </c>
      <c r="BK168" s="166">
        <v>0</v>
      </c>
      <c r="BL168" s="166">
        <v>0</v>
      </c>
      <c r="BM168" s="166">
        <v>0</v>
      </c>
      <c r="BN168" s="166">
        <v>0</v>
      </c>
      <c r="BO168" s="166">
        <v>0</v>
      </c>
      <c r="BP168" s="166">
        <v>0</v>
      </c>
      <c r="BQ168" s="81" t="s">
        <v>1757</v>
      </c>
      <c r="BZ168" s="81" t="s">
        <v>155</v>
      </c>
      <c r="CA168" s="81">
        <v>7</v>
      </c>
      <c r="CC168" s="167">
        <f>N168</f>
        <v>-1</v>
      </c>
      <c r="CD168" s="167">
        <v>0</v>
      </c>
      <c r="CE168" s="167">
        <v>0</v>
      </c>
      <c r="CF168" s="167">
        <v>0</v>
      </c>
      <c r="CG168" s="167">
        <v>0</v>
      </c>
      <c r="CH168" s="167">
        <v>0</v>
      </c>
      <c r="CI168" s="167">
        <v>0</v>
      </c>
      <c r="CJ168" s="167">
        <v>0</v>
      </c>
      <c r="CK168" s="167">
        <v>0</v>
      </c>
      <c r="CL168" s="167">
        <v>0</v>
      </c>
      <c r="CM168" s="167">
        <v>0</v>
      </c>
      <c r="CN168" s="167">
        <v>0</v>
      </c>
      <c r="CO168" s="167">
        <v>0</v>
      </c>
      <c r="CP168" s="167">
        <v>0</v>
      </c>
      <c r="CQ168" s="167">
        <v>0</v>
      </c>
      <c r="CR168" s="167">
        <v>0</v>
      </c>
      <c r="CS168" s="167">
        <v>0</v>
      </c>
      <c r="CT168" s="167">
        <v>0</v>
      </c>
      <c r="CU168" s="167">
        <v>0</v>
      </c>
      <c r="CV168" s="167">
        <v>0</v>
      </c>
      <c r="CW168" s="167">
        <v>0</v>
      </c>
      <c r="CX168" s="167">
        <f>SUM(CD168:CH168)</f>
        <v>0</v>
      </c>
      <c r="CY168" s="167">
        <f>SUM(CD168:CM168)</f>
        <v>0</v>
      </c>
    </row>
    <row r="169" spans="1:103" ht="12.75" customHeight="1" x14ac:dyDescent="0.2">
      <c r="A169" s="81">
        <v>6187</v>
      </c>
      <c r="B169" s="165" t="s">
        <v>1924</v>
      </c>
      <c r="C169" s="165" t="s">
        <v>1660</v>
      </c>
      <c r="E169" s="165" t="s">
        <v>3217</v>
      </c>
      <c r="G169" s="81">
        <v>528827</v>
      </c>
      <c r="H169" s="81">
        <v>173841</v>
      </c>
      <c r="I169" s="165" t="s">
        <v>247</v>
      </c>
      <c r="J169" s="349">
        <v>42936</v>
      </c>
      <c r="K169" s="349">
        <v>43190</v>
      </c>
      <c r="L169" s="166">
        <v>0</v>
      </c>
      <c r="M169" s="166">
        <v>8</v>
      </c>
      <c r="N169" s="166">
        <v>8</v>
      </c>
      <c r="O169" s="166">
        <v>8</v>
      </c>
      <c r="P169" s="166">
        <v>8</v>
      </c>
      <c r="R169" s="165" t="s">
        <v>1661</v>
      </c>
      <c r="S169" s="81" t="s">
        <v>113</v>
      </c>
      <c r="T169" s="349">
        <v>42795</v>
      </c>
      <c r="U169" s="349">
        <v>42877</v>
      </c>
      <c r="V169" s="81" t="s">
        <v>155</v>
      </c>
      <c r="W169" s="81" t="s">
        <v>114</v>
      </c>
      <c r="Y169" s="81" t="s">
        <v>115</v>
      </c>
      <c r="Z169" s="81" t="s">
        <v>398</v>
      </c>
      <c r="AA169" s="81" t="s">
        <v>117</v>
      </c>
      <c r="AB169" s="81" t="s">
        <v>399</v>
      </c>
      <c r="AC169" s="166">
        <v>2.9999999329447701E-2</v>
      </c>
      <c r="AD169" s="349">
        <v>42936</v>
      </c>
      <c r="AE169" s="81" t="s">
        <v>155</v>
      </c>
      <c r="AF169" s="349">
        <v>43190</v>
      </c>
      <c r="AG169" s="81" t="s">
        <v>238</v>
      </c>
      <c r="AH169" s="81" t="s">
        <v>118</v>
      </c>
      <c r="AK169" s="166">
        <v>0</v>
      </c>
      <c r="AM169" s="166">
        <v>0</v>
      </c>
      <c r="AO169" s="166">
        <v>4</v>
      </c>
      <c r="AP169" s="166">
        <v>0</v>
      </c>
      <c r="AQ169" s="166">
        <v>2</v>
      </c>
      <c r="AR169" s="166">
        <v>2</v>
      </c>
      <c r="AS169" s="166">
        <v>0</v>
      </c>
      <c r="AT169" s="166">
        <v>0</v>
      </c>
      <c r="AU169" s="166">
        <v>0</v>
      </c>
      <c r="AV169" s="166">
        <v>4</v>
      </c>
      <c r="AW169" s="166">
        <v>0</v>
      </c>
      <c r="AX169" s="166">
        <v>2</v>
      </c>
      <c r="AY169" s="166">
        <v>2</v>
      </c>
      <c r="AZ169" s="166">
        <v>0</v>
      </c>
      <c r="BA169" s="166">
        <v>0</v>
      </c>
      <c r="BB169" s="166">
        <v>0</v>
      </c>
      <c r="BC169" s="166">
        <v>0</v>
      </c>
      <c r="BD169" s="166">
        <v>0</v>
      </c>
      <c r="BE169" s="166">
        <v>0</v>
      </c>
      <c r="BF169" s="166">
        <v>0</v>
      </c>
      <c r="BG169" s="166">
        <v>0</v>
      </c>
      <c r="BH169" s="166">
        <v>0</v>
      </c>
      <c r="BI169" s="166">
        <v>0</v>
      </c>
      <c r="BJ169" s="166">
        <v>0</v>
      </c>
      <c r="BK169" s="166">
        <v>0</v>
      </c>
      <c r="BL169" s="166">
        <v>0</v>
      </c>
      <c r="BM169" s="166">
        <v>0</v>
      </c>
      <c r="BN169" s="166">
        <v>0</v>
      </c>
      <c r="BO169" s="166">
        <v>0</v>
      </c>
      <c r="BP169" s="166">
        <v>0</v>
      </c>
      <c r="BQ169" s="81" t="s">
        <v>1757</v>
      </c>
      <c r="BZ169" s="81" t="s">
        <v>155</v>
      </c>
      <c r="CA169" s="81">
        <v>7</v>
      </c>
      <c r="CC169" s="167">
        <f>N169</f>
        <v>8</v>
      </c>
      <c r="CD169" s="167">
        <v>0</v>
      </c>
      <c r="CE169" s="167">
        <v>0</v>
      </c>
      <c r="CF169" s="167">
        <v>0</v>
      </c>
      <c r="CG169" s="167">
        <v>0</v>
      </c>
      <c r="CH169" s="167">
        <v>0</v>
      </c>
      <c r="CI169" s="167">
        <v>0</v>
      </c>
      <c r="CJ169" s="167">
        <v>0</v>
      </c>
      <c r="CK169" s="167">
        <v>0</v>
      </c>
      <c r="CL169" s="167">
        <v>0</v>
      </c>
      <c r="CM169" s="167">
        <v>0</v>
      </c>
      <c r="CN169" s="167">
        <v>0</v>
      </c>
      <c r="CO169" s="167">
        <v>0</v>
      </c>
      <c r="CP169" s="167">
        <v>0</v>
      </c>
      <c r="CQ169" s="167">
        <v>0</v>
      </c>
      <c r="CR169" s="167">
        <v>0</v>
      </c>
      <c r="CS169" s="167">
        <v>0</v>
      </c>
      <c r="CT169" s="167">
        <v>0</v>
      </c>
      <c r="CU169" s="167">
        <v>0</v>
      </c>
      <c r="CV169" s="167">
        <v>0</v>
      </c>
      <c r="CW169" s="167">
        <v>0</v>
      </c>
      <c r="CX169" s="167">
        <f>SUM(CD169:CH169)</f>
        <v>0</v>
      </c>
      <c r="CY169" s="167">
        <f>SUM(CD169:CM169)</f>
        <v>0</v>
      </c>
    </row>
    <row r="170" spans="1:103" ht="12.75" customHeight="1" x14ac:dyDescent="0.2">
      <c r="A170" s="81">
        <v>6190</v>
      </c>
      <c r="B170" s="165" t="s">
        <v>1924</v>
      </c>
      <c r="C170" s="165" t="s">
        <v>828</v>
      </c>
      <c r="E170" s="165" t="s">
        <v>3218</v>
      </c>
      <c r="G170" s="81">
        <v>528499</v>
      </c>
      <c r="H170" s="81">
        <v>173373</v>
      </c>
      <c r="I170" s="165" t="s">
        <v>254</v>
      </c>
      <c r="J170" s="349">
        <v>42825</v>
      </c>
      <c r="K170" s="349">
        <v>43081</v>
      </c>
      <c r="L170" s="166">
        <v>1</v>
      </c>
      <c r="M170" s="166">
        <v>2</v>
      </c>
      <c r="N170" s="166">
        <v>1</v>
      </c>
      <c r="O170" s="166">
        <v>2</v>
      </c>
      <c r="P170" s="166">
        <v>1</v>
      </c>
      <c r="R170" s="165" t="s">
        <v>981</v>
      </c>
      <c r="S170" s="81" t="s">
        <v>113</v>
      </c>
      <c r="T170" s="349">
        <v>42482</v>
      </c>
      <c r="U170" s="349">
        <v>42537</v>
      </c>
      <c r="W170" s="81" t="s">
        <v>114</v>
      </c>
      <c r="Y170" s="81" t="s">
        <v>115</v>
      </c>
      <c r="Z170" s="81" t="s">
        <v>398</v>
      </c>
      <c r="AA170" s="81" t="s">
        <v>117</v>
      </c>
      <c r="AB170" s="81" t="s">
        <v>220</v>
      </c>
      <c r="AC170" s="166">
        <v>7.0000002160668399E-3</v>
      </c>
      <c r="AD170" s="349">
        <v>42825</v>
      </c>
      <c r="AF170" s="349">
        <v>43081</v>
      </c>
      <c r="AG170" s="81" t="s">
        <v>238</v>
      </c>
      <c r="AH170" s="81" t="s">
        <v>118</v>
      </c>
      <c r="AK170" s="166">
        <v>0</v>
      </c>
      <c r="AM170" s="166">
        <v>0</v>
      </c>
      <c r="AO170" s="166">
        <v>1</v>
      </c>
      <c r="AP170" s="166">
        <v>0</v>
      </c>
      <c r="AQ170" s="166">
        <v>0</v>
      </c>
      <c r="AR170" s="166">
        <v>0</v>
      </c>
      <c r="AS170" s="166">
        <v>0</v>
      </c>
      <c r="AT170" s="166">
        <v>0</v>
      </c>
      <c r="AU170" s="166">
        <v>0</v>
      </c>
      <c r="AV170" s="166">
        <v>1</v>
      </c>
      <c r="AW170" s="166">
        <v>0</v>
      </c>
      <c r="AX170" s="166">
        <v>0</v>
      </c>
      <c r="AY170" s="166">
        <v>0</v>
      </c>
      <c r="AZ170" s="166">
        <v>0</v>
      </c>
      <c r="BA170" s="166">
        <v>0</v>
      </c>
      <c r="BB170" s="166">
        <v>0</v>
      </c>
      <c r="BC170" s="166">
        <v>0</v>
      </c>
      <c r="BD170" s="166">
        <v>0</v>
      </c>
      <c r="BE170" s="166">
        <v>0</v>
      </c>
      <c r="BF170" s="166">
        <v>0</v>
      </c>
      <c r="BG170" s="166">
        <v>0</v>
      </c>
      <c r="BH170" s="166">
        <v>0</v>
      </c>
      <c r="BI170" s="166">
        <v>0</v>
      </c>
      <c r="BJ170" s="166">
        <v>0</v>
      </c>
      <c r="BK170" s="166">
        <v>0</v>
      </c>
      <c r="BL170" s="166">
        <v>0</v>
      </c>
      <c r="BM170" s="166">
        <v>0</v>
      </c>
      <c r="BN170" s="166">
        <v>0</v>
      </c>
      <c r="BO170" s="166">
        <v>0</v>
      </c>
      <c r="BP170" s="166">
        <v>0</v>
      </c>
      <c r="BQ170" s="81" t="s">
        <v>1757</v>
      </c>
      <c r="BR170" s="81" t="s">
        <v>247</v>
      </c>
      <c r="BZ170" s="81" t="s">
        <v>155</v>
      </c>
      <c r="CA170" s="81">
        <v>7</v>
      </c>
      <c r="CC170" s="167">
        <f>N170</f>
        <v>1</v>
      </c>
      <c r="CD170" s="167">
        <v>0</v>
      </c>
      <c r="CE170" s="167">
        <v>0</v>
      </c>
      <c r="CF170" s="167">
        <v>0</v>
      </c>
      <c r="CG170" s="167">
        <v>0</v>
      </c>
      <c r="CH170" s="167">
        <v>0</v>
      </c>
      <c r="CI170" s="167">
        <v>0</v>
      </c>
      <c r="CJ170" s="167">
        <v>0</v>
      </c>
      <c r="CK170" s="167">
        <v>0</v>
      </c>
      <c r="CL170" s="167">
        <v>0</v>
      </c>
      <c r="CM170" s="167">
        <v>0</v>
      </c>
      <c r="CN170" s="167">
        <v>0</v>
      </c>
      <c r="CO170" s="167">
        <v>0</v>
      </c>
      <c r="CP170" s="167">
        <v>0</v>
      </c>
      <c r="CQ170" s="167">
        <v>0</v>
      </c>
      <c r="CR170" s="167">
        <v>0</v>
      </c>
      <c r="CS170" s="167">
        <v>0</v>
      </c>
      <c r="CT170" s="167">
        <v>0</v>
      </c>
      <c r="CU170" s="167">
        <v>0</v>
      </c>
      <c r="CV170" s="167">
        <v>0</v>
      </c>
      <c r="CW170" s="167">
        <v>0</v>
      </c>
      <c r="CX170" s="167">
        <f>SUM(CD170:CH170)</f>
        <v>0</v>
      </c>
      <c r="CY170" s="167">
        <f>SUM(CD170:CM170)</f>
        <v>0</v>
      </c>
    </row>
    <row r="171" spans="1:103" ht="12.75" customHeight="1" x14ac:dyDescent="0.2">
      <c r="A171" s="81">
        <v>6192</v>
      </c>
      <c r="B171" s="165" t="s">
        <v>1924</v>
      </c>
      <c r="C171" s="165" t="s">
        <v>816</v>
      </c>
      <c r="E171" s="165" t="s">
        <v>3219</v>
      </c>
      <c r="G171" s="81">
        <v>527973</v>
      </c>
      <c r="H171" s="81">
        <v>175299</v>
      </c>
      <c r="I171" s="165" t="s">
        <v>256</v>
      </c>
      <c r="J171" s="349">
        <v>42936</v>
      </c>
      <c r="K171" s="349">
        <v>43190</v>
      </c>
      <c r="L171" s="166">
        <v>1</v>
      </c>
      <c r="M171" s="166">
        <v>1</v>
      </c>
      <c r="N171" s="166">
        <v>0</v>
      </c>
      <c r="O171" s="166">
        <v>1</v>
      </c>
      <c r="P171" s="166">
        <v>0</v>
      </c>
      <c r="R171" s="165" t="s">
        <v>817</v>
      </c>
      <c r="S171" s="81" t="s">
        <v>113</v>
      </c>
      <c r="T171" s="349">
        <v>42419</v>
      </c>
      <c r="U171" s="349">
        <v>42551</v>
      </c>
      <c r="W171" s="81" t="s">
        <v>114</v>
      </c>
      <c r="Y171" s="81" t="s">
        <v>115</v>
      </c>
      <c r="Z171" s="81" t="s">
        <v>116</v>
      </c>
      <c r="AA171" s="81" t="s">
        <v>117</v>
      </c>
      <c r="AB171" s="81" t="s">
        <v>218</v>
      </c>
      <c r="AC171" s="166">
        <v>3.0000000260770299E-3</v>
      </c>
      <c r="AD171" s="349">
        <v>42936</v>
      </c>
      <c r="AE171" s="81" t="s">
        <v>155</v>
      </c>
      <c r="AF171" s="349">
        <v>43190</v>
      </c>
      <c r="AG171" s="81" t="s">
        <v>238</v>
      </c>
      <c r="AH171" s="81" t="s">
        <v>118</v>
      </c>
      <c r="AK171" s="166">
        <v>1</v>
      </c>
      <c r="AM171" s="166">
        <v>0</v>
      </c>
      <c r="AO171" s="166">
        <v>0</v>
      </c>
      <c r="AP171" s="166">
        <v>-1</v>
      </c>
      <c r="AQ171" s="166">
        <v>1</v>
      </c>
      <c r="AR171" s="166">
        <v>0</v>
      </c>
      <c r="AS171" s="166">
        <v>0</v>
      </c>
      <c r="AT171" s="166">
        <v>0</v>
      </c>
      <c r="AU171" s="166">
        <v>0</v>
      </c>
      <c r="AV171" s="166">
        <v>0</v>
      </c>
      <c r="AW171" s="166">
        <v>0</v>
      </c>
      <c r="AX171" s="166">
        <v>0</v>
      </c>
      <c r="AY171" s="166">
        <v>0</v>
      </c>
      <c r="AZ171" s="166">
        <v>0</v>
      </c>
      <c r="BA171" s="166">
        <v>0</v>
      </c>
      <c r="BB171" s="166">
        <v>0</v>
      </c>
      <c r="BC171" s="166">
        <v>0</v>
      </c>
      <c r="BD171" s="166">
        <v>-1</v>
      </c>
      <c r="BE171" s="166">
        <v>1</v>
      </c>
      <c r="BF171" s="166">
        <v>0</v>
      </c>
      <c r="BG171" s="166">
        <v>0</v>
      </c>
      <c r="BH171" s="166">
        <v>0</v>
      </c>
      <c r="BI171" s="166">
        <v>0</v>
      </c>
      <c r="BJ171" s="166">
        <v>0</v>
      </c>
      <c r="BK171" s="166">
        <v>0</v>
      </c>
      <c r="BL171" s="166">
        <v>0</v>
      </c>
      <c r="BM171" s="166">
        <v>0</v>
      </c>
      <c r="BN171" s="166">
        <v>0</v>
      </c>
      <c r="BO171" s="166">
        <v>0</v>
      </c>
      <c r="BP171" s="166">
        <v>0</v>
      </c>
      <c r="BQ171" s="81" t="s">
        <v>1757</v>
      </c>
      <c r="BZ171" s="81" t="s">
        <v>155</v>
      </c>
      <c r="CA171" s="81">
        <v>1</v>
      </c>
      <c r="CC171" s="167">
        <f>N171</f>
        <v>0</v>
      </c>
      <c r="CD171" s="167">
        <v>0</v>
      </c>
      <c r="CE171" s="167">
        <v>0</v>
      </c>
      <c r="CF171" s="167">
        <v>0</v>
      </c>
      <c r="CG171" s="167">
        <v>0</v>
      </c>
      <c r="CH171" s="167">
        <v>0</v>
      </c>
      <c r="CI171" s="167">
        <v>0</v>
      </c>
      <c r="CJ171" s="167">
        <v>0</v>
      </c>
      <c r="CK171" s="167">
        <v>0</v>
      </c>
      <c r="CL171" s="167">
        <v>0</v>
      </c>
      <c r="CM171" s="167">
        <v>0</v>
      </c>
      <c r="CN171" s="167">
        <v>0</v>
      </c>
      <c r="CO171" s="167">
        <v>0</v>
      </c>
      <c r="CP171" s="167">
        <v>0</v>
      </c>
      <c r="CQ171" s="167">
        <v>0</v>
      </c>
      <c r="CR171" s="167">
        <v>0</v>
      </c>
      <c r="CS171" s="167">
        <v>0</v>
      </c>
      <c r="CT171" s="167">
        <v>0</v>
      </c>
      <c r="CU171" s="167">
        <v>0</v>
      </c>
      <c r="CV171" s="167">
        <v>0</v>
      </c>
      <c r="CW171" s="167">
        <v>0</v>
      </c>
      <c r="CX171" s="167">
        <f>SUM(CD171:CH171)</f>
        <v>0</v>
      </c>
      <c r="CY171" s="167">
        <f>SUM(CD171:CM171)</f>
        <v>0</v>
      </c>
    </row>
    <row r="172" spans="1:103" ht="12.75" customHeight="1" x14ac:dyDescent="0.2">
      <c r="A172" s="81">
        <v>6199</v>
      </c>
      <c r="B172" s="165" t="s">
        <v>1924</v>
      </c>
      <c r="C172" s="165" t="s">
        <v>821</v>
      </c>
      <c r="E172" s="165" t="s">
        <v>3220</v>
      </c>
      <c r="G172" s="81">
        <v>524205</v>
      </c>
      <c r="H172" s="81">
        <v>175335</v>
      </c>
      <c r="I172" s="165" t="s">
        <v>259</v>
      </c>
      <c r="J172" s="349">
        <v>42585</v>
      </c>
      <c r="K172" s="349">
        <v>43048</v>
      </c>
      <c r="L172" s="166">
        <v>2</v>
      </c>
      <c r="M172" s="166">
        <v>1</v>
      </c>
      <c r="N172" s="166">
        <v>-1</v>
      </c>
      <c r="O172" s="166">
        <v>1</v>
      </c>
      <c r="P172" s="166">
        <v>-1</v>
      </c>
      <c r="R172" s="165" t="s">
        <v>1182</v>
      </c>
      <c r="S172" s="81" t="s">
        <v>113</v>
      </c>
      <c r="T172" s="349">
        <v>42439</v>
      </c>
      <c r="U172" s="349">
        <v>42502</v>
      </c>
      <c r="W172" s="81" t="s">
        <v>114</v>
      </c>
      <c r="Y172" s="81" t="s">
        <v>115</v>
      </c>
      <c r="Z172" s="81" t="s">
        <v>398</v>
      </c>
      <c r="AA172" s="81" t="s">
        <v>117</v>
      </c>
      <c r="AB172" s="81" t="s">
        <v>336</v>
      </c>
      <c r="AC172" s="166">
        <v>2.8000000864267301E-2</v>
      </c>
      <c r="AD172" s="349">
        <v>42585</v>
      </c>
      <c r="AF172" s="349">
        <v>43048</v>
      </c>
      <c r="AG172" s="81" t="s">
        <v>238</v>
      </c>
      <c r="AH172" s="81" t="s">
        <v>118</v>
      </c>
      <c r="AK172" s="166">
        <v>0</v>
      </c>
      <c r="AM172" s="166">
        <v>0</v>
      </c>
      <c r="AO172" s="166">
        <v>0</v>
      </c>
      <c r="AP172" s="166">
        <v>-1</v>
      </c>
      <c r="AQ172" s="166">
        <v>0</v>
      </c>
      <c r="AR172" s="166">
        <v>0</v>
      </c>
      <c r="AS172" s="166">
        <v>0</v>
      </c>
      <c r="AT172" s="166">
        <v>0</v>
      </c>
      <c r="AU172" s="166">
        <v>0</v>
      </c>
      <c r="AV172" s="166">
        <v>0</v>
      </c>
      <c r="AW172" s="166">
        <v>-1</v>
      </c>
      <c r="AX172" s="166">
        <v>0</v>
      </c>
      <c r="AY172" s="166">
        <v>0</v>
      </c>
      <c r="AZ172" s="166">
        <v>-1</v>
      </c>
      <c r="BA172" s="166">
        <v>0</v>
      </c>
      <c r="BB172" s="166">
        <v>0</v>
      </c>
      <c r="BC172" s="166">
        <v>0</v>
      </c>
      <c r="BD172" s="166">
        <v>0</v>
      </c>
      <c r="BE172" s="166">
        <v>0</v>
      </c>
      <c r="BF172" s="166">
        <v>0</v>
      </c>
      <c r="BG172" s="166">
        <v>1</v>
      </c>
      <c r="BH172" s="166">
        <v>0</v>
      </c>
      <c r="BI172" s="166">
        <v>0</v>
      </c>
      <c r="BJ172" s="166">
        <v>0</v>
      </c>
      <c r="BK172" s="166">
        <v>0</v>
      </c>
      <c r="BL172" s="166">
        <v>0</v>
      </c>
      <c r="BM172" s="166">
        <v>0</v>
      </c>
      <c r="BN172" s="166">
        <v>0</v>
      </c>
      <c r="BO172" s="166">
        <v>0</v>
      </c>
      <c r="BP172" s="166">
        <v>0</v>
      </c>
      <c r="BQ172" s="81" t="s">
        <v>1758</v>
      </c>
      <c r="BZ172" s="81" t="s">
        <v>155</v>
      </c>
      <c r="CA172" s="81">
        <v>7</v>
      </c>
      <c r="CC172" s="167">
        <f>N172</f>
        <v>-1</v>
      </c>
      <c r="CD172" s="167">
        <v>0</v>
      </c>
      <c r="CE172" s="167">
        <v>0</v>
      </c>
      <c r="CF172" s="167">
        <v>0</v>
      </c>
      <c r="CG172" s="167">
        <v>0</v>
      </c>
      <c r="CH172" s="167">
        <v>0</v>
      </c>
      <c r="CI172" s="167">
        <v>0</v>
      </c>
      <c r="CJ172" s="167">
        <v>0</v>
      </c>
      <c r="CK172" s="167">
        <v>0</v>
      </c>
      <c r="CL172" s="167">
        <v>0</v>
      </c>
      <c r="CM172" s="167">
        <v>0</v>
      </c>
      <c r="CN172" s="167">
        <v>0</v>
      </c>
      <c r="CO172" s="167">
        <v>0</v>
      </c>
      <c r="CP172" s="167">
        <v>0</v>
      </c>
      <c r="CQ172" s="167">
        <v>0</v>
      </c>
      <c r="CR172" s="167">
        <v>0</v>
      </c>
      <c r="CS172" s="167">
        <v>0</v>
      </c>
      <c r="CT172" s="167">
        <v>0</v>
      </c>
      <c r="CU172" s="167">
        <v>0</v>
      </c>
      <c r="CV172" s="167">
        <v>0</v>
      </c>
      <c r="CW172" s="167">
        <v>0</v>
      </c>
      <c r="CX172" s="167">
        <f>SUM(CD172:CH172)</f>
        <v>0</v>
      </c>
      <c r="CY172" s="167">
        <f>SUM(CD172:CM172)</f>
        <v>0</v>
      </c>
    </row>
    <row r="173" spans="1:103" ht="12.75" customHeight="1" x14ac:dyDescent="0.2">
      <c r="A173" s="81">
        <v>6202</v>
      </c>
      <c r="B173" s="165" t="s">
        <v>1924</v>
      </c>
      <c r="C173" s="165" t="s">
        <v>829</v>
      </c>
      <c r="E173" s="165" t="s">
        <v>3221</v>
      </c>
      <c r="G173" s="81">
        <v>528267</v>
      </c>
      <c r="H173" s="81">
        <v>173503</v>
      </c>
      <c r="I173" s="165" t="s">
        <v>254</v>
      </c>
      <c r="J173" s="349">
        <v>42503</v>
      </c>
      <c r="K173" s="349">
        <v>43009</v>
      </c>
      <c r="L173" s="166">
        <v>2</v>
      </c>
      <c r="M173" s="166">
        <v>1</v>
      </c>
      <c r="N173" s="166">
        <v>-1</v>
      </c>
      <c r="O173" s="166">
        <v>1</v>
      </c>
      <c r="P173" s="166">
        <v>-1</v>
      </c>
      <c r="R173" s="165" t="s">
        <v>830</v>
      </c>
      <c r="S173" s="81" t="s">
        <v>113</v>
      </c>
      <c r="T173" s="349">
        <v>42439</v>
      </c>
      <c r="U173" s="349">
        <v>42495</v>
      </c>
      <c r="W173" s="81" t="s">
        <v>114</v>
      </c>
      <c r="Y173" s="81" t="s">
        <v>115</v>
      </c>
      <c r="Z173" s="81" t="s">
        <v>119</v>
      </c>
      <c r="AA173" s="81" t="s">
        <v>117</v>
      </c>
      <c r="AB173" s="81" t="s">
        <v>336</v>
      </c>
      <c r="AC173" s="166">
        <v>1.30000002682209E-2</v>
      </c>
      <c r="AD173" s="349">
        <v>42503</v>
      </c>
      <c r="AF173" s="349">
        <v>43009</v>
      </c>
      <c r="AG173" s="81" t="s">
        <v>238</v>
      </c>
      <c r="AH173" s="81" t="s">
        <v>118</v>
      </c>
      <c r="AK173" s="166">
        <v>0</v>
      </c>
      <c r="AM173" s="166">
        <v>0</v>
      </c>
      <c r="AO173" s="166">
        <v>0</v>
      </c>
      <c r="AP173" s="166">
        <v>-1</v>
      </c>
      <c r="AQ173" s="166">
        <v>0</v>
      </c>
      <c r="AR173" s="166">
        <v>0</v>
      </c>
      <c r="AS173" s="166">
        <v>0</v>
      </c>
      <c r="AT173" s="166">
        <v>0</v>
      </c>
      <c r="AU173" s="166">
        <v>0</v>
      </c>
      <c r="AV173" s="166">
        <v>0</v>
      </c>
      <c r="AW173" s="166">
        <v>-1</v>
      </c>
      <c r="AX173" s="166">
        <v>0</v>
      </c>
      <c r="AY173" s="166">
        <v>0</v>
      </c>
      <c r="AZ173" s="166">
        <v>-1</v>
      </c>
      <c r="BA173" s="166">
        <v>0</v>
      </c>
      <c r="BB173" s="166">
        <v>0</v>
      </c>
      <c r="BC173" s="166">
        <v>0</v>
      </c>
      <c r="BD173" s="166">
        <v>0</v>
      </c>
      <c r="BE173" s="166">
        <v>0</v>
      </c>
      <c r="BF173" s="166">
        <v>0</v>
      </c>
      <c r="BG173" s="166">
        <v>1</v>
      </c>
      <c r="BH173" s="166">
        <v>0</v>
      </c>
      <c r="BI173" s="166">
        <v>0</v>
      </c>
      <c r="BJ173" s="166">
        <v>0</v>
      </c>
      <c r="BK173" s="166">
        <v>0</v>
      </c>
      <c r="BL173" s="166">
        <v>0</v>
      </c>
      <c r="BM173" s="166">
        <v>0</v>
      </c>
      <c r="BN173" s="166">
        <v>0</v>
      </c>
      <c r="BO173" s="166">
        <v>0</v>
      </c>
      <c r="BP173" s="166">
        <v>0</v>
      </c>
      <c r="BQ173" s="81" t="s">
        <v>1757</v>
      </c>
      <c r="BZ173" s="81" t="s">
        <v>155</v>
      </c>
      <c r="CA173" s="81">
        <v>7</v>
      </c>
      <c r="CC173" s="167">
        <f>N173</f>
        <v>-1</v>
      </c>
      <c r="CD173" s="167">
        <v>0</v>
      </c>
      <c r="CE173" s="167">
        <v>0</v>
      </c>
      <c r="CF173" s="167">
        <v>0</v>
      </c>
      <c r="CG173" s="167">
        <v>0</v>
      </c>
      <c r="CH173" s="167">
        <v>0</v>
      </c>
      <c r="CI173" s="167">
        <v>0</v>
      </c>
      <c r="CJ173" s="167">
        <v>0</v>
      </c>
      <c r="CK173" s="167">
        <v>0</v>
      </c>
      <c r="CL173" s="167">
        <v>0</v>
      </c>
      <c r="CM173" s="167">
        <v>0</v>
      </c>
      <c r="CN173" s="167">
        <v>0</v>
      </c>
      <c r="CO173" s="167">
        <v>0</v>
      </c>
      <c r="CP173" s="167">
        <v>0</v>
      </c>
      <c r="CQ173" s="167">
        <v>0</v>
      </c>
      <c r="CR173" s="167">
        <v>0</v>
      </c>
      <c r="CS173" s="167">
        <v>0</v>
      </c>
      <c r="CT173" s="167">
        <v>0</v>
      </c>
      <c r="CU173" s="167">
        <v>0</v>
      </c>
      <c r="CV173" s="167">
        <v>0</v>
      </c>
      <c r="CW173" s="167">
        <v>0</v>
      </c>
      <c r="CX173" s="167">
        <f>SUM(CD173:CH173)</f>
        <v>0</v>
      </c>
      <c r="CY173" s="167">
        <f>SUM(CD173:CM173)</f>
        <v>0</v>
      </c>
    </row>
    <row r="174" spans="1:103" ht="12.75" customHeight="1" x14ac:dyDescent="0.2">
      <c r="A174" s="81">
        <v>6206</v>
      </c>
      <c r="B174" s="165" t="s">
        <v>1924</v>
      </c>
      <c r="C174" s="165" t="s">
        <v>694</v>
      </c>
      <c r="E174" s="165" t="s">
        <v>3222</v>
      </c>
      <c r="G174" s="81">
        <v>527738</v>
      </c>
      <c r="H174" s="81">
        <v>175467</v>
      </c>
      <c r="I174" s="165" t="s">
        <v>256</v>
      </c>
      <c r="J174" s="349">
        <v>42825</v>
      </c>
      <c r="K174" s="349">
        <v>43190</v>
      </c>
      <c r="L174" s="166">
        <v>3</v>
      </c>
      <c r="M174" s="166">
        <v>5</v>
      </c>
      <c r="N174" s="166">
        <v>2</v>
      </c>
      <c r="O174" s="166">
        <v>5</v>
      </c>
      <c r="P174" s="166">
        <v>2</v>
      </c>
      <c r="R174" s="165" t="s">
        <v>695</v>
      </c>
      <c r="S174" s="81" t="s">
        <v>296</v>
      </c>
      <c r="T174" s="349">
        <v>42335</v>
      </c>
      <c r="U174" s="349">
        <v>42391</v>
      </c>
      <c r="W174" s="81" t="s">
        <v>297</v>
      </c>
      <c r="X174" s="349">
        <v>42500</v>
      </c>
      <c r="Y174" s="81" t="s">
        <v>115</v>
      </c>
      <c r="Z174" s="81" t="s">
        <v>398</v>
      </c>
      <c r="AA174" s="81" t="s">
        <v>117</v>
      </c>
      <c r="AB174" s="81" t="s">
        <v>220</v>
      </c>
      <c r="AC174" s="166">
        <v>2.9999999329447701E-2</v>
      </c>
      <c r="AD174" s="349">
        <v>42825</v>
      </c>
      <c r="AF174" s="349">
        <v>43190</v>
      </c>
      <c r="AG174" s="81" t="s">
        <v>238</v>
      </c>
      <c r="AH174" s="81" t="s">
        <v>118</v>
      </c>
      <c r="AK174" s="166">
        <v>0</v>
      </c>
      <c r="AM174" s="166">
        <v>0</v>
      </c>
      <c r="AO174" s="166">
        <v>0</v>
      </c>
      <c r="AP174" s="166">
        <v>0</v>
      </c>
      <c r="AQ174" s="166">
        <v>0</v>
      </c>
      <c r="AR174" s="166">
        <v>2</v>
      </c>
      <c r="AS174" s="166">
        <v>0</v>
      </c>
      <c r="AT174" s="166">
        <v>0</v>
      </c>
      <c r="AU174" s="166">
        <v>0</v>
      </c>
      <c r="AV174" s="166">
        <v>0</v>
      </c>
      <c r="AW174" s="166">
        <v>0</v>
      </c>
      <c r="AX174" s="166">
        <v>0</v>
      </c>
      <c r="AY174" s="166">
        <v>2</v>
      </c>
      <c r="AZ174" s="166">
        <v>0</v>
      </c>
      <c r="BA174" s="166">
        <v>0</v>
      </c>
      <c r="BB174" s="166">
        <v>0</v>
      </c>
      <c r="BC174" s="166">
        <v>0</v>
      </c>
      <c r="BD174" s="166">
        <v>0</v>
      </c>
      <c r="BE174" s="166">
        <v>0</v>
      </c>
      <c r="BF174" s="166">
        <v>0</v>
      </c>
      <c r="BG174" s="166">
        <v>0</v>
      </c>
      <c r="BH174" s="166">
        <v>0</v>
      </c>
      <c r="BI174" s="166">
        <v>0</v>
      </c>
      <c r="BJ174" s="166">
        <v>0</v>
      </c>
      <c r="BK174" s="166">
        <v>0</v>
      </c>
      <c r="BL174" s="166">
        <v>0</v>
      </c>
      <c r="BM174" s="166">
        <v>0</v>
      </c>
      <c r="BN174" s="166">
        <v>0</v>
      </c>
      <c r="BO174" s="166">
        <v>0</v>
      </c>
      <c r="BP174" s="166">
        <v>0</v>
      </c>
      <c r="BQ174" s="81" t="s">
        <v>1757</v>
      </c>
      <c r="BZ174" s="81" t="s">
        <v>155</v>
      </c>
      <c r="CA174" s="81">
        <v>7</v>
      </c>
      <c r="CC174" s="167">
        <f>N174</f>
        <v>2</v>
      </c>
      <c r="CD174" s="167">
        <v>0</v>
      </c>
      <c r="CE174" s="167">
        <v>0</v>
      </c>
      <c r="CF174" s="167">
        <v>0</v>
      </c>
      <c r="CG174" s="167">
        <v>0</v>
      </c>
      <c r="CH174" s="167">
        <v>0</v>
      </c>
      <c r="CI174" s="167">
        <v>0</v>
      </c>
      <c r="CJ174" s="167">
        <v>0</v>
      </c>
      <c r="CK174" s="167">
        <v>0</v>
      </c>
      <c r="CL174" s="167">
        <v>0</v>
      </c>
      <c r="CM174" s="167">
        <v>0</v>
      </c>
      <c r="CN174" s="167">
        <v>0</v>
      </c>
      <c r="CO174" s="167">
        <v>0</v>
      </c>
      <c r="CP174" s="167">
        <v>0</v>
      </c>
      <c r="CQ174" s="167">
        <v>0</v>
      </c>
      <c r="CR174" s="167">
        <v>0</v>
      </c>
      <c r="CS174" s="167">
        <v>0</v>
      </c>
      <c r="CT174" s="167">
        <v>0</v>
      </c>
      <c r="CU174" s="167">
        <v>0</v>
      </c>
      <c r="CV174" s="167">
        <v>0</v>
      </c>
      <c r="CW174" s="167">
        <v>0</v>
      </c>
      <c r="CX174" s="167">
        <f>SUM(CD174:CH174)</f>
        <v>0</v>
      </c>
      <c r="CY174" s="167">
        <f>SUM(CD174:CM174)</f>
        <v>0</v>
      </c>
    </row>
    <row r="175" spans="1:103" ht="12.75" customHeight="1" x14ac:dyDescent="0.2">
      <c r="A175" s="81">
        <v>6217</v>
      </c>
      <c r="B175" s="165" t="s">
        <v>1924</v>
      </c>
      <c r="C175" s="165" t="s">
        <v>1035</v>
      </c>
      <c r="E175" s="165" t="s">
        <v>3223</v>
      </c>
      <c r="G175" s="81">
        <v>527469</v>
      </c>
      <c r="H175" s="81">
        <v>176355</v>
      </c>
      <c r="I175" s="165" t="s">
        <v>241</v>
      </c>
      <c r="J175" s="349">
        <v>42648</v>
      </c>
      <c r="K175" s="349">
        <v>42928</v>
      </c>
      <c r="L175" s="166">
        <v>1</v>
      </c>
      <c r="M175" s="166">
        <v>4</v>
      </c>
      <c r="N175" s="166">
        <v>3</v>
      </c>
      <c r="O175" s="166">
        <v>4</v>
      </c>
      <c r="P175" s="166">
        <v>3</v>
      </c>
      <c r="R175" s="165" t="s">
        <v>1036</v>
      </c>
      <c r="S175" s="81" t="s">
        <v>113</v>
      </c>
      <c r="T175" s="349">
        <v>42586</v>
      </c>
      <c r="U175" s="349">
        <v>42702</v>
      </c>
      <c r="W175" s="81" t="s">
        <v>114</v>
      </c>
      <c r="Y175" s="81" t="s">
        <v>115</v>
      </c>
      <c r="Z175" s="81" t="s">
        <v>398</v>
      </c>
      <c r="AA175" s="81" t="s">
        <v>117</v>
      </c>
      <c r="AB175" s="81" t="s">
        <v>218</v>
      </c>
      <c r="AC175" s="166">
        <v>8.9999996125698107E-3</v>
      </c>
      <c r="AD175" s="349">
        <v>42648</v>
      </c>
      <c r="AF175" s="349">
        <v>42928</v>
      </c>
      <c r="AG175" s="81" t="s">
        <v>238</v>
      </c>
      <c r="AH175" s="81" t="s">
        <v>118</v>
      </c>
      <c r="AK175" s="166">
        <v>0</v>
      </c>
      <c r="AM175" s="166">
        <v>0</v>
      </c>
      <c r="AO175" s="166">
        <v>0</v>
      </c>
      <c r="AP175" s="166">
        <v>2</v>
      </c>
      <c r="AQ175" s="166">
        <v>1</v>
      </c>
      <c r="AR175" s="166">
        <v>0</v>
      </c>
      <c r="AS175" s="166">
        <v>0</v>
      </c>
      <c r="AT175" s="166">
        <v>0</v>
      </c>
      <c r="AU175" s="166">
        <v>0</v>
      </c>
      <c r="AV175" s="166">
        <v>0</v>
      </c>
      <c r="AW175" s="166">
        <v>2</v>
      </c>
      <c r="AX175" s="166">
        <v>1</v>
      </c>
      <c r="AY175" s="166">
        <v>0</v>
      </c>
      <c r="AZ175" s="166">
        <v>0</v>
      </c>
      <c r="BA175" s="166">
        <v>0</v>
      </c>
      <c r="BB175" s="166">
        <v>0</v>
      </c>
      <c r="BC175" s="166">
        <v>0</v>
      </c>
      <c r="BD175" s="166">
        <v>0</v>
      </c>
      <c r="BE175" s="166">
        <v>0</v>
      </c>
      <c r="BF175" s="166">
        <v>0</v>
      </c>
      <c r="BG175" s="166">
        <v>0</v>
      </c>
      <c r="BH175" s="166">
        <v>0</v>
      </c>
      <c r="BI175" s="166">
        <v>0</v>
      </c>
      <c r="BJ175" s="166">
        <v>0</v>
      </c>
      <c r="BK175" s="166">
        <v>0</v>
      </c>
      <c r="BL175" s="166">
        <v>0</v>
      </c>
      <c r="BM175" s="166">
        <v>0</v>
      </c>
      <c r="BN175" s="166">
        <v>0</v>
      </c>
      <c r="BO175" s="166">
        <v>0</v>
      </c>
      <c r="BP175" s="166">
        <v>0</v>
      </c>
      <c r="BQ175" s="81" t="s">
        <v>1757</v>
      </c>
      <c r="BZ175" s="81" t="s">
        <v>155</v>
      </c>
      <c r="CA175" s="81">
        <v>7</v>
      </c>
      <c r="CC175" s="167">
        <f>N175</f>
        <v>3</v>
      </c>
      <c r="CD175" s="167">
        <v>0</v>
      </c>
      <c r="CE175" s="167">
        <v>0</v>
      </c>
      <c r="CF175" s="167">
        <v>0</v>
      </c>
      <c r="CG175" s="167">
        <v>0</v>
      </c>
      <c r="CH175" s="167">
        <v>0</v>
      </c>
      <c r="CI175" s="167">
        <v>0</v>
      </c>
      <c r="CJ175" s="167">
        <v>0</v>
      </c>
      <c r="CK175" s="167">
        <v>0</v>
      </c>
      <c r="CL175" s="167">
        <v>0</v>
      </c>
      <c r="CM175" s="167">
        <v>0</v>
      </c>
      <c r="CN175" s="167">
        <v>0</v>
      </c>
      <c r="CO175" s="167">
        <v>0</v>
      </c>
      <c r="CP175" s="167">
        <v>0</v>
      </c>
      <c r="CQ175" s="167">
        <v>0</v>
      </c>
      <c r="CR175" s="167">
        <v>0</v>
      </c>
      <c r="CS175" s="167">
        <v>0</v>
      </c>
      <c r="CT175" s="167">
        <v>0</v>
      </c>
      <c r="CU175" s="167">
        <v>0</v>
      </c>
      <c r="CV175" s="167">
        <v>0</v>
      </c>
      <c r="CW175" s="167">
        <v>0</v>
      </c>
      <c r="CX175" s="167">
        <f>SUM(CD175:CH175)</f>
        <v>0</v>
      </c>
      <c r="CY175" s="167">
        <f>SUM(CD175:CM175)</f>
        <v>0</v>
      </c>
    </row>
    <row r="176" spans="1:103" ht="12.75" customHeight="1" x14ac:dyDescent="0.2">
      <c r="A176" s="81">
        <v>6220</v>
      </c>
      <c r="B176" s="165" t="s">
        <v>1924</v>
      </c>
      <c r="C176" s="165" t="s">
        <v>1242</v>
      </c>
      <c r="E176" s="165" t="s">
        <v>3224</v>
      </c>
      <c r="G176" s="81">
        <v>524758</v>
      </c>
      <c r="H176" s="81">
        <v>175113</v>
      </c>
      <c r="I176" s="165" t="s">
        <v>259</v>
      </c>
      <c r="J176" s="349">
        <v>42552</v>
      </c>
      <c r="K176" s="349">
        <v>43190</v>
      </c>
      <c r="L176" s="166">
        <v>2</v>
      </c>
      <c r="M176" s="166">
        <v>1</v>
      </c>
      <c r="N176" s="166">
        <v>-1</v>
      </c>
      <c r="O176" s="166">
        <v>1</v>
      </c>
      <c r="P176" s="166">
        <v>-1</v>
      </c>
      <c r="R176" s="165" t="s">
        <v>1243</v>
      </c>
      <c r="S176" s="81" t="s">
        <v>113</v>
      </c>
      <c r="T176" s="349">
        <v>42486</v>
      </c>
      <c r="U176" s="349">
        <v>42537</v>
      </c>
      <c r="W176" s="81" t="s">
        <v>114</v>
      </c>
      <c r="Y176" s="81" t="s">
        <v>115</v>
      </c>
      <c r="Z176" s="81" t="s">
        <v>398</v>
      </c>
      <c r="AA176" s="81" t="s">
        <v>117</v>
      </c>
      <c r="AB176" s="81" t="s">
        <v>336</v>
      </c>
      <c r="AC176" s="166">
        <v>1.4999999664723899E-2</v>
      </c>
      <c r="AD176" s="349">
        <v>42552</v>
      </c>
      <c r="AF176" s="349">
        <v>43190</v>
      </c>
      <c r="AG176" s="81" t="s">
        <v>238</v>
      </c>
      <c r="AH176" s="81" t="s">
        <v>118</v>
      </c>
      <c r="AK176" s="166">
        <v>0</v>
      </c>
      <c r="AM176" s="166">
        <v>0</v>
      </c>
      <c r="AO176" s="166">
        <v>0</v>
      </c>
      <c r="AP176" s="166">
        <v>-1</v>
      </c>
      <c r="AQ176" s="166">
        <v>-1</v>
      </c>
      <c r="AR176" s="166">
        <v>0</v>
      </c>
      <c r="AS176" s="166">
        <v>1</v>
      </c>
      <c r="AT176" s="166">
        <v>0</v>
      </c>
      <c r="AU176" s="166">
        <v>0</v>
      </c>
      <c r="AV176" s="166">
        <v>0</v>
      </c>
      <c r="AW176" s="166">
        <v>-1</v>
      </c>
      <c r="AX176" s="166">
        <v>-1</v>
      </c>
      <c r="AY176" s="166">
        <v>0</v>
      </c>
      <c r="AZ176" s="166">
        <v>0</v>
      </c>
      <c r="BA176" s="166">
        <v>0</v>
      </c>
      <c r="BB176" s="166">
        <v>0</v>
      </c>
      <c r="BC176" s="166">
        <v>0</v>
      </c>
      <c r="BD176" s="166">
        <v>0</v>
      </c>
      <c r="BE176" s="166">
        <v>0</v>
      </c>
      <c r="BF176" s="166">
        <v>0</v>
      </c>
      <c r="BG176" s="166">
        <v>1</v>
      </c>
      <c r="BH176" s="166">
        <v>0</v>
      </c>
      <c r="BI176" s="166">
        <v>0</v>
      </c>
      <c r="BJ176" s="166">
        <v>0</v>
      </c>
      <c r="BK176" s="166">
        <v>0</v>
      </c>
      <c r="BL176" s="166">
        <v>0</v>
      </c>
      <c r="BM176" s="166">
        <v>0</v>
      </c>
      <c r="BN176" s="166">
        <v>0</v>
      </c>
      <c r="BO176" s="166">
        <v>0</v>
      </c>
      <c r="BP176" s="166">
        <v>0</v>
      </c>
      <c r="BQ176" s="81" t="s">
        <v>1758</v>
      </c>
      <c r="BZ176" s="81" t="s">
        <v>155</v>
      </c>
      <c r="CA176" s="81">
        <v>7</v>
      </c>
      <c r="CC176" s="167">
        <f>N176</f>
        <v>-1</v>
      </c>
      <c r="CD176" s="167">
        <v>0</v>
      </c>
      <c r="CE176" s="167">
        <v>0</v>
      </c>
      <c r="CF176" s="167">
        <v>0</v>
      </c>
      <c r="CG176" s="167">
        <v>0</v>
      </c>
      <c r="CH176" s="167">
        <v>0</v>
      </c>
      <c r="CI176" s="167">
        <v>0</v>
      </c>
      <c r="CJ176" s="167">
        <v>0</v>
      </c>
      <c r="CK176" s="167">
        <v>0</v>
      </c>
      <c r="CL176" s="167">
        <v>0</v>
      </c>
      <c r="CM176" s="167">
        <v>0</v>
      </c>
      <c r="CN176" s="167">
        <v>0</v>
      </c>
      <c r="CO176" s="167">
        <v>0</v>
      </c>
      <c r="CP176" s="167">
        <v>0</v>
      </c>
      <c r="CQ176" s="167">
        <v>0</v>
      </c>
      <c r="CR176" s="167">
        <v>0</v>
      </c>
      <c r="CS176" s="167">
        <v>0</v>
      </c>
      <c r="CT176" s="167">
        <v>0</v>
      </c>
      <c r="CU176" s="167">
        <v>0</v>
      </c>
      <c r="CV176" s="167">
        <v>0</v>
      </c>
      <c r="CW176" s="167">
        <v>0</v>
      </c>
      <c r="CX176" s="167">
        <f>SUM(CD176:CH176)</f>
        <v>0</v>
      </c>
      <c r="CY176" s="167">
        <f>SUM(CD176:CM176)</f>
        <v>0</v>
      </c>
    </row>
    <row r="177" spans="1:103" ht="12.75" customHeight="1" x14ac:dyDescent="0.2">
      <c r="A177" s="81">
        <v>6228</v>
      </c>
      <c r="B177" s="165" t="s">
        <v>1924</v>
      </c>
      <c r="C177" s="165" t="s">
        <v>1005</v>
      </c>
      <c r="E177" s="165" t="s">
        <v>3225</v>
      </c>
      <c r="G177" s="81">
        <v>527349</v>
      </c>
      <c r="H177" s="81">
        <v>171441</v>
      </c>
      <c r="I177" s="165" t="s">
        <v>242</v>
      </c>
      <c r="J177" s="349">
        <v>42619</v>
      </c>
      <c r="K177" s="349">
        <v>42929</v>
      </c>
      <c r="L177" s="166">
        <v>1</v>
      </c>
      <c r="M177" s="166">
        <v>3</v>
      </c>
      <c r="N177" s="166">
        <v>2</v>
      </c>
      <c r="O177" s="166">
        <v>3</v>
      </c>
      <c r="P177" s="166">
        <v>2</v>
      </c>
      <c r="R177" s="165" t="s">
        <v>1006</v>
      </c>
      <c r="S177" s="81" t="s">
        <v>113</v>
      </c>
      <c r="T177" s="349">
        <v>42495</v>
      </c>
      <c r="U177" s="349">
        <v>42551</v>
      </c>
      <c r="W177" s="81" t="s">
        <v>114</v>
      </c>
      <c r="Y177" s="81" t="s">
        <v>115</v>
      </c>
      <c r="Z177" s="81" t="s">
        <v>398</v>
      </c>
      <c r="AA177" s="81" t="s">
        <v>117</v>
      </c>
      <c r="AB177" s="81" t="s">
        <v>120</v>
      </c>
      <c r="AC177" s="166">
        <v>1.30000002682209E-2</v>
      </c>
      <c r="AD177" s="349">
        <v>42619</v>
      </c>
      <c r="AF177" s="349">
        <v>42929</v>
      </c>
      <c r="AG177" s="81" t="s">
        <v>238</v>
      </c>
      <c r="AH177" s="81" t="s">
        <v>118</v>
      </c>
      <c r="AK177" s="166">
        <v>0</v>
      </c>
      <c r="AM177" s="166">
        <v>0</v>
      </c>
      <c r="AO177" s="166">
        <v>1</v>
      </c>
      <c r="AP177" s="166">
        <v>1</v>
      </c>
      <c r="AQ177" s="166">
        <v>0</v>
      </c>
      <c r="AR177" s="166">
        <v>1</v>
      </c>
      <c r="AS177" s="166">
        <v>0</v>
      </c>
      <c r="AT177" s="166">
        <v>-1</v>
      </c>
      <c r="AU177" s="166">
        <v>0</v>
      </c>
      <c r="AV177" s="166">
        <v>1</v>
      </c>
      <c r="AW177" s="166">
        <v>1</v>
      </c>
      <c r="AX177" s="166">
        <v>0</v>
      </c>
      <c r="AY177" s="166">
        <v>1</v>
      </c>
      <c r="AZ177" s="166">
        <v>0</v>
      </c>
      <c r="BA177" s="166">
        <v>0</v>
      </c>
      <c r="BB177" s="166">
        <v>0</v>
      </c>
      <c r="BC177" s="166">
        <v>0</v>
      </c>
      <c r="BD177" s="166">
        <v>0</v>
      </c>
      <c r="BE177" s="166">
        <v>0</v>
      </c>
      <c r="BF177" s="166">
        <v>0</v>
      </c>
      <c r="BG177" s="166">
        <v>0</v>
      </c>
      <c r="BH177" s="166">
        <v>-1</v>
      </c>
      <c r="BI177" s="166">
        <v>0</v>
      </c>
      <c r="BJ177" s="166">
        <v>0</v>
      </c>
      <c r="BK177" s="166">
        <v>0</v>
      </c>
      <c r="BL177" s="166">
        <v>0</v>
      </c>
      <c r="BM177" s="166">
        <v>0</v>
      </c>
      <c r="BN177" s="166">
        <v>0</v>
      </c>
      <c r="BO177" s="166">
        <v>0</v>
      </c>
      <c r="BP177" s="166">
        <v>0</v>
      </c>
      <c r="BQ177" s="81" t="s">
        <v>1757</v>
      </c>
      <c r="BZ177" s="81" t="s">
        <v>155</v>
      </c>
      <c r="CA177" s="81">
        <v>7</v>
      </c>
      <c r="CC177" s="167">
        <f>N177</f>
        <v>2</v>
      </c>
      <c r="CD177" s="167">
        <v>0</v>
      </c>
      <c r="CE177" s="167">
        <v>0</v>
      </c>
      <c r="CF177" s="167">
        <v>0</v>
      </c>
      <c r="CG177" s="167">
        <v>0</v>
      </c>
      <c r="CH177" s="167">
        <v>0</v>
      </c>
      <c r="CI177" s="167">
        <v>0</v>
      </c>
      <c r="CJ177" s="167">
        <v>0</v>
      </c>
      <c r="CK177" s="167">
        <v>0</v>
      </c>
      <c r="CL177" s="167">
        <v>0</v>
      </c>
      <c r="CM177" s="167">
        <v>0</v>
      </c>
      <c r="CN177" s="167">
        <v>0</v>
      </c>
      <c r="CO177" s="167">
        <v>0</v>
      </c>
      <c r="CP177" s="167">
        <v>0</v>
      </c>
      <c r="CQ177" s="167">
        <v>0</v>
      </c>
      <c r="CR177" s="167">
        <v>0</v>
      </c>
      <c r="CS177" s="167">
        <v>0</v>
      </c>
      <c r="CT177" s="167">
        <v>0</v>
      </c>
      <c r="CU177" s="167">
        <v>0</v>
      </c>
      <c r="CV177" s="167">
        <v>0</v>
      </c>
      <c r="CW177" s="167">
        <v>0</v>
      </c>
      <c r="CX177" s="167">
        <f>SUM(CD177:CH177)</f>
        <v>0</v>
      </c>
      <c r="CY177" s="167">
        <f>SUM(CD177:CM177)</f>
        <v>0</v>
      </c>
    </row>
    <row r="178" spans="1:103" ht="12.75" customHeight="1" x14ac:dyDescent="0.2">
      <c r="A178" s="81">
        <v>6235</v>
      </c>
      <c r="B178" s="165" t="s">
        <v>1924</v>
      </c>
      <c r="C178" s="165" t="s">
        <v>1701</v>
      </c>
      <c r="E178" s="165" t="s">
        <v>3226</v>
      </c>
      <c r="G178" s="81">
        <v>526082</v>
      </c>
      <c r="H178" s="81">
        <v>172867</v>
      </c>
      <c r="I178" s="165" t="s">
        <v>249</v>
      </c>
      <c r="J178" s="349">
        <v>42758</v>
      </c>
      <c r="K178" s="349">
        <v>42898</v>
      </c>
      <c r="L178" s="166">
        <v>1</v>
      </c>
      <c r="M178" s="166">
        <v>3</v>
      </c>
      <c r="N178" s="166">
        <v>2</v>
      </c>
      <c r="O178" s="166">
        <v>3</v>
      </c>
      <c r="P178" s="166">
        <v>2</v>
      </c>
      <c r="R178" s="165" t="s">
        <v>1702</v>
      </c>
      <c r="S178" s="81" t="s">
        <v>113</v>
      </c>
      <c r="T178" s="349">
        <v>42499</v>
      </c>
      <c r="U178" s="349">
        <v>42640</v>
      </c>
      <c r="W178" s="81" t="s">
        <v>114</v>
      </c>
      <c r="Y178" s="81" t="s">
        <v>115</v>
      </c>
      <c r="Z178" s="81" t="s">
        <v>398</v>
      </c>
      <c r="AA178" s="81" t="s">
        <v>117</v>
      </c>
      <c r="AB178" s="81" t="s">
        <v>311</v>
      </c>
      <c r="AC178" s="166">
        <v>2.8999999165535001E-2</v>
      </c>
      <c r="AD178" s="349">
        <v>42758</v>
      </c>
      <c r="AF178" s="349">
        <v>42898</v>
      </c>
      <c r="AG178" s="81" t="s">
        <v>238</v>
      </c>
      <c r="AH178" s="81" t="s">
        <v>118</v>
      </c>
      <c r="AK178" s="166">
        <v>0</v>
      </c>
      <c r="AM178" s="166">
        <v>0</v>
      </c>
      <c r="AO178" s="166">
        <v>0</v>
      </c>
      <c r="AP178" s="166">
        <v>2</v>
      </c>
      <c r="AQ178" s="166">
        <v>1</v>
      </c>
      <c r="AR178" s="166">
        <v>0</v>
      </c>
      <c r="AS178" s="166">
        <v>-1</v>
      </c>
      <c r="AT178" s="166">
        <v>0</v>
      </c>
      <c r="AU178" s="166">
        <v>0</v>
      </c>
      <c r="AV178" s="166">
        <v>0</v>
      </c>
      <c r="AW178" s="166">
        <v>2</v>
      </c>
      <c r="AX178" s="166">
        <v>1</v>
      </c>
      <c r="AY178" s="166">
        <v>0</v>
      </c>
      <c r="AZ178" s="166">
        <v>-1</v>
      </c>
      <c r="BA178" s="166">
        <v>0</v>
      </c>
      <c r="BB178" s="166">
        <v>0</v>
      </c>
      <c r="BC178" s="166">
        <v>0</v>
      </c>
      <c r="BD178" s="166">
        <v>0</v>
      </c>
      <c r="BE178" s="166">
        <v>0</v>
      </c>
      <c r="BF178" s="166">
        <v>0</v>
      </c>
      <c r="BG178" s="166">
        <v>0</v>
      </c>
      <c r="BH178" s="166">
        <v>0</v>
      </c>
      <c r="BI178" s="166">
        <v>0</v>
      </c>
      <c r="BJ178" s="166">
        <v>0</v>
      </c>
      <c r="BK178" s="166">
        <v>0</v>
      </c>
      <c r="BL178" s="166">
        <v>0</v>
      </c>
      <c r="BM178" s="166">
        <v>0</v>
      </c>
      <c r="BN178" s="166">
        <v>0</v>
      </c>
      <c r="BO178" s="166">
        <v>0</v>
      </c>
      <c r="BP178" s="166">
        <v>0</v>
      </c>
      <c r="BQ178" s="81" t="s">
        <v>1758</v>
      </c>
      <c r="BZ178" s="81" t="s">
        <v>155</v>
      </c>
      <c r="CA178" s="81">
        <v>7</v>
      </c>
      <c r="CC178" s="167">
        <f>N178</f>
        <v>2</v>
      </c>
      <c r="CD178" s="167">
        <v>0</v>
      </c>
      <c r="CE178" s="167">
        <v>0</v>
      </c>
      <c r="CF178" s="167">
        <v>0</v>
      </c>
      <c r="CG178" s="167">
        <v>0</v>
      </c>
      <c r="CH178" s="167">
        <v>0</v>
      </c>
      <c r="CI178" s="167">
        <v>0</v>
      </c>
      <c r="CJ178" s="167">
        <v>0</v>
      </c>
      <c r="CK178" s="167">
        <v>0</v>
      </c>
      <c r="CL178" s="167">
        <v>0</v>
      </c>
      <c r="CM178" s="167">
        <v>0</v>
      </c>
      <c r="CN178" s="167">
        <v>0</v>
      </c>
      <c r="CO178" s="167">
        <v>0</v>
      </c>
      <c r="CP178" s="167">
        <v>0</v>
      </c>
      <c r="CQ178" s="167">
        <v>0</v>
      </c>
      <c r="CR178" s="167">
        <v>0</v>
      </c>
      <c r="CS178" s="167">
        <v>0</v>
      </c>
      <c r="CT178" s="167">
        <v>0</v>
      </c>
      <c r="CU178" s="167">
        <v>0</v>
      </c>
      <c r="CV178" s="167">
        <v>0</v>
      </c>
      <c r="CW178" s="167">
        <v>0</v>
      </c>
      <c r="CX178" s="167">
        <f>SUM(CD178:CH178)</f>
        <v>0</v>
      </c>
      <c r="CY178" s="167">
        <f>SUM(CD178:CM178)</f>
        <v>0</v>
      </c>
    </row>
    <row r="179" spans="1:103" ht="12.75" customHeight="1" x14ac:dyDescent="0.2">
      <c r="A179" s="81">
        <v>6245</v>
      </c>
      <c r="B179" s="165" t="s">
        <v>1924</v>
      </c>
      <c r="C179" s="165" t="s">
        <v>984</v>
      </c>
      <c r="E179" s="165" t="s">
        <v>3227</v>
      </c>
      <c r="G179" s="81">
        <v>526018</v>
      </c>
      <c r="H179" s="81">
        <v>173059</v>
      </c>
      <c r="I179" s="165" t="s">
        <v>249</v>
      </c>
      <c r="J179" s="349">
        <v>42585</v>
      </c>
      <c r="K179" s="349">
        <v>43190</v>
      </c>
      <c r="L179" s="166">
        <v>2</v>
      </c>
      <c r="M179" s="166">
        <v>8</v>
      </c>
      <c r="N179" s="166">
        <v>6</v>
      </c>
      <c r="O179" s="166">
        <v>8</v>
      </c>
      <c r="P179" s="166">
        <v>6</v>
      </c>
      <c r="R179" s="165" t="s">
        <v>985</v>
      </c>
      <c r="S179" s="81" t="s">
        <v>113</v>
      </c>
      <c r="T179" s="349">
        <v>42480</v>
      </c>
      <c r="U179" s="349">
        <v>42536</v>
      </c>
      <c r="W179" s="81" t="s">
        <v>114</v>
      </c>
      <c r="Y179" s="81" t="s">
        <v>115</v>
      </c>
      <c r="Z179" s="81" t="s">
        <v>398</v>
      </c>
      <c r="AA179" s="81" t="s">
        <v>117</v>
      </c>
      <c r="AB179" s="81" t="s">
        <v>102</v>
      </c>
      <c r="AC179" s="166">
        <v>2.0999999716877899E-2</v>
      </c>
      <c r="AD179" s="349">
        <v>42585</v>
      </c>
      <c r="AF179" s="349">
        <v>43190</v>
      </c>
      <c r="AG179" s="81" t="s">
        <v>238</v>
      </c>
      <c r="AH179" s="81" t="s">
        <v>118</v>
      </c>
      <c r="AK179" s="166">
        <v>0</v>
      </c>
      <c r="AM179" s="166">
        <v>0</v>
      </c>
      <c r="AO179" s="166">
        <v>0</v>
      </c>
      <c r="AP179" s="166">
        <v>5</v>
      </c>
      <c r="AQ179" s="166">
        <v>3</v>
      </c>
      <c r="AR179" s="166">
        <v>0</v>
      </c>
      <c r="AS179" s="166">
        <v>-2</v>
      </c>
      <c r="AT179" s="166">
        <v>0</v>
      </c>
      <c r="AU179" s="166">
        <v>0</v>
      </c>
      <c r="AV179" s="166">
        <v>0</v>
      </c>
      <c r="AW179" s="166">
        <v>5</v>
      </c>
      <c r="AX179" s="166">
        <v>3</v>
      </c>
      <c r="AY179" s="166">
        <v>0</v>
      </c>
      <c r="AZ179" s="166">
        <v>-2</v>
      </c>
      <c r="BA179" s="166">
        <v>0</v>
      </c>
      <c r="BB179" s="166">
        <v>0</v>
      </c>
      <c r="BC179" s="166">
        <v>0</v>
      </c>
      <c r="BD179" s="166">
        <v>0</v>
      </c>
      <c r="BE179" s="166">
        <v>0</v>
      </c>
      <c r="BF179" s="166">
        <v>0</v>
      </c>
      <c r="BG179" s="166">
        <v>0</v>
      </c>
      <c r="BH179" s="166">
        <v>0</v>
      </c>
      <c r="BI179" s="166">
        <v>0</v>
      </c>
      <c r="BJ179" s="166">
        <v>0</v>
      </c>
      <c r="BK179" s="166">
        <v>0</v>
      </c>
      <c r="BL179" s="166">
        <v>0</v>
      </c>
      <c r="BM179" s="166">
        <v>0</v>
      </c>
      <c r="BN179" s="166">
        <v>0</v>
      </c>
      <c r="BO179" s="166">
        <v>0</v>
      </c>
      <c r="BP179" s="166">
        <v>0</v>
      </c>
      <c r="BQ179" s="81" t="s">
        <v>1758</v>
      </c>
      <c r="BZ179" s="81" t="s">
        <v>155</v>
      </c>
      <c r="CA179" s="81">
        <v>7</v>
      </c>
      <c r="CC179" s="167">
        <f>N179</f>
        <v>6</v>
      </c>
      <c r="CD179" s="167">
        <v>0</v>
      </c>
      <c r="CE179" s="167">
        <v>0</v>
      </c>
      <c r="CF179" s="167">
        <v>0</v>
      </c>
      <c r="CG179" s="167">
        <v>0</v>
      </c>
      <c r="CH179" s="167">
        <v>0</v>
      </c>
      <c r="CI179" s="167">
        <v>0</v>
      </c>
      <c r="CJ179" s="167">
        <v>0</v>
      </c>
      <c r="CK179" s="167">
        <v>0</v>
      </c>
      <c r="CL179" s="167">
        <v>0</v>
      </c>
      <c r="CM179" s="167">
        <v>0</v>
      </c>
      <c r="CN179" s="167">
        <v>0</v>
      </c>
      <c r="CO179" s="167">
        <v>0</v>
      </c>
      <c r="CP179" s="167">
        <v>0</v>
      </c>
      <c r="CQ179" s="167">
        <v>0</v>
      </c>
      <c r="CR179" s="167">
        <v>0</v>
      </c>
      <c r="CS179" s="167">
        <v>0</v>
      </c>
      <c r="CT179" s="167">
        <v>0</v>
      </c>
      <c r="CU179" s="167">
        <v>0</v>
      </c>
      <c r="CV179" s="167">
        <v>0</v>
      </c>
      <c r="CW179" s="167">
        <v>0</v>
      </c>
      <c r="CX179" s="167">
        <f>SUM(CD179:CH179)</f>
        <v>0</v>
      </c>
      <c r="CY179" s="167">
        <f>SUM(CD179:CM179)</f>
        <v>0</v>
      </c>
    </row>
    <row r="180" spans="1:103" ht="12.75" customHeight="1" x14ac:dyDescent="0.2">
      <c r="A180" s="81">
        <v>6245</v>
      </c>
      <c r="B180" s="165" t="s">
        <v>1924</v>
      </c>
      <c r="C180" s="165" t="s">
        <v>3228</v>
      </c>
      <c r="E180" s="165" t="s">
        <v>3227</v>
      </c>
      <c r="G180" s="81">
        <v>526018</v>
      </c>
      <c r="H180" s="81">
        <v>173059</v>
      </c>
      <c r="I180" s="165" t="s">
        <v>249</v>
      </c>
      <c r="J180" s="349">
        <v>42585</v>
      </c>
      <c r="K180" s="349">
        <v>43190</v>
      </c>
      <c r="L180" s="166">
        <v>2</v>
      </c>
      <c r="M180" s="166">
        <v>2</v>
      </c>
      <c r="N180" s="166">
        <v>0</v>
      </c>
      <c r="O180" s="166">
        <v>2</v>
      </c>
      <c r="P180" s="166">
        <v>0</v>
      </c>
      <c r="R180" s="165" t="s">
        <v>3229</v>
      </c>
      <c r="S180" s="81" t="s">
        <v>113</v>
      </c>
      <c r="T180" s="349">
        <v>42837</v>
      </c>
      <c r="U180" s="349">
        <v>42893</v>
      </c>
      <c r="V180" s="81" t="s">
        <v>155</v>
      </c>
      <c r="W180" s="81" t="s">
        <v>114</v>
      </c>
      <c r="Y180" s="81" t="s">
        <v>115</v>
      </c>
      <c r="Z180" s="81" t="s">
        <v>219</v>
      </c>
      <c r="AA180" s="81" t="s">
        <v>117</v>
      </c>
      <c r="AB180" s="81" t="s">
        <v>3889</v>
      </c>
      <c r="AC180" s="166">
        <v>1.2000000104308101E-2</v>
      </c>
      <c r="AD180" s="349">
        <v>42585</v>
      </c>
      <c r="AF180" s="349">
        <v>43190</v>
      </c>
      <c r="AG180" s="81" t="s">
        <v>238</v>
      </c>
      <c r="AH180" s="81" t="s">
        <v>118</v>
      </c>
      <c r="AK180" s="166">
        <v>0</v>
      </c>
      <c r="AM180" s="166">
        <v>0</v>
      </c>
      <c r="AO180" s="166">
        <v>0</v>
      </c>
      <c r="AP180" s="166">
        <v>-2</v>
      </c>
      <c r="AQ180" s="166">
        <v>2</v>
      </c>
      <c r="AR180" s="166">
        <v>0</v>
      </c>
      <c r="AS180" s="166">
        <v>0</v>
      </c>
      <c r="AT180" s="166">
        <v>0</v>
      </c>
      <c r="AU180" s="166">
        <v>0</v>
      </c>
      <c r="AV180" s="166">
        <v>0</v>
      </c>
      <c r="AW180" s="166">
        <v>-2</v>
      </c>
      <c r="AX180" s="166">
        <v>2</v>
      </c>
      <c r="AY180" s="166">
        <v>0</v>
      </c>
      <c r="AZ180" s="166">
        <v>0</v>
      </c>
      <c r="BA180" s="166">
        <v>0</v>
      </c>
      <c r="BB180" s="166">
        <v>0</v>
      </c>
      <c r="BC180" s="166">
        <v>0</v>
      </c>
      <c r="BD180" s="166">
        <v>0</v>
      </c>
      <c r="BE180" s="166">
        <v>0</v>
      </c>
      <c r="BF180" s="166">
        <v>0</v>
      </c>
      <c r="BG180" s="166">
        <v>0</v>
      </c>
      <c r="BH180" s="166">
        <v>0</v>
      </c>
      <c r="BI180" s="166">
        <v>0</v>
      </c>
      <c r="BJ180" s="166">
        <v>0</v>
      </c>
      <c r="BK180" s="166">
        <v>0</v>
      </c>
      <c r="BL180" s="166">
        <v>0</v>
      </c>
      <c r="BM180" s="166">
        <v>0</v>
      </c>
      <c r="BN180" s="166">
        <v>0</v>
      </c>
      <c r="BO180" s="166">
        <v>0</v>
      </c>
      <c r="BP180" s="166">
        <v>0</v>
      </c>
      <c r="BQ180" s="81" t="s">
        <v>1758</v>
      </c>
      <c r="BZ180" s="81" t="s">
        <v>155</v>
      </c>
      <c r="CA180" s="81">
        <v>7</v>
      </c>
      <c r="CC180" s="167">
        <f>N180</f>
        <v>0</v>
      </c>
      <c r="CD180" s="167">
        <v>0</v>
      </c>
      <c r="CE180" s="167">
        <v>0</v>
      </c>
      <c r="CF180" s="167">
        <v>0</v>
      </c>
      <c r="CG180" s="167">
        <v>0</v>
      </c>
      <c r="CH180" s="167">
        <v>0</v>
      </c>
      <c r="CI180" s="167">
        <v>0</v>
      </c>
      <c r="CJ180" s="167">
        <v>0</v>
      </c>
      <c r="CK180" s="167">
        <v>0</v>
      </c>
      <c r="CL180" s="167">
        <v>0</v>
      </c>
      <c r="CM180" s="167">
        <v>0</v>
      </c>
      <c r="CN180" s="167">
        <v>0</v>
      </c>
      <c r="CO180" s="167">
        <v>0</v>
      </c>
      <c r="CP180" s="167">
        <v>0</v>
      </c>
      <c r="CQ180" s="167">
        <v>0</v>
      </c>
      <c r="CR180" s="167">
        <v>0</v>
      </c>
      <c r="CS180" s="167">
        <v>0</v>
      </c>
      <c r="CT180" s="167">
        <v>0</v>
      </c>
      <c r="CU180" s="167">
        <v>0</v>
      </c>
      <c r="CV180" s="167">
        <v>0</v>
      </c>
      <c r="CW180" s="167">
        <v>0</v>
      </c>
      <c r="CX180" s="167">
        <f>SUM(CD180:CH180)</f>
        <v>0</v>
      </c>
      <c r="CY180" s="167">
        <f>SUM(CD180:CM180)</f>
        <v>0</v>
      </c>
    </row>
    <row r="181" spans="1:103" ht="12.75" customHeight="1" x14ac:dyDescent="0.2">
      <c r="A181" s="81">
        <v>6246</v>
      </c>
      <c r="B181" s="165" t="s">
        <v>1924</v>
      </c>
      <c r="C181" s="165" t="s">
        <v>1694</v>
      </c>
      <c r="E181" s="165" t="s">
        <v>3230</v>
      </c>
      <c r="G181" s="81">
        <v>525229</v>
      </c>
      <c r="H181" s="81">
        <v>173893</v>
      </c>
      <c r="I181" s="165" t="s">
        <v>258</v>
      </c>
      <c r="J181" s="349">
        <v>42675</v>
      </c>
      <c r="K181" s="349">
        <v>42851</v>
      </c>
      <c r="L181" s="166">
        <v>1</v>
      </c>
      <c r="M181" s="166">
        <v>2</v>
      </c>
      <c r="N181" s="166">
        <v>1</v>
      </c>
      <c r="O181" s="166">
        <v>3</v>
      </c>
      <c r="P181" s="166">
        <v>2</v>
      </c>
      <c r="R181" s="165" t="s">
        <v>1695</v>
      </c>
      <c r="S181" s="81" t="s">
        <v>113</v>
      </c>
      <c r="T181" s="349">
        <v>42459</v>
      </c>
      <c r="U181" s="349">
        <v>42541</v>
      </c>
      <c r="W181" s="81" t="s">
        <v>114</v>
      </c>
      <c r="Y181" s="81" t="s">
        <v>115</v>
      </c>
      <c r="Z181" s="81" t="s">
        <v>398</v>
      </c>
      <c r="AA181" s="81" t="s">
        <v>117</v>
      </c>
      <c r="AB181" s="81" t="s">
        <v>220</v>
      </c>
      <c r="AC181" s="166">
        <v>4.0000001899898104E-3</v>
      </c>
      <c r="AD181" s="349">
        <v>42675</v>
      </c>
      <c r="AF181" s="349">
        <v>42851</v>
      </c>
      <c r="AG181" s="81" t="s">
        <v>238</v>
      </c>
      <c r="AH181" s="81" t="s">
        <v>118</v>
      </c>
      <c r="AK181" s="166">
        <v>0</v>
      </c>
      <c r="AM181" s="166">
        <v>0</v>
      </c>
      <c r="AO181" s="166">
        <v>0</v>
      </c>
      <c r="AP181" s="166">
        <v>1</v>
      </c>
      <c r="AQ181" s="166">
        <v>1</v>
      </c>
      <c r="AR181" s="166">
        <v>-1</v>
      </c>
      <c r="AS181" s="166">
        <v>0</v>
      </c>
      <c r="AT181" s="166">
        <v>0</v>
      </c>
      <c r="AU181" s="166">
        <v>0</v>
      </c>
      <c r="AV181" s="166">
        <v>0</v>
      </c>
      <c r="AW181" s="166">
        <v>1</v>
      </c>
      <c r="AX181" s="166">
        <v>1</v>
      </c>
      <c r="AY181" s="166">
        <v>-1</v>
      </c>
      <c r="AZ181" s="166">
        <v>0</v>
      </c>
      <c r="BA181" s="166">
        <v>0</v>
      </c>
      <c r="BB181" s="166">
        <v>0</v>
      </c>
      <c r="BC181" s="166">
        <v>0</v>
      </c>
      <c r="BD181" s="166">
        <v>0</v>
      </c>
      <c r="BE181" s="166">
        <v>0</v>
      </c>
      <c r="BF181" s="166">
        <v>0</v>
      </c>
      <c r="BG181" s="166">
        <v>0</v>
      </c>
      <c r="BH181" s="166">
        <v>0</v>
      </c>
      <c r="BI181" s="166">
        <v>0</v>
      </c>
      <c r="BJ181" s="166">
        <v>0</v>
      </c>
      <c r="BK181" s="166">
        <v>0</v>
      </c>
      <c r="BL181" s="166">
        <v>0</v>
      </c>
      <c r="BM181" s="166">
        <v>0</v>
      </c>
      <c r="BN181" s="166">
        <v>0</v>
      </c>
      <c r="BO181" s="166">
        <v>0</v>
      </c>
      <c r="BP181" s="166">
        <v>0</v>
      </c>
      <c r="BQ181" s="81" t="s">
        <v>1758</v>
      </c>
      <c r="BZ181" s="81" t="s">
        <v>155</v>
      </c>
      <c r="CA181" s="81">
        <v>7</v>
      </c>
      <c r="CC181" s="167">
        <f>N181</f>
        <v>1</v>
      </c>
      <c r="CD181" s="167">
        <v>0</v>
      </c>
      <c r="CE181" s="167">
        <v>0</v>
      </c>
      <c r="CF181" s="167">
        <v>0</v>
      </c>
      <c r="CG181" s="167">
        <v>0</v>
      </c>
      <c r="CH181" s="167">
        <v>0</v>
      </c>
      <c r="CI181" s="167">
        <v>0</v>
      </c>
      <c r="CJ181" s="167">
        <v>0</v>
      </c>
      <c r="CK181" s="167">
        <v>0</v>
      </c>
      <c r="CL181" s="167">
        <v>0</v>
      </c>
      <c r="CM181" s="167">
        <v>0</v>
      </c>
      <c r="CN181" s="167">
        <v>0</v>
      </c>
      <c r="CO181" s="167">
        <v>0</v>
      </c>
      <c r="CP181" s="167">
        <v>0</v>
      </c>
      <c r="CQ181" s="167">
        <v>0</v>
      </c>
      <c r="CR181" s="167">
        <v>0</v>
      </c>
      <c r="CS181" s="167">
        <v>0</v>
      </c>
      <c r="CT181" s="167">
        <v>0</v>
      </c>
      <c r="CU181" s="167">
        <v>0</v>
      </c>
      <c r="CV181" s="167">
        <v>0</v>
      </c>
      <c r="CW181" s="167">
        <v>0</v>
      </c>
      <c r="CX181" s="167">
        <f>SUM(CD181:CH181)</f>
        <v>0</v>
      </c>
      <c r="CY181" s="167">
        <f>SUM(CD181:CM181)</f>
        <v>0</v>
      </c>
    </row>
    <row r="182" spans="1:103" ht="12.75" customHeight="1" x14ac:dyDescent="0.2">
      <c r="A182" s="81">
        <v>6246</v>
      </c>
      <c r="B182" s="165" t="s">
        <v>1924</v>
      </c>
      <c r="C182" s="165" t="s">
        <v>1694</v>
      </c>
      <c r="E182" s="165" t="s">
        <v>3230</v>
      </c>
      <c r="G182" s="81">
        <v>525229</v>
      </c>
      <c r="H182" s="81">
        <v>173893</v>
      </c>
      <c r="I182" s="165" t="s">
        <v>258</v>
      </c>
      <c r="J182" s="349">
        <v>42675</v>
      </c>
      <c r="K182" s="349">
        <v>42851</v>
      </c>
      <c r="L182" s="166">
        <v>0</v>
      </c>
      <c r="M182" s="166">
        <v>1</v>
      </c>
      <c r="N182" s="166">
        <v>1</v>
      </c>
      <c r="O182" s="166">
        <v>3</v>
      </c>
      <c r="P182" s="166">
        <v>2</v>
      </c>
      <c r="R182" s="165" t="s">
        <v>1695</v>
      </c>
      <c r="S182" s="81" t="s">
        <v>113</v>
      </c>
      <c r="T182" s="349">
        <v>42459</v>
      </c>
      <c r="U182" s="349">
        <v>42541</v>
      </c>
      <c r="W182" s="81" t="s">
        <v>114</v>
      </c>
      <c r="Y182" s="81" t="s">
        <v>115</v>
      </c>
      <c r="Z182" s="81" t="s">
        <v>398</v>
      </c>
      <c r="AA182" s="81" t="s">
        <v>117</v>
      </c>
      <c r="AB182" s="81" t="s">
        <v>311</v>
      </c>
      <c r="AC182" s="166">
        <v>2.0000000949949E-3</v>
      </c>
      <c r="AD182" s="349">
        <v>42675</v>
      </c>
      <c r="AF182" s="349">
        <v>42851</v>
      </c>
      <c r="AG182" s="81" t="s">
        <v>238</v>
      </c>
      <c r="AH182" s="81" t="s">
        <v>118</v>
      </c>
      <c r="AK182" s="166">
        <v>0</v>
      </c>
      <c r="AM182" s="166">
        <v>0</v>
      </c>
      <c r="AO182" s="166">
        <v>0</v>
      </c>
      <c r="AP182" s="166">
        <v>1</v>
      </c>
      <c r="AQ182" s="166">
        <v>0</v>
      </c>
      <c r="AR182" s="166">
        <v>0</v>
      </c>
      <c r="AS182" s="166">
        <v>0</v>
      </c>
      <c r="AT182" s="166">
        <v>0</v>
      </c>
      <c r="AU182" s="166">
        <v>0</v>
      </c>
      <c r="AV182" s="166">
        <v>0</v>
      </c>
      <c r="AW182" s="166">
        <v>1</v>
      </c>
      <c r="AX182" s="166">
        <v>0</v>
      </c>
      <c r="AY182" s="166">
        <v>0</v>
      </c>
      <c r="AZ182" s="166">
        <v>0</v>
      </c>
      <c r="BA182" s="166">
        <v>0</v>
      </c>
      <c r="BB182" s="166">
        <v>0</v>
      </c>
      <c r="BC182" s="166">
        <v>0</v>
      </c>
      <c r="BD182" s="166">
        <v>0</v>
      </c>
      <c r="BE182" s="166">
        <v>0</v>
      </c>
      <c r="BF182" s="166">
        <v>0</v>
      </c>
      <c r="BG182" s="166">
        <v>0</v>
      </c>
      <c r="BH182" s="166">
        <v>0</v>
      </c>
      <c r="BI182" s="166">
        <v>0</v>
      </c>
      <c r="BJ182" s="166">
        <v>0</v>
      </c>
      <c r="BK182" s="166">
        <v>0</v>
      </c>
      <c r="BL182" s="166">
        <v>0</v>
      </c>
      <c r="BM182" s="166">
        <v>0</v>
      </c>
      <c r="BN182" s="166">
        <v>0</v>
      </c>
      <c r="BO182" s="166">
        <v>0</v>
      </c>
      <c r="BP182" s="166">
        <v>0</v>
      </c>
      <c r="BQ182" s="81" t="s">
        <v>1758</v>
      </c>
      <c r="BZ182" s="81" t="s">
        <v>155</v>
      </c>
      <c r="CA182" s="81">
        <v>7</v>
      </c>
      <c r="CC182" s="167">
        <f>N182</f>
        <v>1</v>
      </c>
      <c r="CD182" s="167">
        <v>0</v>
      </c>
      <c r="CE182" s="167">
        <v>0</v>
      </c>
      <c r="CF182" s="167">
        <v>0</v>
      </c>
      <c r="CG182" s="167">
        <v>0</v>
      </c>
      <c r="CH182" s="167">
        <v>0</v>
      </c>
      <c r="CI182" s="167">
        <v>0</v>
      </c>
      <c r="CJ182" s="167">
        <v>0</v>
      </c>
      <c r="CK182" s="167">
        <v>0</v>
      </c>
      <c r="CL182" s="167">
        <v>0</v>
      </c>
      <c r="CM182" s="167">
        <v>0</v>
      </c>
      <c r="CN182" s="167">
        <v>0</v>
      </c>
      <c r="CO182" s="167">
        <v>0</v>
      </c>
      <c r="CP182" s="167">
        <v>0</v>
      </c>
      <c r="CQ182" s="167">
        <v>0</v>
      </c>
      <c r="CR182" s="167">
        <v>0</v>
      </c>
      <c r="CS182" s="167">
        <v>0</v>
      </c>
      <c r="CT182" s="167">
        <v>0</v>
      </c>
      <c r="CU182" s="167">
        <v>0</v>
      </c>
      <c r="CV182" s="167">
        <v>0</v>
      </c>
      <c r="CW182" s="167">
        <v>0</v>
      </c>
      <c r="CX182" s="167">
        <f>SUM(CD182:CH182)</f>
        <v>0</v>
      </c>
      <c r="CY182" s="167">
        <f>SUM(CD182:CM182)</f>
        <v>0</v>
      </c>
    </row>
    <row r="183" spans="1:103" ht="12.75" customHeight="1" x14ac:dyDescent="0.2">
      <c r="A183" s="81">
        <v>6248</v>
      </c>
      <c r="B183" s="165" t="s">
        <v>1924</v>
      </c>
      <c r="C183" s="165" t="s">
        <v>1216</v>
      </c>
      <c r="E183" s="165" t="s">
        <v>3231</v>
      </c>
      <c r="G183" s="81">
        <v>527778</v>
      </c>
      <c r="H183" s="81">
        <v>175659</v>
      </c>
      <c r="I183" s="165" t="s">
        <v>256</v>
      </c>
      <c r="J183" s="349">
        <v>42676</v>
      </c>
      <c r="K183" s="349">
        <v>42998</v>
      </c>
      <c r="L183" s="166">
        <v>0</v>
      </c>
      <c r="M183" s="166">
        <v>1</v>
      </c>
      <c r="N183" s="166">
        <v>1</v>
      </c>
      <c r="O183" s="166">
        <v>1</v>
      </c>
      <c r="P183" s="166">
        <v>1</v>
      </c>
      <c r="R183" s="165" t="s">
        <v>1217</v>
      </c>
      <c r="S183" s="81" t="s">
        <v>113</v>
      </c>
      <c r="T183" s="349">
        <v>42475</v>
      </c>
      <c r="U183" s="349">
        <v>42551</v>
      </c>
      <c r="W183" s="81" t="s">
        <v>114</v>
      </c>
      <c r="Y183" s="81" t="s">
        <v>115</v>
      </c>
      <c r="Z183" s="81" t="s">
        <v>219</v>
      </c>
      <c r="AA183" s="81" t="s">
        <v>117</v>
      </c>
      <c r="AB183" s="81" t="s">
        <v>3889</v>
      </c>
      <c r="AC183" s="166">
        <v>4.9999998882412902E-3</v>
      </c>
      <c r="AD183" s="349">
        <v>42676</v>
      </c>
      <c r="AF183" s="349">
        <v>42998</v>
      </c>
      <c r="AG183" s="81" t="s">
        <v>238</v>
      </c>
      <c r="AH183" s="81" t="s">
        <v>118</v>
      </c>
      <c r="AK183" s="166">
        <v>0</v>
      </c>
      <c r="AM183" s="166">
        <v>0</v>
      </c>
      <c r="AO183" s="166">
        <v>0</v>
      </c>
      <c r="AP183" s="166">
        <v>0</v>
      </c>
      <c r="AQ183" s="166">
        <v>1</v>
      </c>
      <c r="AR183" s="166">
        <v>0</v>
      </c>
      <c r="AS183" s="166">
        <v>0</v>
      </c>
      <c r="AT183" s="166">
        <v>0</v>
      </c>
      <c r="AU183" s="166">
        <v>0</v>
      </c>
      <c r="AV183" s="166">
        <v>0</v>
      </c>
      <c r="AW183" s="166">
        <v>0</v>
      </c>
      <c r="AX183" s="166">
        <v>1</v>
      </c>
      <c r="AY183" s="166">
        <v>0</v>
      </c>
      <c r="AZ183" s="166">
        <v>0</v>
      </c>
      <c r="BA183" s="166">
        <v>0</v>
      </c>
      <c r="BB183" s="166">
        <v>0</v>
      </c>
      <c r="BC183" s="166">
        <v>0</v>
      </c>
      <c r="BD183" s="166">
        <v>0</v>
      </c>
      <c r="BE183" s="166">
        <v>0</v>
      </c>
      <c r="BF183" s="166">
        <v>0</v>
      </c>
      <c r="BG183" s="166">
        <v>0</v>
      </c>
      <c r="BH183" s="166">
        <v>0</v>
      </c>
      <c r="BI183" s="166">
        <v>0</v>
      </c>
      <c r="BJ183" s="166">
        <v>0</v>
      </c>
      <c r="BK183" s="166">
        <v>0</v>
      </c>
      <c r="BL183" s="166">
        <v>0</v>
      </c>
      <c r="BM183" s="166">
        <v>0</v>
      </c>
      <c r="BN183" s="166">
        <v>0</v>
      </c>
      <c r="BO183" s="166">
        <v>0</v>
      </c>
      <c r="BP183" s="166">
        <v>0</v>
      </c>
      <c r="BQ183" s="81" t="s">
        <v>1757</v>
      </c>
      <c r="BZ183" s="81" t="s">
        <v>155</v>
      </c>
      <c r="CA183" s="81">
        <v>7</v>
      </c>
      <c r="CC183" s="167">
        <f>N183</f>
        <v>1</v>
      </c>
      <c r="CD183" s="167">
        <v>0</v>
      </c>
      <c r="CE183" s="167">
        <v>0</v>
      </c>
      <c r="CF183" s="167">
        <v>0</v>
      </c>
      <c r="CG183" s="167">
        <v>0</v>
      </c>
      <c r="CH183" s="167">
        <v>0</v>
      </c>
      <c r="CI183" s="167">
        <v>0</v>
      </c>
      <c r="CJ183" s="167">
        <v>0</v>
      </c>
      <c r="CK183" s="167">
        <v>0</v>
      </c>
      <c r="CL183" s="167">
        <v>0</v>
      </c>
      <c r="CM183" s="167">
        <v>0</v>
      </c>
      <c r="CN183" s="167">
        <v>0</v>
      </c>
      <c r="CO183" s="167">
        <v>0</v>
      </c>
      <c r="CP183" s="167">
        <v>0</v>
      </c>
      <c r="CQ183" s="167">
        <v>0</v>
      </c>
      <c r="CR183" s="167">
        <v>0</v>
      </c>
      <c r="CS183" s="167">
        <v>0</v>
      </c>
      <c r="CT183" s="167">
        <v>0</v>
      </c>
      <c r="CU183" s="167">
        <v>0</v>
      </c>
      <c r="CV183" s="167">
        <v>0</v>
      </c>
      <c r="CW183" s="167">
        <v>0</v>
      </c>
      <c r="CX183" s="167">
        <f>SUM(CD183:CH183)</f>
        <v>0</v>
      </c>
      <c r="CY183" s="167">
        <f>SUM(CD183:CM183)</f>
        <v>0</v>
      </c>
    </row>
    <row r="184" spans="1:103" ht="12.75" customHeight="1" x14ac:dyDescent="0.2">
      <c r="A184" s="81">
        <v>6252</v>
      </c>
      <c r="B184" s="165" t="s">
        <v>1924</v>
      </c>
      <c r="C184" s="165" t="s">
        <v>1697</v>
      </c>
      <c r="E184" s="165" t="s">
        <v>3232</v>
      </c>
      <c r="G184" s="81">
        <v>527845</v>
      </c>
      <c r="H184" s="81">
        <v>176573</v>
      </c>
      <c r="I184" s="165" t="s">
        <v>241</v>
      </c>
      <c r="J184" s="349">
        <v>42578</v>
      </c>
      <c r="K184" s="349">
        <v>42828</v>
      </c>
      <c r="L184" s="166">
        <v>1</v>
      </c>
      <c r="M184" s="166">
        <v>2</v>
      </c>
      <c r="N184" s="166">
        <v>1</v>
      </c>
      <c r="O184" s="166">
        <v>2</v>
      </c>
      <c r="P184" s="166">
        <v>1</v>
      </c>
      <c r="R184" s="165" t="s">
        <v>1698</v>
      </c>
      <c r="S184" s="81" t="s">
        <v>113</v>
      </c>
      <c r="T184" s="349">
        <v>42506</v>
      </c>
      <c r="U184" s="349">
        <v>42562</v>
      </c>
      <c r="W184" s="81" t="s">
        <v>114</v>
      </c>
      <c r="Y184" s="81" t="s">
        <v>115</v>
      </c>
      <c r="Z184" s="81" t="s">
        <v>398</v>
      </c>
      <c r="AA184" s="81" t="s">
        <v>117</v>
      </c>
      <c r="AB184" s="81" t="s">
        <v>220</v>
      </c>
      <c r="AC184" s="166">
        <v>7.0000002160668399E-3</v>
      </c>
      <c r="AD184" s="349">
        <v>42578</v>
      </c>
      <c r="AF184" s="349">
        <v>42828</v>
      </c>
      <c r="AG184" s="81" t="s">
        <v>238</v>
      </c>
      <c r="AH184" s="81" t="s">
        <v>118</v>
      </c>
      <c r="AK184" s="166">
        <v>0</v>
      </c>
      <c r="AM184" s="166">
        <v>0</v>
      </c>
      <c r="AO184" s="166">
        <v>0</v>
      </c>
      <c r="AP184" s="166">
        <v>1</v>
      </c>
      <c r="AQ184" s="166">
        <v>1</v>
      </c>
      <c r="AR184" s="166">
        <v>-1</v>
      </c>
      <c r="AS184" s="166">
        <v>0</v>
      </c>
      <c r="AT184" s="166">
        <v>0</v>
      </c>
      <c r="AU184" s="166">
        <v>0</v>
      </c>
      <c r="AV184" s="166">
        <v>0</v>
      </c>
      <c r="AW184" s="166">
        <v>1</v>
      </c>
      <c r="AX184" s="166">
        <v>1</v>
      </c>
      <c r="AY184" s="166">
        <v>-1</v>
      </c>
      <c r="AZ184" s="166">
        <v>0</v>
      </c>
      <c r="BA184" s="166">
        <v>0</v>
      </c>
      <c r="BB184" s="166">
        <v>0</v>
      </c>
      <c r="BC184" s="166">
        <v>0</v>
      </c>
      <c r="BD184" s="166">
        <v>0</v>
      </c>
      <c r="BE184" s="166">
        <v>0</v>
      </c>
      <c r="BF184" s="166">
        <v>0</v>
      </c>
      <c r="BG184" s="166">
        <v>0</v>
      </c>
      <c r="BH184" s="166">
        <v>0</v>
      </c>
      <c r="BI184" s="166">
        <v>0</v>
      </c>
      <c r="BJ184" s="166">
        <v>0</v>
      </c>
      <c r="BK184" s="166">
        <v>0</v>
      </c>
      <c r="BL184" s="166">
        <v>0</v>
      </c>
      <c r="BM184" s="166">
        <v>0</v>
      </c>
      <c r="BN184" s="166">
        <v>0</v>
      </c>
      <c r="BO184" s="166">
        <v>0</v>
      </c>
      <c r="BP184" s="166">
        <v>0</v>
      </c>
      <c r="BQ184" s="81" t="s">
        <v>1757</v>
      </c>
      <c r="BZ184" s="81" t="s">
        <v>155</v>
      </c>
      <c r="CA184" s="81">
        <v>7</v>
      </c>
      <c r="CC184" s="167">
        <f>N184</f>
        <v>1</v>
      </c>
      <c r="CD184" s="167">
        <v>0</v>
      </c>
      <c r="CE184" s="167">
        <v>0</v>
      </c>
      <c r="CF184" s="167">
        <v>0</v>
      </c>
      <c r="CG184" s="167">
        <v>0</v>
      </c>
      <c r="CH184" s="167">
        <v>0</v>
      </c>
      <c r="CI184" s="167">
        <v>0</v>
      </c>
      <c r="CJ184" s="167">
        <v>0</v>
      </c>
      <c r="CK184" s="167">
        <v>0</v>
      </c>
      <c r="CL184" s="167">
        <v>0</v>
      </c>
      <c r="CM184" s="167">
        <v>0</v>
      </c>
      <c r="CN184" s="167">
        <v>0</v>
      </c>
      <c r="CO184" s="167">
        <v>0</v>
      </c>
      <c r="CP184" s="167">
        <v>0</v>
      </c>
      <c r="CQ184" s="167">
        <v>0</v>
      </c>
      <c r="CR184" s="167">
        <v>0</v>
      </c>
      <c r="CS184" s="167">
        <v>0</v>
      </c>
      <c r="CT184" s="167">
        <v>0</v>
      </c>
      <c r="CU184" s="167">
        <v>0</v>
      </c>
      <c r="CV184" s="167">
        <v>0</v>
      </c>
      <c r="CW184" s="167">
        <v>0</v>
      </c>
      <c r="CX184" s="167">
        <f>SUM(CD184:CH184)</f>
        <v>0</v>
      </c>
      <c r="CY184" s="167">
        <f>SUM(CD184:CM184)</f>
        <v>0</v>
      </c>
    </row>
    <row r="185" spans="1:103" ht="12.75" customHeight="1" x14ac:dyDescent="0.2">
      <c r="A185" s="81">
        <v>6253</v>
      </c>
      <c r="B185" s="165" t="s">
        <v>1924</v>
      </c>
      <c r="C185" s="165" t="s">
        <v>1258</v>
      </c>
      <c r="E185" s="165" t="s">
        <v>3233</v>
      </c>
      <c r="G185" s="81">
        <v>528027</v>
      </c>
      <c r="H185" s="81">
        <v>172478</v>
      </c>
      <c r="I185" s="165" t="s">
        <v>254</v>
      </c>
      <c r="J185" s="349">
        <v>42825</v>
      </c>
      <c r="K185" s="349">
        <v>43151</v>
      </c>
      <c r="L185" s="166">
        <v>2</v>
      </c>
      <c r="M185" s="166">
        <v>3</v>
      </c>
      <c r="N185" s="166">
        <v>1</v>
      </c>
      <c r="O185" s="166">
        <v>3</v>
      </c>
      <c r="P185" s="166">
        <v>1</v>
      </c>
      <c r="R185" s="165" t="s">
        <v>1259</v>
      </c>
      <c r="S185" s="81" t="s">
        <v>113</v>
      </c>
      <c r="T185" s="349">
        <v>42502</v>
      </c>
      <c r="U185" s="349">
        <v>42558</v>
      </c>
      <c r="W185" s="81" t="s">
        <v>114</v>
      </c>
      <c r="Y185" s="81" t="s">
        <v>115</v>
      </c>
      <c r="Z185" s="81" t="s">
        <v>398</v>
      </c>
      <c r="AA185" s="81" t="s">
        <v>117</v>
      </c>
      <c r="AB185" s="81" t="s">
        <v>220</v>
      </c>
      <c r="AC185" s="166">
        <v>1.4999999664723899E-2</v>
      </c>
      <c r="AD185" s="349">
        <v>42825</v>
      </c>
      <c r="AF185" s="349">
        <v>43151</v>
      </c>
      <c r="AG185" s="81" t="s">
        <v>238</v>
      </c>
      <c r="AH185" s="81" t="s">
        <v>118</v>
      </c>
      <c r="AK185" s="166">
        <v>0</v>
      </c>
      <c r="AM185" s="166">
        <v>0</v>
      </c>
      <c r="AO185" s="166">
        <v>0</v>
      </c>
      <c r="AP185" s="166">
        <v>1</v>
      </c>
      <c r="AQ185" s="166">
        <v>-1</v>
      </c>
      <c r="AR185" s="166">
        <v>1</v>
      </c>
      <c r="AS185" s="166">
        <v>0</v>
      </c>
      <c r="AT185" s="166">
        <v>0</v>
      </c>
      <c r="AU185" s="166">
        <v>0</v>
      </c>
      <c r="AV185" s="166">
        <v>0</v>
      </c>
      <c r="AW185" s="166">
        <v>1</v>
      </c>
      <c r="AX185" s="166">
        <v>-1</v>
      </c>
      <c r="AY185" s="166">
        <v>1</v>
      </c>
      <c r="AZ185" s="166">
        <v>0</v>
      </c>
      <c r="BA185" s="166">
        <v>0</v>
      </c>
      <c r="BB185" s="166">
        <v>0</v>
      </c>
      <c r="BC185" s="166">
        <v>0</v>
      </c>
      <c r="BD185" s="166">
        <v>0</v>
      </c>
      <c r="BE185" s="166">
        <v>0</v>
      </c>
      <c r="BF185" s="166">
        <v>0</v>
      </c>
      <c r="BG185" s="166">
        <v>0</v>
      </c>
      <c r="BH185" s="166">
        <v>0</v>
      </c>
      <c r="BI185" s="166">
        <v>0</v>
      </c>
      <c r="BJ185" s="166">
        <v>0</v>
      </c>
      <c r="BK185" s="166">
        <v>0</v>
      </c>
      <c r="BL185" s="166">
        <v>0</v>
      </c>
      <c r="BM185" s="166">
        <v>0</v>
      </c>
      <c r="BN185" s="166">
        <v>0</v>
      </c>
      <c r="BO185" s="166">
        <v>0</v>
      </c>
      <c r="BP185" s="166">
        <v>0</v>
      </c>
      <c r="BQ185" s="81" t="s">
        <v>1757</v>
      </c>
      <c r="BZ185" s="81" t="s">
        <v>155</v>
      </c>
      <c r="CA185" s="81">
        <v>7</v>
      </c>
      <c r="CC185" s="167">
        <f>N185</f>
        <v>1</v>
      </c>
      <c r="CD185" s="167">
        <v>0</v>
      </c>
      <c r="CE185" s="167">
        <v>0</v>
      </c>
      <c r="CF185" s="167">
        <v>0</v>
      </c>
      <c r="CG185" s="167">
        <v>0</v>
      </c>
      <c r="CH185" s="167">
        <v>0</v>
      </c>
      <c r="CI185" s="167">
        <v>0</v>
      </c>
      <c r="CJ185" s="167">
        <v>0</v>
      </c>
      <c r="CK185" s="167">
        <v>0</v>
      </c>
      <c r="CL185" s="167">
        <v>0</v>
      </c>
      <c r="CM185" s="167">
        <v>0</v>
      </c>
      <c r="CN185" s="167">
        <v>0</v>
      </c>
      <c r="CO185" s="167">
        <v>0</v>
      </c>
      <c r="CP185" s="167">
        <v>0</v>
      </c>
      <c r="CQ185" s="167">
        <v>0</v>
      </c>
      <c r="CR185" s="167">
        <v>0</v>
      </c>
      <c r="CS185" s="167">
        <v>0</v>
      </c>
      <c r="CT185" s="167">
        <v>0</v>
      </c>
      <c r="CU185" s="167">
        <v>0</v>
      </c>
      <c r="CV185" s="167">
        <v>0</v>
      </c>
      <c r="CW185" s="167">
        <v>0</v>
      </c>
      <c r="CX185" s="167">
        <f>SUM(CD185:CH185)</f>
        <v>0</v>
      </c>
      <c r="CY185" s="167">
        <f>SUM(CD185:CM185)</f>
        <v>0</v>
      </c>
    </row>
    <row r="186" spans="1:103" ht="12.75" customHeight="1" x14ac:dyDescent="0.2">
      <c r="A186" s="81">
        <v>6271</v>
      </c>
      <c r="B186" s="165" t="s">
        <v>1924</v>
      </c>
      <c r="C186" s="165" t="s">
        <v>1290</v>
      </c>
      <c r="E186" s="165" t="s">
        <v>3234</v>
      </c>
      <c r="G186" s="81">
        <v>528068</v>
      </c>
      <c r="H186" s="81">
        <v>176644</v>
      </c>
      <c r="I186" s="165" t="s">
        <v>240</v>
      </c>
      <c r="J186" s="349">
        <v>42635</v>
      </c>
      <c r="K186" s="349">
        <v>42993</v>
      </c>
      <c r="L186" s="166">
        <v>0</v>
      </c>
      <c r="M186" s="166">
        <v>1</v>
      </c>
      <c r="N186" s="166">
        <v>1</v>
      </c>
      <c r="O186" s="166">
        <v>1</v>
      </c>
      <c r="P186" s="166">
        <v>1</v>
      </c>
      <c r="R186" s="165" t="s">
        <v>1291</v>
      </c>
      <c r="S186" s="81" t="s">
        <v>270</v>
      </c>
      <c r="T186" s="349">
        <v>42528</v>
      </c>
      <c r="U186" s="349">
        <v>42584</v>
      </c>
      <c r="W186" s="81" t="s">
        <v>114</v>
      </c>
      <c r="Y186" s="81" t="s">
        <v>115</v>
      </c>
      <c r="Z186" s="81" t="s">
        <v>310</v>
      </c>
      <c r="AA186" s="81" t="s">
        <v>117</v>
      </c>
      <c r="AB186" s="81" t="s">
        <v>399</v>
      </c>
      <c r="AC186" s="166">
        <v>2.70000007003546E-2</v>
      </c>
      <c r="AD186" s="349">
        <v>42635</v>
      </c>
      <c r="AF186" s="349">
        <v>42993</v>
      </c>
      <c r="AG186" s="81" t="s">
        <v>238</v>
      </c>
      <c r="AH186" s="81" t="s">
        <v>118</v>
      </c>
      <c r="AK186" s="166">
        <v>0</v>
      </c>
      <c r="AM186" s="166">
        <v>0</v>
      </c>
      <c r="AO186" s="166">
        <v>0</v>
      </c>
      <c r="AP186" s="166">
        <v>0</v>
      </c>
      <c r="AQ186" s="166">
        <v>1</v>
      </c>
      <c r="AR186" s="166">
        <v>0</v>
      </c>
      <c r="AS186" s="166">
        <v>0</v>
      </c>
      <c r="AT186" s="166">
        <v>0</v>
      </c>
      <c r="AU186" s="166">
        <v>0</v>
      </c>
      <c r="AV186" s="166">
        <v>0</v>
      </c>
      <c r="AW186" s="166">
        <v>0</v>
      </c>
      <c r="AX186" s="166">
        <v>1</v>
      </c>
      <c r="AY186" s="166">
        <v>0</v>
      </c>
      <c r="AZ186" s="166">
        <v>0</v>
      </c>
      <c r="BA186" s="166">
        <v>0</v>
      </c>
      <c r="BB186" s="166">
        <v>0</v>
      </c>
      <c r="BC186" s="166">
        <v>0</v>
      </c>
      <c r="BD186" s="166">
        <v>0</v>
      </c>
      <c r="BE186" s="166">
        <v>0</v>
      </c>
      <c r="BF186" s="166">
        <v>0</v>
      </c>
      <c r="BG186" s="166">
        <v>0</v>
      </c>
      <c r="BH186" s="166">
        <v>0</v>
      </c>
      <c r="BI186" s="166">
        <v>0</v>
      </c>
      <c r="BJ186" s="166">
        <v>0</v>
      </c>
      <c r="BK186" s="166">
        <v>0</v>
      </c>
      <c r="BL186" s="166">
        <v>0</v>
      </c>
      <c r="BM186" s="166">
        <v>0</v>
      </c>
      <c r="BN186" s="166">
        <v>0</v>
      </c>
      <c r="BO186" s="166">
        <v>0</v>
      </c>
      <c r="BP186" s="166">
        <v>0</v>
      </c>
      <c r="BQ186" s="81" t="s">
        <v>1757</v>
      </c>
      <c r="BZ186" s="81" t="s">
        <v>155</v>
      </c>
      <c r="CA186" s="81">
        <v>7</v>
      </c>
      <c r="CC186" s="167">
        <f>N186</f>
        <v>1</v>
      </c>
      <c r="CD186" s="167">
        <v>0</v>
      </c>
      <c r="CE186" s="167">
        <v>0</v>
      </c>
      <c r="CF186" s="167">
        <v>0</v>
      </c>
      <c r="CG186" s="167">
        <v>0</v>
      </c>
      <c r="CH186" s="167">
        <v>0</v>
      </c>
      <c r="CI186" s="167">
        <v>0</v>
      </c>
      <c r="CJ186" s="167">
        <v>0</v>
      </c>
      <c r="CK186" s="167">
        <v>0</v>
      </c>
      <c r="CL186" s="167">
        <v>0</v>
      </c>
      <c r="CM186" s="167">
        <v>0</v>
      </c>
      <c r="CN186" s="167">
        <v>0</v>
      </c>
      <c r="CO186" s="167">
        <v>0</v>
      </c>
      <c r="CP186" s="167">
        <v>0</v>
      </c>
      <c r="CQ186" s="167">
        <v>0</v>
      </c>
      <c r="CR186" s="167">
        <v>0</v>
      </c>
      <c r="CS186" s="167">
        <v>0</v>
      </c>
      <c r="CT186" s="167">
        <v>0</v>
      </c>
      <c r="CU186" s="167">
        <v>0</v>
      </c>
      <c r="CV186" s="167">
        <v>0</v>
      </c>
      <c r="CW186" s="167">
        <v>0</v>
      </c>
      <c r="CX186" s="167">
        <f>SUM(CD186:CH186)</f>
        <v>0</v>
      </c>
      <c r="CY186" s="167">
        <f>SUM(CD186:CM186)</f>
        <v>0</v>
      </c>
    </row>
    <row r="187" spans="1:103" ht="12.75" customHeight="1" x14ac:dyDescent="0.2">
      <c r="A187" s="81">
        <v>6281</v>
      </c>
      <c r="B187" s="165" t="s">
        <v>1924</v>
      </c>
      <c r="C187" s="165" t="s">
        <v>1532</v>
      </c>
      <c r="E187" s="165" t="s">
        <v>3235</v>
      </c>
      <c r="G187" s="81">
        <v>522932</v>
      </c>
      <c r="H187" s="81">
        <v>175036</v>
      </c>
      <c r="I187" s="165" t="s">
        <v>59</v>
      </c>
      <c r="K187" s="349">
        <v>43190</v>
      </c>
      <c r="L187" s="166">
        <v>0</v>
      </c>
      <c r="M187" s="166">
        <v>1</v>
      </c>
      <c r="N187" s="166">
        <v>1</v>
      </c>
      <c r="O187" s="166">
        <v>1</v>
      </c>
      <c r="P187" s="166">
        <v>1</v>
      </c>
      <c r="R187" s="165" t="s">
        <v>1533</v>
      </c>
      <c r="S187" s="81" t="s">
        <v>113</v>
      </c>
      <c r="T187" s="349">
        <v>42768</v>
      </c>
      <c r="U187" s="349">
        <v>42824</v>
      </c>
      <c r="W187" s="81" t="s">
        <v>114</v>
      </c>
      <c r="Y187" s="81" t="s">
        <v>397</v>
      </c>
      <c r="Z187" s="81" t="s">
        <v>116</v>
      </c>
      <c r="AA187" s="81" t="s">
        <v>117</v>
      </c>
      <c r="AB187" s="81" t="s">
        <v>218</v>
      </c>
      <c r="AC187" s="166">
        <v>4.9999998882412902E-3</v>
      </c>
      <c r="AF187" s="349">
        <v>43190</v>
      </c>
      <c r="AG187" s="81" t="s">
        <v>238</v>
      </c>
      <c r="AH187" s="81" t="s">
        <v>118</v>
      </c>
      <c r="AK187" s="166">
        <v>0</v>
      </c>
      <c r="AM187" s="166">
        <v>0</v>
      </c>
      <c r="AO187" s="166">
        <v>0</v>
      </c>
      <c r="AP187" s="166">
        <v>0</v>
      </c>
      <c r="AQ187" s="166">
        <v>1</v>
      </c>
      <c r="AR187" s="166">
        <v>0</v>
      </c>
      <c r="AS187" s="166">
        <v>0</v>
      </c>
      <c r="AT187" s="166">
        <v>0</v>
      </c>
      <c r="AU187" s="166">
        <v>0</v>
      </c>
      <c r="AV187" s="166">
        <v>0</v>
      </c>
      <c r="AW187" s="166">
        <v>0</v>
      </c>
      <c r="AX187" s="166">
        <v>0</v>
      </c>
      <c r="AY187" s="166">
        <v>0</v>
      </c>
      <c r="AZ187" s="166">
        <v>0</v>
      </c>
      <c r="BA187" s="166">
        <v>0</v>
      </c>
      <c r="BB187" s="166">
        <v>0</v>
      </c>
      <c r="BC187" s="166">
        <v>0</v>
      </c>
      <c r="BD187" s="166">
        <v>0</v>
      </c>
      <c r="BE187" s="166">
        <v>1</v>
      </c>
      <c r="BF187" s="166">
        <v>0</v>
      </c>
      <c r="BG187" s="166">
        <v>0</v>
      </c>
      <c r="BH187" s="166">
        <v>0</v>
      </c>
      <c r="BI187" s="166">
        <v>0</v>
      </c>
      <c r="BJ187" s="166">
        <v>0</v>
      </c>
      <c r="BK187" s="166">
        <v>0</v>
      </c>
      <c r="BL187" s="166">
        <v>0</v>
      </c>
      <c r="BM187" s="166">
        <v>0</v>
      </c>
      <c r="BN187" s="166">
        <v>0</v>
      </c>
      <c r="BO187" s="166">
        <v>0</v>
      </c>
      <c r="BP187" s="166">
        <v>0</v>
      </c>
      <c r="BQ187" s="81" t="s">
        <v>1758</v>
      </c>
      <c r="BZ187" s="81" t="s">
        <v>155</v>
      </c>
      <c r="CA187" s="81">
        <v>1</v>
      </c>
      <c r="CC187" s="167">
        <f>N187</f>
        <v>1</v>
      </c>
      <c r="CD187" s="167">
        <v>0</v>
      </c>
      <c r="CE187" s="167">
        <v>0</v>
      </c>
      <c r="CF187" s="167">
        <v>0</v>
      </c>
      <c r="CG187" s="167">
        <v>0</v>
      </c>
      <c r="CH187" s="167">
        <v>0</v>
      </c>
      <c r="CI187" s="167">
        <v>0</v>
      </c>
      <c r="CJ187" s="167">
        <v>0</v>
      </c>
      <c r="CK187" s="167">
        <v>0</v>
      </c>
      <c r="CL187" s="167">
        <v>0</v>
      </c>
      <c r="CM187" s="167">
        <v>0</v>
      </c>
      <c r="CN187" s="167">
        <v>0</v>
      </c>
      <c r="CO187" s="167">
        <v>0</v>
      </c>
      <c r="CP187" s="167">
        <v>0</v>
      </c>
      <c r="CQ187" s="167">
        <v>0</v>
      </c>
      <c r="CR187" s="167">
        <v>0</v>
      </c>
      <c r="CS187" s="167">
        <v>0</v>
      </c>
      <c r="CT187" s="167">
        <v>0</v>
      </c>
      <c r="CU187" s="167">
        <v>0</v>
      </c>
      <c r="CV187" s="167">
        <v>0</v>
      </c>
      <c r="CW187" s="167">
        <v>0</v>
      </c>
      <c r="CX187" s="167">
        <f>SUM(CD187:CH187)</f>
        <v>0</v>
      </c>
      <c r="CY187" s="167">
        <f>SUM(CD187:CM187)</f>
        <v>0</v>
      </c>
    </row>
    <row r="188" spans="1:103" ht="12.75" customHeight="1" x14ac:dyDescent="0.2">
      <c r="A188" s="81">
        <v>6288</v>
      </c>
      <c r="B188" s="165" t="s">
        <v>1924</v>
      </c>
      <c r="C188" s="165" t="s">
        <v>1380</v>
      </c>
      <c r="E188" s="165" t="s">
        <v>3236</v>
      </c>
      <c r="G188" s="81">
        <v>528742</v>
      </c>
      <c r="H188" s="81">
        <v>176723</v>
      </c>
      <c r="I188" s="165" t="s">
        <v>240</v>
      </c>
      <c r="J188" s="349">
        <v>42741</v>
      </c>
      <c r="K188" s="349">
        <v>42944</v>
      </c>
      <c r="L188" s="166">
        <v>1</v>
      </c>
      <c r="M188" s="166">
        <v>0</v>
      </c>
      <c r="N188" s="166">
        <v>-1</v>
      </c>
      <c r="O188" s="166">
        <v>0</v>
      </c>
      <c r="P188" s="166">
        <v>-1</v>
      </c>
      <c r="R188" s="165" t="s">
        <v>1381</v>
      </c>
      <c r="S188" s="81" t="s">
        <v>113</v>
      </c>
      <c r="T188" s="349">
        <v>42591</v>
      </c>
      <c r="U188" s="349">
        <v>42647</v>
      </c>
      <c r="W188" s="81" t="s">
        <v>114</v>
      </c>
      <c r="Y188" s="81" t="s">
        <v>115</v>
      </c>
      <c r="Z188" s="81" t="s">
        <v>398</v>
      </c>
      <c r="AA188" s="81" t="s">
        <v>117</v>
      </c>
      <c r="AB188" s="81" t="s">
        <v>120</v>
      </c>
      <c r="AC188" s="166">
        <v>8.0000003799796104E-3</v>
      </c>
      <c r="AD188" s="349">
        <v>42741</v>
      </c>
      <c r="AF188" s="349">
        <v>42944</v>
      </c>
      <c r="AG188" s="81" t="s">
        <v>238</v>
      </c>
      <c r="AH188" s="81" t="s">
        <v>118</v>
      </c>
      <c r="AK188" s="166">
        <v>0</v>
      </c>
      <c r="AM188" s="166">
        <v>0</v>
      </c>
      <c r="AO188" s="166">
        <v>0</v>
      </c>
      <c r="AP188" s="166">
        <v>0</v>
      </c>
      <c r="AQ188" s="166">
        <v>0</v>
      </c>
      <c r="AR188" s="166">
        <v>0</v>
      </c>
      <c r="AS188" s="166">
        <v>0</v>
      </c>
      <c r="AT188" s="166">
        <v>-1</v>
      </c>
      <c r="AU188" s="166">
        <v>0</v>
      </c>
      <c r="AV188" s="166">
        <v>0</v>
      </c>
      <c r="AW188" s="166">
        <v>0</v>
      </c>
      <c r="AX188" s="166">
        <v>0</v>
      </c>
      <c r="AY188" s="166">
        <v>0</v>
      </c>
      <c r="AZ188" s="166">
        <v>0</v>
      </c>
      <c r="BA188" s="166">
        <v>0</v>
      </c>
      <c r="BB188" s="166">
        <v>0</v>
      </c>
      <c r="BC188" s="166">
        <v>0</v>
      </c>
      <c r="BD188" s="166">
        <v>0</v>
      </c>
      <c r="BE188" s="166">
        <v>0</v>
      </c>
      <c r="BF188" s="166">
        <v>0</v>
      </c>
      <c r="BG188" s="166">
        <v>0</v>
      </c>
      <c r="BH188" s="166">
        <v>-1</v>
      </c>
      <c r="BI188" s="166">
        <v>0</v>
      </c>
      <c r="BJ188" s="166">
        <v>0</v>
      </c>
      <c r="BK188" s="166">
        <v>0</v>
      </c>
      <c r="BL188" s="166">
        <v>0</v>
      </c>
      <c r="BM188" s="166">
        <v>0</v>
      </c>
      <c r="BN188" s="166">
        <v>0</v>
      </c>
      <c r="BO188" s="166">
        <v>0</v>
      </c>
      <c r="BP188" s="166">
        <v>0</v>
      </c>
      <c r="BQ188" s="81" t="s">
        <v>1757</v>
      </c>
      <c r="BZ188" s="81" t="s">
        <v>155</v>
      </c>
      <c r="CA188" s="81">
        <v>7</v>
      </c>
      <c r="CC188" s="167">
        <f>N188</f>
        <v>-1</v>
      </c>
      <c r="CD188" s="167">
        <v>0</v>
      </c>
      <c r="CE188" s="167">
        <v>0</v>
      </c>
      <c r="CF188" s="167">
        <v>0</v>
      </c>
      <c r="CG188" s="167">
        <v>0</v>
      </c>
      <c r="CH188" s="167">
        <v>0</v>
      </c>
      <c r="CI188" s="167">
        <v>0</v>
      </c>
      <c r="CJ188" s="167">
        <v>0</v>
      </c>
      <c r="CK188" s="167">
        <v>0</v>
      </c>
      <c r="CL188" s="167">
        <v>0</v>
      </c>
      <c r="CM188" s="167">
        <v>0</v>
      </c>
      <c r="CN188" s="167">
        <v>0</v>
      </c>
      <c r="CO188" s="167">
        <v>0</v>
      </c>
      <c r="CP188" s="167">
        <v>0</v>
      </c>
      <c r="CQ188" s="167">
        <v>0</v>
      </c>
      <c r="CR188" s="167">
        <v>0</v>
      </c>
      <c r="CS188" s="167">
        <v>0</v>
      </c>
      <c r="CT188" s="167">
        <v>0</v>
      </c>
      <c r="CU188" s="167">
        <v>0</v>
      </c>
      <c r="CV188" s="167">
        <v>0</v>
      </c>
      <c r="CW188" s="167">
        <v>0</v>
      </c>
      <c r="CX188" s="167">
        <f>SUM(CD188:CH188)</f>
        <v>0</v>
      </c>
      <c r="CY188" s="167">
        <f>SUM(CD188:CM188)</f>
        <v>0</v>
      </c>
    </row>
    <row r="189" spans="1:103" ht="12.75" customHeight="1" x14ac:dyDescent="0.2">
      <c r="A189" s="81">
        <v>6301</v>
      </c>
      <c r="B189" s="165" t="s">
        <v>1924</v>
      </c>
      <c r="C189" s="165" t="s">
        <v>1705</v>
      </c>
      <c r="E189" s="165" t="s">
        <v>3237</v>
      </c>
      <c r="G189" s="81">
        <v>528407</v>
      </c>
      <c r="H189" s="81">
        <v>172922</v>
      </c>
      <c r="I189" s="165" t="s">
        <v>248</v>
      </c>
      <c r="J189" s="349">
        <v>42754</v>
      </c>
      <c r="K189" s="349">
        <v>42858</v>
      </c>
      <c r="L189" s="166">
        <v>0</v>
      </c>
      <c r="M189" s="166">
        <v>2</v>
      </c>
      <c r="N189" s="166">
        <v>2</v>
      </c>
      <c r="O189" s="166">
        <v>2</v>
      </c>
      <c r="P189" s="166">
        <v>2</v>
      </c>
      <c r="R189" s="165" t="s">
        <v>1706</v>
      </c>
      <c r="S189" s="81" t="s">
        <v>113</v>
      </c>
      <c r="T189" s="349">
        <v>42551</v>
      </c>
      <c r="U189" s="349">
        <v>42607</v>
      </c>
      <c r="W189" s="81" t="s">
        <v>114</v>
      </c>
      <c r="Y189" s="81" t="s">
        <v>115</v>
      </c>
      <c r="Z189" s="81" t="s">
        <v>219</v>
      </c>
      <c r="AA189" s="81" t="s">
        <v>117</v>
      </c>
      <c r="AB189" s="81" t="s">
        <v>3889</v>
      </c>
      <c r="AC189" s="166">
        <v>1.2000000104308101E-2</v>
      </c>
      <c r="AD189" s="349">
        <v>42754</v>
      </c>
      <c r="AF189" s="349">
        <v>42858</v>
      </c>
      <c r="AG189" s="81" t="s">
        <v>238</v>
      </c>
      <c r="AH189" s="81" t="s">
        <v>118</v>
      </c>
      <c r="AK189" s="166">
        <v>0</v>
      </c>
      <c r="AM189" s="166">
        <v>0</v>
      </c>
      <c r="AO189" s="166">
        <v>0</v>
      </c>
      <c r="AP189" s="166">
        <v>0</v>
      </c>
      <c r="AQ189" s="166">
        <v>2</v>
      </c>
      <c r="AR189" s="166">
        <v>0</v>
      </c>
      <c r="AS189" s="166">
        <v>0</v>
      </c>
      <c r="AT189" s="166">
        <v>0</v>
      </c>
      <c r="AU189" s="166">
        <v>0</v>
      </c>
      <c r="AV189" s="166">
        <v>0</v>
      </c>
      <c r="AW189" s="166">
        <v>0</v>
      </c>
      <c r="AX189" s="166">
        <v>2</v>
      </c>
      <c r="AY189" s="166">
        <v>0</v>
      </c>
      <c r="AZ189" s="166">
        <v>0</v>
      </c>
      <c r="BA189" s="166">
        <v>0</v>
      </c>
      <c r="BB189" s="166">
        <v>0</v>
      </c>
      <c r="BC189" s="166">
        <v>0</v>
      </c>
      <c r="BD189" s="166">
        <v>0</v>
      </c>
      <c r="BE189" s="166">
        <v>0</v>
      </c>
      <c r="BF189" s="166">
        <v>0</v>
      </c>
      <c r="BG189" s="166">
        <v>0</v>
      </c>
      <c r="BH189" s="166">
        <v>0</v>
      </c>
      <c r="BI189" s="166">
        <v>0</v>
      </c>
      <c r="BJ189" s="166">
        <v>0</v>
      </c>
      <c r="BK189" s="166">
        <v>0</v>
      </c>
      <c r="BL189" s="166">
        <v>0</v>
      </c>
      <c r="BM189" s="166">
        <v>0</v>
      </c>
      <c r="BN189" s="166">
        <v>0</v>
      </c>
      <c r="BO189" s="166">
        <v>0</v>
      </c>
      <c r="BP189" s="166">
        <v>0</v>
      </c>
      <c r="BQ189" s="81" t="s">
        <v>1757</v>
      </c>
      <c r="BZ189" s="81" t="s">
        <v>155</v>
      </c>
      <c r="CA189" s="81">
        <v>7</v>
      </c>
      <c r="CC189" s="167">
        <f>N189</f>
        <v>2</v>
      </c>
      <c r="CD189" s="167">
        <v>0</v>
      </c>
      <c r="CE189" s="167">
        <v>0</v>
      </c>
      <c r="CF189" s="167">
        <v>0</v>
      </c>
      <c r="CG189" s="167">
        <v>0</v>
      </c>
      <c r="CH189" s="167">
        <v>0</v>
      </c>
      <c r="CI189" s="167">
        <v>0</v>
      </c>
      <c r="CJ189" s="167">
        <v>0</v>
      </c>
      <c r="CK189" s="167">
        <v>0</v>
      </c>
      <c r="CL189" s="167">
        <v>0</v>
      </c>
      <c r="CM189" s="167">
        <v>0</v>
      </c>
      <c r="CN189" s="167">
        <v>0</v>
      </c>
      <c r="CO189" s="167">
        <v>0</v>
      </c>
      <c r="CP189" s="167">
        <v>0</v>
      </c>
      <c r="CQ189" s="167">
        <v>0</v>
      </c>
      <c r="CR189" s="167">
        <v>0</v>
      </c>
      <c r="CS189" s="167">
        <v>0</v>
      </c>
      <c r="CT189" s="167">
        <v>0</v>
      </c>
      <c r="CU189" s="167">
        <v>0</v>
      </c>
      <c r="CV189" s="167">
        <v>0</v>
      </c>
      <c r="CW189" s="167">
        <v>0</v>
      </c>
      <c r="CX189" s="167">
        <f>SUM(CD189:CH189)</f>
        <v>0</v>
      </c>
      <c r="CY189" s="167">
        <f>SUM(CD189:CM189)</f>
        <v>0</v>
      </c>
    </row>
    <row r="190" spans="1:103" ht="12.75" customHeight="1" x14ac:dyDescent="0.2">
      <c r="A190" s="81">
        <v>6309</v>
      </c>
      <c r="B190" s="165" t="s">
        <v>1924</v>
      </c>
      <c r="C190" s="165" t="s">
        <v>3238</v>
      </c>
      <c r="E190" s="165" t="s">
        <v>3239</v>
      </c>
      <c r="G190" s="81">
        <v>526019</v>
      </c>
      <c r="H190" s="81">
        <v>174719</v>
      </c>
      <c r="I190" s="165" t="s">
        <v>251</v>
      </c>
      <c r="J190" s="349">
        <v>42825</v>
      </c>
      <c r="K190" s="349">
        <v>43053</v>
      </c>
      <c r="L190" s="166">
        <v>0</v>
      </c>
      <c r="M190" s="166">
        <v>4</v>
      </c>
      <c r="N190" s="166">
        <v>4</v>
      </c>
      <c r="O190" s="166">
        <v>4</v>
      </c>
      <c r="P190" s="166">
        <v>4</v>
      </c>
      <c r="R190" s="165" t="s">
        <v>3240</v>
      </c>
      <c r="S190" s="81" t="s">
        <v>113</v>
      </c>
      <c r="T190" s="349">
        <v>42781</v>
      </c>
      <c r="U190" s="349">
        <v>42872</v>
      </c>
      <c r="V190" s="81" t="s">
        <v>155</v>
      </c>
      <c r="W190" s="81" t="s">
        <v>114</v>
      </c>
      <c r="Y190" s="81" t="s">
        <v>115</v>
      </c>
      <c r="Z190" s="81" t="s">
        <v>398</v>
      </c>
      <c r="AA190" s="81" t="s">
        <v>117</v>
      </c>
      <c r="AB190" s="81" t="s">
        <v>311</v>
      </c>
      <c r="AC190" s="166">
        <v>1.7999999225139601E-2</v>
      </c>
      <c r="AD190" s="349">
        <v>42825</v>
      </c>
      <c r="AF190" s="349">
        <v>43053</v>
      </c>
      <c r="AG190" s="81" t="s">
        <v>238</v>
      </c>
      <c r="AH190" s="81" t="s">
        <v>118</v>
      </c>
      <c r="AK190" s="166">
        <v>0</v>
      </c>
      <c r="AM190" s="166">
        <v>0</v>
      </c>
      <c r="AO190" s="166">
        <v>0</v>
      </c>
      <c r="AP190" s="166">
        <v>0</v>
      </c>
      <c r="AQ190" s="166">
        <v>3</v>
      </c>
      <c r="AR190" s="166">
        <v>1</v>
      </c>
      <c r="AS190" s="166">
        <v>0</v>
      </c>
      <c r="AT190" s="166">
        <v>0</v>
      </c>
      <c r="AU190" s="166">
        <v>0</v>
      </c>
      <c r="AV190" s="166">
        <v>0</v>
      </c>
      <c r="AW190" s="166">
        <v>0</v>
      </c>
      <c r="AX190" s="166">
        <v>3</v>
      </c>
      <c r="AY190" s="166">
        <v>1</v>
      </c>
      <c r="AZ190" s="166">
        <v>0</v>
      </c>
      <c r="BA190" s="166">
        <v>0</v>
      </c>
      <c r="BB190" s="166">
        <v>0</v>
      </c>
      <c r="BC190" s="166">
        <v>0</v>
      </c>
      <c r="BD190" s="166">
        <v>0</v>
      </c>
      <c r="BE190" s="166">
        <v>0</v>
      </c>
      <c r="BF190" s="166">
        <v>0</v>
      </c>
      <c r="BG190" s="166">
        <v>0</v>
      </c>
      <c r="BH190" s="166">
        <v>0</v>
      </c>
      <c r="BI190" s="166">
        <v>0</v>
      </c>
      <c r="BJ190" s="166">
        <v>0</v>
      </c>
      <c r="BK190" s="166">
        <v>0</v>
      </c>
      <c r="BL190" s="166">
        <v>0</v>
      </c>
      <c r="BM190" s="166">
        <v>0</v>
      </c>
      <c r="BN190" s="166">
        <v>0</v>
      </c>
      <c r="BO190" s="166">
        <v>0</v>
      </c>
      <c r="BP190" s="166">
        <v>0</v>
      </c>
      <c r="BQ190" s="81" t="s">
        <v>1758</v>
      </c>
      <c r="BZ190" s="81" t="s">
        <v>155</v>
      </c>
      <c r="CA190" s="81">
        <v>7</v>
      </c>
      <c r="CC190" s="167">
        <f>N190</f>
        <v>4</v>
      </c>
      <c r="CD190" s="167">
        <v>0</v>
      </c>
      <c r="CE190" s="167">
        <v>0</v>
      </c>
      <c r="CF190" s="167">
        <v>0</v>
      </c>
      <c r="CG190" s="167">
        <v>0</v>
      </c>
      <c r="CH190" s="167">
        <v>0</v>
      </c>
      <c r="CI190" s="167">
        <v>0</v>
      </c>
      <c r="CJ190" s="167">
        <v>0</v>
      </c>
      <c r="CK190" s="167">
        <v>0</v>
      </c>
      <c r="CL190" s="167">
        <v>0</v>
      </c>
      <c r="CM190" s="167">
        <v>0</v>
      </c>
      <c r="CN190" s="167">
        <v>0</v>
      </c>
      <c r="CO190" s="167">
        <v>0</v>
      </c>
      <c r="CP190" s="167">
        <v>0</v>
      </c>
      <c r="CQ190" s="167">
        <v>0</v>
      </c>
      <c r="CR190" s="167">
        <v>0</v>
      </c>
      <c r="CS190" s="167">
        <v>0</v>
      </c>
      <c r="CT190" s="167">
        <v>0</v>
      </c>
      <c r="CU190" s="167">
        <v>0</v>
      </c>
      <c r="CV190" s="167">
        <v>0</v>
      </c>
      <c r="CW190" s="167">
        <v>0</v>
      </c>
      <c r="CX190" s="167">
        <f>SUM(CD190:CH190)</f>
        <v>0</v>
      </c>
      <c r="CY190" s="167">
        <f>SUM(CD190:CM190)</f>
        <v>0</v>
      </c>
    </row>
    <row r="191" spans="1:103" ht="12.75" customHeight="1" x14ac:dyDescent="0.2">
      <c r="A191" s="81">
        <v>6310</v>
      </c>
      <c r="B191" s="165" t="s">
        <v>1924</v>
      </c>
      <c r="C191" s="165" t="s">
        <v>1031</v>
      </c>
      <c r="E191" s="165" t="s">
        <v>3241</v>
      </c>
      <c r="G191" s="81">
        <v>528972</v>
      </c>
      <c r="H191" s="81">
        <v>170658</v>
      </c>
      <c r="I191" s="165" t="s">
        <v>252</v>
      </c>
      <c r="J191" s="349">
        <v>42438</v>
      </c>
      <c r="K191" s="349">
        <v>42919</v>
      </c>
      <c r="L191" s="166">
        <v>1</v>
      </c>
      <c r="M191" s="166">
        <v>3</v>
      </c>
      <c r="N191" s="166">
        <v>2</v>
      </c>
      <c r="O191" s="166">
        <v>3</v>
      </c>
      <c r="P191" s="166">
        <v>2</v>
      </c>
      <c r="R191" s="165" t="s">
        <v>1032</v>
      </c>
      <c r="S191" s="81" t="s">
        <v>113</v>
      </c>
      <c r="T191" s="349">
        <v>42562</v>
      </c>
      <c r="U191" s="349">
        <v>42618</v>
      </c>
      <c r="W191" s="81" t="s">
        <v>114</v>
      </c>
      <c r="Y191" s="81" t="s">
        <v>115</v>
      </c>
      <c r="Z191" s="81" t="s">
        <v>398</v>
      </c>
      <c r="AA191" s="81" t="s">
        <v>117</v>
      </c>
      <c r="AB191" s="81" t="s">
        <v>120</v>
      </c>
      <c r="AC191" s="166">
        <v>1.7000000923872001E-2</v>
      </c>
      <c r="AD191" s="349">
        <v>42438</v>
      </c>
      <c r="AF191" s="349">
        <v>42919</v>
      </c>
      <c r="AG191" s="81" t="s">
        <v>238</v>
      </c>
      <c r="AH191" s="81" t="s">
        <v>118</v>
      </c>
      <c r="AK191" s="166">
        <v>1</v>
      </c>
      <c r="AM191" s="166">
        <v>0</v>
      </c>
      <c r="AO191" s="166">
        <v>0</v>
      </c>
      <c r="AP191" s="166">
        <v>1</v>
      </c>
      <c r="AQ191" s="166">
        <v>1</v>
      </c>
      <c r="AR191" s="166">
        <v>1</v>
      </c>
      <c r="AS191" s="166">
        <v>-1</v>
      </c>
      <c r="AT191" s="166">
        <v>0</v>
      </c>
      <c r="AU191" s="166">
        <v>0</v>
      </c>
      <c r="AV191" s="166">
        <v>0</v>
      </c>
      <c r="AW191" s="166">
        <v>1</v>
      </c>
      <c r="AX191" s="166">
        <v>1</v>
      </c>
      <c r="AY191" s="166">
        <v>1</v>
      </c>
      <c r="AZ191" s="166">
        <v>0</v>
      </c>
      <c r="BA191" s="166">
        <v>0</v>
      </c>
      <c r="BB191" s="166">
        <v>0</v>
      </c>
      <c r="BC191" s="166">
        <v>0</v>
      </c>
      <c r="BD191" s="166">
        <v>0</v>
      </c>
      <c r="BE191" s="166">
        <v>0</v>
      </c>
      <c r="BF191" s="166">
        <v>0</v>
      </c>
      <c r="BG191" s="166">
        <v>-1</v>
      </c>
      <c r="BH191" s="166">
        <v>0</v>
      </c>
      <c r="BI191" s="166">
        <v>0</v>
      </c>
      <c r="BJ191" s="166">
        <v>0</v>
      </c>
      <c r="BK191" s="166">
        <v>0</v>
      </c>
      <c r="BL191" s="166">
        <v>0</v>
      </c>
      <c r="BM191" s="166">
        <v>0</v>
      </c>
      <c r="BN191" s="166">
        <v>0</v>
      </c>
      <c r="BO191" s="166">
        <v>0</v>
      </c>
      <c r="BP191" s="166">
        <v>0</v>
      </c>
      <c r="BQ191" s="81" t="s">
        <v>1757</v>
      </c>
      <c r="BZ191" s="81" t="s">
        <v>155</v>
      </c>
      <c r="CA191" s="81">
        <v>7</v>
      </c>
      <c r="CC191" s="167">
        <f>N191</f>
        <v>2</v>
      </c>
      <c r="CD191" s="167">
        <v>0</v>
      </c>
      <c r="CE191" s="167">
        <v>0</v>
      </c>
      <c r="CF191" s="167">
        <v>0</v>
      </c>
      <c r="CG191" s="167">
        <v>0</v>
      </c>
      <c r="CH191" s="167">
        <v>0</v>
      </c>
      <c r="CI191" s="167">
        <v>0</v>
      </c>
      <c r="CJ191" s="167">
        <v>0</v>
      </c>
      <c r="CK191" s="167">
        <v>0</v>
      </c>
      <c r="CL191" s="167">
        <v>0</v>
      </c>
      <c r="CM191" s="167">
        <v>0</v>
      </c>
      <c r="CN191" s="167">
        <v>0</v>
      </c>
      <c r="CO191" s="167">
        <v>0</v>
      </c>
      <c r="CP191" s="167">
        <v>0</v>
      </c>
      <c r="CQ191" s="167">
        <v>0</v>
      </c>
      <c r="CR191" s="167">
        <v>0</v>
      </c>
      <c r="CS191" s="167">
        <v>0</v>
      </c>
      <c r="CT191" s="167">
        <v>0</v>
      </c>
      <c r="CU191" s="167">
        <v>0</v>
      </c>
      <c r="CV191" s="167">
        <v>0</v>
      </c>
      <c r="CW191" s="167">
        <v>0</v>
      </c>
      <c r="CX191" s="167">
        <f>SUM(CD191:CH191)</f>
        <v>0</v>
      </c>
      <c r="CY191" s="167">
        <f>SUM(CD191:CM191)</f>
        <v>0</v>
      </c>
    </row>
    <row r="192" spans="1:103" ht="12.75" customHeight="1" x14ac:dyDescent="0.2">
      <c r="A192" s="81">
        <v>6313</v>
      </c>
      <c r="B192" s="165" t="s">
        <v>1924</v>
      </c>
      <c r="C192" s="165" t="s">
        <v>1356</v>
      </c>
      <c r="E192" s="165" t="s">
        <v>3242</v>
      </c>
      <c r="G192" s="81">
        <v>528068</v>
      </c>
      <c r="H192" s="81">
        <v>176657</v>
      </c>
      <c r="I192" s="165" t="s">
        <v>240</v>
      </c>
      <c r="J192" s="349">
        <v>42755</v>
      </c>
      <c r="K192" s="349">
        <v>43017</v>
      </c>
      <c r="L192" s="166">
        <v>0</v>
      </c>
      <c r="M192" s="166">
        <v>2</v>
      </c>
      <c r="N192" s="166">
        <v>2</v>
      </c>
      <c r="O192" s="166">
        <v>2</v>
      </c>
      <c r="P192" s="166">
        <v>2</v>
      </c>
      <c r="R192" s="165" t="s">
        <v>1357</v>
      </c>
      <c r="S192" s="81" t="s">
        <v>270</v>
      </c>
      <c r="T192" s="349">
        <v>42577</v>
      </c>
      <c r="U192" s="349">
        <v>42633</v>
      </c>
      <c r="W192" s="81" t="s">
        <v>114</v>
      </c>
      <c r="Y192" s="81" t="s">
        <v>115</v>
      </c>
      <c r="Z192" s="81" t="s">
        <v>310</v>
      </c>
      <c r="AA192" s="81" t="s">
        <v>117</v>
      </c>
      <c r="AB192" s="81" t="s">
        <v>399</v>
      </c>
      <c r="AC192" s="166">
        <v>5.4000001400709201E-2</v>
      </c>
      <c r="AD192" s="349">
        <v>42755</v>
      </c>
      <c r="AF192" s="349">
        <v>43017</v>
      </c>
      <c r="AG192" s="81" t="s">
        <v>238</v>
      </c>
      <c r="AH192" s="81" t="s">
        <v>118</v>
      </c>
      <c r="AK192" s="166">
        <v>0</v>
      </c>
      <c r="AM192" s="166">
        <v>0</v>
      </c>
      <c r="AO192" s="166">
        <v>2</v>
      </c>
      <c r="AP192" s="166">
        <v>0</v>
      </c>
      <c r="AQ192" s="166">
        <v>0</v>
      </c>
      <c r="AR192" s="166">
        <v>0</v>
      </c>
      <c r="AS192" s="166">
        <v>0</v>
      </c>
      <c r="AT192" s="166">
        <v>0</v>
      </c>
      <c r="AU192" s="166">
        <v>0</v>
      </c>
      <c r="AV192" s="166">
        <v>2</v>
      </c>
      <c r="AW192" s="166">
        <v>0</v>
      </c>
      <c r="AX192" s="166">
        <v>0</v>
      </c>
      <c r="AY192" s="166">
        <v>0</v>
      </c>
      <c r="AZ192" s="166">
        <v>0</v>
      </c>
      <c r="BA192" s="166">
        <v>0</v>
      </c>
      <c r="BB192" s="166">
        <v>0</v>
      </c>
      <c r="BC192" s="166">
        <v>0</v>
      </c>
      <c r="BD192" s="166">
        <v>0</v>
      </c>
      <c r="BE192" s="166">
        <v>0</v>
      </c>
      <c r="BF192" s="166">
        <v>0</v>
      </c>
      <c r="BG192" s="166">
        <v>0</v>
      </c>
      <c r="BH192" s="166">
        <v>0</v>
      </c>
      <c r="BI192" s="166">
        <v>0</v>
      </c>
      <c r="BJ192" s="166">
        <v>0</v>
      </c>
      <c r="BK192" s="166">
        <v>0</v>
      </c>
      <c r="BL192" s="166">
        <v>0</v>
      </c>
      <c r="BM192" s="166">
        <v>0</v>
      </c>
      <c r="BN192" s="166">
        <v>0</v>
      </c>
      <c r="BO192" s="166">
        <v>0</v>
      </c>
      <c r="BP192" s="166">
        <v>0</v>
      </c>
      <c r="BQ192" s="81" t="s">
        <v>1757</v>
      </c>
      <c r="BZ192" s="81" t="s">
        <v>155</v>
      </c>
      <c r="CA192" s="81">
        <v>7</v>
      </c>
      <c r="CC192" s="167">
        <f>N192</f>
        <v>2</v>
      </c>
      <c r="CD192" s="167">
        <v>0</v>
      </c>
      <c r="CE192" s="167">
        <v>0</v>
      </c>
      <c r="CF192" s="167">
        <v>0</v>
      </c>
      <c r="CG192" s="167">
        <v>0</v>
      </c>
      <c r="CH192" s="167">
        <v>0</v>
      </c>
      <c r="CI192" s="167">
        <v>0</v>
      </c>
      <c r="CJ192" s="167">
        <v>0</v>
      </c>
      <c r="CK192" s="167">
        <v>0</v>
      </c>
      <c r="CL192" s="167">
        <v>0</v>
      </c>
      <c r="CM192" s="167">
        <v>0</v>
      </c>
      <c r="CN192" s="167">
        <v>0</v>
      </c>
      <c r="CO192" s="167">
        <v>0</v>
      </c>
      <c r="CP192" s="167">
        <v>0</v>
      </c>
      <c r="CQ192" s="167">
        <v>0</v>
      </c>
      <c r="CR192" s="167">
        <v>0</v>
      </c>
      <c r="CS192" s="167">
        <v>0</v>
      </c>
      <c r="CT192" s="167">
        <v>0</v>
      </c>
      <c r="CU192" s="167">
        <v>0</v>
      </c>
      <c r="CV192" s="167">
        <v>0</v>
      </c>
      <c r="CW192" s="167">
        <v>0</v>
      </c>
      <c r="CX192" s="167">
        <f>SUM(CD192:CH192)</f>
        <v>0</v>
      </c>
      <c r="CY192" s="167">
        <f>SUM(CD192:CM192)</f>
        <v>0</v>
      </c>
    </row>
    <row r="193" spans="1:103" ht="12.75" customHeight="1" x14ac:dyDescent="0.2">
      <c r="A193" s="81">
        <v>6327</v>
      </c>
      <c r="B193" s="165" t="s">
        <v>1924</v>
      </c>
      <c r="C193" s="165" t="s">
        <v>1378</v>
      </c>
      <c r="E193" s="165" t="s">
        <v>3243</v>
      </c>
      <c r="G193" s="81">
        <v>528751</v>
      </c>
      <c r="H193" s="81">
        <v>173670</v>
      </c>
      <c r="I193" s="165" t="s">
        <v>247</v>
      </c>
      <c r="J193" s="349">
        <v>42726</v>
      </c>
      <c r="K193" s="349">
        <v>43052</v>
      </c>
      <c r="L193" s="166">
        <v>0</v>
      </c>
      <c r="M193" s="166">
        <v>1</v>
      </c>
      <c r="N193" s="166">
        <v>1</v>
      </c>
      <c r="O193" s="166">
        <v>1</v>
      </c>
      <c r="P193" s="166">
        <v>1</v>
      </c>
      <c r="R193" s="165" t="s">
        <v>1379</v>
      </c>
      <c r="S193" s="81" t="s">
        <v>270</v>
      </c>
      <c r="T193" s="349">
        <v>42593</v>
      </c>
      <c r="U193" s="349">
        <v>42649</v>
      </c>
      <c r="W193" s="81" t="s">
        <v>114</v>
      </c>
      <c r="Y193" s="81" t="s">
        <v>115</v>
      </c>
      <c r="Z193" s="81" t="s">
        <v>310</v>
      </c>
      <c r="AA193" s="81" t="s">
        <v>117</v>
      </c>
      <c r="AB193" s="81" t="s">
        <v>399</v>
      </c>
      <c r="AC193" s="166">
        <v>6.0000000521540598E-3</v>
      </c>
      <c r="AD193" s="349">
        <v>42726</v>
      </c>
      <c r="AF193" s="349">
        <v>43052</v>
      </c>
      <c r="AG193" s="81" t="s">
        <v>238</v>
      </c>
      <c r="AH193" s="81" t="s">
        <v>118</v>
      </c>
      <c r="AK193" s="166">
        <v>0</v>
      </c>
      <c r="AM193" s="166">
        <v>0</v>
      </c>
      <c r="AO193" s="166">
        <v>0</v>
      </c>
      <c r="AP193" s="166">
        <v>1</v>
      </c>
      <c r="AQ193" s="166">
        <v>0</v>
      </c>
      <c r="AR193" s="166">
        <v>0</v>
      </c>
      <c r="AS193" s="166">
        <v>0</v>
      </c>
      <c r="AT193" s="166">
        <v>0</v>
      </c>
      <c r="AU193" s="166">
        <v>0</v>
      </c>
      <c r="AV193" s="166">
        <v>0</v>
      </c>
      <c r="AW193" s="166">
        <v>1</v>
      </c>
      <c r="AX193" s="166">
        <v>0</v>
      </c>
      <c r="AY193" s="166">
        <v>0</v>
      </c>
      <c r="AZ193" s="166">
        <v>0</v>
      </c>
      <c r="BA193" s="166">
        <v>0</v>
      </c>
      <c r="BB193" s="166">
        <v>0</v>
      </c>
      <c r="BC193" s="166">
        <v>0</v>
      </c>
      <c r="BD193" s="166">
        <v>0</v>
      </c>
      <c r="BE193" s="166">
        <v>0</v>
      </c>
      <c r="BF193" s="166">
        <v>0</v>
      </c>
      <c r="BG193" s="166">
        <v>0</v>
      </c>
      <c r="BH193" s="166">
        <v>0</v>
      </c>
      <c r="BI193" s="166">
        <v>0</v>
      </c>
      <c r="BJ193" s="166">
        <v>0</v>
      </c>
      <c r="BK193" s="166">
        <v>0</v>
      </c>
      <c r="BL193" s="166">
        <v>0</v>
      </c>
      <c r="BM193" s="166">
        <v>0</v>
      </c>
      <c r="BN193" s="166">
        <v>0</v>
      </c>
      <c r="BO193" s="166">
        <v>0</v>
      </c>
      <c r="BP193" s="166">
        <v>0</v>
      </c>
      <c r="BQ193" s="81" t="s">
        <v>1757</v>
      </c>
      <c r="BR193" s="81" t="s">
        <v>247</v>
      </c>
      <c r="BZ193" s="81" t="s">
        <v>155</v>
      </c>
      <c r="CA193" s="81">
        <v>7</v>
      </c>
      <c r="CC193" s="167">
        <f>N193</f>
        <v>1</v>
      </c>
      <c r="CD193" s="167">
        <v>0</v>
      </c>
      <c r="CE193" s="167">
        <v>0</v>
      </c>
      <c r="CF193" s="167">
        <v>0</v>
      </c>
      <c r="CG193" s="167">
        <v>0</v>
      </c>
      <c r="CH193" s="167">
        <v>0</v>
      </c>
      <c r="CI193" s="167">
        <v>0</v>
      </c>
      <c r="CJ193" s="167">
        <v>0</v>
      </c>
      <c r="CK193" s="167">
        <v>0</v>
      </c>
      <c r="CL193" s="167">
        <v>0</v>
      </c>
      <c r="CM193" s="167">
        <v>0</v>
      </c>
      <c r="CN193" s="167">
        <v>0</v>
      </c>
      <c r="CO193" s="167">
        <v>0</v>
      </c>
      <c r="CP193" s="167">
        <v>0</v>
      </c>
      <c r="CQ193" s="167">
        <v>0</v>
      </c>
      <c r="CR193" s="167">
        <v>0</v>
      </c>
      <c r="CS193" s="167">
        <v>0</v>
      </c>
      <c r="CT193" s="167">
        <v>0</v>
      </c>
      <c r="CU193" s="167">
        <v>0</v>
      </c>
      <c r="CV193" s="167">
        <v>0</v>
      </c>
      <c r="CW193" s="167">
        <v>0</v>
      </c>
      <c r="CX193" s="167">
        <f>SUM(CD193:CH193)</f>
        <v>0</v>
      </c>
      <c r="CY193" s="167">
        <f>SUM(CD193:CM193)</f>
        <v>0</v>
      </c>
    </row>
    <row r="194" spans="1:103" ht="12.75" customHeight="1" x14ac:dyDescent="0.2">
      <c r="A194" s="81">
        <v>6328</v>
      </c>
      <c r="B194" s="165" t="s">
        <v>1924</v>
      </c>
      <c r="C194" s="165" t="s">
        <v>1372</v>
      </c>
      <c r="E194" s="165" t="s">
        <v>3244</v>
      </c>
      <c r="G194" s="81">
        <v>524433</v>
      </c>
      <c r="H194" s="81">
        <v>174351</v>
      </c>
      <c r="I194" s="165" t="s">
        <v>250</v>
      </c>
      <c r="J194" s="349">
        <v>42825</v>
      </c>
      <c r="K194" s="349">
        <v>43190</v>
      </c>
      <c r="L194" s="166">
        <v>1</v>
      </c>
      <c r="M194" s="166">
        <v>7</v>
      </c>
      <c r="N194" s="166">
        <v>6</v>
      </c>
      <c r="O194" s="166">
        <v>7</v>
      </c>
      <c r="P194" s="166">
        <v>6</v>
      </c>
      <c r="R194" s="165" t="s">
        <v>1373</v>
      </c>
      <c r="S194" s="81" t="s">
        <v>113</v>
      </c>
      <c r="T194" s="349">
        <v>42586</v>
      </c>
      <c r="U194" s="349">
        <v>42691</v>
      </c>
      <c r="W194" s="81" t="s">
        <v>114</v>
      </c>
      <c r="Y194" s="81" t="s">
        <v>115</v>
      </c>
      <c r="Z194" s="81" t="s">
        <v>116</v>
      </c>
      <c r="AA194" s="81" t="s">
        <v>117</v>
      </c>
      <c r="AB194" s="81" t="s">
        <v>218</v>
      </c>
      <c r="AC194" s="166">
        <v>5.0000000745058101E-2</v>
      </c>
      <c r="AD194" s="349">
        <v>42825</v>
      </c>
      <c r="AF194" s="349">
        <v>43190</v>
      </c>
      <c r="AG194" s="81" t="s">
        <v>238</v>
      </c>
      <c r="AH194" s="81" t="s">
        <v>118</v>
      </c>
      <c r="AK194" s="166">
        <v>7</v>
      </c>
      <c r="AM194" s="166">
        <v>0</v>
      </c>
      <c r="AO194" s="166">
        <v>0</v>
      </c>
      <c r="AP194" s="166">
        <v>3</v>
      </c>
      <c r="AQ194" s="166">
        <v>4</v>
      </c>
      <c r="AR194" s="166">
        <v>0</v>
      </c>
      <c r="AS194" s="166">
        <v>-1</v>
      </c>
      <c r="AT194" s="166">
        <v>0</v>
      </c>
      <c r="AU194" s="166">
        <v>0</v>
      </c>
      <c r="AV194" s="166">
        <v>0</v>
      </c>
      <c r="AW194" s="166">
        <v>3</v>
      </c>
      <c r="AX194" s="166">
        <v>4</v>
      </c>
      <c r="AY194" s="166">
        <v>0</v>
      </c>
      <c r="AZ194" s="166">
        <v>0</v>
      </c>
      <c r="BA194" s="166">
        <v>0</v>
      </c>
      <c r="BB194" s="166">
        <v>0</v>
      </c>
      <c r="BC194" s="166">
        <v>0</v>
      </c>
      <c r="BD194" s="166">
        <v>0</v>
      </c>
      <c r="BE194" s="166">
        <v>0</v>
      </c>
      <c r="BF194" s="166">
        <v>0</v>
      </c>
      <c r="BG194" s="166">
        <v>-1</v>
      </c>
      <c r="BH194" s="166">
        <v>0</v>
      </c>
      <c r="BI194" s="166">
        <v>0</v>
      </c>
      <c r="BJ194" s="166">
        <v>0</v>
      </c>
      <c r="BK194" s="166">
        <v>0</v>
      </c>
      <c r="BL194" s="166">
        <v>0</v>
      </c>
      <c r="BM194" s="166">
        <v>0</v>
      </c>
      <c r="BN194" s="166">
        <v>0</v>
      </c>
      <c r="BO194" s="166">
        <v>0</v>
      </c>
      <c r="BP194" s="166">
        <v>0</v>
      </c>
      <c r="BQ194" s="81" t="s">
        <v>1758</v>
      </c>
      <c r="BZ194" s="81" t="s">
        <v>155</v>
      </c>
      <c r="CA194" s="81">
        <v>1</v>
      </c>
      <c r="CC194" s="167">
        <f>N194</f>
        <v>6</v>
      </c>
      <c r="CD194" s="167">
        <v>0</v>
      </c>
      <c r="CE194" s="167">
        <v>0</v>
      </c>
      <c r="CF194" s="167">
        <v>0</v>
      </c>
      <c r="CG194" s="167">
        <v>0</v>
      </c>
      <c r="CH194" s="167">
        <v>0</v>
      </c>
      <c r="CI194" s="167">
        <v>0</v>
      </c>
      <c r="CJ194" s="167">
        <v>0</v>
      </c>
      <c r="CK194" s="167">
        <v>0</v>
      </c>
      <c r="CL194" s="167">
        <v>0</v>
      </c>
      <c r="CM194" s="167">
        <v>0</v>
      </c>
      <c r="CN194" s="167">
        <v>0</v>
      </c>
      <c r="CO194" s="167">
        <v>0</v>
      </c>
      <c r="CP194" s="167">
        <v>0</v>
      </c>
      <c r="CQ194" s="167">
        <v>0</v>
      </c>
      <c r="CR194" s="167">
        <v>0</v>
      </c>
      <c r="CS194" s="167">
        <v>0</v>
      </c>
      <c r="CT194" s="167">
        <v>0</v>
      </c>
      <c r="CU194" s="167">
        <v>0</v>
      </c>
      <c r="CV194" s="167">
        <v>0</v>
      </c>
      <c r="CW194" s="167">
        <v>0</v>
      </c>
      <c r="CX194" s="167">
        <f>SUM(CD194:CH194)</f>
        <v>0</v>
      </c>
      <c r="CY194" s="167">
        <f>SUM(CD194:CM194)</f>
        <v>0</v>
      </c>
    </row>
    <row r="195" spans="1:103" ht="12.75" customHeight="1" x14ac:dyDescent="0.2">
      <c r="A195" s="81">
        <v>6329</v>
      </c>
      <c r="B195" s="165" t="s">
        <v>1924</v>
      </c>
      <c r="C195" s="165" t="s">
        <v>1037</v>
      </c>
      <c r="E195" s="165" t="s">
        <v>3245</v>
      </c>
      <c r="G195" s="81">
        <v>528483</v>
      </c>
      <c r="H195" s="81">
        <v>171459</v>
      </c>
      <c r="I195" s="165" t="s">
        <v>253</v>
      </c>
      <c r="J195" s="349">
        <v>42825</v>
      </c>
      <c r="K195" s="349">
        <v>43111</v>
      </c>
      <c r="L195" s="166">
        <v>1</v>
      </c>
      <c r="M195" s="166">
        <v>3</v>
      </c>
      <c r="N195" s="166">
        <v>2</v>
      </c>
      <c r="O195" s="166">
        <v>3</v>
      </c>
      <c r="P195" s="166">
        <v>2</v>
      </c>
      <c r="R195" s="165" t="s">
        <v>1038</v>
      </c>
      <c r="S195" s="81" t="s">
        <v>113</v>
      </c>
      <c r="T195" s="349">
        <v>42583</v>
      </c>
      <c r="U195" s="349">
        <v>42639</v>
      </c>
      <c r="W195" s="81" t="s">
        <v>114</v>
      </c>
      <c r="Y195" s="81" t="s">
        <v>115</v>
      </c>
      <c r="Z195" s="81" t="s">
        <v>119</v>
      </c>
      <c r="AA195" s="81" t="s">
        <v>117</v>
      </c>
      <c r="AB195" s="81" t="s">
        <v>120</v>
      </c>
      <c r="AC195" s="166">
        <v>1.4000000432133701E-2</v>
      </c>
      <c r="AD195" s="349">
        <v>42825</v>
      </c>
      <c r="AF195" s="349">
        <v>43111</v>
      </c>
      <c r="AG195" s="81" t="s">
        <v>238</v>
      </c>
      <c r="AH195" s="81" t="s">
        <v>118</v>
      </c>
      <c r="AK195" s="166">
        <v>0</v>
      </c>
      <c r="AM195" s="166">
        <v>0</v>
      </c>
      <c r="AO195" s="166">
        <v>0</v>
      </c>
      <c r="AP195" s="166">
        <v>1</v>
      </c>
      <c r="AQ195" s="166">
        <v>1</v>
      </c>
      <c r="AR195" s="166">
        <v>1</v>
      </c>
      <c r="AS195" s="166">
        <v>0</v>
      </c>
      <c r="AT195" s="166">
        <v>-1</v>
      </c>
      <c r="AU195" s="166">
        <v>0</v>
      </c>
      <c r="AV195" s="166">
        <v>0</v>
      </c>
      <c r="AW195" s="166">
        <v>1</v>
      </c>
      <c r="AX195" s="166">
        <v>1</v>
      </c>
      <c r="AY195" s="166">
        <v>1</v>
      </c>
      <c r="AZ195" s="166">
        <v>0</v>
      </c>
      <c r="BA195" s="166">
        <v>0</v>
      </c>
      <c r="BB195" s="166">
        <v>0</v>
      </c>
      <c r="BC195" s="166">
        <v>0</v>
      </c>
      <c r="BD195" s="166">
        <v>0</v>
      </c>
      <c r="BE195" s="166">
        <v>0</v>
      </c>
      <c r="BF195" s="166">
        <v>0</v>
      </c>
      <c r="BG195" s="166">
        <v>0</v>
      </c>
      <c r="BH195" s="166">
        <v>-1</v>
      </c>
      <c r="BI195" s="166">
        <v>0</v>
      </c>
      <c r="BJ195" s="166">
        <v>0</v>
      </c>
      <c r="BK195" s="166">
        <v>0</v>
      </c>
      <c r="BL195" s="166">
        <v>0</v>
      </c>
      <c r="BM195" s="166">
        <v>0</v>
      </c>
      <c r="BN195" s="166">
        <v>0</v>
      </c>
      <c r="BO195" s="166">
        <v>0</v>
      </c>
      <c r="BP195" s="166">
        <v>0</v>
      </c>
      <c r="BQ195" s="81" t="s">
        <v>1757</v>
      </c>
      <c r="BZ195" s="81" t="s">
        <v>155</v>
      </c>
      <c r="CA195" s="81">
        <v>7</v>
      </c>
      <c r="CC195" s="167">
        <f>N195</f>
        <v>2</v>
      </c>
      <c r="CD195" s="167">
        <v>0</v>
      </c>
      <c r="CE195" s="167">
        <v>0</v>
      </c>
      <c r="CF195" s="167">
        <v>0</v>
      </c>
      <c r="CG195" s="167">
        <v>0</v>
      </c>
      <c r="CH195" s="167">
        <v>0</v>
      </c>
      <c r="CI195" s="167">
        <v>0</v>
      </c>
      <c r="CJ195" s="167">
        <v>0</v>
      </c>
      <c r="CK195" s="167">
        <v>0</v>
      </c>
      <c r="CL195" s="167">
        <v>0</v>
      </c>
      <c r="CM195" s="167">
        <v>0</v>
      </c>
      <c r="CN195" s="167">
        <v>0</v>
      </c>
      <c r="CO195" s="167">
        <v>0</v>
      </c>
      <c r="CP195" s="167">
        <v>0</v>
      </c>
      <c r="CQ195" s="167">
        <v>0</v>
      </c>
      <c r="CR195" s="167">
        <v>0</v>
      </c>
      <c r="CS195" s="167">
        <v>0</v>
      </c>
      <c r="CT195" s="167">
        <v>0</v>
      </c>
      <c r="CU195" s="167">
        <v>0</v>
      </c>
      <c r="CV195" s="167">
        <v>0</v>
      </c>
      <c r="CW195" s="167">
        <v>0</v>
      </c>
      <c r="CX195" s="167">
        <f>SUM(CD195:CH195)</f>
        <v>0</v>
      </c>
      <c r="CY195" s="167">
        <f>SUM(CD195:CM195)</f>
        <v>0</v>
      </c>
    </row>
    <row r="196" spans="1:103" ht="12.75" customHeight="1" x14ac:dyDescent="0.2">
      <c r="A196" s="81">
        <v>6361</v>
      </c>
      <c r="B196" s="165" t="s">
        <v>1924</v>
      </c>
      <c r="C196" s="165" t="s">
        <v>1053</v>
      </c>
      <c r="E196" s="165" t="s">
        <v>3246</v>
      </c>
      <c r="G196" s="81">
        <v>527581</v>
      </c>
      <c r="H196" s="81">
        <v>175458</v>
      </c>
      <c r="I196" s="165" t="s">
        <v>256</v>
      </c>
      <c r="J196" s="349">
        <v>42825</v>
      </c>
      <c r="K196" s="349">
        <v>43034</v>
      </c>
      <c r="L196" s="166">
        <v>1</v>
      </c>
      <c r="M196" s="166">
        <v>4</v>
      </c>
      <c r="N196" s="166">
        <v>3</v>
      </c>
      <c r="O196" s="166">
        <v>4</v>
      </c>
      <c r="P196" s="166">
        <v>3</v>
      </c>
      <c r="R196" s="165" t="s">
        <v>1054</v>
      </c>
      <c r="S196" s="81" t="s">
        <v>113</v>
      </c>
      <c r="T196" s="349">
        <v>42606</v>
      </c>
      <c r="U196" s="349">
        <v>42663</v>
      </c>
      <c r="W196" s="81" t="s">
        <v>114</v>
      </c>
      <c r="Y196" s="81" t="s">
        <v>115</v>
      </c>
      <c r="Z196" s="81" t="s">
        <v>398</v>
      </c>
      <c r="AA196" s="81" t="s">
        <v>117</v>
      </c>
      <c r="AB196" s="81" t="s">
        <v>120</v>
      </c>
      <c r="AC196" s="166">
        <v>1.4000000432133701E-2</v>
      </c>
      <c r="AD196" s="349">
        <v>42825</v>
      </c>
      <c r="AF196" s="349">
        <v>43034</v>
      </c>
      <c r="AG196" s="81" t="s">
        <v>238</v>
      </c>
      <c r="AH196" s="81" t="s">
        <v>118</v>
      </c>
      <c r="AK196" s="166">
        <v>0</v>
      </c>
      <c r="AM196" s="166">
        <v>0</v>
      </c>
      <c r="AO196" s="166">
        <v>0</v>
      </c>
      <c r="AP196" s="166">
        <v>1</v>
      </c>
      <c r="AQ196" s="166">
        <v>2</v>
      </c>
      <c r="AR196" s="166">
        <v>1</v>
      </c>
      <c r="AS196" s="166">
        <v>-1</v>
      </c>
      <c r="AT196" s="166">
        <v>0</v>
      </c>
      <c r="AU196" s="166">
        <v>0</v>
      </c>
      <c r="AV196" s="166">
        <v>0</v>
      </c>
      <c r="AW196" s="166">
        <v>1</v>
      </c>
      <c r="AX196" s="166">
        <v>2</v>
      </c>
      <c r="AY196" s="166">
        <v>1</v>
      </c>
      <c r="AZ196" s="166">
        <v>0</v>
      </c>
      <c r="BA196" s="166">
        <v>0</v>
      </c>
      <c r="BB196" s="166">
        <v>0</v>
      </c>
      <c r="BC196" s="166">
        <v>0</v>
      </c>
      <c r="BD196" s="166">
        <v>0</v>
      </c>
      <c r="BE196" s="166">
        <v>0</v>
      </c>
      <c r="BF196" s="166">
        <v>0</v>
      </c>
      <c r="BG196" s="166">
        <v>-1</v>
      </c>
      <c r="BH196" s="166">
        <v>0</v>
      </c>
      <c r="BI196" s="166">
        <v>0</v>
      </c>
      <c r="BJ196" s="166">
        <v>0</v>
      </c>
      <c r="BK196" s="166">
        <v>0</v>
      </c>
      <c r="BL196" s="166">
        <v>0</v>
      </c>
      <c r="BM196" s="166">
        <v>0</v>
      </c>
      <c r="BN196" s="166">
        <v>0</v>
      </c>
      <c r="BO196" s="166">
        <v>0</v>
      </c>
      <c r="BP196" s="166">
        <v>0</v>
      </c>
      <c r="BQ196" s="81" t="s">
        <v>1757</v>
      </c>
      <c r="BZ196" s="81" t="s">
        <v>155</v>
      </c>
      <c r="CA196" s="81">
        <v>7</v>
      </c>
      <c r="CC196" s="167">
        <f>N196</f>
        <v>3</v>
      </c>
      <c r="CD196" s="167">
        <v>0</v>
      </c>
      <c r="CE196" s="167">
        <v>0</v>
      </c>
      <c r="CF196" s="167">
        <v>0</v>
      </c>
      <c r="CG196" s="167">
        <v>0</v>
      </c>
      <c r="CH196" s="167">
        <v>0</v>
      </c>
      <c r="CI196" s="167">
        <v>0</v>
      </c>
      <c r="CJ196" s="167">
        <v>0</v>
      </c>
      <c r="CK196" s="167">
        <v>0</v>
      </c>
      <c r="CL196" s="167">
        <v>0</v>
      </c>
      <c r="CM196" s="167">
        <v>0</v>
      </c>
      <c r="CN196" s="167">
        <v>0</v>
      </c>
      <c r="CO196" s="167">
        <v>0</v>
      </c>
      <c r="CP196" s="167">
        <v>0</v>
      </c>
      <c r="CQ196" s="167">
        <v>0</v>
      </c>
      <c r="CR196" s="167">
        <v>0</v>
      </c>
      <c r="CS196" s="167">
        <v>0</v>
      </c>
      <c r="CT196" s="167">
        <v>0</v>
      </c>
      <c r="CU196" s="167">
        <v>0</v>
      </c>
      <c r="CV196" s="167">
        <v>0</v>
      </c>
      <c r="CW196" s="167">
        <v>0</v>
      </c>
      <c r="CX196" s="167">
        <f>SUM(CD196:CH196)</f>
        <v>0</v>
      </c>
      <c r="CY196" s="167">
        <f>SUM(CD196:CM196)</f>
        <v>0</v>
      </c>
    </row>
    <row r="197" spans="1:103" ht="12.75" customHeight="1" x14ac:dyDescent="0.2">
      <c r="A197" s="81">
        <v>6368</v>
      </c>
      <c r="B197" s="165" t="s">
        <v>1924</v>
      </c>
      <c r="C197" s="165" t="s">
        <v>1057</v>
      </c>
      <c r="E197" s="165" t="s">
        <v>3247</v>
      </c>
      <c r="G197" s="81">
        <v>528557</v>
      </c>
      <c r="H197" s="81">
        <v>172354</v>
      </c>
      <c r="I197" s="165" t="s">
        <v>248</v>
      </c>
      <c r="J197" s="349">
        <v>42773</v>
      </c>
      <c r="K197" s="349">
        <v>43190</v>
      </c>
      <c r="L197" s="166">
        <v>3</v>
      </c>
      <c r="M197" s="166">
        <v>4</v>
      </c>
      <c r="N197" s="166">
        <v>1</v>
      </c>
      <c r="O197" s="166">
        <v>4</v>
      </c>
      <c r="P197" s="166">
        <v>1</v>
      </c>
      <c r="R197" s="165" t="s">
        <v>1058</v>
      </c>
      <c r="S197" s="81" t="s">
        <v>113</v>
      </c>
      <c r="T197" s="349">
        <v>42626</v>
      </c>
      <c r="U197" s="349">
        <v>42682</v>
      </c>
      <c r="W197" s="81" t="s">
        <v>114</v>
      </c>
      <c r="Y197" s="81" t="s">
        <v>115</v>
      </c>
      <c r="Z197" s="81" t="s">
        <v>398</v>
      </c>
      <c r="AA197" s="81" t="s">
        <v>117</v>
      </c>
      <c r="AB197" s="81" t="s">
        <v>220</v>
      </c>
      <c r="AC197" s="166">
        <v>3.4000001847744002E-2</v>
      </c>
      <c r="AD197" s="349">
        <v>42773</v>
      </c>
      <c r="AF197" s="349">
        <v>43190</v>
      </c>
      <c r="AG197" s="81" t="s">
        <v>238</v>
      </c>
      <c r="AH197" s="81" t="s">
        <v>118</v>
      </c>
      <c r="AK197" s="166">
        <v>0</v>
      </c>
      <c r="AM197" s="166">
        <v>0</v>
      </c>
      <c r="AO197" s="166">
        <v>0</v>
      </c>
      <c r="AP197" s="166">
        <v>2</v>
      </c>
      <c r="AQ197" s="166">
        <v>-2</v>
      </c>
      <c r="AR197" s="166">
        <v>1</v>
      </c>
      <c r="AS197" s="166">
        <v>0</v>
      </c>
      <c r="AT197" s="166">
        <v>0</v>
      </c>
      <c r="AU197" s="166">
        <v>0</v>
      </c>
      <c r="AV197" s="166">
        <v>0</v>
      </c>
      <c r="AW197" s="166">
        <v>2</v>
      </c>
      <c r="AX197" s="166">
        <v>-2</v>
      </c>
      <c r="AY197" s="166">
        <v>1</v>
      </c>
      <c r="AZ197" s="166">
        <v>0</v>
      </c>
      <c r="BA197" s="166">
        <v>0</v>
      </c>
      <c r="BB197" s="166">
        <v>0</v>
      </c>
      <c r="BC197" s="166">
        <v>0</v>
      </c>
      <c r="BD197" s="166">
        <v>0</v>
      </c>
      <c r="BE197" s="166">
        <v>0</v>
      </c>
      <c r="BF197" s="166">
        <v>0</v>
      </c>
      <c r="BG197" s="166">
        <v>0</v>
      </c>
      <c r="BH197" s="166">
        <v>0</v>
      </c>
      <c r="BI197" s="166">
        <v>0</v>
      </c>
      <c r="BJ197" s="166">
        <v>0</v>
      </c>
      <c r="BK197" s="166">
        <v>0</v>
      </c>
      <c r="BL197" s="166">
        <v>0</v>
      </c>
      <c r="BM197" s="166">
        <v>0</v>
      </c>
      <c r="BN197" s="166">
        <v>0</v>
      </c>
      <c r="BO197" s="166">
        <v>0</v>
      </c>
      <c r="BP197" s="166">
        <v>0</v>
      </c>
      <c r="BQ197" s="81" t="s">
        <v>1757</v>
      </c>
      <c r="BZ197" s="81" t="s">
        <v>155</v>
      </c>
      <c r="CA197" s="81">
        <v>7</v>
      </c>
      <c r="CC197" s="167">
        <f>N197</f>
        <v>1</v>
      </c>
      <c r="CD197" s="167">
        <v>0</v>
      </c>
      <c r="CE197" s="167">
        <v>0</v>
      </c>
      <c r="CF197" s="167">
        <v>0</v>
      </c>
      <c r="CG197" s="167">
        <v>0</v>
      </c>
      <c r="CH197" s="167">
        <v>0</v>
      </c>
      <c r="CI197" s="167">
        <v>0</v>
      </c>
      <c r="CJ197" s="167">
        <v>0</v>
      </c>
      <c r="CK197" s="167">
        <v>0</v>
      </c>
      <c r="CL197" s="167">
        <v>0</v>
      </c>
      <c r="CM197" s="167">
        <v>0</v>
      </c>
      <c r="CN197" s="167">
        <v>0</v>
      </c>
      <c r="CO197" s="167">
        <v>0</v>
      </c>
      <c r="CP197" s="167">
        <v>0</v>
      </c>
      <c r="CQ197" s="167">
        <v>0</v>
      </c>
      <c r="CR197" s="167">
        <v>0</v>
      </c>
      <c r="CS197" s="167">
        <v>0</v>
      </c>
      <c r="CT197" s="167">
        <v>0</v>
      </c>
      <c r="CU197" s="167">
        <v>0</v>
      </c>
      <c r="CV197" s="167">
        <v>0</v>
      </c>
      <c r="CW197" s="167">
        <v>0</v>
      </c>
      <c r="CX197" s="167">
        <f>SUM(CD197:CH197)</f>
        <v>0</v>
      </c>
      <c r="CY197" s="167">
        <f>SUM(CD197:CM197)</f>
        <v>0</v>
      </c>
    </row>
    <row r="198" spans="1:103" ht="12.75" customHeight="1" x14ac:dyDescent="0.2">
      <c r="A198" s="81">
        <v>6375</v>
      </c>
      <c r="B198" s="165" t="s">
        <v>1924</v>
      </c>
      <c r="C198" s="165" t="s">
        <v>1457</v>
      </c>
      <c r="E198" s="165" t="s">
        <v>3248</v>
      </c>
      <c r="G198" s="81">
        <v>523565</v>
      </c>
      <c r="H198" s="81">
        <v>175816</v>
      </c>
      <c r="I198" s="165" t="s">
        <v>259</v>
      </c>
      <c r="J198" s="349">
        <v>42983</v>
      </c>
      <c r="K198" s="349">
        <v>43190</v>
      </c>
      <c r="L198" s="166">
        <v>0</v>
      </c>
      <c r="M198" s="166">
        <v>1</v>
      </c>
      <c r="N198" s="166">
        <v>1</v>
      </c>
      <c r="O198" s="166">
        <v>1</v>
      </c>
      <c r="P198" s="166">
        <v>1</v>
      </c>
      <c r="R198" s="165" t="s">
        <v>1458</v>
      </c>
      <c r="S198" s="81" t="s">
        <v>270</v>
      </c>
      <c r="T198" s="349">
        <v>42669</v>
      </c>
      <c r="U198" s="349">
        <v>42725</v>
      </c>
      <c r="W198" s="81" t="s">
        <v>114</v>
      </c>
      <c r="Y198" s="81" t="s">
        <v>115</v>
      </c>
      <c r="Z198" s="81" t="s">
        <v>310</v>
      </c>
      <c r="AA198" s="81" t="s">
        <v>117</v>
      </c>
      <c r="AB198" s="81" t="s">
        <v>102</v>
      </c>
      <c r="AC198" s="166">
        <v>7.0000002160668399E-3</v>
      </c>
      <c r="AD198" s="349">
        <v>42983</v>
      </c>
      <c r="AE198" s="81" t="s">
        <v>155</v>
      </c>
      <c r="AF198" s="349">
        <v>43190</v>
      </c>
      <c r="AG198" s="81" t="s">
        <v>238</v>
      </c>
      <c r="AH198" s="81" t="s">
        <v>118</v>
      </c>
      <c r="AK198" s="166">
        <v>0</v>
      </c>
      <c r="AM198" s="166">
        <v>0</v>
      </c>
      <c r="AO198" s="166">
        <v>0</v>
      </c>
      <c r="AP198" s="166">
        <v>0</v>
      </c>
      <c r="AQ198" s="166">
        <v>1</v>
      </c>
      <c r="AR198" s="166">
        <v>0</v>
      </c>
      <c r="AS198" s="166">
        <v>0</v>
      </c>
      <c r="AT198" s="166">
        <v>0</v>
      </c>
      <c r="AU198" s="166">
        <v>0</v>
      </c>
      <c r="AV198" s="166">
        <v>0</v>
      </c>
      <c r="AW198" s="166">
        <v>0</v>
      </c>
      <c r="AX198" s="166">
        <v>1</v>
      </c>
      <c r="AY198" s="166">
        <v>0</v>
      </c>
      <c r="AZ198" s="166">
        <v>0</v>
      </c>
      <c r="BA198" s="166">
        <v>0</v>
      </c>
      <c r="BB198" s="166">
        <v>0</v>
      </c>
      <c r="BC198" s="166">
        <v>0</v>
      </c>
      <c r="BD198" s="166">
        <v>0</v>
      </c>
      <c r="BE198" s="166">
        <v>0</v>
      </c>
      <c r="BF198" s="166">
        <v>0</v>
      </c>
      <c r="BG198" s="166">
        <v>0</v>
      </c>
      <c r="BH198" s="166">
        <v>0</v>
      </c>
      <c r="BI198" s="166">
        <v>0</v>
      </c>
      <c r="BJ198" s="166">
        <v>0</v>
      </c>
      <c r="BK198" s="166">
        <v>0</v>
      </c>
      <c r="BL198" s="166">
        <v>0</v>
      </c>
      <c r="BM198" s="166">
        <v>0</v>
      </c>
      <c r="BN198" s="166">
        <v>0</v>
      </c>
      <c r="BO198" s="166">
        <v>0</v>
      </c>
      <c r="BP198" s="166">
        <v>0</v>
      </c>
      <c r="BQ198" s="81" t="s">
        <v>1758</v>
      </c>
      <c r="BZ198" s="81" t="s">
        <v>155</v>
      </c>
      <c r="CA198" s="81">
        <v>7</v>
      </c>
      <c r="CC198" s="167">
        <f>N198</f>
        <v>1</v>
      </c>
      <c r="CD198" s="167">
        <v>0</v>
      </c>
      <c r="CE198" s="167">
        <v>0</v>
      </c>
      <c r="CF198" s="167">
        <v>0</v>
      </c>
      <c r="CG198" s="167">
        <v>0</v>
      </c>
      <c r="CH198" s="167">
        <v>0</v>
      </c>
      <c r="CI198" s="167">
        <v>0</v>
      </c>
      <c r="CJ198" s="167">
        <v>0</v>
      </c>
      <c r="CK198" s="167">
        <v>0</v>
      </c>
      <c r="CL198" s="167">
        <v>0</v>
      </c>
      <c r="CM198" s="167">
        <v>0</v>
      </c>
      <c r="CN198" s="167">
        <v>0</v>
      </c>
      <c r="CO198" s="167">
        <v>0</v>
      </c>
      <c r="CP198" s="167">
        <v>0</v>
      </c>
      <c r="CQ198" s="167">
        <v>0</v>
      </c>
      <c r="CR198" s="167">
        <v>0</v>
      </c>
      <c r="CS198" s="167">
        <v>0</v>
      </c>
      <c r="CT198" s="167">
        <v>0</v>
      </c>
      <c r="CU198" s="167">
        <v>0</v>
      </c>
      <c r="CV198" s="167">
        <v>0</v>
      </c>
      <c r="CW198" s="167">
        <v>0</v>
      </c>
      <c r="CX198" s="167">
        <f>SUM(CD198:CH198)</f>
        <v>0</v>
      </c>
      <c r="CY198" s="167">
        <f>SUM(CD198:CM198)</f>
        <v>0</v>
      </c>
    </row>
    <row r="199" spans="1:103" ht="12.75" customHeight="1" x14ac:dyDescent="0.2">
      <c r="A199" s="81">
        <v>6377</v>
      </c>
      <c r="B199" s="165" t="s">
        <v>1924</v>
      </c>
      <c r="C199" s="165" t="s">
        <v>982</v>
      </c>
      <c r="E199" s="165" t="s">
        <v>3249</v>
      </c>
      <c r="G199" s="81">
        <v>526516</v>
      </c>
      <c r="H199" s="81">
        <v>174135</v>
      </c>
      <c r="I199" s="165" t="s">
        <v>260</v>
      </c>
      <c r="J199" s="349">
        <v>42773</v>
      </c>
      <c r="K199" s="349">
        <v>43077</v>
      </c>
      <c r="L199" s="166">
        <v>1</v>
      </c>
      <c r="M199" s="166">
        <v>2</v>
      </c>
      <c r="N199" s="166">
        <v>1</v>
      </c>
      <c r="O199" s="166">
        <v>2</v>
      </c>
      <c r="P199" s="166">
        <v>1</v>
      </c>
      <c r="R199" s="165" t="s">
        <v>983</v>
      </c>
      <c r="S199" s="81" t="s">
        <v>113</v>
      </c>
      <c r="T199" s="349">
        <v>42458</v>
      </c>
      <c r="U199" s="349">
        <v>42573</v>
      </c>
      <c r="W199" s="81" t="s">
        <v>114</v>
      </c>
      <c r="Y199" s="81" t="s">
        <v>115</v>
      </c>
      <c r="Z199" s="81" t="s">
        <v>119</v>
      </c>
      <c r="AA199" s="81" t="s">
        <v>117</v>
      </c>
      <c r="AB199" s="81" t="s">
        <v>120</v>
      </c>
      <c r="AC199" s="166">
        <v>4.1000001132488299E-2</v>
      </c>
      <c r="AD199" s="349">
        <v>42773</v>
      </c>
      <c r="AF199" s="349">
        <v>43077</v>
      </c>
      <c r="AG199" s="81" t="s">
        <v>238</v>
      </c>
      <c r="AH199" s="81" t="s">
        <v>118</v>
      </c>
      <c r="AK199" s="166">
        <v>0</v>
      </c>
      <c r="AM199" s="166">
        <v>0</v>
      </c>
      <c r="AO199" s="166">
        <v>0</v>
      </c>
      <c r="AP199" s="166">
        <v>0</v>
      </c>
      <c r="AQ199" s="166">
        <v>0</v>
      </c>
      <c r="AR199" s="166">
        <v>2</v>
      </c>
      <c r="AS199" s="166">
        <v>0</v>
      </c>
      <c r="AT199" s="166">
        <v>-1</v>
      </c>
      <c r="AU199" s="166">
        <v>0</v>
      </c>
      <c r="AV199" s="166">
        <v>0</v>
      </c>
      <c r="AW199" s="166">
        <v>0</v>
      </c>
      <c r="AX199" s="166">
        <v>0</v>
      </c>
      <c r="AY199" s="166">
        <v>2</v>
      </c>
      <c r="AZ199" s="166">
        <v>0</v>
      </c>
      <c r="BA199" s="166">
        <v>0</v>
      </c>
      <c r="BB199" s="166">
        <v>0</v>
      </c>
      <c r="BC199" s="166">
        <v>0</v>
      </c>
      <c r="BD199" s="166">
        <v>0</v>
      </c>
      <c r="BE199" s="166">
        <v>0</v>
      </c>
      <c r="BF199" s="166">
        <v>0</v>
      </c>
      <c r="BG199" s="166">
        <v>0</v>
      </c>
      <c r="BH199" s="166">
        <v>-1</v>
      </c>
      <c r="BI199" s="166">
        <v>0</v>
      </c>
      <c r="BJ199" s="166">
        <v>0</v>
      </c>
      <c r="BK199" s="166">
        <v>0</v>
      </c>
      <c r="BL199" s="166">
        <v>0</v>
      </c>
      <c r="BM199" s="166">
        <v>0</v>
      </c>
      <c r="BN199" s="166">
        <v>0</v>
      </c>
      <c r="BO199" s="166">
        <v>0</v>
      </c>
      <c r="BP199" s="166">
        <v>0</v>
      </c>
      <c r="BQ199" s="81" t="s">
        <v>1758</v>
      </c>
      <c r="BZ199" s="81" t="s">
        <v>155</v>
      </c>
      <c r="CA199" s="81">
        <v>7</v>
      </c>
      <c r="CC199" s="167">
        <f>N199</f>
        <v>1</v>
      </c>
      <c r="CD199" s="167">
        <v>0</v>
      </c>
      <c r="CE199" s="167">
        <v>0</v>
      </c>
      <c r="CF199" s="167">
        <v>0</v>
      </c>
      <c r="CG199" s="167">
        <v>0</v>
      </c>
      <c r="CH199" s="167">
        <v>0</v>
      </c>
      <c r="CI199" s="167">
        <v>0</v>
      </c>
      <c r="CJ199" s="167">
        <v>0</v>
      </c>
      <c r="CK199" s="167">
        <v>0</v>
      </c>
      <c r="CL199" s="167">
        <v>0</v>
      </c>
      <c r="CM199" s="167">
        <v>0</v>
      </c>
      <c r="CN199" s="167">
        <v>0</v>
      </c>
      <c r="CO199" s="167">
        <v>0</v>
      </c>
      <c r="CP199" s="167">
        <v>0</v>
      </c>
      <c r="CQ199" s="167">
        <v>0</v>
      </c>
      <c r="CR199" s="167">
        <v>0</v>
      </c>
      <c r="CS199" s="167">
        <v>0</v>
      </c>
      <c r="CT199" s="167">
        <v>0</v>
      </c>
      <c r="CU199" s="167">
        <v>0</v>
      </c>
      <c r="CV199" s="167">
        <v>0</v>
      </c>
      <c r="CW199" s="167">
        <v>0</v>
      </c>
      <c r="CX199" s="167">
        <f>SUM(CD199:CH199)</f>
        <v>0</v>
      </c>
      <c r="CY199" s="167">
        <f>SUM(CD199:CM199)</f>
        <v>0</v>
      </c>
    </row>
    <row r="200" spans="1:103" ht="12.75" customHeight="1" x14ac:dyDescent="0.2">
      <c r="A200" s="81">
        <v>6378</v>
      </c>
      <c r="B200" s="165" t="s">
        <v>1924</v>
      </c>
      <c r="C200" s="165" t="s">
        <v>1039</v>
      </c>
      <c r="E200" s="165" t="s">
        <v>3250</v>
      </c>
      <c r="G200" s="81">
        <v>528832</v>
      </c>
      <c r="H200" s="81">
        <v>172503</v>
      </c>
      <c r="I200" s="165" t="s">
        <v>248</v>
      </c>
      <c r="J200" s="349">
        <v>42825</v>
      </c>
      <c r="K200" s="349">
        <v>43190</v>
      </c>
      <c r="L200" s="166">
        <v>2</v>
      </c>
      <c r="M200" s="166">
        <v>1</v>
      </c>
      <c r="N200" s="166">
        <v>-1</v>
      </c>
      <c r="O200" s="166">
        <v>1</v>
      </c>
      <c r="P200" s="166">
        <v>-1</v>
      </c>
      <c r="R200" s="165" t="s">
        <v>1040</v>
      </c>
      <c r="S200" s="81" t="s">
        <v>113</v>
      </c>
      <c r="T200" s="349">
        <v>42628</v>
      </c>
      <c r="U200" s="349">
        <v>42684</v>
      </c>
      <c r="W200" s="81" t="s">
        <v>114</v>
      </c>
      <c r="Y200" s="81" t="s">
        <v>115</v>
      </c>
      <c r="Z200" s="81" t="s">
        <v>398</v>
      </c>
      <c r="AA200" s="81" t="s">
        <v>117</v>
      </c>
      <c r="AB200" s="81" t="s">
        <v>336</v>
      </c>
      <c r="AC200" s="166">
        <v>3.70000004768372E-2</v>
      </c>
      <c r="AD200" s="349">
        <v>42825</v>
      </c>
      <c r="AF200" s="349">
        <v>43190</v>
      </c>
      <c r="AG200" s="81" t="s">
        <v>238</v>
      </c>
      <c r="AH200" s="81" t="s">
        <v>118</v>
      </c>
      <c r="AK200" s="166">
        <v>0</v>
      </c>
      <c r="AM200" s="166">
        <v>0</v>
      </c>
      <c r="AO200" s="166">
        <v>0</v>
      </c>
      <c r="AP200" s="166">
        <v>0</v>
      </c>
      <c r="AQ200" s="166">
        <v>-1</v>
      </c>
      <c r="AR200" s="166">
        <v>0</v>
      </c>
      <c r="AS200" s="166">
        <v>-1</v>
      </c>
      <c r="AT200" s="166">
        <v>1</v>
      </c>
      <c r="AU200" s="166">
        <v>0</v>
      </c>
      <c r="AV200" s="166">
        <v>0</v>
      </c>
      <c r="AW200" s="166">
        <v>0</v>
      </c>
      <c r="AX200" s="166">
        <v>-1</v>
      </c>
      <c r="AY200" s="166">
        <v>0</v>
      </c>
      <c r="AZ200" s="166">
        <v>-1</v>
      </c>
      <c r="BA200" s="166">
        <v>0</v>
      </c>
      <c r="BB200" s="166">
        <v>0</v>
      </c>
      <c r="BC200" s="166">
        <v>0</v>
      </c>
      <c r="BD200" s="166">
        <v>0</v>
      </c>
      <c r="BE200" s="166">
        <v>0</v>
      </c>
      <c r="BF200" s="166">
        <v>0</v>
      </c>
      <c r="BG200" s="166">
        <v>0</v>
      </c>
      <c r="BH200" s="166">
        <v>1</v>
      </c>
      <c r="BI200" s="166">
        <v>0</v>
      </c>
      <c r="BJ200" s="166">
        <v>0</v>
      </c>
      <c r="BK200" s="166">
        <v>0</v>
      </c>
      <c r="BL200" s="166">
        <v>0</v>
      </c>
      <c r="BM200" s="166">
        <v>0</v>
      </c>
      <c r="BN200" s="166">
        <v>0</v>
      </c>
      <c r="BO200" s="166">
        <v>0</v>
      </c>
      <c r="BP200" s="166">
        <v>0</v>
      </c>
      <c r="BQ200" s="81" t="s">
        <v>1757</v>
      </c>
      <c r="BZ200" s="81" t="s">
        <v>155</v>
      </c>
      <c r="CA200" s="81">
        <v>7</v>
      </c>
      <c r="CC200" s="167">
        <f>N200</f>
        <v>-1</v>
      </c>
      <c r="CD200" s="167">
        <v>0</v>
      </c>
      <c r="CE200" s="167">
        <v>0</v>
      </c>
      <c r="CF200" s="167">
        <v>0</v>
      </c>
      <c r="CG200" s="167">
        <v>0</v>
      </c>
      <c r="CH200" s="167">
        <v>0</v>
      </c>
      <c r="CI200" s="167">
        <v>0</v>
      </c>
      <c r="CJ200" s="167">
        <v>0</v>
      </c>
      <c r="CK200" s="167">
        <v>0</v>
      </c>
      <c r="CL200" s="167">
        <v>0</v>
      </c>
      <c r="CM200" s="167">
        <v>0</v>
      </c>
      <c r="CN200" s="167">
        <v>0</v>
      </c>
      <c r="CO200" s="167">
        <v>0</v>
      </c>
      <c r="CP200" s="167">
        <v>0</v>
      </c>
      <c r="CQ200" s="167">
        <v>0</v>
      </c>
      <c r="CR200" s="167">
        <v>0</v>
      </c>
      <c r="CS200" s="167">
        <v>0</v>
      </c>
      <c r="CT200" s="167">
        <v>0</v>
      </c>
      <c r="CU200" s="167">
        <v>0</v>
      </c>
      <c r="CV200" s="167">
        <v>0</v>
      </c>
      <c r="CW200" s="167">
        <v>0</v>
      </c>
      <c r="CX200" s="167">
        <f>SUM(CD200:CH200)</f>
        <v>0</v>
      </c>
      <c r="CY200" s="167">
        <f>SUM(CD200:CM200)</f>
        <v>0</v>
      </c>
    </row>
    <row r="201" spans="1:103" ht="12.75" customHeight="1" x14ac:dyDescent="0.2">
      <c r="A201" s="81">
        <v>6380</v>
      </c>
      <c r="B201" s="165" t="s">
        <v>1924</v>
      </c>
      <c r="C201" s="165" t="s">
        <v>1633</v>
      </c>
      <c r="E201" s="165" t="s">
        <v>3251</v>
      </c>
      <c r="G201" s="81">
        <v>528507</v>
      </c>
      <c r="H201" s="81">
        <v>175700</v>
      </c>
      <c r="I201" s="165" t="s">
        <v>256</v>
      </c>
      <c r="J201" s="349">
        <v>42866</v>
      </c>
      <c r="K201" s="349">
        <v>43133</v>
      </c>
      <c r="L201" s="166">
        <v>1</v>
      </c>
      <c r="M201" s="166">
        <v>2</v>
      </c>
      <c r="N201" s="166">
        <v>1</v>
      </c>
      <c r="O201" s="166">
        <v>2</v>
      </c>
      <c r="P201" s="166">
        <v>1</v>
      </c>
      <c r="R201" s="165" t="s">
        <v>1634</v>
      </c>
      <c r="S201" s="81" t="s">
        <v>113</v>
      </c>
      <c r="T201" s="349">
        <v>42776</v>
      </c>
      <c r="U201" s="349">
        <v>42832</v>
      </c>
      <c r="V201" s="81" t="s">
        <v>155</v>
      </c>
      <c r="W201" s="81" t="s">
        <v>114</v>
      </c>
      <c r="Y201" s="81" t="s">
        <v>115</v>
      </c>
      <c r="Z201" s="81" t="s">
        <v>398</v>
      </c>
      <c r="AA201" s="81" t="s">
        <v>117</v>
      </c>
      <c r="AB201" s="81" t="s">
        <v>120</v>
      </c>
      <c r="AC201" s="166">
        <v>1.09999999403954E-2</v>
      </c>
      <c r="AD201" s="349">
        <v>42866</v>
      </c>
      <c r="AE201" s="81" t="s">
        <v>155</v>
      </c>
      <c r="AF201" s="349">
        <v>43133</v>
      </c>
      <c r="AG201" s="81" t="s">
        <v>238</v>
      </c>
      <c r="AH201" s="81" t="s">
        <v>118</v>
      </c>
      <c r="AK201" s="166">
        <v>0</v>
      </c>
      <c r="AM201" s="166">
        <v>0</v>
      </c>
      <c r="AO201" s="166">
        <v>0</v>
      </c>
      <c r="AP201" s="166">
        <v>0</v>
      </c>
      <c r="AQ201" s="166">
        <v>1</v>
      </c>
      <c r="AR201" s="166">
        <v>1</v>
      </c>
      <c r="AS201" s="166">
        <v>-1</v>
      </c>
      <c r="AT201" s="166">
        <v>0</v>
      </c>
      <c r="AU201" s="166">
        <v>0</v>
      </c>
      <c r="AV201" s="166">
        <v>0</v>
      </c>
      <c r="AW201" s="166">
        <v>0</v>
      </c>
      <c r="AX201" s="166">
        <v>1</v>
      </c>
      <c r="AY201" s="166">
        <v>1</v>
      </c>
      <c r="AZ201" s="166">
        <v>0</v>
      </c>
      <c r="BA201" s="166">
        <v>0</v>
      </c>
      <c r="BB201" s="166">
        <v>0</v>
      </c>
      <c r="BC201" s="166">
        <v>0</v>
      </c>
      <c r="BD201" s="166">
        <v>0</v>
      </c>
      <c r="BE201" s="166">
        <v>0</v>
      </c>
      <c r="BF201" s="166">
        <v>0</v>
      </c>
      <c r="BG201" s="166">
        <v>-1</v>
      </c>
      <c r="BH201" s="166">
        <v>0</v>
      </c>
      <c r="BI201" s="166">
        <v>0</v>
      </c>
      <c r="BJ201" s="166">
        <v>0</v>
      </c>
      <c r="BK201" s="166">
        <v>0</v>
      </c>
      <c r="BL201" s="166">
        <v>0</v>
      </c>
      <c r="BM201" s="166">
        <v>0</v>
      </c>
      <c r="BN201" s="166">
        <v>0</v>
      </c>
      <c r="BO201" s="166">
        <v>0</v>
      </c>
      <c r="BP201" s="166">
        <v>0</v>
      </c>
      <c r="BQ201" s="81" t="s">
        <v>1757</v>
      </c>
      <c r="BZ201" s="81" t="s">
        <v>155</v>
      </c>
      <c r="CA201" s="81">
        <v>7</v>
      </c>
      <c r="CC201" s="167">
        <f>N201</f>
        <v>1</v>
      </c>
      <c r="CD201" s="167">
        <v>0</v>
      </c>
      <c r="CE201" s="167">
        <v>0</v>
      </c>
      <c r="CF201" s="167">
        <v>0</v>
      </c>
      <c r="CG201" s="167">
        <v>0</v>
      </c>
      <c r="CH201" s="167">
        <v>0</v>
      </c>
      <c r="CI201" s="167">
        <v>0</v>
      </c>
      <c r="CJ201" s="167">
        <v>0</v>
      </c>
      <c r="CK201" s="167">
        <v>0</v>
      </c>
      <c r="CL201" s="167">
        <v>0</v>
      </c>
      <c r="CM201" s="167">
        <v>0</v>
      </c>
      <c r="CN201" s="167">
        <v>0</v>
      </c>
      <c r="CO201" s="167">
        <v>0</v>
      </c>
      <c r="CP201" s="167">
        <v>0</v>
      </c>
      <c r="CQ201" s="167">
        <v>0</v>
      </c>
      <c r="CR201" s="167">
        <v>0</v>
      </c>
      <c r="CS201" s="167">
        <v>0</v>
      </c>
      <c r="CT201" s="167">
        <v>0</v>
      </c>
      <c r="CU201" s="167">
        <v>0</v>
      </c>
      <c r="CV201" s="167">
        <v>0</v>
      </c>
      <c r="CW201" s="167">
        <v>0</v>
      </c>
      <c r="CX201" s="167">
        <f>SUM(CD201:CH201)</f>
        <v>0</v>
      </c>
      <c r="CY201" s="167">
        <f>SUM(CD201:CM201)</f>
        <v>0</v>
      </c>
    </row>
    <row r="202" spans="1:103" ht="12.75" customHeight="1" x14ac:dyDescent="0.2">
      <c r="A202" s="81">
        <v>6382</v>
      </c>
      <c r="B202" s="165" t="s">
        <v>1924</v>
      </c>
      <c r="C202" s="165" t="s">
        <v>1065</v>
      </c>
      <c r="E202" s="165" t="s">
        <v>3252</v>
      </c>
      <c r="G202" s="81">
        <v>527407</v>
      </c>
      <c r="H202" s="81">
        <v>176330</v>
      </c>
      <c r="I202" s="165" t="s">
        <v>241</v>
      </c>
      <c r="J202" s="349">
        <v>42825</v>
      </c>
      <c r="K202" s="349">
        <v>43068</v>
      </c>
      <c r="L202" s="166">
        <v>1</v>
      </c>
      <c r="M202" s="166">
        <v>2</v>
      </c>
      <c r="N202" s="166">
        <v>1</v>
      </c>
      <c r="O202" s="166">
        <v>3</v>
      </c>
      <c r="P202" s="166">
        <v>2</v>
      </c>
      <c r="R202" s="165" t="s">
        <v>1066</v>
      </c>
      <c r="S202" s="81" t="s">
        <v>113</v>
      </c>
      <c r="T202" s="349">
        <v>42654</v>
      </c>
      <c r="U202" s="349">
        <v>42710</v>
      </c>
      <c r="W202" s="81" t="s">
        <v>114</v>
      </c>
      <c r="Y202" s="81" t="s">
        <v>115</v>
      </c>
      <c r="Z202" s="81" t="s">
        <v>398</v>
      </c>
      <c r="AA202" s="81" t="s">
        <v>117</v>
      </c>
      <c r="AB202" s="81" t="s">
        <v>220</v>
      </c>
      <c r="AC202" s="166">
        <v>4.0000001899898104E-3</v>
      </c>
      <c r="AD202" s="349">
        <v>42825</v>
      </c>
      <c r="AF202" s="349">
        <v>43068</v>
      </c>
      <c r="AG202" s="81" t="s">
        <v>238</v>
      </c>
      <c r="AH202" s="81" t="s">
        <v>118</v>
      </c>
      <c r="AK202" s="166">
        <v>0</v>
      </c>
      <c r="AM202" s="166">
        <v>0</v>
      </c>
      <c r="AO202" s="166">
        <v>0</v>
      </c>
      <c r="AP202" s="166">
        <v>2</v>
      </c>
      <c r="AQ202" s="166">
        <v>0</v>
      </c>
      <c r="AR202" s="166">
        <v>-1</v>
      </c>
      <c r="AS202" s="166">
        <v>0</v>
      </c>
      <c r="AT202" s="166">
        <v>0</v>
      </c>
      <c r="AU202" s="166">
        <v>0</v>
      </c>
      <c r="AV202" s="166">
        <v>0</v>
      </c>
      <c r="AW202" s="166">
        <v>2</v>
      </c>
      <c r="AX202" s="166">
        <v>0</v>
      </c>
      <c r="AY202" s="166">
        <v>-1</v>
      </c>
      <c r="AZ202" s="166">
        <v>0</v>
      </c>
      <c r="BA202" s="166">
        <v>0</v>
      </c>
      <c r="BB202" s="166">
        <v>0</v>
      </c>
      <c r="BC202" s="166">
        <v>0</v>
      </c>
      <c r="BD202" s="166">
        <v>0</v>
      </c>
      <c r="BE202" s="166">
        <v>0</v>
      </c>
      <c r="BF202" s="166">
        <v>0</v>
      </c>
      <c r="BG202" s="166">
        <v>0</v>
      </c>
      <c r="BH202" s="166">
        <v>0</v>
      </c>
      <c r="BI202" s="166">
        <v>0</v>
      </c>
      <c r="BJ202" s="166">
        <v>0</v>
      </c>
      <c r="BK202" s="166">
        <v>0</v>
      </c>
      <c r="BL202" s="166">
        <v>0</v>
      </c>
      <c r="BM202" s="166">
        <v>0</v>
      </c>
      <c r="BN202" s="166">
        <v>0</v>
      </c>
      <c r="BO202" s="166">
        <v>0</v>
      </c>
      <c r="BP202" s="166">
        <v>0</v>
      </c>
      <c r="BQ202" s="81" t="s">
        <v>1757</v>
      </c>
      <c r="BZ202" s="81" t="s">
        <v>155</v>
      </c>
      <c r="CA202" s="81">
        <v>7</v>
      </c>
      <c r="CC202" s="167">
        <f>N202</f>
        <v>1</v>
      </c>
      <c r="CD202" s="167">
        <v>0</v>
      </c>
      <c r="CE202" s="167">
        <v>0</v>
      </c>
      <c r="CF202" s="167">
        <v>0</v>
      </c>
      <c r="CG202" s="167">
        <v>0</v>
      </c>
      <c r="CH202" s="167">
        <v>0</v>
      </c>
      <c r="CI202" s="167">
        <v>0</v>
      </c>
      <c r="CJ202" s="167">
        <v>0</v>
      </c>
      <c r="CK202" s="167">
        <v>0</v>
      </c>
      <c r="CL202" s="167">
        <v>0</v>
      </c>
      <c r="CM202" s="167">
        <v>0</v>
      </c>
      <c r="CN202" s="167">
        <v>0</v>
      </c>
      <c r="CO202" s="167">
        <v>0</v>
      </c>
      <c r="CP202" s="167">
        <v>0</v>
      </c>
      <c r="CQ202" s="167">
        <v>0</v>
      </c>
      <c r="CR202" s="167">
        <v>0</v>
      </c>
      <c r="CS202" s="167">
        <v>0</v>
      </c>
      <c r="CT202" s="167">
        <v>0</v>
      </c>
      <c r="CU202" s="167">
        <v>0</v>
      </c>
      <c r="CV202" s="167">
        <v>0</v>
      </c>
      <c r="CW202" s="167">
        <v>0</v>
      </c>
      <c r="CX202" s="167">
        <f>SUM(CD202:CH202)</f>
        <v>0</v>
      </c>
      <c r="CY202" s="167">
        <f>SUM(CD202:CM202)</f>
        <v>0</v>
      </c>
    </row>
    <row r="203" spans="1:103" ht="12.75" customHeight="1" x14ac:dyDescent="0.2">
      <c r="A203" s="81">
        <v>6383</v>
      </c>
      <c r="B203" s="165" t="s">
        <v>1924</v>
      </c>
      <c r="C203" s="165" t="s">
        <v>1061</v>
      </c>
      <c r="E203" s="165" t="s">
        <v>3253</v>
      </c>
      <c r="G203" s="81">
        <v>528332</v>
      </c>
      <c r="H203" s="81">
        <v>175360</v>
      </c>
      <c r="I203" s="165" t="s">
        <v>256</v>
      </c>
      <c r="J203" s="349">
        <v>42825</v>
      </c>
      <c r="K203" s="349">
        <v>43190</v>
      </c>
      <c r="L203" s="166">
        <v>2</v>
      </c>
      <c r="M203" s="166">
        <v>1</v>
      </c>
      <c r="N203" s="166">
        <v>-1</v>
      </c>
      <c r="O203" s="166">
        <v>1</v>
      </c>
      <c r="P203" s="166">
        <v>-1</v>
      </c>
      <c r="R203" s="165" t="s">
        <v>1062</v>
      </c>
      <c r="S203" s="81" t="s">
        <v>113</v>
      </c>
      <c r="T203" s="349">
        <v>42655</v>
      </c>
      <c r="U203" s="349">
        <v>42711</v>
      </c>
      <c r="W203" s="81" t="s">
        <v>114</v>
      </c>
      <c r="Y203" s="81" t="s">
        <v>115</v>
      </c>
      <c r="Z203" s="81" t="s">
        <v>119</v>
      </c>
      <c r="AA203" s="81" t="s">
        <v>117</v>
      </c>
      <c r="AB203" s="81" t="s">
        <v>336</v>
      </c>
      <c r="AC203" s="166">
        <v>1.09999999403954E-2</v>
      </c>
      <c r="AD203" s="349">
        <v>42825</v>
      </c>
      <c r="AF203" s="349">
        <v>43190</v>
      </c>
      <c r="AG203" s="81" t="s">
        <v>238</v>
      </c>
      <c r="AH203" s="81" t="s">
        <v>118</v>
      </c>
      <c r="AK203" s="166">
        <v>0</v>
      </c>
      <c r="AM203" s="166">
        <v>0</v>
      </c>
      <c r="AO203" s="166">
        <v>0</v>
      </c>
      <c r="AP203" s="166">
        <v>-1</v>
      </c>
      <c r="AQ203" s="166">
        <v>-1</v>
      </c>
      <c r="AR203" s="166">
        <v>1</v>
      </c>
      <c r="AS203" s="166">
        <v>0</v>
      </c>
      <c r="AT203" s="166">
        <v>0</v>
      </c>
      <c r="AU203" s="166">
        <v>0</v>
      </c>
      <c r="AV203" s="166">
        <v>0</v>
      </c>
      <c r="AW203" s="166">
        <v>-1</v>
      </c>
      <c r="AX203" s="166">
        <v>-1</v>
      </c>
      <c r="AY203" s="166">
        <v>0</v>
      </c>
      <c r="AZ203" s="166">
        <v>0</v>
      </c>
      <c r="BA203" s="166">
        <v>0</v>
      </c>
      <c r="BB203" s="166">
        <v>0</v>
      </c>
      <c r="BC203" s="166">
        <v>0</v>
      </c>
      <c r="BD203" s="166">
        <v>0</v>
      </c>
      <c r="BE203" s="166">
        <v>0</v>
      </c>
      <c r="BF203" s="166">
        <v>1</v>
      </c>
      <c r="BG203" s="166">
        <v>0</v>
      </c>
      <c r="BH203" s="166">
        <v>0</v>
      </c>
      <c r="BI203" s="166">
        <v>0</v>
      </c>
      <c r="BJ203" s="166">
        <v>0</v>
      </c>
      <c r="BK203" s="166">
        <v>0</v>
      </c>
      <c r="BL203" s="166">
        <v>0</v>
      </c>
      <c r="BM203" s="166">
        <v>0</v>
      </c>
      <c r="BN203" s="166">
        <v>0</v>
      </c>
      <c r="BO203" s="166">
        <v>0</v>
      </c>
      <c r="BP203" s="166">
        <v>0</v>
      </c>
      <c r="BQ203" s="81" t="s">
        <v>1757</v>
      </c>
      <c r="BZ203" s="81" t="s">
        <v>155</v>
      </c>
      <c r="CA203" s="81">
        <v>7</v>
      </c>
      <c r="CC203" s="167">
        <f>N203</f>
        <v>-1</v>
      </c>
      <c r="CD203" s="167">
        <v>0</v>
      </c>
      <c r="CE203" s="167">
        <v>0</v>
      </c>
      <c r="CF203" s="167">
        <v>0</v>
      </c>
      <c r="CG203" s="167">
        <v>0</v>
      </c>
      <c r="CH203" s="167">
        <v>0</v>
      </c>
      <c r="CI203" s="167">
        <v>0</v>
      </c>
      <c r="CJ203" s="167">
        <v>0</v>
      </c>
      <c r="CK203" s="167">
        <v>0</v>
      </c>
      <c r="CL203" s="167">
        <v>0</v>
      </c>
      <c r="CM203" s="167">
        <v>0</v>
      </c>
      <c r="CN203" s="167">
        <v>0</v>
      </c>
      <c r="CO203" s="167">
        <v>0</v>
      </c>
      <c r="CP203" s="167">
        <v>0</v>
      </c>
      <c r="CQ203" s="167">
        <v>0</v>
      </c>
      <c r="CR203" s="167">
        <v>0</v>
      </c>
      <c r="CS203" s="167">
        <v>0</v>
      </c>
      <c r="CT203" s="167">
        <v>0</v>
      </c>
      <c r="CU203" s="167">
        <v>0</v>
      </c>
      <c r="CV203" s="167">
        <v>0</v>
      </c>
      <c r="CW203" s="167">
        <v>0</v>
      </c>
      <c r="CX203" s="167">
        <f>SUM(CD203:CH203)</f>
        <v>0</v>
      </c>
      <c r="CY203" s="167">
        <f>SUM(CD203:CM203)</f>
        <v>0</v>
      </c>
    </row>
    <row r="204" spans="1:103" ht="12.75" customHeight="1" x14ac:dyDescent="0.2">
      <c r="A204" s="81">
        <v>6385</v>
      </c>
      <c r="B204" s="165" t="s">
        <v>1924</v>
      </c>
      <c r="C204" s="165" t="s">
        <v>1063</v>
      </c>
      <c r="E204" s="165" t="s">
        <v>3254</v>
      </c>
      <c r="G204" s="81">
        <v>528563</v>
      </c>
      <c r="H204" s="81">
        <v>173040</v>
      </c>
      <c r="I204" s="165" t="s">
        <v>254</v>
      </c>
      <c r="J204" s="349">
        <v>42825</v>
      </c>
      <c r="K204" s="349">
        <v>43173</v>
      </c>
      <c r="L204" s="166">
        <v>0</v>
      </c>
      <c r="M204" s="166">
        <v>1</v>
      </c>
      <c r="N204" s="166">
        <v>1</v>
      </c>
      <c r="O204" s="166">
        <v>2</v>
      </c>
      <c r="P204" s="166">
        <v>1</v>
      </c>
      <c r="R204" s="165" t="s">
        <v>1064</v>
      </c>
      <c r="S204" s="81" t="s">
        <v>113</v>
      </c>
      <c r="T204" s="349">
        <v>42653</v>
      </c>
      <c r="U204" s="349">
        <v>42719</v>
      </c>
      <c r="W204" s="81" t="s">
        <v>114</v>
      </c>
      <c r="Y204" s="81" t="s">
        <v>115</v>
      </c>
      <c r="Z204" s="81" t="s">
        <v>398</v>
      </c>
      <c r="AA204" s="81" t="s">
        <v>117</v>
      </c>
      <c r="AB204" s="81" t="s">
        <v>218</v>
      </c>
      <c r="AC204" s="166">
        <v>4.9999998882412902E-3</v>
      </c>
      <c r="AD204" s="349">
        <v>42825</v>
      </c>
      <c r="AF204" s="349">
        <v>43173</v>
      </c>
      <c r="AG204" s="81" t="s">
        <v>238</v>
      </c>
      <c r="AH204" s="81" t="s">
        <v>118</v>
      </c>
      <c r="AK204" s="166">
        <v>0</v>
      </c>
      <c r="AM204" s="166">
        <v>0</v>
      </c>
      <c r="AO204" s="166">
        <v>0</v>
      </c>
      <c r="AP204" s="166">
        <v>1</v>
      </c>
      <c r="AQ204" s="166">
        <v>0</v>
      </c>
      <c r="AR204" s="166">
        <v>0</v>
      </c>
      <c r="AS204" s="166">
        <v>0</v>
      </c>
      <c r="AT204" s="166">
        <v>0</v>
      </c>
      <c r="AU204" s="166">
        <v>0</v>
      </c>
      <c r="AV204" s="166">
        <v>0</v>
      </c>
      <c r="AW204" s="166">
        <v>1</v>
      </c>
      <c r="AX204" s="166">
        <v>0</v>
      </c>
      <c r="AY204" s="166">
        <v>0</v>
      </c>
      <c r="AZ204" s="166">
        <v>0</v>
      </c>
      <c r="BA204" s="166">
        <v>0</v>
      </c>
      <c r="BB204" s="166">
        <v>0</v>
      </c>
      <c r="BC204" s="166">
        <v>0</v>
      </c>
      <c r="BD204" s="166">
        <v>0</v>
      </c>
      <c r="BE204" s="166">
        <v>0</v>
      </c>
      <c r="BF204" s="166">
        <v>0</v>
      </c>
      <c r="BG204" s="166">
        <v>0</v>
      </c>
      <c r="BH204" s="166">
        <v>0</v>
      </c>
      <c r="BI204" s="166">
        <v>0</v>
      </c>
      <c r="BJ204" s="166">
        <v>0</v>
      </c>
      <c r="BK204" s="166">
        <v>0</v>
      </c>
      <c r="BL204" s="166">
        <v>0</v>
      </c>
      <c r="BM204" s="166">
        <v>0</v>
      </c>
      <c r="BN204" s="166">
        <v>0</v>
      </c>
      <c r="BO204" s="166">
        <v>0</v>
      </c>
      <c r="BP204" s="166">
        <v>0</v>
      </c>
      <c r="BQ204" s="81" t="s">
        <v>1757</v>
      </c>
      <c r="BZ204" s="81" t="s">
        <v>155</v>
      </c>
      <c r="CA204" s="81">
        <v>7</v>
      </c>
      <c r="CC204" s="167">
        <f>N204</f>
        <v>1</v>
      </c>
      <c r="CD204" s="167">
        <v>0</v>
      </c>
      <c r="CE204" s="167">
        <v>0</v>
      </c>
      <c r="CF204" s="167">
        <v>0</v>
      </c>
      <c r="CG204" s="167">
        <v>0</v>
      </c>
      <c r="CH204" s="167">
        <v>0</v>
      </c>
      <c r="CI204" s="167">
        <v>0</v>
      </c>
      <c r="CJ204" s="167">
        <v>0</v>
      </c>
      <c r="CK204" s="167">
        <v>0</v>
      </c>
      <c r="CL204" s="167">
        <v>0</v>
      </c>
      <c r="CM204" s="167">
        <v>0</v>
      </c>
      <c r="CN204" s="167">
        <v>0</v>
      </c>
      <c r="CO204" s="167">
        <v>0</v>
      </c>
      <c r="CP204" s="167">
        <v>0</v>
      </c>
      <c r="CQ204" s="167">
        <v>0</v>
      </c>
      <c r="CR204" s="167">
        <v>0</v>
      </c>
      <c r="CS204" s="167">
        <v>0</v>
      </c>
      <c r="CT204" s="167">
        <v>0</v>
      </c>
      <c r="CU204" s="167">
        <v>0</v>
      </c>
      <c r="CV204" s="167">
        <v>0</v>
      </c>
      <c r="CW204" s="167">
        <v>0</v>
      </c>
      <c r="CX204" s="167">
        <f>SUM(CD204:CH204)</f>
        <v>0</v>
      </c>
      <c r="CY204" s="167">
        <f>SUM(CD204:CM204)</f>
        <v>0</v>
      </c>
    </row>
    <row r="205" spans="1:103" ht="12.75" customHeight="1" x14ac:dyDescent="0.2">
      <c r="A205" s="81">
        <v>6385</v>
      </c>
      <c r="B205" s="165" t="s">
        <v>1924</v>
      </c>
      <c r="C205" s="165" t="s">
        <v>1063</v>
      </c>
      <c r="E205" s="165" t="s">
        <v>3254</v>
      </c>
      <c r="G205" s="81">
        <v>528563</v>
      </c>
      <c r="H205" s="81">
        <v>173040</v>
      </c>
      <c r="I205" s="165" t="s">
        <v>254</v>
      </c>
      <c r="J205" s="349">
        <v>42825</v>
      </c>
      <c r="K205" s="349">
        <v>43173</v>
      </c>
      <c r="L205" s="166">
        <v>1</v>
      </c>
      <c r="M205" s="166">
        <v>1</v>
      </c>
      <c r="N205" s="166">
        <v>0</v>
      </c>
      <c r="O205" s="166">
        <v>2</v>
      </c>
      <c r="P205" s="166">
        <v>1</v>
      </c>
      <c r="R205" s="165" t="s">
        <v>1064</v>
      </c>
      <c r="S205" s="81" t="s">
        <v>113</v>
      </c>
      <c r="T205" s="349">
        <v>42653</v>
      </c>
      <c r="U205" s="349">
        <v>42719</v>
      </c>
      <c r="W205" s="81" t="s">
        <v>114</v>
      </c>
      <c r="Y205" s="81" t="s">
        <v>115</v>
      </c>
      <c r="Z205" s="81" t="s">
        <v>398</v>
      </c>
      <c r="AA205" s="81" t="s">
        <v>117</v>
      </c>
      <c r="AB205" s="81" t="s">
        <v>220</v>
      </c>
      <c r="AC205" s="166">
        <v>6.0000000521540598E-3</v>
      </c>
      <c r="AD205" s="349">
        <v>42825</v>
      </c>
      <c r="AF205" s="349">
        <v>43173</v>
      </c>
      <c r="AG205" s="81" t="s">
        <v>238</v>
      </c>
      <c r="AH205" s="81" t="s">
        <v>118</v>
      </c>
      <c r="AK205" s="166">
        <v>0</v>
      </c>
      <c r="AM205" s="166">
        <v>0</v>
      </c>
      <c r="AO205" s="166">
        <v>0</v>
      </c>
      <c r="AP205" s="166">
        <v>0</v>
      </c>
      <c r="AQ205" s="166">
        <v>1</v>
      </c>
      <c r="AR205" s="166">
        <v>-1</v>
      </c>
      <c r="AS205" s="166">
        <v>0</v>
      </c>
      <c r="AT205" s="166">
        <v>0</v>
      </c>
      <c r="AU205" s="166">
        <v>0</v>
      </c>
      <c r="AV205" s="166">
        <v>0</v>
      </c>
      <c r="AW205" s="166">
        <v>0</v>
      </c>
      <c r="AX205" s="166">
        <v>1</v>
      </c>
      <c r="AY205" s="166">
        <v>-1</v>
      </c>
      <c r="AZ205" s="166">
        <v>0</v>
      </c>
      <c r="BA205" s="166">
        <v>0</v>
      </c>
      <c r="BB205" s="166">
        <v>0</v>
      </c>
      <c r="BC205" s="166">
        <v>0</v>
      </c>
      <c r="BD205" s="166">
        <v>0</v>
      </c>
      <c r="BE205" s="166">
        <v>0</v>
      </c>
      <c r="BF205" s="166">
        <v>0</v>
      </c>
      <c r="BG205" s="166">
        <v>0</v>
      </c>
      <c r="BH205" s="166">
        <v>0</v>
      </c>
      <c r="BI205" s="166">
        <v>0</v>
      </c>
      <c r="BJ205" s="166">
        <v>0</v>
      </c>
      <c r="BK205" s="166">
        <v>0</v>
      </c>
      <c r="BL205" s="166">
        <v>0</v>
      </c>
      <c r="BM205" s="166">
        <v>0</v>
      </c>
      <c r="BN205" s="166">
        <v>0</v>
      </c>
      <c r="BO205" s="166">
        <v>0</v>
      </c>
      <c r="BP205" s="166">
        <v>0</v>
      </c>
      <c r="BQ205" s="81" t="s">
        <v>1757</v>
      </c>
      <c r="BZ205" s="81" t="s">
        <v>155</v>
      </c>
      <c r="CA205" s="81">
        <v>7</v>
      </c>
      <c r="CC205" s="167">
        <f>N205</f>
        <v>0</v>
      </c>
      <c r="CD205" s="167">
        <v>0</v>
      </c>
      <c r="CE205" s="167">
        <v>0</v>
      </c>
      <c r="CF205" s="167">
        <v>0</v>
      </c>
      <c r="CG205" s="167">
        <v>0</v>
      </c>
      <c r="CH205" s="167">
        <v>0</v>
      </c>
      <c r="CI205" s="167">
        <v>0</v>
      </c>
      <c r="CJ205" s="167">
        <v>0</v>
      </c>
      <c r="CK205" s="167">
        <v>0</v>
      </c>
      <c r="CL205" s="167">
        <v>0</v>
      </c>
      <c r="CM205" s="167">
        <v>0</v>
      </c>
      <c r="CN205" s="167">
        <v>0</v>
      </c>
      <c r="CO205" s="167">
        <v>0</v>
      </c>
      <c r="CP205" s="167">
        <v>0</v>
      </c>
      <c r="CQ205" s="167">
        <v>0</v>
      </c>
      <c r="CR205" s="167">
        <v>0</v>
      </c>
      <c r="CS205" s="167">
        <v>0</v>
      </c>
      <c r="CT205" s="167">
        <v>0</v>
      </c>
      <c r="CU205" s="167">
        <v>0</v>
      </c>
      <c r="CV205" s="167">
        <v>0</v>
      </c>
      <c r="CW205" s="167">
        <v>0</v>
      </c>
      <c r="CX205" s="167">
        <f>SUM(CD205:CH205)</f>
        <v>0</v>
      </c>
      <c r="CY205" s="167">
        <f>SUM(CD205:CM205)</f>
        <v>0</v>
      </c>
    </row>
    <row r="206" spans="1:103" ht="12.75" customHeight="1" x14ac:dyDescent="0.2">
      <c r="A206" s="81">
        <v>6389</v>
      </c>
      <c r="B206" s="165" t="s">
        <v>1924</v>
      </c>
      <c r="C206" s="165" t="s">
        <v>1451</v>
      </c>
      <c r="E206" s="165" t="s">
        <v>3255</v>
      </c>
      <c r="G206" s="81">
        <v>525164</v>
      </c>
      <c r="H206" s="81">
        <v>173531</v>
      </c>
      <c r="I206" s="165" t="s">
        <v>258</v>
      </c>
      <c r="J206" s="349">
        <v>42826</v>
      </c>
      <c r="K206" s="349">
        <v>43190</v>
      </c>
      <c r="L206" s="166">
        <v>2</v>
      </c>
      <c r="M206" s="166">
        <v>1</v>
      </c>
      <c r="N206" s="166">
        <v>-1</v>
      </c>
      <c r="O206" s="166">
        <v>1</v>
      </c>
      <c r="P206" s="166">
        <v>-1</v>
      </c>
      <c r="R206" s="165" t="s">
        <v>1452</v>
      </c>
      <c r="S206" s="81" t="s">
        <v>113</v>
      </c>
      <c r="T206" s="349">
        <v>42669</v>
      </c>
      <c r="U206" s="349">
        <v>42725</v>
      </c>
      <c r="W206" s="81" t="s">
        <v>114</v>
      </c>
      <c r="Y206" s="81" t="s">
        <v>115</v>
      </c>
      <c r="Z206" s="81" t="s">
        <v>398</v>
      </c>
      <c r="AA206" s="81" t="s">
        <v>117</v>
      </c>
      <c r="AB206" s="81" t="s">
        <v>336</v>
      </c>
      <c r="AC206" s="166">
        <v>1.4000000432133701E-2</v>
      </c>
      <c r="AD206" s="349">
        <v>42826</v>
      </c>
      <c r="AE206" s="81" t="s">
        <v>155</v>
      </c>
      <c r="AF206" s="349">
        <v>43190</v>
      </c>
      <c r="AG206" s="81" t="s">
        <v>238</v>
      </c>
      <c r="AH206" s="81" t="s">
        <v>118</v>
      </c>
      <c r="AK206" s="166">
        <v>0</v>
      </c>
      <c r="AM206" s="166">
        <v>0</v>
      </c>
      <c r="AO206" s="166">
        <v>0</v>
      </c>
      <c r="AP206" s="166">
        <v>-1</v>
      </c>
      <c r="AQ206" s="166">
        <v>-1</v>
      </c>
      <c r="AR206" s="166">
        <v>1</v>
      </c>
      <c r="AS206" s="166">
        <v>0</v>
      </c>
      <c r="AT206" s="166">
        <v>0</v>
      </c>
      <c r="AU206" s="166">
        <v>0</v>
      </c>
      <c r="AV206" s="166">
        <v>0</v>
      </c>
      <c r="AW206" s="166">
        <v>-1</v>
      </c>
      <c r="AX206" s="166">
        <v>-1</v>
      </c>
      <c r="AY206" s="166">
        <v>0</v>
      </c>
      <c r="AZ206" s="166">
        <v>0</v>
      </c>
      <c r="BA206" s="166">
        <v>0</v>
      </c>
      <c r="BB206" s="166">
        <v>0</v>
      </c>
      <c r="BC206" s="166">
        <v>0</v>
      </c>
      <c r="BD206" s="166">
        <v>0</v>
      </c>
      <c r="BE206" s="166">
        <v>0</v>
      </c>
      <c r="BF206" s="166">
        <v>1</v>
      </c>
      <c r="BG206" s="166">
        <v>0</v>
      </c>
      <c r="BH206" s="166">
        <v>0</v>
      </c>
      <c r="BI206" s="166">
        <v>0</v>
      </c>
      <c r="BJ206" s="166">
        <v>0</v>
      </c>
      <c r="BK206" s="166">
        <v>0</v>
      </c>
      <c r="BL206" s="166">
        <v>0</v>
      </c>
      <c r="BM206" s="166">
        <v>0</v>
      </c>
      <c r="BN206" s="166">
        <v>0</v>
      </c>
      <c r="BO206" s="166">
        <v>0</v>
      </c>
      <c r="BP206" s="166">
        <v>0</v>
      </c>
      <c r="BQ206" s="81" t="s">
        <v>1758</v>
      </c>
      <c r="BZ206" s="81" t="s">
        <v>155</v>
      </c>
      <c r="CA206" s="81">
        <v>7</v>
      </c>
      <c r="CC206" s="167">
        <f>N206</f>
        <v>-1</v>
      </c>
      <c r="CD206" s="167">
        <v>0</v>
      </c>
      <c r="CE206" s="167">
        <v>0</v>
      </c>
      <c r="CF206" s="167">
        <v>0</v>
      </c>
      <c r="CG206" s="167">
        <v>0</v>
      </c>
      <c r="CH206" s="167">
        <v>0</v>
      </c>
      <c r="CI206" s="167">
        <v>0</v>
      </c>
      <c r="CJ206" s="167">
        <v>0</v>
      </c>
      <c r="CK206" s="167">
        <v>0</v>
      </c>
      <c r="CL206" s="167">
        <v>0</v>
      </c>
      <c r="CM206" s="167">
        <v>0</v>
      </c>
      <c r="CN206" s="167">
        <v>0</v>
      </c>
      <c r="CO206" s="167">
        <v>0</v>
      </c>
      <c r="CP206" s="167">
        <v>0</v>
      </c>
      <c r="CQ206" s="167">
        <v>0</v>
      </c>
      <c r="CR206" s="167">
        <v>0</v>
      </c>
      <c r="CS206" s="167">
        <v>0</v>
      </c>
      <c r="CT206" s="167">
        <v>0</v>
      </c>
      <c r="CU206" s="167">
        <v>0</v>
      </c>
      <c r="CV206" s="167">
        <v>0</v>
      </c>
      <c r="CW206" s="167">
        <v>0</v>
      </c>
      <c r="CX206" s="167">
        <f>SUM(CD206:CH206)</f>
        <v>0</v>
      </c>
      <c r="CY206" s="167">
        <f>SUM(CD206:CM206)</f>
        <v>0</v>
      </c>
    </row>
    <row r="207" spans="1:103" ht="12.75" customHeight="1" x14ac:dyDescent="0.2">
      <c r="A207" s="81">
        <v>6421</v>
      </c>
      <c r="B207" s="165" t="s">
        <v>1924</v>
      </c>
      <c r="C207" s="165" t="s">
        <v>3256</v>
      </c>
      <c r="E207" s="165" t="s">
        <v>3257</v>
      </c>
      <c r="G207" s="81">
        <v>527311</v>
      </c>
      <c r="H207" s="81">
        <v>171493</v>
      </c>
      <c r="I207" s="165" t="s">
        <v>242</v>
      </c>
      <c r="J207" s="349">
        <v>42450</v>
      </c>
      <c r="K207" s="349">
        <v>43116</v>
      </c>
      <c r="L207" s="166">
        <v>1</v>
      </c>
      <c r="M207" s="166">
        <v>1</v>
      </c>
      <c r="N207" s="166">
        <v>0</v>
      </c>
      <c r="O207" s="166">
        <v>4</v>
      </c>
      <c r="P207" s="166">
        <v>3</v>
      </c>
      <c r="R207" s="165" t="s">
        <v>3258</v>
      </c>
      <c r="S207" s="81" t="s">
        <v>296</v>
      </c>
      <c r="T207" s="349">
        <v>42718</v>
      </c>
      <c r="U207" s="349">
        <v>42790</v>
      </c>
      <c r="V207" s="81" t="s">
        <v>155</v>
      </c>
      <c r="W207" s="81" t="s">
        <v>297</v>
      </c>
      <c r="X207" s="349">
        <v>43067</v>
      </c>
      <c r="Y207" s="81" t="s">
        <v>115</v>
      </c>
      <c r="Z207" s="81" t="s">
        <v>119</v>
      </c>
      <c r="AA207" s="81" t="s">
        <v>117</v>
      </c>
      <c r="AB207" s="81" t="s">
        <v>120</v>
      </c>
      <c r="AC207" s="166">
        <v>3.0000000260770299E-3</v>
      </c>
      <c r="AD207" s="349">
        <v>42450</v>
      </c>
      <c r="AF207" s="349">
        <v>43116</v>
      </c>
      <c r="AG207" s="81" t="s">
        <v>238</v>
      </c>
      <c r="AH207" s="81" t="s">
        <v>118</v>
      </c>
      <c r="AK207" s="166">
        <v>0</v>
      </c>
      <c r="AM207" s="166">
        <v>0</v>
      </c>
      <c r="AO207" s="166">
        <v>0</v>
      </c>
      <c r="AP207" s="166">
        <v>1</v>
      </c>
      <c r="AQ207" s="166">
        <v>0</v>
      </c>
      <c r="AR207" s="166">
        <v>0</v>
      </c>
      <c r="AS207" s="166">
        <v>0</v>
      </c>
      <c r="AT207" s="166">
        <v>-1</v>
      </c>
      <c r="AU207" s="166">
        <v>0</v>
      </c>
      <c r="AV207" s="166">
        <v>0</v>
      </c>
      <c r="AW207" s="166">
        <v>1</v>
      </c>
      <c r="AX207" s="166">
        <v>0</v>
      </c>
      <c r="AY207" s="166">
        <v>0</v>
      </c>
      <c r="AZ207" s="166">
        <v>0</v>
      </c>
      <c r="BA207" s="166">
        <v>0</v>
      </c>
      <c r="BB207" s="166">
        <v>0</v>
      </c>
      <c r="BC207" s="166">
        <v>0</v>
      </c>
      <c r="BD207" s="166">
        <v>0</v>
      </c>
      <c r="BE207" s="166">
        <v>0</v>
      </c>
      <c r="BF207" s="166">
        <v>0</v>
      </c>
      <c r="BG207" s="166">
        <v>0</v>
      </c>
      <c r="BH207" s="166">
        <v>-1</v>
      </c>
      <c r="BI207" s="166">
        <v>0</v>
      </c>
      <c r="BJ207" s="166">
        <v>0</v>
      </c>
      <c r="BK207" s="166">
        <v>0</v>
      </c>
      <c r="BL207" s="166">
        <v>0</v>
      </c>
      <c r="BM207" s="166">
        <v>0</v>
      </c>
      <c r="BN207" s="166">
        <v>0</v>
      </c>
      <c r="BO207" s="166">
        <v>0</v>
      </c>
      <c r="BP207" s="166">
        <v>0</v>
      </c>
      <c r="BQ207" s="81" t="s">
        <v>1757</v>
      </c>
      <c r="BZ207" s="81" t="s">
        <v>155</v>
      </c>
      <c r="CA207" s="81">
        <v>7</v>
      </c>
      <c r="CC207" s="167">
        <f>N207</f>
        <v>0</v>
      </c>
      <c r="CD207" s="167">
        <v>0</v>
      </c>
      <c r="CE207" s="167">
        <v>0</v>
      </c>
      <c r="CF207" s="167">
        <v>0</v>
      </c>
      <c r="CG207" s="167">
        <v>0</v>
      </c>
      <c r="CH207" s="167">
        <v>0</v>
      </c>
      <c r="CI207" s="167">
        <v>0</v>
      </c>
      <c r="CJ207" s="167">
        <v>0</v>
      </c>
      <c r="CK207" s="167">
        <v>0</v>
      </c>
      <c r="CL207" s="167">
        <v>0</v>
      </c>
      <c r="CM207" s="167">
        <v>0</v>
      </c>
      <c r="CN207" s="167">
        <v>0</v>
      </c>
      <c r="CO207" s="167">
        <v>0</v>
      </c>
      <c r="CP207" s="167">
        <v>0</v>
      </c>
      <c r="CQ207" s="167">
        <v>0</v>
      </c>
      <c r="CR207" s="167">
        <v>0</v>
      </c>
      <c r="CS207" s="167">
        <v>0</v>
      </c>
      <c r="CT207" s="167">
        <v>0</v>
      </c>
      <c r="CU207" s="167">
        <v>0</v>
      </c>
      <c r="CV207" s="167">
        <v>0</v>
      </c>
      <c r="CW207" s="167">
        <v>0</v>
      </c>
      <c r="CX207" s="167">
        <f>SUM(CD207:CH207)</f>
        <v>0</v>
      </c>
      <c r="CY207" s="167">
        <f>SUM(CD207:CM207)</f>
        <v>0</v>
      </c>
    </row>
    <row r="208" spans="1:103" ht="12.75" customHeight="1" x14ac:dyDescent="0.2">
      <c r="A208" s="81">
        <v>6423</v>
      </c>
      <c r="B208" s="165" t="s">
        <v>1924</v>
      </c>
      <c r="C208" s="165" t="s">
        <v>1530</v>
      </c>
      <c r="E208" s="165" t="s">
        <v>3259</v>
      </c>
      <c r="G208" s="81">
        <v>526304</v>
      </c>
      <c r="H208" s="81">
        <v>173701</v>
      </c>
      <c r="I208" s="165" t="s">
        <v>260</v>
      </c>
      <c r="J208" s="349">
        <v>42825</v>
      </c>
      <c r="K208" s="349">
        <v>43052</v>
      </c>
      <c r="L208" s="166">
        <v>1</v>
      </c>
      <c r="M208" s="166">
        <v>3</v>
      </c>
      <c r="N208" s="166">
        <v>2</v>
      </c>
      <c r="O208" s="166">
        <v>3</v>
      </c>
      <c r="P208" s="166">
        <v>2</v>
      </c>
      <c r="R208" s="165" t="s">
        <v>1531</v>
      </c>
      <c r="S208" s="81" t="s">
        <v>113</v>
      </c>
      <c r="T208" s="349">
        <v>42753</v>
      </c>
      <c r="U208" s="349">
        <v>42789</v>
      </c>
      <c r="W208" s="81" t="s">
        <v>114</v>
      </c>
      <c r="Y208" s="81" t="s">
        <v>115</v>
      </c>
      <c r="Z208" s="81" t="s">
        <v>119</v>
      </c>
      <c r="AA208" s="81" t="s">
        <v>117</v>
      </c>
      <c r="AB208" s="81" t="s">
        <v>120</v>
      </c>
      <c r="AC208" s="166">
        <v>1.60000007599592E-2</v>
      </c>
      <c r="AD208" s="349">
        <v>42825</v>
      </c>
      <c r="AF208" s="349">
        <v>43052</v>
      </c>
      <c r="AG208" s="81" t="s">
        <v>238</v>
      </c>
      <c r="AH208" s="81" t="s">
        <v>118</v>
      </c>
      <c r="AK208" s="166">
        <v>0</v>
      </c>
      <c r="AM208" s="166">
        <v>0</v>
      </c>
      <c r="AO208" s="166">
        <v>0</v>
      </c>
      <c r="AP208" s="166">
        <v>1</v>
      </c>
      <c r="AQ208" s="166">
        <v>1</v>
      </c>
      <c r="AR208" s="166">
        <v>1</v>
      </c>
      <c r="AS208" s="166">
        <v>0</v>
      </c>
      <c r="AT208" s="166">
        <v>-1</v>
      </c>
      <c r="AU208" s="166">
        <v>0</v>
      </c>
      <c r="AV208" s="166">
        <v>0</v>
      </c>
      <c r="AW208" s="166">
        <v>1</v>
      </c>
      <c r="AX208" s="166">
        <v>1</v>
      </c>
      <c r="AY208" s="166">
        <v>1</v>
      </c>
      <c r="AZ208" s="166">
        <v>0</v>
      </c>
      <c r="BA208" s="166">
        <v>0</v>
      </c>
      <c r="BB208" s="166">
        <v>0</v>
      </c>
      <c r="BC208" s="166">
        <v>0</v>
      </c>
      <c r="BD208" s="166">
        <v>0</v>
      </c>
      <c r="BE208" s="166">
        <v>0</v>
      </c>
      <c r="BF208" s="166">
        <v>0</v>
      </c>
      <c r="BG208" s="166">
        <v>0</v>
      </c>
      <c r="BH208" s="166">
        <v>-1</v>
      </c>
      <c r="BI208" s="166">
        <v>0</v>
      </c>
      <c r="BJ208" s="166">
        <v>0</v>
      </c>
      <c r="BK208" s="166">
        <v>0</v>
      </c>
      <c r="BL208" s="166">
        <v>0</v>
      </c>
      <c r="BM208" s="166">
        <v>0</v>
      </c>
      <c r="BN208" s="166">
        <v>0</v>
      </c>
      <c r="BO208" s="166">
        <v>0</v>
      </c>
      <c r="BP208" s="166">
        <v>0</v>
      </c>
      <c r="BQ208" s="81" t="s">
        <v>1758</v>
      </c>
      <c r="BZ208" s="81" t="s">
        <v>155</v>
      </c>
      <c r="CA208" s="81">
        <v>7</v>
      </c>
      <c r="CC208" s="167">
        <f>N208</f>
        <v>2</v>
      </c>
      <c r="CD208" s="167">
        <v>0</v>
      </c>
      <c r="CE208" s="167">
        <v>0</v>
      </c>
      <c r="CF208" s="167">
        <v>0</v>
      </c>
      <c r="CG208" s="167">
        <v>0</v>
      </c>
      <c r="CH208" s="167">
        <v>0</v>
      </c>
      <c r="CI208" s="167">
        <v>0</v>
      </c>
      <c r="CJ208" s="167">
        <v>0</v>
      </c>
      <c r="CK208" s="167">
        <v>0</v>
      </c>
      <c r="CL208" s="167">
        <v>0</v>
      </c>
      <c r="CM208" s="167">
        <v>0</v>
      </c>
      <c r="CN208" s="167">
        <v>0</v>
      </c>
      <c r="CO208" s="167">
        <v>0</v>
      </c>
      <c r="CP208" s="167">
        <v>0</v>
      </c>
      <c r="CQ208" s="167">
        <v>0</v>
      </c>
      <c r="CR208" s="167">
        <v>0</v>
      </c>
      <c r="CS208" s="167">
        <v>0</v>
      </c>
      <c r="CT208" s="167">
        <v>0</v>
      </c>
      <c r="CU208" s="167">
        <v>0</v>
      </c>
      <c r="CV208" s="167">
        <v>0</v>
      </c>
      <c r="CW208" s="167">
        <v>0</v>
      </c>
      <c r="CX208" s="167">
        <f>SUM(CD208:CH208)</f>
        <v>0</v>
      </c>
      <c r="CY208" s="167">
        <f>SUM(CD208:CM208)</f>
        <v>0</v>
      </c>
    </row>
    <row r="209" spans="1:103" ht="12.75" customHeight="1" x14ac:dyDescent="0.2">
      <c r="A209" s="81">
        <v>6427</v>
      </c>
      <c r="B209" s="165" t="s">
        <v>1924</v>
      </c>
      <c r="C209" s="165" t="s">
        <v>1078</v>
      </c>
      <c r="E209" s="165" t="s">
        <v>3260</v>
      </c>
      <c r="G209" s="81">
        <v>528925</v>
      </c>
      <c r="H209" s="81">
        <v>172969</v>
      </c>
      <c r="I209" s="165" t="s">
        <v>248</v>
      </c>
      <c r="J209" s="349">
        <v>42825</v>
      </c>
      <c r="K209" s="349">
        <v>42986</v>
      </c>
      <c r="L209" s="166">
        <v>0</v>
      </c>
      <c r="M209" s="166">
        <v>6</v>
      </c>
      <c r="N209" s="166">
        <v>6</v>
      </c>
      <c r="O209" s="166">
        <v>6</v>
      </c>
      <c r="P209" s="166">
        <v>6</v>
      </c>
      <c r="R209" s="165" t="s">
        <v>1079</v>
      </c>
      <c r="S209" s="81" t="s">
        <v>113</v>
      </c>
      <c r="T209" s="349">
        <v>42723</v>
      </c>
      <c r="U209" s="349">
        <v>42825</v>
      </c>
      <c r="W209" s="81" t="s">
        <v>114</v>
      </c>
      <c r="Y209" s="81" t="s">
        <v>115</v>
      </c>
      <c r="Z209" s="81" t="s">
        <v>398</v>
      </c>
      <c r="AA209" s="81" t="s">
        <v>117</v>
      </c>
      <c r="AB209" s="81" t="s">
        <v>311</v>
      </c>
      <c r="AC209" s="166">
        <v>3.9000000804662698E-2</v>
      </c>
      <c r="AD209" s="349">
        <v>42825</v>
      </c>
      <c r="AF209" s="349">
        <v>42986</v>
      </c>
      <c r="AG209" s="81" t="s">
        <v>238</v>
      </c>
      <c r="AH209" s="81" t="s">
        <v>118</v>
      </c>
      <c r="AK209" s="166">
        <v>0</v>
      </c>
      <c r="AM209" s="166">
        <v>0</v>
      </c>
      <c r="AO209" s="166">
        <v>0</v>
      </c>
      <c r="AP209" s="166">
        <v>2</v>
      </c>
      <c r="AQ209" s="166">
        <v>2</v>
      </c>
      <c r="AR209" s="166">
        <v>2</v>
      </c>
      <c r="AS209" s="166">
        <v>0</v>
      </c>
      <c r="AT209" s="166">
        <v>0</v>
      </c>
      <c r="AU209" s="166">
        <v>0</v>
      </c>
      <c r="AV209" s="166">
        <v>0</v>
      </c>
      <c r="AW209" s="166">
        <v>2</v>
      </c>
      <c r="AX209" s="166">
        <v>2</v>
      </c>
      <c r="AY209" s="166">
        <v>2</v>
      </c>
      <c r="AZ209" s="166">
        <v>0</v>
      </c>
      <c r="BA209" s="166">
        <v>0</v>
      </c>
      <c r="BB209" s="166">
        <v>0</v>
      </c>
      <c r="BC209" s="166">
        <v>0</v>
      </c>
      <c r="BD209" s="166">
        <v>0</v>
      </c>
      <c r="BE209" s="166">
        <v>0</v>
      </c>
      <c r="BF209" s="166">
        <v>0</v>
      </c>
      <c r="BG209" s="166">
        <v>0</v>
      </c>
      <c r="BH209" s="166">
        <v>0</v>
      </c>
      <c r="BI209" s="166">
        <v>0</v>
      </c>
      <c r="BJ209" s="166">
        <v>0</v>
      </c>
      <c r="BK209" s="166">
        <v>0</v>
      </c>
      <c r="BL209" s="166">
        <v>0</v>
      </c>
      <c r="BM209" s="166">
        <v>0</v>
      </c>
      <c r="BN209" s="166">
        <v>0</v>
      </c>
      <c r="BO209" s="166">
        <v>0</v>
      </c>
      <c r="BP209" s="166">
        <v>0</v>
      </c>
      <c r="BQ209" s="81" t="s">
        <v>1757</v>
      </c>
      <c r="BZ209" s="81" t="s">
        <v>155</v>
      </c>
      <c r="CA209" s="81">
        <v>7</v>
      </c>
      <c r="CC209" s="167">
        <f>N209</f>
        <v>6</v>
      </c>
      <c r="CD209" s="167">
        <v>0</v>
      </c>
      <c r="CE209" s="167">
        <v>0</v>
      </c>
      <c r="CF209" s="167">
        <v>0</v>
      </c>
      <c r="CG209" s="167">
        <v>0</v>
      </c>
      <c r="CH209" s="167">
        <v>0</v>
      </c>
      <c r="CI209" s="167">
        <v>0</v>
      </c>
      <c r="CJ209" s="167">
        <v>0</v>
      </c>
      <c r="CK209" s="167">
        <v>0</v>
      </c>
      <c r="CL209" s="167">
        <v>0</v>
      </c>
      <c r="CM209" s="167">
        <v>0</v>
      </c>
      <c r="CN209" s="167">
        <v>0</v>
      </c>
      <c r="CO209" s="167">
        <v>0</v>
      </c>
      <c r="CP209" s="167">
        <v>0</v>
      </c>
      <c r="CQ209" s="167">
        <v>0</v>
      </c>
      <c r="CR209" s="167">
        <v>0</v>
      </c>
      <c r="CS209" s="167">
        <v>0</v>
      </c>
      <c r="CT209" s="167">
        <v>0</v>
      </c>
      <c r="CU209" s="167">
        <v>0</v>
      </c>
      <c r="CV209" s="167">
        <v>0</v>
      </c>
      <c r="CW209" s="167">
        <v>0</v>
      </c>
      <c r="CX209" s="167">
        <f>SUM(CD209:CH209)</f>
        <v>0</v>
      </c>
      <c r="CY209" s="167">
        <f>SUM(CD209:CM209)</f>
        <v>0</v>
      </c>
    </row>
    <row r="210" spans="1:103" ht="12.75" customHeight="1" x14ac:dyDescent="0.2">
      <c r="A210" s="81">
        <v>6428</v>
      </c>
      <c r="B210" s="165" t="s">
        <v>1924</v>
      </c>
      <c r="C210" s="165" t="s">
        <v>1080</v>
      </c>
      <c r="E210" s="165" t="s">
        <v>3261</v>
      </c>
      <c r="G210" s="81">
        <v>524963</v>
      </c>
      <c r="H210" s="81">
        <v>174923</v>
      </c>
      <c r="I210" s="165" t="s">
        <v>251</v>
      </c>
      <c r="J210" s="349">
        <v>42825</v>
      </c>
      <c r="K210" s="349">
        <v>43083</v>
      </c>
      <c r="L210" s="166">
        <v>1</v>
      </c>
      <c r="M210" s="166">
        <v>2</v>
      </c>
      <c r="N210" s="166">
        <v>1</v>
      </c>
      <c r="O210" s="166">
        <v>2</v>
      </c>
      <c r="P210" s="166">
        <v>1</v>
      </c>
      <c r="R210" s="165" t="s">
        <v>1081</v>
      </c>
      <c r="S210" s="81" t="s">
        <v>113</v>
      </c>
      <c r="T210" s="349">
        <v>42762</v>
      </c>
      <c r="U210" s="349">
        <v>42824</v>
      </c>
      <c r="W210" s="81" t="s">
        <v>114</v>
      </c>
      <c r="Y210" s="81" t="s">
        <v>115</v>
      </c>
      <c r="Z210" s="81" t="s">
        <v>398</v>
      </c>
      <c r="AA210" s="81" t="s">
        <v>117</v>
      </c>
      <c r="AB210" s="81" t="s">
        <v>120</v>
      </c>
      <c r="AC210" s="166">
        <v>1.30000002682209E-2</v>
      </c>
      <c r="AD210" s="349">
        <v>42825</v>
      </c>
      <c r="AF210" s="349">
        <v>43083</v>
      </c>
      <c r="AG210" s="81" t="s">
        <v>238</v>
      </c>
      <c r="AH210" s="81" t="s">
        <v>118</v>
      </c>
      <c r="AK210" s="166">
        <v>0</v>
      </c>
      <c r="AM210" s="166">
        <v>0</v>
      </c>
      <c r="AO210" s="166">
        <v>0</v>
      </c>
      <c r="AP210" s="166">
        <v>0</v>
      </c>
      <c r="AQ210" s="166">
        <v>1</v>
      </c>
      <c r="AR210" s="166">
        <v>1</v>
      </c>
      <c r="AS210" s="166">
        <v>0</v>
      </c>
      <c r="AT210" s="166">
        <v>-1</v>
      </c>
      <c r="AU210" s="166">
        <v>0</v>
      </c>
      <c r="AV210" s="166">
        <v>0</v>
      </c>
      <c r="AW210" s="166">
        <v>0</v>
      </c>
      <c r="AX210" s="166">
        <v>1</v>
      </c>
      <c r="AY210" s="166">
        <v>1</v>
      </c>
      <c r="AZ210" s="166">
        <v>0</v>
      </c>
      <c r="BA210" s="166">
        <v>-1</v>
      </c>
      <c r="BB210" s="166">
        <v>0</v>
      </c>
      <c r="BC210" s="166">
        <v>0</v>
      </c>
      <c r="BD210" s="166">
        <v>0</v>
      </c>
      <c r="BE210" s="166">
        <v>0</v>
      </c>
      <c r="BF210" s="166">
        <v>0</v>
      </c>
      <c r="BG210" s="166">
        <v>0</v>
      </c>
      <c r="BH210" s="166">
        <v>0</v>
      </c>
      <c r="BI210" s="166">
        <v>0</v>
      </c>
      <c r="BJ210" s="166">
        <v>0</v>
      </c>
      <c r="BK210" s="166">
        <v>0</v>
      </c>
      <c r="BL210" s="166">
        <v>0</v>
      </c>
      <c r="BM210" s="166">
        <v>0</v>
      </c>
      <c r="BN210" s="166">
        <v>0</v>
      </c>
      <c r="BO210" s="166">
        <v>0</v>
      </c>
      <c r="BP210" s="166">
        <v>0</v>
      </c>
      <c r="BQ210" s="81" t="s">
        <v>1758</v>
      </c>
      <c r="BZ210" s="81" t="s">
        <v>155</v>
      </c>
      <c r="CA210" s="81">
        <v>7</v>
      </c>
      <c r="CC210" s="167">
        <f>N210</f>
        <v>1</v>
      </c>
      <c r="CD210" s="167">
        <v>0</v>
      </c>
      <c r="CE210" s="167">
        <v>0</v>
      </c>
      <c r="CF210" s="167">
        <v>0</v>
      </c>
      <c r="CG210" s="167">
        <v>0</v>
      </c>
      <c r="CH210" s="167">
        <v>0</v>
      </c>
      <c r="CI210" s="167">
        <v>0</v>
      </c>
      <c r="CJ210" s="167">
        <v>0</v>
      </c>
      <c r="CK210" s="167">
        <v>0</v>
      </c>
      <c r="CL210" s="167">
        <v>0</v>
      </c>
      <c r="CM210" s="167">
        <v>0</v>
      </c>
      <c r="CN210" s="167">
        <v>0</v>
      </c>
      <c r="CO210" s="167">
        <v>0</v>
      </c>
      <c r="CP210" s="167">
        <v>0</v>
      </c>
      <c r="CQ210" s="167">
        <v>0</v>
      </c>
      <c r="CR210" s="167">
        <v>0</v>
      </c>
      <c r="CS210" s="167">
        <v>0</v>
      </c>
      <c r="CT210" s="167">
        <v>0</v>
      </c>
      <c r="CU210" s="167">
        <v>0</v>
      </c>
      <c r="CV210" s="167">
        <v>0</v>
      </c>
      <c r="CW210" s="167">
        <v>0</v>
      </c>
      <c r="CX210" s="167">
        <f>SUM(CD210:CH210)</f>
        <v>0</v>
      </c>
      <c r="CY210" s="167">
        <f>SUM(CD210:CM210)</f>
        <v>0</v>
      </c>
    </row>
    <row r="211" spans="1:103" ht="12.75" customHeight="1" x14ac:dyDescent="0.2">
      <c r="A211" s="81">
        <v>6429</v>
      </c>
      <c r="B211" s="165" t="s">
        <v>1924</v>
      </c>
      <c r="C211" s="165" t="s">
        <v>1528</v>
      </c>
      <c r="E211" s="165" t="s">
        <v>3262</v>
      </c>
      <c r="G211" s="81">
        <v>527414</v>
      </c>
      <c r="H211" s="81">
        <v>176601</v>
      </c>
      <c r="I211" s="165" t="s">
        <v>257</v>
      </c>
      <c r="J211" s="349">
        <v>42990</v>
      </c>
      <c r="K211" s="349">
        <v>43190</v>
      </c>
      <c r="L211" s="166">
        <v>2</v>
      </c>
      <c r="M211" s="166">
        <v>1</v>
      </c>
      <c r="N211" s="166">
        <v>-1</v>
      </c>
      <c r="O211" s="166">
        <v>1</v>
      </c>
      <c r="P211" s="166">
        <v>-1</v>
      </c>
      <c r="R211" s="165" t="s">
        <v>1529</v>
      </c>
      <c r="S211" s="81" t="s">
        <v>113</v>
      </c>
      <c r="T211" s="349">
        <v>42755</v>
      </c>
      <c r="U211" s="349">
        <v>42811</v>
      </c>
      <c r="W211" s="81" t="s">
        <v>114</v>
      </c>
      <c r="Y211" s="81" t="s">
        <v>115</v>
      </c>
      <c r="Z211" s="81" t="s">
        <v>398</v>
      </c>
      <c r="AA211" s="81" t="s">
        <v>117</v>
      </c>
      <c r="AB211" s="81" t="s">
        <v>336</v>
      </c>
      <c r="AC211" s="166">
        <v>8.9999996125698107E-3</v>
      </c>
      <c r="AD211" s="349">
        <v>42990</v>
      </c>
      <c r="AE211" s="81" t="s">
        <v>155</v>
      </c>
      <c r="AF211" s="349">
        <v>43190</v>
      </c>
      <c r="AG211" s="81" t="s">
        <v>238</v>
      </c>
      <c r="AH211" s="81" t="s">
        <v>118</v>
      </c>
      <c r="AK211" s="166">
        <v>0</v>
      </c>
      <c r="AM211" s="166">
        <v>0</v>
      </c>
      <c r="AO211" s="166">
        <v>0</v>
      </c>
      <c r="AP211" s="166">
        <v>-1</v>
      </c>
      <c r="AQ211" s="166">
        <v>-1</v>
      </c>
      <c r="AR211" s="166">
        <v>0</v>
      </c>
      <c r="AS211" s="166">
        <v>1</v>
      </c>
      <c r="AT211" s="166">
        <v>0</v>
      </c>
      <c r="AU211" s="166">
        <v>0</v>
      </c>
      <c r="AV211" s="166">
        <v>0</v>
      </c>
      <c r="AW211" s="166">
        <v>-1</v>
      </c>
      <c r="AX211" s="166">
        <v>-1</v>
      </c>
      <c r="AY211" s="166">
        <v>0</v>
      </c>
      <c r="AZ211" s="166">
        <v>0</v>
      </c>
      <c r="BA211" s="166">
        <v>0</v>
      </c>
      <c r="BB211" s="166">
        <v>0</v>
      </c>
      <c r="BC211" s="166">
        <v>0</v>
      </c>
      <c r="BD211" s="166">
        <v>0</v>
      </c>
      <c r="BE211" s="166">
        <v>0</v>
      </c>
      <c r="BF211" s="166">
        <v>0</v>
      </c>
      <c r="BG211" s="166">
        <v>1</v>
      </c>
      <c r="BH211" s="166">
        <v>0</v>
      </c>
      <c r="BI211" s="166">
        <v>0</v>
      </c>
      <c r="BJ211" s="166">
        <v>0</v>
      </c>
      <c r="BK211" s="166">
        <v>0</v>
      </c>
      <c r="BL211" s="166">
        <v>0</v>
      </c>
      <c r="BM211" s="166">
        <v>0</v>
      </c>
      <c r="BN211" s="166">
        <v>0</v>
      </c>
      <c r="BO211" s="166">
        <v>0</v>
      </c>
      <c r="BP211" s="166">
        <v>0</v>
      </c>
      <c r="BQ211" s="81" t="s">
        <v>1757</v>
      </c>
      <c r="BZ211" s="81" t="s">
        <v>155</v>
      </c>
      <c r="CA211" s="81">
        <v>7</v>
      </c>
      <c r="CC211" s="167">
        <f>N211</f>
        <v>-1</v>
      </c>
      <c r="CD211" s="167">
        <v>0</v>
      </c>
      <c r="CE211" s="167">
        <v>0</v>
      </c>
      <c r="CF211" s="167">
        <v>0</v>
      </c>
      <c r="CG211" s="167">
        <v>0</v>
      </c>
      <c r="CH211" s="167">
        <v>0</v>
      </c>
      <c r="CI211" s="167">
        <v>0</v>
      </c>
      <c r="CJ211" s="167">
        <v>0</v>
      </c>
      <c r="CK211" s="167">
        <v>0</v>
      </c>
      <c r="CL211" s="167">
        <v>0</v>
      </c>
      <c r="CM211" s="167">
        <v>0</v>
      </c>
      <c r="CN211" s="167">
        <v>0</v>
      </c>
      <c r="CO211" s="167">
        <v>0</v>
      </c>
      <c r="CP211" s="167">
        <v>0</v>
      </c>
      <c r="CQ211" s="167">
        <v>0</v>
      </c>
      <c r="CR211" s="167">
        <v>0</v>
      </c>
      <c r="CS211" s="167">
        <v>0</v>
      </c>
      <c r="CT211" s="167">
        <v>0</v>
      </c>
      <c r="CU211" s="167">
        <v>0</v>
      </c>
      <c r="CV211" s="167">
        <v>0</v>
      </c>
      <c r="CW211" s="167">
        <v>0</v>
      </c>
      <c r="CX211" s="167">
        <f>SUM(CD211:CH211)</f>
        <v>0</v>
      </c>
      <c r="CY211" s="167">
        <f>SUM(CD211:CM211)</f>
        <v>0</v>
      </c>
    </row>
    <row r="212" spans="1:103" ht="12.75" customHeight="1" x14ac:dyDescent="0.2">
      <c r="A212" s="81">
        <v>6484</v>
      </c>
      <c r="B212" s="165" t="s">
        <v>1924</v>
      </c>
      <c r="C212" s="165" t="s">
        <v>1672</v>
      </c>
      <c r="E212" s="165" t="s">
        <v>3263</v>
      </c>
      <c r="G212" s="81">
        <v>527426</v>
      </c>
      <c r="H212" s="81">
        <v>171659</v>
      </c>
      <c r="I212" s="165" t="s">
        <v>242</v>
      </c>
      <c r="J212" s="349">
        <v>42863</v>
      </c>
      <c r="K212" s="349">
        <v>43190</v>
      </c>
      <c r="L212" s="166">
        <v>2</v>
      </c>
      <c r="M212" s="166">
        <v>1</v>
      </c>
      <c r="N212" s="166">
        <v>-1</v>
      </c>
      <c r="O212" s="166">
        <v>1</v>
      </c>
      <c r="P212" s="166">
        <v>-1</v>
      </c>
      <c r="R212" s="165" t="s">
        <v>1673</v>
      </c>
      <c r="S212" s="81" t="s">
        <v>113</v>
      </c>
      <c r="T212" s="349">
        <v>42807</v>
      </c>
      <c r="U212" s="349">
        <v>42863</v>
      </c>
      <c r="V212" s="81" t="s">
        <v>155</v>
      </c>
      <c r="W212" s="81" t="s">
        <v>114</v>
      </c>
      <c r="Y212" s="81" t="s">
        <v>115</v>
      </c>
      <c r="Z212" s="81" t="s">
        <v>119</v>
      </c>
      <c r="AA212" s="81" t="s">
        <v>117</v>
      </c>
      <c r="AB212" s="81" t="s">
        <v>336</v>
      </c>
      <c r="AC212" s="166">
        <v>1.7999999225139601E-2</v>
      </c>
      <c r="AD212" s="349">
        <v>42863</v>
      </c>
      <c r="AE212" s="81" t="s">
        <v>155</v>
      </c>
      <c r="AF212" s="349">
        <v>43190</v>
      </c>
      <c r="AG212" s="81" t="s">
        <v>238</v>
      </c>
      <c r="AH212" s="81" t="s">
        <v>118</v>
      </c>
      <c r="AK212" s="166">
        <v>0</v>
      </c>
      <c r="AM212" s="166">
        <v>0</v>
      </c>
      <c r="AO212" s="166">
        <v>0</v>
      </c>
      <c r="AP212" s="166">
        <v>-1</v>
      </c>
      <c r="AQ212" s="166">
        <v>-1</v>
      </c>
      <c r="AR212" s="166">
        <v>1</v>
      </c>
      <c r="AS212" s="166">
        <v>0</v>
      </c>
      <c r="AT212" s="166">
        <v>0</v>
      </c>
      <c r="AU212" s="166">
        <v>0</v>
      </c>
      <c r="AV212" s="166">
        <v>0</v>
      </c>
      <c r="AW212" s="166">
        <v>-1</v>
      </c>
      <c r="AX212" s="166">
        <v>-1</v>
      </c>
      <c r="AY212" s="166">
        <v>0</v>
      </c>
      <c r="AZ212" s="166">
        <v>0</v>
      </c>
      <c r="BA212" s="166">
        <v>0</v>
      </c>
      <c r="BB212" s="166">
        <v>0</v>
      </c>
      <c r="BC212" s="166">
        <v>0</v>
      </c>
      <c r="BD212" s="166">
        <v>0</v>
      </c>
      <c r="BE212" s="166">
        <v>0</v>
      </c>
      <c r="BF212" s="166">
        <v>1</v>
      </c>
      <c r="BG212" s="166">
        <v>0</v>
      </c>
      <c r="BH212" s="166">
        <v>0</v>
      </c>
      <c r="BI212" s="166">
        <v>0</v>
      </c>
      <c r="BJ212" s="166">
        <v>0</v>
      </c>
      <c r="BK212" s="166">
        <v>0</v>
      </c>
      <c r="BL212" s="166">
        <v>0</v>
      </c>
      <c r="BM212" s="166">
        <v>0</v>
      </c>
      <c r="BN212" s="166">
        <v>0</v>
      </c>
      <c r="BO212" s="166">
        <v>0</v>
      </c>
      <c r="BP212" s="166">
        <v>0</v>
      </c>
      <c r="BQ212" s="81" t="s">
        <v>1757</v>
      </c>
      <c r="BZ212" s="81" t="s">
        <v>155</v>
      </c>
      <c r="CA212" s="81">
        <v>7</v>
      </c>
      <c r="CC212" s="167">
        <f>N212</f>
        <v>-1</v>
      </c>
      <c r="CD212" s="167">
        <v>0</v>
      </c>
      <c r="CE212" s="167">
        <v>0</v>
      </c>
      <c r="CF212" s="167">
        <v>0</v>
      </c>
      <c r="CG212" s="167">
        <v>0</v>
      </c>
      <c r="CH212" s="167">
        <v>0</v>
      </c>
      <c r="CI212" s="167">
        <v>0</v>
      </c>
      <c r="CJ212" s="167">
        <v>0</v>
      </c>
      <c r="CK212" s="167">
        <v>0</v>
      </c>
      <c r="CL212" s="167">
        <v>0</v>
      </c>
      <c r="CM212" s="167">
        <v>0</v>
      </c>
      <c r="CN212" s="167">
        <v>0</v>
      </c>
      <c r="CO212" s="167">
        <v>0</v>
      </c>
      <c r="CP212" s="167">
        <v>0</v>
      </c>
      <c r="CQ212" s="167">
        <v>0</v>
      </c>
      <c r="CR212" s="167">
        <v>0</v>
      </c>
      <c r="CS212" s="167">
        <v>0</v>
      </c>
      <c r="CT212" s="167">
        <v>0</v>
      </c>
      <c r="CU212" s="167">
        <v>0</v>
      </c>
      <c r="CV212" s="167">
        <v>0</v>
      </c>
      <c r="CW212" s="167">
        <v>0</v>
      </c>
      <c r="CX212" s="167">
        <f>SUM(CD212:CH212)</f>
        <v>0</v>
      </c>
      <c r="CY212" s="167">
        <f>SUM(CD212:CM212)</f>
        <v>0</v>
      </c>
    </row>
    <row r="213" spans="1:103" ht="12.75" customHeight="1" x14ac:dyDescent="0.2">
      <c r="A213" s="81">
        <v>6488</v>
      </c>
      <c r="B213" s="165" t="s">
        <v>1924</v>
      </c>
      <c r="C213" s="165" t="s">
        <v>3264</v>
      </c>
      <c r="E213" s="165" t="s">
        <v>3265</v>
      </c>
      <c r="G213" s="81">
        <v>525892</v>
      </c>
      <c r="H213" s="81">
        <v>173930</v>
      </c>
      <c r="I213" s="165" t="s">
        <v>249</v>
      </c>
      <c r="K213" s="349">
        <v>43190</v>
      </c>
      <c r="L213" s="166">
        <v>1</v>
      </c>
      <c r="M213" s="166">
        <v>2</v>
      </c>
      <c r="N213" s="166">
        <v>1</v>
      </c>
      <c r="O213" s="166">
        <v>3</v>
      </c>
      <c r="P213" s="166">
        <v>2</v>
      </c>
      <c r="R213" s="165" t="s">
        <v>3266</v>
      </c>
      <c r="S213" s="81" t="s">
        <v>113</v>
      </c>
      <c r="T213" s="349">
        <v>42913</v>
      </c>
      <c r="U213" s="349">
        <v>42971</v>
      </c>
      <c r="V213" s="81" t="s">
        <v>155</v>
      </c>
      <c r="W213" s="81" t="s">
        <v>114</v>
      </c>
      <c r="Y213" s="81" t="s">
        <v>115</v>
      </c>
      <c r="Z213" s="81" t="s">
        <v>398</v>
      </c>
      <c r="AA213" s="81" t="s">
        <v>117</v>
      </c>
      <c r="AB213" s="81" t="s">
        <v>220</v>
      </c>
      <c r="AC213" s="166">
        <v>4.9999998882412902E-3</v>
      </c>
      <c r="AF213" s="349">
        <v>43190</v>
      </c>
      <c r="AG213" s="81" t="s">
        <v>238</v>
      </c>
      <c r="AH213" s="81" t="s">
        <v>118</v>
      </c>
      <c r="AK213" s="166">
        <v>0</v>
      </c>
      <c r="AM213" s="166">
        <v>0</v>
      </c>
      <c r="AO213" s="166">
        <v>0</v>
      </c>
      <c r="AP213" s="166">
        <v>1</v>
      </c>
      <c r="AQ213" s="166">
        <v>1</v>
      </c>
      <c r="AR213" s="166">
        <v>-1</v>
      </c>
      <c r="AS213" s="166">
        <v>0</v>
      </c>
      <c r="AT213" s="166">
        <v>0</v>
      </c>
      <c r="AU213" s="166">
        <v>0</v>
      </c>
      <c r="AV213" s="166">
        <v>0</v>
      </c>
      <c r="AW213" s="166">
        <v>1</v>
      </c>
      <c r="AX213" s="166">
        <v>1</v>
      </c>
      <c r="AY213" s="166">
        <v>-1</v>
      </c>
      <c r="AZ213" s="166">
        <v>0</v>
      </c>
      <c r="BA213" s="166">
        <v>0</v>
      </c>
      <c r="BB213" s="166">
        <v>0</v>
      </c>
      <c r="BC213" s="166">
        <v>0</v>
      </c>
      <c r="BD213" s="166">
        <v>0</v>
      </c>
      <c r="BE213" s="166">
        <v>0</v>
      </c>
      <c r="BF213" s="166">
        <v>0</v>
      </c>
      <c r="BG213" s="166">
        <v>0</v>
      </c>
      <c r="BH213" s="166">
        <v>0</v>
      </c>
      <c r="BI213" s="166">
        <v>0</v>
      </c>
      <c r="BJ213" s="166">
        <v>0</v>
      </c>
      <c r="BK213" s="166">
        <v>0</v>
      </c>
      <c r="BL213" s="166">
        <v>0</v>
      </c>
      <c r="BM213" s="166">
        <v>0</v>
      </c>
      <c r="BN213" s="166">
        <v>0</v>
      </c>
      <c r="BO213" s="166">
        <v>0</v>
      </c>
      <c r="BP213" s="166">
        <v>0</v>
      </c>
      <c r="BQ213" s="81" t="s">
        <v>1758</v>
      </c>
      <c r="BZ213" s="81" t="s">
        <v>155</v>
      </c>
      <c r="CA213" s="81">
        <v>7</v>
      </c>
      <c r="CC213" s="167">
        <f>N213</f>
        <v>1</v>
      </c>
      <c r="CD213" s="167">
        <v>0</v>
      </c>
      <c r="CE213" s="167">
        <v>0</v>
      </c>
      <c r="CF213" s="167">
        <v>0</v>
      </c>
      <c r="CG213" s="167">
        <v>0</v>
      </c>
      <c r="CH213" s="167">
        <v>0</v>
      </c>
      <c r="CI213" s="167">
        <v>0</v>
      </c>
      <c r="CJ213" s="167">
        <v>0</v>
      </c>
      <c r="CK213" s="167">
        <v>0</v>
      </c>
      <c r="CL213" s="167">
        <v>0</v>
      </c>
      <c r="CM213" s="167">
        <v>0</v>
      </c>
      <c r="CN213" s="167">
        <v>0</v>
      </c>
      <c r="CO213" s="167">
        <v>0</v>
      </c>
      <c r="CP213" s="167">
        <v>0</v>
      </c>
      <c r="CQ213" s="167">
        <v>0</v>
      </c>
      <c r="CR213" s="167">
        <v>0</v>
      </c>
      <c r="CS213" s="167">
        <v>0</v>
      </c>
      <c r="CT213" s="167">
        <v>0</v>
      </c>
      <c r="CU213" s="167">
        <v>0</v>
      </c>
      <c r="CV213" s="167">
        <v>0</v>
      </c>
      <c r="CW213" s="167">
        <v>0</v>
      </c>
      <c r="CX213" s="167">
        <f>SUM(CD213:CH213)</f>
        <v>0</v>
      </c>
      <c r="CY213" s="167">
        <f>SUM(CD213:CM213)</f>
        <v>0</v>
      </c>
    </row>
    <row r="214" spans="1:103" ht="12.75" customHeight="1" x14ac:dyDescent="0.2">
      <c r="A214" s="81">
        <v>6488</v>
      </c>
      <c r="B214" s="165" t="s">
        <v>1924</v>
      </c>
      <c r="C214" s="165" t="s">
        <v>3264</v>
      </c>
      <c r="E214" s="165" t="s">
        <v>3265</v>
      </c>
      <c r="G214" s="81">
        <v>525892</v>
      </c>
      <c r="H214" s="81">
        <v>173930</v>
      </c>
      <c r="I214" s="165" t="s">
        <v>249</v>
      </c>
      <c r="K214" s="349">
        <v>43190</v>
      </c>
      <c r="L214" s="166">
        <v>0</v>
      </c>
      <c r="M214" s="166">
        <v>1</v>
      </c>
      <c r="N214" s="166">
        <v>1</v>
      </c>
      <c r="O214" s="166">
        <v>3</v>
      </c>
      <c r="P214" s="166">
        <v>2</v>
      </c>
      <c r="R214" s="165" t="s">
        <v>3266</v>
      </c>
      <c r="S214" s="81" t="s">
        <v>113</v>
      </c>
      <c r="T214" s="349">
        <v>42913</v>
      </c>
      <c r="U214" s="349">
        <v>42971</v>
      </c>
      <c r="V214" s="81" t="s">
        <v>155</v>
      </c>
      <c r="W214" s="81" t="s">
        <v>114</v>
      </c>
      <c r="Y214" s="81" t="s">
        <v>115</v>
      </c>
      <c r="Z214" s="81" t="s">
        <v>398</v>
      </c>
      <c r="AA214" s="81" t="s">
        <v>117</v>
      </c>
      <c r="AB214" s="81" t="s">
        <v>311</v>
      </c>
      <c r="AC214" s="166">
        <v>2.0000000949949E-3</v>
      </c>
      <c r="AF214" s="349">
        <v>43190</v>
      </c>
      <c r="AG214" s="81" t="s">
        <v>238</v>
      </c>
      <c r="AH214" s="81" t="s">
        <v>118</v>
      </c>
      <c r="AK214" s="166">
        <v>0</v>
      </c>
      <c r="AM214" s="166">
        <v>0</v>
      </c>
      <c r="AO214" s="166">
        <v>0</v>
      </c>
      <c r="AP214" s="166">
        <v>0</v>
      </c>
      <c r="AQ214" s="166">
        <v>1</v>
      </c>
      <c r="AR214" s="166">
        <v>0</v>
      </c>
      <c r="AS214" s="166">
        <v>0</v>
      </c>
      <c r="AT214" s="166">
        <v>0</v>
      </c>
      <c r="AU214" s="166">
        <v>0</v>
      </c>
      <c r="AV214" s="166">
        <v>0</v>
      </c>
      <c r="AW214" s="166">
        <v>0</v>
      </c>
      <c r="AX214" s="166">
        <v>1</v>
      </c>
      <c r="AY214" s="166">
        <v>0</v>
      </c>
      <c r="AZ214" s="166">
        <v>0</v>
      </c>
      <c r="BA214" s="166">
        <v>0</v>
      </c>
      <c r="BB214" s="166">
        <v>0</v>
      </c>
      <c r="BC214" s="166">
        <v>0</v>
      </c>
      <c r="BD214" s="166">
        <v>0</v>
      </c>
      <c r="BE214" s="166">
        <v>0</v>
      </c>
      <c r="BF214" s="166">
        <v>0</v>
      </c>
      <c r="BG214" s="166">
        <v>0</v>
      </c>
      <c r="BH214" s="166">
        <v>0</v>
      </c>
      <c r="BI214" s="166">
        <v>0</v>
      </c>
      <c r="BJ214" s="166">
        <v>0</v>
      </c>
      <c r="BK214" s="166">
        <v>0</v>
      </c>
      <c r="BL214" s="166">
        <v>0</v>
      </c>
      <c r="BM214" s="166">
        <v>0</v>
      </c>
      <c r="BN214" s="166">
        <v>0</v>
      </c>
      <c r="BO214" s="166">
        <v>0</v>
      </c>
      <c r="BP214" s="166">
        <v>0</v>
      </c>
      <c r="BQ214" s="81" t="s">
        <v>1758</v>
      </c>
      <c r="BZ214" s="81" t="s">
        <v>155</v>
      </c>
      <c r="CA214" s="81">
        <v>7</v>
      </c>
      <c r="CC214" s="167">
        <f>N214</f>
        <v>1</v>
      </c>
      <c r="CD214" s="167">
        <v>0</v>
      </c>
      <c r="CE214" s="167">
        <v>0</v>
      </c>
      <c r="CF214" s="167">
        <v>0</v>
      </c>
      <c r="CG214" s="167">
        <v>0</v>
      </c>
      <c r="CH214" s="167">
        <v>0</v>
      </c>
      <c r="CI214" s="167">
        <v>0</v>
      </c>
      <c r="CJ214" s="167">
        <v>0</v>
      </c>
      <c r="CK214" s="167">
        <v>0</v>
      </c>
      <c r="CL214" s="167">
        <v>0</v>
      </c>
      <c r="CM214" s="167">
        <v>0</v>
      </c>
      <c r="CN214" s="167">
        <v>0</v>
      </c>
      <c r="CO214" s="167">
        <v>0</v>
      </c>
      <c r="CP214" s="167">
        <v>0</v>
      </c>
      <c r="CQ214" s="167">
        <v>0</v>
      </c>
      <c r="CR214" s="167">
        <v>0</v>
      </c>
      <c r="CS214" s="167">
        <v>0</v>
      </c>
      <c r="CT214" s="167">
        <v>0</v>
      </c>
      <c r="CU214" s="167">
        <v>0</v>
      </c>
      <c r="CV214" s="167">
        <v>0</v>
      </c>
      <c r="CW214" s="167">
        <v>0</v>
      </c>
      <c r="CX214" s="167">
        <f>SUM(CD214:CH214)</f>
        <v>0</v>
      </c>
      <c r="CY214" s="167">
        <f>SUM(CD214:CM214)</f>
        <v>0</v>
      </c>
    </row>
    <row r="215" spans="1:103" ht="12.75" customHeight="1" x14ac:dyDescent="0.2">
      <c r="A215" s="81">
        <v>6506</v>
      </c>
      <c r="B215" s="165" t="s">
        <v>1924</v>
      </c>
      <c r="C215" s="165" t="s">
        <v>1299</v>
      </c>
      <c r="D215" s="165" t="s">
        <v>876</v>
      </c>
      <c r="E215" s="165" t="s">
        <v>3267</v>
      </c>
      <c r="G215" s="81">
        <v>526382</v>
      </c>
      <c r="H215" s="81">
        <v>175731</v>
      </c>
      <c r="I215" s="165" t="s">
        <v>257</v>
      </c>
      <c r="J215" s="349">
        <v>42826</v>
      </c>
      <c r="K215" s="349">
        <v>43190</v>
      </c>
      <c r="L215" s="166">
        <v>0</v>
      </c>
      <c r="M215" s="166">
        <v>3</v>
      </c>
      <c r="N215" s="166">
        <v>3</v>
      </c>
      <c r="O215" s="166">
        <v>3</v>
      </c>
      <c r="P215" s="166">
        <v>3</v>
      </c>
      <c r="R215" s="165" t="s">
        <v>1300</v>
      </c>
      <c r="S215" s="81" t="s">
        <v>270</v>
      </c>
      <c r="T215" s="349">
        <v>42536</v>
      </c>
      <c r="U215" s="349">
        <v>42592</v>
      </c>
      <c r="W215" s="81" t="s">
        <v>114</v>
      </c>
      <c r="Y215" s="81" t="s">
        <v>115</v>
      </c>
      <c r="Z215" s="81" t="s">
        <v>310</v>
      </c>
      <c r="AA215" s="81" t="s">
        <v>117</v>
      </c>
      <c r="AB215" s="81" t="s">
        <v>399</v>
      </c>
      <c r="AC215" s="166">
        <v>1.7000000923872001E-2</v>
      </c>
      <c r="AD215" s="349">
        <v>42826</v>
      </c>
      <c r="AE215" s="81" t="s">
        <v>155</v>
      </c>
      <c r="AF215" s="349">
        <v>43190</v>
      </c>
      <c r="AG215" s="81" t="s">
        <v>238</v>
      </c>
      <c r="AH215" s="81" t="s">
        <v>118</v>
      </c>
      <c r="AK215" s="166">
        <v>0</v>
      </c>
      <c r="AM215" s="166">
        <v>0</v>
      </c>
      <c r="AO215" s="166">
        <v>0</v>
      </c>
      <c r="AP215" s="166">
        <v>2</v>
      </c>
      <c r="AQ215" s="166">
        <v>1</v>
      </c>
      <c r="AR215" s="166">
        <v>0</v>
      </c>
      <c r="AS215" s="166">
        <v>0</v>
      </c>
      <c r="AT215" s="166">
        <v>0</v>
      </c>
      <c r="AU215" s="166">
        <v>0</v>
      </c>
      <c r="AV215" s="166">
        <v>0</v>
      </c>
      <c r="AW215" s="166">
        <v>2</v>
      </c>
      <c r="AX215" s="166">
        <v>1</v>
      </c>
      <c r="AY215" s="166">
        <v>0</v>
      </c>
      <c r="AZ215" s="166">
        <v>0</v>
      </c>
      <c r="BA215" s="166">
        <v>0</v>
      </c>
      <c r="BB215" s="166">
        <v>0</v>
      </c>
      <c r="BC215" s="166">
        <v>0</v>
      </c>
      <c r="BD215" s="166">
        <v>0</v>
      </c>
      <c r="BE215" s="166">
        <v>0</v>
      </c>
      <c r="BF215" s="166">
        <v>0</v>
      </c>
      <c r="BG215" s="166">
        <v>0</v>
      </c>
      <c r="BH215" s="166">
        <v>0</v>
      </c>
      <c r="BI215" s="166">
        <v>0</v>
      </c>
      <c r="BJ215" s="166">
        <v>0</v>
      </c>
      <c r="BK215" s="166">
        <v>0</v>
      </c>
      <c r="BL215" s="166">
        <v>0</v>
      </c>
      <c r="BM215" s="166">
        <v>0</v>
      </c>
      <c r="BN215" s="166">
        <v>0</v>
      </c>
      <c r="BO215" s="166">
        <v>0</v>
      </c>
      <c r="BP215" s="166">
        <v>0</v>
      </c>
      <c r="BQ215" s="81" t="s">
        <v>1757</v>
      </c>
      <c r="BX215" s="81" t="s">
        <v>155</v>
      </c>
      <c r="BZ215" s="81" t="s">
        <v>155</v>
      </c>
      <c r="CA215" s="81">
        <v>7</v>
      </c>
      <c r="CC215" s="167">
        <f>N215</f>
        <v>3</v>
      </c>
      <c r="CD215" s="167">
        <v>0</v>
      </c>
      <c r="CE215" s="167">
        <v>0</v>
      </c>
      <c r="CF215" s="167">
        <v>0</v>
      </c>
      <c r="CG215" s="167">
        <v>0</v>
      </c>
      <c r="CH215" s="167">
        <v>0</v>
      </c>
      <c r="CI215" s="167">
        <v>0</v>
      </c>
      <c r="CJ215" s="167">
        <v>0</v>
      </c>
      <c r="CK215" s="167">
        <v>0</v>
      </c>
      <c r="CL215" s="167">
        <v>0</v>
      </c>
      <c r="CM215" s="167">
        <v>0</v>
      </c>
      <c r="CN215" s="167">
        <v>0</v>
      </c>
      <c r="CO215" s="167">
        <v>0</v>
      </c>
      <c r="CP215" s="167">
        <v>0</v>
      </c>
      <c r="CQ215" s="167">
        <v>0</v>
      </c>
      <c r="CR215" s="167">
        <v>0</v>
      </c>
      <c r="CS215" s="167">
        <v>0</v>
      </c>
      <c r="CT215" s="167">
        <v>0</v>
      </c>
      <c r="CU215" s="167">
        <v>0</v>
      </c>
      <c r="CV215" s="167">
        <v>0</v>
      </c>
      <c r="CW215" s="167">
        <v>0</v>
      </c>
      <c r="CX215" s="167">
        <f>SUM(CD215:CH215)</f>
        <v>0</v>
      </c>
      <c r="CY215" s="167">
        <f>SUM(CD215:CM215)</f>
        <v>0</v>
      </c>
    </row>
    <row r="216" spans="1:103" ht="12.75" customHeight="1" x14ac:dyDescent="0.2">
      <c r="A216" s="81">
        <v>6512</v>
      </c>
      <c r="B216" s="165" t="s">
        <v>1924</v>
      </c>
      <c r="C216" s="165" t="s">
        <v>3268</v>
      </c>
      <c r="E216" s="165" t="s">
        <v>3269</v>
      </c>
      <c r="G216" s="81">
        <v>527748</v>
      </c>
      <c r="H216" s="81">
        <v>173556</v>
      </c>
      <c r="I216" s="165" t="s">
        <v>254</v>
      </c>
      <c r="J216" s="349">
        <v>43035</v>
      </c>
      <c r="K216" s="349">
        <v>43060</v>
      </c>
      <c r="L216" s="166">
        <v>2</v>
      </c>
      <c r="M216" s="166">
        <v>2</v>
      </c>
      <c r="N216" s="166">
        <v>0</v>
      </c>
      <c r="O216" s="166">
        <v>4</v>
      </c>
      <c r="P216" s="166">
        <v>2</v>
      </c>
      <c r="R216" s="165" t="s">
        <v>3270</v>
      </c>
      <c r="S216" s="81" t="s">
        <v>113</v>
      </c>
      <c r="T216" s="349">
        <v>42837</v>
      </c>
      <c r="U216" s="349">
        <v>43003</v>
      </c>
      <c r="V216" s="81" t="s">
        <v>155</v>
      </c>
      <c r="W216" s="81" t="s">
        <v>114</v>
      </c>
      <c r="Y216" s="81" t="s">
        <v>115</v>
      </c>
      <c r="Z216" s="81" t="s">
        <v>398</v>
      </c>
      <c r="AA216" s="81" t="s">
        <v>117</v>
      </c>
      <c r="AB216" s="81" t="s">
        <v>300</v>
      </c>
      <c r="AC216" s="166">
        <v>2.19999998807907E-2</v>
      </c>
      <c r="AD216" s="349">
        <v>43035</v>
      </c>
      <c r="AE216" s="81" t="s">
        <v>155</v>
      </c>
      <c r="AF216" s="349">
        <v>43060</v>
      </c>
      <c r="AG216" s="81" t="s">
        <v>238</v>
      </c>
      <c r="AH216" s="81" t="s">
        <v>118</v>
      </c>
      <c r="AK216" s="166">
        <v>0</v>
      </c>
      <c r="AM216" s="166">
        <v>0</v>
      </c>
      <c r="AO216" s="166">
        <v>0</v>
      </c>
      <c r="AP216" s="166">
        <v>2</v>
      </c>
      <c r="AQ216" s="166">
        <v>-2</v>
      </c>
      <c r="AR216" s="166">
        <v>0</v>
      </c>
      <c r="AS216" s="166">
        <v>0</v>
      </c>
      <c r="AT216" s="166">
        <v>0</v>
      </c>
      <c r="AU216" s="166">
        <v>0</v>
      </c>
      <c r="AV216" s="166">
        <v>0</v>
      </c>
      <c r="AW216" s="166">
        <v>2</v>
      </c>
      <c r="AX216" s="166">
        <v>-2</v>
      </c>
      <c r="AY216" s="166">
        <v>0</v>
      </c>
      <c r="AZ216" s="166">
        <v>0</v>
      </c>
      <c r="BA216" s="166">
        <v>0</v>
      </c>
      <c r="BB216" s="166">
        <v>0</v>
      </c>
      <c r="BC216" s="166">
        <v>0</v>
      </c>
      <c r="BD216" s="166">
        <v>0</v>
      </c>
      <c r="BE216" s="166">
        <v>0</v>
      </c>
      <c r="BF216" s="166">
        <v>0</v>
      </c>
      <c r="BG216" s="166">
        <v>0</v>
      </c>
      <c r="BH216" s="166">
        <v>0</v>
      </c>
      <c r="BI216" s="166">
        <v>0</v>
      </c>
      <c r="BJ216" s="166">
        <v>0</v>
      </c>
      <c r="BK216" s="166">
        <v>0</v>
      </c>
      <c r="BL216" s="166">
        <v>0</v>
      </c>
      <c r="BM216" s="166">
        <v>0</v>
      </c>
      <c r="BN216" s="166">
        <v>0</v>
      </c>
      <c r="BO216" s="166">
        <v>0</v>
      </c>
      <c r="BP216" s="166">
        <v>0</v>
      </c>
      <c r="BQ216" s="81" t="s">
        <v>1757</v>
      </c>
      <c r="BZ216" s="81" t="s">
        <v>155</v>
      </c>
      <c r="CA216" s="81">
        <v>7</v>
      </c>
      <c r="CC216" s="167">
        <f>N216</f>
        <v>0</v>
      </c>
      <c r="CD216" s="167">
        <v>0</v>
      </c>
      <c r="CE216" s="167">
        <v>0</v>
      </c>
      <c r="CF216" s="167">
        <v>0</v>
      </c>
      <c r="CG216" s="167">
        <v>0</v>
      </c>
      <c r="CH216" s="167">
        <v>0</v>
      </c>
      <c r="CI216" s="167">
        <v>0</v>
      </c>
      <c r="CJ216" s="167">
        <v>0</v>
      </c>
      <c r="CK216" s="167">
        <v>0</v>
      </c>
      <c r="CL216" s="167">
        <v>0</v>
      </c>
      <c r="CM216" s="167">
        <v>0</v>
      </c>
      <c r="CN216" s="167">
        <v>0</v>
      </c>
      <c r="CO216" s="167">
        <v>0</v>
      </c>
      <c r="CP216" s="167">
        <v>0</v>
      </c>
      <c r="CQ216" s="167">
        <v>0</v>
      </c>
      <c r="CR216" s="167">
        <v>0</v>
      </c>
      <c r="CS216" s="167">
        <v>0</v>
      </c>
      <c r="CT216" s="167">
        <v>0</v>
      </c>
      <c r="CU216" s="167">
        <v>0</v>
      </c>
      <c r="CV216" s="167">
        <v>0</v>
      </c>
      <c r="CW216" s="167">
        <v>0</v>
      </c>
      <c r="CX216" s="167">
        <f>SUM(CD216:CH216)</f>
        <v>0</v>
      </c>
      <c r="CY216" s="167">
        <f>SUM(CD216:CM216)</f>
        <v>0</v>
      </c>
    </row>
    <row r="217" spans="1:103" ht="12.75" customHeight="1" x14ac:dyDescent="0.2">
      <c r="A217" s="81">
        <v>6512</v>
      </c>
      <c r="B217" s="165" t="s">
        <v>1924</v>
      </c>
      <c r="C217" s="165" t="s">
        <v>3268</v>
      </c>
      <c r="E217" s="165" t="s">
        <v>3269</v>
      </c>
      <c r="G217" s="81">
        <v>527748</v>
      </c>
      <c r="H217" s="81">
        <v>173556</v>
      </c>
      <c r="I217" s="165" t="s">
        <v>254</v>
      </c>
      <c r="J217" s="349">
        <v>43035</v>
      </c>
      <c r="K217" s="349">
        <v>43060</v>
      </c>
      <c r="L217" s="166">
        <v>0</v>
      </c>
      <c r="M217" s="166">
        <v>2</v>
      </c>
      <c r="N217" s="166">
        <v>2</v>
      </c>
      <c r="O217" s="166">
        <v>4</v>
      </c>
      <c r="P217" s="166">
        <v>2</v>
      </c>
      <c r="R217" s="165" t="s">
        <v>3270</v>
      </c>
      <c r="S217" s="81" t="s">
        <v>113</v>
      </c>
      <c r="T217" s="349">
        <v>42837</v>
      </c>
      <c r="U217" s="349">
        <v>43003</v>
      </c>
      <c r="V217" s="81" t="s">
        <v>155</v>
      </c>
      <c r="W217" s="81" t="s">
        <v>114</v>
      </c>
      <c r="Y217" s="81" t="s">
        <v>115</v>
      </c>
      <c r="Z217" s="81" t="s">
        <v>398</v>
      </c>
      <c r="AA217" s="81" t="s">
        <v>117</v>
      </c>
      <c r="AB217" s="81" t="s">
        <v>218</v>
      </c>
      <c r="AC217" s="166">
        <v>2.19999998807907E-2</v>
      </c>
      <c r="AD217" s="349">
        <v>43035</v>
      </c>
      <c r="AE217" s="81" t="s">
        <v>155</v>
      </c>
      <c r="AF217" s="349">
        <v>43060</v>
      </c>
      <c r="AG217" s="81" t="s">
        <v>238</v>
      </c>
      <c r="AH217" s="81" t="s">
        <v>118</v>
      </c>
      <c r="AK217" s="166">
        <v>0</v>
      </c>
      <c r="AM217" s="166">
        <v>0</v>
      </c>
      <c r="AO217" s="166">
        <v>0</v>
      </c>
      <c r="AP217" s="166">
        <v>0</v>
      </c>
      <c r="AQ217" s="166">
        <v>0</v>
      </c>
      <c r="AR217" s="166">
        <v>2</v>
      </c>
      <c r="AS217" s="166">
        <v>0</v>
      </c>
      <c r="AT217" s="166">
        <v>0</v>
      </c>
      <c r="AU217" s="166">
        <v>0</v>
      </c>
      <c r="AV217" s="166">
        <v>0</v>
      </c>
      <c r="AW217" s="166">
        <v>0</v>
      </c>
      <c r="AX217" s="166">
        <v>0</v>
      </c>
      <c r="AY217" s="166">
        <v>2</v>
      </c>
      <c r="AZ217" s="166">
        <v>0</v>
      </c>
      <c r="BA217" s="166">
        <v>0</v>
      </c>
      <c r="BB217" s="166">
        <v>0</v>
      </c>
      <c r="BC217" s="166">
        <v>0</v>
      </c>
      <c r="BD217" s="166">
        <v>0</v>
      </c>
      <c r="BE217" s="166">
        <v>0</v>
      </c>
      <c r="BF217" s="166">
        <v>0</v>
      </c>
      <c r="BG217" s="166">
        <v>0</v>
      </c>
      <c r="BH217" s="166">
        <v>0</v>
      </c>
      <c r="BI217" s="166">
        <v>0</v>
      </c>
      <c r="BJ217" s="166">
        <v>0</v>
      </c>
      <c r="BK217" s="166">
        <v>0</v>
      </c>
      <c r="BL217" s="166">
        <v>0</v>
      </c>
      <c r="BM217" s="166">
        <v>0</v>
      </c>
      <c r="BN217" s="166">
        <v>0</v>
      </c>
      <c r="BO217" s="166">
        <v>0</v>
      </c>
      <c r="BP217" s="166">
        <v>0</v>
      </c>
      <c r="BQ217" s="81" t="s">
        <v>1757</v>
      </c>
      <c r="BZ217" s="81" t="s">
        <v>155</v>
      </c>
      <c r="CA217" s="81">
        <v>7</v>
      </c>
      <c r="CC217" s="167">
        <f>N217</f>
        <v>2</v>
      </c>
      <c r="CD217" s="167">
        <v>0</v>
      </c>
      <c r="CE217" s="167">
        <v>0</v>
      </c>
      <c r="CF217" s="167">
        <v>0</v>
      </c>
      <c r="CG217" s="167">
        <v>0</v>
      </c>
      <c r="CH217" s="167">
        <v>0</v>
      </c>
      <c r="CI217" s="167">
        <v>0</v>
      </c>
      <c r="CJ217" s="167">
        <v>0</v>
      </c>
      <c r="CK217" s="167">
        <v>0</v>
      </c>
      <c r="CL217" s="167">
        <v>0</v>
      </c>
      <c r="CM217" s="167">
        <v>0</v>
      </c>
      <c r="CN217" s="167">
        <v>0</v>
      </c>
      <c r="CO217" s="167">
        <v>0</v>
      </c>
      <c r="CP217" s="167">
        <v>0</v>
      </c>
      <c r="CQ217" s="167">
        <v>0</v>
      </c>
      <c r="CR217" s="167">
        <v>0</v>
      </c>
      <c r="CS217" s="167">
        <v>0</v>
      </c>
      <c r="CT217" s="167">
        <v>0</v>
      </c>
      <c r="CU217" s="167">
        <v>0</v>
      </c>
      <c r="CV217" s="167">
        <v>0</v>
      </c>
      <c r="CW217" s="167">
        <v>0</v>
      </c>
      <c r="CX217" s="167">
        <f>SUM(CD217:CH217)</f>
        <v>0</v>
      </c>
      <c r="CY217" s="167">
        <f>SUM(CD217:CM217)</f>
        <v>0</v>
      </c>
    </row>
    <row r="218" spans="1:103" ht="12.75" customHeight="1" x14ac:dyDescent="0.2">
      <c r="A218" s="81">
        <v>6533</v>
      </c>
      <c r="B218" s="165" t="s">
        <v>1924</v>
      </c>
      <c r="C218" s="165" t="s">
        <v>1655</v>
      </c>
      <c r="E218" s="165" t="s">
        <v>3271</v>
      </c>
      <c r="G218" s="81">
        <v>524407</v>
      </c>
      <c r="H218" s="81">
        <v>175018</v>
      </c>
      <c r="I218" s="165" t="s">
        <v>259</v>
      </c>
      <c r="J218" s="349">
        <v>42873</v>
      </c>
      <c r="K218" s="349">
        <v>43047</v>
      </c>
      <c r="L218" s="166">
        <v>1</v>
      </c>
      <c r="M218" s="166">
        <v>2</v>
      </c>
      <c r="N218" s="166">
        <v>1</v>
      </c>
      <c r="O218" s="166">
        <v>2</v>
      </c>
      <c r="P218" s="166">
        <v>1</v>
      </c>
      <c r="R218" s="165" t="s">
        <v>1656</v>
      </c>
      <c r="S218" s="81" t="s">
        <v>113</v>
      </c>
      <c r="T218" s="349">
        <v>42814</v>
      </c>
      <c r="U218" s="349">
        <v>42870</v>
      </c>
      <c r="V218" s="81" t="s">
        <v>155</v>
      </c>
      <c r="W218" s="81" t="s">
        <v>114</v>
      </c>
      <c r="Y218" s="81" t="s">
        <v>115</v>
      </c>
      <c r="Z218" s="81" t="s">
        <v>219</v>
      </c>
      <c r="AA218" s="81" t="s">
        <v>117</v>
      </c>
      <c r="AB218" s="81" t="s">
        <v>120</v>
      </c>
      <c r="AC218" s="166">
        <v>1.60000007599592E-2</v>
      </c>
      <c r="AD218" s="349">
        <v>42873</v>
      </c>
      <c r="AE218" s="81" t="s">
        <v>155</v>
      </c>
      <c r="AF218" s="349">
        <v>43047</v>
      </c>
      <c r="AG218" s="81" t="s">
        <v>238</v>
      </c>
      <c r="AH218" s="81" t="s">
        <v>118</v>
      </c>
      <c r="AK218" s="166">
        <v>0</v>
      </c>
      <c r="AM218" s="166">
        <v>0</v>
      </c>
      <c r="AO218" s="166">
        <v>0</v>
      </c>
      <c r="AP218" s="166">
        <v>0</v>
      </c>
      <c r="AQ218" s="166">
        <v>1</v>
      </c>
      <c r="AR218" s="166">
        <v>0</v>
      </c>
      <c r="AS218" s="166">
        <v>0</v>
      </c>
      <c r="AT218" s="166">
        <v>0</v>
      </c>
      <c r="AU218" s="166">
        <v>0</v>
      </c>
      <c r="AV218" s="166">
        <v>0</v>
      </c>
      <c r="AW218" s="166">
        <v>0</v>
      </c>
      <c r="AX218" s="166">
        <v>1</v>
      </c>
      <c r="AY218" s="166">
        <v>1</v>
      </c>
      <c r="AZ218" s="166">
        <v>0</v>
      </c>
      <c r="BA218" s="166">
        <v>0</v>
      </c>
      <c r="BB218" s="166">
        <v>0</v>
      </c>
      <c r="BC218" s="166">
        <v>0</v>
      </c>
      <c r="BD218" s="166">
        <v>0</v>
      </c>
      <c r="BE218" s="166">
        <v>0</v>
      </c>
      <c r="BF218" s="166">
        <v>-1</v>
      </c>
      <c r="BG218" s="166">
        <v>0</v>
      </c>
      <c r="BH218" s="166">
        <v>0</v>
      </c>
      <c r="BI218" s="166">
        <v>0</v>
      </c>
      <c r="BJ218" s="166">
        <v>0</v>
      </c>
      <c r="BK218" s="166">
        <v>0</v>
      </c>
      <c r="BL218" s="166">
        <v>0</v>
      </c>
      <c r="BM218" s="166">
        <v>0</v>
      </c>
      <c r="BN218" s="166">
        <v>0</v>
      </c>
      <c r="BO218" s="166">
        <v>0</v>
      </c>
      <c r="BP218" s="166">
        <v>0</v>
      </c>
      <c r="BQ218" s="81" t="s">
        <v>1758</v>
      </c>
      <c r="BZ218" s="81" t="s">
        <v>155</v>
      </c>
      <c r="CA218" s="81">
        <v>7</v>
      </c>
      <c r="CC218" s="167">
        <f>N218</f>
        <v>1</v>
      </c>
      <c r="CD218" s="167">
        <v>0</v>
      </c>
      <c r="CE218" s="167">
        <v>0</v>
      </c>
      <c r="CF218" s="167">
        <v>0</v>
      </c>
      <c r="CG218" s="167">
        <v>0</v>
      </c>
      <c r="CH218" s="167">
        <v>0</v>
      </c>
      <c r="CI218" s="167">
        <v>0</v>
      </c>
      <c r="CJ218" s="167">
        <v>0</v>
      </c>
      <c r="CK218" s="167">
        <v>0</v>
      </c>
      <c r="CL218" s="167">
        <v>0</v>
      </c>
      <c r="CM218" s="167">
        <v>0</v>
      </c>
      <c r="CN218" s="167">
        <v>0</v>
      </c>
      <c r="CO218" s="167">
        <v>0</v>
      </c>
      <c r="CP218" s="167">
        <v>0</v>
      </c>
      <c r="CQ218" s="167">
        <v>0</v>
      </c>
      <c r="CR218" s="167">
        <v>0</v>
      </c>
      <c r="CS218" s="167">
        <v>0</v>
      </c>
      <c r="CT218" s="167">
        <v>0</v>
      </c>
      <c r="CU218" s="167">
        <v>0</v>
      </c>
      <c r="CV218" s="167">
        <v>0</v>
      </c>
      <c r="CW218" s="167">
        <v>0</v>
      </c>
      <c r="CX218" s="167">
        <f>SUM(CD218:CH218)</f>
        <v>0</v>
      </c>
      <c r="CY218" s="167">
        <f>SUM(CD218:CM218)</f>
        <v>0</v>
      </c>
    </row>
    <row r="219" spans="1:103" ht="12.75" customHeight="1" x14ac:dyDescent="0.2">
      <c r="A219" s="81">
        <v>6540</v>
      </c>
      <c r="B219" s="165" t="s">
        <v>1924</v>
      </c>
      <c r="C219" s="165" t="s">
        <v>3272</v>
      </c>
      <c r="E219" s="165" t="s">
        <v>3273</v>
      </c>
      <c r="G219" s="81">
        <v>527359</v>
      </c>
      <c r="H219" s="81">
        <v>176346</v>
      </c>
      <c r="I219" s="165" t="s">
        <v>257</v>
      </c>
      <c r="J219" s="349">
        <v>42024</v>
      </c>
      <c r="K219" s="349">
        <v>43190</v>
      </c>
      <c r="L219" s="166">
        <v>1</v>
      </c>
      <c r="M219" s="166">
        <v>3</v>
      </c>
      <c r="N219" s="166">
        <v>2</v>
      </c>
      <c r="O219" s="166">
        <v>3</v>
      </c>
      <c r="P219" s="166">
        <v>2</v>
      </c>
      <c r="R219" s="165" t="s">
        <v>3274</v>
      </c>
      <c r="S219" s="81" t="s">
        <v>113</v>
      </c>
      <c r="T219" s="349">
        <v>42962</v>
      </c>
      <c r="U219" s="349">
        <v>43018</v>
      </c>
      <c r="V219" s="81" t="s">
        <v>155</v>
      </c>
      <c r="W219" s="81" t="s">
        <v>114</v>
      </c>
      <c r="Y219" s="81" t="s">
        <v>115</v>
      </c>
      <c r="Z219" s="81" t="s">
        <v>119</v>
      </c>
      <c r="AA219" s="81" t="s">
        <v>117</v>
      </c>
      <c r="AB219" s="81" t="s">
        <v>220</v>
      </c>
      <c r="AC219" s="166">
        <v>9.9999997764825804E-3</v>
      </c>
      <c r="AD219" s="349">
        <v>42024</v>
      </c>
      <c r="AF219" s="349">
        <v>43190</v>
      </c>
      <c r="AG219" s="81" t="s">
        <v>238</v>
      </c>
      <c r="AH219" s="81" t="s">
        <v>118</v>
      </c>
      <c r="AK219" s="166">
        <v>0</v>
      </c>
      <c r="AM219" s="166">
        <v>0</v>
      </c>
      <c r="AO219" s="166">
        <v>3</v>
      </c>
      <c r="AP219" s="166">
        <v>0</v>
      </c>
      <c r="AQ219" s="166">
        <v>0</v>
      </c>
      <c r="AR219" s="166">
        <v>0</v>
      </c>
      <c r="AS219" s="166">
        <v>-1</v>
      </c>
      <c r="AT219" s="166">
        <v>0</v>
      </c>
      <c r="AU219" s="166">
        <v>0</v>
      </c>
      <c r="AV219" s="166">
        <v>3</v>
      </c>
      <c r="AW219" s="166">
        <v>0</v>
      </c>
      <c r="AX219" s="166">
        <v>0</v>
      </c>
      <c r="AY219" s="166">
        <v>0</v>
      </c>
      <c r="AZ219" s="166">
        <v>-1</v>
      </c>
      <c r="BA219" s="166">
        <v>0</v>
      </c>
      <c r="BB219" s="166">
        <v>0</v>
      </c>
      <c r="BC219" s="166">
        <v>0</v>
      </c>
      <c r="BD219" s="166">
        <v>0</v>
      </c>
      <c r="BE219" s="166">
        <v>0</v>
      </c>
      <c r="BF219" s="166">
        <v>0</v>
      </c>
      <c r="BG219" s="166">
        <v>0</v>
      </c>
      <c r="BH219" s="166">
        <v>0</v>
      </c>
      <c r="BI219" s="166">
        <v>0</v>
      </c>
      <c r="BJ219" s="166">
        <v>0</v>
      </c>
      <c r="BK219" s="166">
        <v>0</v>
      </c>
      <c r="BL219" s="166">
        <v>0</v>
      </c>
      <c r="BM219" s="166">
        <v>0</v>
      </c>
      <c r="BN219" s="166">
        <v>0</v>
      </c>
      <c r="BO219" s="166">
        <v>0</v>
      </c>
      <c r="BP219" s="166">
        <v>0</v>
      </c>
      <c r="BQ219" s="81" t="s">
        <v>1757</v>
      </c>
      <c r="BZ219" s="81" t="s">
        <v>155</v>
      </c>
      <c r="CA219" s="81">
        <v>7</v>
      </c>
      <c r="CC219" s="167">
        <f>N219</f>
        <v>2</v>
      </c>
      <c r="CD219" s="167">
        <v>0</v>
      </c>
      <c r="CE219" s="167">
        <v>0</v>
      </c>
      <c r="CF219" s="167">
        <v>0</v>
      </c>
      <c r="CG219" s="167">
        <v>0</v>
      </c>
      <c r="CH219" s="167">
        <v>0</v>
      </c>
      <c r="CI219" s="167">
        <v>0</v>
      </c>
      <c r="CJ219" s="167">
        <v>0</v>
      </c>
      <c r="CK219" s="167">
        <v>0</v>
      </c>
      <c r="CL219" s="167">
        <v>0</v>
      </c>
      <c r="CM219" s="167">
        <v>0</v>
      </c>
      <c r="CN219" s="167">
        <v>0</v>
      </c>
      <c r="CO219" s="167">
        <v>0</v>
      </c>
      <c r="CP219" s="167">
        <v>0</v>
      </c>
      <c r="CQ219" s="167">
        <v>0</v>
      </c>
      <c r="CR219" s="167">
        <v>0</v>
      </c>
      <c r="CS219" s="167">
        <v>0</v>
      </c>
      <c r="CT219" s="167">
        <v>0</v>
      </c>
      <c r="CU219" s="167">
        <v>0</v>
      </c>
      <c r="CV219" s="167">
        <v>0</v>
      </c>
      <c r="CW219" s="167">
        <v>0</v>
      </c>
      <c r="CX219" s="167">
        <f>SUM(CD219:CH219)</f>
        <v>0</v>
      </c>
      <c r="CY219" s="167">
        <f>SUM(CD219:CM219)</f>
        <v>0</v>
      </c>
    </row>
    <row r="220" spans="1:103" ht="12.75" customHeight="1" x14ac:dyDescent="0.2">
      <c r="A220" s="81">
        <v>6547</v>
      </c>
      <c r="B220" s="165" t="s">
        <v>1924</v>
      </c>
      <c r="C220" s="165" t="s">
        <v>3275</v>
      </c>
      <c r="E220" s="165" t="s">
        <v>3276</v>
      </c>
      <c r="G220" s="81">
        <v>525331</v>
      </c>
      <c r="H220" s="81">
        <v>172796</v>
      </c>
      <c r="I220" s="165" t="s">
        <v>258</v>
      </c>
      <c r="J220" s="349">
        <v>42831</v>
      </c>
      <c r="K220" s="349">
        <v>42831</v>
      </c>
      <c r="L220" s="166">
        <v>0</v>
      </c>
      <c r="M220" s="166">
        <v>1</v>
      </c>
      <c r="N220" s="166">
        <v>1</v>
      </c>
      <c r="O220" s="166">
        <v>1</v>
      </c>
      <c r="P220" s="166">
        <v>1</v>
      </c>
      <c r="R220" s="165" t="s">
        <v>3277</v>
      </c>
      <c r="S220" s="81" t="s">
        <v>513</v>
      </c>
      <c r="T220" s="349">
        <v>42775</v>
      </c>
      <c r="U220" s="349">
        <v>42831</v>
      </c>
      <c r="V220" s="81" t="s">
        <v>155</v>
      </c>
      <c r="W220" s="81" t="s">
        <v>114</v>
      </c>
      <c r="Y220" s="81" t="s">
        <v>115</v>
      </c>
      <c r="Z220" s="81" t="s">
        <v>310</v>
      </c>
      <c r="AA220" s="81" t="s">
        <v>117</v>
      </c>
      <c r="AB220" s="81" t="s">
        <v>102</v>
      </c>
      <c r="AC220" s="166">
        <v>4.0000001899898104E-3</v>
      </c>
      <c r="AD220" s="349">
        <v>42831</v>
      </c>
      <c r="AE220" s="81" t="s">
        <v>155</v>
      </c>
      <c r="AF220" s="349">
        <v>42831</v>
      </c>
      <c r="AG220" s="81" t="s">
        <v>238</v>
      </c>
      <c r="AH220" s="81" t="s">
        <v>118</v>
      </c>
      <c r="AK220" s="166">
        <v>0</v>
      </c>
      <c r="AM220" s="166">
        <v>0</v>
      </c>
      <c r="AO220" s="166">
        <v>0</v>
      </c>
      <c r="AP220" s="166">
        <v>1</v>
      </c>
      <c r="AQ220" s="166">
        <v>0</v>
      </c>
      <c r="AR220" s="166">
        <v>0</v>
      </c>
      <c r="AS220" s="166">
        <v>0</v>
      </c>
      <c r="AT220" s="166">
        <v>0</v>
      </c>
      <c r="AU220" s="166">
        <v>0</v>
      </c>
      <c r="AV220" s="166">
        <v>0</v>
      </c>
      <c r="AW220" s="166">
        <v>1</v>
      </c>
      <c r="AX220" s="166">
        <v>0</v>
      </c>
      <c r="AY220" s="166">
        <v>0</v>
      </c>
      <c r="AZ220" s="166">
        <v>0</v>
      </c>
      <c r="BA220" s="166">
        <v>0</v>
      </c>
      <c r="BB220" s="166">
        <v>0</v>
      </c>
      <c r="BC220" s="166">
        <v>0</v>
      </c>
      <c r="BD220" s="166">
        <v>0</v>
      </c>
      <c r="BE220" s="166">
        <v>0</v>
      </c>
      <c r="BF220" s="166">
        <v>0</v>
      </c>
      <c r="BG220" s="166">
        <v>0</v>
      </c>
      <c r="BH220" s="166">
        <v>0</v>
      </c>
      <c r="BI220" s="166">
        <v>0</v>
      </c>
      <c r="BJ220" s="166">
        <v>0</v>
      </c>
      <c r="BK220" s="166">
        <v>0</v>
      </c>
      <c r="BL220" s="166">
        <v>0</v>
      </c>
      <c r="BM220" s="166">
        <v>0</v>
      </c>
      <c r="BN220" s="166">
        <v>0</v>
      </c>
      <c r="BO220" s="166">
        <v>0</v>
      </c>
      <c r="BP220" s="166">
        <v>0</v>
      </c>
      <c r="BQ220" s="81" t="s">
        <v>1758</v>
      </c>
      <c r="BZ220" s="81" t="s">
        <v>155</v>
      </c>
      <c r="CA220" s="81">
        <v>7</v>
      </c>
      <c r="CC220" s="167">
        <f>N220</f>
        <v>1</v>
      </c>
      <c r="CD220" s="167">
        <v>0</v>
      </c>
      <c r="CE220" s="167">
        <v>0</v>
      </c>
      <c r="CF220" s="167">
        <v>0</v>
      </c>
      <c r="CG220" s="167">
        <v>0</v>
      </c>
      <c r="CH220" s="167">
        <v>0</v>
      </c>
      <c r="CI220" s="167">
        <v>0</v>
      </c>
      <c r="CJ220" s="167">
        <v>0</v>
      </c>
      <c r="CK220" s="167">
        <v>0</v>
      </c>
      <c r="CL220" s="167">
        <v>0</v>
      </c>
      <c r="CM220" s="167">
        <v>0</v>
      </c>
      <c r="CN220" s="167">
        <v>0</v>
      </c>
      <c r="CO220" s="167">
        <v>0</v>
      </c>
      <c r="CP220" s="167">
        <v>0</v>
      </c>
      <c r="CQ220" s="167">
        <v>0</v>
      </c>
      <c r="CR220" s="167">
        <v>0</v>
      </c>
      <c r="CS220" s="167">
        <v>0</v>
      </c>
      <c r="CT220" s="167">
        <v>0</v>
      </c>
      <c r="CU220" s="167">
        <v>0</v>
      </c>
      <c r="CV220" s="167">
        <v>0</v>
      </c>
      <c r="CW220" s="167">
        <v>0</v>
      </c>
      <c r="CX220" s="167">
        <f>SUM(CD220:CH220)</f>
        <v>0</v>
      </c>
      <c r="CY220" s="167">
        <f>SUM(CD220:CM220)</f>
        <v>0</v>
      </c>
    </row>
    <row r="221" spans="1:103" ht="12.75" customHeight="1" x14ac:dyDescent="0.2">
      <c r="A221" s="81">
        <v>6557</v>
      </c>
      <c r="B221" s="165" t="s">
        <v>1924</v>
      </c>
      <c r="C221" s="165" t="s">
        <v>3278</v>
      </c>
      <c r="E221" s="165" t="s">
        <v>3279</v>
      </c>
      <c r="G221" s="81">
        <v>527222</v>
      </c>
      <c r="H221" s="81">
        <v>171777</v>
      </c>
      <c r="I221" s="165" t="s">
        <v>242</v>
      </c>
      <c r="J221" s="349">
        <v>41465</v>
      </c>
      <c r="K221" s="349">
        <v>42926</v>
      </c>
      <c r="L221" s="166">
        <v>1</v>
      </c>
      <c r="M221" s="166">
        <v>2</v>
      </c>
      <c r="N221" s="166">
        <v>1</v>
      </c>
      <c r="O221" s="166">
        <v>2</v>
      </c>
      <c r="P221" s="166">
        <v>1</v>
      </c>
      <c r="R221" s="165" t="s">
        <v>3280</v>
      </c>
      <c r="S221" s="81" t="s">
        <v>504</v>
      </c>
      <c r="T221" s="349">
        <v>42870</v>
      </c>
      <c r="U221" s="349">
        <v>42926</v>
      </c>
      <c r="V221" s="81" t="s">
        <v>155</v>
      </c>
      <c r="W221" s="81" t="s">
        <v>114</v>
      </c>
      <c r="Y221" s="81" t="s">
        <v>115</v>
      </c>
      <c r="Z221" s="81" t="s">
        <v>119</v>
      </c>
      <c r="AA221" s="81" t="s">
        <v>117</v>
      </c>
      <c r="AB221" s="81" t="s">
        <v>120</v>
      </c>
      <c r="AC221" s="166">
        <v>1.60000007599592E-2</v>
      </c>
      <c r="AD221" s="349">
        <v>41465</v>
      </c>
      <c r="AF221" s="349">
        <v>42926</v>
      </c>
      <c r="AG221" s="81" t="s">
        <v>238</v>
      </c>
      <c r="AH221" s="81" t="s">
        <v>118</v>
      </c>
      <c r="AK221" s="166">
        <v>0</v>
      </c>
      <c r="AM221" s="166">
        <v>0</v>
      </c>
      <c r="AO221" s="166">
        <v>0</v>
      </c>
      <c r="AP221" s="166">
        <v>1</v>
      </c>
      <c r="AQ221" s="166">
        <v>1</v>
      </c>
      <c r="AR221" s="166">
        <v>-1</v>
      </c>
      <c r="AS221" s="166">
        <v>0</v>
      </c>
      <c r="AT221" s="166">
        <v>0</v>
      </c>
      <c r="AU221" s="166">
        <v>0</v>
      </c>
      <c r="AV221" s="166">
        <v>0</v>
      </c>
      <c r="AW221" s="166">
        <v>1</v>
      </c>
      <c r="AX221" s="166">
        <v>1</v>
      </c>
      <c r="AY221" s="166">
        <v>0</v>
      </c>
      <c r="AZ221" s="166">
        <v>0</v>
      </c>
      <c r="BA221" s="166">
        <v>0</v>
      </c>
      <c r="BB221" s="166">
        <v>0</v>
      </c>
      <c r="BC221" s="166">
        <v>0</v>
      </c>
      <c r="BD221" s="166">
        <v>0</v>
      </c>
      <c r="BE221" s="166">
        <v>0</v>
      </c>
      <c r="BF221" s="166">
        <v>-1</v>
      </c>
      <c r="BG221" s="166">
        <v>0</v>
      </c>
      <c r="BH221" s="166">
        <v>0</v>
      </c>
      <c r="BI221" s="166">
        <v>0</v>
      </c>
      <c r="BJ221" s="166">
        <v>0</v>
      </c>
      <c r="BK221" s="166">
        <v>0</v>
      </c>
      <c r="BL221" s="166">
        <v>0</v>
      </c>
      <c r="BM221" s="166">
        <v>0</v>
      </c>
      <c r="BN221" s="166">
        <v>0</v>
      </c>
      <c r="BO221" s="166">
        <v>0</v>
      </c>
      <c r="BP221" s="166">
        <v>0</v>
      </c>
      <c r="BQ221" s="81" t="s">
        <v>1757</v>
      </c>
      <c r="BZ221" s="81" t="s">
        <v>155</v>
      </c>
      <c r="CA221" s="81">
        <v>7</v>
      </c>
      <c r="CC221" s="167">
        <f>N221</f>
        <v>1</v>
      </c>
      <c r="CD221" s="167">
        <v>0</v>
      </c>
      <c r="CE221" s="167">
        <v>0</v>
      </c>
      <c r="CF221" s="167">
        <v>0</v>
      </c>
      <c r="CG221" s="167">
        <v>0</v>
      </c>
      <c r="CH221" s="167">
        <v>0</v>
      </c>
      <c r="CI221" s="167">
        <v>0</v>
      </c>
      <c r="CJ221" s="167">
        <v>0</v>
      </c>
      <c r="CK221" s="167">
        <v>0</v>
      </c>
      <c r="CL221" s="167">
        <v>0</v>
      </c>
      <c r="CM221" s="167">
        <v>0</v>
      </c>
      <c r="CN221" s="167">
        <v>0</v>
      </c>
      <c r="CO221" s="167">
        <v>0</v>
      </c>
      <c r="CP221" s="167">
        <v>0</v>
      </c>
      <c r="CQ221" s="167">
        <v>0</v>
      </c>
      <c r="CR221" s="167">
        <v>0</v>
      </c>
      <c r="CS221" s="167">
        <v>0</v>
      </c>
      <c r="CT221" s="167">
        <v>0</v>
      </c>
      <c r="CU221" s="167">
        <v>0</v>
      </c>
      <c r="CV221" s="167">
        <v>0</v>
      </c>
      <c r="CW221" s="167">
        <v>0</v>
      </c>
      <c r="CX221" s="167">
        <f>SUM(CD221:CH221)</f>
        <v>0</v>
      </c>
      <c r="CY221" s="167">
        <f>SUM(CD221:CM221)</f>
        <v>0</v>
      </c>
    </row>
    <row r="222" spans="1:103" ht="12.75" customHeight="1" x14ac:dyDescent="0.2">
      <c r="A222" s="81">
        <v>6569</v>
      </c>
      <c r="B222" s="165" t="s">
        <v>1924</v>
      </c>
      <c r="C222" s="165" t="s">
        <v>3281</v>
      </c>
      <c r="E222" s="165" t="s">
        <v>3282</v>
      </c>
      <c r="G222" s="81">
        <v>527371</v>
      </c>
      <c r="H222" s="81">
        <v>176315</v>
      </c>
      <c r="I222" s="165" t="s">
        <v>241</v>
      </c>
      <c r="J222" s="349">
        <v>43039</v>
      </c>
      <c r="K222" s="349">
        <v>43190</v>
      </c>
      <c r="L222" s="166">
        <v>0</v>
      </c>
      <c r="M222" s="166">
        <v>3</v>
      </c>
      <c r="N222" s="166">
        <v>3</v>
      </c>
      <c r="O222" s="166">
        <v>3</v>
      </c>
      <c r="P222" s="166">
        <v>3</v>
      </c>
      <c r="R222" s="165" t="s">
        <v>3283</v>
      </c>
      <c r="S222" s="81" t="s">
        <v>113</v>
      </c>
      <c r="T222" s="349">
        <v>42909</v>
      </c>
      <c r="U222" s="349">
        <v>43039</v>
      </c>
      <c r="V222" s="81" t="s">
        <v>155</v>
      </c>
      <c r="W222" s="81" t="s">
        <v>114</v>
      </c>
      <c r="Y222" s="81" t="s">
        <v>115</v>
      </c>
      <c r="Z222" s="81" t="s">
        <v>398</v>
      </c>
      <c r="AA222" s="81" t="s">
        <v>117</v>
      </c>
      <c r="AB222" s="81" t="s">
        <v>399</v>
      </c>
      <c r="AC222" s="166">
        <v>7.0000002160668399E-3</v>
      </c>
      <c r="AD222" s="349">
        <v>43039</v>
      </c>
      <c r="AE222" s="81" t="s">
        <v>155</v>
      </c>
      <c r="AF222" s="349">
        <v>43190</v>
      </c>
      <c r="AG222" s="81" t="s">
        <v>238</v>
      </c>
      <c r="AH222" s="81" t="s">
        <v>118</v>
      </c>
      <c r="AK222" s="166">
        <v>0</v>
      </c>
      <c r="AM222" s="166">
        <v>0</v>
      </c>
      <c r="AO222" s="166">
        <v>0</v>
      </c>
      <c r="AP222" s="166">
        <v>3</v>
      </c>
      <c r="AQ222" s="166">
        <v>0</v>
      </c>
      <c r="AR222" s="166">
        <v>0</v>
      </c>
      <c r="AS222" s="166">
        <v>0</v>
      </c>
      <c r="AT222" s="166">
        <v>0</v>
      </c>
      <c r="AU222" s="166">
        <v>0</v>
      </c>
      <c r="AV222" s="166">
        <v>0</v>
      </c>
      <c r="AW222" s="166">
        <v>3</v>
      </c>
      <c r="AX222" s="166">
        <v>0</v>
      </c>
      <c r="AY222" s="166">
        <v>0</v>
      </c>
      <c r="AZ222" s="166">
        <v>0</v>
      </c>
      <c r="BA222" s="166">
        <v>0</v>
      </c>
      <c r="BB222" s="166">
        <v>0</v>
      </c>
      <c r="BC222" s="166">
        <v>0</v>
      </c>
      <c r="BD222" s="166">
        <v>0</v>
      </c>
      <c r="BE222" s="166">
        <v>0</v>
      </c>
      <c r="BF222" s="166">
        <v>0</v>
      </c>
      <c r="BG222" s="166">
        <v>0</v>
      </c>
      <c r="BH222" s="166">
        <v>0</v>
      </c>
      <c r="BI222" s="166">
        <v>0</v>
      </c>
      <c r="BJ222" s="166">
        <v>0</v>
      </c>
      <c r="BK222" s="166">
        <v>0</v>
      </c>
      <c r="BL222" s="166">
        <v>0</v>
      </c>
      <c r="BM222" s="166">
        <v>0</v>
      </c>
      <c r="BN222" s="166">
        <v>0</v>
      </c>
      <c r="BO222" s="166">
        <v>0</v>
      </c>
      <c r="BP222" s="166">
        <v>0</v>
      </c>
      <c r="BQ222" s="81" t="s">
        <v>1757</v>
      </c>
      <c r="BZ222" s="81" t="s">
        <v>155</v>
      </c>
      <c r="CA222" s="81">
        <v>7</v>
      </c>
      <c r="CC222" s="167">
        <f>N222</f>
        <v>3</v>
      </c>
      <c r="CD222" s="167">
        <v>0</v>
      </c>
      <c r="CE222" s="167">
        <v>0</v>
      </c>
      <c r="CF222" s="167">
        <v>0</v>
      </c>
      <c r="CG222" s="167">
        <v>0</v>
      </c>
      <c r="CH222" s="167">
        <v>0</v>
      </c>
      <c r="CI222" s="167">
        <v>0</v>
      </c>
      <c r="CJ222" s="167">
        <v>0</v>
      </c>
      <c r="CK222" s="167">
        <v>0</v>
      </c>
      <c r="CL222" s="167">
        <v>0</v>
      </c>
      <c r="CM222" s="167">
        <v>0</v>
      </c>
      <c r="CN222" s="167">
        <v>0</v>
      </c>
      <c r="CO222" s="167">
        <v>0</v>
      </c>
      <c r="CP222" s="167">
        <v>0</v>
      </c>
      <c r="CQ222" s="167">
        <v>0</v>
      </c>
      <c r="CR222" s="167">
        <v>0</v>
      </c>
      <c r="CS222" s="167">
        <v>0</v>
      </c>
      <c r="CT222" s="167">
        <v>0</v>
      </c>
      <c r="CU222" s="167">
        <v>0</v>
      </c>
      <c r="CV222" s="167">
        <v>0</v>
      </c>
      <c r="CW222" s="167">
        <v>0</v>
      </c>
      <c r="CX222" s="167">
        <f>SUM(CD222:CH222)</f>
        <v>0</v>
      </c>
      <c r="CY222" s="167">
        <f>SUM(CD222:CM222)</f>
        <v>0</v>
      </c>
    </row>
    <row r="223" spans="1:103" ht="12.75" customHeight="1" x14ac:dyDescent="0.2">
      <c r="A223" s="81">
        <v>6580</v>
      </c>
      <c r="B223" s="165" t="s">
        <v>1924</v>
      </c>
      <c r="C223" s="165" t="s">
        <v>3284</v>
      </c>
      <c r="E223" s="165" t="s">
        <v>3285</v>
      </c>
      <c r="G223" s="81">
        <v>528305</v>
      </c>
      <c r="H223" s="81">
        <v>171156</v>
      </c>
      <c r="I223" s="165" t="s">
        <v>252</v>
      </c>
      <c r="J223" s="349">
        <v>42891</v>
      </c>
      <c r="K223" s="349">
        <v>42891</v>
      </c>
      <c r="L223" s="166">
        <v>1</v>
      </c>
      <c r="M223" s="166">
        <v>2</v>
      </c>
      <c r="N223" s="166">
        <v>1</v>
      </c>
      <c r="O223" s="166">
        <v>2</v>
      </c>
      <c r="P223" s="166">
        <v>1</v>
      </c>
      <c r="R223" s="165" t="s">
        <v>3286</v>
      </c>
      <c r="S223" s="81" t="s">
        <v>504</v>
      </c>
      <c r="T223" s="349">
        <v>42835</v>
      </c>
      <c r="U223" s="349">
        <v>42891</v>
      </c>
      <c r="V223" s="81" t="s">
        <v>155</v>
      </c>
      <c r="W223" s="81" t="s">
        <v>114</v>
      </c>
      <c r="Y223" s="81" t="s">
        <v>115</v>
      </c>
      <c r="Z223" s="81" t="s">
        <v>119</v>
      </c>
      <c r="AA223" s="81" t="s">
        <v>117</v>
      </c>
      <c r="AB223" s="81" t="s">
        <v>120</v>
      </c>
      <c r="AC223" s="166">
        <v>9.9999997764825804E-3</v>
      </c>
      <c r="AD223" s="349">
        <v>42891</v>
      </c>
      <c r="AE223" s="81" t="s">
        <v>155</v>
      </c>
      <c r="AF223" s="349">
        <v>42891</v>
      </c>
      <c r="AG223" s="81" t="s">
        <v>238</v>
      </c>
      <c r="AH223" s="81" t="s">
        <v>118</v>
      </c>
      <c r="AK223" s="166">
        <v>0</v>
      </c>
      <c r="AM223" s="166">
        <v>0</v>
      </c>
      <c r="AO223" s="166">
        <v>0</v>
      </c>
      <c r="AP223" s="166">
        <v>1</v>
      </c>
      <c r="AQ223" s="166">
        <v>1</v>
      </c>
      <c r="AR223" s="166">
        <v>-1</v>
      </c>
      <c r="AS223" s="166">
        <v>0</v>
      </c>
      <c r="AT223" s="166">
        <v>0</v>
      </c>
      <c r="AU223" s="166">
        <v>0</v>
      </c>
      <c r="AV223" s="166">
        <v>0</v>
      </c>
      <c r="AW223" s="166">
        <v>1</v>
      </c>
      <c r="AX223" s="166">
        <v>1</v>
      </c>
      <c r="AY223" s="166">
        <v>0</v>
      </c>
      <c r="AZ223" s="166">
        <v>0</v>
      </c>
      <c r="BA223" s="166">
        <v>0</v>
      </c>
      <c r="BB223" s="166">
        <v>0</v>
      </c>
      <c r="BC223" s="166">
        <v>0</v>
      </c>
      <c r="BD223" s="166">
        <v>0</v>
      </c>
      <c r="BE223" s="166">
        <v>0</v>
      </c>
      <c r="BF223" s="166">
        <v>-1</v>
      </c>
      <c r="BG223" s="166">
        <v>0</v>
      </c>
      <c r="BH223" s="166">
        <v>0</v>
      </c>
      <c r="BI223" s="166">
        <v>0</v>
      </c>
      <c r="BJ223" s="166">
        <v>0</v>
      </c>
      <c r="BK223" s="166">
        <v>0</v>
      </c>
      <c r="BL223" s="166">
        <v>0</v>
      </c>
      <c r="BM223" s="166">
        <v>0</v>
      </c>
      <c r="BN223" s="166">
        <v>0</v>
      </c>
      <c r="BO223" s="166">
        <v>0</v>
      </c>
      <c r="BP223" s="166">
        <v>0</v>
      </c>
      <c r="BQ223" s="81" t="s">
        <v>1757</v>
      </c>
      <c r="BZ223" s="81" t="s">
        <v>155</v>
      </c>
      <c r="CA223" s="81">
        <v>7</v>
      </c>
      <c r="CC223" s="167">
        <f>N223</f>
        <v>1</v>
      </c>
      <c r="CD223" s="167">
        <v>0</v>
      </c>
      <c r="CE223" s="167">
        <v>0</v>
      </c>
      <c r="CF223" s="167">
        <v>0</v>
      </c>
      <c r="CG223" s="167">
        <v>0</v>
      </c>
      <c r="CH223" s="167">
        <v>0</v>
      </c>
      <c r="CI223" s="167">
        <v>0</v>
      </c>
      <c r="CJ223" s="167">
        <v>0</v>
      </c>
      <c r="CK223" s="167">
        <v>0</v>
      </c>
      <c r="CL223" s="167">
        <v>0</v>
      </c>
      <c r="CM223" s="167">
        <v>0</v>
      </c>
      <c r="CN223" s="167">
        <v>0</v>
      </c>
      <c r="CO223" s="167">
        <v>0</v>
      </c>
      <c r="CP223" s="167">
        <v>0</v>
      </c>
      <c r="CQ223" s="167">
        <v>0</v>
      </c>
      <c r="CR223" s="167">
        <v>0</v>
      </c>
      <c r="CS223" s="167">
        <v>0</v>
      </c>
      <c r="CT223" s="167">
        <v>0</v>
      </c>
      <c r="CU223" s="167">
        <v>0</v>
      </c>
      <c r="CV223" s="167">
        <v>0</v>
      </c>
      <c r="CW223" s="167">
        <v>0</v>
      </c>
      <c r="CX223" s="167">
        <f>SUM(CD223:CH223)</f>
        <v>0</v>
      </c>
      <c r="CY223" s="167">
        <f>SUM(CD223:CM223)</f>
        <v>0</v>
      </c>
    </row>
    <row r="224" spans="1:103" ht="12.75" customHeight="1" x14ac:dyDescent="0.2">
      <c r="A224" s="81">
        <v>6585</v>
      </c>
      <c r="B224" s="165" t="s">
        <v>1924</v>
      </c>
      <c r="C224" s="165" t="s">
        <v>3287</v>
      </c>
      <c r="E224" s="165" t="s">
        <v>2169</v>
      </c>
      <c r="G224" s="81">
        <v>527915</v>
      </c>
      <c r="H224" s="81">
        <v>175487</v>
      </c>
      <c r="I224" s="165" t="s">
        <v>256</v>
      </c>
      <c r="J224" s="349">
        <v>41591</v>
      </c>
      <c r="K224" s="349">
        <v>43052</v>
      </c>
      <c r="L224" s="166">
        <v>1</v>
      </c>
      <c r="M224" s="166">
        <v>3</v>
      </c>
      <c r="N224" s="166">
        <v>2</v>
      </c>
      <c r="O224" s="166">
        <v>3</v>
      </c>
      <c r="P224" s="166">
        <v>2</v>
      </c>
      <c r="R224" s="165" t="s">
        <v>3288</v>
      </c>
      <c r="S224" s="81" t="s">
        <v>504</v>
      </c>
      <c r="T224" s="349">
        <v>42998</v>
      </c>
      <c r="U224" s="349">
        <v>43052</v>
      </c>
      <c r="V224" s="81" t="s">
        <v>155</v>
      </c>
      <c r="W224" s="81" t="s">
        <v>114</v>
      </c>
      <c r="Y224" s="81" t="s">
        <v>115</v>
      </c>
      <c r="Z224" s="81" t="s">
        <v>119</v>
      </c>
      <c r="AA224" s="81" t="s">
        <v>117</v>
      </c>
      <c r="AB224" s="81" t="s">
        <v>120</v>
      </c>
      <c r="AC224" s="166">
        <v>2.0999999716877899E-2</v>
      </c>
      <c r="AD224" s="349">
        <v>41591</v>
      </c>
      <c r="AF224" s="349">
        <v>43052</v>
      </c>
      <c r="AG224" s="81" t="s">
        <v>238</v>
      </c>
      <c r="AH224" s="81" t="s">
        <v>118</v>
      </c>
      <c r="AK224" s="166">
        <v>0</v>
      </c>
      <c r="AM224" s="166">
        <v>0</v>
      </c>
      <c r="AO224" s="166">
        <v>0</v>
      </c>
      <c r="AP224" s="166">
        <v>2</v>
      </c>
      <c r="AQ224" s="166">
        <v>0</v>
      </c>
      <c r="AR224" s="166">
        <v>0</v>
      </c>
      <c r="AS224" s="166">
        <v>0</v>
      </c>
      <c r="AT224" s="166">
        <v>0</v>
      </c>
      <c r="AU224" s="166">
        <v>0</v>
      </c>
      <c r="AV224" s="166">
        <v>0</v>
      </c>
      <c r="AW224" s="166">
        <v>2</v>
      </c>
      <c r="AX224" s="166">
        <v>0</v>
      </c>
      <c r="AY224" s="166">
        <v>0</v>
      </c>
      <c r="AZ224" s="166">
        <v>1</v>
      </c>
      <c r="BA224" s="166">
        <v>0</v>
      </c>
      <c r="BB224" s="166">
        <v>0</v>
      </c>
      <c r="BC224" s="166">
        <v>0</v>
      </c>
      <c r="BD224" s="166">
        <v>0</v>
      </c>
      <c r="BE224" s="166">
        <v>0</v>
      </c>
      <c r="BF224" s="166">
        <v>0</v>
      </c>
      <c r="BG224" s="166">
        <v>-1</v>
      </c>
      <c r="BH224" s="166">
        <v>0</v>
      </c>
      <c r="BI224" s="166">
        <v>0</v>
      </c>
      <c r="BJ224" s="166">
        <v>0</v>
      </c>
      <c r="BK224" s="166">
        <v>0</v>
      </c>
      <c r="BL224" s="166">
        <v>0</v>
      </c>
      <c r="BM224" s="166">
        <v>0</v>
      </c>
      <c r="BN224" s="166">
        <v>0</v>
      </c>
      <c r="BO224" s="166">
        <v>0</v>
      </c>
      <c r="BP224" s="166">
        <v>0</v>
      </c>
      <c r="BQ224" s="81" t="s">
        <v>1757</v>
      </c>
      <c r="BZ224" s="81" t="s">
        <v>155</v>
      </c>
      <c r="CA224" s="81">
        <v>7</v>
      </c>
      <c r="CC224" s="167">
        <f>N224</f>
        <v>2</v>
      </c>
      <c r="CD224" s="167">
        <v>0</v>
      </c>
      <c r="CE224" s="167">
        <v>0</v>
      </c>
      <c r="CF224" s="167">
        <v>0</v>
      </c>
      <c r="CG224" s="167">
        <v>0</v>
      </c>
      <c r="CH224" s="167">
        <v>0</v>
      </c>
      <c r="CI224" s="167">
        <v>0</v>
      </c>
      <c r="CJ224" s="167">
        <v>0</v>
      </c>
      <c r="CK224" s="167">
        <v>0</v>
      </c>
      <c r="CL224" s="167">
        <v>0</v>
      </c>
      <c r="CM224" s="167">
        <v>0</v>
      </c>
      <c r="CN224" s="167">
        <v>0</v>
      </c>
      <c r="CO224" s="167">
        <v>0</v>
      </c>
      <c r="CP224" s="167">
        <v>0</v>
      </c>
      <c r="CQ224" s="167">
        <v>0</v>
      </c>
      <c r="CR224" s="167">
        <v>0</v>
      </c>
      <c r="CS224" s="167">
        <v>0</v>
      </c>
      <c r="CT224" s="167">
        <v>0</v>
      </c>
      <c r="CU224" s="167">
        <v>0</v>
      </c>
      <c r="CV224" s="167">
        <v>0</v>
      </c>
      <c r="CW224" s="167">
        <v>0</v>
      </c>
      <c r="CX224" s="167">
        <f>SUM(CD224:CH224)</f>
        <v>0</v>
      </c>
      <c r="CY224" s="167">
        <f>SUM(CD224:CM224)</f>
        <v>0</v>
      </c>
    </row>
    <row r="225" spans="1:103" ht="12.75" customHeight="1" x14ac:dyDescent="0.2">
      <c r="A225" s="81">
        <v>6599</v>
      </c>
      <c r="B225" s="165" t="s">
        <v>1924</v>
      </c>
      <c r="C225" s="165" t="s">
        <v>3289</v>
      </c>
      <c r="E225" s="165" t="s">
        <v>3290</v>
      </c>
      <c r="G225" s="81">
        <v>527197</v>
      </c>
      <c r="H225" s="81">
        <v>171468</v>
      </c>
      <c r="I225" s="165" t="s">
        <v>242</v>
      </c>
      <c r="J225" s="349">
        <v>42958</v>
      </c>
      <c r="K225" s="349">
        <v>43190</v>
      </c>
      <c r="L225" s="166">
        <v>2</v>
      </c>
      <c r="M225" s="166">
        <v>3</v>
      </c>
      <c r="N225" s="166">
        <v>1</v>
      </c>
      <c r="O225" s="166">
        <v>3</v>
      </c>
      <c r="P225" s="166">
        <v>1</v>
      </c>
      <c r="R225" s="165" t="s">
        <v>3291</v>
      </c>
      <c r="S225" s="81" t="s">
        <v>113</v>
      </c>
      <c r="T225" s="349">
        <v>42906</v>
      </c>
      <c r="U225" s="349">
        <v>42947</v>
      </c>
      <c r="V225" s="81" t="s">
        <v>155</v>
      </c>
      <c r="W225" s="81" t="s">
        <v>114</v>
      </c>
      <c r="Y225" s="81" t="s">
        <v>115</v>
      </c>
      <c r="Z225" s="81" t="s">
        <v>398</v>
      </c>
      <c r="AA225" s="81" t="s">
        <v>117</v>
      </c>
      <c r="AB225" s="81" t="s">
        <v>220</v>
      </c>
      <c r="AC225" s="166">
        <v>1.4000000432133701E-2</v>
      </c>
      <c r="AD225" s="349">
        <v>42958</v>
      </c>
      <c r="AE225" s="81" t="s">
        <v>155</v>
      </c>
      <c r="AF225" s="349">
        <v>43190</v>
      </c>
      <c r="AG225" s="81" t="s">
        <v>238</v>
      </c>
      <c r="AH225" s="81" t="s">
        <v>118</v>
      </c>
      <c r="AK225" s="166">
        <v>0</v>
      </c>
      <c r="AM225" s="166">
        <v>0</v>
      </c>
      <c r="AO225" s="166">
        <v>1</v>
      </c>
      <c r="AP225" s="166">
        <v>1</v>
      </c>
      <c r="AQ225" s="166">
        <v>-2</v>
      </c>
      <c r="AR225" s="166">
        <v>1</v>
      </c>
      <c r="AS225" s="166">
        <v>0</v>
      </c>
      <c r="AT225" s="166">
        <v>0</v>
      </c>
      <c r="AU225" s="166">
        <v>0</v>
      </c>
      <c r="AV225" s="166">
        <v>1</v>
      </c>
      <c r="AW225" s="166">
        <v>1</v>
      </c>
      <c r="AX225" s="166">
        <v>-2</v>
      </c>
      <c r="AY225" s="166">
        <v>1</v>
      </c>
      <c r="AZ225" s="166">
        <v>0</v>
      </c>
      <c r="BA225" s="166">
        <v>0</v>
      </c>
      <c r="BB225" s="166">
        <v>0</v>
      </c>
      <c r="BC225" s="166">
        <v>0</v>
      </c>
      <c r="BD225" s="166">
        <v>0</v>
      </c>
      <c r="BE225" s="166">
        <v>0</v>
      </c>
      <c r="BF225" s="166">
        <v>0</v>
      </c>
      <c r="BG225" s="166">
        <v>0</v>
      </c>
      <c r="BH225" s="166">
        <v>0</v>
      </c>
      <c r="BI225" s="166">
        <v>0</v>
      </c>
      <c r="BJ225" s="166">
        <v>0</v>
      </c>
      <c r="BK225" s="166">
        <v>0</v>
      </c>
      <c r="BL225" s="166">
        <v>0</v>
      </c>
      <c r="BM225" s="166">
        <v>0</v>
      </c>
      <c r="BN225" s="166">
        <v>0</v>
      </c>
      <c r="BO225" s="166">
        <v>0</v>
      </c>
      <c r="BP225" s="166">
        <v>0</v>
      </c>
      <c r="BQ225" s="81" t="s">
        <v>1757</v>
      </c>
      <c r="BZ225" s="81" t="s">
        <v>155</v>
      </c>
      <c r="CA225" s="81">
        <v>7</v>
      </c>
      <c r="CC225" s="167">
        <f>N225</f>
        <v>1</v>
      </c>
      <c r="CD225" s="167">
        <v>0</v>
      </c>
      <c r="CE225" s="167">
        <v>0</v>
      </c>
      <c r="CF225" s="167">
        <v>0</v>
      </c>
      <c r="CG225" s="167">
        <v>0</v>
      </c>
      <c r="CH225" s="167">
        <v>0</v>
      </c>
      <c r="CI225" s="167">
        <v>0</v>
      </c>
      <c r="CJ225" s="167">
        <v>0</v>
      </c>
      <c r="CK225" s="167">
        <v>0</v>
      </c>
      <c r="CL225" s="167">
        <v>0</v>
      </c>
      <c r="CM225" s="167">
        <v>0</v>
      </c>
      <c r="CN225" s="167">
        <v>0</v>
      </c>
      <c r="CO225" s="167">
        <v>0</v>
      </c>
      <c r="CP225" s="167">
        <v>0</v>
      </c>
      <c r="CQ225" s="167">
        <v>0</v>
      </c>
      <c r="CR225" s="167">
        <v>0</v>
      </c>
      <c r="CS225" s="167">
        <v>0</v>
      </c>
      <c r="CT225" s="167">
        <v>0</v>
      </c>
      <c r="CU225" s="167">
        <v>0</v>
      </c>
      <c r="CV225" s="167">
        <v>0</v>
      </c>
      <c r="CW225" s="167">
        <v>0</v>
      </c>
      <c r="CX225" s="167">
        <f>SUM(CD225:CH225)</f>
        <v>0</v>
      </c>
      <c r="CY225" s="167">
        <f>SUM(CD225:CM225)</f>
        <v>0</v>
      </c>
    </row>
    <row r="226" spans="1:103" ht="12.75" customHeight="1" x14ac:dyDescent="0.2">
      <c r="A226" s="81">
        <v>6602</v>
      </c>
      <c r="B226" s="165" t="s">
        <v>1924</v>
      </c>
      <c r="C226" s="165" t="s">
        <v>3292</v>
      </c>
      <c r="E226" s="165" t="s">
        <v>3293</v>
      </c>
      <c r="G226" s="81">
        <v>526100</v>
      </c>
      <c r="H226" s="81">
        <v>172658</v>
      </c>
      <c r="I226" s="165" t="s">
        <v>249</v>
      </c>
      <c r="J226" s="349">
        <v>42922</v>
      </c>
      <c r="K226" s="349">
        <v>42922</v>
      </c>
      <c r="L226" s="166">
        <v>1</v>
      </c>
      <c r="M226" s="166">
        <v>2</v>
      </c>
      <c r="N226" s="166">
        <v>1</v>
      </c>
      <c r="O226" s="166">
        <v>2</v>
      </c>
      <c r="P226" s="166">
        <v>1</v>
      </c>
      <c r="R226" s="165" t="s">
        <v>3294</v>
      </c>
      <c r="S226" s="81" t="s">
        <v>504</v>
      </c>
      <c r="T226" s="349">
        <v>42867</v>
      </c>
      <c r="U226" s="349">
        <v>42922</v>
      </c>
      <c r="V226" s="81" t="s">
        <v>155</v>
      </c>
      <c r="W226" s="81" t="s">
        <v>114</v>
      </c>
      <c r="Y226" s="81" t="s">
        <v>115</v>
      </c>
      <c r="Z226" s="81" t="s">
        <v>119</v>
      </c>
      <c r="AA226" s="81" t="s">
        <v>117</v>
      </c>
      <c r="AB226" s="81" t="s">
        <v>120</v>
      </c>
      <c r="AC226" s="166">
        <v>1.2000000104308101E-2</v>
      </c>
      <c r="AD226" s="349">
        <v>42922</v>
      </c>
      <c r="AE226" s="81" t="s">
        <v>155</v>
      </c>
      <c r="AF226" s="349">
        <v>42922</v>
      </c>
      <c r="AG226" s="81" t="s">
        <v>238</v>
      </c>
      <c r="AH226" s="81" t="s">
        <v>118</v>
      </c>
      <c r="AK226" s="166">
        <v>0</v>
      </c>
      <c r="AM226" s="166">
        <v>0</v>
      </c>
      <c r="AO226" s="166">
        <v>0</v>
      </c>
      <c r="AP226" s="166">
        <v>0</v>
      </c>
      <c r="AQ226" s="166">
        <v>2</v>
      </c>
      <c r="AR226" s="166">
        <v>-1</v>
      </c>
      <c r="AS226" s="166">
        <v>0</v>
      </c>
      <c r="AT226" s="166">
        <v>0</v>
      </c>
      <c r="AU226" s="166">
        <v>0</v>
      </c>
      <c r="AV226" s="166">
        <v>0</v>
      </c>
      <c r="AW226" s="166">
        <v>0</v>
      </c>
      <c r="AX226" s="166">
        <v>2</v>
      </c>
      <c r="AY226" s="166">
        <v>0</v>
      </c>
      <c r="AZ226" s="166">
        <v>0</v>
      </c>
      <c r="BA226" s="166">
        <v>0</v>
      </c>
      <c r="BB226" s="166">
        <v>0</v>
      </c>
      <c r="BC226" s="166">
        <v>0</v>
      </c>
      <c r="BD226" s="166">
        <v>0</v>
      </c>
      <c r="BE226" s="166">
        <v>0</v>
      </c>
      <c r="BF226" s="166">
        <v>-1</v>
      </c>
      <c r="BG226" s="166">
        <v>0</v>
      </c>
      <c r="BH226" s="166">
        <v>0</v>
      </c>
      <c r="BI226" s="166">
        <v>0</v>
      </c>
      <c r="BJ226" s="166">
        <v>0</v>
      </c>
      <c r="BK226" s="166">
        <v>0</v>
      </c>
      <c r="BL226" s="166">
        <v>0</v>
      </c>
      <c r="BM226" s="166">
        <v>0</v>
      </c>
      <c r="BN226" s="166">
        <v>0</v>
      </c>
      <c r="BO226" s="166">
        <v>0</v>
      </c>
      <c r="BP226" s="166">
        <v>0</v>
      </c>
      <c r="BQ226" s="81" t="s">
        <v>1758</v>
      </c>
      <c r="BZ226" s="81" t="s">
        <v>155</v>
      </c>
      <c r="CA226" s="81">
        <v>7</v>
      </c>
      <c r="CC226" s="167">
        <f>N226</f>
        <v>1</v>
      </c>
      <c r="CD226" s="167">
        <v>0</v>
      </c>
      <c r="CE226" s="167">
        <v>0</v>
      </c>
      <c r="CF226" s="167">
        <v>0</v>
      </c>
      <c r="CG226" s="167">
        <v>0</v>
      </c>
      <c r="CH226" s="167">
        <v>0</v>
      </c>
      <c r="CI226" s="167">
        <v>0</v>
      </c>
      <c r="CJ226" s="167">
        <v>0</v>
      </c>
      <c r="CK226" s="167">
        <v>0</v>
      </c>
      <c r="CL226" s="167">
        <v>0</v>
      </c>
      <c r="CM226" s="167">
        <v>0</v>
      </c>
      <c r="CN226" s="167">
        <v>0</v>
      </c>
      <c r="CO226" s="167">
        <v>0</v>
      </c>
      <c r="CP226" s="167">
        <v>0</v>
      </c>
      <c r="CQ226" s="167">
        <v>0</v>
      </c>
      <c r="CR226" s="167">
        <v>0</v>
      </c>
      <c r="CS226" s="167">
        <v>0</v>
      </c>
      <c r="CT226" s="167">
        <v>0</v>
      </c>
      <c r="CU226" s="167">
        <v>0</v>
      </c>
      <c r="CV226" s="167">
        <v>0</v>
      </c>
      <c r="CW226" s="167">
        <v>0</v>
      </c>
      <c r="CX226" s="167">
        <f>SUM(CD226:CH226)</f>
        <v>0</v>
      </c>
      <c r="CY226" s="167">
        <f>SUM(CD226:CM226)</f>
        <v>0</v>
      </c>
    </row>
    <row r="227" spans="1:103" ht="12.75" customHeight="1" x14ac:dyDescent="0.2">
      <c r="A227" s="81">
        <v>6614</v>
      </c>
      <c r="B227" s="165" t="s">
        <v>1924</v>
      </c>
      <c r="C227" s="165" t="s">
        <v>3295</v>
      </c>
      <c r="E227" s="165" t="s">
        <v>3296</v>
      </c>
      <c r="G227" s="81">
        <v>527880</v>
      </c>
      <c r="H227" s="81">
        <v>172154</v>
      </c>
      <c r="I227" s="165" t="s">
        <v>242</v>
      </c>
      <c r="J227" s="349">
        <v>42922</v>
      </c>
      <c r="K227" s="349">
        <v>42922</v>
      </c>
      <c r="L227" s="166">
        <v>1</v>
      </c>
      <c r="M227" s="166">
        <v>2</v>
      </c>
      <c r="N227" s="166">
        <v>1</v>
      </c>
      <c r="O227" s="166">
        <v>2</v>
      </c>
      <c r="P227" s="166">
        <v>1</v>
      </c>
      <c r="R227" s="165" t="s">
        <v>3297</v>
      </c>
      <c r="S227" s="81" t="s">
        <v>504</v>
      </c>
      <c r="T227" s="349">
        <v>42866</v>
      </c>
      <c r="U227" s="349">
        <v>42922</v>
      </c>
      <c r="V227" s="81" t="s">
        <v>155</v>
      </c>
      <c r="W227" s="81" t="s">
        <v>114</v>
      </c>
      <c r="Y227" s="81" t="s">
        <v>115</v>
      </c>
      <c r="Z227" s="81" t="s">
        <v>119</v>
      </c>
      <c r="AA227" s="81" t="s">
        <v>117</v>
      </c>
      <c r="AB227" s="81" t="s">
        <v>120</v>
      </c>
      <c r="AC227" s="166">
        <v>8.9999996125698107E-3</v>
      </c>
      <c r="AD227" s="349">
        <v>42922</v>
      </c>
      <c r="AE227" s="81" t="s">
        <v>155</v>
      </c>
      <c r="AF227" s="349">
        <v>42922</v>
      </c>
      <c r="AG227" s="81" t="s">
        <v>238</v>
      </c>
      <c r="AH227" s="81" t="s">
        <v>118</v>
      </c>
      <c r="AK227" s="166">
        <v>0</v>
      </c>
      <c r="AM227" s="166">
        <v>0</v>
      </c>
      <c r="AO227" s="166">
        <v>0</v>
      </c>
      <c r="AP227" s="166">
        <v>1</v>
      </c>
      <c r="AQ227" s="166">
        <v>1</v>
      </c>
      <c r="AR227" s="166">
        <v>-1</v>
      </c>
      <c r="AS227" s="166">
        <v>0</v>
      </c>
      <c r="AT227" s="166">
        <v>0</v>
      </c>
      <c r="AU227" s="166">
        <v>0</v>
      </c>
      <c r="AV227" s="166">
        <v>0</v>
      </c>
      <c r="AW227" s="166">
        <v>1</v>
      </c>
      <c r="AX227" s="166">
        <v>1</v>
      </c>
      <c r="AY227" s="166">
        <v>0</v>
      </c>
      <c r="AZ227" s="166">
        <v>0</v>
      </c>
      <c r="BA227" s="166">
        <v>0</v>
      </c>
      <c r="BB227" s="166">
        <v>0</v>
      </c>
      <c r="BC227" s="166">
        <v>0</v>
      </c>
      <c r="BD227" s="166">
        <v>0</v>
      </c>
      <c r="BE227" s="166">
        <v>0</v>
      </c>
      <c r="BF227" s="166">
        <v>-1</v>
      </c>
      <c r="BG227" s="166">
        <v>0</v>
      </c>
      <c r="BH227" s="166">
        <v>0</v>
      </c>
      <c r="BI227" s="166">
        <v>0</v>
      </c>
      <c r="BJ227" s="166">
        <v>0</v>
      </c>
      <c r="BK227" s="166">
        <v>0</v>
      </c>
      <c r="BL227" s="166">
        <v>0</v>
      </c>
      <c r="BM227" s="166">
        <v>0</v>
      </c>
      <c r="BN227" s="166">
        <v>0</v>
      </c>
      <c r="BO227" s="166">
        <v>0</v>
      </c>
      <c r="BP227" s="166">
        <v>0</v>
      </c>
      <c r="BQ227" s="81" t="s">
        <v>1757</v>
      </c>
      <c r="BZ227" s="81" t="s">
        <v>155</v>
      </c>
      <c r="CA227" s="81">
        <v>7</v>
      </c>
      <c r="CC227" s="167">
        <f>N227</f>
        <v>1</v>
      </c>
      <c r="CD227" s="167">
        <v>0</v>
      </c>
      <c r="CE227" s="167">
        <v>0</v>
      </c>
      <c r="CF227" s="167">
        <v>0</v>
      </c>
      <c r="CG227" s="167">
        <v>0</v>
      </c>
      <c r="CH227" s="167">
        <v>0</v>
      </c>
      <c r="CI227" s="167">
        <v>0</v>
      </c>
      <c r="CJ227" s="167">
        <v>0</v>
      </c>
      <c r="CK227" s="167">
        <v>0</v>
      </c>
      <c r="CL227" s="167">
        <v>0</v>
      </c>
      <c r="CM227" s="167">
        <v>0</v>
      </c>
      <c r="CN227" s="167">
        <v>0</v>
      </c>
      <c r="CO227" s="167">
        <v>0</v>
      </c>
      <c r="CP227" s="167">
        <v>0</v>
      </c>
      <c r="CQ227" s="167">
        <v>0</v>
      </c>
      <c r="CR227" s="167">
        <v>0</v>
      </c>
      <c r="CS227" s="167">
        <v>0</v>
      </c>
      <c r="CT227" s="167">
        <v>0</v>
      </c>
      <c r="CU227" s="167">
        <v>0</v>
      </c>
      <c r="CV227" s="167">
        <v>0</v>
      </c>
      <c r="CW227" s="167">
        <v>0</v>
      </c>
      <c r="CX227" s="167">
        <f>SUM(CD227:CH227)</f>
        <v>0</v>
      </c>
      <c r="CY227" s="167">
        <f>SUM(CD227:CM227)</f>
        <v>0</v>
      </c>
    </row>
    <row r="228" spans="1:103" ht="12.75" customHeight="1" x14ac:dyDescent="0.2">
      <c r="A228" s="81">
        <v>6648</v>
      </c>
      <c r="B228" s="165" t="s">
        <v>1924</v>
      </c>
      <c r="C228" s="165" t="s">
        <v>3298</v>
      </c>
      <c r="E228" s="165" t="s">
        <v>3299</v>
      </c>
      <c r="G228" s="81">
        <v>522445</v>
      </c>
      <c r="H228" s="81">
        <v>174942</v>
      </c>
      <c r="I228" s="165" t="s">
        <v>59</v>
      </c>
      <c r="J228" s="349">
        <v>42990</v>
      </c>
      <c r="K228" s="349">
        <v>42990</v>
      </c>
      <c r="L228" s="166">
        <v>1</v>
      </c>
      <c r="M228" s="166">
        <v>2</v>
      </c>
      <c r="N228" s="166">
        <v>1</v>
      </c>
      <c r="O228" s="166">
        <v>2</v>
      </c>
      <c r="P228" s="166">
        <v>1</v>
      </c>
      <c r="R228" s="165" t="s">
        <v>3300</v>
      </c>
      <c r="S228" s="81" t="s">
        <v>504</v>
      </c>
      <c r="T228" s="349">
        <v>42936</v>
      </c>
      <c r="U228" s="349">
        <v>42990</v>
      </c>
      <c r="V228" s="81" t="s">
        <v>155</v>
      </c>
      <c r="W228" s="81" t="s">
        <v>114</v>
      </c>
      <c r="Y228" s="81" t="s">
        <v>115</v>
      </c>
      <c r="Z228" s="81" t="s">
        <v>119</v>
      </c>
      <c r="AA228" s="81" t="s">
        <v>117</v>
      </c>
      <c r="AB228" s="81" t="s">
        <v>120</v>
      </c>
      <c r="AC228" s="166">
        <v>1.7999999225139601E-2</v>
      </c>
      <c r="AD228" s="349">
        <v>42990</v>
      </c>
      <c r="AE228" s="81" t="s">
        <v>155</v>
      </c>
      <c r="AF228" s="349">
        <v>42990</v>
      </c>
      <c r="AG228" s="81" t="s">
        <v>238</v>
      </c>
      <c r="AH228" s="81" t="s">
        <v>118</v>
      </c>
      <c r="AK228" s="166">
        <v>0</v>
      </c>
      <c r="AM228" s="166">
        <v>0</v>
      </c>
      <c r="AO228" s="166">
        <v>0</v>
      </c>
      <c r="AP228" s="166">
        <v>0</v>
      </c>
      <c r="AQ228" s="166">
        <v>0</v>
      </c>
      <c r="AR228" s="166">
        <v>0</v>
      </c>
      <c r="AS228" s="166">
        <v>1</v>
      </c>
      <c r="AT228" s="166">
        <v>0</v>
      </c>
      <c r="AU228" s="166">
        <v>0</v>
      </c>
      <c r="AV228" s="166">
        <v>0</v>
      </c>
      <c r="AW228" s="166">
        <v>0</v>
      </c>
      <c r="AX228" s="166">
        <v>0</v>
      </c>
      <c r="AY228" s="166">
        <v>1</v>
      </c>
      <c r="AZ228" s="166">
        <v>1</v>
      </c>
      <c r="BA228" s="166">
        <v>0</v>
      </c>
      <c r="BB228" s="166">
        <v>0</v>
      </c>
      <c r="BC228" s="166">
        <v>0</v>
      </c>
      <c r="BD228" s="166">
        <v>0</v>
      </c>
      <c r="BE228" s="166">
        <v>0</v>
      </c>
      <c r="BF228" s="166">
        <v>-1</v>
      </c>
      <c r="BG228" s="166">
        <v>0</v>
      </c>
      <c r="BH228" s="166">
        <v>0</v>
      </c>
      <c r="BI228" s="166">
        <v>0</v>
      </c>
      <c r="BJ228" s="166">
        <v>0</v>
      </c>
      <c r="BK228" s="166">
        <v>0</v>
      </c>
      <c r="BL228" s="166">
        <v>0</v>
      </c>
      <c r="BM228" s="166">
        <v>0</v>
      </c>
      <c r="BN228" s="166">
        <v>0</v>
      </c>
      <c r="BO228" s="166">
        <v>0</v>
      </c>
      <c r="BP228" s="166">
        <v>0</v>
      </c>
      <c r="BQ228" s="81" t="s">
        <v>1758</v>
      </c>
      <c r="BZ228" s="81" t="s">
        <v>155</v>
      </c>
      <c r="CA228" s="81">
        <v>7</v>
      </c>
      <c r="CC228" s="167">
        <f>N228</f>
        <v>1</v>
      </c>
      <c r="CD228" s="167">
        <v>0</v>
      </c>
      <c r="CE228" s="167">
        <v>0</v>
      </c>
      <c r="CF228" s="167">
        <v>0</v>
      </c>
      <c r="CG228" s="167">
        <v>0</v>
      </c>
      <c r="CH228" s="167">
        <v>0</v>
      </c>
      <c r="CI228" s="167">
        <v>0</v>
      </c>
      <c r="CJ228" s="167">
        <v>0</v>
      </c>
      <c r="CK228" s="167">
        <v>0</v>
      </c>
      <c r="CL228" s="167">
        <v>0</v>
      </c>
      <c r="CM228" s="167">
        <v>0</v>
      </c>
      <c r="CN228" s="167">
        <v>0</v>
      </c>
      <c r="CO228" s="167">
        <v>0</v>
      </c>
      <c r="CP228" s="167">
        <v>0</v>
      </c>
      <c r="CQ228" s="167">
        <v>0</v>
      </c>
      <c r="CR228" s="167">
        <v>0</v>
      </c>
      <c r="CS228" s="167">
        <v>0</v>
      </c>
      <c r="CT228" s="167">
        <v>0</v>
      </c>
      <c r="CU228" s="167">
        <v>0</v>
      </c>
      <c r="CV228" s="167">
        <v>0</v>
      </c>
      <c r="CW228" s="167">
        <v>0</v>
      </c>
      <c r="CX228" s="167">
        <f>SUM(CD228:CH228)</f>
        <v>0</v>
      </c>
      <c r="CY228" s="167">
        <f>SUM(CD228:CM228)</f>
        <v>0</v>
      </c>
    </row>
    <row r="229" spans="1:103" ht="12.75" customHeight="1" x14ac:dyDescent="0.2">
      <c r="A229" s="81">
        <v>6651</v>
      </c>
      <c r="B229" s="165" t="s">
        <v>1924</v>
      </c>
      <c r="C229" s="165" t="s">
        <v>3301</v>
      </c>
      <c r="E229" s="165" t="s">
        <v>3302</v>
      </c>
      <c r="G229" s="81">
        <v>528478</v>
      </c>
      <c r="H229" s="81">
        <v>175464</v>
      </c>
      <c r="I229" s="165" t="s">
        <v>256</v>
      </c>
      <c r="J229" s="349">
        <v>42985</v>
      </c>
      <c r="K229" s="349">
        <v>42985</v>
      </c>
      <c r="L229" s="166">
        <v>0</v>
      </c>
      <c r="M229" s="166">
        <v>1</v>
      </c>
      <c r="N229" s="166">
        <v>1</v>
      </c>
      <c r="O229" s="166">
        <v>1</v>
      </c>
      <c r="P229" s="166">
        <v>1</v>
      </c>
      <c r="R229" s="165" t="s">
        <v>3303</v>
      </c>
      <c r="S229" s="81" t="s">
        <v>504</v>
      </c>
      <c r="T229" s="349">
        <v>42929</v>
      </c>
      <c r="U229" s="349">
        <v>42985</v>
      </c>
      <c r="V229" s="81" t="s">
        <v>155</v>
      </c>
      <c r="W229" s="81" t="s">
        <v>114</v>
      </c>
      <c r="Y229" s="81" t="s">
        <v>115</v>
      </c>
      <c r="Z229" s="81" t="s">
        <v>119</v>
      </c>
      <c r="AA229" s="81" t="s">
        <v>117</v>
      </c>
      <c r="AB229" s="81" t="s">
        <v>120</v>
      </c>
      <c r="AC229" s="166">
        <v>6.0000000521540598E-3</v>
      </c>
      <c r="AD229" s="349">
        <v>42985</v>
      </c>
      <c r="AE229" s="81" t="s">
        <v>155</v>
      </c>
      <c r="AF229" s="349">
        <v>42985</v>
      </c>
      <c r="AG229" s="81" t="s">
        <v>238</v>
      </c>
      <c r="AH229" s="81" t="s">
        <v>118</v>
      </c>
      <c r="AK229" s="166">
        <v>0</v>
      </c>
      <c r="AM229" s="166">
        <v>0</v>
      </c>
      <c r="AO229" s="166">
        <v>0</v>
      </c>
      <c r="AP229" s="166">
        <v>1</v>
      </c>
      <c r="AQ229" s="166">
        <v>0</v>
      </c>
      <c r="AR229" s="166">
        <v>0</v>
      </c>
      <c r="AS229" s="166">
        <v>0</v>
      </c>
      <c r="AT229" s="166">
        <v>0</v>
      </c>
      <c r="AU229" s="166">
        <v>0</v>
      </c>
      <c r="AV229" s="166">
        <v>0</v>
      </c>
      <c r="AW229" s="166">
        <v>1</v>
      </c>
      <c r="AX229" s="166">
        <v>0</v>
      </c>
      <c r="AY229" s="166">
        <v>0</v>
      </c>
      <c r="AZ229" s="166">
        <v>0</v>
      </c>
      <c r="BA229" s="166">
        <v>0</v>
      </c>
      <c r="BB229" s="166">
        <v>0</v>
      </c>
      <c r="BC229" s="166">
        <v>0</v>
      </c>
      <c r="BD229" s="166">
        <v>0</v>
      </c>
      <c r="BE229" s="166">
        <v>0</v>
      </c>
      <c r="BF229" s="166">
        <v>0</v>
      </c>
      <c r="BG229" s="166">
        <v>0</v>
      </c>
      <c r="BH229" s="166">
        <v>0</v>
      </c>
      <c r="BI229" s="166">
        <v>0</v>
      </c>
      <c r="BJ229" s="166">
        <v>0</v>
      </c>
      <c r="BK229" s="166">
        <v>0</v>
      </c>
      <c r="BL229" s="166">
        <v>0</v>
      </c>
      <c r="BM229" s="166">
        <v>0</v>
      </c>
      <c r="BN229" s="166">
        <v>0</v>
      </c>
      <c r="BO229" s="166">
        <v>0</v>
      </c>
      <c r="BP229" s="166">
        <v>0</v>
      </c>
      <c r="BQ229" s="81" t="s">
        <v>1757</v>
      </c>
      <c r="BZ229" s="81" t="s">
        <v>155</v>
      </c>
      <c r="CA229" s="81">
        <v>7</v>
      </c>
      <c r="CC229" s="167">
        <f>N229</f>
        <v>1</v>
      </c>
      <c r="CD229" s="167">
        <v>0</v>
      </c>
      <c r="CE229" s="167">
        <v>0</v>
      </c>
      <c r="CF229" s="167">
        <v>0</v>
      </c>
      <c r="CG229" s="167">
        <v>0</v>
      </c>
      <c r="CH229" s="167">
        <v>0</v>
      </c>
      <c r="CI229" s="167">
        <v>0</v>
      </c>
      <c r="CJ229" s="167">
        <v>0</v>
      </c>
      <c r="CK229" s="167">
        <v>0</v>
      </c>
      <c r="CL229" s="167">
        <v>0</v>
      </c>
      <c r="CM229" s="167">
        <v>0</v>
      </c>
      <c r="CN229" s="167">
        <v>0</v>
      </c>
      <c r="CO229" s="167">
        <v>0</v>
      </c>
      <c r="CP229" s="167">
        <v>0</v>
      </c>
      <c r="CQ229" s="167">
        <v>0</v>
      </c>
      <c r="CR229" s="167">
        <v>0</v>
      </c>
      <c r="CS229" s="167">
        <v>0</v>
      </c>
      <c r="CT229" s="167">
        <v>0</v>
      </c>
      <c r="CU229" s="167">
        <v>0</v>
      </c>
      <c r="CV229" s="167">
        <v>0</v>
      </c>
      <c r="CW229" s="167">
        <v>0</v>
      </c>
      <c r="CX229" s="167">
        <f>SUM(CD229:CH229)</f>
        <v>0</v>
      </c>
      <c r="CY229" s="167">
        <f>SUM(CD229:CM229)</f>
        <v>0</v>
      </c>
    </row>
    <row r="230" spans="1:103" ht="12.75" customHeight="1" x14ac:dyDescent="0.2">
      <c r="A230" s="81">
        <v>6653</v>
      </c>
      <c r="B230" s="165" t="s">
        <v>1924</v>
      </c>
      <c r="C230" s="165" t="s">
        <v>3304</v>
      </c>
      <c r="E230" s="165" t="s">
        <v>2198</v>
      </c>
      <c r="G230" s="81">
        <v>527197</v>
      </c>
      <c r="H230" s="81">
        <v>171575</v>
      </c>
      <c r="I230" s="165" t="s">
        <v>242</v>
      </c>
      <c r="J230" s="349">
        <v>42886</v>
      </c>
      <c r="K230" s="349">
        <v>43190</v>
      </c>
      <c r="L230" s="166">
        <v>1</v>
      </c>
      <c r="M230" s="166">
        <v>3</v>
      </c>
      <c r="N230" s="166">
        <v>2</v>
      </c>
      <c r="O230" s="166">
        <v>3</v>
      </c>
      <c r="P230" s="166">
        <v>2</v>
      </c>
      <c r="R230" s="165" t="s">
        <v>3305</v>
      </c>
      <c r="S230" s="81" t="s">
        <v>113</v>
      </c>
      <c r="T230" s="349">
        <v>43052</v>
      </c>
      <c r="U230" s="349">
        <v>43108</v>
      </c>
      <c r="V230" s="81" t="s">
        <v>155</v>
      </c>
      <c r="W230" s="81" t="s">
        <v>114</v>
      </c>
      <c r="Y230" s="81" t="s">
        <v>115</v>
      </c>
      <c r="Z230" s="81" t="s">
        <v>398</v>
      </c>
      <c r="AA230" s="81" t="s">
        <v>117</v>
      </c>
      <c r="AB230" s="81" t="s">
        <v>120</v>
      </c>
      <c r="AC230" s="166">
        <v>2.0999999716877899E-2</v>
      </c>
      <c r="AD230" s="349">
        <v>42886</v>
      </c>
      <c r="AE230" s="81" t="s">
        <v>155</v>
      </c>
      <c r="AF230" s="349">
        <v>43190</v>
      </c>
      <c r="AG230" s="81" t="s">
        <v>238</v>
      </c>
      <c r="AH230" s="81" t="s">
        <v>118</v>
      </c>
      <c r="AK230" s="166">
        <v>0</v>
      </c>
      <c r="AM230" s="166">
        <v>0</v>
      </c>
      <c r="AO230" s="166">
        <v>0</v>
      </c>
      <c r="AP230" s="166">
        <v>0</v>
      </c>
      <c r="AQ230" s="166">
        <v>1</v>
      </c>
      <c r="AR230" s="166">
        <v>2</v>
      </c>
      <c r="AS230" s="166">
        <v>0</v>
      </c>
      <c r="AT230" s="166">
        <v>-1</v>
      </c>
      <c r="AU230" s="166">
        <v>0</v>
      </c>
      <c r="AV230" s="166">
        <v>0</v>
      </c>
      <c r="AW230" s="166">
        <v>0</v>
      </c>
      <c r="AX230" s="166">
        <v>1</v>
      </c>
      <c r="AY230" s="166">
        <v>2</v>
      </c>
      <c r="AZ230" s="166">
        <v>0</v>
      </c>
      <c r="BA230" s="166">
        <v>0</v>
      </c>
      <c r="BB230" s="166">
        <v>0</v>
      </c>
      <c r="BC230" s="166">
        <v>0</v>
      </c>
      <c r="BD230" s="166">
        <v>0</v>
      </c>
      <c r="BE230" s="166">
        <v>0</v>
      </c>
      <c r="BF230" s="166">
        <v>0</v>
      </c>
      <c r="BG230" s="166">
        <v>0</v>
      </c>
      <c r="BH230" s="166">
        <v>-1</v>
      </c>
      <c r="BI230" s="166">
        <v>0</v>
      </c>
      <c r="BJ230" s="166">
        <v>0</v>
      </c>
      <c r="BK230" s="166">
        <v>0</v>
      </c>
      <c r="BL230" s="166">
        <v>0</v>
      </c>
      <c r="BM230" s="166">
        <v>0</v>
      </c>
      <c r="BN230" s="166">
        <v>0</v>
      </c>
      <c r="BO230" s="166">
        <v>0</v>
      </c>
      <c r="BP230" s="166">
        <v>0</v>
      </c>
      <c r="BQ230" s="81" t="s">
        <v>1757</v>
      </c>
      <c r="BZ230" s="81" t="s">
        <v>155</v>
      </c>
      <c r="CA230" s="81">
        <v>7</v>
      </c>
      <c r="CC230" s="167">
        <f>N230</f>
        <v>2</v>
      </c>
      <c r="CD230" s="167">
        <v>0</v>
      </c>
      <c r="CE230" s="167">
        <v>0</v>
      </c>
      <c r="CF230" s="167">
        <v>0</v>
      </c>
      <c r="CG230" s="167">
        <v>0</v>
      </c>
      <c r="CH230" s="167">
        <v>0</v>
      </c>
      <c r="CI230" s="167">
        <v>0</v>
      </c>
      <c r="CJ230" s="167">
        <v>0</v>
      </c>
      <c r="CK230" s="167">
        <v>0</v>
      </c>
      <c r="CL230" s="167">
        <v>0</v>
      </c>
      <c r="CM230" s="167">
        <v>0</v>
      </c>
      <c r="CN230" s="167">
        <v>0</v>
      </c>
      <c r="CO230" s="167">
        <v>0</v>
      </c>
      <c r="CP230" s="167">
        <v>0</v>
      </c>
      <c r="CQ230" s="167">
        <v>0</v>
      </c>
      <c r="CR230" s="167">
        <v>0</v>
      </c>
      <c r="CS230" s="167">
        <v>0</v>
      </c>
      <c r="CT230" s="167">
        <v>0</v>
      </c>
      <c r="CU230" s="167">
        <v>0</v>
      </c>
      <c r="CV230" s="167">
        <v>0</v>
      </c>
      <c r="CW230" s="167">
        <v>0</v>
      </c>
      <c r="CX230" s="167">
        <f>SUM(CD230:CH230)</f>
        <v>0</v>
      </c>
      <c r="CY230" s="167">
        <f>SUM(CD230:CM230)</f>
        <v>0</v>
      </c>
    </row>
    <row r="231" spans="1:103" ht="12.75" customHeight="1" x14ac:dyDescent="0.2">
      <c r="A231" s="81">
        <v>6678</v>
      </c>
      <c r="B231" s="165" t="s">
        <v>1924</v>
      </c>
      <c r="C231" s="165" t="s">
        <v>3306</v>
      </c>
      <c r="E231" s="165" t="s">
        <v>3307</v>
      </c>
      <c r="G231" s="81">
        <v>528146</v>
      </c>
      <c r="H231" s="81">
        <v>175643</v>
      </c>
      <c r="I231" s="165" t="s">
        <v>256</v>
      </c>
      <c r="J231" s="349">
        <v>43003</v>
      </c>
      <c r="K231" s="349">
        <v>43190</v>
      </c>
      <c r="L231" s="166">
        <v>0</v>
      </c>
      <c r="M231" s="166">
        <v>1</v>
      </c>
      <c r="N231" s="166">
        <v>1</v>
      </c>
      <c r="O231" s="166">
        <v>1</v>
      </c>
      <c r="P231" s="166">
        <v>1</v>
      </c>
      <c r="R231" s="165" t="s">
        <v>3308</v>
      </c>
      <c r="S231" s="81" t="s">
        <v>113</v>
      </c>
      <c r="T231" s="349">
        <v>42948</v>
      </c>
      <c r="U231" s="349">
        <v>43003</v>
      </c>
      <c r="V231" s="81" t="s">
        <v>155</v>
      </c>
      <c r="W231" s="81" t="s">
        <v>114</v>
      </c>
      <c r="Y231" s="81" t="s">
        <v>115</v>
      </c>
      <c r="Z231" s="81" t="s">
        <v>398</v>
      </c>
      <c r="AA231" s="81" t="s">
        <v>117</v>
      </c>
      <c r="AB231" s="81" t="s">
        <v>102</v>
      </c>
      <c r="AC231" s="166">
        <v>6.0000000521540598E-3</v>
      </c>
      <c r="AD231" s="349">
        <v>43003</v>
      </c>
      <c r="AE231" s="81" t="s">
        <v>155</v>
      </c>
      <c r="AF231" s="349">
        <v>43190</v>
      </c>
      <c r="AG231" s="81" t="s">
        <v>238</v>
      </c>
      <c r="AH231" s="81" t="s">
        <v>118</v>
      </c>
      <c r="AK231" s="166">
        <v>0</v>
      </c>
      <c r="AM231" s="166">
        <v>0</v>
      </c>
      <c r="AO231" s="166">
        <v>0</v>
      </c>
      <c r="AP231" s="166">
        <v>0</v>
      </c>
      <c r="AQ231" s="166">
        <v>1</v>
      </c>
      <c r="AR231" s="166">
        <v>0</v>
      </c>
      <c r="AS231" s="166">
        <v>0</v>
      </c>
      <c r="AT231" s="166">
        <v>0</v>
      </c>
      <c r="AU231" s="166">
        <v>0</v>
      </c>
      <c r="AV231" s="166">
        <v>0</v>
      </c>
      <c r="AW231" s="166">
        <v>0</v>
      </c>
      <c r="AX231" s="166">
        <v>1</v>
      </c>
      <c r="AY231" s="166">
        <v>0</v>
      </c>
      <c r="AZ231" s="166">
        <v>0</v>
      </c>
      <c r="BA231" s="166">
        <v>0</v>
      </c>
      <c r="BB231" s="166">
        <v>0</v>
      </c>
      <c r="BC231" s="166">
        <v>0</v>
      </c>
      <c r="BD231" s="166">
        <v>0</v>
      </c>
      <c r="BE231" s="166">
        <v>0</v>
      </c>
      <c r="BF231" s="166">
        <v>0</v>
      </c>
      <c r="BG231" s="166">
        <v>0</v>
      </c>
      <c r="BH231" s="166">
        <v>0</v>
      </c>
      <c r="BI231" s="166">
        <v>0</v>
      </c>
      <c r="BJ231" s="166">
        <v>0</v>
      </c>
      <c r="BK231" s="166">
        <v>0</v>
      </c>
      <c r="BL231" s="166">
        <v>0</v>
      </c>
      <c r="BM231" s="166">
        <v>0</v>
      </c>
      <c r="BN231" s="166">
        <v>0</v>
      </c>
      <c r="BO231" s="166">
        <v>0</v>
      </c>
      <c r="BP231" s="166">
        <v>0</v>
      </c>
      <c r="BQ231" s="81" t="s">
        <v>1757</v>
      </c>
      <c r="BZ231" s="81" t="s">
        <v>155</v>
      </c>
      <c r="CA231" s="81">
        <v>7</v>
      </c>
      <c r="CC231" s="167">
        <f>N231</f>
        <v>1</v>
      </c>
      <c r="CD231" s="167">
        <v>0</v>
      </c>
      <c r="CE231" s="167">
        <v>0</v>
      </c>
      <c r="CF231" s="167">
        <v>0</v>
      </c>
      <c r="CG231" s="167">
        <v>0</v>
      </c>
      <c r="CH231" s="167">
        <v>0</v>
      </c>
      <c r="CI231" s="167">
        <v>0</v>
      </c>
      <c r="CJ231" s="167">
        <v>0</v>
      </c>
      <c r="CK231" s="167">
        <v>0</v>
      </c>
      <c r="CL231" s="167">
        <v>0</v>
      </c>
      <c r="CM231" s="167">
        <v>0</v>
      </c>
      <c r="CN231" s="167">
        <v>0</v>
      </c>
      <c r="CO231" s="167">
        <v>0</v>
      </c>
      <c r="CP231" s="167">
        <v>0</v>
      </c>
      <c r="CQ231" s="167">
        <v>0</v>
      </c>
      <c r="CR231" s="167">
        <v>0</v>
      </c>
      <c r="CS231" s="167">
        <v>0</v>
      </c>
      <c r="CT231" s="167">
        <v>0</v>
      </c>
      <c r="CU231" s="167">
        <v>0</v>
      </c>
      <c r="CV231" s="167">
        <v>0</v>
      </c>
      <c r="CW231" s="167">
        <v>0</v>
      </c>
      <c r="CX231" s="167">
        <f>SUM(CD231:CH231)</f>
        <v>0</v>
      </c>
      <c r="CY231" s="167">
        <f>SUM(CD231:CM231)</f>
        <v>0</v>
      </c>
    </row>
    <row r="232" spans="1:103" ht="12.75" customHeight="1" x14ac:dyDescent="0.2">
      <c r="A232" s="81">
        <v>6683</v>
      </c>
      <c r="B232" s="165" t="s">
        <v>1924</v>
      </c>
      <c r="C232" s="165" t="s">
        <v>3309</v>
      </c>
      <c r="E232" s="165" t="s">
        <v>3310</v>
      </c>
      <c r="G232" s="81">
        <v>527997</v>
      </c>
      <c r="H232" s="81">
        <v>172711</v>
      </c>
      <c r="I232" s="165" t="s">
        <v>254</v>
      </c>
      <c r="J232" s="349">
        <v>42961</v>
      </c>
      <c r="K232" s="349">
        <v>42961</v>
      </c>
      <c r="L232" s="166">
        <v>1</v>
      </c>
      <c r="M232" s="166">
        <v>1</v>
      </c>
      <c r="N232" s="166">
        <v>0</v>
      </c>
      <c r="O232" s="166">
        <v>1</v>
      </c>
      <c r="P232" s="166">
        <v>0</v>
      </c>
      <c r="R232" s="165" t="s">
        <v>3311</v>
      </c>
      <c r="S232" s="81" t="s">
        <v>113</v>
      </c>
      <c r="T232" s="349">
        <v>42905</v>
      </c>
      <c r="U232" s="349">
        <v>42961</v>
      </c>
      <c r="V232" s="81" t="s">
        <v>155</v>
      </c>
      <c r="W232" s="81" t="s">
        <v>114</v>
      </c>
      <c r="Y232" s="81" t="s">
        <v>115</v>
      </c>
      <c r="Z232" s="81" t="s">
        <v>116</v>
      </c>
      <c r="AA232" s="81" t="s">
        <v>117</v>
      </c>
      <c r="AB232" s="81" t="s">
        <v>218</v>
      </c>
      <c r="AC232" s="166">
        <v>5.4000001400709201E-2</v>
      </c>
      <c r="AD232" s="349">
        <v>42961</v>
      </c>
      <c r="AE232" s="81" t="s">
        <v>155</v>
      </c>
      <c r="AF232" s="349">
        <v>42961</v>
      </c>
      <c r="AG232" s="81" t="s">
        <v>238</v>
      </c>
      <c r="AH232" s="81" t="s">
        <v>118</v>
      </c>
      <c r="AK232" s="166">
        <v>0</v>
      </c>
      <c r="AM232" s="166">
        <v>0</v>
      </c>
      <c r="AO232" s="166">
        <v>0</v>
      </c>
      <c r="AP232" s="166">
        <v>0</v>
      </c>
      <c r="AQ232" s="166">
        <v>0</v>
      </c>
      <c r="AR232" s="166">
        <v>0</v>
      </c>
      <c r="AS232" s="166">
        <v>-1</v>
      </c>
      <c r="AT232" s="166">
        <v>1</v>
      </c>
      <c r="AU232" s="166">
        <v>0</v>
      </c>
      <c r="AV232" s="166">
        <v>0</v>
      </c>
      <c r="AW232" s="166">
        <v>0</v>
      </c>
      <c r="AX232" s="166">
        <v>0</v>
      </c>
      <c r="AY232" s="166">
        <v>0</v>
      </c>
      <c r="AZ232" s="166">
        <v>0</v>
      </c>
      <c r="BA232" s="166">
        <v>0</v>
      </c>
      <c r="BB232" s="166">
        <v>0</v>
      </c>
      <c r="BC232" s="166">
        <v>0</v>
      </c>
      <c r="BD232" s="166">
        <v>0</v>
      </c>
      <c r="BE232" s="166">
        <v>0</v>
      </c>
      <c r="BF232" s="166">
        <v>0</v>
      </c>
      <c r="BG232" s="166">
        <v>-1</v>
      </c>
      <c r="BH232" s="166">
        <v>1</v>
      </c>
      <c r="BI232" s="166">
        <v>0</v>
      </c>
      <c r="BJ232" s="166">
        <v>0</v>
      </c>
      <c r="BK232" s="166">
        <v>0</v>
      </c>
      <c r="BL232" s="166">
        <v>0</v>
      </c>
      <c r="BM232" s="166">
        <v>0</v>
      </c>
      <c r="BN232" s="166">
        <v>0</v>
      </c>
      <c r="BO232" s="166">
        <v>0</v>
      </c>
      <c r="BP232" s="166">
        <v>0</v>
      </c>
      <c r="BQ232" s="81" t="s">
        <v>1757</v>
      </c>
      <c r="BZ232" s="81" t="s">
        <v>155</v>
      </c>
      <c r="CA232" s="81">
        <v>1</v>
      </c>
      <c r="CC232" s="167">
        <f>N232</f>
        <v>0</v>
      </c>
      <c r="CD232" s="167">
        <v>0</v>
      </c>
      <c r="CE232" s="167">
        <v>0</v>
      </c>
      <c r="CF232" s="167">
        <v>0</v>
      </c>
      <c r="CG232" s="167">
        <v>0</v>
      </c>
      <c r="CH232" s="167">
        <v>0</v>
      </c>
      <c r="CI232" s="167">
        <v>0</v>
      </c>
      <c r="CJ232" s="167">
        <v>0</v>
      </c>
      <c r="CK232" s="167">
        <v>0</v>
      </c>
      <c r="CL232" s="167">
        <v>0</v>
      </c>
      <c r="CM232" s="167">
        <v>0</v>
      </c>
      <c r="CN232" s="167">
        <v>0</v>
      </c>
      <c r="CO232" s="167">
        <v>0</v>
      </c>
      <c r="CP232" s="167">
        <v>0</v>
      </c>
      <c r="CQ232" s="167">
        <v>0</v>
      </c>
      <c r="CR232" s="167">
        <v>0</v>
      </c>
      <c r="CS232" s="167">
        <v>0</v>
      </c>
      <c r="CT232" s="167">
        <v>0</v>
      </c>
      <c r="CU232" s="167">
        <v>0</v>
      </c>
      <c r="CV232" s="167">
        <v>0</v>
      </c>
      <c r="CW232" s="167">
        <v>0</v>
      </c>
      <c r="CX232" s="167">
        <f>SUM(CD232:CH232)</f>
        <v>0</v>
      </c>
      <c r="CY232" s="167">
        <f>SUM(CD232:CM232)</f>
        <v>0</v>
      </c>
    </row>
    <row r="233" spans="1:103" ht="12.75" customHeight="1" x14ac:dyDescent="0.2">
      <c r="A233" s="81">
        <v>6686</v>
      </c>
      <c r="B233" s="165" t="s">
        <v>1924</v>
      </c>
      <c r="C233" s="165" t="s">
        <v>3312</v>
      </c>
      <c r="E233" s="165" t="s">
        <v>3313</v>
      </c>
      <c r="G233" s="81">
        <v>527285</v>
      </c>
      <c r="H233" s="81">
        <v>176212</v>
      </c>
      <c r="I233" s="165" t="s">
        <v>241</v>
      </c>
      <c r="J233" s="349">
        <v>43053</v>
      </c>
      <c r="K233" s="349">
        <v>43190</v>
      </c>
      <c r="L233" s="166">
        <v>2</v>
      </c>
      <c r="M233" s="166">
        <v>1</v>
      </c>
      <c r="N233" s="166">
        <v>-1</v>
      </c>
      <c r="O233" s="166">
        <v>1</v>
      </c>
      <c r="P233" s="166">
        <v>-1</v>
      </c>
      <c r="R233" s="165" t="s">
        <v>3314</v>
      </c>
      <c r="S233" s="81" t="s">
        <v>113</v>
      </c>
      <c r="T233" s="349">
        <v>42997</v>
      </c>
      <c r="U233" s="349">
        <v>43053</v>
      </c>
      <c r="V233" s="81" t="s">
        <v>155</v>
      </c>
      <c r="W233" s="81" t="s">
        <v>114</v>
      </c>
      <c r="Y233" s="81" t="s">
        <v>115</v>
      </c>
      <c r="Z233" s="81" t="s">
        <v>398</v>
      </c>
      <c r="AA233" s="81" t="s">
        <v>117</v>
      </c>
      <c r="AB233" s="81" t="s">
        <v>336</v>
      </c>
      <c r="AC233" s="166">
        <v>1.09999999403954E-2</v>
      </c>
      <c r="AD233" s="349">
        <v>43053</v>
      </c>
      <c r="AE233" s="81" t="s">
        <v>155</v>
      </c>
      <c r="AF233" s="349">
        <v>43190</v>
      </c>
      <c r="AG233" s="81" t="s">
        <v>238</v>
      </c>
      <c r="AH233" s="81" t="s">
        <v>118</v>
      </c>
      <c r="AK233" s="166">
        <v>0</v>
      </c>
      <c r="AM233" s="166">
        <v>0</v>
      </c>
      <c r="AO233" s="166">
        <v>0</v>
      </c>
      <c r="AP233" s="166">
        <v>-2</v>
      </c>
      <c r="AQ233" s="166">
        <v>0</v>
      </c>
      <c r="AR233" s="166">
        <v>0</v>
      </c>
      <c r="AS233" s="166">
        <v>1</v>
      </c>
      <c r="AT233" s="166">
        <v>0</v>
      </c>
      <c r="AU233" s="166">
        <v>0</v>
      </c>
      <c r="AV233" s="166">
        <v>0</v>
      </c>
      <c r="AW233" s="166">
        <v>-2</v>
      </c>
      <c r="AX233" s="166">
        <v>0</v>
      </c>
      <c r="AY233" s="166">
        <v>0</v>
      </c>
      <c r="AZ233" s="166">
        <v>0</v>
      </c>
      <c r="BA233" s="166">
        <v>0</v>
      </c>
      <c r="BB233" s="166">
        <v>0</v>
      </c>
      <c r="BC233" s="166">
        <v>0</v>
      </c>
      <c r="BD233" s="166">
        <v>0</v>
      </c>
      <c r="BE233" s="166">
        <v>0</v>
      </c>
      <c r="BF233" s="166">
        <v>0</v>
      </c>
      <c r="BG233" s="166">
        <v>1</v>
      </c>
      <c r="BH233" s="166">
        <v>0</v>
      </c>
      <c r="BI233" s="166">
        <v>0</v>
      </c>
      <c r="BJ233" s="166">
        <v>0</v>
      </c>
      <c r="BK233" s="166">
        <v>0</v>
      </c>
      <c r="BL233" s="166">
        <v>0</v>
      </c>
      <c r="BM233" s="166">
        <v>0</v>
      </c>
      <c r="BN233" s="166">
        <v>0</v>
      </c>
      <c r="BO233" s="166">
        <v>0</v>
      </c>
      <c r="BP233" s="166">
        <v>0</v>
      </c>
      <c r="BQ233" s="81" t="s">
        <v>1757</v>
      </c>
      <c r="BZ233" s="81" t="s">
        <v>155</v>
      </c>
      <c r="CA233" s="81">
        <v>7</v>
      </c>
      <c r="CC233" s="167">
        <f>N233</f>
        <v>-1</v>
      </c>
      <c r="CD233" s="167">
        <v>0</v>
      </c>
      <c r="CE233" s="167">
        <v>0</v>
      </c>
      <c r="CF233" s="167">
        <v>0</v>
      </c>
      <c r="CG233" s="167">
        <v>0</v>
      </c>
      <c r="CH233" s="167">
        <v>0</v>
      </c>
      <c r="CI233" s="167">
        <v>0</v>
      </c>
      <c r="CJ233" s="167">
        <v>0</v>
      </c>
      <c r="CK233" s="167">
        <v>0</v>
      </c>
      <c r="CL233" s="167">
        <v>0</v>
      </c>
      <c r="CM233" s="167">
        <v>0</v>
      </c>
      <c r="CN233" s="167">
        <v>0</v>
      </c>
      <c r="CO233" s="167">
        <v>0</v>
      </c>
      <c r="CP233" s="167">
        <v>0</v>
      </c>
      <c r="CQ233" s="167">
        <v>0</v>
      </c>
      <c r="CR233" s="167">
        <v>0</v>
      </c>
      <c r="CS233" s="167">
        <v>0</v>
      </c>
      <c r="CT233" s="167">
        <v>0</v>
      </c>
      <c r="CU233" s="167">
        <v>0</v>
      </c>
      <c r="CV233" s="167">
        <v>0</v>
      </c>
      <c r="CW233" s="167">
        <v>0</v>
      </c>
      <c r="CX233" s="167">
        <f>SUM(CD233:CH233)</f>
        <v>0</v>
      </c>
      <c r="CY233" s="167">
        <f>SUM(CD233:CM233)</f>
        <v>0</v>
      </c>
    </row>
    <row r="234" spans="1:103" ht="12.75" customHeight="1" x14ac:dyDescent="0.2">
      <c r="A234" s="81">
        <v>6721</v>
      </c>
      <c r="B234" s="165" t="s">
        <v>1924</v>
      </c>
      <c r="C234" s="165" t="s">
        <v>3315</v>
      </c>
      <c r="E234" s="165" t="s">
        <v>3316</v>
      </c>
      <c r="G234" s="81">
        <v>527376</v>
      </c>
      <c r="H234" s="81">
        <v>176317</v>
      </c>
      <c r="I234" s="165" t="s">
        <v>241</v>
      </c>
      <c r="J234" s="349">
        <v>43060</v>
      </c>
      <c r="K234" s="349">
        <v>43190</v>
      </c>
      <c r="L234" s="166">
        <v>1</v>
      </c>
      <c r="M234" s="166">
        <v>3</v>
      </c>
      <c r="N234" s="166">
        <v>2</v>
      </c>
      <c r="O234" s="166">
        <v>3</v>
      </c>
      <c r="P234" s="166">
        <v>2</v>
      </c>
      <c r="R234" s="165" t="s">
        <v>3317</v>
      </c>
      <c r="S234" s="81" t="s">
        <v>113</v>
      </c>
      <c r="T234" s="349">
        <v>43004</v>
      </c>
      <c r="U234" s="349">
        <v>43060</v>
      </c>
      <c r="V234" s="81" t="s">
        <v>155</v>
      </c>
      <c r="W234" s="81" t="s">
        <v>114</v>
      </c>
      <c r="Y234" s="81" t="s">
        <v>115</v>
      </c>
      <c r="Z234" s="81" t="s">
        <v>398</v>
      </c>
      <c r="AA234" s="81" t="s">
        <v>117</v>
      </c>
      <c r="AB234" s="81" t="s">
        <v>220</v>
      </c>
      <c r="AC234" s="166">
        <v>6.0000000521540598E-3</v>
      </c>
      <c r="AD234" s="349">
        <v>43060</v>
      </c>
      <c r="AE234" s="81" t="s">
        <v>155</v>
      </c>
      <c r="AF234" s="349">
        <v>43190</v>
      </c>
      <c r="AG234" s="81" t="s">
        <v>238</v>
      </c>
      <c r="AH234" s="81" t="s">
        <v>118</v>
      </c>
      <c r="AK234" s="166">
        <v>0</v>
      </c>
      <c r="AM234" s="166">
        <v>0</v>
      </c>
      <c r="AO234" s="166">
        <v>0</v>
      </c>
      <c r="AP234" s="166">
        <v>3</v>
      </c>
      <c r="AQ234" s="166">
        <v>0</v>
      </c>
      <c r="AR234" s="166">
        <v>-1</v>
      </c>
      <c r="AS234" s="166">
        <v>0</v>
      </c>
      <c r="AT234" s="166">
        <v>0</v>
      </c>
      <c r="AU234" s="166">
        <v>0</v>
      </c>
      <c r="AV234" s="166">
        <v>0</v>
      </c>
      <c r="AW234" s="166">
        <v>3</v>
      </c>
      <c r="AX234" s="166">
        <v>0</v>
      </c>
      <c r="AY234" s="166">
        <v>-1</v>
      </c>
      <c r="AZ234" s="166">
        <v>0</v>
      </c>
      <c r="BA234" s="166">
        <v>0</v>
      </c>
      <c r="BB234" s="166">
        <v>0</v>
      </c>
      <c r="BC234" s="166">
        <v>0</v>
      </c>
      <c r="BD234" s="166">
        <v>0</v>
      </c>
      <c r="BE234" s="166">
        <v>0</v>
      </c>
      <c r="BF234" s="166">
        <v>0</v>
      </c>
      <c r="BG234" s="166">
        <v>0</v>
      </c>
      <c r="BH234" s="166">
        <v>0</v>
      </c>
      <c r="BI234" s="166">
        <v>0</v>
      </c>
      <c r="BJ234" s="166">
        <v>0</v>
      </c>
      <c r="BK234" s="166">
        <v>0</v>
      </c>
      <c r="BL234" s="166">
        <v>0</v>
      </c>
      <c r="BM234" s="166">
        <v>0</v>
      </c>
      <c r="BN234" s="166">
        <v>0</v>
      </c>
      <c r="BO234" s="166">
        <v>0</v>
      </c>
      <c r="BP234" s="166">
        <v>0</v>
      </c>
      <c r="BQ234" s="81" t="s">
        <v>1757</v>
      </c>
      <c r="BZ234" s="81" t="s">
        <v>155</v>
      </c>
      <c r="CA234" s="81">
        <v>7</v>
      </c>
      <c r="CC234" s="167">
        <f>N234</f>
        <v>2</v>
      </c>
      <c r="CD234" s="167">
        <v>0</v>
      </c>
      <c r="CE234" s="167">
        <v>0</v>
      </c>
      <c r="CF234" s="167">
        <v>0</v>
      </c>
      <c r="CG234" s="167">
        <v>0</v>
      </c>
      <c r="CH234" s="167">
        <v>0</v>
      </c>
      <c r="CI234" s="167">
        <v>0</v>
      </c>
      <c r="CJ234" s="167">
        <v>0</v>
      </c>
      <c r="CK234" s="167">
        <v>0</v>
      </c>
      <c r="CL234" s="167">
        <v>0</v>
      </c>
      <c r="CM234" s="167">
        <v>0</v>
      </c>
      <c r="CN234" s="167">
        <v>0</v>
      </c>
      <c r="CO234" s="167">
        <v>0</v>
      </c>
      <c r="CP234" s="167">
        <v>0</v>
      </c>
      <c r="CQ234" s="167">
        <v>0</v>
      </c>
      <c r="CR234" s="167">
        <v>0</v>
      </c>
      <c r="CS234" s="167">
        <v>0</v>
      </c>
      <c r="CT234" s="167">
        <v>0</v>
      </c>
      <c r="CU234" s="167">
        <v>0</v>
      </c>
      <c r="CV234" s="167">
        <v>0</v>
      </c>
      <c r="CW234" s="167">
        <v>0</v>
      </c>
      <c r="CX234" s="167">
        <f>SUM(CD234:CH234)</f>
        <v>0</v>
      </c>
      <c r="CY234" s="167">
        <f>SUM(CD234:CM234)</f>
        <v>0</v>
      </c>
    </row>
    <row r="235" spans="1:103" ht="12.75" customHeight="1" x14ac:dyDescent="0.2">
      <c r="A235" s="81">
        <v>6725</v>
      </c>
      <c r="B235" s="165" t="s">
        <v>1924</v>
      </c>
      <c r="C235" s="165" t="s">
        <v>3318</v>
      </c>
      <c r="E235" s="165" t="s">
        <v>3319</v>
      </c>
      <c r="G235" s="81">
        <v>527717</v>
      </c>
      <c r="H235" s="81">
        <v>171873</v>
      </c>
      <c r="I235" s="165" t="s">
        <v>242</v>
      </c>
      <c r="J235" s="349">
        <v>38261</v>
      </c>
      <c r="K235" s="349">
        <v>43088</v>
      </c>
      <c r="L235" s="166">
        <v>0</v>
      </c>
      <c r="M235" s="166">
        <v>4</v>
      </c>
      <c r="N235" s="166">
        <v>4</v>
      </c>
      <c r="O235" s="166">
        <v>4</v>
      </c>
      <c r="P235" s="166">
        <v>4</v>
      </c>
      <c r="R235" s="165" t="s">
        <v>3320</v>
      </c>
      <c r="S235" s="81" t="s">
        <v>504</v>
      </c>
      <c r="T235" s="349">
        <v>43035</v>
      </c>
      <c r="U235" s="349">
        <v>43088</v>
      </c>
      <c r="V235" s="81" t="s">
        <v>155</v>
      </c>
      <c r="W235" s="81" t="s">
        <v>114</v>
      </c>
      <c r="Y235" s="81" t="s">
        <v>115</v>
      </c>
      <c r="Z235" s="81" t="s">
        <v>310</v>
      </c>
      <c r="AA235" s="81" t="s">
        <v>117</v>
      </c>
      <c r="AB235" s="81" t="s">
        <v>102</v>
      </c>
      <c r="AC235" s="166">
        <v>1.2000000104308101E-2</v>
      </c>
      <c r="AD235" s="349">
        <v>38261</v>
      </c>
      <c r="AF235" s="349">
        <v>43088</v>
      </c>
      <c r="AG235" s="81" t="s">
        <v>238</v>
      </c>
      <c r="AH235" s="81" t="s">
        <v>118</v>
      </c>
      <c r="AK235" s="166">
        <v>0</v>
      </c>
      <c r="AM235" s="166">
        <v>0</v>
      </c>
      <c r="AO235" s="166">
        <v>0</v>
      </c>
      <c r="AP235" s="166">
        <v>3</v>
      </c>
      <c r="AQ235" s="166">
        <v>1</v>
      </c>
      <c r="AR235" s="166">
        <v>0</v>
      </c>
      <c r="AS235" s="166">
        <v>0</v>
      </c>
      <c r="AT235" s="166">
        <v>0</v>
      </c>
      <c r="AU235" s="166">
        <v>0</v>
      </c>
      <c r="AV235" s="166">
        <v>0</v>
      </c>
      <c r="AW235" s="166">
        <v>3</v>
      </c>
      <c r="AX235" s="166">
        <v>1</v>
      </c>
      <c r="AY235" s="166">
        <v>0</v>
      </c>
      <c r="AZ235" s="166">
        <v>0</v>
      </c>
      <c r="BA235" s="166">
        <v>0</v>
      </c>
      <c r="BB235" s="166">
        <v>0</v>
      </c>
      <c r="BC235" s="166">
        <v>0</v>
      </c>
      <c r="BD235" s="166">
        <v>0</v>
      </c>
      <c r="BE235" s="166">
        <v>0</v>
      </c>
      <c r="BF235" s="166">
        <v>0</v>
      </c>
      <c r="BG235" s="166">
        <v>0</v>
      </c>
      <c r="BH235" s="166">
        <v>0</v>
      </c>
      <c r="BI235" s="166">
        <v>0</v>
      </c>
      <c r="BJ235" s="166">
        <v>0</v>
      </c>
      <c r="BK235" s="166">
        <v>0</v>
      </c>
      <c r="BL235" s="166">
        <v>0</v>
      </c>
      <c r="BM235" s="166">
        <v>0</v>
      </c>
      <c r="BN235" s="166">
        <v>0</v>
      </c>
      <c r="BO235" s="166">
        <v>0</v>
      </c>
      <c r="BP235" s="166">
        <v>0</v>
      </c>
      <c r="BQ235" s="81" t="s">
        <v>1757</v>
      </c>
      <c r="BR235" s="81" t="s">
        <v>242</v>
      </c>
      <c r="BZ235" s="81" t="s">
        <v>155</v>
      </c>
      <c r="CA235" s="81">
        <v>7</v>
      </c>
      <c r="CC235" s="167">
        <f>N235</f>
        <v>4</v>
      </c>
      <c r="CD235" s="167">
        <v>0</v>
      </c>
      <c r="CE235" s="167">
        <v>0</v>
      </c>
      <c r="CF235" s="167">
        <v>0</v>
      </c>
      <c r="CG235" s="167">
        <v>0</v>
      </c>
      <c r="CH235" s="167">
        <v>0</v>
      </c>
      <c r="CI235" s="167">
        <v>0</v>
      </c>
      <c r="CJ235" s="167">
        <v>0</v>
      </c>
      <c r="CK235" s="167">
        <v>0</v>
      </c>
      <c r="CL235" s="167">
        <v>0</v>
      </c>
      <c r="CM235" s="167">
        <v>0</v>
      </c>
      <c r="CN235" s="167">
        <v>0</v>
      </c>
      <c r="CO235" s="167">
        <v>0</v>
      </c>
      <c r="CP235" s="167">
        <v>0</v>
      </c>
      <c r="CQ235" s="167">
        <v>0</v>
      </c>
      <c r="CR235" s="167">
        <v>0</v>
      </c>
      <c r="CS235" s="167">
        <v>0</v>
      </c>
      <c r="CT235" s="167">
        <v>0</v>
      </c>
      <c r="CU235" s="167">
        <v>0</v>
      </c>
      <c r="CV235" s="167">
        <v>0</v>
      </c>
      <c r="CW235" s="167">
        <v>0</v>
      </c>
      <c r="CX235" s="167">
        <f>SUM(CD235:CH235)</f>
        <v>0</v>
      </c>
      <c r="CY235" s="167">
        <f>SUM(CD235:CM235)</f>
        <v>0</v>
      </c>
    </row>
    <row r="236" spans="1:103" ht="12.75" customHeight="1" x14ac:dyDescent="0.2">
      <c r="A236" s="81">
        <v>6752</v>
      </c>
      <c r="B236" s="165" t="s">
        <v>1924</v>
      </c>
      <c r="C236" s="165" t="s">
        <v>3321</v>
      </c>
      <c r="E236" s="165" t="s">
        <v>3322</v>
      </c>
      <c r="G236" s="81">
        <v>528477</v>
      </c>
      <c r="H236" s="81">
        <v>172519</v>
      </c>
      <c r="I236" s="165" t="s">
        <v>248</v>
      </c>
      <c r="J236" s="349">
        <v>43125</v>
      </c>
      <c r="K236" s="349">
        <v>43125</v>
      </c>
      <c r="L236" s="166">
        <v>1</v>
      </c>
      <c r="M236" s="166">
        <v>0</v>
      </c>
      <c r="N236" s="166">
        <v>-1</v>
      </c>
      <c r="O236" s="166">
        <v>0</v>
      </c>
      <c r="P236" s="166">
        <v>-1</v>
      </c>
      <c r="R236" s="165" t="s">
        <v>3323</v>
      </c>
      <c r="S236" s="81" t="s">
        <v>504</v>
      </c>
      <c r="T236" s="349">
        <v>43069</v>
      </c>
      <c r="U236" s="349">
        <v>43125</v>
      </c>
      <c r="V236" s="81" t="s">
        <v>155</v>
      </c>
      <c r="W236" s="81" t="s">
        <v>114</v>
      </c>
      <c r="Y236" s="81" t="s">
        <v>115</v>
      </c>
      <c r="Z236" s="81" t="s">
        <v>310</v>
      </c>
      <c r="AA236" s="81" t="s">
        <v>117</v>
      </c>
      <c r="AB236" s="81" t="s">
        <v>105</v>
      </c>
      <c r="AC236" s="166">
        <v>2.3000000044703501E-2</v>
      </c>
      <c r="AD236" s="349">
        <v>43125</v>
      </c>
      <c r="AE236" s="81" t="s">
        <v>155</v>
      </c>
      <c r="AF236" s="349">
        <v>43125</v>
      </c>
      <c r="AG236" s="81" t="s">
        <v>238</v>
      </c>
      <c r="AH236" s="81" t="s">
        <v>118</v>
      </c>
      <c r="AK236" s="166">
        <v>0</v>
      </c>
      <c r="AM236" s="166">
        <v>0</v>
      </c>
      <c r="AO236" s="166">
        <v>0</v>
      </c>
      <c r="AP236" s="166">
        <v>0</v>
      </c>
      <c r="AQ236" s="166">
        <v>0</v>
      </c>
      <c r="AR236" s="166">
        <v>0</v>
      </c>
      <c r="AS236" s="166">
        <v>0</v>
      </c>
      <c r="AT236" s="166">
        <v>-1</v>
      </c>
      <c r="AU236" s="166">
        <v>0</v>
      </c>
      <c r="AV236" s="166">
        <v>0</v>
      </c>
      <c r="AW236" s="166">
        <v>0</v>
      </c>
      <c r="AX236" s="166">
        <v>0</v>
      </c>
      <c r="AY236" s="166">
        <v>0</v>
      </c>
      <c r="AZ236" s="166">
        <v>0</v>
      </c>
      <c r="BA236" s="166">
        <v>0</v>
      </c>
      <c r="BB236" s="166">
        <v>0</v>
      </c>
      <c r="BC236" s="166">
        <v>0</v>
      </c>
      <c r="BD236" s="166">
        <v>0</v>
      </c>
      <c r="BE236" s="166">
        <v>0</v>
      </c>
      <c r="BF236" s="166">
        <v>0</v>
      </c>
      <c r="BG236" s="166">
        <v>0</v>
      </c>
      <c r="BH236" s="166">
        <v>-1</v>
      </c>
      <c r="BI236" s="166">
        <v>0</v>
      </c>
      <c r="BJ236" s="166">
        <v>0</v>
      </c>
      <c r="BK236" s="166">
        <v>0</v>
      </c>
      <c r="BL236" s="166">
        <v>0</v>
      </c>
      <c r="BM236" s="166">
        <v>0</v>
      </c>
      <c r="BN236" s="166">
        <v>0</v>
      </c>
      <c r="BO236" s="166">
        <v>0</v>
      </c>
      <c r="BP236" s="166">
        <v>0</v>
      </c>
      <c r="BQ236" s="81" t="s">
        <v>1757</v>
      </c>
      <c r="BZ236" s="81" t="s">
        <v>155</v>
      </c>
      <c r="CA236" s="81">
        <v>7</v>
      </c>
      <c r="CC236" s="167">
        <f>N236</f>
        <v>-1</v>
      </c>
      <c r="CD236" s="167">
        <v>0</v>
      </c>
      <c r="CE236" s="167">
        <v>0</v>
      </c>
      <c r="CF236" s="167">
        <v>0</v>
      </c>
      <c r="CG236" s="167">
        <v>0</v>
      </c>
      <c r="CH236" s="167">
        <v>0</v>
      </c>
      <c r="CI236" s="167">
        <v>0</v>
      </c>
      <c r="CJ236" s="167">
        <v>0</v>
      </c>
      <c r="CK236" s="167">
        <v>0</v>
      </c>
      <c r="CL236" s="167">
        <v>0</v>
      </c>
      <c r="CM236" s="167">
        <v>0</v>
      </c>
      <c r="CN236" s="167">
        <v>0</v>
      </c>
      <c r="CO236" s="167">
        <v>0</v>
      </c>
      <c r="CP236" s="167">
        <v>0</v>
      </c>
      <c r="CQ236" s="167">
        <v>0</v>
      </c>
      <c r="CR236" s="167">
        <v>0</v>
      </c>
      <c r="CS236" s="167">
        <v>0</v>
      </c>
      <c r="CT236" s="167">
        <v>0</v>
      </c>
      <c r="CU236" s="167">
        <v>0</v>
      </c>
      <c r="CV236" s="167">
        <v>0</v>
      </c>
      <c r="CW236" s="167">
        <v>0</v>
      </c>
      <c r="CX236" s="167">
        <f>SUM(CD236:CH236)</f>
        <v>0</v>
      </c>
      <c r="CY236" s="167">
        <f>SUM(CD236:CM236)</f>
        <v>0</v>
      </c>
    </row>
    <row r="237" spans="1:103" ht="12.75" customHeight="1" x14ac:dyDescent="0.2">
      <c r="A237" s="81">
        <v>6778</v>
      </c>
      <c r="B237" s="165" t="s">
        <v>1924</v>
      </c>
      <c r="C237" s="165" t="s">
        <v>3324</v>
      </c>
      <c r="E237" s="165" t="s">
        <v>3325</v>
      </c>
      <c r="G237" s="81">
        <v>527742</v>
      </c>
      <c r="H237" s="81">
        <v>171915</v>
      </c>
      <c r="I237" s="165" t="s">
        <v>242</v>
      </c>
      <c r="J237" s="349">
        <v>43153</v>
      </c>
      <c r="K237" s="349">
        <v>43190</v>
      </c>
      <c r="L237" s="166">
        <v>1</v>
      </c>
      <c r="M237" s="166">
        <v>3</v>
      </c>
      <c r="N237" s="166">
        <v>2</v>
      </c>
      <c r="O237" s="166">
        <v>3</v>
      </c>
      <c r="P237" s="166">
        <v>2</v>
      </c>
      <c r="R237" s="165" t="s">
        <v>3326</v>
      </c>
      <c r="S237" s="81" t="s">
        <v>113</v>
      </c>
      <c r="T237" s="349">
        <v>43096</v>
      </c>
      <c r="U237" s="349">
        <v>43152</v>
      </c>
      <c r="V237" s="81" t="s">
        <v>155</v>
      </c>
      <c r="W237" s="81" t="s">
        <v>114</v>
      </c>
      <c r="Y237" s="81" t="s">
        <v>115</v>
      </c>
      <c r="Z237" s="81" t="s">
        <v>119</v>
      </c>
      <c r="AA237" s="81" t="s">
        <v>117</v>
      </c>
      <c r="AB237" s="81" t="s">
        <v>220</v>
      </c>
      <c r="AC237" s="166">
        <v>1.2000000104308101E-2</v>
      </c>
      <c r="AD237" s="349">
        <v>43153</v>
      </c>
      <c r="AE237" s="81" t="s">
        <v>155</v>
      </c>
      <c r="AF237" s="349">
        <v>43190</v>
      </c>
      <c r="AG237" s="81" t="s">
        <v>238</v>
      </c>
      <c r="AH237" s="81" t="s">
        <v>118</v>
      </c>
      <c r="AK237" s="166">
        <v>0</v>
      </c>
      <c r="AM237" s="166">
        <v>0</v>
      </c>
      <c r="AO237" s="166">
        <v>1</v>
      </c>
      <c r="AP237" s="166">
        <v>1</v>
      </c>
      <c r="AQ237" s="166">
        <v>1</v>
      </c>
      <c r="AR237" s="166">
        <v>0</v>
      </c>
      <c r="AS237" s="166">
        <v>0</v>
      </c>
      <c r="AT237" s="166">
        <v>-1</v>
      </c>
      <c r="AU237" s="166">
        <v>0</v>
      </c>
      <c r="AV237" s="166">
        <v>1</v>
      </c>
      <c r="AW237" s="166">
        <v>1</v>
      </c>
      <c r="AX237" s="166">
        <v>1</v>
      </c>
      <c r="AY237" s="166">
        <v>0</v>
      </c>
      <c r="AZ237" s="166">
        <v>0</v>
      </c>
      <c r="BA237" s="166">
        <v>-1</v>
      </c>
      <c r="BB237" s="166">
        <v>0</v>
      </c>
      <c r="BC237" s="166">
        <v>0</v>
      </c>
      <c r="BD237" s="166">
        <v>0</v>
      </c>
      <c r="BE237" s="166">
        <v>0</v>
      </c>
      <c r="BF237" s="166">
        <v>0</v>
      </c>
      <c r="BG237" s="166">
        <v>0</v>
      </c>
      <c r="BH237" s="166">
        <v>0</v>
      </c>
      <c r="BI237" s="166">
        <v>0</v>
      </c>
      <c r="BJ237" s="166">
        <v>0</v>
      </c>
      <c r="BK237" s="166">
        <v>0</v>
      </c>
      <c r="BL237" s="166">
        <v>0</v>
      </c>
      <c r="BM237" s="166">
        <v>0</v>
      </c>
      <c r="BN237" s="166">
        <v>0</v>
      </c>
      <c r="BO237" s="166">
        <v>0</v>
      </c>
      <c r="BP237" s="166">
        <v>0</v>
      </c>
      <c r="BQ237" s="81" t="s">
        <v>1757</v>
      </c>
      <c r="BR237" s="81" t="s">
        <v>242</v>
      </c>
      <c r="BZ237" s="81" t="s">
        <v>155</v>
      </c>
      <c r="CA237" s="81">
        <v>7</v>
      </c>
      <c r="CC237" s="167">
        <f>N237</f>
        <v>2</v>
      </c>
      <c r="CD237" s="167">
        <v>0</v>
      </c>
      <c r="CE237" s="167">
        <v>0</v>
      </c>
      <c r="CF237" s="167">
        <v>0</v>
      </c>
      <c r="CG237" s="167">
        <v>0</v>
      </c>
      <c r="CH237" s="167">
        <v>0</v>
      </c>
      <c r="CI237" s="167">
        <v>0</v>
      </c>
      <c r="CJ237" s="167">
        <v>0</v>
      </c>
      <c r="CK237" s="167">
        <v>0</v>
      </c>
      <c r="CL237" s="167">
        <v>0</v>
      </c>
      <c r="CM237" s="167">
        <v>0</v>
      </c>
      <c r="CN237" s="167">
        <v>0</v>
      </c>
      <c r="CO237" s="167">
        <v>0</v>
      </c>
      <c r="CP237" s="167">
        <v>0</v>
      </c>
      <c r="CQ237" s="167">
        <v>0</v>
      </c>
      <c r="CR237" s="167">
        <v>0</v>
      </c>
      <c r="CS237" s="167">
        <v>0</v>
      </c>
      <c r="CT237" s="167">
        <v>0</v>
      </c>
      <c r="CU237" s="167">
        <v>0</v>
      </c>
      <c r="CV237" s="167">
        <v>0</v>
      </c>
      <c r="CW237" s="167">
        <v>0</v>
      </c>
      <c r="CX237" s="167">
        <f>SUM(CD237:CH237)</f>
        <v>0</v>
      </c>
      <c r="CY237" s="167">
        <f>SUM(CD237:CM237)</f>
        <v>0</v>
      </c>
    </row>
    <row r="238" spans="1:103" ht="12.75" customHeight="1" x14ac:dyDescent="0.2">
      <c r="A238" s="81">
        <v>6787</v>
      </c>
      <c r="B238" s="165" t="s">
        <v>1924</v>
      </c>
      <c r="C238" s="165" t="s">
        <v>3327</v>
      </c>
      <c r="E238" s="165" t="s">
        <v>3328</v>
      </c>
      <c r="G238" s="81">
        <v>529457</v>
      </c>
      <c r="H238" s="81">
        <v>170756</v>
      </c>
      <c r="I238" s="165" t="s">
        <v>252</v>
      </c>
      <c r="K238" s="349">
        <v>43171</v>
      </c>
      <c r="L238" s="166">
        <v>0</v>
      </c>
      <c r="M238" s="166">
        <v>1</v>
      </c>
      <c r="N238" s="166">
        <v>1</v>
      </c>
      <c r="O238" s="166">
        <v>1</v>
      </c>
      <c r="P238" s="166">
        <v>1</v>
      </c>
      <c r="R238" s="165" t="s">
        <v>3329</v>
      </c>
      <c r="S238" s="81" t="s">
        <v>504</v>
      </c>
      <c r="T238" s="349">
        <v>43116</v>
      </c>
      <c r="U238" s="349">
        <v>43171</v>
      </c>
      <c r="V238" s="81" t="s">
        <v>155</v>
      </c>
      <c r="W238" s="81" t="s">
        <v>114</v>
      </c>
      <c r="Y238" s="81" t="s">
        <v>115</v>
      </c>
      <c r="Z238" s="81" t="s">
        <v>310</v>
      </c>
      <c r="AA238" s="81" t="s">
        <v>117</v>
      </c>
      <c r="AB238" s="81" t="s">
        <v>102</v>
      </c>
      <c r="AC238" s="166">
        <v>2.0000000949949E-3</v>
      </c>
      <c r="AF238" s="349">
        <v>43171</v>
      </c>
      <c r="AG238" s="81" t="s">
        <v>238</v>
      </c>
      <c r="AH238" s="81" t="s">
        <v>118</v>
      </c>
      <c r="AK238" s="166">
        <v>0</v>
      </c>
      <c r="AM238" s="166">
        <v>0</v>
      </c>
      <c r="AO238" s="166">
        <v>0</v>
      </c>
      <c r="AP238" s="166">
        <v>1</v>
      </c>
      <c r="AQ238" s="166">
        <v>0</v>
      </c>
      <c r="AR238" s="166">
        <v>0</v>
      </c>
      <c r="AS238" s="166">
        <v>0</v>
      </c>
      <c r="AT238" s="166">
        <v>0</v>
      </c>
      <c r="AU238" s="166">
        <v>0</v>
      </c>
      <c r="AV238" s="166">
        <v>0</v>
      </c>
      <c r="AW238" s="166">
        <v>1</v>
      </c>
      <c r="AX238" s="166">
        <v>0</v>
      </c>
      <c r="AY238" s="166">
        <v>0</v>
      </c>
      <c r="AZ238" s="166">
        <v>0</v>
      </c>
      <c r="BA238" s="166">
        <v>0</v>
      </c>
      <c r="BB238" s="166">
        <v>0</v>
      </c>
      <c r="BC238" s="166">
        <v>0</v>
      </c>
      <c r="BD238" s="166">
        <v>0</v>
      </c>
      <c r="BE238" s="166">
        <v>0</v>
      </c>
      <c r="BF238" s="166">
        <v>0</v>
      </c>
      <c r="BG238" s="166">
        <v>0</v>
      </c>
      <c r="BH238" s="166">
        <v>0</v>
      </c>
      <c r="BI238" s="166">
        <v>0</v>
      </c>
      <c r="BJ238" s="166">
        <v>0</v>
      </c>
      <c r="BK238" s="166">
        <v>0</v>
      </c>
      <c r="BL238" s="166">
        <v>0</v>
      </c>
      <c r="BM238" s="166">
        <v>0</v>
      </c>
      <c r="BN238" s="166">
        <v>0</v>
      </c>
      <c r="BO238" s="166">
        <v>0</v>
      </c>
      <c r="BP238" s="166">
        <v>0</v>
      </c>
      <c r="BQ238" s="81" t="s">
        <v>1757</v>
      </c>
      <c r="BZ238" s="81" t="s">
        <v>155</v>
      </c>
      <c r="CA238" s="81">
        <v>7</v>
      </c>
      <c r="CC238" s="167">
        <f>N238</f>
        <v>1</v>
      </c>
      <c r="CD238" s="167">
        <v>0</v>
      </c>
      <c r="CE238" s="167">
        <v>0</v>
      </c>
      <c r="CF238" s="167">
        <v>0</v>
      </c>
      <c r="CG238" s="167">
        <v>0</v>
      </c>
      <c r="CH238" s="167">
        <v>0</v>
      </c>
      <c r="CI238" s="167">
        <v>0</v>
      </c>
      <c r="CJ238" s="167">
        <v>0</v>
      </c>
      <c r="CK238" s="167">
        <v>0</v>
      </c>
      <c r="CL238" s="167">
        <v>0</v>
      </c>
      <c r="CM238" s="167">
        <v>0</v>
      </c>
      <c r="CN238" s="167">
        <v>0</v>
      </c>
      <c r="CO238" s="167">
        <v>0</v>
      </c>
      <c r="CP238" s="167">
        <v>0</v>
      </c>
      <c r="CQ238" s="167">
        <v>0</v>
      </c>
      <c r="CR238" s="167">
        <v>0</v>
      </c>
      <c r="CS238" s="167">
        <v>0</v>
      </c>
      <c r="CT238" s="167">
        <v>0</v>
      </c>
      <c r="CU238" s="167">
        <v>0</v>
      </c>
      <c r="CV238" s="167">
        <v>0</v>
      </c>
      <c r="CW238" s="167">
        <v>0</v>
      </c>
      <c r="CX238" s="167">
        <f>SUM(CD238:CH238)</f>
        <v>0</v>
      </c>
      <c r="CY238" s="167">
        <f>SUM(CD238:CM238)</f>
        <v>0</v>
      </c>
    </row>
    <row r="239" spans="1:103" ht="12.75" customHeight="1" x14ac:dyDescent="0.2">
      <c r="A239" s="81">
        <v>68</v>
      </c>
      <c r="B239" s="165" t="s">
        <v>1908</v>
      </c>
      <c r="C239" s="165" t="s">
        <v>290</v>
      </c>
      <c r="D239" s="165" t="s">
        <v>291</v>
      </c>
      <c r="E239" s="165" t="s">
        <v>1909</v>
      </c>
      <c r="G239" s="81">
        <v>526960</v>
      </c>
      <c r="H239" s="81">
        <v>175223</v>
      </c>
      <c r="I239" s="165" t="s">
        <v>251</v>
      </c>
      <c r="J239" s="349">
        <v>42825</v>
      </c>
      <c r="L239" s="166">
        <v>0</v>
      </c>
      <c r="M239" s="166">
        <v>8</v>
      </c>
      <c r="N239" s="166">
        <v>8</v>
      </c>
      <c r="O239" s="166">
        <v>8</v>
      </c>
      <c r="P239" s="166">
        <v>8</v>
      </c>
      <c r="R239" s="165" t="s">
        <v>438</v>
      </c>
      <c r="S239" s="81" t="s">
        <v>113</v>
      </c>
      <c r="T239" s="349">
        <v>41702</v>
      </c>
      <c r="U239" s="349">
        <v>42116</v>
      </c>
      <c r="W239" s="81" t="s">
        <v>114</v>
      </c>
      <c r="Y239" s="81" t="s">
        <v>115</v>
      </c>
      <c r="Z239" s="81" t="s">
        <v>116</v>
      </c>
      <c r="AA239" s="81" t="s">
        <v>117</v>
      </c>
      <c r="AB239" s="81" t="s">
        <v>218</v>
      </c>
      <c r="AC239" s="166">
        <v>2.8999999165535001E-2</v>
      </c>
      <c r="AD239" s="349">
        <v>42825</v>
      </c>
      <c r="AG239" s="81" t="s">
        <v>238</v>
      </c>
      <c r="AH239" s="81" t="s">
        <v>118</v>
      </c>
      <c r="AK239" s="166">
        <v>8</v>
      </c>
      <c r="AM239" s="166">
        <v>0</v>
      </c>
      <c r="AO239" s="166">
        <v>0</v>
      </c>
      <c r="AP239" s="166">
        <v>0</v>
      </c>
      <c r="AQ239" s="166">
        <v>8</v>
      </c>
      <c r="AR239" s="166">
        <v>0</v>
      </c>
      <c r="AS239" s="166">
        <v>0</v>
      </c>
      <c r="AT239" s="166">
        <v>0</v>
      </c>
      <c r="AU239" s="166">
        <v>0</v>
      </c>
      <c r="AV239" s="166">
        <v>0</v>
      </c>
      <c r="AW239" s="166">
        <v>0</v>
      </c>
      <c r="AX239" s="166">
        <v>8</v>
      </c>
      <c r="AY239" s="166">
        <v>0</v>
      </c>
      <c r="AZ239" s="166">
        <v>0</v>
      </c>
      <c r="BA239" s="166">
        <v>0</v>
      </c>
      <c r="BB239" s="166">
        <v>0</v>
      </c>
      <c r="BC239" s="166">
        <v>0</v>
      </c>
      <c r="BD239" s="166">
        <v>0</v>
      </c>
      <c r="BE239" s="166">
        <v>0</v>
      </c>
      <c r="BF239" s="166">
        <v>0</v>
      </c>
      <c r="BG239" s="166">
        <v>0</v>
      </c>
      <c r="BH239" s="166">
        <v>0</v>
      </c>
      <c r="BI239" s="166">
        <v>0</v>
      </c>
      <c r="BJ239" s="166">
        <v>0</v>
      </c>
      <c r="BK239" s="166">
        <v>0</v>
      </c>
      <c r="BL239" s="166">
        <v>0</v>
      </c>
      <c r="BM239" s="166">
        <v>0</v>
      </c>
      <c r="BN239" s="166">
        <v>0</v>
      </c>
      <c r="BO239" s="166">
        <v>0</v>
      </c>
      <c r="BP239" s="166">
        <v>0</v>
      </c>
      <c r="BQ239" s="81" t="s">
        <v>1758</v>
      </c>
      <c r="BZ239" s="81" t="s">
        <v>155</v>
      </c>
      <c r="CA239" s="81" t="s">
        <v>3976</v>
      </c>
      <c r="CC239" s="167">
        <v>0</v>
      </c>
      <c r="CD239" s="167">
        <f>N239</f>
        <v>8</v>
      </c>
      <c r="CE239" s="167">
        <v>0</v>
      </c>
      <c r="CF239" s="167">
        <v>0</v>
      </c>
      <c r="CG239" s="167">
        <v>0</v>
      </c>
      <c r="CH239" s="167">
        <v>0</v>
      </c>
      <c r="CI239" s="167">
        <v>0</v>
      </c>
      <c r="CJ239" s="167">
        <v>0</v>
      </c>
      <c r="CK239" s="167">
        <v>0</v>
      </c>
      <c r="CL239" s="167">
        <v>0</v>
      </c>
      <c r="CM239" s="167">
        <v>0</v>
      </c>
      <c r="CN239" s="167">
        <v>0</v>
      </c>
      <c r="CO239" s="167">
        <v>0</v>
      </c>
      <c r="CP239" s="167">
        <v>0</v>
      </c>
      <c r="CQ239" s="167">
        <v>0</v>
      </c>
      <c r="CR239" s="167">
        <v>0</v>
      </c>
      <c r="CS239" s="167">
        <v>0</v>
      </c>
      <c r="CT239" s="167">
        <v>0</v>
      </c>
      <c r="CU239" s="167">
        <v>0</v>
      </c>
      <c r="CV239" s="167">
        <v>0</v>
      </c>
      <c r="CW239" s="167">
        <v>0</v>
      </c>
      <c r="CX239" s="167">
        <f>SUM(CD239:CH239)</f>
        <v>8</v>
      </c>
      <c r="CY239" s="167">
        <f>SUM(CD239:CM239)</f>
        <v>8</v>
      </c>
    </row>
    <row r="240" spans="1:103" ht="12.75" customHeight="1" x14ac:dyDescent="0.2">
      <c r="A240" s="81">
        <v>87</v>
      </c>
      <c r="B240" s="165" t="s">
        <v>1908</v>
      </c>
      <c r="C240" s="165" t="s">
        <v>1910</v>
      </c>
      <c r="D240" s="165" t="s">
        <v>299</v>
      </c>
      <c r="E240" s="165" t="s">
        <v>1911</v>
      </c>
      <c r="F240" s="165" t="s">
        <v>863</v>
      </c>
      <c r="G240" s="81">
        <v>526241</v>
      </c>
      <c r="H240" s="81">
        <v>175489</v>
      </c>
      <c r="I240" s="165" t="s">
        <v>257</v>
      </c>
      <c r="J240" s="349">
        <v>40999</v>
      </c>
      <c r="L240" s="166">
        <v>0</v>
      </c>
      <c r="M240" s="166">
        <v>10</v>
      </c>
      <c r="N240" s="166">
        <v>10</v>
      </c>
      <c r="O240" s="166">
        <v>64</v>
      </c>
      <c r="P240" s="166">
        <v>64</v>
      </c>
      <c r="Q240" s="81" t="s">
        <v>155</v>
      </c>
      <c r="R240" s="165" t="s">
        <v>1912</v>
      </c>
      <c r="S240" s="81" t="s">
        <v>113</v>
      </c>
      <c r="T240" s="349">
        <v>40494</v>
      </c>
      <c r="U240" s="349">
        <v>40588</v>
      </c>
      <c r="W240" s="81" t="s">
        <v>114</v>
      </c>
      <c r="Y240" s="81" t="s">
        <v>115</v>
      </c>
      <c r="Z240" s="81" t="s">
        <v>116</v>
      </c>
      <c r="AA240" s="81" t="s">
        <v>116</v>
      </c>
      <c r="AB240" s="81" t="s">
        <v>117</v>
      </c>
      <c r="AC240" s="166">
        <v>0.122000001370907</v>
      </c>
      <c r="AD240" s="349">
        <v>42825</v>
      </c>
      <c r="AG240" s="81" t="s">
        <v>74</v>
      </c>
      <c r="AH240" s="81" t="s">
        <v>1913</v>
      </c>
      <c r="AO240" s="166">
        <v>0</v>
      </c>
      <c r="AP240" s="166">
        <v>10</v>
      </c>
      <c r="AQ240" s="166">
        <v>0</v>
      </c>
      <c r="AR240" s="166">
        <v>0</v>
      </c>
      <c r="AS240" s="166">
        <v>0</v>
      </c>
      <c r="AT240" s="166">
        <v>0</v>
      </c>
      <c r="AU240" s="166">
        <v>0</v>
      </c>
      <c r="AV240" s="166">
        <v>0</v>
      </c>
      <c r="AW240" s="166">
        <v>10</v>
      </c>
      <c r="AX240" s="166">
        <v>0</v>
      </c>
      <c r="AY240" s="166">
        <v>0</v>
      </c>
      <c r="AZ240" s="166">
        <v>0</v>
      </c>
      <c r="BA240" s="166">
        <v>0</v>
      </c>
      <c r="BB240" s="166">
        <v>0</v>
      </c>
      <c r="BC240" s="166">
        <v>0</v>
      </c>
      <c r="BD240" s="166">
        <v>0</v>
      </c>
      <c r="BE240" s="166">
        <v>0</v>
      </c>
      <c r="BF240" s="166">
        <v>0</v>
      </c>
      <c r="BG240" s="166">
        <v>0</v>
      </c>
      <c r="BH240" s="166">
        <v>0</v>
      </c>
      <c r="BI240" s="166">
        <v>0</v>
      </c>
      <c r="BJ240" s="166">
        <v>0</v>
      </c>
      <c r="BK240" s="166">
        <v>0</v>
      </c>
      <c r="BL240" s="166">
        <v>0</v>
      </c>
      <c r="BM240" s="166">
        <v>0</v>
      </c>
      <c r="BN240" s="166">
        <v>0</v>
      </c>
      <c r="BO240" s="166">
        <v>0</v>
      </c>
      <c r="BP240" s="166">
        <v>0</v>
      </c>
      <c r="BQ240" s="81" t="s">
        <v>1757</v>
      </c>
      <c r="BX240" s="81" t="s">
        <v>155</v>
      </c>
      <c r="BZ240" s="81" t="s">
        <v>155</v>
      </c>
      <c r="CA240" s="81" t="s">
        <v>3934</v>
      </c>
      <c r="CC240" s="167">
        <v>0</v>
      </c>
      <c r="CD240" s="167">
        <f>N240</f>
        <v>10</v>
      </c>
      <c r="CE240" s="167">
        <v>0</v>
      </c>
      <c r="CF240" s="167">
        <v>0</v>
      </c>
      <c r="CG240" s="167">
        <v>0</v>
      </c>
      <c r="CH240" s="167">
        <v>0</v>
      </c>
      <c r="CI240" s="167">
        <v>0</v>
      </c>
      <c r="CJ240" s="167">
        <v>0</v>
      </c>
      <c r="CK240" s="167">
        <v>0</v>
      </c>
      <c r="CL240" s="167">
        <v>0</v>
      </c>
      <c r="CM240" s="167">
        <v>0</v>
      </c>
      <c r="CN240" s="167">
        <v>0</v>
      </c>
      <c r="CO240" s="167">
        <v>0</v>
      </c>
      <c r="CP240" s="167">
        <v>0</v>
      </c>
      <c r="CQ240" s="167">
        <v>0</v>
      </c>
      <c r="CR240" s="167">
        <v>0</v>
      </c>
      <c r="CS240" s="167">
        <v>0</v>
      </c>
      <c r="CT240" s="167">
        <v>0</v>
      </c>
      <c r="CU240" s="167">
        <v>0</v>
      </c>
      <c r="CV240" s="167">
        <v>0</v>
      </c>
      <c r="CW240" s="167">
        <v>0</v>
      </c>
      <c r="CX240" s="167">
        <f>SUM(CD240:CH240)</f>
        <v>10</v>
      </c>
      <c r="CY240" s="167">
        <f>SUM(CD240:CM240)</f>
        <v>10</v>
      </c>
    </row>
    <row r="241" spans="1:103" ht="12.75" customHeight="1" x14ac:dyDescent="0.2">
      <c r="A241" s="81">
        <v>87</v>
      </c>
      <c r="B241" s="165" t="s">
        <v>1908</v>
      </c>
      <c r="C241" s="165" t="s">
        <v>96</v>
      </c>
      <c r="D241" s="165" t="s">
        <v>299</v>
      </c>
      <c r="E241" s="165" t="s">
        <v>1911</v>
      </c>
      <c r="F241" s="165" t="s">
        <v>1914</v>
      </c>
      <c r="G241" s="81">
        <v>526241</v>
      </c>
      <c r="H241" s="81">
        <v>175489</v>
      </c>
      <c r="I241" s="165" t="s">
        <v>257</v>
      </c>
      <c r="J241" s="349">
        <v>42460</v>
      </c>
      <c r="L241" s="166">
        <v>0</v>
      </c>
      <c r="M241" s="166">
        <v>14</v>
      </c>
      <c r="N241" s="166">
        <v>14</v>
      </c>
      <c r="O241" s="166">
        <v>14</v>
      </c>
      <c r="P241" s="166">
        <v>14</v>
      </c>
      <c r="Q241" s="81" t="s">
        <v>155</v>
      </c>
      <c r="R241" s="165" t="s">
        <v>1915</v>
      </c>
      <c r="S241" s="81" t="s">
        <v>1916</v>
      </c>
      <c r="T241" s="349">
        <v>41969</v>
      </c>
      <c r="U241" s="349">
        <v>41971</v>
      </c>
      <c r="W241" s="81" t="s">
        <v>114</v>
      </c>
      <c r="Y241" s="81" t="s">
        <v>115</v>
      </c>
      <c r="Z241" s="81" t="s">
        <v>116</v>
      </c>
      <c r="AA241" s="81" t="s">
        <v>116</v>
      </c>
      <c r="AB241" s="81" t="s">
        <v>117</v>
      </c>
      <c r="AC241" s="166">
        <v>1.2000000104308101E-2</v>
      </c>
      <c r="AD241" s="349">
        <v>42460</v>
      </c>
      <c r="AG241" s="81" t="s">
        <v>238</v>
      </c>
      <c r="AH241" s="81" t="s">
        <v>118</v>
      </c>
      <c r="AK241" s="166">
        <v>0</v>
      </c>
      <c r="AM241" s="166">
        <v>0</v>
      </c>
      <c r="AO241" s="166">
        <v>0</v>
      </c>
      <c r="AP241" s="166">
        <v>4</v>
      </c>
      <c r="AQ241" s="166">
        <v>10</v>
      </c>
      <c r="AR241" s="166">
        <v>0</v>
      </c>
      <c r="AS241" s="166">
        <v>0</v>
      </c>
      <c r="AT241" s="166">
        <v>0</v>
      </c>
      <c r="AU241" s="166">
        <v>0</v>
      </c>
      <c r="AV241" s="166">
        <v>0</v>
      </c>
      <c r="AW241" s="166">
        <v>4</v>
      </c>
      <c r="AX241" s="166">
        <v>10</v>
      </c>
      <c r="AY241" s="166">
        <v>0</v>
      </c>
      <c r="AZ241" s="166">
        <v>0</v>
      </c>
      <c r="BA241" s="166">
        <v>0</v>
      </c>
      <c r="BB241" s="166">
        <v>0</v>
      </c>
      <c r="BC241" s="166">
        <v>0</v>
      </c>
      <c r="BD241" s="166">
        <v>0</v>
      </c>
      <c r="BE241" s="166">
        <v>0</v>
      </c>
      <c r="BF241" s="166">
        <v>0</v>
      </c>
      <c r="BG241" s="166">
        <v>0</v>
      </c>
      <c r="BH241" s="166">
        <v>0</v>
      </c>
      <c r="BI241" s="166">
        <v>0</v>
      </c>
      <c r="BJ241" s="166">
        <v>0</v>
      </c>
      <c r="BK241" s="166">
        <v>0</v>
      </c>
      <c r="BL241" s="166">
        <v>0</v>
      </c>
      <c r="BM241" s="166">
        <v>0</v>
      </c>
      <c r="BN241" s="166">
        <v>0</v>
      </c>
      <c r="BO241" s="166">
        <v>0</v>
      </c>
      <c r="BP241" s="166">
        <v>0</v>
      </c>
      <c r="BQ241" s="81" t="s">
        <v>1757</v>
      </c>
      <c r="BX241" s="81" t="s">
        <v>155</v>
      </c>
      <c r="BZ241" s="81" t="s">
        <v>155</v>
      </c>
      <c r="CA241" s="81" t="s">
        <v>3934</v>
      </c>
      <c r="CC241" s="167">
        <v>0</v>
      </c>
      <c r="CD241" s="167">
        <f>N241</f>
        <v>14</v>
      </c>
      <c r="CE241" s="167">
        <v>0</v>
      </c>
      <c r="CF241" s="167">
        <v>0</v>
      </c>
      <c r="CG241" s="167">
        <v>0</v>
      </c>
      <c r="CH241" s="167">
        <v>0</v>
      </c>
      <c r="CI241" s="167">
        <v>0</v>
      </c>
      <c r="CJ241" s="167">
        <v>0</v>
      </c>
      <c r="CK241" s="167">
        <v>0</v>
      </c>
      <c r="CL241" s="167">
        <v>0</v>
      </c>
      <c r="CM241" s="167">
        <v>0</v>
      </c>
      <c r="CN241" s="167">
        <v>0</v>
      </c>
      <c r="CO241" s="167">
        <v>0</v>
      </c>
      <c r="CP241" s="167">
        <v>0</v>
      </c>
      <c r="CQ241" s="167">
        <v>0</v>
      </c>
      <c r="CR241" s="167">
        <v>0</v>
      </c>
      <c r="CS241" s="167">
        <v>0</v>
      </c>
      <c r="CT241" s="167">
        <v>0</v>
      </c>
      <c r="CU241" s="167">
        <v>0</v>
      </c>
      <c r="CV241" s="167">
        <v>0</v>
      </c>
      <c r="CW241" s="167">
        <v>0</v>
      </c>
      <c r="CX241" s="167">
        <f>SUM(CD241:CH241)</f>
        <v>14</v>
      </c>
      <c r="CY241" s="167">
        <f>SUM(CD241:CM241)</f>
        <v>14</v>
      </c>
    </row>
    <row r="242" spans="1:103" ht="12.75" customHeight="1" x14ac:dyDescent="0.2">
      <c r="A242" s="81">
        <v>87</v>
      </c>
      <c r="B242" s="165" t="s">
        <v>1908</v>
      </c>
      <c r="C242" s="165" t="s">
        <v>1921</v>
      </c>
      <c r="D242" s="165" t="s">
        <v>299</v>
      </c>
      <c r="E242" s="165" t="s">
        <v>1911</v>
      </c>
      <c r="F242" s="165" t="s">
        <v>1922</v>
      </c>
      <c r="G242" s="81">
        <v>526241</v>
      </c>
      <c r="H242" s="81">
        <v>175489</v>
      </c>
      <c r="I242" s="165" t="s">
        <v>257</v>
      </c>
      <c r="J242" s="349">
        <v>42825</v>
      </c>
      <c r="L242" s="166">
        <v>0</v>
      </c>
      <c r="M242" s="166">
        <v>74</v>
      </c>
      <c r="N242" s="166">
        <v>74</v>
      </c>
      <c r="O242" s="166">
        <v>114</v>
      </c>
      <c r="P242" s="166">
        <v>114</v>
      </c>
      <c r="Q242" s="81" t="s">
        <v>155</v>
      </c>
      <c r="R242" s="165" t="s">
        <v>1923</v>
      </c>
      <c r="S242" s="81" t="s">
        <v>1916</v>
      </c>
      <c r="T242" s="349">
        <v>42670</v>
      </c>
      <c r="U242" s="349">
        <v>42723</v>
      </c>
      <c r="W242" s="81" t="s">
        <v>114</v>
      </c>
      <c r="Y242" s="81" t="s">
        <v>115</v>
      </c>
      <c r="Z242" s="81" t="s">
        <v>116</v>
      </c>
      <c r="AA242" s="81" t="s">
        <v>116</v>
      </c>
      <c r="AB242" s="81" t="s">
        <v>117</v>
      </c>
      <c r="AC242" s="166">
        <v>0.42199999094009399</v>
      </c>
      <c r="AD242" s="349">
        <v>42825</v>
      </c>
      <c r="AG242" s="81" t="s">
        <v>238</v>
      </c>
      <c r="AH242" s="81" t="s">
        <v>118</v>
      </c>
      <c r="AK242" s="166">
        <v>0</v>
      </c>
      <c r="AM242" s="166">
        <v>0</v>
      </c>
      <c r="AO242" s="166">
        <v>0</v>
      </c>
      <c r="AP242" s="166">
        <v>35</v>
      </c>
      <c r="AQ242" s="166">
        <v>35</v>
      </c>
      <c r="AR242" s="166">
        <v>4</v>
      </c>
      <c r="AS242" s="166">
        <v>0</v>
      </c>
      <c r="AT242" s="166">
        <v>0</v>
      </c>
      <c r="AU242" s="166">
        <v>0</v>
      </c>
      <c r="AV242" s="166">
        <v>0</v>
      </c>
      <c r="AW242" s="166">
        <v>35</v>
      </c>
      <c r="AX242" s="166">
        <v>35</v>
      </c>
      <c r="AY242" s="166">
        <v>4</v>
      </c>
      <c r="AZ242" s="166">
        <v>0</v>
      </c>
      <c r="BA242" s="166">
        <v>0</v>
      </c>
      <c r="BB242" s="166">
        <v>0</v>
      </c>
      <c r="BC242" s="166">
        <v>0</v>
      </c>
      <c r="BD242" s="166">
        <v>0</v>
      </c>
      <c r="BE242" s="166">
        <v>0</v>
      </c>
      <c r="BF242" s="166">
        <v>0</v>
      </c>
      <c r="BG242" s="166">
        <v>0</v>
      </c>
      <c r="BH242" s="166">
        <v>0</v>
      </c>
      <c r="BI242" s="166">
        <v>0</v>
      </c>
      <c r="BJ242" s="166">
        <v>0</v>
      </c>
      <c r="BK242" s="166">
        <v>0</v>
      </c>
      <c r="BL242" s="166">
        <v>0</v>
      </c>
      <c r="BM242" s="166">
        <v>0</v>
      </c>
      <c r="BN242" s="166">
        <v>0</v>
      </c>
      <c r="BO242" s="166">
        <v>0</v>
      </c>
      <c r="BP242" s="166">
        <v>0</v>
      </c>
      <c r="BQ242" s="81" t="s">
        <v>1757</v>
      </c>
      <c r="BX242" s="81" t="s">
        <v>155</v>
      </c>
      <c r="BZ242" s="81" t="s">
        <v>155</v>
      </c>
      <c r="CA242" s="81" t="s">
        <v>3934</v>
      </c>
      <c r="CC242" s="167">
        <v>0</v>
      </c>
      <c r="CD242" s="167">
        <f>N242</f>
        <v>74</v>
      </c>
      <c r="CE242" s="167">
        <v>0</v>
      </c>
      <c r="CF242" s="167">
        <v>0</v>
      </c>
      <c r="CG242" s="167">
        <v>0</v>
      </c>
      <c r="CH242" s="167">
        <v>0</v>
      </c>
      <c r="CI242" s="167">
        <v>0</v>
      </c>
      <c r="CJ242" s="167">
        <v>0</v>
      </c>
      <c r="CK242" s="167">
        <v>0</v>
      </c>
      <c r="CL242" s="167">
        <v>0</v>
      </c>
      <c r="CM242" s="167">
        <v>0</v>
      </c>
      <c r="CN242" s="167">
        <v>0</v>
      </c>
      <c r="CO242" s="167">
        <v>0</v>
      </c>
      <c r="CP242" s="167">
        <v>0</v>
      </c>
      <c r="CQ242" s="167">
        <v>0</v>
      </c>
      <c r="CR242" s="167">
        <v>0</v>
      </c>
      <c r="CS242" s="167">
        <v>0</v>
      </c>
      <c r="CT242" s="167">
        <v>0</v>
      </c>
      <c r="CU242" s="167">
        <v>0</v>
      </c>
      <c r="CV242" s="167">
        <v>0</v>
      </c>
      <c r="CW242" s="167">
        <v>0</v>
      </c>
      <c r="CX242" s="167">
        <f>SUM(CD242:CH242)</f>
        <v>74</v>
      </c>
      <c r="CY242" s="167">
        <f>SUM(CD242:CM242)</f>
        <v>74</v>
      </c>
    </row>
    <row r="243" spans="1:103" ht="12.75" customHeight="1" x14ac:dyDescent="0.2">
      <c r="A243" s="81">
        <v>87</v>
      </c>
      <c r="B243" s="165" t="s">
        <v>1908</v>
      </c>
      <c r="C243" s="165" t="s">
        <v>1921</v>
      </c>
      <c r="D243" s="165" t="s">
        <v>299</v>
      </c>
      <c r="E243" s="165" t="s">
        <v>1911</v>
      </c>
      <c r="F243" s="165" t="s">
        <v>1933</v>
      </c>
      <c r="G243" s="81">
        <v>526241</v>
      </c>
      <c r="H243" s="81">
        <v>175489</v>
      </c>
      <c r="I243" s="165" t="s">
        <v>257</v>
      </c>
      <c r="J243" s="349">
        <v>42825</v>
      </c>
      <c r="L243" s="166">
        <v>0</v>
      </c>
      <c r="M243" s="166">
        <v>40</v>
      </c>
      <c r="N243" s="166">
        <v>40</v>
      </c>
      <c r="O243" s="166">
        <v>114</v>
      </c>
      <c r="P243" s="166">
        <v>114</v>
      </c>
      <c r="Q243" s="81" t="s">
        <v>155</v>
      </c>
      <c r="R243" s="165" t="s">
        <v>1923</v>
      </c>
      <c r="S243" s="81" t="s">
        <v>1916</v>
      </c>
      <c r="T243" s="349">
        <v>42670</v>
      </c>
      <c r="U243" s="349">
        <v>42723</v>
      </c>
      <c r="W243" s="81" t="s">
        <v>114</v>
      </c>
      <c r="Y243" s="81" t="s">
        <v>115</v>
      </c>
      <c r="Z243" s="81" t="s">
        <v>116</v>
      </c>
      <c r="AA243" s="81" t="s">
        <v>116</v>
      </c>
      <c r="AB243" s="81" t="s">
        <v>117</v>
      </c>
      <c r="AC243" s="166">
        <v>0.270000010728836</v>
      </c>
      <c r="AD243" s="349">
        <v>42825</v>
      </c>
      <c r="AG243" s="81" t="s">
        <v>154</v>
      </c>
      <c r="AH243" s="81" t="s">
        <v>312</v>
      </c>
      <c r="AK243" s="166">
        <v>0</v>
      </c>
      <c r="AM243" s="166">
        <v>0</v>
      </c>
      <c r="AO243" s="166">
        <v>0</v>
      </c>
      <c r="AP243" s="166">
        <v>24</v>
      </c>
      <c r="AQ243" s="166">
        <v>16</v>
      </c>
      <c r="AR243" s="166">
        <v>0</v>
      </c>
      <c r="AS243" s="166">
        <v>0</v>
      </c>
      <c r="AT243" s="166">
        <v>0</v>
      </c>
      <c r="AU243" s="166">
        <v>0</v>
      </c>
      <c r="AV243" s="166">
        <v>0</v>
      </c>
      <c r="AW243" s="166">
        <v>24</v>
      </c>
      <c r="AX243" s="166">
        <v>16</v>
      </c>
      <c r="AY243" s="166">
        <v>0</v>
      </c>
      <c r="AZ243" s="166">
        <v>0</v>
      </c>
      <c r="BA243" s="166">
        <v>0</v>
      </c>
      <c r="BB243" s="166">
        <v>0</v>
      </c>
      <c r="BC243" s="166">
        <v>0</v>
      </c>
      <c r="BD243" s="166">
        <v>0</v>
      </c>
      <c r="BE243" s="166">
        <v>0</v>
      </c>
      <c r="BF243" s="166">
        <v>0</v>
      </c>
      <c r="BG243" s="166">
        <v>0</v>
      </c>
      <c r="BH243" s="166">
        <v>0</v>
      </c>
      <c r="BI243" s="166">
        <v>0</v>
      </c>
      <c r="BJ243" s="166">
        <v>0</v>
      </c>
      <c r="BK243" s="166">
        <v>0</v>
      </c>
      <c r="BL243" s="166">
        <v>0</v>
      </c>
      <c r="BM243" s="166">
        <v>0</v>
      </c>
      <c r="BN243" s="166">
        <v>0</v>
      </c>
      <c r="BO243" s="166">
        <v>0</v>
      </c>
      <c r="BP243" s="166">
        <v>0</v>
      </c>
      <c r="BQ243" s="81" t="s">
        <v>1757</v>
      </c>
      <c r="BX243" s="81" t="s">
        <v>155</v>
      </c>
      <c r="BZ243" s="81" t="s">
        <v>155</v>
      </c>
      <c r="CA243" s="81" t="s">
        <v>3934</v>
      </c>
      <c r="CC243" s="167">
        <v>0</v>
      </c>
      <c r="CD243" s="167">
        <f>N243</f>
        <v>40</v>
      </c>
      <c r="CE243" s="167">
        <v>0</v>
      </c>
      <c r="CF243" s="167">
        <v>0</v>
      </c>
      <c r="CG243" s="167">
        <v>0</v>
      </c>
      <c r="CH243" s="167">
        <v>0</v>
      </c>
      <c r="CI243" s="167">
        <v>0</v>
      </c>
      <c r="CJ243" s="167">
        <v>0</v>
      </c>
      <c r="CK243" s="167">
        <v>0</v>
      </c>
      <c r="CL243" s="167">
        <v>0</v>
      </c>
      <c r="CM243" s="167">
        <v>0</v>
      </c>
      <c r="CN243" s="167">
        <v>0</v>
      </c>
      <c r="CO243" s="167">
        <v>0</v>
      </c>
      <c r="CP243" s="167">
        <v>0</v>
      </c>
      <c r="CQ243" s="167">
        <v>0</v>
      </c>
      <c r="CR243" s="167">
        <v>0</v>
      </c>
      <c r="CS243" s="167">
        <v>0</v>
      </c>
      <c r="CT243" s="167">
        <v>0</v>
      </c>
      <c r="CU243" s="167">
        <v>0</v>
      </c>
      <c r="CV243" s="167">
        <v>0</v>
      </c>
      <c r="CW243" s="167">
        <v>0</v>
      </c>
      <c r="CX243" s="167">
        <f>SUM(CD243:CH243)</f>
        <v>40</v>
      </c>
      <c r="CY243" s="167">
        <f>SUM(CD243:CM243)</f>
        <v>40</v>
      </c>
    </row>
    <row r="244" spans="1:103" ht="12.75" customHeight="1" x14ac:dyDescent="0.2">
      <c r="A244" s="81">
        <v>90</v>
      </c>
      <c r="B244" s="165" t="s">
        <v>1908</v>
      </c>
      <c r="C244" s="165" t="s">
        <v>524</v>
      </c>
      <c r="E244" s="165" t="s">
        <v>3330</v>
      </c>
      <c r="G244" s="81">
        <v>528415</v>
      </c>
      <c r="H244" s="81">
        <v>175709</v>
      </c>
      <c r="I244" s="165" t="s">
        <v>256</v>
      </c>
      <c r="J244" s="349">
        <v>42460</v>
      </c>
      <c r="L244" s="166">
        <v>0</v>
      </c>
      <c r="M244" s="166">
        <v>1</v>
      </c>
      <c r="N244" s="166">
        <v>1</v>
      </c>
      <c r="O244" s="166">
        <v>1</v>
      </c>
      <c r="P244" s="166">
        <v>1</v>
      </c>
      <c r="R244" s="165" t="s">
        <v>525</v>
      </c>
      <c r="S244" s="81" t="s">
        <v>110</v>
      </c>
      <c r="T244" s="349">
        <v>42200</v>
      </c>
      <c r="U244" s="349">
        <v>42256</v>
      </c>
      <c r="W244" s="81" t="s">
        <v>114</v>
      </c>
      <c r="Y244" s="81" t="s">
        <v>115</v>
      </c>
      <c r="Z244" s="81" t="s">
        <v>310</v>
      </c>
      <c r="AA244" s="81" t="s">
        <v>117</v>
      </c>
      <c r="AB244" s="81" t="s">
        <v>399</v>
      </c>
      <c r="AC244" s="166">
        <v>6.0000000521540598E-3</v>
      </c>
      <c r="AD244" s="349">
        <v>42460</v>
      </c>
      <c r="AG244" s="81" t="s">
        <v>238</v>
      </c>
      <c r="AH244" s="81" t="s">
        <v>118</v>
      </c>
      <c r="AK244" s="166">
        <v>0</v>
      </c>
      <c r="AM244" s="166">
        <v>0</v>
      </c>
      <c r="AO244" s="166">
        <v>0</v>
      </c>
      <c r="AP244" s="166">
        <v>0</v>
      </c>
      <c r="AQ244" s="166">
        <v>1</v>
      </c>
      <c r="AR244" s="166">
        <v>0</v>
      </c>
      <c r="AS244" s="166">
        <v>0</v>
      </c>
      <c r="AT244" s="166">
        <v>0</v>
      </c>
      <c r="AU244" s="166">
        <v>0</v>
      </c>
      <c r="AV244" s="166">
        <v>0</v>
      </c>
      <c r="AW244" s="166">
        <v>0</v>
      </c>
      <c r="AX244" s="166">
        <v>1</v>
      </c>
      <c r="AY244" s="166">
        <v>0</v>
      </c>
      <c r="AZ244" s="166">
        <v>0</v>
      </c>
      <c r="BA244" s="166">
        <v>0</v>
      </c>
      <c r="BB244" s="166">
        <v>0</v>
      </c>
      <c r="BC244" s="166">
        <v>0</v>
      </c>
      <c r="BD244" s="166">
        <v>0</v>
      </c>
      <c r="BE244" s="166">
        <v>0</v>
      </c>
      <c r="BF244" s="166">
        <v>0</v>
      </c>
      <c r="BG244" s="166">
        <v>0</v>
      </c>
      <c r="BH244" s="166">
        <v>0</v>
      </c>
      <c r="BI244" s="166">
        <v>0</v>
      </c>
      <c r="BJ244" s="166">
        <v>0</v>
      </c>
      <c r="BK244" s="166">
        <v>0</v>
      </c>
      <c r="BL244" s="166">
        <v>0</v>
      </c>
      <c r="BM244" s="166">
        <v>0</v>
      </c>
      <c r="BN244" s="166">
        <v>0</v>
      </c>
      <c r="BO244" s="166">
        <v>0</v>
      </c>
      <c r="BP244" s="166">
        <v>0</v>
      </c>
      <c r="BQ244" s="81" t="s">
        <v>1757</v>
      </c>
      <c r="BZ244" s="81" t="s">
        <v>155</v>
      </c>
      <c r="CA244" s="81" t="s">
        <v>3980</v>
      </c>
      <c r="CC244" s="167">
        <v>0</v>
      </c>
      <c r="CD244" s="167">
        <f>N244</f>
        <v>1</v>
      </c>
      <c r="CE244" s="167">
        <v>0</v>
      </c>
      <c r="CF244" s="167">
        <v>0</v>
      </c>
      <c r="CG244" s="167">
        <v>0</v>
      </c>
      <c r="CH244" s="167">
        <v>0</v>
      </c>
      <c r="CI244" s="167">
        <v>0</v>
      </c>
      <c r="CJ244" s="167">
        <v>0</v>
      </c>
      <c r="CK244" s="167">
        <v>0</v>
      </c>
      <c r="CL244" s="167">
        <v>0</v>
      </c>
      <c r="CM244" s="167">
        <v>0</v>
      </c>
      <c r="CN244" s="167">
        <v>0</v>
      </c>
      <c r="CO244" s="167">
        <v>0</v>
      </c>
      <c r="CP244" s="167">
        <v>0</v>
      </c>
      <c r="CQ244" s="167">
        <v>0</v>
      </c>
      <c r="CR244" s="167">
        <v>0</v>
      </c>
      <c r="CS244" s="167">
        <v>0</v>
      </c>
      <c r="CT244" s="167">
        <v>0</v>
      </c>
      <c r="CU244" s="167">
        <v>0</v>
      </c>
      <c r="CV244" s="167">
        <v>0</v>
      </c>
      <c r="CW244" s="167">
        <v>0</v>
      </c>
      <c r="CX244" s="167">
        <f>SUM(CD244:CH244)</f>
        <v>1</v>
      </c>
      <c r="CY244" s="167">
        <f>SUM(CD244:CM244)</f>
        <v>1</v>
      </c>
    </row>
    <row r="245" spans="1:103" ht="12.75" customHeight="1" x14ac:dyDescent="0.2">
      <c r="A245" s="81">
        <v>116</v>
      </c>
      <c r="B245" s="165" t="s">
        <v>1908</v>
      </c>
      <c r="C245" s="165" t="s">
        <v>3331</v>
      </c>
      <c r="E245" s="165" t="s">
        <v>3332</v>
      </c>
      <c r="G245" s="81">
        <v>524382</v>
      </c>
      <c r="H245" s="81">
        <v>175284</v>
      </c>
      <c r="I245" s="165" t="s">
        <v>259</v>
      </c>
      <c r="J245" s="349">
        <v>43190</v>
      </c>
      <c r="L245" s="166">
        <v>0</v>
      </c>
      <c r="M245" s="166">
        <v>3</v>
      </c>
      <c r="N245" s="166">
        <v>3</v>
      </c>
      <c r="O245" s="166">
        <v>6</v>
      </c>
      <c r="P245" s="166">
        <v>4</v>
      </c>
      <c r="R245" s="165" t="s">
        <v>3333</v>
      </c>
      <c r="S245" s="81" t="s">
        <v>113</v>
      </c>
      <c r="T245" s="349">
        <v>42983</v>
      </c>
      <c r="U245" s="349">
        <v>43013</v>
      </c>
      <c r="V245" s="81" t="s">
        <v>155</v>
      </c>
      <c r="W245" s="81" t="s">
        <v>114</v>
      </c>
      <c r="Y245" s="81" t="s">
        <v>115</v>
      </c>
      <c r="Z245" s="81" t="s">
        <v>398</v>
      </c>
      <c r="AA245" s="81" t="s">
        <v>117</v>
      </c>
      <c r="AB245" s="81" t="s">
        <v>218</v>
      </c>
      <c r="AC245" s="166">
        <v>2.5000000372528999E-2</v>
      </c>
      <c r="AD245" s="349">
        <v>43190</v>
      </c>
      <c r="AE245" s="81" t="s">
        <v>155</v>
      </c>
      <c r="AG245" s="81" t="s">
        <v>238</v>
      </c>
      <c r="AH245" s="81" t="s">
        <v>118</v>
      </c>
      <c r="AK245" s="166">
        <v>0</v>
      </c>
      <c r="AM245" s="166">
        <v>0</v>
      </c>
      <c r="AO245" s="166">
        <v>0</v>
      </c>
      <c r="AP245" s="166">
        <v>0</v>
      </c>
      <c r="AQ245" s="166">
        <v>3</v>
      </c>
      <c r="AR245" s="166">
        <v>0</v>
      </c>
      <c r="AS245" s="166">
        <v>0</v>
      </c>
      <c r="AT245" s="166">
        <v>0</v>
      </c>
      <c r="AU245" s="166">
        <v>0</v>
      </c>
      <c r="AV245" s="166">
        <v>0</v>
      </c>
      <c r="AW245" s="166">
        <v>0</v>
      </c>
      <c r="AX245" s="166">
        <v>3</v>
      </c>
      <c r="AY245" s="166">
        <v>0</v>
      </c>
      <c r="AZ245" s="166">
        <v>0</v>
      </c>
      <c r="BA245" s="166">
        <v>0</v>
      </c>
      <c r="BB245" s="166">
        <v>0</v>
      </c>
      <c r="BC245" s="166">
        <v>0</v>
      </c>
      <c r="BD245" s="166">
        <v>0</v>
      </c>
      <c r="BE245" s="166">
        <v>0</v>
      </c>
      <c r="BF245" s="166">
        <v>0</v>
      </c>
      <c r="BG245" s="166">
        <v>0</v>
      </c>
      <c r="BH245" s="166">
        <v>0</v>
      </c>
      <c r="BI245" s="166">
        <v>0</v>
      </c>
      <c r="BJ245" s="166">
        <v>0</v>
      </c>
      <c r="BK245" s="166">
        <v>0</v>
      </c>
      <c r="BL245" s="166">
        <v>0</v>
      </c>
      <c r="BM245" s="166">
        <v>0</v>
      </c>
      <c r="BN245" s="166">
        <v>0</v>
      </c>
      <c r="BO245" s="166">
        <v>0</v>
      </c>
      <c r="BP245" s="166">
        <v>0</v>
      </c>
      <c r="BQ245" s="81" t="s">
        <v>1758</v>
      </c>
      <c r="BZ245" s="81" t="s">
        <v>155</v>
      </c>
      <c r="CA245" s="81" t="s">
        <v>3981</v>
      </c>
      <c r="CC245" s="167">
        <v>0</v>
      </c>
      <c r="CD245" s="167">
        <f>$N245/2</f>
        <v>1.5</v>
      </c>
      <c r="CE245" s="167">
        <f>$N245/2</f>
        <v>1.5</v>
      </c>
      <c r="CF245" s="167">
        <v>0</v>
      </c>
      <c r="CG245" s="167">
        <v>0</v>
      </c>
      <c r="CH245" s="167">
        <v>0</v>
      </c>
      <c r="CI245" s="167">
        <v>0</v>
      </c>
      <c r="CJ245" s="167">
        <v>0</v>
      </c>
      <c r="CK245" s="167">
        <v>0</v>
      </c>
      <c r="CL245" s="167">
        <v>0</v>
      </c>
      <c r="CM245" s="167">
        <v>0</v>
      </c>
      <c r="CN245" s="167">
        <v>0</v>
      </c>
      <c r="CO245" s="167">
        <v>0</v>
      </c>
      <c r="CP245" s="167">
        <v>0</v>
      </c>
      <c r="CQ245" s="167">
        <v>0</v>
      </c>
      <c r="CR245" s="167">
        <v>0</v>
      </c>
      <c r="CS245" s="167">
        <v>0</v>
      </c>
      <c r="CT245" s="167">
        <v>0</v>
      </c>
      <c r="CU245" s="167">
        <v>0</v>
      </c>
      <c r="CV245" s="167">
        <v>0</v>
      </c>
      <c r="CW245" s="167">
        <v>0</v>
      </c>
      <c r="CX245" s="167">
        <f>SUM(CD245:CH245)</f>
        <v>3</v>
      </c>
      <c r="CY245" s="167">
        <f>SUM(CD245:CM245)</f>
        <v>3</v>
      </c>
    </row>
    <row r="246" spans="1:103" ht="12.75" customHeight="1" x14ac:dyDescent="0.2">
      <c r="A246" s="81">
        <v>116</v>
      </c>
      <c r="B246" s="165" t="s">
        <v>1908</v>
      </c>
      <c r="C246" s="165" t="s">
        <v>3331</v>
      </c>
      <c r="E246" s="165" t="s">
        <v>3332</v>
      </c>
      <c r="G246" s="81">
        <v>524382</v>
      </c>
      <c r="H246" s="81">
        <v>175284</v>
      </c>
      <c r="I246" s="165" t="s">
        <v>259</v>
      </c>
      <c r="J246" s="349">
        <v>43190</v>
      </c>
      <c r="L246" s="166">
        <v>2</v>
      </c>
      <c r="M246" s="166">
        <v>2</v>
      </c>
      <c r="N246" s="166">
        <v>0</v>
      </c>
      <c r="O246" s="166">
        <v>6</v>
      </c>
      <c r="P246" s="166">
        <v>4</v>
      </c>
      <c r="R246" s="165" t="s">
        <v>3333</v>
      </c>
      <c r="S246" s="81" t="s">
        <v>113</v>
      </c>
      <c r="T246" s="349">
        <v>42983</v>
      </c>
      <c r="U246" s="349">
        <v>43013</v>
      </c>
      <c r="V246" s="81" t="s">
        <v>155</v>
      </c>
      <c r="W246" s="81" t="s">
        <v>114</v>
      </c>
      <c r="Y246" s="81" t="s">
        <v>115</v>
      </c>
      <c r="Z246" s="81" t="s">
        <v>398</v>
      </c>
      <c r="AA246" s="81" t="s">
        <v>117</v>
      </c>
      <c r="AB246" s="81" t="s">
        <v>220</v>
      </c>
      <c r="AC246" s="166">
        <v>7.0000002160668399E-3</v>
      </c>
      <c r="AD246" s="349">
        <v>43190</v>
      </c>
      <c r="AE246" s="81" t="s">
        <v>155</v>
      </c>
      <c r="AG246" s="81" t="s">
        <v>238</v>
      </c>
      <c r="AH246" s="81" t="s">
        <v>118</v>
      </c>
      <c r="AK246" s="166">
        <v>0</v>
      </c>
      <c r="AM246" s="166">
        <v>0</v>
      </c>
      <c r="AO246" s="166">
        <v>0</v>
      </c>
      <c r="AP246" s="166">
        <v>1</v>
      </c>
      <c r="AQ246" s="166">
        <v>-1</v>
      </c>
      <c r="AR246" s="166">
        <v>0</v>
      </c>
      <c r="AS246" s="166">
        <v>0</v>
      </c>
      <c r="AT246" s="166">
        <v>0</v>
      </c>
      <c r="AU246" s="166">
        <v>0</v>
      </c>
      <c r="AV246" s="166">
        <v>0</v>
      </c>
      <c r="AW246" s="166">
        <v>1</v>
      </c>
      <c r="AX246" s="166">
        <v>-1</v>
      </c>
      <c r="AY246" s="166">
        <v>0</v>
      </c>
      <c r="AZ246" s="166">
        <v>0</v>
      </c>
      <c r="BA246" s="166">
        <v>0</v>
      </c>
      <c r="BB246" s="166">
        <v>0</v>
      </c>
      <c r="BC246" s="166">
        <v>0</v>
      </c>
      <c r="BD246" s="166">
        <v>0</v>
      </c>
      <c r="BE246" s="166">
        <v>0</v>
      </c>
      <c r="BF246" s="166">
        <v>0</v>
      </c>
      <c r="BG246" s="166">
        <v>0</v>
      </c>
      <c r="BH246" s="166">
        <v>0</v>
      </c>
      <c r="BI246" s="166">
        <v>0</v>
      </c>
      <c r="BJ246" s="166">
        <v>0</v>
      </c>
      <c r="BK246" s="166">
        <v>0</v>
      </c>
      <c r="BL246" s="166">
        <v>0</v>
      </c>
      <c r="BM246" s="166">
        <v>0</v>
      </c>
      <c r="BN246" s="166">
        <v>0</v>
      </c>
      <c r="BO246" s="166">
        <v>0</v>
      </c>
      <c r="BP246" s="166">
        <v>0</v>
      </c>
      <c r="BQ246" s="81" t="s">
        <v>1758</v>
      </c>
      <c r="BZ246" s="81" t="s">
        <v>155</v>
      </c>
      <c r="CA246" s="81" t="s">
        <v>3981</v>
      </c>
      <c r="CC246" s="167">
        <v>0</v>
      </c>
      <c r="CD246" s="167">
        <f>$N246/2</f>
        <v>0</v>
      </c>
      <c r="CE246" s="167">
        <f>$N246/2</f>
        <v>0</v>
      </c>
      <c r="CF246" s="167">
        <v>0</v>
      </c>
      <c r="CG246" s="167">
        <v>0</v>
      </c>
      <c r="CH246" s="167">
        <v>0</v>
      </c>
      <c r="CI246" s="167">
        <v>0</v>
      </c>
      <c r="CJ246" s="167">
        <v>0</v>
      </c>
      <c r="CK246" s="167">
        <v>0</v>
      </c>
      <c r="CL246" s="167">
        <v>0</v>
      </c>
      <c r="CM246" s="167">
        <v>0</v>
      </c>
      <c r="CN246" s="167">
        <v>0</v>
      </c>
      <c r="CO246" s="167">
        <v>0</v>
      </c>
      <c r="CP246" s="167">
        <v>0</v>
      </c>
      <c r="CQ246" s="167">
        <v>0</v>
      </c>
      <c r="CR246" s="167">
        <v>0</v>
      </c>
      <c r="CS246" s="167">
        <v>0</v>
      </c>
      <c r="CT246" s="167">
        <v>0</v>
      </c>
      <c r="CU246" s="167">
        <v>0</v>
      </c>
      <c r="CV246" s="167">
        <v>0</v>
      </c>
      <c r="CW246" s="167">
        <v>0</v>
      </c>
      <c r="CX246" s="167">
        <f>SUM(CD246:CH246)</f>
        <v>0</v>
      </c>
      <c r="CY246" s="167">
        <f>SUM(CD246:CM246)</f>
        <v>0</v>
      </c>
    </row>
    <row r="247" spans="1:103" ht="12.75" customHeight="1" x14ac:dyDescent="0.2">
      <c r="A247" s="81">
        <v>116</v>
      </c>
      <c r="B247" s="165" t="s">
        <v>1908</v>
      </c>
      <c r="C247" s="165" t="s">
        <v>3331</v>
      </c>
      <c r="E247" s="165" t="s">
        <v>3332</v>
      </c>
      <c r="G247" s="81">
        <v>524382</v>
      </c>
      <c r="H247" s="81">
        <v>175284</v>
      </c>
      <c r="I247" s="165" t="s">
        <v>259</v>
      </c>
      <c r="J247" s="349">
        <v>43190</v>
      </c>
      <c r="L247" s="166">
        <v>0</v>
      </c>
      <c r="M247" s="166">
        <v>1</v>
      </c>
      <c r="N247" s="166">
        <v>1</v>
      </c>
      <c r="O247" s="166">
        <v>6</v>
      </c>
      <c r="P247" s="166">
        <v>4</v>
      </c>
      <c r="R247" s="165" t="s">
        <v>3333</v>
      </c>
      <c r="S247" s="81" t="s">
        <v>113</v>
      </c>
      <c r="T247" s="349">
        <v>42983</v>
      </c>
      <c r="U247" s="349">
        <v>43013</v>
      </c>
      <c r="V247" s="81" t="s">
        <v>155</v>
      </c>
      <c r="W247" s="81" t="s">
        <v>114</v>
      </c>
      <c r="Y247" s="81" t="s">
        <v>115</v>
      </c>
      <c r="Z247" s="81" t="s">
        <v>398</v>
      </c>
      <c r="AA247" s="81" t="s">
        <v>117</v>
      </c>
      <c r="AB247" s="81" t="s">
        <v>311</v>
      </c>
      <c r="AC247" s="166">
        <v>7.0000002160668399E-3</v>
      </c>
      <c r="AD247" s="349">
        <v>43190</v>
      </c>
      <c r="AE247" s="81" t="s">
        <v>155</v>
      </c>
      <c r="AG247" s="81" t="s">
        <v>238</v>
      </c>
      <c r="AH247" s="81" t="s">
        <v>118</v>
      </c>
      <c r="AK247" s="166">
        <v>0</v>
      </c>
      <c r="AM247" s="166">
        <v>0</v>
      </c>
      <c r="AO247" s="166">
        <v>0</v>
      </c>
      <c r="AP247" s="166">
        <v>1</v>
      </c>
      <c r="AQ247" s="166">
        <v>0</v>
      </c>
      <c r="AR247" s="166">
        <v>0</v>
      </c>
      <c r="AS247" s="166">
        <v>0</v>
      </c>
      <c r="AT247" s="166">
        <v>0</v>
      </c>
      <c r="AU247" s="166">
        <v>0</v>
      </c>
      <c r="AV247" s="166">
        <v>0</v>
      </c>
      <c r="AW247" s="166">
        <v>1</v>
      </c>
      <c r="AX247" s="166">
        <v>0</v>
      </c>
      <c r="AY247" s="166">
        <v>0</v>
      </c>
      <c r="AZ247" s="166">
        <v>0</v>
      </c>
      <c r="BA247" s="166">
        <v>0</v>
      </c>
      <c r="BB247" s="166">
        <v>0</v>
      </c>
      <c r="BC247" s="166">
        <v>0</v>
      </c>
      <c r="BD247" s="166">
        <v>0</v>
      </c>
      <c r="BE247" s="166">
        <v>0</v>
      </c>
      <c r="BF247" s="166">
        <v>0</v>
      </c>
      <c r="BG247" s="166">
        <v>0</v>
      </c>
      <c r="BH247" s="166">
        <v>0</v>
      </c>
      <c r="BI247" s="166">
        <v>0</v>
      </c>
      <c r="BJ247" s="166">
        <v>0</v>
      </c>
      <c r="BK247" s="166">
        <v>0</v>
      </c>
      <c r="BL247" s="166">
        <v>0</v>
      </c>
      <c r="BM247" s="166">
        <v>0</v>
      </c>
      <c r="BN247" s="166">
        <v>0</v>
      </c>
      <c r="BO247" s="166">
        <v>0</v>
      </c>
      <c r="BP247" s="166">
        <v>0</v>
      </c>
      <c r="BQ247" s="81" t="s">
        <v>1758</v>
      </c>
      <c r="BZ247" s="81" t="s">
        <v>155</v>
      </c>
      <c r="CA247" s="81" t="s">
        <v>3981</v>
      </c>
      <c r="CC247" s="167">
        <v>0</v>
      </c>
      <c r="CD247" s="167">
        <f>$N247/2</f>
        <v>0.5</v>
      </c>
      <c r="CE247" s="167">
        <f>$N247/2</f>
        <v>0.5</v>
      </c>
      <c r="CF247" s="167">
        <v>0</v>
      </c>
      <c r="CG247" s="167">
        <v>0</v>
      </c>
      <c r="CH247" s="167">
        <v>0</v>
      </c>
      <c r="CI247" s="167">
        <v>0</v>
      </c>
      <c r="CJ247" s="167">
        <v>0</v>
      </c>
      <c r="CK247" s="167">
        <v>0</v>
      </c>
      <c r="CL247" s="167">
        <v>0</v>
      </c>
      <c r="CM247" s="167">
        <v>0</v>
      </c>
      <c r="CN247" s="167">
        <v>0</v>
      </c>
      <c r="CO247" s="167">
        <v>0</v>
      </c>
      <c r="CP247" s="167">
        <v>0</v>
      </c>
      <c r="CQ247" s="167">
        <v>0</v>
      </c>
      <c r="CR247" s="167">
        <v>0</v>
      </c>
      <c r="CS247" s="167">
        <v>0</v>
      </c>
      <c r="CT247" s="167">
        <v>0</v>
      </c>
      <c r="CU247" s="167">
        <v>0</v>
      </c>
      <c r="CV247" s="167">
        <v>0</v>
      </c>
      <c r="CW247" s="167">
        <v>0</v>
      </c>
      <c r="CX247" s="167">
        <f>SUM(CD247:CH247)</f>
        <v>1</v>
      </c>
      <c r="CY247" s="167">
        <f>SUM(CD247:CM247)</f>
        <v>1</v>
      </c>
    </row>
    <row r="248" spans="1:103" ht="12.75" customHeight="1" x14ac:dyDescent="0.2">
      <c r="A248" s="81">
        <v>215</v>
      </c>
      <c r="B248" s="165" t="s">
        <v>1908</v>
      </c>
      <c r="C248" s="165" t="s">
        <v>1943</v>
      </c>
      <c r="E248" s="165" t="s">
        <v>1944</v>
      </c>
      <c r="G248" s="81">
        <v>528736</v>
      </c>
      <c r="H248" s="81">
        <v>174223</v>
      </c>
      <c r="I248" s="165" t="s">
        <v>247</v>
      </c>
      <c r="J248" s="349">
        <v>42460</v>
      </c>
      <c r="L248" s="166">
        <v>0</v>
      </c>
      <c r="M248" s="166">
        <v>94</v>
      </c>
      <c r="N248" s="166">
        <v>94</v>
      </c>
      <c r="O248" s="166">
        <v>94</v>
      </c>
      <c r="P248" s="166">
        <v>94</v>
      </c>
      <c r="Q248" s="81" t="s">
        <v>155</v>
      </c>
      <c r="R248" s="165" t="s">
        <v>1945</v>
      </c>
      <c r="S248" s="81" t="s">
        <v>1916</v>
      </c>
      <c r="T248" s="349">
        <v>42976</v>
      </c>
      <c r="U248" s="349">
        <v>43004</v>
      </c>
      <c r="V248" s="81" t="s">
        <v>155</v>
      </c>
      <c r="W248" s="81" t="s">
        <v>114</v>
      </c>
      <c r="Y248" s="81" t="s">
        <v>115</v>
      </c>
      <c r="Z248" s="81" t="s">
        <v>116</v>
      </c>
      <c r="AA248" s="81" t="s">
        <v>116</v>
      </c>
      <c r="AB248" s="81" t="s">
        <v>117</v>
      </c>
      <c r="AC248" s="166">
        <v>0.10000000149011599</v>
      </c>
      <c r="AD248" s="349">
        <v>42460</v>
      </c>
      <c r="AG248" s="81" t="s">
        <v>238</v>
      </c>
      <c r="AH248" s="81" t="s">
        <v>118</v>
      </c>
      <c r="AK248" s="166">
        <v>0</v>
      </c>
      <c r="AM248" s="166">
        <v>0</v>
      </c>
      <c r="AO248" s="166">
        <v>0</v>
      </c>
      <c r="AP248" s="166">
        <v>28</v>
      </c>
      <c r="AQ248" s="166">
        <v>49</v>
      </c>
      <c r="AR248" s="166">
        <v>17</v>
      </c>
      <c r="AS248" s="166">
        <v>0</v>
      </c>
      <c r="AT248" s="166">
        <v>0</v>
      </c>
      <c r="AU248" s="166">
        <v>0</v>
      </c>
      <c r="AV248" s="166">
        <v>0</v>
      </c>
      <c r="AW248" s="166">
        <v>28</v>
      </c>
      <c r="AX248" s="166">
        <v>49</v>
      </c>
      <c r="AY248" s="166">
        <v>17</v>
      </c>
      <c r="AZ248" s="166">
        <v>0</v>
      </c>
      <c r="BA248" s="166">
        <v>0</v>
      </c>
      <c r="BB248" s="166">
        <v>0</v>
      </c>
      <c r="BC248" s="166">
        <v>0</v>
      </c>
      <c r="BD248" s="166">
        <v>0</v>
      </c>
      <c r="BE248" s="166">
        <v>0</v>
      </c>
      <c r="BF248" s="166">
        <v>0</v>
      </c>
      <c r="BG248" s="166">
        <v>0</v>
      </c>
      <c r="BH248" s="166">
        <v>0</v>
      </c>
      <c r="BI248" s="166">
        <v>0</v>
      </c>
      <c r="BJ248" s="166">
        <v>0</v>
      </c>
      <c r="BK248" s="166">
        <v>0</v>
      </c>
      <c r="BL248" s="166">
        <v>0</v>
      </c>
      <c r="BM248" s="166">
        <v>0</v>
      </c>
      <c r="BN248" s="166">
        <v>0</v>
      </c>
      <c r="BO248" s="166">
        <v>0</v>
      </c>
      <c r="BP248" s="166">
        <v>0</v>
      </c>
      <c r="BQ248" s="81" t="s">
        <v>1757</v>
      </c>
      <c r="BZ248" s="81" t="s">
        <v>155</v>
      </c>
      <c r="CA248" s="81" t="s">
        <v>3934</v>
      </c>
      <c r="CC248" s="167">
        <v>0</v>
      </c>
      <c r="CD248" s="167">
        <v>0</v>
      </c>
      <c r="CE248" s="167">
        <f>N248</f>
        <v>94</v>
      </c>
      <c r="CF248" s="167">
        <v>0</v>
      </c>
      <c r="CG248" s="167">
        <v>0</v>
      </c>
      <c r="CH248" s="167">
        <v>0</v>
      </c>
      <c r="CI248" s="167">
        <v>0</v>
      </c>
      <c r="CJ248" s="167">
        <v>0</v>
      </c>
      <c r="CK248" s="167">
        <v>0</v>
      </c>
      <c r="CL248" s="167">
        <v>0</v>
      </c>
      <c r="CM248" s="167">
        <v>0</v>
      </c>
      <c r="CN248" s="167">
        <v>0</v>
      </c>
      <c r="CO248" s="167">
        <v>0</v>
      </c>
      <c r="CP248" s="167">
        <v>0</v>
      </c>
      <c r="CQ248" s="167">
        <v>0</v>
      </c>
      <c r="CR248" s="167">
        <v>0</v>
      </c>
      <c r="CS248" s="167">
        <v>0</v>
      </c>
      <c r="CT248" s="167">
        <v>0</v>
      </c>
      <c r="CU248" s="167">
        <v>0</v>
      </c>
      <c r="CV248" s="167">
        <v>0</v>
      </c>
      <c r="CW248" s="167">
        <v>0</v>
      </c>
      <c r="CX248" s="167">
        <f>SUM(CD248:CH248)</f>
        <v>94</v>
      </c>
      <c r="CY248" s="167">
        <f>SUM(CD248:CM248)</f>
        <v>94</v>
      </c>
    </row>
    <row r="249" spans="1:103" ht="12.75" customHeight="1" x14ac:dyDescent="0.2">
      <c r="A249" s="81">
        <v>244</v>
      </c>
      <c r="B249" s="165" t="s">
        <v>1908</v>
      </c>
      <c r="C249" s="165" t="s">
        <v>106</v>
      </c>
      <c r="D249" s="165" t="s">
        <v>876</v>
      </c>
      <c r="E249" s="165" t="s">
        <v>1938</v>
      </c>
      <c r="G249" s="81">
        <v>526455</v>
      </c>
      <c r="H249" s="81">
        <v>175748</v>
      </c>
      <c r="I249" s="165" t="s">
        <v>257</v>
      </c>
      <c r="J249" s="349">
        <v>42487</v>
      </c>
      <c r="L249" s="166">
        <v>2</v>
      </c>
      <c r="M249" s="166">
        <v>18</v>
      </c>
      <c r="N249" s="166">
        <v>16</v>
      </c>
      <c r="O249" s="166">
        <v>18</v>
      </c>
      <c r="P249" s="166">
        <v>16</v>
      </c>
      <c r="Q249" s="81" t="s">
        <v>155</v>
      </c>
      <c r="R249" s="165" t="s">
        <v>881</v>
      </c>
      <c r="S249" s="81" t="s">
        <v>104</v>
      </c>
      <c r="T249" s="349">
        <v>41253</v>
      </c>
      <c r="U249" s="349">
        <v>41394</v>
      </c>
      <c r="W249" s="81" t="s">
        <v>114</v>
      </c>
      <c r="Y249" s="81" t="s">
        <v>115</v>
      </c>
      <c r="Z249" s="81" t="s">
        <v>219</v>
      </c>
      <c r="AA249" s="81" t="s">
        <v>219</v>
      </c>
      <c r="AB249" s="81" t="s">
        <v>117</v>
      </c>
      <c r="AC249" s="166">
        <v>1.4999999664723899E-2</v>
      </c>
      <c r="AD249" s="349">
        <v>42487</v>
      </c>
      <c r="AG249" s="81" t="s">
        <v>238</v>
      </c>
      <c r="AH249" s="81" t="s">
        <v>118</v>
      </c>
      <c r="AI249" s="81" t="s">
        <v>1939</v>
      </c>
      <c r="AK249" s="166">
        <v>0</v>
      </c>
      <c r="AM249" s="166">
        <v>0</v>
      </c>
      <c r="AO249" s="166">
        <v>0</v>
      </c>
      <c r="AP249" s="166">
        <v>0</v>
      </c>
      <c r="AQ249" s="166">
        <v>14</v>
      </c>
      <c r="AR249" s="166">
        <v>2</v>
      </c>
      <c r="AS249" s="166">
        <v>0</v>
      </c>
      <c r="AT249" s="166">
        <v>0</v>
      </c>
      <c r="AU249" s="166">
        <v>0</v>
      </c>
      <c r="AV249" s="166">
        <v>0</v>
      </c>
      <c r="AW249" s="166">
        <v>0</v>
      </c>
      <c r="AX249" s="166">
        <v>14</v>
      </c>
      <c r="AY249" s="166">
        <v>2</v>
      </c>
      <c r="AZ249" s="166">
        <v>0</v>
      </c>
      <c r="BA249" s="166">
        <v>0</v>
      </c>
      <c r="BB249" s="166">
        <v>0</v>
      </c>
      <c r="BC249" s="166">
        <v>0</v>
      </c>
      <c r="BD249" s="166">
        <v>0</v>
      </c>
      <c r="BE249" s="166">
        <v>0</v>
      </c>
      <c r="BF249" s="166">
        <v>0</v>
      </c>
      <c r="BG249" s="166">
        <v>0</v>
      </c>
      <c r="BH249" s="166">
        <v>0</v>
      </c>
      <c r="BI249" s="166">
        <v>0</v>
      </c>
      <c r="BJ249" s="166">
        <v>0</v>
      </c>
      <c r="BK249" s="166">
        <v>0</v>
      </c>
      <c r="BL249" s="166">
        <v>0</v>
      </c>
      <c r="BM249" s="166">
        <v>0</v>
      </c>
      <c r="BN249" s="166">
        <v>0</v>
      </c>
      <c r="BO249" s="166">
        <v>0</v>
      </c>
      <c r="BP249" s="166">
        <v>0</v>
      </c>
      <c r="BQ249" s="81" t="s">
        <v>1757</v>
      </c>
      <c r="BX249" s="81" t="s">
        <v>155</v>
      </c>
      <c r="BZ249" s="81" t="s">
        <v>155</v>
      </c>
      <c r="CA249" s="81" t="s">
        <v>3968</v>
      </c>
      <c r="CC249" s="167">
        <v>0</v>
      </c>
      <c r="CD249" s="167">
        <v>0</v>
      </c>
      <c r="CE249" s="167">
        <v>0</v>
      </c>
      <c r="CF249" s="167">
        <v>0</v>
      </c>
      <c r="CG249" s="167">
        <f>$N249/3</f>
        <v>5.333333333333333</v>
      </c>
      <c r="CH249" s="167">
        <f>$N249/3</f>
        <v>5.333333333333333</v>
      </c>
      <c r="CI249" s="167">
        <f>$N249/3</f>
        <v>5.333333333333333</v>
      </c>
      <c r="CJ249" s="167">
        <v>0</v>
      </c>
      <c r="CK249" s="167">
        <v>0</v>
      </c>
      <c r="CL249" s="167">
        <v>0</v>
      </c>
      <c r="CM249" s="167">
        <v>0</v>
      </c>
      <c r="CN249" s="167">
        <v>0</v>
      </c>
      <c r="CO249" s="167">
        <v>0</v>
      </c>
      <c r="CP249" s="167">
        <v>0</v>
      </c>
      <c r="CQ249" s="167">
        <v>0</v>
      </c>
      <c r="CR249" s="167">
        <v>0</v>
      </c>
      <c r="CS249" s="167">
        <v>0</v>
      </c>
      <c r="CT249" s="167">
        <v>0</v>
      </c>
      <c r="CU249" s="167">
        <v>0</v>
      </c>
      <c r="CV249" s="167">
        <v>0</v>
      </c>
      <c r="CW249" s="167">
        <v>0</v>
      </c>
      <c r="CX249" s="167">
        <f>SUM(CD249:CH249)</f>
        <v>10.666666666666666</v>
      </c>
      <c r="CY249" s="167">
        <f>SUM(CD249:CM249)</f>
        <v>16</v>
      </c>
    </row>
    <row r="250" spans="1:103" ht="12.75" customHeight="1" x14ac:dyDescent="0.2">
      <c r="A250" s="81">
        <v>322</v>
      </c>
      <c r="B250" s="165" t="s">
        <v>1908</v>
      </c>
      <c r="C250" s="165" t="s">
        <v>1940</v>
      </c>
      <c r="D250" s="165" t="s">
        <v>774</v>
      </c>
      <c r="E250" s="165" t="s">
        <v>1941</v>
      </c>
      <c r="G250" s="81">
        <v>527020</v>
      </c>
      <c r="H250" s="81">
        <v>176330</v>
      </c>
      <c r="I250" s="165" t="s">
        <v>257</v>
      </c>
      <c r="J250" s="349">
        <v>43190</v>
      </c>
      <c r="L250" s="166">
        <v>0</v>
      </c>
      <c r="M250" s="166">
        <v>71</v>
      </c>
      <c r="N250" s="166">
        <v>71</v>
      </c>
      <c r="O250" s="166">
        <v>71</v>
      </c>
      <c r="P250" s="166">
        <v>71</v>
      </c>
      <c r="Q250" s="81" t="s">
        <v>155</v>
      </c>
      <c r="R250" s="165" t="s">
        <v>1942</v>
      </c>
      <c r="S250" s="81" t="s">
        <v>509</v>
      </c>
      <c r="T250" s="349">
        <v>42779</v>
      </c>
      <c r="U250" s="349">
        <v>43045</v>
      </c>
      <c r="V250" s="81" t="s">
        <v>155</v>
      </c>
      <c r="W250" s="81" t="s">
        <v>114</v>
      </c>
      <c r="Y250" s="81" t="s">
        <v>115</v>
      </c>
      <c r="Z250" s="81" t="s">
        <v>116</v>
      </c>
      <c r="AA250" s="81" t="s">
        <v>116</v>
      </c>
      <c r="AB250" s="81" t="s">
        <v>117</v>
      </c>
      <c r="AC250" s="166">
        <v>0.23700000345706901</v>
      </c>
      <c r="AD250" s="349">
        <v>43190</v>
      </c>
      <c r="AE250" s="81" t="s">
        <v>155</v>
      </c>
      <c r="AG250" s="81" t="s">
        <v>154</v>
      </c>
      <c r="AH250" s="81" t="s">
        <v>312</v>
      </c>
      <c r="AK250" s="166">
        <v>71</v>
      </c>
      <c r="AM250" s="166">
        <v>8</v>
      </c>
      <c r="AN250" s="166">
        <v>8</v>
      </c>
      <c r="AO250" s="166">
        <v>0</v>
      </c>
      <c r="AP250" s="166">
        <v>15</v>
      </c>
      <c r="AQ250" s="166">
        <v>39</v>
      </c>
      <c r="AR250" s="166">
        <v>9</v>
      </c>
      <c r="AS250" s="166">
        <v>8</v>
      </c>
      <c r="AT250" s="166">
        <v>0</v>
      </c>
      <c r="AU250" s="166">
        <v>0</v>
      </c>
      <c r="AV250" s="166">
        <v>0</v>
      </c>
      <c r="AW250" s="166">
        <v>15</v>
      </c>
      <c r="AX250" s="166">
        <v>39</v>
      </c>
      <c r="AY250" s="166">
        <v>9</v>
      </c>
      <c r="AZ250" s="166">
        <v>8</v>
      </c>
      <c r="BA250" s="166">
        <v>0</v>
      </c>
      <c r="BB250" s="166">
        <v>0</v>
      </c>
      <c r="BC250" s="166">
        <v>0</v>
      </c>
      <c r="BD250" s="166">
        <v>0</v>
      </c>
      <c r="BE250" s="166">
        <v>0</v>
      </c>
      <c r="BF250" s="166">
        <v>0</v>
      </c>
      <c r="BG250" s="166">
        <v>0</v>
      </c>
      <c r="BH250" s="166">
        <v>0</v>
      </c>
      <c r="BI250" s="166">
        <v>0</v>
      </c>
      <c r="BJ250" s="166">
        <v>0</v>
      </c>
      <c r="BK250" s="166">
        <v>0</v>
      </c>
      <c r="BL250" s="166">
        <v>0</v>
      </c>
      <c r="BM250" s="166">
        <v>0</v>
      </c>
      <c r="BN250" s="166">
        <v>0</v>
      </c>
      <c r="BO250" s="166">
        <v>0</v>
      </c>
      <c r="BP250" s="166">
        <v>0</v>
      </c>
      <c r="BQ250" s="81" t="s">
        <v>1757</v>
      </c>
      <c r="BZ250" s="81" t="s">
        <v>155</v>
      </c>
      <c r="CA250" s="81" t="s">
        <v>3981</v>
      </c>
      <c r="CC250" s="167">
        <v>0</v>
      </c>
      <c r="CD250" s="167">
        <f>$N250/2</f>
        <v>35.5</v>
      </c>
      <c r="CE250" s="167">
        <f>$N250/2</f>
        <v>35.5</v>
      </c>
      <c r="CF250" s="167">
        <v>0</v>
      </c>
      <c r="CG250" s="167">
        <v>0</v>
      </c>
      <c r="CH250" s="167">
        <v>0</v>
      </c>
      <c r="CI250" s="167">
        <v>0</v>
      </c>
      <c r="CJ250" s="167">
        <v>0</v>
      </c>
      <c r="CK250" s="167">
        <v>0</v>
      </c>
      <c r="CL250" s="167">
        <v>0</v>
      </c>
      <c r="CM250" s="167">
        <v>0</v>
      </c>
      <c r="CN250" s="167">
        <v>0</v>
      </c>
      <c r="CO250" s="167">
        <v>0</v>
      </c>
      <c r="CP250" s="167">
        <v>0</v>
      </c>
      <c r="CQ250" s="167">
        <v>0</v>
      </c>
      <c r="CR250" s="167">
        <v>0</v>
      </c>
      <c r="CS250" s="167">
        <v>0</v>
      </c>
      <c r="CT250" s="167">
        <v>0</v>
      </c>
      <c r="CU250" s="167">
        <v>0</v>
      </c>
      <c r="CV250" s="167">
        <v>0</v>
      </c>
      <c r="CW250" s="167">
        <v>0</v>
      </c>
      <c r="CX250" s="167">
        <f>SUM(CD250:CH250)</f>
        <v>71</v>
      </c>
      <c r="CY250" s="167">
        <f>SUM(CD250:CM250)</f>
        <v>71</v>
      </c>
    </row>
    <row r="251" spans="1:103" ht="12.75" customHeight="1" x14ac:dyDescent="0.2">
      <c r="A251" s="81">
        <v>364</v>
      </c>
      <c r="B251" s="165" t="s">
        <v>1908</v>
      </c>
      <c r="C251" s="165" t="s">
        <v>40</v>
      </c>
      <c r="E251" s="165" t="s">
        <v>1946</v>
      </c>
      <c r="G251" s="81">
        <v>524358</v>
      </c>
      <c r="H251" s="81">
        <v>175314</v>
      </c>
      <c r="I251" s="165" t="s">
        <v>259</v>
      </c>
      <c r="J251" s="349">
        <v>41765</v>
      </c>
      <c r="L251" s="166">
        <v>0</v>
      </c>
      <c r="M251" s="166">
        <v>1</v>
      </c>
      <c r="N251" s="166">
        <v>1</v>
      </c>
      <c r="O251" s="166">
        <v>1</v>
      </c>
      <c r="P251" s="166">
        <v>1</v>
      </c>
      <c r="R251" s="165" t="s">
        <v>41</v>
      </c>
      <c r="S251" s="81" t="s">
        <v>113</v>
      </c>
      <c r="T251" s="349">
        <v>41093</v>
      </c>
      <c r="U251" s="349">
        <v>41201</v>
      </c>
      <c r="W251" s="81" t="s">
        <v>114</v>
      </c>
      <c r="Y251" s="81" t="s">
        <v>115</v>
      </c>
      <c r="Z251" s="81" t="s">
        <v>116</v>
      </c>
      <c r="AA251" s="81" t="s">
        <v>117</v>
      </c>
      <c r="AB251" s="81" t="s">
        <v>218</v>
      </c>
      <c r="AC251" s="166">
        <v>1.30000002682209E-2</v>
      </c>
      <c r="AD251" s="349">
        <v>41765</v>
      </c>
      <c r="AG251" s="81" t="s">
        <v>238</v>
      </c>
      <c r="AH251" s="81" t="s">
        <v>118</v>
      </c>
      <c r="AK251" s="166">
        <v>0</v>
      </c>
      <c r="AM251" s="166">
        <v>0</v>
      </c>
      <c r="AO251" s="166">
        <v>0</v>
      </c>
      <c r="AP251" s="166">
        <v>0</v>
      </c>
      <c r="AQ251" s="166">
        <v>0</v>
      </c>
      <c r="AR251" s="166">
        <v>1</v>
      </c>
      <c r="AS251" s="166">
        <v>0</v>
      </c>
      <c r="AT251" s="166">
        <v>0</v>
      </c>
      <c r="AU251" s="166">
        <v>0</v>
      </c>
      <c r="AV251" s="166">
        <v>0</v>
      </c>
      <c r="AW251" s="166">
        <v>0</v>
      </c>
      <c r="AX251" s="166">
        <v>0</v>
      </c>
      <c r="AY251" s="166">
        <v>0</v>
      </c>
      <c r="AZ251" s="166">
        <v>0</v>
      </c>
      <c r="BA251" s="166">
        <v>0</v>
      </c>
      <c r="BB251" s="166">
        <v>0</v>
      </c>
      <c r="BC251" s="166">
        <v>0</v>
      </c>
      <c r="BD251" s="166">
        <v>0</v>
      </c>
      <c r="BE251" s="166">
        <v>0</v>
      </c>
      <c r="BF251" s="166">
        <v>1</v>
      </c>
      <c r="BG251" s="166">
        <v>0</v>
      </c>
      <c r="BH251" s="166">
        <v>0</v>
      </c>
      <c r="BI251" s="166">
        <v>0</v>
      </c>
      <c r="BJ251" s="166">
        <v>0</v>
      </c>
      <c r="BK251" s="166">
        <v>0</v>
      </c>
      <c r="BL251" s="166">
        <v>0</v>
      </c>
      <c r="BM251" s="166">
        <v>0</v>
      </c>
      <c r="BN251" s="166">
        <v>0</v>
      </c>
      <c r="BO251" s="166">
        <v>0</v>
      </c>
      <c r="BP251" s="166">
        <v>0</v>
      </c>
      <c r="BQ251" s="81" t="s">
        <v>1758</v>
      </c>
      <c r="BZ251" s="81" t="s">
        <v>155</v>
      </c>
      <c r="CA251" s="81" t="s">
        <v>3976</v>
      </c>
      <c r="CC251" s="167">
        <v>0</v>
      </c>
      <c r="CD251" s="167">
        <f>N251</f>
        <v>1</v>
      </c>
      <c r="CE251" s="167">
        <v>0</v>
      </c>
      <c r="CF251" s="167">
        <v>0</v>
      </c>
      <c r="CG251" s="167">
        <v>0</v>
      </c>
      <c r="CH251" s="167">
        <v>0</v>
      </c>
      <c r="CI251" s="167">
        <v>0</v>
      </c>
      <c r="CJ251" s="167">
        <v>0</v>
      </c>
      <c r="CK251" s="167">
        <v>0</v>
      </c>
      <c r="CL251" s="167">
        <v>0</v>
      </c>
      <c r="CM251" s="167">
        <v>0</v>
      </c>
      <c r="CN251" s="167">
        <v>0</v>
      </c>
      <c r="CO251" s="167">
        <v>0</v>
      </c>
      <c r="CP251" s="167">
        <v>0</v>
      </c>
      <c r="CQ251" s="167">
        <v>0</v>
      </c>
      <c r="CR251" s="167">
        <v>0</v>
      </c>
      <c r="CS251" s="167">
        <v>0</v>
      </c>
      <c r="CT251" s="167">
        <v>0</v>
      </c>
      <c r="CU251" s="167">
        <v>0</v>
      </c>
      <c r="CV251" s="167">
        <v>0</v>
      </c>
      <c r="CW251" s="167">
        <v>0</v>
      </c>
      <c r="CX251" s="167">
        <f>SUM(CD251:CH251)</f>
        <v>1</v>
      </c>
      <c r="CY251" s="167">
        <f>SUM(CD251:CM251)</f>
        <v>1</v>
      </c>
    </row>
    <row r="252" spans="1:103" ht="12.75" customHeight="1" x14ac:dyDescent="0.2">
      <c r="A252" s="81">
        <v>365</v>
      </c>
      <c r="B252" s="165" t="s">
        <v>1908</v>
      </c>
      <c r="C252" s="165" t="s">
        <v>1947</v>
      </c>
      <c r="D252" s="165" t="s">
        <v>237</v>
      </c>
      <c r="E252" s="165" t="s">
        <v>1948</v>
      </c>
      <c r="F252" s="165" t="s">
        <v>1949</v>
      </c>
      <c r="G252" s="81">
        <v>530104</v>
      </c>
      <c r="H252" s="81">
        <v>177808</v>
      </c>
      <c r="I252" s="165" t="s">
        <v>240</v>
      </c>
      <c r="J252" s="349">
        <v>42228</v>
      </c>
      <c r="L252" s="166">
        <v>0</v>
      </c>
      <c r="M252" s="166">
        <v>439</v>
      </c>
      <c r="N252" s="166">
        <v>439</v>
      </c>
      <c r="O252" s="166">
        <v>491</v>
      </c>
      <c r="P252" s="166">
        <v>491</v>
      </c>
      <c r="Q252" s="81" t="s">
        <v>155</v>
      </c>
      <c r="R252" s="165" t="s">
        <v>1950</v>
      </c>
      <c r="S252" s="81" t="s">
        <v>509</v>
      </c>
      <c r="T252" s="349">
        <v>41691</v>
      </c>
      <c r="U252" s="349">
        <v>41877</v>
      </c>
      <c r="W252" s="81" t="s">
        <v>114</v>
      </c>
      <c r="Y252" s="81" t="s">
        <v>115</v>
      </c>
      <c r="Z252" s="81" t="s">
        <v>116</v>
      </c>
      <c r="AA252" s="81" t="s">
        <v>116</v>
      </c>
      <c r="AB252" s="81" t="s">
        <v>117</v>
      </c>
      <c r="AC252" s="166">
        <v>0.26300001144409202</v>
      </c>
      <c r="AD252" s="350">
        <v>42228</v>
      </c>
      <c r="AG252" s="81" t="s">
        <v>238</v>
      </c>
      <c r="AH252" s="81" t="s">
        <v>118</v>
      </c>
      <c r="AI252" s="81" t="s">
        <v>1951</v>
      </c>
      <c r="AK252" s="166">
        <v>0</v>
      </c>
      <c r="AL252" s="166">
        <v>44</v>
      </c>
      <c r="AM252" s="166">
        <v>0</v>
      </c>
      <c r="AN252" s="166">
        <v>395</v>
      </c>
      <c r="AO252" s="166">
        <v>0</v>
      </c>
      <c r="AP252" s="166">
        <v>119</v>
      </c>
      <c r="AQ252" s="166">
        <v>181</v>
      </c>
      <c r="AR252" s="166">
        <v>129</v>
      </c>
      <c r="AS252" s="166">
        <v>10</v>
      </c>
      <c r="AT252" s="166">
        <v>0</v>
      </c>
      <c r="AU252" s="166">
        <v>0</v>
      </c>
      <c r="AV252" s="166">
        <v>0</v>
      </c>
      <c r="AW252" s="166">
        <v>119</v>
      </c>
      <c r="AX252" s="166">
        <v>181</v>
      </c>
      <c r="AY252" s="166">
        <v>129</v>
      </c>
      <c r="AZ252" s="166">
        <v>10</v>
      </c>
      <c r="BA252" s="166">
        <v>0</v>
      </c>
      <c r="BB252" s="166">
        <v>0</v>
      </c>
      <c r="BC252" s="166">
        <v>0</v>
      </c>
      <c r="BD252" s="166">
        <v>0</v>
      </c>
      <c r="BE252" s="166">
        <v>0</v>
      </c>
      <c r="BF252" s="166">
        <v>0</v>
      </c>
      <c r="BG252" s="166">
        <v>0</v>
      </c>
      <c r="BH252" s="166">
        <v>0</v>
      </c>
      <c r="BI252" s="166">
        <v>0</v>
      </c>
      <c r="BJ252" s="166">
        <v>0</v>
      </c>
      <c r="BK252" s="166">
        <v>0</v>
      </c>
      <c r="BL252" s="166">
        <v>0</v>
      </c>
      <c r="BM252" s="166">
        <v>0</v>
      </c>
      <c r="BN252" s="166">
        <v>0</v>
      </c>
      <c r="BO252" s="166">
        <v>0</v>
      </c>
      <c r="BP252" s="166">
        <v>0</v>
      </c>
      <c r="BQ252" s="81" t="s">
        <v>1759</v>
      </c>
      <c r="BS252" s="81" t="s">
        <v>155</v>
      </c>
      <c r="BZ252" s="81" t="s">
        <v>155</v>
      </c>
      <c r="CA252" s="81">
        <v>12</v>
      </c>
      <c r="CC252" s="167">
        <v>0</v>
      </c>
      <c r="CD252" s="167">
        <v>0</v>
      </c>
      <c r="CE252" s="167">
        <v>0</v>
      </c>
      <c r="CF252" s="167">
        <v>0</v>
      </c>
      <c r="CG252" s="167">
        <f>N252</f>
        <v>439</v>
      </c>
      <c r="CH252" s="167">
        <v>0</v>
      </c>
      <c r="CI252" s="167">
        <v>0</v>
      </c>
      <c r="CJ252" s="167">
        <v>0</v>
      </c>
      <c r="CK252" s="167">
        <v>0</v>
      </c>
      <c r="CL252" s="167">
        <v>0</v>
      </c>
      <c r="CM252" s="167">
        <v>0</v>
      </c>
      <c r="CN252" s="167">
        <v>0</v>
      </c>
      <c r="CO252" s="167">
        <v>0</v>
      </c>
      <c r="CP252" s="167">
        <v>0</v>
      </c>
      <c r="CQ252" s="167">
        <v>0</v>
      </c>
      <c r="CR252" s="167">
        <v>0</v>
      </c>
      <c r="CS252" s="167">
        <v>0</v>
      </c>
      <c r="CT252" s="167">
        <v>0</v>
      </c>
      <c r="CU252" s="167">
        <v>0</v>
      </c>
      <c r="CV252" s="167">
        <v>0</v>
      </c>
      <c r="CW252" s="167">
        <v>0</v>
      </c>
      <c r="CX252" s="167">
        <f>SUM(CD252:CH252)</f>
        <v>439</v>
      </c>
      <c r="CY252" s="167">
        <f>SUM(CD252:CM252)</f>
        <v>439</v>
      </c>
    </row>
    <row r="253" spans="1:103" ht="12.75" customHeight="1" x14ac:dyDescent="0.2">
      <c r="A253" s="81">
        <v>365</v>
      </c>
      <c r="B253" s="165" t="s">
        <v>1908</v>
      </c>
      <c r="C253" s="165" t="s">
        <v>43</v>
      </c>
      <c r="D253" s="165" t="s">
        <v>237</v>
      </c>
      <c r="E253" s="165" t="s">
        <v>1948</v>
      </c>
      <c r="G253" s="81">
        <v>530104</v>
      </c>
      <c r="H253" s="81">
        <v>177808</v>
      </c>
      <c r="I253" s="165" t="s">
        <v>240</v>
      </c>
      <c r="J253" s="349">
        <v>42228</v>
      </c>
      <c r="L253" s="166">
        <v>0</v>
      </c>
      <c r="M253" s="166">
        <v>57</v>
      </c>
      <c r="N253" s="166">
        <v>57</v>
      </c>
      <c r="O253" s="166">
        <v>57</v>
      </c>
      <c r="P253" s="166">
        <v>57</v>
      </c>
      <c r="Q253" s="81" t="s">
        <v>155</v>
      </c>
      <c r="R253" s="165" t="s">
        <v>755</v>
      </c>
      <c r="S253" s="81" t="s">
        <v>1916</v>
      </c>
      <c r="T253" s="349">
        <v>41920</v>
      </c>
      <c r="U253" s="349">
        <v>42016</v>
      </c>
      <c r="W253" s="81" t="s">
        <v>114</v>
      </c>
      <c r="Y253" s="81" t="s">
        <v>115</v>
      </c>
      <c r="Z253" s="81" t="s">
        <v>116</v>
      </c>
      <c r="AA253" s="81" t="s">
        <v>116</v>
      </c>
      <c r="AB253" s="81" t="s">
        <v>117</v>
      </c>
      <c r="AC253" s="166">
        <v>1.4000000432133701E-2</v>
      </c>
      <c r="AD253" s="349">
        <v>42228</v>
      </c>
      <c r="AG253" s="81" t="s">
        <v>74</v>
      </c>
      <c r="AH253" s="81" t="s">
        <v>1913</v>
      </c>
      <c r="AI253" s="81" t="s">
        <v>1951</v>
      </c>
      <c r="AK253" s="166">
        <v>57</v>
      </c>
      <c r="AL253" s="166">
        <v>6</v>
      </c>
      <c r="AM253" s="166">
        <v>6</v>
      </c>
      <c r="AN253" s="166">
        <v>51</v>
      </c>
      <c r="AO253" s="166">
        <v>0</v>
      </c>
      <c r="AP253" s="166">
        <v>35</v>
      </c>
      <c r="AQ253" s="166">
        <v>22</v>
      </c>
      <c r="AR253" s="166">
        <v>0</v>
      </c>
      <c r="AS253" s="166">
        <v>0</v>
      </c>
      <c r="AT253" s="166">
        <v>0</v>
      </c>
      <c r="AU253" s="166">
        <v>0</v>
      </c>
      <c r="AV253" s="166">
        <v>0</v>
      </c>
      <c r="AW253" s="166">
        <v>35</v>
      </c>
      <c r="AX253" s="166">
        <v>22</v>
      </c>
      <c r="AY253" s="166">
        <v>0</v>
      </c>
      <c r="AZ253" s="166">
        <v>0</v>
      </c>
      <c r="BA253" s="166">
        <v>0</v>
      </c>
      <c r="BB253" s="166">
        <v>0</v>
      </c>
      <c r="BC253" s="166">
        <v>0</v>
      </c>
      <c r="BD253" s="166">
        <v>0</v>
      </c>
      <c r="BE253" s="166">
        <v>0</v>
      </c>
      <c r="BF253" s="166">
        <v>0</v>
      </c>
      <c r="BG253" s="166">
        <v>0</v>
      </c>
      <c r="BH253" s="166">
        <v>0</v>
      </c>
      <c r="BI253" s="166">
        <v>0</v>
      </c>
      <c r="BJ253" s="166">
        <v>0</v>
      </c>
      <c r="BK253" s="166">
        <v>0</v>
      </c>
      <c r="BL253" s="166">
        <v>0</v>
      </c>
      <c r="BM253" s="166">
        <v>0</v>
      </c>
      <c r="BN253" s="166">
        <v>0</v>
      </c>
      <c r="BO253" s="166">
        <v>0</v>
      </c>
      <c r="BP253" s="166">
        <v>0</v>
      </c>
      <c r="BQ253" s="81" t="s">
        <v>1759</v>
      </c>
      <c r="BS253" s="81" t="s">
        <v>155</v>
      </c>
      <c r="BZ253" s="81" t="s">
        <v>155</v>
      </c>
      <c r="CA253" s="81">
        <v>12</v>
      </c>
      <c r="CC253" s="167">
        <v>0</v>
      </c>
      <c r="CD253" s="167">
        <v>0</v>
      </c>
      <c r="CE253" s="167">
        <v>0</v>
      </c>
      <c r="CF253" s="167">
        <v>0</v>
      </c>
      <c r="CG253" s="167">
        <f>N253</f>
        <v>57</v>
      </c>
      <c r="CH253" s="167">
        <v>0</v>
      </c>
      <c r="CI253" s="167">
        <v>0</v>
      </c>
      <c r="CJ253" s="167">
        <v>0</v>
      </c>
      <c r="CK253" s="167">
        <v>0</v>
      </c>
      <c r="CL253" s="167">
        <v>0</v>
      </c>
      <c r="CM253" s="167">
        <v>0</v>
      </c>
      <c r="CN253" s="167">
        <v>0</v>
      </c>
      <c r="CO253" s="167">
        <v>0</v>
      </c>
      <c r="CP253" s="167">
        <v>0</v>
      </c>
      <c r="CQ253" s="167">
        <v>0</v>
      </c>
      <c r="CR253" s="167">
        <v>0</v>
      </c>
      <c r="CS253" s="167">
        <v>0</v>
      </c>
      <c r="CT253" s="167">
        <v>0</v>
      </c>
      <c r="CU253" s="167">
        <v>0</v>
      </c>
      <c r="CV253" s="167">
        <v>0</v>
      </c>
      <c r="CW253" s="167">
        <v>0</v>
      </c>
      <c r="CX253" s="167">
        <f>SUM(CD253:CH253)</f>
        <v>57</v>
      </c>
      <c r="CY253" s="167">
        <f>SUM(CD253:CM253)</f>
        <v>57</v>
      </c>
    </row>
    <row r="254" spans="1:103" ht="12.75" customHeight="1" x14ac:dyDescent="0.2">
      <c r="A254" s="81">
        <v>365</v>
      </c>
      <c r="B254" s="165" t="s">
        <v>1908</v>
      </c>
      <c r="C254" s="165" t="s">
        <v>1972</v>
      </c>
      <c r="D254" s="165" t="s">
        <v>237</v>
      </c>
      <c r="E254" s="165" t="s">
        <v>1948</v>
      </c>
      <c r="G254" s="81">
        <v>530104</v>
      </c>
      <c r="H254" s="81">
        <v>177808</v>
      </c>
      <c r="I254" s="165" t="s">
        <v>240</v>
      </c>
      <c r="J254" s="349">
        <v>42228</v>
      </c>
      <c r="L254" s="166">
        <v>2</v>
      </c>
      <c r="M254" s="166">
        <v>0</v>
      </c>
      <c r="N254" s="166">
        <v>-2</v>
      </c>
      <c r="O254" s="166">
        <v>0</v>
      </c>
      <c r="P254" s="166">
        <v>-2</v>
      </c>
      <c r="Q254" s="81" t="s">
        <v>155</v>
      </c>
      <c r="R254" s="165" t="s">
        <v>1973</v>
      </c>
      <c r="S254" s="81" t="s">
        <v>1916</v>
      </c>
      <c r="T254" s="349">
        <v>42536</v>
      </c>
      <c r="U254" s="349">
        <v>42542</v>
      </c>
      <c r="W254" s="81" t="s">
        <v>114</v>
      </c>
      <c r="Y254" s="81" t="s">
        <v>115</v>
      </c>
      <c r="Z254" s="81" t="s">
        <v>116</v>
      </c>
      <c r="AA254" s="81" t="s">
        <v>116</v>
      </c>
      <c r="AB254" s="81" t="s">
        <v>117</v>
      </c>
      <c r="AC254" s="166">
        <v>1.00000004749745E-3</v>
      </c>
      <c r="AD254" s="350">
        <v>42228</v>
      </c>
      <c r="AG254" s="81" t="s">
        <v>238</v>
      </c>
      <c r="AH254" s="81" t="s">
        <v>118</v>
      </c>
      <c r="AI254" s="81" t="s">
        <v>1951</v>
      </c>
      <c r="AK254" s="166">
        <v>0</v>
      </c>
      <c r="AM254" s="166">
        <v>0</v>
      </c>
      <c r="AO254" s="166">
        <v>0</v>
      </c>
      <c r="AP254" s="166">
        <v>-2</v>
      </c>
      <c r="AQ254" s="166">
        <v>0</v>
      </c>
      <c r="AR254" s="166">
        <v>0</v>
      </c>
      <c r="AS254" s="166">
        <v>0</v>
      </c>
      <c r="AT254" s="166">
        <v>0</v>
      </c>
      <c r="AU254" s="166">
        <v>0</v>
      </c>
      <c r="AV254" s="166">
        <v>0</v>
      </c>
      <c r="AW254" s="166">
        <v>-2</v>
      </c>
      <c r="AX254" s="166">
        <v>0</v>
      </c>
      <c r="AY254" s="166">
        <v>0</v>
      </c>
      <c r="AZ254" s="166">
        <v>0</v>
      </c>
      <c r="BA254" s="166">
        <v>0</v>
      </c>
      <c r="BB254" s="166">
        <v>0</v>
      </c>
      <c r="BC254" s="166">
        <v>0</v>
      </c>
      <c r="BD254" s="166">
        <v>0</v>
      </c>
      <c r="BE254" s="166">
        <v>0</v>
      </c>
      <c r="BF254" s="166">
        <v>0</v>
      </c>
      <c r="BG254" s="166">
        <v>0</v>
      </c>
      <c r="BH254" s="166">
        <v>0</v>
      </c>
      <c r="BI254" s="166">
        <v>0</v>
      </c>
      <c r="BJ254" s="166">
        <v>0</v>
      </c>
      <c r="BK254" s="166">
        <v>0</v>
      </c>
      <c r="BL254" s="166">
        <v>0</v>
      </c>
      <c r="BM254" s="166">
        <v>0</v>
      </c>
      <c r="BN254" s="166">
        <v>0</v>
      </c>
      <c r="BO254" s="166">
        <v>0</v>
      </c>
      <c r="BP254" s="166">
        <v>0</v>
      </c>
      <c r="BQ254" s="81" t="s">
        <v>1759</v>
      </c>
      <c r="BS254" s="81" t="s">
        <v>155</v>
      </c>
      <c r="BZ254" s="81" t="s">
        <v>155</v>
      </c>
      <c r="CA254" s="81">
        <v>12</v>
      </c>
      <c r="CC254" s="167">
        <v>0</v>
      </c>
      <c r="CD254" s="167">
        <v>0</v>
      </c>
      <c r="CE254" s="167">
        <v>0</v>
      </c>
      <c r="CF254" s="167">
        <v>0</v>
      </c>
      <c r="CG254" s="167">
        <f>N254</f>
        <v>-2</v>
      </c>
      <c r="CH254" s="167">
        <v>0</v>
      </c>
      <c r="CI254" s="167">
        <v>0</v>
      </c>
      <c r="CJ254" s="167">
        <v>0</v>
      </c>
      <c r="CK254" s="167">
        <v>0</v>
      </c>
      <c r="CL254" s="167">
        <v>0</v>
      </c>
      <c r="CM254" s="167">
        <v>0</v>
      </c>
      <c r="CN254" s="167">
        <v>0</v>
      </c>
      <c r="CO254" s="167">
        <v>0</v>
      </c>
      <c r="CP254" s="167">
        <v>0</v>
      </c>
      <c r="CQ254" s="167">
        <v>0</v>
      </c>
      <c r="CR254" s="167">
        <v>0</v>
      </c>
      <c r="CS254" s="167">
        <v>0</v>
      </c>
      <c r="CT254" s="167">
        <v>0</v>
      </c>
      <c r="CU254" s="167">
        <v>0</v>
      </c>
      <c r="CV254" s="167">
        <v>0</v>
      </c>
      <c r="CW254" s="167">
        <v>0</v>
      </c>
      <c r="CX254" s="167">
        <f>SUM(CD254:CH254)</f>
        <v>-2</v>
      </c>
      <c r="CY254" s="167">
        <f>SUM(CD254:CM254)</f>
        <v>-2</v>
      </c>
    </row>
    <row r="255" spans="1:103" ht="12.75" customHeight="1" x14ac:dyDescent="0.2">
      <c r="A255" s="81">
        <v>494</v>
      </c>
      <c r="B255" s="165" t="s">
        <v>1908</v>
      </c>
      <c r="C255" s="165" t="s">
        <v>330</v>
      </c>
      <c r="E255" s="165" t="s">
        <v>3342</v>
      </c>
      <c r="G255" s="81">
        <v>524885</v>
      </c>
      <c r="H255" s="81">
        <v>174590</v>
      </c>
      <c r="I255" s="165" t="s">
        <v>250</v>
      </c>
      <c r="J255" s="349">
        <v>42830</v>
      </c>
      <c r="L255" s="166">
        <v>0</v>
      </c>
      <c r="M255" s="166">
        <v>8</v>
      </c>
      <c r="N255" s="166">
        <v>8</v>
      </c>
      <c r="O255" s="166">
        <v>8</v>
      </c>
      <c r="P255" s="166">
        <v>8</v>
      </c>
      <c r="R255" s="165" t="s">
        <v>393</v>
      </c>
      <c r="S255" s="81" t="s">
        <v>113</v>
      </c>
      <c r="T255" s="349">
        <v>41864</v>
      </c>
      <c r="U255" s="349">
        <v>42181</v>
      </c>
      <c r="W255" s="81" t="s">
        <v>114</v>
      </c>
      <c r="Y255" s="81" t="s">
        <v>115</v>
      </c>
      <c r="Z255" s="81" t="s">
        <v>398</v>
      </c>
      <c r="AA255" s="81" t="s">
        <v>117</v>
      </c>
      <c r="AB255" s="81" t="s">
        <v>311</v>
      </c>
      <c r="AC255" s="166">
        <v>3.9999999105930301E-2</v>
      </c>
      <c r="AD255" s="349">
        <v>42830</v>
      </c>
      <c r="AE255" s="81" t="s">
        <v>155</v>
      </c>
      <c r="AG255" s="81" t="s">
        <v>238</v>
      </c>
      <c r="AH255" s="81" t="s">
        <v>118</v>
      </c>
      <c r="AK255" s="166">
        <v>0</v>
      </c>
      <c r="AM255" s="166">
        <v>0</v>
      </c>
      <c r="AO255" s="166">
        <v>0</v>
      </c>
      <c r="AP255" s="166">
        <v>2</v>
      </c>
      <c r="AQ255" s="166">
        <v>4</v>
      </c>
      <c r="AR255" s="166">
        <v>2</v>
      </c>
      <c r="AS255" s="166">
        <v>0</v>
      </c>
      <c r="AT255" s="166">
        <v>0</v>
      </c>
      <c r="AU255" s="166">
        <v>0</v>
      </c>
      <c r="AV255" s="166">
        <v>0</v>
      </c>
      <c r="AW255" s="166">
        <v>2</v>
      </c>
      <c r="AX255" s="166">
        <v>4</v>
      </c>
      <c r="AY255" s="166">
        <v>2</v>
      </c>
      <c r="AZ255" s="166">
        <v>0</v>
      </c>
      <c r="BA255" s="166">
        <v>0</v>
      </c>
      <c r="BB255" s="166">
        <v>0</v>
      </c>
      <c r="BC255" s="166">
        <v>0</v>
      </c>
      <c r="BD255" s="166">
        <v>0</v>
      </c>
      <c r="BE255" s="166">
        <v>0</v>
      </c>
      <c r="BF255" s="166">
        <v>0</v>
      </c>
      <c r="BG255" s="166">
        <v>0</v>
      </c>
      <c r="BH255" s="166">
        <v>0</v>
      </c>
      <c r="BI255" s="166">
        <v>0</v>
      </c>
      <c r="BJ255" s="166">
        <v>0</v>
      </c>
      <c r="BK255" s="166">
        <v>0</v>
      </c>
      <c r="BL255" s="166">
        <v>0</v>
      </c>
      <c r="BM255" s="166">
        <v>0</v>
      </c>
      <c r="BN255" s="166">
        <v>0</v>
      </c>
      <c r="BO255" s="166">
        <v>0</v>
      </c>
      <c r="BP255" s="166">
        <v>0</v>
      </c>
      <c r="BQ255" s="81" t="s">
        <v>1758</v>
      </c>
      <c r="BZ255" s="81" t="s">
        <v>155</v>
      </c>
      <c r="CA255" s="81" t="s">
        <v>3980</v>
      </c>
      <c r="CC255" s="167">
        <v>0</v>
      </c>
      <c r="CD255" s="167">
        <f>N255</f>
        <v>8</v>
      </c>
      <c r="CE255" s="167">
        <v>0</v>
      </c>
      <c r="CF255" s="167">
        <v>0</v>
      </c>
      <c r="CG255" s="167">
        <v>0</v>
      </c>
      <c r="CH255" s="167">
        <v>0</v>
      </c>
      <c r="CI255" s="167">
        <v>0</v>
      </c>
      <c r="CJ255" s="167">
        <v>0</v>
      </c>
      <c r="CK255" s="167">
        <v>0</v>
      </c>
      <c r="CL255" s="167">
        <v>0</v>
      </c>
      <c r="CM255" s="167">
        <v>0</v>
      </c>
      <c r="CN255" s="167">
        <v>0</v>
      </c>
      <c r="CO255" s="167">
        <v>0</v>
      </c>
      <c r="CP255" s="167">
        <v>0</v>
      </c>
      <c r="CQ255" s="167">
        <v>0</v>
      </c>
      <c r="CR255" s="167">
        <v>0</v>
      </c>
      <c r="CS255" s="167">
        <v>0</v>
      </c>
      <c r="CT255" s="167">
        <v>0</v>
      </c>
      <c r="CU255" s="167">
        <v>0</v>
      </c>
      <c r="CV255" s="167">
        <v>0</v>
      </c>
      <c r="CW255" s="167">
        <v>0</v>
      </c>
      <c r="CX255" s="167">
        <f>SUM(CD255:CH255)</f>
        <v>8</v>
      </c>
      <c r="CY255" s="167">
        <f>SUM(CD255:CM255)</f>
        <v>8</v>
      </c>
    </row>
    <row r="256" spans="1:103" ht="12.75" customHeight="1" x14ac:dyDescent="0.2">
      <c r="A256" s="81">
        <v>548</v>
      </c>
      <c r="B256" s="165" t="s">
        <v>1908</v>
      </c>
      <c r="C256" s="165" t="s">
        <v>3343</v>
      </c>
      <c r="E256" s="165" t="s">
        <v>3344</v>
      </c>
      <c r="G256" s="81">
        <v>527240</v>
      </c>
      <c r="H256" s="81">
        <v>171371</v>
      </c>
      <c r="I256" s="165" t="s">
        <v>242</v>
      </c>
      <c r="J256" s="349">
        <v>43173</v>
      </c>
      <c r="L256" s="166">
        <v>1</v>
      </c>
      <c r="M256" s="166">
        <v>3</v>
      </c>
      <c r="N256" s="166">
        <v>2</v>
      </c>
      <c r="O256" s="166">
        <v>3</v>
      </c>
      <c r="P256" s="166">
        <v>2</v>
      </c>
      <c r="R256" s="165" t="s">
        <v>3345</v>
      </c>
      <c r="S256" s="81" t="s">
        <v>113</v>
      </c>
      <c r="T256" s="349">
        <v>43021</v>
      </c>
      <c r="U256" s="349">
        <v>43077</v>
      </c>
      <c r="V256" s="81" t="s">
        <v>155</v>
      </c>
      <c r="W256" s="81" t="s">
        <v>114</v>
      </c>
      <c r="Y256" s="81" t="s">
        <v>115</v>
      </c>
      <c r="Z256" s="81" t="s">
        <v>398</v>
      </c>
      <c r="AA256" s="81" t="s">
        <v>117</v>
      </c>
      <c r="AB256" s="81" t="s">
        <v>120</v>
      </c>
      <c r="AC256" s="166">
        <v>1.9999999552965199E-2</v>
      </c>
      <c r="AD256" s="349">
        <v>43173</v>
      </c>
      <c r="AE256" s="81" t="s">
        <v>155</v>
      </c>
      <c r="AG256" s="81" t="s">
        <v>238</v>
      </c>
      <c r="AH256" s="81" t="s">
        <v>118</v>
      </c>
      <c r="AK256" s="166">
        <v>0</v>
      </c>
      <c r="AM256" s="166">
        <v>0</v>
      </c>
      <c r="AO256" s="166">
        <v>0</v>
      </c>
      <c r="AP256" s="166">
        <v>1</v>
      </c>
      <c r="AQ256" s="166">
        <v>1</v>
      </c>
      <c r="AR256" s="166">
        <v>1</v>
      </c>
      <c r="AS256" s="166">
        <v>-1</v>
      </c>
      <c r="AT256" s="166">
        <v>0</v>
      </c>
      <c r="AU256" s="166">
        <v>0</v>
      </c>
      <c r="AV256" s="166">
        <v>0</v>
      </c>
      <c r="AW256" s="166">
        <v>1</v>
      </c>
      <c r="AX256" s="166">
        <v>1</v>
      </c>
      <c r="AY256" s="166">
        <v>1</v>
      </c>
      <c r="AZ256" s="166">
        <v>0</v>
      </c>
      <c r="BA256" s="166">
        <v>0</v>
      </c>
      <c r="BB256" s="166">
        <v>0</v>
      </c>
      <c r="BC256" s="166">
        <v>0</v>
      </c>
      <c r="BD256" s="166">
        <v>0</v>
      </c>
      <c r="BE256" s="166">
        <v>0</v>
      </c>
      <c r="BF256" s="166">
        <v>0</v>
      </c>
      <c r="BG256" s="166">
        <v>-1</v>
      </c>
      <c r="BH256" s="166">
        <v>0</v>
      </c>
      <c r="BI256" s="166">
        <v>0</v>
      </c>
      <c r="BJ256" s="166">
        <v>0</v>
      </c>
      <c r="BK256" s="166">
        <v>0</v>
      </c>
      <c r="BL256" s="166">
        <v>0</v>
      </c>
      <c r="BM256" s="166">
        <v>0</v>
      </c>
      <c r="BN256" s="166">
        <v>0</v>
      </c>
      <c r="BO256" s="166">
        <v>0</v>
      </c>
      <c r="BP256" s="166">
        <v>0</v>
      </c>
      <c r="BQ256" s="81" t="s">
        <v>1757</v>
      </c>
      <c r="BZ256" s="81" t="s">
        <v>155</v>
      </c>
      <c r="CA256" s="81" t="s">
        <v>3981</v>
      </c>
      <c r="CC256" s="167">
        <v>0</v>
      </c>
      <c r="CD256" s="167">
        <f>$N256/2</f>
        <v>1</v>
      </c>
      <c r="CE256" s="167">
        <f>$N256/2</f>
        <v>1</v>
      </c>
      <c r="CF256" s="167">
        <v>0</v>
      </c>
      <c r="CG256" s="167">
        <v>0</v>
      </c>
      <c r="CH256" s="167">
        <v>0</v>
      </c>
      <c r="CI256" s="167">
        <v>0</v>
      </c>
      <c r="CJ256" s="167">
        <v>0</v>
      </c>
      <c r="CK256" s="167">
        <v>0</v>
      </c>
      <c r="CL256" s="167">
        <v>0</v>
      </c>
      <c r="CM256" s="167">
        <v>0</v>
      </c>
      <c r="CN256" s="167">
        <v>0</v>
      </c>
      <c r="CO256" s="167">
        <v>0</v>
      </c>
      <c r="CP256" s="167">
        <v>0</v>
      </c>
      <c r="CQ256" s="167">
        <v>0</v>
      </c>
      <c r="CR256" s="167">
        <v>0</v>
      </c>
      <c r="CS256" s="167">
        <v>0</v>
      </c>
      <c r="CT256" s="167">
        <v>0</v>
      </c>
      <c r="CU256" s="167">
        <v>0</v>
      </c>
      <c r="CV256" s="167">
        <v>0</v>
      </c>
      <c r="CW256" s="167">
        <v>0</v>
      </c>
      <c r="CX256" s="167">
        <f>SUM(CD256:CH256)</f>
        <v>2</v>
      </c>
      <c r="CY256" s="167">
        <f>SUM(CD256:CM256)</f>
        <v>2</v>
      </c>
    </row>
    <row r="257" spans="1:103" ht="12.75" customHeight="1" x14ac:dyDescent="0.2">
      <c r="A257" s="81">
        <v>578</v>
      </c>
      <c r="B257" s="165" t="s">
        <v>1908</v>
      </c>
      <c r="C257" s="165" t="s">
        <v>1027</v>
      </c>
      <c r="E257" s="165" t="s">
        <v>3346</v>
      </c>
      <c r="G257" s="81">
        <v>527681</v>
      </c>
      <c r="H257" s="81">
        <v>175497</v>
      </c>
      <c r="I257" s="165" t="s">
        <v>256</v>
      </c>
      <c r="J257" s="349">
        <v>42655</v>
      </c>
      <c r="L257" s="166">
        <v>0</v>
      </c>
      <c r="M257" s="166">
        <v>3</v>
      </c>
      <c r="N257" s="166">
        <v>3</v>
      </c>
      <c r="O257" s="166">
        <v>3</v>
      </c>
      <c r="P257" s="166">
        <v>3</v>
      </c>
      <c r="R257" s="165" t="s">
        <v>1028</v>
      </c>
      <c r="S257" s="81" t="s">
        <v>270</v>
      </c>
      <c r="T257" s="349">
        <v>42550</v>
      </c>
      <c r="U257" s="349">
        <v>42606</v>
      </c>
      <c r="W257" s="81" t="s">
        <v>114</v>
      </c>
      <c r="Y257" s="81" t="s">
        <v>115</v>
      </c>
      <c r="Z257" s="81" t="s">
        <v>310</v>
      </c>
      <c r="AA257" s="81" t="s">
        <v>117</v>
      </c>
      <c r="AB257" s="81" t="s">
        <v>399</v>
      </c>
      <c r="AC257" s="166">
        <v>1.30000002682209E-2</v>
      </c>
      <c r="AD257" s="349">
        <v>42655</v>
      </c>
      <c r="AG257" s="81" t="s">
        <v>238</v>
      </c>
      <c r="AH257" s="81" t="s">
        <v>118</v>
      </c>
      <c r="AK257" s="166">
        <v>0</v>
      </c>
      <c r="AM257" s="166">
        <v>0</v>
      </c>
      <c r="AO257" s="166">
        <v>0</v>
      </c>
      <c r="AP257" s="166">
        <v>0</v>
      </c>
      <c r="AQ257" s="166">
        <v>3</v>
      </c>
      <c r="AR257" s="166">
        <v>0</v>
      </c>
      <c r="AS257" s="166">
        <v>0</v>
      </c>
      <c r="AT257" s="166">
        <v>0</v>
      </c>
      <c r="AU257" s="166">
        <v>0</v>
      </c>
      <c r="AV257" s="166">
        <v>0</v>
      </c>
      <c r="AW257" s="166">
        <v>0</v>
      </c>
      <c r="AX257" s="166">
        <v>3</v>
      </c>
      <c r="AY257" s="166">
        <v>0</v>
      </c>
      <c r="AZ257" s="166">
        <v>0</v>
      </c>
      <c r="BA257" s="166">
        <v>0</v>
      </c>
      <c r="BB257" s="166">
        <v>0</v>
      </c>
      <c r="BC257" s="166">
        <v>0</v>
      </c>
      <c r="BD257" s="166">
        <v>0</v>
      </c>
      <c r="BE257" s="166">
        <v>0</v>
      </c>
      <c r="BF257" s="166">
        <v>0</v>
      </c>
      <c r="BG257" s="166">
        <v>0</v>
      </c>
      <c r="BH257" s="166">
        <v>0</v>
      </c>
      <c r="BI257" s="166">
        <v>0</v>
      </c>
      <c r="BJ257" s="166">
        <v>0</v>
      </c>
      <c r="BK257" s="166">
        <v>0</v>
      </c>
      <c r="BL257" s="166">
        <v>0</v>
      </c>
      <c r="BM257" s="166">
        <v>0</v>
      </c>
      <c r="BN257" s="166">
        <v>0</v>
      </c>
      <c r="BO257" s="166">
        <v>0</v>
      </c>
      <c r="BP257" s="166">
        <v>0</v>
      </c>
      <c r="BQ257" s="81" t="s">
        <v>1757</v>
      </c>
      <c r="BR257" s="81" t="s">
        <v>160</v>
      </c>
      <c r="BZ257" s="81" t="s">
        <v>155</v>
      </c>
      <c r="CA257" s="81" t="s">
        <v>3980</v>
      </c>
      <c r="CC257" s="167">
        <v>0</v>
      </c>
      <c r="CD257" s="167">
        <f>N257</f>
        <v>3</v>
      </c>
      <c r="CE257" s="167">
        <v>0</v>
      </c>
      <c r="CF257" s="167">
        <v>0</v>
      </c>
      <c r="CG257" s="167">
        <v>0</v>
      </c>
      <c r="CH257" s="167">
        <v>0</v>
      </c>
      <c r="CI257" s="167">
        <v>0</v>
      </c>
      <c r="CJ257" s="167">
        <v>0</v>
      </c>
      <c r="CK257" s="167">
        <v>0</v>
      </c>
      <c r="CL257" s="167">
        <v>0</v>
      </c>
      <c r="CM257" s="167">
        <v>0</v>
      </c>
      <c r="CN257" s="167">
        <v>0</v>
      </c>
      <c r="CO257" s="167">
        <v>0</v>
      </c>
      <c r="CP257" s="167">
        <v>0</v>
      </c>
      <c r="CQ257" s="167">
        <v>0</v>
      </c>
      <c r="CR257" s="167">
        <v>0</v>
      </c>
      <c r="CS257" s="167">
        <v>0</v>
      </c>
      <c r="CT257" s="167">
        <v>0</v>
      </c>
      <c r="CU257" s="167">
        <v>0</v>
      </c>
      <c r="CV257" s="167">
        <v>0</v>
      </c>
      <c r="CW257" s="167">
        <v>0</v>
      </c>
      <c r="CX257" s="167">
        <f>SUM(CD257:CH257)</f>
        <v>3</v>
      </c>
      <c r="CY257" s="167">
        <f>SUM(CD257:CM257)</f>
        <v>3</v>
      </c>
    </row>
    <row r="258" spans="1:103" ht="12.75" customHeight="1" x14ac:dyDescent="0.2">
      <c r="A258" s="81">
        <v>687</v>
      </c>
      <c r="B258" s="165" t="s">
        <v>1908</v>
      </c>
      <c r="C258" s="165" t="s">
        <v>3347</v>
      </c>
      <c r="E258" s="165" t="s">
        <v>3348</v>
      </c>
      <c r="G258" s="81">
        <v>525881</v>
      </c>
      <c r="H258" s="81">
        <v>174991</v>
      </c>
      <c r="I258" s="165" t="s">
        <v>251</v>
      </c>
      <c r="J258" s="349">
        <v>43136</v>
      </c>
      <c r="L258" s="166">
        <v>1</v>
      </c>
      <c r="M258" s="166">
        <v>2</v>
      </c>
      <c r="N258" s="166">
        <v>1</v>
      </c>
      <c r="O258" s="166">
        <v>2</v>
      </c>
      <c r="P258" s="166">
        <v>1</v>
      </c>
      <c r="R258" s="165" t="s">
        <v>3349</v>
      </c>
      <c r="S258" s="81" t="s">
        <v>113</v>
      </c>
      <c r="T258" s="349">
        <v>43035</v>
      </c>
      <c r="U258" s="349">
        <v>43089</v>
      </c>
      <c r="V258" s="81" t="s">
        <v>155</v>
      </c>
      <c r="W258" s="81" t="s">
        <v>114</v>
      </c>
      <c r="Y258" s="81" t="s">
        <v>115</v>
      </c>
      <c r="Z258" s="81" t="s">
        <v>398</v>
      </c>
      <c r="AA258" s="81" t="s">
        <v>117</v>
      </c>
      <c r="AB258" s="81" t="s">
        <v>220</v>
      </c>
      <c r="AC258" s="166">
        <v>4.0000001899898104E-3</v>
      </c>
      <c r="AD258" s="349">
        <v>43136</v>
      </c>
      <c r="AE258" s="81" t="s">
        <v>155</v>
      </c>
      <c r="AG258" s="81" t="s">
        <v>238</v>
      </c>
      <c r="AH258" s="81" t="s">
        <v>118</v>
      </c>
      <c r="AK258" s="166">
        <v>0</v>
      </c>
      <c r="AM258" s="166">
        <v>0</v>
      </c>
      <c r="AO258" s="166">
        <v>2</v>
      </c>
      <c r="AP258" s="166">
        <v>0</v>
      </c>
      <c r="AQ258" s="166">
        <v>0</v>
      </c>
      <c r="AR258" s="166">
        <v>-1</v>
      </c>
      <c r="AS258" s="166">
        <v>0</v>
      </c>
      <c r="AT258" s="166">
        <v>0</v>
      </c>
      <c r="AU258" s="166">
        <v>0</v>
      </c>
      <c r="AV258" s="166">
        <v>2</v>
      </c>
      <c r="AW258" s="166">
        <v>0</v>
      </c>
      <c r="AX258" s="166">
        <v>0</v>
      </c>
      <c r="AY258" s="166">
        <v>-1</v>
      </c>
      <c r="AZ258" s="166">
        <v>0</v>
      </c>
      <c r="BA258" s="166">
        <v>0</v>
      </c>
      <c r="BB258" s="166">
        <v>0</v>
      </c>
      <c r="BC258" s="166">
        <v>0</v>
      </c>
      <c r="BD258" s="166">
        <v>0</v>
      </c>
      <c r="BE258" s="166">
        <v>0</v>
      </c>
      <c r="BF258" s="166">
        <v>0</v>
      </c>
      <c r="BG258" s="166">
        <v>0</v>
      </c>
      <c r="BH258" s="166">
        <v>0</v>
      </c>
      <c r="BI258" s="166">
        <v>0</v>
      </c>
      <c r="BJ258" s="166">
        <v>0</v>
      </c>
      <c r="BK258" s="166">
        <v>0</v>
      </c>
      <c r="BL258" s="166">
        <v>0</v>
      </c>
      <c r="BM258" s="166">
        <v>0</v>
      </c>
      <c r="BN258" s="166">
        <v>0</v>
      </c>
      <c r="BO258" s="166">
        <v>0</v>
      </c>
      <c r="BP258" s="166">
        <v>0</v>
      </c>
      <c r="BQ258" s="81" t="s">
        <v>1758</v>
      </c>
      <c r="BT258" s="81" t="s">
        <v>155</v>
      </c>
      <c r="BZ258" s="81" t="s">
        <v>155</v>
      </c>
      <c r="CA258" s="81" t="s">
        <v>3981</v>
      </c>
      <c r="CC258" s="167">
        <v>0</v>
      </c>
      <c r="CD258" s="167">
        <f>$N258/2</f>
        <v>0.5</v>
      </c>
      <c r="CE258" s="167">
        <f>$N258/2</f>
        <v>0.5</v>
      </c>
      <c r="CF258" s="167">
        <v>0</v>
      </c>
      <c r="CG258" s="167">
        <v>0</v>
      </c>
      <c r="CH258" s="167">
        <v>0</v>
      </c>
      <c r="CI258" s="167">
        <v>0</v>
      </c>
      <c r="CJ258" s="167">
        <v>0</v>
      </c>
      <c r="CK258" s="167">
        <v>0</v>
      </c>
      <c r="CL258" s="167">
        <v>0</v>
      </c>
      <c r="CM258" s="167">
        <v>0</v>
      </c>
      <c r="CN258" s="167">
        <v>0</v>
      </c>
      <c r="CO258" s="167">
        <v>0</v>
      </c>
      <c r="CP258" s="167">
        <v>0</v>
      </c>
      <c r="CQ258" s="167">
        <v>0</v>
      </c>
      <c r="CR258" s="167">
        <v>0</v>
      </c>
      <c r="CS258" s="167">
        <v>0</v>
      </c>
      <c r="CT258" s="167">
        <v>0</v>
      </c>
      <c r="CU258" s="167">
        <v>0</v>
      </c>
      <c r="CV258" s="167">
        <v>0</v>
      </c>
      <c r="CW258" s="167">
        <v>0</v>
      </c>
      <c r="CX258" s="167">
        <f>SUM(CD258:CH258)</f>
        <v>1</v>
      </c>
      <c r="CY258" s="167">
        <f>SUM(CD258:CM258)</f>
        <v>1</v>
      </c>
    </row>
    <row r="259" spans="1:103" ht="12.75" customHeight="1" x14ac:dyDescent="0.2">
      <c r="A259" s="81">
        <v>786</v>
      </c>
      <c r="B259" s="165" t="s">
        <v>1908</v>
      </c>
      <c r="C259" s="165" t="s">
        <v>3350</v>
      </c>
      <c r="E259" s="165" t="s">
        <v>2023</v>
      </c>
      <c r="G259" s="81">
        <v>529441</v>
      </c>
      <c r="H259" s="81">
        <v>171210</v>
      </c>
      <c r="I259" s="165" t="s">
        <v>252</v>
      </c>
      <c r="J259" s="349">
        <v>42979</v>
      </c>
      <c r="L259" s="166">
        <v>0</v>
      </c>
      <c r="M259" s="166">
        <v>4</v>
      </c>
      <c r="N259" s="166">
        <v>4</v>
      </c>
      <c r="O259" s="166">
        <v>4</v>
      </c>
      <c r="P259" s="166">
        <v>4</v>
      </c>
      <c r="R259" s="165" t="s">
        <v>3351</v>
      </c>
      <c r="S259" s="81" t="s">
        <v>113</v>
      </c>
      <c r="T259" s="349">
        <v>42898</v>
      </c>
      <c r="U259" s="349">
        <v>42961</v>
      </c>
      <c r="V259" s="81" t="s">
        <v>155</v>
      </c>
      <c r="W259" s="81" t="s">
        <v>114</v>
      </c>
      <c r="Y259" s="81" t="s">
        <v>115</v>
      </c>
      <c r="Z259" s="81" t="s">
        <v>398</v>
      </c>
      <c r="AA259" s="81" t="s">
        <v>117</v>
      </c>
      <c r="AB259" s="81" t="s">
        <v>311</v>
      </c>
      <c r="AC259" s="166">
        <v>4.1999999433755902E-2</v>
      </c>
      <c r="AD259" s="349">
        <v>42979</v>
      </c>
      <c r="AE259" s="81" t="s">
        <v>155</v>
      </c>
      <c r="AG259" s="81" t="s">
        <v>238</v>
      </c>
      <c r="AH259" s="81" t="s">
        <v>118</v>
      </c>
      <c r="AK259" s="166">
        <v>0</v>
      </c>
      <c r="AM259" s="166">
        <v>0</v>
      </c>
      <c r="AO259" s="166">
        <v>0</v>
      </c>
      <c r="AP259" s="166">
        <v>0</v>
      </c>
      <c r="AQ259" s="166">
        <v>3</v>
      </c>
      <c r="AR259" s="166">
        <v>1</v>
      </c>
      <c r="AS259" s="166">
        <v>0</v>
      </c>
      <c r="AT259" s="166">
        <v>0</v>
      </c>
      <c r="AU259" s="166">
        <v>0</v>
      </c>
      <c r="AV259" s="166">
        <v>0</v>
      </c>
      <c r="AW259" s="166">
        <v>0</v>
      </c>
      <c r="AX259" s="166">
        <v>3</v>
      </c>
      <c r="AY259" s="166">
        <v>1</v>
      </c>
      <c r="AZ259" s="166">
        <v>0</v>
      </c>
      <c r="BA259" s="166">
        <v>0</v>
      </c>
      <c r="BB259" s="166">
        <v>0</v>
      </c>
      <c r="BC259" s="166">
        <v>0</v>
      </c>
      <c r="BD259" s="166">
        <v>0</v>
      </c>
      <c r="BE259" s="166">
        <v>0</v>
      </c>
      <c r="BF259" s="166">
        <v>0</v>
      </c>
      <c r="BG259" s="166">
        <v>0</v>
      </c>
      <c r="BH259" s="166">
        <v>0</v>
      </c>
      <c r="BI259" s="166">
        <v>0</v>
      </c>
      <c r="BJ259" s="166">
        <v>0</v>
      </c>
      <c r="BK259" s="166">
        <v>0</v>
      </c>
      <c r="BL259" s="166">
        <v>0</v>
      </c>
      <c r="BM259" s="166">
        <v>0</v>
      </c>
      <c r="BN259" s="166">
        <v>0</v>
      </c>
      <c r="BO259" s="166">
        <v>0</v>
      </c>
      <c r="BP259" s="166">
        <v>0</v>
      </c>
      <c r="BQ259" s="81" t="s">
        <v>1757</v>
      </c>
      <c r="BZ259" s="81" t="s">
        <v>155</v>
      </c>
      <c r="CA259" s="81" t="s">
        <v>3980</v>
      </c>
      <c r="CC259" s="167">
        <v>0</v>
      </c>
      <c r="CD259" s="167">
        <f>N259</f>
        <v>4</v>
      </c>
      <c r="CE259" s="167">
        <v>0</v>
      </c>
      <c r="CF259" s="167">
        <v>0</v>
      </c>
      <c r="CG259" s="167">
        <v>0</v>
      </c>
      <c r="CH259" s="167">
        <v>0</v>
      </c>
      <c r="CI259" s="167">
        <v>0</v>
      </c>
      <c r="CJ259" s="167">
        <v>0</v>
      </c>
      <c r="CK259" s="167">
        <v>0</v>
      </c>
      <c r="CL259" s="167">
        <v>0</v>
      </c>
      <c r="CM259" s="167">
        <v>0</v>
      </c>
      <c r="CN259" s="167">
        <v>0</v>
      </c>
      <c r="CO259" s="167">
        <v>0</v>
      </c>
      <c r="CP259" s="167">
        <v>0</v>
      </c>
      <c r="CQ259" s="167">
        <v>0</v>
      </c>
      <c r="CR259" s="167">
        <v>0</v>
      </c>
      <c r="CS259" s="167">
        <v>0</v>
      </c>
      <c r="CT259" s="167">
        <v>0</v>
      </c>
      <c r="CU259" s="167">
        <v>0</v>
      </c>
      <c r="CV259" s="167">
        <v>0</v>
      </c>
      <c r="CW259" s="167">
        <v>0</v>
      </c>
      <c r="CX259" s="167">
        <f>SUM(CD259:CH259)</f>
        <v>4</v>
      </c>
      <c r="CY259" s="167">
        <f>SUM(CD259:CM259)</f>
        <v>4</v>
      </c>
    </row>
    <row r="260" spans="1:103" ht="12.75" customHeight="1" x14ac:dyDescent="0.2">
      <c r="A260" s="81">
        <v>976</v>
      </c>
      <c r="B260" s="165" t="s">
        <v>1908</v>
      </c>
      <c r="C260" s="165" t="s">
        <v>1977</v>
      </c>
      <c r="E260" s="165" t="s">
        <v>1978</v>
      </c>
      <c r="G260" s="81">
        <v>527276</v>
      </c>
      <c r="H260" s="81">
        <v>174754</v>
      </c>
      <c r="I260" s="165" t="s">
        <v>255</v>
      </c>
      <c r="J260" s="349">
        <v>43031</v>
      </c>
      <c r="L260" s="166">
        <v>0</v>
      </c>
      <c r="M260" s="166">
        <v>3</v>
      </c>
      <c r="N260" s="166">
        <v>3</v>
      </c>
      <c r="O260" s="166">
        <v>3</v>
      </c>
      <c r="P260" s="166">
        <v>3</v>
      </c>
      <c r="R260" s="165" t="s">
        <v>1979</v>
      </c>
      <c r="S260" s="81" t="s">
        <v>113</v>
      </c>
      <c r="T260" s="349">
        <v>42991</v>
      </c>
      <c r="U260" s="349">
        <v>43186</v>
      </c>
      <c r="V260" s="81" t="s">
        <v>155</v>
      </c>
      <c r="W260" s="81" t="s">
        <v>114</v>
      </c>
      <c r="Y260" s="81" t="s">
        <v>115</v>
      </c>
      <c r="Z260" s="81" t="s">
        <v>116</v>
      </c>
      <c r="AA260" s="81" t="s">
        <v>117</v>
      </c>
      <c r="AB260" s="81" t="s">
        <v>218</v>
      </c>
      <c r="AC260" s="166">
        <v>1.2000000104308101E-2</v>
      </c>
      <c r="AD260" s="349">
        <v>43031</v>
      </c>
      <c r="AE260" s="81" t="s">
        <v>155</v>
      </c>
      <c r="AG260" s="81" t="s">
        <v>238</v>
      </c>
      <c r="AH260" s="81" t="s">
        <v>118</v>
      </c>
      <c r="AK260" s="166">
        <v>0</v>
      </c>
      <c r="AM260" s="166">
        <v>0</v>
      </c>
      <c r="AO260" s="166">
        <v>0</v>
      </c>
      <c r="AP260" s="166">
        <v>2</v>
      </c>
      <c r="AQ260" s="166">
        <v>1</v>
      </c>
      <c r="AR260" s="166">
        <v>0</v>
      </c>
      <c r="AS260" s="166">
        <v>0</v>
      </c>
      <c r="AT260" s="166">
        <v>0</v>
      </c>
      <c r="AU260" s="166">
        <v>0</v>
      </c>
      <c r="AV260" s="166">
        <v>0</v>
      </c>
      <c r="AW260" s="166">
        <v>2</v>
      </c>
      <c r="AX260" s="166">
        <v>1</v>
      </c>
      <c r="AY260" s="166">
        <v>0</v>
      </c>
      <c r="AZ260" s="166">
        <v>0</v>
      </c>
      <c r="BA260" s="166">
        <v>0</v>
      </c>
      <c r="BB260" s="166">
        <v>0</v>
      </c>
      <c r="BC260" s="166">
        <v>0</v>
      </c>
      <c r="BD260" s="166">
        <v>0</v>
      </c>
      <c r="BE260" s="166">
        <v>0</v>
      </c>
      <c r="BF260" s="166">
        <v>0</v>
      </c>
      <c r="BG260" s="166">
        <v>0</v>
      </c>
      <c r="BH260" s="166">
        <v>0</v>
      </c>
      <c r="BI260" s="166">
        <v>0</v>
      </c>
      <c r="BJ260" s="166">
        <v>0</v>
      </c>
      <c r="BK260" s="166">
        <v>0</v>
      </c>
      <c r="BL260" s="166">
        <v>0</v>
      </c>
      <c r="BM260" s="166">
        <v>0</v>
      </c>
      <c r="BN260" s="166">
        <v>0</v>
      </c>
      <c r="BO260" s="166">
        <v>0</v>
      </c>
      <c r="BP260" s="166">
        <v>0</v>
      </c>
      <c r="BQ260" s="81" t="s">
        <v>1757</v>
      </c>
      <c r="BZ260" s="81" t="s">
        <v>155</v>
      </c>
      <c r="CA260" s="81" t="s">
        <v>3977</v>
      </c>
      <c r="CC260" s="167">
        <v>0</v>
      </c>
      <c r="CD260" s="167">
        <f>$N260/2</f>
        <v>1.5</v>
      </c>
      <c r="CE260" s="167">
        <f>$N260/2</f>
        <v>1.5</v>
      </c>
      <c r="CF260" s="167">
        <v>0</v>
      </c>
      <c r="CG260" s="167">
        <v>0</v>
      </c>
      <c r="CH260" s="167">
        <v>0</v>
      </c>
      <c r="CI260" s="167">
        <v>0</v>
      </c>
      <c r="CJ260" s="167">
        <v>0</v>
      </c>
      <c r="CK260" s="167">
        <v>0</v>
      </c>
      <c r="CL260" s="167">
        <v>0</v>
      </c>
      <c r="CM260" s="167">
        <v>0</v>
      </c>
      <c r="CN260" s="167">
        <v>0</v>
      </c>
      <c r="CO260" s="167">
        <v>0</v>
      </c>
      <c r="CP260" s="167">
        <v>0</v>
      </c>
      <c r="CQ260" s="167">
        <v>0</v>
      </c>
      <c r="CR260" s="167">
        <v>0</v>
      </c>
      <c r="CS260" s="167">
        <v>0</v>
      </c>
      <c r="CT260" s="167">
        <v>0</v>
      </c>
      <c r="CU260" s="167">
        <v>0</v>
      </c>
      <c r="CV260" s="167">
        <v>0</v>
      </c>
      <c r="CW260" s="167">
        <v>0</v>
      </c>
      <c r="CX260" s="167">
        <f>SUM(CD260:CH260)</f>
        <v>3</v>
      </c>
      <c r="CY260" s="167">
        <f>SUM(CD260:CM260)</f>
        <v>3</v>
      </c>
    </row>
    <row r="261" spans="1:103" ht="12.75" customHeight="1" x14ac:dyDescent="0.2">
      <c r="A261" s="81">
        <v>1244</v>
      </c>
      <c r="B261" s="165" t="s">
        <v>1908</v>
      </c>
      <c r="C261" s="165" t="s">
        <v>3353</v>
      </c>
      <c r="E261" s="165" t="s">
        <v>3354</v>
      </c>
      <c r="G261" s="81">
        <v>527204</v>
      </c>
      <c r="H261" s="81">
        <v>176540</v>
      </c>
      <c r="I261" s="165" t="s">
        <v>257</v>
      </c>
      <c r="J261" s="349">
        <v>43110</v>
      </c>
      <c r="L261" s="166">
        <v>1</v>
      </c>
      <c r="M261" s="166">
        <v>2</v>
      </c>
      <c r="N261" s="166">
        <v>1</v>
      </c>
      <c r="O261" s="166">
        <v>2</v>
      </c>
      <c r="P261" s="166">
        <v>1</v>
      </c>
      <c r="R261" s="165" t="s">
        <v>3355</v>
      </c>
      <c r="S261" s="81" t="s">
        <v>113</v>
      </c>
      <c r="T261" s="349">
        <v>42844</v>
      </c>
      <c r="U261" s="349">
        <v>42900</v>
      </c>
      <c r="V261" s="81" t="s">
        <v>155</v>
      </c>
      <c r="W261" s="81" t="s">
        <v>114</v>
      </c>
      <c r="Y261" s="81" t="s">
        <v>115</v>
      </c>
      <c r="Z261" s="81" t="s">
        <v>398</v>
      </c>
      <c r="AA261" s="81" t="s">
        <v>117</v>
      </c>
      <c r="AB261" s="81" t="s">
        <v>220</v>
      </c>
      <c r="AC261" s="166">
        <v>2.9999999329447701E-2</v>
      </c>
      <c r="AD261" s="349">
        <v>43110</v>
      </c>
      <c r="AE261" s="81" t="s">
        <v>155</v>
      </c>
      <c r="AG261" s="81" t="s">
        <v>238</v>
      </c>
      <c r="AH261" s="81" t="s">
        <v>118</v>
      </c>
      <c r="AK261" s="166">
        <v>0</v>
      </c>
      <c r="AM261" s="166">
        <v>0</v>
      </c>
      <c r="AO261" s="166">
        <v>0</v>
      </c>
      <c r="AP261" s="166">
        <v>0</v>
      </c>
      <c r="AQ261" s="166">
        <v>0</v>
      </c>
      <c r="AR261" s="166">
        <v>2</v>
      </c>
      <c r="AS261" s="166">
        <v>0</v>
      </c>
      <c r="AT261" s="166">
        <v>-1</v>
      </c>
      <c r="AU261" s="166">
        <v>0</v>
      </c>
      <c r="AV261" s="166">
        <v>0</v>
      </c>
      <c r="AW261" s="166">
        <v>0</v>
      </c>
      <c r="AX261" s="166">
        <v>0</v>
      </c>
      <c r="AY261" s="166">
        <v>0</v>
      </c>
      <c r="AZ261" s="166">
        <v>0</v>
      </c>
      <c r="BA261" s="166">
        <v>0</v>
      </c>
      <c r="BB261" s="166">
        <v>0</v>
      </c>
      <c r="BC261" s="166">
        <v>0</v>
      </c>
      <c r="BD261" s="166">
        <v>0</v>
      </c>
      <c r="BE261" s="166">
        <v>0</v>
      </c>
      <c r="BF261" s="166">
        <v>2</v>
      </c>
      <c r="BG261" s="166">
        <v>0</v>
      </c>
      <c r="BH261" s="166">
        <v>-1</v>
      </c>
      <c r="BI261" s="166">
        <v>0</v>
      </c>
      <c r="BJ261" s="166">
        <v>0</v>
      </c>
      <c r="BK261" s="166">
        <v>0</v>
      </c>
      <c r="BL261" s="166">
        <v>0</v>
      </c>
      <c r="BM261" s="166">
        <v>0</v>
      </c>
      <c r="BN261" s="166">
        <v>0</v>
      </c>
      <c r="BO261" s="166">
        <v>0</v>
      </c>
      <c r="BP261" s="166">
        <v>0</v>
      </c>
      <c r="BQ261" s="81" t="s">
        <v>1757</v>
      </c>
      <c r="BZ261" s="81" t="s">
        <v>155</v>
      </c>
      <c r="CA261" s="81" t="s">
        <v>3981</v>
      </c>
      <c r="CC261" s="167">
        <v>0</v>
      </c>
      <c r="CD261" s="167">
        <f>$N261/2</f>
        <v>0.5</v>
      </c>
      <c r="CE261" s="167">
        <f>$N261/2</f>
        <v>0.5</v>
      </c>
      <c r="CF261" s="167">
        <v>0</v>
      </c>
      <c r="CG261" s="167">
        <v>0</v>
      </c>
      <c r="CH261" s="167">
        <v>0</v>
      </c>
      <c r="CI261" s="167">
        <v>0</v>
      </c>
      <c r="CJ261" s="167">
        <v>0</v>
      </c>
      <c r="CK261" s="167">
        <v>0</v>
      </c>
      <c r="CL261" s="167">
        <v>0</v>
      </c>
      <c r="CM261" s="167">
        <v>0</v>
      </c>
      <c r="CN261" s="167">
        <v>0</v>
      </c>
      <c r="CO261" s="167">
        <v>0</v>
      </c>
      <c r="CP261" s="167">
        <v>0</v>
      </c>
      <c r="CQ261" s="167">
        <v>0</v>
      </c>
      <c r="CR261" s="167">
        <v>0</v>
      </c>
      <c r="CS261" s="167">
        <v>0</v>
      </c>
      <c r="CT261" s="167">
        <v>0</v>
      </c>
      <c r="CU261" s="167">
        <v>0</v>
      </c>
      <c r="CV261" s="167">
        <v>0</v>
      </c>
      <c r="CW261" s="167">
        <v>0</v>
      </c>
      <c r="CX261" s="167">
        <f>SUM(CD261:CH261)</f>
        <v>1</v>
      </c>
      <c r="CY261" s="167">
        <f>SUM(CD261:CM261)</f>
        <v>1</v>
      </c>
    </row>
    <row r="262" spans="1:103" ht="12.75" customHeight="1" x14ac:dyDescent="0.2">
      <c r="A262" s="81">
        <v>1515</v>
      </c>
      <c r="B262" s="165" t="s">
        <v>1908</v>
      </c>
      <c r="C262" s="165" t="s">
        <v>1007</v>
      </c>
      <c r="E262" s="165" t="s">
        <v>1980</v>
      </c>
      <c r="G262" s="81">
        <v>527960</v>
      </c>
      <c r="H262" s="81">
        <v>174047</v>
      </c>
      <c r="I262" s="165" t="s">
        <v>247</v>
      </c>
      <c r="J262" s="349">
        <v>42755</v>
      </c>
      <c r="L262" s="166">
        <v>1</v>
      </c>
      <c r="M262" s="166">
        <v>1</v>
      </c>
      <c r="N262" s="166">
        <v>0</v>
      </c>
      <c r="O262" s="166">
        <v>1</v>
      </c>
      <c r="P262" s="166">
        <v>0</v>
      </c>
      <c r="R262" s="165" t="s">
        <v>1008</v>
      </c>
      <c r="S262" s="81" t="s">
        <v>113</v>
      </c>
      <c r="T262" s="349">
        <v>42506</v>
      </c>
      <c r="U262" s="349">
        <v>42562</v>
      </c>
      <c r="W262" s="81" t="s">
        <v>114</v>
      </c>
      <c r="Y262" s="81" t="s">
        <v>115</v>
      </c>
      <c r="Z262" s="81" t="s">
        <v>116</v>
      </c>
      <c r="AA262" s="81" t="s">
        <v>117</v>
      </c>
      <c r="AB262" s="81" t="s">
        <v>218</v>
      </c>
      <c r="AC262" s="166">
        <v>5.6000001728534698E-2</v>
      </c>
      <c r="AD262" s="349">
        <v>42755</v>
      </c>
      <c r="AG262" s="81" t="s">
        <v>238</v>
      </c>
      <c r="AH262" s="81" t="s">
        <v>118</v>
      </c>
      <c r="AK262" s="166">
        <v>1</v>
      </c>
      <c r="AM262" s="166">
        <v>0</v>
      </c>
      <c r="AO262" s="166">
        <v>0</v>
      </c>
      <c r="AP262" s="166">
        <v>0</v>
      </c>
      <c r="AQ262" s="166">
        <v>0</v>
      </c>
      <c r="AR262" s="166">
        <v>0</v>
      </c>
      <c r="AS262" s="166">
        <v>-1</v>
      </c>
      <c r="AT262" s="166">
        <v>1</v>
      </c>
      <c r="AU262" s="166">
        <v>0</v>
      </c>
      <c r="AV262" s="166">
        <v>0</v>
      </c>
      <c r="AW262" s="166">
        <v>0</v>
      </c>
      <c r="AX262" s="166">
        <v>0</v>
      </c>
      <c r="AY262" s="166">
        <v>0</v>
      </c>
      <c r="AZ262" s="166">
        <v>0</v>
      </c>
      <c r="BA262" s="166">
        <v>0</v>
      </c>
      <c r="BB262" s="166">
        <v>0</v>
      </c>
      <c r="BC262" s="166">
        <v>0</v>
      </c>
      <c r="BD262" s="166">
        <v>0</v>
      </c>
      <c r="BE262" s="166">
        <v>0</v>
      </c>
      <c r="BF262" s="166">
        <v>0</v>
      </c>
      <c r="BG262" s="166">
        <v>-1</v>
      </c>
      <c r="BH262" s="166">
        <v>1</v>
      </c>
      <c r="BI262" s="166">
        <v>0</v>
      </c>
      <c r="BJ262" s="166">
        <v>0</v>
      </c>
      <c r="BK262" s="166">
        <v>0</v>
      </c>
      <c r="BL262" s="166">
        <v>0</v>
      </c>
      <c r="BM262" s="166">
        <v>0</v>
      </c>
      <c r="BN262" s="166">
        <v>0</v>
      </c>
      <c r="BO262" s="166">
        <v>0</v>
      </c>
      <c r="BP262" s="166">
        <v>0</v>
      </c>
      <c r="BQ262" s="81" t="s">
        <v>1757</v>
      </c>
      <c r="BZ262" s="81" t="s">
        <v>155</v>
      </c>
      <c r="CA262" s="81" t="s">
        <v>3976</v>
      </c>
      <c r="CC262" s="167">
        <v>0</v>
      </c>
      <c r="CD262" s="167">
        <f>N262</f>
        <v>0</v>
      </c>
      <c r="CE262" s="167">
        <v>0</v>
      </c>
      <c r="CF262" s="167">
        <v>0</v>
      </c>
      <c r="CG262" s="167">
        <v>0</v>
      </c>
      <c r="CH262" s="167">
        <v>0</v>
      </c>
      <c r="CI262" s="167">
        <v>0</v>
      </c>
      <c r="CJ262" s="167">
        <v>0</v>
      </c>
      <c r="CK262" s="167">
        <v>0</v>
      </c>
      <c r="CL262" s="167">
        <v>0</v>
      </c>
      <c r="CM262" s="167">
        <v>0</v>
      </c>
      <c r="CN262" s="167">
        <v>0</v>
      </c>
      <c r="CO262" s="167">
        <v>0</v>
      </c>
      <c r="CP262" s="167">
        <v>0</v>
      </c>
      <c r="CQ262" s="167">
        <v>0</v>
      </c>
      <c r="CR262" s="167">
        <v>0</v>
      </c>
      <c r="CS262" s="167">
        <v>0</v>
      </c>
      <c r="CT262" s="167">
        <v>0</v>
      </c>
      <c r="CU262" s="167">
        <v>0</v>
      </c>
      <c r="CV262" s="167">
        <v>0</v>
      </c>
      <c r="CW262" s="167">
        <v>0</v>
      </c>
      <c r="CX262" s="167">
        <f>SUM(CD262:CH262)</f>
        <v>0</v>
      </c>
      <c r="CY262" s="167">
        <f>SUM(CD262:CM262)</f>
        <v>0</v>
      </c>
    </row>
    <row r="263" spans="1:103" ht="12.75" customHeight="1" x14ac:dyDescent="0.2">
      <c r="A263" s="81">
        <v>1576</v>
      </c>
      <c r="B263" s="165" t="s">
        <v>1908</v>
      </c>
      <c r="C263" s="165" t="s">
        <v>374</v>
      </c>
      <c r="E263" s="165" t="s">
        <v>3357</v>
      </c>
      <c r="G263" s="81">
        <v>528559</v>
      </c>
      <c r="H263" s="81">
        <v>174195</v>
      </c>
      <c r="I263" s="165" t="s">
        <v>247</v>
      </c>
      <c r="J263" s="349">
        <v>42825</v>
      </c>
      <c r="L263" s="166">
        <v>1</v>
      </c>
      <c r="M263" s="166">
        <v>2</v>
      </c>
      <c r="N263" s="166">
        <v>1</v>
      </c>
      <c r="O263" s="166">
        <v>3</v>
      </c>
      <c r="P263" s="166">
        <v>2</v>
      </c>
      <c r="R263" s="165" t="s">
        <v>381</v>
      </c>
      <c r="S263" s="81" t="s">
        <v>113</v>
      </c>
      <c r="T263" s="349">
        <v>42020</v>
      </c>
      <c r="U263" s="349">
        <v>42115</v>
      </c>
      <c r="W263" s="81" t="s">
        <v>114</v>
      </c>
      <c r="Y263" s="81" t="s">
        <v>115</v>
      </c>
      <c r="Z263" s="81" t="s">
        <v>398</v>
      </c>
      <c r="AA263" s="81" t="s">
        <v>117</v>
      </c>
      <c r="AB263" s="81" t="s">
        <v>220</v>
      </c>
      <c r="AC263" s="166">
        <v>8.0000003799796104E-3</v>
      </c>
      <c r="AD263" s="349">
        <v>42825</v>
      </c>
      <c r="AG263" s="81" t="s">
        <v>238</v>
      </c>
      <c r="AH263" s="81" t="s">
        <v>118</v>
      </c>
      <c r="AK263" s="166">
        <v>0</v>
      </c>
      <c r="AM263" s="166">
        <v>0</v>
      </c>
      <c r="AO263" s="166">
        <v>0</v>
      </c>
      <c r="AP263" s="166">
        <v>1</v>
      </c>
      <c r="AQ263" s="166">
        <v>1</v>
      </c>
      <c r="AR263" s="166">
        <v>0</v>
      </c>
      <c r="AS263" s="166">
        <v>-1</v>
      </c>
      <c r="AT263" s="166">
        <v>0</v>
      </c>
      <c r="AU263" s="166">
        <v>0</v>
      </c>
      <c r="AV263" s="166">
        <v>0</v>
      </c>
      <c r="AW263" s="166">
        <v>1</v>
      </c>
      <c r="AX263" s="166">
        <v>1</v>
      </c>
      <c r="AY263" s="166">
        <v>0</v>
      </c>
      <c r="AZ263" s="166">
        <v>-1</v>
      </c>
      <c r="BA263" s="166">
        <v>0</v>
      </c>
      <c r="BB263" s="166">
        <v>0</v>
      </c>
      <c r="BC263" s="166">
        <v>0</v>
      </c>
      <c r="BD263" s="166">
        <v>0</v>
      </c>
      <c r="BE263" s="166">
        <v>0</v>
      </c>
      <c r="BF263" s="166">
        <v>0</v>
      </c>
      <c r="BG263" s="166">
        <v>0</v>
      </c>
      <c r="BH263" s="166">
        <v>0</v>
      </c>
      <c r="BI263" s="166">
        <v>0</v>
      </c>
      <c r="BJ263" s="166">
        <v>0</v>
      </c>
      <c r="BK263" s="166">
        <v>0</v>
      </c>
      <c r="BL263" s="166">
        <v>0</v>
      </c>
      <c r="BM263" s="166">
        <v>0</v>
      </c>
      <c r="BN263" s="166">
        <v>0</v>
      </c>
      <c r="BO263" s="166">
        <v>0</v>
      </c>
      <c r="BP263" s="166">
        <v>0</v>
      </c>
      <c r="BQ263" s="81" t="s">
        <v>1757</v>
      </c>
      <c r="BZ263" s="81" t="s">
        <v>155</v>
      </c>
      <c r="CA263" s="81" t="s">
        <v>3980</v>
      </c>
      <c r="CC263" s="167">
        <v>0</v>
      </c>
      <c r="CD263" s="167">
        <f>N263</f>
        <v>1</v>
      </c>
      <c r="CE263" s="167">
        <v>0</v>
      </c>
      <c r="CF263" s="167">
        <v>0</v>
      </c>
      <c r="CG263" s="167">
        <v>0</v>
      </c>
      <c r="CH263" s="167">
        <v>0</v>
      </c>
      <c r="CI263" s="167">
        <v>0</v>
      </c>
      <c r="CJ263" s="167">
        <v>0</v>
      </c>
      <c r="CK263" s="167">
        <v>0</v>
      </c>
      <c r="CL263" s="167">
        <v>0</v>
      </c>
      <c r="CM263" s="167">
        <v>0</v>
      </c>
      <c r="CN263" s="167">
        <v>0</v>
      </c>
      <c r="CO263" s="167">
        <v>0</v>
      </c>
      <c r="CP263" s="167">
        <v>0</v>
      </c>
      <c r="CQ263" s="167">
        <v>0</v>
      </c>
      <c r="CR263" s="167">
        <v>0</v>
      </c>
      <c r="CS263" s="167">
        <v>0</v>
      </c>
      <c r="CT263" s="167">
        <v>0</v>
      </c>
      <c r="CU263" s="167">
        <v>0</v>
      </c>
      <c r="CV263" s="167">
        <v>0</v>
      </c>
      <c r="CW263" s="167">
        <v>0</v>
      </c>
      <c r="CX263" s="167">
        <f>SUM(CD263:CH263)</f>
        <v>1</v>
      </c>
      <c r="CY263" s="167">
        <f>SUM(CD263:CM263)</f>
        <v>1</v>
      </c>
    </row>
    <row r="264" spans="1:103" ht="12.75" customHeight="1" x14ac:dyDescent="0.2">
      <c r="A264" s="81">
        <v>1576</v>
      </c>
      <c r="B264" s="165" t="s">
        <v>1908</v>
      </c>
      <c r="C264" s="165" t="s">
        <v>374</v>
      </c>
      <c r="E264" s="165" t="s">
        <v>3357</v>
      </c>
      <c r="G264" s="81">
        <v>528559</v>
      </c>
      <c r="H264" s="81">
        <v>174195</v>
      </c>
      <c r="I264" s="165" t="s">
        <v>247</v>
      </c>
      <c r="J264" s="349">
        <v>42825</v>
      </c>
      <c r="L264" s="166">
        <v>0</v>
      </c>
      <c r="M264" s="166">
        <v>1</v>
      </c>
      <c r="N264" s="166">
        <v>1</v>
      </c>
      <c r="O264" s="166">
        <v>3</v>
      </c>
      <c r="P264" s="166">
        <v>2</v>
      </c>
      <c r="R264" s="165" t="s">
        <v>381</v>
      </c>
      <c r="S264" s="81" t="s">
        <v>113</v>
      </c>
      <c r="T264" s="349">
        <v>42020</v>
      </c>
      <c r="U264" s="349">
        <v>42115</v>
      </c>
      <c r="W264" s="81" t="s">
        <v>114</v>
      </c>
      <c r="Y264" s="81" t="s">
        <v>115</v>
      </c>
      <c r="Z264" s="81" t="s">
        <v>398</v>
      </c>
      <c r="AA264" s="81" t="s">
        <v>117</v>
      </c>
      <c r="AB264" s="81" t="s">
        <v>218</v>
      </c>
      <c r="AC264" s="166">
        <v>8.0000003799796104E-3</v>
      </c>
      <c r="AD264" s="349">
        <v>42825</v>
      </c>
      <c r="AG264" s="81" t="s">
        <v>238</v>
      </c>
      <c r="AH264" s="81" t="s">
        <v>118</v>
      </c>
      <c r="AK264" s="166">
        <v>0</v>
      </c>
      <c r="AM264" s="166">
        <v>0</v>
      </c>
      <c r="AO264" s="166">
        <v>0</v>
      </c>
      <c r="AP264" s="166">
        <v>0</v>
      </c>
      <c r="AQ264" s="166">
        <v>0</v>
      </c>
      <c r="AR264" s="166">
        <v>1</v>
      </c>
      <c r="AS264" s="166">
        <v>0</v>
      </c>
      <c r="AT264" s="166">
        <v>0</v>
      </c>
      <c r="AU264" s="166">
        <v>0</v>
      </c>
      <c r="AV264" s="166">
        <v>0</v>
      </c>
      <c r="AW264" s="166">
        <v>0</v>
      </c>
      <c r="AX264" s="166">
        <v>0</v>
      </c>
      <c r="AY264" s="166">
        <v>1</v>
      </c>
      <c r="AZ264" s="166">
        <v>0</v>
      </c>
      <c r="BA264" s="166">
        <v>0</v>
      </c>
      <c r="BB264" s="166">
        <v>0</v>
      </c>
      <c r="BC264" s="166">
        <v>0</v>
      </c>
      <c r="BD264" s="166">
        <v>0</v>
      </c>
      <c r="BE264" s="166">
        <v>0</v>
      </c>
      <c r="BF264" s="166">
        <v>0</v>
      </c>
      <c r="BG264" s="166">
        <v>0</v>
      </c>
      <c r="BH264" s="166">
        <v>0</v>
      </c>
      <c r="BI264" s="166">
        <v>0</v>
      </c>
      <c r="BJ264" s="166">
        <v>0</v>
      </c>
      <c r="BK264" s="166">
        <v>0</v>
      </c>
      <c r="BL264" s="166">
        <v>0</v>
      </c>
      <c r="BM264" s="166">
        <v>0</v>
      </c>
      <c r="BN264" s="166">
        <v>0</v>
      </c>
      <c r="BO264" s="166">
        <v>0</v>
      </c>
      <c r="BP264" s="166">
        <v>0</v>
      </c>
      <c r="BQ264" s="81" t="s">
        <v>1757</v>
      </c>
      <c r="BZ264" s="81" t="s">
        <v>155</v>
      </c>
      <c r="CA264" s="81" t="s">
        <v>3980</v>
      </c>
      <c r="CC264" s="167">
        <v>0</v>
      </c>
      <c r="CD264" s="167">
        <f>N264</f>
        <v>1</v>
      </c>
      <c r="CE264" s="167">
        <v>0</v>
      </c>
      <c r="CF264" s="167">
        <v>0</v>
      </c>
      <c r="CG264" s="167">
        <v>0</v>
      </c>
      <c r="CH264" s="167">
        <v>0</v>
      </c>
      <c r="CI264" s="167">
        <v>0</v>
      </c>
      <c r="CJ264" s="167">
        <v>0</v>
      </c>
      <c r="CK264" s="167">
        <v>0</v>
      </c>
      <c r="CL264" s="167">
        <v>0</v>
      </c>
      <c r="CM264" s="167">
        <v>0</v>
      </c>
      <c r="CN264" s="167">
        <v>0</v>
      </c>
      <c r="CO264" s="167">
        <v>0</v>
      </c>
      <c r="CP264" s="167">
        <v>0</v>
      </c>
      <c r="CQ264" s="167">
        <v>0</v>
      </c>
      <c r="CR264" s="167">
        <v>0</v>
      </c>
      <c r="CS264" s="167">
        <v>0</v>
      </c>
      <c r="CT264" s="167">
        <v>0</v>
      </c>
      <c r="CU264" s="167">
        <v>0</v>
      </c>
      <c r="CV264" s="167">
        <v>0</v>
      </c>
      <c r="CW264" s="167">
        <v>0</v>
      </c>
      <c r="CX264" s="167">
        <f>SUM(CD264:CH264)</f>
        <v>1</v>
      </c>
      <c r="CY264" s="167">
        <f>SUM(CD264:CM264)</f>
        <v>1</v>
      </c>
    </row>
    <row r="265" spans="1:103" ht="12.75" customHeight="1" x14ac:dyDescent="0.2">
      <c r="A265" s="81">
        <v>1642</v>
      </c>
      <c r="B265" s="165" t="s">
        <v>1908</v>
      </c>
      <c r="C265" s="165" t="s">
        <v>101</v>
      </c>
      <c r="E265" s="165" t="s">
        <v>3358</v>
      </c>
      <c r="G265" s="81">
        <v>529269</v>
      </c>
      <c r="H265" s="81">
        <v>171759</v>
      </c>
      <c r="I265" s="165" t="s">
        <v>252</v>
      </c>
      <c r="J265" s="349">
        <v>42411</v>
      </c>
      <c r="L265" s="166">
        <v>0</v>
      </c>
      <c r="M265" s="166">
        <v>2</v>
      </c>
      <c r="N265" s="166">
        <v>2</v>
      </c>
      <c r="O265" s="166">
        <v>2</v>
      </c>
      <c r="P265" s="166">
        <v>2</v>
      </c>
      <c r="R265" s="165" t="s">
        <v>743</v>
      </c>
      <c r="S265" s="81" t="s">
        <v>113</v>
      </c>
      <c r="T265" s="349">
        <v>41250</v>
      </c>
      <c r="U265" s="349">
        <v>41353</v>
      </c>
      <c r="W265" s="81" t="s">
        <v>114</v>
      </c>
      <c r="Y265" s="81" t="s">
        <v>115</v>
      </c>
      <c r="Z265" s="81" t="s">
        <v>398</v>
      </c>
      <c r="AA265" s="81" t="s">
        <v>117</v>
      </c>
      <c r="AB265" s="81" t="s">
        <v>218</v>
      </c>
      <c r="AC265" s="166">
        <v>7.8000001609325395E-2</v>
      </c>
      <c r="AD265" s="349">
        <v>42411</v>
      </c>
      <c r="AG265" s="81" t="s">
        <v>238</v>
      </c>
      <c r="AH265" s="81" t="s">
        <v>118</v>
      </c>
      <c r="AK265" s="166">
        <v>0</v>
      </c>
      <c r="AM265" s="166">
        <v>0</v>
      </c>
      <c r="AO265" s="166">
        <v>0</v>
      </c>
      <c r="AP265" s="166">
        <v>0</v>
      </c>
      <c r="AQ265" s="166">
        <v>1</v>
      </c>
      <c r="AR265" s="166">
        <v>1</v>
      </c>
      <c r="AS265" s="166">
        <v>0</v>
      </c>
      <c r="AT265" s="166">
        <v>0</v>
      </c>
      <c r="AU265" s="166">
        <v>0</v>
      </c>
      <c r="AV265" s="166">
        <v>0</v>
      </c>
      <c r="AW265" s="166">
        <v>0</v>
      </c>
      <c r="AX265" s="166">
        <v>1</v>
      </c>
      <c r="AY265" s="166">
        <v>0</v>
      </c>
      <c r="AZ265" s="166">
        <v>0</v>
      </c>
      <c r="BA265" s="166">
        <v>0</v>
      </c>
      <c r="BB265" s="166">
        <v>0</v>
      </c>
      <c r="BC265" s="166">
        <v>0</v>
      </c>
      <c r="BD265" s="166">
        <v>0</v>
      </c>
      <c r="BE265" s="166">
        <v>0</v>
      </c>
      <c r="BF265" s="166">
        <v>0</v>
      </c>
      <c r="BG265" s="166">
        <v>0</v>
      </c>
      <c r="BH265" s="166">
        <v>0</v>
      </c>
      <c r="BI265" s="166">
        <v>0</v>
      </c>
      <c r="BJ265" s="166">
        <v>0</v>
      </c>
      <c r="BK265" s="166">
        <v>0</v>
      </c>
      <c r="BL265" s="166">
        <v>0</v>
      </c>
      <c r="BM265" s="166">
        <v>1</v>
      </c>
      <c r="BN265" s="166">
        <v>0</v>
      </c>
      <c r="BO265" s="166">
        <v>0</v>
      </c>
      <c r="BP265" s="166">
        <v>0</v>
      </c>
      <c r="BQ265" s="81" t="s">
        <v>1757</v>
      </c>
      <c r="BZ265" s="81" t="s">
        <v>155</v>
      </c>
      <c r="CA265" s="81" t="s">
        <v>3980</v>
      </c>
      <c r="CC265" s="167">
        <v>0</v>
      </c>
      <c r="CD265" s="167">
        <f>N265</f>
        <v>2</v>
      </c>
      <c r="CE265" s="167">
        <v>0</v>
      </c>
      <c r="CF265" s="167">
        <v>0</v>
      </c>
      <c r="CG265" s="167">
        <v>0</v>
      </c>
      <c r="CH265" s="167">
        <v>0</v>
      </c>
      <c r="CI265" s="167">
        <v>0</v>
      </c>
      <c r="CJ265" s="167">
        <v>0</v>
      </c>
      <c r="CK265" s="167">
        <v>0</v>
      </c>
      <c r="CL265" s="167">
        <v>0</v>
      </c>
      <c r="CM265" s="167">
        <v>0</v>
      </c>
      <c r="CN265" s="167">
        <v>0</v>
      </c>
      <c r="CO265" s="167">
        <v>0</v>
      </c>
      <c r="CP265" s="167">
        <v>0</v>
      </c>
      <c r="CQ265" s="167">
        <v>0</v>
      </c>
      <c r="CR265" s="167">
        <v>0</v>
      </c>
      <c r="CS265" s="167">
        <v>0</v>
      </c>
      <c r="CT265" s="167">
        <v>0</v>
      </c>
      <c r="CU265" s="167">
        <v>0</v>
      </c>
      <c r="CV265" s="167">
        <v>0</v>
      </c>
      <c r="CW265" s="167">
        <v>0</v>
      </c>
      <c r="CX265" s="167">
        <f>SUM(CD265:CH265)</f>
        <v>2</v>
      </c>
      <c r="CY265" s="167">
        <f>SUM(CD265:CM265)</f>
        <v>2</v>
      </c>
    </row>
    <row r="266" spans="1:103" ht="12.75" customHeight="1" x14ac:dyDescent="0.2">
      <c r="A266" s="81">
        <v>1882</v>
      </c>
      <c r="B266" s="165" t="s">
        <v>1908</v>
      </c>
      <c r="C266" s="165" t="s">
        <v>544</v>
      </c>
      <c r="E266" s="165" t="s">
        <v>1981</v>
      </c>
      <c r="G266" s="81">
        <v>525371</v>
      </c>
      <c r="H266" s="81">
        <v>174659</v>
      </c>
      <c r="I266" s="165" t="s">
        <v>258</v>
      </c>
      <c r="J266" s="349">
        <v>42825</v>
      </c>
      <c r="L266" s="166">
        <v>0</v>
      </c>
      <c r="M266" s="166">
        <v>1</v>
      </c>
      <c r="N266" s="166">
        <v>1</v>
      </c>
      <c r="O266" s="166">
        <v>1</v>
      </c>
      <c r="P266" s="166">
        <v>1</v>
      </c>
      <c r="R266" s="165" t="s">
        <v>910</v>
      </c>
      <c r="S266" s="81" t="s">
        <v>113</v>
      </c>
      <c r="T266" s="349">
        <v>42130</v>
      </c>
      <c r="U266" s="349">
        <v>42319</v>
      </c>
      <c r="W266" s="81" t="s">
        <v>114</v>
      </c>
      <c r="Y266" s="81" t="s">
        <v>115</v>
      </c>
      <c r="Z266" s="81" t="s">
        <v>116</v>
      </c>
      <c r="AA266" s="81" t="s">
        <v>117</v>
      </c>
      <c r="AB266" s="81" t="s">
        <v>218</v>
      </c>
      <c r="AC266" s="166">
        <v>4.0000001899898104E-3</v>
      </c>
      <c r="AD266" s="349">
        <v>42825</v>
      </c>
      <c r="AG266" s="81" t="s">
        <v>238</v>
      </c>
      <c r="AH266" s="81" t="s">
        <v>118</v>
      </c>
      <c r="AK266" s="166">
        <v>0</v>
      </c>
      <c r="AM266" s="166">
        <v>0</v>
      </c>
      <c r="AO266" s="166">
        <v>0</v>
      </c>
      <c r="AP266" s="166">
        <v>0</v>
      </c>
      <c r="AQ266" s="166">
        <v>0</v>
      </c>
      <c r="AR266" s="166">
        <v>1</v>
      </c>
      <c r="AS266" s="166">
        <v>0</v>
      </c>
      <c r="AT266" s="166">
        <v>0</v>
      </c>
      <c r="AU266" s="166">
        <v>0</v>
      </c>
      <c r="AV266" s="166">
        <v>0</v>
      </c>
      <c r="AW266" s="166">
        <v>0</v>
      </c>
      <c r="AX266" s="166">
        <v>0</v>
      </c>
      <c r="AY266" s="166">
        <v>1</v>
      </c>
      <c r="AZ266" s="166">
        <v>0</v>
      </c>
      <c r="BA266" s="166">
        <v>0</v>
      </c>
      <c r="BB266" s="166">
        <v>0</v>
      </c>
      <c r="BC266" s="166">
        <v>0</v>
      </c>
      <c r="BD266" s="166">
        <v>0</v>
      </c>
      <c r="BE266" s="166">
        <v>0</v>
      </c>
      <c r="BF266" s="166">
        <v>0</v>
      </c>
      <c r="BG266" s="166">
        <v>0</v>
      </c>
      <c r="BH266" s="166">
        <v>0</v>
      </c>
      <c r="BI266" s="166">
        <v>0</v>
      </c>
      <c r="BJ266" s="166">
        <v>0</v>
      </c>
      <c r="BK266" s="166">
        <v>0</v>
      </c>
      <c r="BL266" s="166">
        <v>0</v>
      </c>
      <c r="BM266" s="166">
        <v>0</v>
      </c>
      <c r="BN266" s="166">
        <v>0</v>
      </c>
      <c r="BO266" s="166">
        <v>0</v>
      </c>
      <c r="BP266" s="166">
        <v>0</v>
      </c>
      <c r="BQ266" s="81" t="s">
        <v>1758</v>
      </c>
      <c r="BR266" s="81" t="s">
        <v>202</v>
      </c>
      <c r="BT266" s="81" t="s">
        <v>155</v>
      </c>
      <c r="BZ266" s="81" t="s">
        <v>155</v>
      </c>
      <c r="CA266" s="81" t="s">
        <v>3976</v>
      </c>
      <c r="CC266" s="167">
        <v>0</v>
      </c>
      <c r="CD266" s="167">
        <f>N266</f>
        <v>1</v>
      </c>
      <c r="CE266" s="167">
        <v>0</v>
      </c>
      <c r="CF266" s="167">
        <v>0</v>
      </c>
      <c r="CG266" s="167">
        <v>0</v>
      </c>
      <c r="CH266" s="167">
        <v>0</v>
      </c>
      <c r="CI266" s="167">
        <v>0</v>
      </c>
      <c r="CJ266" s="167">
        <v>0</v>
      </c>
      <c r="CK266" s="167">
        <v>0</v>
      </c>
      <c r="CL266" s="167">
        <v>0</v>
      </c>
      <c r="CM266" s="167">
        <v>0</v>
      </c>
      <c r="CN266" s="167">
        <v>0</v>
      </c>
      <c r="CO266" s="167">
        <v>0</v>
      </c>
      <c r="CP266" s="167">
        <v>0</v>
      </c>
      <c r="CQ266" s="167">
        <v>0</v>
      </c>
      <c r="CR266" s="167">
        <v>0</v>
      </c>
      <c r="CS266" s="167">
        <v>0</v>
      </c>
      <c r="CT266" s="167">
        <v>0</v>
      </c>
      <c r="CU266" s="167">
        <v>0</v>
      </c>
      <c r="CV266" s="167">
        <v>0</v>
      </c>
      <c r="CW266" s="167">
        <v>0</v>
      </c>
      <c r="CX266" s="167">
        <f>SUM(CD266:CH266)</f>
        <v>1</v>
      </c>
      <c r="CY266" s="167">
        <f>SUM(CD266:CM266)</f>
        <v>1</v>
      </c>
    </row>
    <row r="267" spans="1:103" ht="12.75" customHeight="1" x14ac:dyDescent="0.2">
      <c r="A267" s="81">
        <v>1924</v>
      </c>
      <c r="B267" s="165" t="s">
        <v>1908</v>
      </c>
      <c r="C267" s="165" t="s">
        <v>1029</v>
      </c>
      <c r="E267" s="165" t="s">
        <v>1987</v>
      </c>
      <c r="G267" s="81">
        <v>521176</v>
      </c>
      <c r="H267" s="81">
        <v>174253</v>
      </c>
      <c r="I267" s="165" t="s">
        <v>877</v>
      </c>
      <c r="J267" s="349">
        <v>42825</v>
      </c>
      <c r="L267" s="166">
        <v>1</v>
      </c>
      <c r="M267" s="166">
        <v>1</v>
      </c>
      <c r="N267" s="166">
        <v>0</v>
      </c>
      <c r="O267" s="166">
        <v>1</v>
      </c>
      <c r="P267" s="166">
        <v>0</v>
      </c>
      <c r="R267" s="165" t="s">
        <v>1030</v>
      </c>
      <c r="S267" s="81" t="s">
        <v>113</v>
      </c>
      <c r="T267" s="349">
        <v>42557</v>
      </c>
      <c r="U267" s="349">
        <v>42613</v>
      </c>
      <c r="W267" s="81" t="s">
        <v>114</v>
      </c>
      <c r="Y267" s="81" t="s">
        <v>115</v>
      </c>
      <c r="Z267" s="81" t="s">
        <v>116</v>
      </c>
      <c r="AA267" s="81" t="s">
        <v>117</v>
      </c>
      <c r="AB267" s="81" t="s">
        <v>218</v>
      </c>
      <c r="AC267" s="166">
        <v>0.123000003397465</v>
      </c>
      <c r="AD267" s="349">
        <v>42825</v>
      </c>
      <c r="AG267" s="81" t="s">
        <v>238</v>
      </c>
      <c r="AH267" s="81" t="s">
        <v>118</v>
      </c>
      <c r="AK267" s="166">
        <v>0</v>
      </c>
      <c r="AM267" s="166">
        <v>0</v>
      </c>
      <c r="AO267" s="166">
        <v>0</v>
      </c>
      <c r="AP267" s="166">
        <v>0</v>
      </c>
      <c r="AQ267" s="166">
        <v>0</v>
      </c>
      <c r="AR267" s="166">
        <v>0</v>
      </c>
      <c r="AS267" s="166">
        <v>-1</v>
      </c>
      <c r="AT267" s="166">
        <v>1</v>
      </c>
      <c r="AU267" s="166">
        <v>0</v>
      </c>
      <c r="AV267" s="166">
        <v>0</v>
      </c>
      <c r="AW267" s="166">
        <v>0</v>
      </c>
      <c r="AX267" s="166">
        <v>0</v>
      </c>
      <c r="AY267" s="166">
        <v>0</v>
      </c>
      <c r="AZ267" s="166">
        <v>0</v>
      </c>
      <c r="BA267" s="166">
        <v>0</v>
      </c>
      <c r="BB267" s="166">
        <v>0</v>
      </c>
      <c r="BC267" s="166">
        <v>0</v>
      </c>
      <c r="BD267" s="166">
        <v>0</v>
      </c>
      <c r="BE267" s="166">
        <v>0</v>
      </c>
      <c r="BF267" s="166">
        <v>0</v>
      </c>
      <c r="BG267" s="166">
        <v>-1</v>
      </c>
      <c r="BH267" s="166">
        <v>1</v>
      </c>
      <c r="BI267" s="166">
        <v>0</v>
      </c>
      <c r="BJ267" s="166">
        <v>0</v>
      </c>
      <c r="BK267" s="166">
        <v>0</v>
      </c>
      <c r="BL267" s="166">
        <v>0</v>
      </c>
      <c r="BM267" s="166">
        <v>0</v>
      </c>
      <c r="BN267" s="166">
        <v>0</v>
      </c>
      <c r="BO267" s="166">
        <v>0</v>
      </c>
      <c r="BP267" s="166">
        <v>0</v>
      </c>
      <c r="BQ267" s="81" t="s">
        <v>1758</v>
      </c>
      <c r="BZ267" s="81" t="s">
        <v>155</v>
      </c>
      <c r="CA267" s="81" t="s">
        <v>3976</v>
      </c>
      <c r="CC267" s="167">
        <v>0</v>
      </c>
      <c r="CD267" s="167">
        <f>N267</f>
        <v>0</v>
      </c>
      <c r="CE267" s="167">
        <v>0</v>
      </c>
      <c r="CF267" s="167">
        <v>0</v>
      </c>
      <c r="CG267" s="167">
        <v>0</v>
      </c>
      <c r="CH267" s="167">
        <v>0</v>
      </c>
      <c r="CI267" s="167">
        <v>0</v>
      </c>
      <c r="CJ267" s="167">
        <v>0</v>
      </c>
      <c r="CK267" s="167">
        <v>0</v>
      </c>
      <c r="CL267" s="167">
        <v>0</v>
      </c>
      <c r="CM267" s="167">
        <v>0</v>
      </c>
      <c r="CN267" s="167">
        <v>0</v>
      </c>
      <c r="CO267" s="167">
        <v>0</v>
      </c>
      <c r="CP267" s="167">
        <v>0</v>
      </c>
      <c r="CQ267" s="167">
        <v>0</v>
      </c>
      <c r="CR267" s="167">
        <v>0</v>
      </c>
      <c r="CS267" s="167">
        <v>0</v>
      </c>
      <c r="CT267" s="167">
        <v>0</v>
      </c>
      <c r="CU267" s="167">
        <v>0</v>
      </c>
      <c r="CV267" s="167">
        <v>0</v>
      </c>
      <c r="CW267" s="167">
        <v>0</v>
      </c>
      <c r="CX267" s="167">
        <f>SUM(CD267:CH267)</f>
        <v>0</v>
      </c>
      <c r="CY267" s="167">
        <f>SUM(CD267:CM267)</f>
        <v>0</v>
      </c>
    </row>
    <row r="268" spans="1:103" ht="12.75" customHeight="1" x14ac:dyDescent="0.2">
      <c r="A268" s="81">
        <v>1952</v>
      </c>
      <c r="B268" s="165" t="s">
        <v>1908</v>
      </c>
      <c r="C268" s="165" t="s">
        <v>75</v>
      </c>
      <c r="E268" s="165" t="s">
        <v>1959</v>
      </c>
      <c r="G268" s="81">
        <v>528781</v>
      </c>
      <c r="H268" s="81">
        <v>177000</v>
      </c>
      <c r="I268" s="165" t="s">
        <v>240</v>
      </c>
      <c r="J268" s="349">
        <v>42907</v>
      </c>
      <c r="L268" s="166">
        <v>0</v>
      </c>
      <c r="M268" s="166">
        <v>20</v>
      </c>
      <c r="N268" s="166">
        <v>20</v>
      </c>
      <c r="O268" s="166">
        <v>20</v>
      </c>
      <c r="P268" s="166">
        <v>20</v>
      </c>
      <c r="Q268" s="81" t="s">
        <v>155</v>
      </c>
      <c r="R268" s="165" t="s">
        <v>748</v>
      </c>
      <c r="S268" s="81" t="s">
        <v>104</v>
      </c>
      <c r="T268" s="349">
        <v>41701</v>
      </c>
      <c r="U268" s="349">
        <v>41940</v>
      </c>
      <c r="W268" s="81" t="s">
        <v>114</v>
      </c>
      <c r="Y268" s="81" t="s">
        <v>115</v>
      </c>
      <c r="Z268" s="81" t="s">
        <v>116</v>
      </c>
      <c r="AA268" s="81" t="s">
        <v>116</v>
      </c>
      <c r="AB268" s="81" t="s">
        <v>117</v>
      </c>
      <c r="AC268" s="166">
        <v>0.17100000381469699</v>
      </c>
      <c r="AD268" s="349">
        <v>42907</v>
      </c>
      <c r="AE268" s="81" t="s">
        <v>155</v>
      </c>
      <c r="AG268" s="81" t="s">
        <v>238</v>
      </c>
      <c r="AH268" s="81" t="s">
        <v>118</v>
      </c>
      <c r="AK268" s="166">
        <v>20</v>
      </c>
      <c r="AM268" s="166">
        <v>2</v>
      </c>
      <c r="AO268" s="166">
        <v>0</v>
      </c>
      <c r="AP268" s="166">
        <v>4</v>
      </c>
      <c r="AQ268" s="166">
        <v>16</v>
      </c>
      <c r="AR268" s="166">
        <v>0</v>
      </c>
      <c r="AS268" s="166">
        <v>0</v>
      </c>
      <c r="AT268" s="166">
        <v>0</v>
      </c>
      <c r="AU268" s="166">
        <v>0</v>
      </c>
      <c r="AV268" s="166">
        <v>0</v>
      </c>
      <c r="AW268" s="166">
        <v>4</v>
      </c>
      <c r="AX268" s="166">
        <v>16</v>
      </c>
      <c r="AY268" s="166">
        <v>0</v>
      </c>
      <c r="AZ268" s="166">
        <v>0</v>
      </c>
      <c r="BA268" s="166">
        <v>0</v>
      </c>
      <c r="BB268" s="166">
        <v>0</v>
      </c>
      <c r="BC268" s="166">
        <v>0</v>
      </c>
      <c r="BD268" s="166">
        <v>0</v>
      </c>
      <c r="BE268" s="166">
        <v>0</v>
      </c>
      <c r="BF268" s="166">
        <v>0</v>
      </c>
      <c r="BG268" s="166">
        <v>0</v>
      </c>
      <c r="BH268" s="166">
        <v>0</v>
      </c>
      <c r="BI268" s="166">
        <v>0</v>
      </c>
      <c r="BJ268" s="166">
        <v>0</v>
      </c>
      <c r="BK268" s="166">
        <v>0</v>
      </c>
      <c r="BL268" s="166">
        <v>0</v>
      </c>
      <c r="BM268" s="166">
        <v>0</v>
      </c>
      <c r="BN268" s="166">
        <v>0</v>
      </c>
      <c r="BO268" s="166">
        <v>0</v>
      </c>
      <c r="BP268" s="166">
        <v>0</v>
      </c>
      <c r="BQ268" s="81" t="s">
        <v>1759</v>
      </c>
      <c r="BS268" s="81" t="s">
        <v>155</v>
      </c>
      <c r="BZ268" s="81" t="s">
        <v>155</v>
      </c>
      <c r="CA268" s="81" t="s">
        <v>3935</v>
      </c>
      <c r="CC268" s="167">
        <v>0</v>
      </c>
      <c r="CD268" s="167">
        <v>0</v>
      </c>
      <c r="CE268" s="167">
        <f>$N268/4</f>
        <v>5</v>
      </c>
      <c r="CF268" s="167">
        <f>$N268/4</f>
        <v>5</v>
      </c>
      <c r="CG268" s="167">
        <f>$N268/4</f>
        <v>5</v>
      </c>
      <c r="CH268" s="167">
        <f>$N268/4</f>
        <v>5</v>
      </c>
      <c r="CI268" s="167">
        <v>0</v>
      </c>
      <c r="CJ268" s="167">
        <v>0</v>
      </c>
      <c r="CK268" s="167">
        <v>0</v>
      </c>
      <c r="CL268" s="167">
        <v>0</v>
      </c>
      <c r="CM268" s="167">
        <v>0</v>
      </c>
      <c r="CN268" s="167">
        <v>0</v>
      </c>
      <c r="CO268" s="167">
        <v>0</v>
      </c>
      <c r="CP268" s="167">
        <v>0</v>
      </c>
      <c r="CQ268" s="167">
        <v>0</v>
      </c>
      <c r="CR268" s="167">
        <v>0</v>
      </c>
      <c r="CS268" s="167">
        <v>0</v>
      </c>
      <c r="CT268" s="167">
        <v>0</v>
      </c>
      <c r="CU268" s="167">
        <v>0</v>
      </c>
      <c r="CV268" s="167">
        <v>0</v>
      </c>
      <c r="CW268" s="167">
        <v>0</v>
      </c>
      <c r="CX268" s="167">
        <f>SUM(CD268:CH268)</f>
        <v>20</v>
      </c>
      <c r="CY268" s="167">
        <f>SUM(CD268:CM268)</f>
        <v>20</v>
      </c>
    </row>
    <row r="269" spans="1:103" ht="12.75" customHeight="1" x14ac:dyDescent="0.2">
      <c r="A269" s="81">
        <v>1973</v>
      </c>
      <c r="B269" s="165" t="s">
        <v>1908</v>
      </c>
      <c r="C269" s="165" t="s">
        <v>1278</v>
      </c>
      <c r="E269" s="165" t="s">
        <v>1988</v>
      </c>
      <c r="G269" s="81">
        <v>528573</v>
      </c>
      <c r="H269" s="81">
        <v>172812</v>
      </c>
      <c r="I269" s="165" t="s">
        <v>248</v>
      </c>
      <c r="J269" s="349">
        <v>42814</v>
      </c>
      <c r="L269" s="166">
        <v>0</v>
      </c>
      <c r="M269" s="166">
        <v>1</v>
      </c>
      <c r="N269" s="166">
        <v>1</v>
      </c>
      <c r="O269" s="166">
        <v>1</v>
      </c>
      <c r="P269" s="166">
        <v>1</v>
      </c>
      <c r="R269" s="165" t="s">
        <v>1279</v>
      </c>
      <c r="S269" s="81" t="s">
        <v>113</v>
      </c>
      <c r="T269" s="349">
        <v>42517</v>
      </c>
      <c r="U269" s="349">
        <v>42573</v>
      </c>
      <c r="W269" s="81" t="s">
        <v>114</v>
      </c>
      <c r="Y269" s="81" t="s">
        <v>397</v>
      </c>
      <c r="Z269" s="81" t="s">
        <v>116</v>
      </c>
      <c r="AA269" s="81" t="s">
        <v>117</v>
      </c>
      <c r="AB269" s="81" t="s">
        <v>218</v>
      </c>
      <c r="AC269" s="166">
        <v>1.7000000923872001E-2</v>
      </c>
      <c r="AD269" s="349">
        <v>42814</v>
      </c>
      <c r="AG269" s="81" t="s">
        <v>238</v>
      </c>
      <c r="AH269" s="81" t="s">
        <v>118</v>
      </c>
      <c r="AK269" s="166">
        <v>1</v>
      </c>
      <c r="AM269" s="166">
        <v>0</v>
      </c>
      <c r="AO269" s="166">
        <v>0</v>
      </c>
      <c r="AP269" s="166">
        <v>0</v>
      </c>
      <c r="AQ269" s="166">
        <v>0</v>
      </c>
      <c r="AR269" s="166">
        <v>1</v>
      </c>
      <c r="AS269" s="166">
        <v>0</v>
      </c>
      <c r="AT269" s="166">
        <v>0</v>
      </c>
      <c r="AU269" s="166">
        <v>0</v>
      </c>
      <c r="AV269" s="166">
        <v>0</v>
      </c>
      <c r="AW269" s="166">
        <v>0</v>
      </c>
      <c r="AX269" s="166">
        <v>0</v>
      </c>
      <c r="AY269" s="166">
        <v>0</v>
      </c>
      <c r="AZ269" s="166">
        <v>0</v>
      </c>
      <c r="BA269" s="166">
        <v>0</v>
      </c>
      <c r="BB269" s="166">
        <v>0</v>
      </c>
      <c r="BC269" s="166">
        <v>0</v>
      </c>
      <c r="BD269" s="166">
        <v>0</v>
      </c>
      <c r="BE269" s="166">
        <v>0</v>
      </c>
      <c r="BF269" s="166">
        <v>1</v>
      </c>
      <c r="BG269" s="166">
        <v>0</v>
      </c>
      <c r="BH269" s="166">
        <v>0</v>
      </c>
      <c r="BI269" s="166">
        <v>0</v>
      </c>
      <c r="BJ269" s="166">
        <v>0</v>
      </c>
      <c r="BK269" s="166">
        <v>0</v>
      </c>
      <c r="BL269" s="166">
        <v>0</v>
      </c>
      <c r="BM269" s="166">
        <v>0</v>
      </c>
      <c r="BN269" s="166">
        <v>0</v>
      </c>
      <c r="BO269" s="166">
        <v>0</v>
      </c>
      <c r="BP269" s="166">
        <v>0</v>
      </c>
      <c r="BQ269" s="81" t="s">
        <v>1757</v>
      </c>
      <c r="BZ269" s="81" t="s">
        <v>155</v>
      </c>
      <c r="CA269" s="81" t="s">
        <v>3976</v>
      </c>
      <c r="CC269" s="167">
        <v>0</v>
      </c>
      <c r="CD269" s="167">
        <f>N269</f>
        <v>1</v>
      </c>
      <c r="CE269" s="167">
        <v>0</v>
      </c>
      <c r="CF269" s="167">
        <v>0</v>
      </c>
      <c r="CG269" s="167">
        <v>0</v>
      </c>
      <c r="CH269" s="167">
        <v>0</v>
      </c>
      <c r="CI269" s="167">
        <v>0</v>
      </c>
      <c r="CJ269" s="167">
        <v>0</v>
      </c>
      <c r="CK269" s="167">
        <v>0</v>
      </c>
      <c r="CL269" s="167">
        <v>0</v>
      </c>
      <c r="CM269" s="167">
        <v>0</v>
      </c>
      <c r="CN269" s="167">
        <v>0</v>
      </c>
      <c r="CO269" s="167">
        <v>0</v>
      </c>
      <c r="CP269" s="167">
        <v>0</v>
      </c>
      <c r="CQ269" s="167">
        <v>0</v>
      </c>
      <c r="CR269" s="167">
        <v>0</v>
      </c>
      <c r="CS269" s="167">
        <v>0</v>
      </c>
      <c r="CT269" s="167">
        <v>0</v>
      </c>
      <c r="CU269" s="167">
        <v>0</v>
      </c>
      <c r="CV269" s="167">
        <v>0</v>
      </c>
      <c r="CW269" s="167">
        <v>0</v>
      </c>
      <c r="CX269" s="167">
        <f>SUM(CD269:CH269)</f>
        <v>1</v>
      </c>
      <c r="CY269" s="167">
        <f>SUM(CD269:CM269)</f>
        <v>1</v>
      </c>
    </row>
    <row r="270" spans="1:103" ht="12.75" customHeight="1" x14ac:dyDescent="0.2">
      <c r="A270" s="81">
        <v>2144</v>
      </c>
      <c r="B270" s="165" t="s">
        <v>1908</v>
      </c>
      <c r="C270" s="165" t="s">
        <v>1989</v>
      </c>
      <c r="E270" s="165" t="s">
        <v>1990</v>
      </c>
      <c r="G270" s="81">
        <v>527982</v>
      </c>
      <c r="H270" s="81">
        <v>172413</v>
      </c>
      <c r="I270" s="165" t="s">
        <v>254</v>
      </c>
      <c r="J270" s="349">
        <v>43190</v>
      </c>
      <c r="L270" s="166">
        <v>0</v>
      </c>
      <c r="M270" s="166">
        <v>1</v>
      </c>
      <c r="N270" s="166">
        <v>1</v>
      </c>
      <c r="O270" s="166">
        <v>1</v>
      </c>
      <c r="P270" s="166">
        <v>1</v>
      </c>
      <c r="R270" s="165" t="s">
        <v>1991</v>
      </c>
      <c r="S270" s="81" t="s">
        <v>113</v>
      </c>
      <c r="T270" s="349">
        <v>42829</v>
      </c>
      <c r="U270" s="349">
        <v>42978</v>
      </c>
      <c r="V270" s="81" t="s">
        <v>155</v>
      </c>
      <c r="W270" s="81" t="s">
        <v>114</v>
      </c>
      <c r="Y270" s="81" t="s">
        <v>115</v>
      </c>
      <c r="Z270" s="81" t="s">
        <v>116</v>
      </c>
      <c r="AA270" s="81" t="s">
        <v>117</v>
      </c>
      <c r="AB270" s="81" t="s">
        <v>218</v>
      </c>
      <c r="AC270" s="166">
        <v>1.7000000923872001E-2</v>
      </c>
      <c r="AD270" s="349">
        <v>43190</v>
      </c>
      <c r="AE270" s="81" t="s">
        <v>155</v>
      </c>
      <c r="AG270" s="81" t="s">
        <v>238</v>
      </c>
      <c r="AH270" s="81" t="s">
        <v>118</v>
      </c>
      <c r="AK270" s="166">
        <v>0</v>
      </c>
      <c r="AM270" s="166">
        <v>0</v>
      </c>
      <c r="AO270" s="166">
        <v>0</v>
      </c>
      <c r="AP270" s="166">
        <v>0</v>
      </c>
      <c r="AQ270" s="166">
        <v>1</v>
      </c>
      <c r="AR270" s="166">
        <v>0</v>
      </c>
      <c r="AS270" s="166">
        <v>0</v>
      </c>
      <c r="AT270" s="166">
        <v>0</v>
      </c>
      <c r="AU270" s="166">
        <v>0</v>
      </c>
      <c r="AV270" s="166">
        <v>0</v>
      </c>
      <c r="AW270" s="166">
        <v>0</v>
      </c>
      <c r="AX270" s="166">
        <v>0</v>
      </c>
      <c r="AY270" s="166">
        <v>0</v>
      </c>
      <c r="AZ270" s="166">
        <v>0</v>
      </c>
      <c r="BA270" s="166">
        <v>0</v>
      </c>
      <c r="BB270" s="166">
        <v>0</v>
      </c>
      <c r="BC270" s="166">
        <v>0</v>
      </c>
      <c r="BD270" s="166">
        <v>0</v>
      </c>
      <c r="BE270" s="166">
        <v>1</v>
      </c>
      <c r="BF270" s="166">
        <v>0</v>
      </c>
      <c r="BG270" s="166">
        <v>0</v>
      </c>
      <c r="BH270" s="166">
        <v>0</v>
      </c>
      <c r="BI270" s="166">
        <v>0</v>
      </c>
      <c r="BJ270" s="166">
        <v>0</v>
      </c>
      <c r="BK270" s="166">
        <v>0</v>
      </c>
      <c r="BL270" s="166">
        <v>0</v>
      </c>
      <c r="BM270" s="166">
        <v>0</v>
      </c>
      <c r="BN270" s="166">
        <v>0</v>
      </c>
      <c r="BO270" s="166">
        <v>0</v>
      </c>
      <c r="BP270" s="166">
        <v>0</v>
      </c>
      <c r="BQ270" s="81" t="s">
        <v>1757</v>
      </c>
      <c r="BZ270" s="81" t="s">
        <v>155</v>
      </c>
      <c r="CA270" s="81" t="s">
        <v>3977</v>
      </c>
      <c r="CC270" s="167">
        <v>0</v>
      </c>
      <c r="CD270" s="167">
        <f>$N270/2</f>
        <v>0.5</v>
      </c>
      <c r="CE270" s="167">
        <f>$N270/2</f>
        <v>0.5</v>
      </c>
      <c r="CF270" s="167">
        <v>0</v>
      </c>
      <c r="CG270" s="167">
        <v>0</v>
      </c>
      <c r="CH270" s="167">
        <v>0</v>
      </c>
      <c r="CI270" s="167">
        <v>0</v>
      </c>
      <c r="CJ270" s="167">
        <v>0</v>
      </c>
      <c r="CK270" s="167">
        <v>0</v>
      </c>
      <c r="CL270" s="167">
        <v>0</v>
      </c>
      <c r="CM270" s="167">
        <v>0</v>
      </c>
      <c r="CN270" s="167">
        <v>0</v>
      </c>
      <c r="CO270" s="167">
        <v>0</v>
      </c>
      <c r="CP270" s="167">
        <v>0</v>
      </c>
      <c r="CQ270" s="167">
        <v>0</v>
      </c>
      <c r="CR270" s="167">
        <v>0</v>
      </c>
      <c r="CS270" s="167">
        <v>0</v>
      </c>
      <c r="CT270" s="167">
        <v>0</v>
      </c>
      <c r="CU270" s="167">
        <v>0</v>
      </c>
      <c r="CV270" s="167">
        <v>0</v>
      </c>
      <c r="CW270" s="167">
        <v>0</v>
      </c>
      <c r="CX270" s="167">
        <f>SUM(CD270:CH270)</f>
        <v>1</v>
      </c>
      <c r="CY270" s="167">
        <f>SUM(CD270:CM270)</f>
        <v>1</v>
      </c>
    </row>
    <row r="271" spans="1:103" ht="12.75" customHeight="1" x14ac:dyDescent="0.2">
      <c r="A271" s="81">
        <v>2154</v>
      </c>
      <c r="B271" s="165" t="s">
        <v>1908</v>
      </c>
      <c r="C271" s="165" t="s">
        <v>271</v>
      </c>
      <c r="D271" s="165" t="s">
        <v>272</v>
      </c>
      <c r="E271" s="165" t="s">
        <v>3364</v>
      </c>
      <c r="G271" s="81">
        <v>527691</v>
      </c>
      <c r="H271" s="81">
        <v>171695</v>
      </c>
      <c r="I271" s="165" t="s">
        <v>242</v>
      </c>
      <c r="J271" s="349">
        <v>42989</v>
      </c>
      <c r="L271" s="166">
        <v>0</v>
      </c>
      <c r="M271" s="166">
        <v>4</v>
      </c>
      <c r="N271" s="166">
        <v>4</v>
      </c>
      <c r="O271" s="166">
        <v>4</v>
      </c>
      <c r="P271" s="166">
        <v>4</v>
      </c>
      <c r="R271" s="165" t="s">
        <v>273</v>
      </c>
      <c r="S271" s="81" t="s">
        <v>113</v>
      </c>
      <c r="T271" s="349">
        <v>41765</v>
      </c>
      <c r="U271" s="349">
        <v>41838</v>
      </c>
      <c r="W271" s="81" t="s">
        <v>114</v>
      </c>
      <c r="Y271" s="81" t="s">
        <v>115</v>
      </c>
      <c r="Z271" s="81" t="s">
        <v>398</v>
      </c>
      <c r="AA271" s="81" t="s">
        <v>117</v>
      </c>
      <c r="AB271" s="81" t="s">
        <v>218</v>
      </c>
      <c r="AC271" s="166">
        <v>1.8999999389052401E-2</v>
      </c>
      <c r="AD271" s="349">
        <v>42989</v>
      </c>
      <c r="AE271" s="81" t="s">
        <v>155</v>
      </c>
      <c r="AG271" s="81" t="s">
        <v>238</v>
      </c>
      <c r="AH271" s="81" t="s">
        <v>118</v>
      </c>
      <c r="AK271" s="166">
        <v>0</v>
      </c>
      <c r="AM271" s="166">
        <v>0</v>
      </c>
      <c r="AO271" s="166">
        <v>0</v>
      </c>
      <c r="AP271" s="166">
        <v>0</v>
      </c>
      <c r="AQ271" s="166">
        <v>2</v>
      </c>
      <c r="AR271" s="166">
        <v>2</v>
      </c>
      <c r="AS271" s="166">
        <v>0</v>
      </c>
      <c r="AT271" s="166">
        <v>0</v>
      </c>
      <c r="AU271" s="166">
        <v>0</v>
      </c>
      <c r="AV271" s="166">
        <v>0</v>
      </c>
      <c r="AW271" s="166">
        <v>0</v>
      </c>
      <c r="AX271" s="166">
        <v>2</v>
      </c>
      <c r="AY271" s="166">
        <v>2</v>
      </c>
      <c r="AZ271" s="166">
        <v>0</v>
      </c>
      <c r="BA271" s="166">
        <v>0</v>
      </c>
      <c r="BB271" s="166">
        <v>0</v>
      </c>
      <c r="BC271" s="166">
        <v>0</v>
      </c>
      <c r="BD271" s="166">
        <v>0</v>
      </c>
      <c r="BE271" s="166">
        <v>0</v>
      </c>
      <c r="BF271" s="166">
        <v>0</v>
      </c>
      <c r="BG271" s="166">
        <v>0</v>
      </c>
      <c r="BH271" s="166">
        <v>0</v>
      </c>
      <c r="BI271" s="166">
        <v>0</v>
      </c>
      <c r="BJ271" s="166">
        <v>0</v>
      </c>
      <c r="BK271" s="166">
        <v>0</v>
      </c>
      <c r="BL271" s="166">
        <v>0</v>
      </c>
      <c r="BM271" s="166">
        <v>0</v>
      </c>
      <c r="BN271" s="166">
        <v>0</v>
      </c>
      <c r="BO271" s="166">
        <v>0</v>
      </c>
      <c r="BP271" s="166">
        <v>0</v>
      </c>
      <c r="BQ271" s="81" t="s">
        <v>1757</v>
      </c>
      <c r="BZ271" s="81" t="s">
        <v>155</v>
      </c>
      <c r="CA271" s="81" t="s">
        <v>3980</v>
      </c>
      <c r="CC271" s="167">
        <v>0</v>
      </c>
      <c r="CD271" s="167">
        <f>N271</f>
        <v>4</v>
      </c>
      <c r="CE271" s="167">
        <v>0</v>
      </c>
      <c r="CF271" s="167">
        <v>0</v>
      </c>
      <c r="CG271" s="167">
        <v>0</v>
      </c>
      <c r="CH271" s="167">
        <v>0</v>
      </c>
      <c r="CI271" s="167">
        <v>0</v>
      </c>
      <c r="CJ271" s="167">
        <v>0</v>
      </c>
      <c r="CK271" s="167">
        <v>0</v>
      </c>
      <c r="CL271" s="167">
        <v>0</v>
      </c>
      <c r="CM271" s="167">
        <v>0</v>
      </c>
      <c r="CN271" s="167">
        <v>0</v>
      </c>
      <c r="CO271" s="167">
        <v>0</v>
      </c>
      <c r="CP271" s="167">
        <v>0</v>
      </c>
      <c r="CQ271" s="167">
        <v>0</v>
      </c>
      <c r="CR271" s="167">
        <v>0</v>
      </c>
      <c r="CS271" s="167">
        <v>0</v>
      </c>
      <c r="CT271" s="167">
        <v>0</v>
      </c>
      <c r="CU271" s="167">
        <v>0</v>
      </c>
      <c r="CV271" s="167">
        <v>0</v>
      </c>
      <c r="CW271" s="167">
        <v>0</v>
      </c>
      <c r="CX271" s="167">
        <f>SUM(CD271:CH271)</f>
        <v>4</v>
      </c>
      <c r="CY271" s="167">
        <f>SUM(CD271:CM271)</f>
        <v>4</v>
      </c>
    </row>
    <row r="272" spans="1:103" ht="12.75" customHeight="1" x14ac:dyDescent="0.2">
      <c r="A272" s="81">
        <v>2157</v>
      </c>
      <c r="B272" s="165" t="s">
        <v>1908</v>
      </c>
      <c r="C272" s="165" t="s">
        <v>32</v>
      </c>
      <c r="E272" s="165" t="s">
        <v>1992</v>
      </c>
      <c r="G272" s="81">
        <v>528141</v>
      </c>
      <c r="H272" s="81">
        <v>172013</v>
      </c>
      <c r="I272" s="165" t="s">
        <v>248</v>
      </c>
      <c r="J272" s="349">
        <v>43087</v>
      </c>
      <c r="L272" s="166">
        <v>0</v>
      </c>
      <c r="M272" s="166">
        <v>3</v>
      </c>
      <c r="N272" s="166">
        <v>3</v>
      </c>
      <c r="O272" s="166">
        <v>3</v>
      </c>
      <c r="P272" s="166">
        <v>3</v>
      </c>
      <c r="R272" s="165" t="s">
        <v>122</v>
      </c>
      <c r="S272" s="81" t="s">
        <v>113</v>
      </c>
      <c r="T272" s="349">
        <v>41870</v>
      </c>
      <c r="U272" s="349">
        <v>41992</v>
      </c>
      <c r="W272" s="81" t="s">
        <v>114</v>
      </c>
      <c r="Y272" s="81" t="s">
        <v>115</v>
      </c>
      <c r="Z272" s="81" t="s">
        <v>116</v>
      </c>
      <c r="AA272" s="81" t="s">
        <v>117</v>
      </c>
      <c r="AB272" s="81" t="s">
        <v>218</v>
      </c>
      <c r="AC272" s="166">
        <v>6.1999998986720997E-2</v>
      </c>
      <c r="AD272" s="349">
        <v>43087</v>
      </c>
      <c r="AE272" s="81" t="s">
        <v>155</v>
      </c>
      <c r="AG272" s="81" t="s">
        <v>238</v>
      </c>
      <c r="AH272" s="81" t="s">
        <v>118</v>
      </c>
      <c r="AK272" s="166">
        <v>0</v>
      </c>
      <c r="AM272" s="166">
        <v>0</v>
      </c>
      <c r="AO272" s="166">
        <v>0</v>
      </c>
      <c r="AP272" s="166">
        <v>0</v>
      </c>
      <c r="AQ272" s="166">
        <v>0</v>
      </c>
      <c r="AR272" s="166">
        <v>2</v>
      </c>
      <c r="AS272" s="166">
        <v>1</v>
      </c>
      <c r="AT272" s="166">
        <v>0</v>
      </c>
      <c r="AU272" s="166">
        <v>0</v>
      </c>
      <c r="AV272" s="166">
        <v>0</v>
      </c>
      <c r="AW272" s="166">
        <v>0</v>
      </c>
      <c r="AX272" s="166">
        <v>0</v>
      </c>
      <c r="AY272" s="166">
        <v>0</v>
      </c>
      <c r="AZ272" s="166">
        <v>0</v>
      </c>
      <c r="BA272" s="166">
        <v>0</v>
      </c>
      <c r="BB272" s="166">
        <v>0</v>
      </c>
      <c r="BC272" s="166">
        <v>0</v>
      </c>
      <c r="BD272" s="166">
        <v>0</v>
      </c>
      <c r="BE272" s="166">
        <v>0</v>
      </c>
      <c r="BF272" s="166">
        <v>2</v>
      </c>
      <c r="BG272" s="166">
        <v>1</v>
      </c>
      <c r="BH272" s="166">
        <v>0</v>
      </c>
      <c r="BI272" s="166">
        <v>0</v>
      </c>
      <c r="BJ272" s="166">
        <v>0</v>
      </c>
      <c r="BK272" s="166">
        <v>0</v>
      </c>
      <c r="BL272" s="166">
        <v>0</v>
      </c>
      <c r="BM272" s="166">
        <v>0</v>
      </c>
      <c r="BN272" s="166">
        <v>0</v>
      </c>
      <c r="BO272" s="166">
        <v>0</v>
      </c>
      <c r="BP272" s="166">
        <v>0</v>
      </c>
      <c r="BQ272" s="81" t="s">
        <v>1757</v>
      </c>
      <c r="BZ272" s="81" t="s">
        <v>155</v>
      </c>
      <c r="CA272" s="81" t="s">
        <v>3977</v>
      </c>
      <c r="CC272" s="167">
        <v>0</v>
      </c>
      <c r="CD272" s="167">
        <f>$N272/2</f>
        <v>1.5</v>
      </c>
      <c r="CE272" s="167">
        <f>$N272/2</f>
        <v>1.5</v>
      </c>
      <c r="CF272" s="167">
        <v>0</v>
      </c>
      <c r="CG272" s="167">
        <v>0</v>
      </c>
      <c r="CH272" s="167">
        <v>0</v>
      </c>
      <c r="CI272" s="167">
        <v>0</v>
      </c>
      <c r="CJ272" s="167">
        <v>0</v>
      </c>
      <c r="CK272" s="167">
        <v>0</v>
      </c>
      <c r="CL272" s="167">
        <v>0</v>
      </c>
      <c r="CM272" s="167">
        <v>0</v>
      </c>
      <c r="CN272" s="167">
        <v>0</v>
      </c>
      <c r="CO272" s="167">
        <v>0</v>
      </c>
      <c r="CP272" s="167">
        <v>0</v>
      </c>
      <c r="CQ272" s="167">
        <v>0</v>
      </c>
      <c r="CR272" s="167">
        <v>0</v>
      </c>
      <c r="CS272" s="167">
        <v>0</v>
      </c>
      <c r="CT272" s="167">
        <v>0</v>
      </c>
      <c r="CU272" s="167">
        <v>0</v>
      </c>
      <c r="CV272" s="167">
        <v>0</v>
      </c>
      <c r="CW272" s="167">
        <v>0</v>
      </c>
      <c r="CX272" s="167">
        <f>SUM(CD272:CH272)</f>
        <v>3</v>
      </c>
      <c r="CY272" s="167">
        <f>SUM(CD272:CM272)</f>
        <v>3</v>
      </c>
    </row>
    <row r="273" spans="1:103" ht="12.75" customHeight="1" x14ac:dyDescent="0.2">
      <c r="A273" s="81">
        <v>2237</v>
      </c>
      <c r="B273" s="165" t="s">
        <v>1908</v>
      </c>
      <c r="C273" s="165" t="s">
        <v>700</v>
      </c>
      <c r="E273" s="165" t="s">
        <v>3368</v>
      </c>
      <c r="F273" s="165" t="s">
        <v>701</v>
      </c>
      <c r="G273" s="81">
        <v>528388</v>
      </c>
      <c r="H273" s="81">
        <v>173003</v>
      </c>
      <c r="I273" s="165" t="s">
        <v>248</v>
      </c>
      <c r="J273" s="349">
        <v>42927</v>
      </c>
      <c r="L273" s="166">
        <v>0</v>
      </c>
      <c r="M273" s="166">
        <v>6</v>
      </c>
      <c r="N273" s="166">
        <v>6</v>
      </c>
      <c r="O273" s="166">
        <v>9</v>
      </c>
      <c r="P273" s="166">
        <v>9</v>
      </c>
      <c r="R273" s="165" t="s">
        <v>1689</v>
      </c>
      <c r="S273" s="81" t="s">
        <v>113</v>
      </c>
      <c r="T273" s="349">
        <v>42320</v>
      </c>
      <c r="U273" s="349">
        <v>42433</v>
      </c>
      <c r="W273" s="81" t="s">
        <v>114</v>
      </c>
      <c r="Y273" s="81" t="s">
        <v>115</v>
      </c>
      <c r="Z273" s="81" t="s">
        <v>398</v>
      </c>
      <c r="AA273" s="81" t="s">
        <v>117</v>
      </c>
      <c r="AB273" s="81" t="s">
        <v>311</v>
      </c>
      <c r="AC273" s="166">
        <v>3.29999998211861E-2</v>
      </c>
      <c r="AD273" s="349">
        <v>42927</v>
      </c>
      <c r="AE273" s="81" t="s">
        <v>155</v>
      </c>
      <c r="AG273" s="81" t="s">
        <v>238</v>
      </c>
      <c r="AH273" s="81" t="s">
        <v>118</v>
      </c>
      <c r="AK273" s="166">
        <v>0</v>
      </c>
      <c r="AM273" s="166">
        <v>0</v>
      </c>
      <c r="AO273" s="166">
        <v>0</v>
      </c>
      <c r="AP273" s="166">
        <v>4</v>
      </c>
      <c r="AQ273" s="166">
        <v>2</v>
      </c>
      <c r="AR273" s="166">
        <v>0</v>
      </c>
      <c r="AS273" s="166">
        <v>0</v>
      </c>
      <c r="AT273" s="166">
        <v>0</v>
      </c>
      <c r="AU273" s="166">
        <v>0</v>
      </c>
      <c r="AV273" s="166">
        <v>0</v>
      </c>
      <c r="AW273" s="166">
        <v>4</v>
      </c>
      <c r="AX273" s="166">
        <v>2</v>
      </c>
      <c r="AY273" s="166">
        <v>0</v>
      </c>
      <c r="AZ273" s="166">
        <v>0</v>
      </c>
      <c r="BA273" s="166">
        <v>0</v>
      </c>
      <c r="BB273" s="166">
        <v>0</v>
      </c>
      <c r="BC273" s="166">
        <v>0</v>
      </c>
      <c r="BD273" s="166">
        <v>0</v>
      </c>
      <c r="BE273" s="166">
        <v>0</v>
      </c>
      <c r="BF273" s="166">
        <v>0</v>
      </c>
      <c r="BG273" s="166">
        <v>0</v>
      </c>
      <c r="BH273" s="166">
        <v>0</v>
      </c>
      <c r="BI273" s="166">
        <v>0</v>
      </c>
      <c r="BJ273" s="166">
        <v>0</v>
      </c>
      <c r="BK273" s="166">
        <v>0</v>
      </c>
      <c r="BL273" s="166">
        <v>0</v>
      </c>
      <c r="BM273" s="166">
        <v>0</v>
      </c>
      <c r="BN273" s="166">
        <v>0</v>
      </c>
      <c r="BO273" s="166">
        <v>0</v>
      </c>
      <c r="BP273" s="166">
        <v>0</v>
      </c>
      <c r="BQ273" s="81" t="s">
        <v>1757</v>
      </c>
      <c r="BZ273" s="81" t="s">
        <v>155</v>
      </c>
      <c r="CA273" s="81" t="s">
        <v>3980</v>
      </c>
      <c r="CC273" s="167">
        <v>0</v>
      </c>
      <c r="CD273" s="167">
        <f>N273</f>
        <v>6</v>
      </c>
      <c r="CE273" s="167">
        <v>0</v>
      </c>
      <c r="CF273" s="167">
        <v>0</v>
      </c>
      <c r="CG273" s="167">
        <v>0</v>
      </c>
      <c r="CH273" s="167">
        <v>0</v>
      </c>
      <c r="CI273" s="167">
        <v>0</v>
      </c>
      <c r="CJ273" s="167">
        <v>0</v>
      </c>
      <c r="CK273" s="167">
        <v>0</v>
      </c>
      <c r="CL273" s="167">
        <v>0</v>
      </c>
      <c r="CM273" s="167">
        <v>0</v>
      </c>
      <c r="CN273" s="167">
        <v>0</v>
      </c>
      <c r="CO273" s="167">
        <v>0</v>
      </c>
      <c r="CP273" s="167">
        <v>0</v>
      </c>
      <c r="CQ273" s="167">
        <v>0</v>
      </c>
      <c r="CR273" s="167">
        <v>0</v>
      </c>
      <c r="CS273" s="167">
        <v>0</v>
      </c>
      <c r="CT273" s="167">
        <v>0</v>
      </c>
      <c r="CU273" s="167">
        <v>0</v>
      </c>
      <c r="CV273" s="167">
        <v>0</v>
      </c>
      <c r="CW273" s="167">
        <v>0</v>
      </c>
      <c r="CX273" s="167">
        <f>SUM(CD273:CH273)</f>
        <v>6</v>
      </c>
      <c r="CY273" s="167">
        <f>SUM(CD273:CM273)</f>
        <v>6</v>
      </c>
    </row>
    <row r="274" spans="1:103" ht="12.75" customHeight="1" x14ac:dyDescent="0.2">
      <c r="A274" s="81">
        <v>2237</v>
      </c>
      <c r="B274" s="165" t="s">
        <v>1908</v>
      </c>
      <c r="C274" s="165" t="s">
        <v>700</v>
      </c>
      <c r="E274" s="165" t="s">
        <v>3368</v>
      </c>
      <c r="F274" s="165" t="s">
        <v>702</v>
      </c>
      <c r="G274" s="81">
        <v>528388</v>
      </c>
      <c r="H274" s="81">
        <v>173003</v>
      </c>
      <c r="I274" s="165" t="s">
        <v>248</v>
      </c>
      <c r="J274" s="349">
        <v>42927</v>
      </c>
      <c r="L274" s="166">
        <v>0</v>
      </c>
      <c r="M274" s="166">
        <v>3</v>
      </c>
      <c r="N274" s="166">
        <v>3</v>
      </c>
      <c r="O274" s="166">
        <v>9</v>
      </c>
      <c r="P274" s="166">
        <v>9</v>
      </c>
      <c r="R274" s="165" t="s">
        <v>1689</v>
      </c>
      <c r="S274" s="81" t="s">
        <v>113</v>
      </c>
      <c r="T274" s="349">
        <v>42320</v>
      </c>
      <c r="U274" s="349">
        <v>42433</v>
      </c>
      <c r="W274" s="81" t="s">
        <v>114</v>
      </c>
      <c r="Y274" s="81" t="s">
        <v>115</v>
      </c>
      <c r="Z274" s="81" t="s">
        <v>398</v>
      </c>
      <c r="AA274" s="81" t="s">
        <v>117</v>
      </c>
      <c r="AB274" s="81" t="s">
        <v>218</v>
      </c>
      <c r="AC274" s="166">
        <v>1.60000007599592E-2</v>
      </c>
      <c r="AD274" s="349">
        <v>42927</v>
      </c>
      <c r="AE274" s="81" t="s">
        <v>155</v>
      </c>
      <c r="AG274" s="81" t="s">
        <v>238</v>
      </c>
      <c r="AH274" s="81" t="s">
        <v>118</v>
      </c>
      <c r="AK274" s="166">
        <v>0</v>
      </c>
      <c r="AM274" s="166">
        <v>0</v>
      </c>
      <c r="AO274" s="166">
        <v>0</v>
      </c>
      <c r="AP274" s="166">
        <v>1</v>
      </c>
      <c r="AQ274" s="166">
        <v>2</v>
      </c>
      <c r="AR274" s="166">
        <v>0</v>
      </c>
      <c r="AS274" s="166">
        <v>0</v>
      </c>
      <c r="AT274" s="166">
        <v>0</v>
      </c>
      <c r="AU274" s="166">
        <v>0</v>
      </c>
      <c r="AV274" s="166">
        <v>0</v>
      </c>
      <c r="AW274" s="166">
        <v>1</v>
      </c>
      <c r="AX274" s="166">
        <v>2</v>
      </c>
      <c r="AY274" s="166">
        <v>0</v>
      </c>
      <c r="AZ274" s="166">
        <v>0</v>
      </c>
      <c r="BA274" s="166">
        <v>0</v>
      </c>
      <c r="BB274" s="166">
        <v>0</v>
      </c>
      <c r="BC274" s="166">
        <v>0</v>
      </c>
      <c r="BD274" s="166">
        <v>0</v>
      </c>
      <c r="BE274" s="166">
        <v>0</v>
      </c>
      <c r="BF274" s="166">
        <v>0</v>
      </c>
      <c r="BG274" s="166">
        <v>0</v>
      </c>
      <c r="BH274" s="166">
        <v>0</v>
      </c>
      <c r="BI274" s="166">
        <v>0</v>
      </c>
      <c r="BJ274" s="166">
        <v>0</v>
      </c>
      <c r="BK274" s="166">
        <v>0</v>
      </c>
      <c r="BL274" s="166">
        <v>0</v>
      </c>
      <c r="BM274" s="166">
        <v>0</v>
      </c>
      <c r="BN274" s="166">
        <v>0</v>
      </c>
      <c r="BO274" s="166">
        <v>0</v>
      </c>
      <c r="BP274" s="166">
        <v>0</v>
      </c>
      <c r="BQ274" s="81" t="s">
        <v>1757</v>
      </c>
      <c r="BZ274" s="81" t="s">
        <v>155</v>
      </c>
      <c r="CA274" s="81" t="s">
        <v>3980</v>
      </c>
      <c r="CC274" s="167">
        <v>0</v>
      </c>
      <c r="CD274" s="167">
        <f>N274</f>
        <v>3</v>
      </c>
      <c r="CE274" s="167">
        <v>0</v>
      </c>
      <c r="CF274" s="167">
        <v>0</v>
      </c>
      <c r="CG274" s="167">
        <v>0</v>
      </c>
      <c r="CH274" s="167">
        <v>0</v>
      </c>
      <c r="CI274" s="167">
        <v>0</v>
      </c>
      <c r="CJ274" s="167">
        <v>0</v>
      </c>
      <c r="CK274" s="167">
        <v>0</v>
      </c>
      <c r="CL274" s="167">
        <v>0</v>
      </c>
      <c r="CM274" s="167">
        <v>0</v>
      </c>
      <c r="CN274" s="167">
        <v>0</v>
      </c>
      <c r="CO274" s="167">
        <v>0</v>
      </c>
      <c r="CP274" s="167">
        <v>0</v>
      </c>
      <c r="CQ274" s="167">
        <v>0</v>
      </c>
      <c r="CR274" s="167">
        <v>0</v>
      </c>
      <c r="CS274" s="167">
        <v>0</v>
      </c>
      <c r="CT274" s="167">
        <v>0</v>
      </c>
      <c r="CU274" s="167">
        <v>0</v>
      </c>
      <c r="CV274" s="167">
        <v>0</v>
      </c>
      <c r="CW274" s="167">
        <v>0</v>
      </c>
      <c r="CX274" s="167">
        <f>SUM(CD274:CH274)</f>
        <v>3</v>
      </c>
      <c r="CY274" s="167">
        <f>SUM(CD274:CM274)</f>
        <v>3</v>
      </c>
    </row>
    <row r="275" spans="1:103" ht="12.75" customHeight="1" x14ac:dyDescent="0.2">
      <c r="A275" s="81">
        <v>2266</v>
      </c>
      <c r="B275" s="165" t="s">
        <v>1908</v>
      </c>
      <c r="C275" s="165" t="s">
        <v>772</v>
      </c>
      <c r="E275" s="165" t="s">
        <v>1974</v>
      </c>
      <c r="G275" s="81">
        <v>524066</v>
      </c>
      <c r="H275" s="81">
        <v>175324</v>
      </c>
      <c r="I275" s="165" t="s">
        <v>259</v>
      </c>
      <c r="J275" s="349">
        <v>42825</v>
      </c>
      <c r="L275" s="166">
        <v>0</v>
      </c>
      <c r="M275" s="166">
        <v>15</v>
      </c>
      <c r="N275" s="166">
        <v>15</v>
      </c>
      <c r="O275" s="166">
        <v>15</v>
      </c>
      <c r="P275" s="166">
        <v>15</v>
      </c>
      <c r="Q275" s="81" t="s">
        <v>155</v>
      </c>
      <c r="R275" s="165" t="s">
        <v>773</v>
      </c>
      <c r="S275" s="81" t="s">
        <v>104</v>
      </c>
      <c r="T275" s="349">
        <v>42142</v>
      </c>
      <c r="U275" s="349">
        <v>42494</v>
      </c>
      <c r="W275" s="81" t="s">
        <v>114</v>
      </c>
      <c r="Y275" s="81" t="s">
        <v>115</v>
      </c>
      <c r="Z275" s="81" t="s">
        <v>116</v>
      </c>
      <c r="AA275" s="81" t="s">
        <v>116</v>
      </c>
      <c r="AB275" s="81" t="s">
        <v>218</v>
      </c>
      <c r="AC275" s="166">
        <v>5.2999999374151202E-2</v>
      </c>
      <c r="AD275" s="349">
        <v>42825</v>
      </c>
      <c r="AG275" s="81" t="s">
        <v>238</v>
      </c>
      <c r="AH275" s="81" t="s">
        <v>118</v>
      </c>
      <c r="AK275" s="166">
        <v>15</v>
      </c>
      <c r="AM275" s="166">
        <v>15</v>
      </c>
      <c r="AO275" s="166">
        <v>0</v>
      </c>
      <c r="AP275" s="166">
        <v>0</v>
      </c>
      <c r="AQ275" s="166">
        <v>14</v>
      </c>
      <c r="AR275" s="166">
        <v>1</v>
      </c>
      <c r="AS275" s="166">
        <v>0</v>
      </c>
      <c r="AT275" s="166">
        <v>0</v>
      </c>
      <c r="AU275" s="166">
        <v>0</v>
      </c>
      <c r="AV275" s="166">
        <v>0</v>
      </c>
      <c r="AW275" s="166">
        <v>0</v>
      </c>
      <c r="AX275" s="166">
        <v>14</v>
      </c>
      <c r="AY275" s="166">
        <v>1</v>
      </c>
      <c r="AZ275" s="166">
        <v>0</v>
      </c>
      <c r="BA275" s="166">
        <v>0</v>
      </c>
      <c r="BB275" s="166">
        <v>0</v>
      </c>
      <c r="BC275" s="166">
        <v>0</v>
      </c>
      <c r="BD275" s="166">
        <v>0</v>
      </c>
      <c r="BE275" s="166">
        <v>0</v>
      </c>
      <c r="BF275" s="166">
        <v>0</v>
      </c>
      <c r="BG275" s="166">
        <v>0</v>
      </c>
      <c r="BH275" s="166">
        <v>0</v>
      </c>
      <c r="BI275" s="166">
        <v>0</v>
      </c>
      <c r="BJ275" s="166">
        <v>0</v>
      </c>
      <c r="BK275" s="166">
        <v>0</v>
      </c>
      <c r="BL275" s="166">
        <v>0</v>
      </c>
      <c r="BM275" s="166">
        <v>0</v>
      </c>
      <c r="BN275" s="166">
        <v>0</v>
      </c>
      <c r="BO275" s="166">
        <v>0</v>
      </c>
      <c r="BP275" s="166">
        <v>0</v>
      </c>
      <c r="BQ275" s="81" t="s">
        <v>1758</v>
      </c>
      <c r="BR275" s="81" t="s">
        <v>161</v>
      </c>
      <c r="BZ275" s="81" t="s">
        <v>155</v>
      </c>
      <c r="CA275" s="81" t="s">
        <v>3976</v>
      </c>
      <c r="CC275" s="167">
        <v>0</v>
      </c>
      <c r="CD275" s="167">
        <f>N275</f>
        <v>15</v>
      </c>
      <c r="CE275" s="167">
        <v>0</v>
      </c>
      <c r="CF275" s="167">
        <v>0</v>
      </c>
      <c r="CG275" s="167">
        <v>0</v>
      </c>
      <c r="CH275" s="167">
        <v>0</v>
      </c>
      <c r="CI275" s="167">
        <v>0</v>
      </c>
      <c r="CJ275" s="167">
        <v>0</v>
      </c>
      <c r="CK275" s="167">
        <v>0</v>
      </c>
      <c r="CL275" s="167">
        <v>0</v>
      </c>
      <c r="CM275" s="167">
        <v>0</v>
      </c>
      <c r="CN275" s="167">
        <v>0</v>
      </c>
      <c r="CO275" s="167">
        <v>0</v>
      </c>
      <c r="CP275" s="167">
        <v>0</v>
      </c>
      <c r="CQ275" s="167">
        <v>0</v>
      </c>
      <c r="CR275" s="167">
        <v>0</v>
      </c>
      <c r="CS275" s="167">
        <v>0</v>
      </c>
      <c r="CT275" s="167">
        <v>0</v>
      </c>
      <c r="CU275" s="167">
        <v>0</v>
      </c>
      <c r="CV275" s="167">
        <v>0</v>
      </c>
      <c r="CW275" s="167">
        <v>0</v>
      </c>
      <c r="CX275" s="167">
        <f>SUM(CD275:CH275)</f>
        <v>15</v>
      </c>
      <c r="CY275" s="167">
        <f>SUM(CD275:CM275)</f>
        <v>15</v>
      </c>
    </row>
    <row r="276" spans="1:103" ht="12.75" customHeight="1" x14ac:dyDescent="0.2">
      <c r="A276" s="81">
        <v>2266</v>
      </c>
      <c r="B276" s="165" t="s">
        <v>1908</v>
      </c>
      <c r="C276" s="165" t="s">
        <v>1730</v>
      </c>
      <c r="E276" s="165" t="s">
        <v>1974</v>
      </c>
      <c r="G276" s="81">
        <v>524066</v>
      </c>
      <c r="H276" s="81">
        <v>175324</v>
      </c>
      <c r="I276" s="165" t="s">
        <v>259</v>
      </c>
      <c r="J276" s="349">
        <v>42985</v>
      </c>
      <c r="L276" s="166">
        <v>1</v>
      </c>
      <c r="M276" s="166">
        <v>1</v>
      </c>
      <c r="N276" s="166">
        <v>0</v>
      </c>
      <c r="O276" s="166">
        <v>1</v>
      </c>
      <c r="P276" s="166">
        <v>0</v>
      </c>
      <c r="Q276" s="81" t="s">
        <v>155</v>
      </c>
      <c r="R276" s="165" t="s">
        <v>1731</v>
      </c>
      <c r="S276" s="81" t="s">
        <v>509</v>
      </c>
      <c r="T276" s="349">
        <v>42790</v>
      </c>
      <c r="U276" s="349">
        <v>42984</v>
      </c>
      <c r="V276" s="81" t="s">
        <v>155</v>
      </c>
      <c r="W276" s="81" t="s">
        <v>114</v>
      </c>
      <c r="Y276" s="81" t="s">
        <v>115</v>
      </c>
      <c r="Z276" s="81" t="s">
        <v>119</v>
      </c>
      <c r="AA276" s="81" t="s">
        <v>117</v>
      </c>
      <c r="AB276" s="81" t="s">
        <v>220</v>
      </c>
      <c r="AC276" s="166">
        <v>4.0000001899898104E-3</v>
      </c>
      <c r="AD276" s="349">
        <v>42985</v>
      </c>
      <c r="AE276" s="81" t="s">
        <v>155</v>
      </c>
      <c r="AG276" s="81" t="s">
        <v>238</v>
      </c>
      <c r="AH276" s="81" t="s">
        <v>118</v>
      </c>
      <c r="AK276" s="166">
        <v>0</v>
      </c>
      <c r="AM276" s="166">
        <v>0</v>
      </c>
      <c r="AO276" s="166">
        <v>0</v>
      </c>
      <c r="AP276" s="166">
        <v>0</v>
      </c>
      <c r="AQ276" s="166">
        <v>-1</v>
      </c>
      <c r="AR276" s="166">
        <v>1</v>
      </c>
      <c r="AS276" s="166">
        <v>0</v>
      </c>
      <c r="AT276" s="166">
        <v>0</v>
      </c>
      <c r="AU276" s="166">
        <v>0</v>
      </c>
      <c r="AV276" s="166">
        <v>0</v>
      </c>
      <c r="AW276" s="166">
        <v>0</v>
      </c>
      <c r="AX276" s="166">
        <v>-1</v>
      </c>
      <c r="AY276" s="166">
        <v>1</v>
      </c>
      <c r="AZ276" s="166">
        <v>0</v>
      </c>
      <c r="BA276" s="166">
        <v>0</v>
      </c>
      <c r="BB276" s="166">
        <v>0</v>
      </c>
      <c r="BC276" s="166">
        <v>0</v>
      </c>
      <c r="BD276" s="166">
        <v>0</v>
      </c>
      <c r="BE276" s="166">
        <v>0</v>
      </c>
      <c r="BF276" s="166">
        <v>0</v>
      </c>
      <c r="BG276" s="166">
        <v>0</v>
      </c>
      <c r="BH276" s="166">
        <v>0</v>
      </c>
      <c r="BI276" s="166">
        <v>0</v>
      </c>
      <c r="BJ276" s="166">
        <v>0</v>
      </c>
      <c r="BK276" s="166">
        <v>0</v>
      </c>
      <c r="BL276" s="166">
        <v>0</v>
      </c>
      <c r="BM276" s="166">
        <v>0</v>
      </c>
      <c r="BN276" s="166">
        <v>0</v>
      </c>
      <c r="BO276" s="166">
        <v>0</v>
      </c>
      <c r="BP276" s="166">
        <v>0</v>
      </c>
      <c r="BQ276" s="81" t="s">
        <v>1758</v>
      </c>
      <c r="BR276" s="81" t="s">
        <v>161</v>
      </c>
      <c r="BZ276" s="81" t="s">
        <v>155</v>
      </c>
      <c r="CA276" s="81" t="s">
        <v>3980</v>
      </c>
      <c r="CC276" s="167">
        <v>0</v>
      </c>
      <c r="CD276" s="167">
        <f>N276</f>
        <v>0</v>
      </c>
      <c r="CE276" s="167">
        <v>0</v>
      </c>
      <c r="CF276" s="167">
        <v>0</v>
      </c>
      <c r="CG276" s="167">
        <v>0</v>
      </c>
      <c r="CH276" s="167">
        <v>0</v>
      </c>
      <c r="CI276" s="167">
        <v>0</v>
      </c>
      <c r="CJ276" s="167">
        <v>0</v>
      </c>
      <c r="CK276" s="167">
        <v>0</v>
      </c>
      <c r="CL276" s="167">
        <v>0</v>
      </c>
      <c r="CM276" s="167">
        <v>0</v>
      </c>
      <c r="CN276" s="167">
        <v>0</v>
      </c>
      <c r="CO276" s="167">
        <v>0</v>
      </c>
      <c r="CP276" s="167">
        <v>0</v>
      </c>
      <c r="CQ276" s="167">
        <v>0</v>
      </c>
      <c r="CR276" s="167">
        <v>0</v>
      </c>
      <c r="CS276" s="167">
        <v>0</v>
      </c>
      <c r="CT276" s="167">
        <v>0</v>
      </c>
      <c r="CU276" s="167">
        <v>0</v>
      </c>
      <c r="CV276" s="167">
        <v>0</v>
      </c>
      <c r="CW276" s="167">
        <v>0</v>
      </c>
      <c r="CX276" s="167">
        <f>SUM(CD276:CH276)</f>
        <v>0</v>
      </c>
      <c r="CY276" s="167">
        <f>SUM(CD276:CM276)</f>
        <v>0</v>
      </c>
    </row>
    <row r="277" spans="1:103" ht="12.75" customHeight="1" x14ac:dyDescent="0.2">
      <c r="A277" s="81">
        <v>2273</v>
      </c>
      <c r="B277" s="165" t="s">
        <v>1908</v>
      </c>
      <c r="C277" s="165" t="s">
        <v>1513</v>
      </c>
      <c r="E277" s="165" t="s">
        <v>1975</v>
      </c>
      <c r="G277" s="81">
        <v>525902</v>
      </c>
      <c r="H277" s="81">
        <v>173607</v>
      </c>
      <c r="I277" s="165" t="s">
        <v>249</v>
      </c>
      <c r="J277" s="349">
        <v>43190</v>
      </c>
      <c r="L277" s="166">
        <v>12</v>
      </c>
      <c r="M277" s="166">
        <v>10</v>
      </c>
      <c r="N277" s="166">
        <v>-2</v>
      </c>
      <c r="O277" s="166">
        <v>10</v>
      </c>
      <c r="P277" s="166">
        <v>-2</v>
      </c>
      <c r="Q277" s="81" t="s">
        <v>155</v>
      </c>
      <c r="R277" s="165" t="s">
        <v>1514</v>
      </c>
      <c r="S277" s="81" t="s">
        <v>113</v>
      </c>
      <c r="T277" s="349">
        <v>42747</v>
      </c>
      <c r="U277" s="349">
        <v>42818</v>
      </c>
      <c r="W277" s="81" t="s">
        <v>114</v>
      </c>
      <c r="Y277" s="81" t="s">
        <v>115</v>
      </c>
      <c r="Z277" s="81" t="s">
        <v>119</v>
      </c>
      <c r="AA277" s="81" t="s">
        <v>117</v>
      </c>
      <c r="AB277" s="81" t="s">
        <v>300</v>
      </c>
      <c r="AC277" s="166">
        <v>2.70000007003546E-2</v>
      </c>
      <c r="AD277" s="349">
        <v>43190</v>
      </c>
      <c r="AE277" s="81" t="s">
        <v>155</v>
      </c>
      <c r="AG277" s="81" t="s">
        <v>238</v>
      </c>
      <c r="AH277" s="81" t="s">
        <v>118</v>
      </c>
      <c r="AK277" s="166">
        <v>0</v>
      </c>
      <c r="AM277" s="166">
        <v>0</v>
      </c>
      <c r="AO277" s="166">
        <v>0</v>
      </c>
      <c r="AP277" s="166">
        <v>-1</v>
      </c>
      <c r="AQ277" s="166">
        <v>-1</v>
      </c>
      <c r="AR277" s="166">
        <v>0</v>
      </c>
      <c r="AS277" s="166">
        <v>0</v>
      </c>
      <c r="AT277" s="166">
        <v>0</v>
      </c>
      <c r="AU277" s="166">
        <v>0</v>
      </c>
      <c r="AV277" s="166">
        <v>0</v>
      </c>
      <c r="AW277" s="166">
        <v>-1</v>
      </c>
      <c r="AX277" s="166">
        <v>-1</v>
      </c>
      <c r="AY277" s="166">
        <v>0</v>
      </c>
      <c r="AZ277" s="166">
        <v>0</v>
      </c>
      <c r="BA277" s="166">
        <v>0</v>
      </c>
      <c r="BB277" s="166">
        <v>0</v>
      </c>
      <c r="BC277" s="166">
        <v>0</v>
      </c>
      <c r="BD277" s="166">
        <v>0</v>
      </c>
      <c r="BE277" s="166">
        <v>0</v>
      </c>
      <c r="BF277" s="166">
        <v>0</v>
      </c>
      <c r="BG277" s="166">
        <v>0</v>
      </c>
      <c r="BH277" s="166">
        <v>0</v>
      </c>
      <c r="BI277" s="166">
        <v>0</v>
      </c>
      <c r="BJ277" s="166">
        <v>0</v>
      </c>
      <c r="BK277" s="166">
        <v>0</v>
      </c>
      <c r="BL277" s="166">
        <v>0</v>
      </c>
      <c r="BM277" s="166">
        <v>0</v>
      </c>
      <c r="BN277" s="166">
        <v>0</v>
      </c>
      <c r="BO277" s="166">
        <v>0</v>
      </c>
      <c r="BP277" s="166">
        <v>0</v>
      </c>
      <c r="BQ277" s="81" t="s">
        <v>1758</v>
      </c>
      <c r="BY277" s="81" t="s">
        <v>155</v>
      </c>
      <c r="BZ277" s="81" t="s">
        <v>155</v>
      </c>
      <c r="CA277" s="81" t="s">
        <v>3981</v>
      </c>
      <c r="CC277" s="167">
        <v>0</v>
      </c>
      <c r="CD277" s="167">
        <f>$N277/2</f>
        <v>-1</v>
      </c>
      <c r="CE277" s="167">
        <f>$N277/2</f>
        <v>-1</v>
      </c>
      <c r="CF277" s="167">
        <v>0</v>
      </c>
      <c r="CG277" s="167">
        <v>0</v>
      </c>
      <c r="CH277" s="167">
        <v>0</v>
      </c>
      <c r="CI277" s="167">
        <v>0</v>
      </c>
      <c r="CJ277" s="167">
        <v>0</v>
      </c>
      <c r="CK277" s="167">
        <v>0</v>
      </c>
      <c r="CL277" s="167">
        <v>0</v>
      </c>
      <c r="CM277" s="167">
        <v>0</v>
      </c>
      <c r="CN277" s="167">
        <v>0</v>
      </c>
      <c r="CO277" s="167">
        <v>0</v>
      </c>
      <c r="CP277" s="167">
        <v>0</v>
      </c>
      <c r="CQ277" s="167">
        <v>0</v>
      </c>
      <c r="CR277" s="167">
        <v>0</v>
      </c>
      <c r="CS277" s="167">
        <v>0</v>
      </c>
      <c r="CT277" s="167">
        <v>0</v>
      </c>
      <c r="CU277" s="167">
        <v>0</v>
      </c>
      <c r="CV277" s="167">
        <v>0</v>
      </c>
      <c r="CW277" s="167">
        <v>0</v>
      </c>
      <c r="CX277" s="167">
        <f>SUM(CD277:CH277)</f>
        <v>-2</v>
      </c>
      <c r="CY277" s="167">
        <f>SUM(CD277:CM277)</f>
        <v>-2</v>
      </c>
    </row>
    <row r="278" spans="1:103" ht="12.75" customHeight="1" x14ac:dyDescent="0.2">
      <c r="A278" s="81">
        <v>2320</v>
      </c>
      <c r="B278" s="165" t="s">
        <v>1908</v>
      </c>
      <c r="C278" s="165" t="s">
        <v>440</v>
      </c>
      <c r="D278" s="165" t="s">
        <v>441</v>
      </c>
      <c r="E278" s="165" t="s">
        <v>1995</v>
      </c>
      <c r="G278" s="81">
        <v>527260</v>
      </c>
      <c r="H278" s="81">
        <v>177215</v>
      </c>
      <c r="I278" s="165" t="s">
        <v>257</v>
      </c>
      <c r="J278" s="349">
        <v>43190</v>
      </c>
      <c r="L278" s="166">
        <v>0</v>
      </c>
      <c r="M278" s="166">
        <v>94</v>
      </c>
      <c r="N278" s="166">
        <v>94</v>
      </c>
      <c r="O278" s="166">
        <v>118</v>
      </c>
      <c r="P278" s="166">
        <v>118</v>
      </c>
      <c r="Q278" s="81" t="s">
        <v>155</v>
      </c>
      <c r="R278" s="165" t="s">
        <v>1118</v>
      </c>
      <c r="S278" s="81" t="s">
        <v>104</v>
      </c>
      <c r="T278" s="349">
        <v>41855</v>
      </c>
      <c r="U278" s="349">
        <v>42185</v>
      </c>
      <c r="W278" s="81" t="s">
        <v>114</v>
      </c>
      <c r="Y278" s="81" t="s">
        <v>115</v>
      </c>
      <c r="Z278" s="81" t="s">
        <v>116</v>
      </c>
      <c r="AA278" s="81" t="s">
        <v>116</v>
      </c>
      <c r="AB278" s="81" t="s">
        <v>117</v>
      </c>
      <c r="AC278" s="166">
        <v>0.24699999392032601</v>
      </c>
      <c r="AD278" s="350">
        <v>43190</v>
      </c>
      <c r="AE278" s="81" t="s">
        <v>155</v>
      </c>
      <c r="AG278" s="81" t="s">
        <v>238</v>
      </c>
      <c r="AH278" s="81" t="s">
        <v>118</v>
      </c>
      <c r="AI278" s="81" t="s">
        <v>1996</v>
      </c>
      <c r="AK278" s="166">
        <v>94</v>
      </c>
      <c r="AM278" s="166">
        <v>94</v>
      </c>
      <c r="AO278" s="166">
        <v>0</v>
      </c>
      <c r="AP278" s="166">
        <v>21</v>
      </c>
      <c r="AQ278" s="166">
        <v>47</v>
      </c>
      <c r="AR278" s="166">
        <v>23</v>
      </c>
      <c r="AS278" s="166">
        <v>3</v>
      </c>
      <c r="AT278" s="166">
        <v>0</v>
      </c>
      <c r="AU278" s="166">
        <v>0</v>
      </c>
      <c r="AV278" s="166">
        <v>0</v>
      </c>
      <c r="AW278" s="166">
        <v>21</v>
      </c>
      <c r="AX278" s="166">
        <v>47</v>
      </c>
      <c r="AY278" s="166">
        <v>23</v>
      </c>
      <c r="AZ278" s="166">
        <v>3</v>
      </c>
      <c r="BA278" s="166">
        <v>0</v>
      </c>
      <c r="BB278" s="166">
        <v>0</v>
      </c>
      <c r="BC278" s="166">
        <v>0</v>
      </c>
      <c r="BD278" s="166">
        <v>0</v>
      </c>
      <c r="BE278" s="166">
        <v>0</v>
      </c>
      <c r="BF278" s="166">
        <v>0</v>
      </c>
      <c r="BG278" s="166">
        <v>0</v>
      </c>
      <c r="BH278" s="166">
        <v>0</v>
      </c>
      <c r="BI278" s="166">
        <v>0</v>
      </c>
      <c r="BJ278" s="166">
        <v>0</v>
      </c>
      <c r="BK278" s="166">
        <v>0</v>
      </c>
      <c r="BL278" s="166">
        <v>0</v>
      </c>
      <c r="BM278" s="166">
        <v>0</v>
      </c>
      <c r="BN278" s="166">
        <v>0</v>
      </c>
      <c r="BO278" s="166">
        <v>0</v>
      </c>
      <c r="BP278" s="166">
        <v>0</v>
      </c>
      <c r="BQ278" s="81" t="s">
        <v>1757</v>
      </c>
      <c r="BX278" s="81" t="s">
        <v>155</v>
      </c>
      <c r="BZ278" s="81" t="s">
        <v>155</v>
      </c>
      <c r="CA278" s="81" t="s">
        <v>3934</v>
      </c>
      <c r="CC278" s="167">
        <v>0</v>
      </c>
      <c r="CD278" s="167">
        <v>0</v>
      </c>
      <c r="CE278" s="167">
        <v>0</v>
      </c>
      <c r="CF278" s="167">
        <v>0</v>
      </c>
      <c r="CG278" s="167">
        <f>N278</f>
        <v>94</v>
      </c>
      <c r="CH278" s="167">
        <v>0</v>
      </c>
      <c r="CI278" s="167">
        <v>0</v>
      </c>
      <c r="CJ278" s="167">
        <v>0</v>
      </c>
      <c r="CK278" s="167">
        <v>0</v>
      </c>
      <c r="CL278" s="167">
        <v>0</v>
      </c>
      <c r="CM278" s="167">
        <v>0</v>
      </c>
      <c r="CN278" s="167">
        <v>0</v>
      </c>
      <c r="CO278" s="167">
        <v>0</v>
      </c>
      <c r="CP278" s="167">
        <v>0</v>
      </c>
      <c r="CQ278" s="167">
        <v>0</v>
      </c>
      <c r="CR278" s="167">
        <v>0</v>
      </c>
      <c r="CS278" s="167">
        <v>0</v>
      </c>
      <c r="CT278" s="167">
        <v>0</v>
      </c>
      <c r="CU278" s="167">
        <v>0</v>
      </c>
      <c r="CV278" s="167">
        <v>0</v>
      </c>
      <c r="CW278" s="167">
        <v>0</v>
      </c>
      <c r="CX278" s="167">
        <f>SUM(CD278:CH278)</f>
        <v>94</v>
      </c>
      <c r="CY278" s="167">
        <f>SUM(CD278:CM278)</f>
        <v>94</v>
      </c>
    </row>
    <row r="279" spans="1:103" ht="12.75" customHeight="1" x14ac:dyDescent="0.2">
      <c r="A279" s="81">
        <v>2320</v>
      </c>
      <c r="B279" s="165" t="s">
        <v>1908</v>
      </c>
      <c r="C279" s="165" t="s">
        <v>440</v>
      </c>
      <c r="D279" s="165" t="s">
        <v>441</v>
      </c>
      <c r="E279" s="165" t="s">
        <v>1995</v>
      </c>
      <c r="G279" s="81">
        <v>527260</v>
      </c>
      <c r="H279" s="81">
        <v>177215</v>
      </c>
      <c r="I279" s="165" t="s">
        <v>257</v>
      </c>
      <c r="J279" s="349">
        <v>43190</v>
      </c>
      <c r="L279" s="166">
        <v>0</v>
      </c>
      <c r="M279" s="166">
        <v>14</v>
      </c>
      <c r="N279" s="166">
        <v>14</v>
      </c>
      <c r="O279" s="166">
        <v>118</v>
      </c>
      <c r="P279" s="166">
        <v>118</v>
      </c>
      <c r="Q279" s="81" t="s">
        <v>155</v>
      </c>
      <c r="R279" s="165" t="s">
        <v>1118</v>
      </c>
      <c r="S279" s="81" t="s">
        <v>104</v>
      </c>
      <c r="T279" s="349">
        <v>41855</v>
      </c>
      <c r="U279" s="349">
        <v>42185</v>
      </c>
      <c r="W279" s="81" t="s">
        <v>114</v>
      </c>
      <c r="Y279" s="81" t="s">
        <v>115</v>
      </c>
      <c r="Z279" s="81" t="s">
        <v>116</v>
      </c>
      <c r="AA279" s="81" t="s">
        <v>116</v>
      </c>
      <c r="AB279" s="81" t="s">
        <v>117</v>
      </c>
      <c r="AC279" s="166">
        <v>3.70000004768372E-2</v>
      </c>
      <c r="AD279" s="350">
        <v>43190</v>
      </c>
      <c r="AE279" s="81" t="s">
        <v>155</v>
      </c>
      <c r="AG279" s="81" t="s">
        <v>154</v>
      </c>
      <c r="AH279" s="81" t="s">
        <v>312</v>
      </c>
      <c r="AI279" s="81" t="s">
        <v>1996</v>
      </c>
      <c r="AK279" s="166">
        <v>14</v>
      </c>
      <c r="AM279" s="166">
        <v>14</v>
      </c>
      <c r="AO279" s="166">
        <v>0</v>
      </c>
      <c r="AP279" s="166">
        <v>1</v>
      </c>
      <c r="AQ279" s="166">
        <v>0</v>
      </c>
      <c r="AR279" s="166">
        <v>13</v>
      </c>
      <c r="AS279" s="166">
        <v>0</v>
      </c>
      <c r="AT279" s="166">
        <v>0</v>
      </c>
      <c r="AU279" s="166">
        <v>0</v>
      </c>
      <c r="AV279" s="166">
        <v>0</v>
      </c>
      <c r="AW279" s="166">
        <v>1</v>
      </c>
      <c r="AX279" s="166">
        <v>0</v>
      </c>
      <c r="AY279" s="166">
        <v>13</v>
      </c>
      <c r="AZ279" s="166">
        <v>0</v>
      </c>
      <c r="BA279" s="166">
        <v>0</v>
      </c>
      <c r="BB279" s="166">
        <v>0</v>
      </c>
      <c r="BC279" s="166">
        <v>0</v>
      </c>
      <c r="BD279" s="166">
        <v>0</v>
      </c>
      <c r="BE279" s="166">
        <v>0</v>
      </c>
      <c r="BF279" s="166">
        <v>0</v>
      </c>
      <c r="BG279" s="166">
        <v>0</v>
      </c>
      <c r="BH279" s="166">
        <v>0</v>
      </c>
      <c r="BI279" s="166">
        <v>0</v>
      </c>
      <c r="BJ279" s="166">
        <v>0</v>
      </c>
      <c r="BK279" s="166">
        <v>0</v>
      </c>
      <c r="BL279" s="166">
        <v>0</v>
      </c>
      <c r="BM279" s="166">
        <v>0</v>
      </c>
      <c r="BN279" s="166">
        <v>0</v>
      </c>
      <c r="BO279" s="166">
        <v>0</v>
      </c>
      <c r="BP279" s="166">
        <v>0</v>
      </c>
      <c r="BQ279" s="81" t="s">
        <v>1757</v>
      </c>
      <c r="BX279" s="81" t="s">
        <v>155</v>
      </c>
      <c r="BZ279" s="81" t="s">
        <v>155</v>
      </c>
      <c r="CA279" s="81" t="s">
        <v>3934</v>
      </c>
      <c r="CC279" s="167">
        <v>0</v>
      </c>
      <c r="CD279" s="167">
        <v>0</v>
      </c>
      <c r="CE279" s="167">
        <v>0</v>
      </c>
      <c r="CF279" s="167">
        <v>0</v>
      </c>
      <c r="CG279" s="167">
        <f>N279</f>
        <v>14</v>
      </c>
      <c r="CH279" s="167">
        <v>0</v>
      </c>
      <c r="CI279" s="167">
        <v>0</v>
      </c>
      <c r="CJ279" s="167">
        <v>0</v>
      </c>
      <c r="CK279" s="167">
        <v>0</v>
      </c>
      <c r="CL279" s="167">
        <v>0</v>
      </c>
      <c r="CM279" s="167">
        <v>0</v>
      </c>
      <c r="CN279" s="167">
        <v>0</v>
      </c>
      <c r="CO279" s="167">
        <v>0</v>
      </c>
      <c r="CP279" s="167">
        <v>0</v>
      </c>
      <c r="CQ279" s="167">
        <v>0</v>
      </c>
      <c r="CR279" s="167">
        <v>0</v>
      </c>
      <c r="CS279" s="167">
        <v>0</v>
      </c>
      <c r="CT279" s="167">
        <v>0</v>
      </c>
      <c r="CU279" s="167">
        <v>0</v>
      </c>
      <c r="CV279" s="167">
        <v>0</v>
      </c>
      <c r="CW279" s="167">
        <v>0</v>
      </c>
      <c r="CX279" s="167">
        <f>SUM(CD279:CH279)</f>
        <v>14</v>
      </c>
      <c r="CY279" s="167">
        <f>SUM(CD279:CM279)</f>
        <v>14</v>
      </c>
    </row>
    <row r="280" spans="1:103" x14ac:dyDescent="0.2">
      <c r="A280" s="81">
        <v>2320</v>
      </c>
      <c r="B280" s="165" t="s">
        <v>1908</v>
      </c>
      <c r="C280" s="165" t="s">
        <v>440</v>
      </c>
      <c r="D280" s="165" t="s">
        <v>441</v>
      </c>
      <c r="E280" s="165" t="s">
        <v>1995</v>
      </c>
      <c r="G280" s="81">
        <v>527260</v>
      </c>
      <c r="H280" s="81">
        <v>177215</v>
      </c>
      <c r="I280" s="165" t="s">
        <v>257</v>
      </c>
      <c r="J280" s="349">
        <v>43190</v>
      </c>
      <c r="L280" s="166">
        <v>0</v>
      </c>
      <c r="M280" s="166">
        <v>10</v>
      </c>
      <c r="N280" s="166">
        <v>10</v>
      </c>
      <c r="O280" s="166">
        <v>118</v>
      </c>
      <c r="P280" s="166">
        <v>118</v>
      </c>
      <c r="Q280" s="81" t="s">
        <v>155</v>
      </c>
      <c r="R280" s="165" t="s">
        <v>1118</v>
      </c>
      <c r="S280" s="81" t="s">
        <v>104</v>
      </c>
      <c r="T280" s="349">
        <v>41855</v>
      </c>
      <c r="U280" s="349">
        <v>42185</v>
      </c>
      <c r="W280" s="81" t="s">
        <v>114</v>
      </c>
      <c r="Y280" s="81" t="s">
        <v>115</v>
      </c>
      <c r="Z280" s="81" t="s">
        <v>116</v>
      </c>
      <c r="AA280" s="81" t="s">
        <v>117</v>
      </c>
      <c r="AB280" s="81" t="s">
        <v>218</v>
      </c>
      <c r="AC280" s="166">
        <v>2.60000005364418E-2</v>
      </c>
      <c r="AD280" s="350">
        <v>43190</v>
      </c>
      <c r="AE280" s="81" t="s">
        <v>155</v>
      </c>
      <c r="AG280" s="81" t="s">
        <v>74</v>
      </c>
      <c r="AH280" s="81" t="s">
        <v>1913</v>
      </c>
      <c r="AI280" s="81" t="s">
        <v>1996</v>
      </c>
      <c r="AK280" s="166">
        <v>10</v>
      </c>
      <c r="AM280" s="166">
        <v>10</v>
      </c>
      <c r="AO280" s="166">
        <v>0</v>
      </c>
      <c r="AP280" s="166">
        <v>6</v>
      </c>
      <c r="AQ280" s="166">
        <v>2</v>
      </c>
      <c r="AR280" s="166">
        <v>2</v>
      </c>
      <c r="AS280" s="166">
        <v>0</v>
      </c>
      <c r="AT280" s="166">
        <v>0</v>
      </c>
      <c r="AU280" s="166">
        <v>0</v>
      </c>
      <c r="AV280" s="166">
        <v>0</v>
      </c>
      <c r="AW280" s="166">
        <v>6</v>
      </c>
      <c r="AX280" s="166">
        <v>2</v>
      </c>
      <c r="AY280" s="166">
        <v>2</v>
      </c>
      <c r="AZ280" s="166">
        <v>0</v>
      </c>
      <c r="BA280" s="166">
        <v>0</v>
      </c>
      <c r="BB280" s="166">
        <v>0</v>
      </c>
      <c r="BC280" s="166">
        <v>0</v>
      </c>
      <c r="BD280" s="166">
        <v>0</v>
      </c>
      <c r="BE280" s="166">
        <v>0</v>
      </c>
      <c r="BF280" s="166">
        <v>0</v>
      </c>
      <c r="BG280" s="166">
        <v>0</v>
      </c>
      <c r="BH280" s="166">
        <v>0</v>
      </c>
      <c r="BI280" s="166">
        <v>0</v>
      </c>
      <c r="BJ280" s="166">
        <v>0</v>
      </c>
      <c r="BK280" s="166">
        <v>0</v>
      </c>
      <c r="BL280" s="166">
        <v>0</v>
      </c>
      <c r="BM280" s="166">
        <v>0</v>
      </c>
      <c r="BN280" s="166">
        <v>0</v>
      </c>
      <c r="BO280" s="166">
        <v>0</v>
      </c>
      <c r="BP280" s="166">
        <v>0</v>
      </c>
      <c r="BQ280" s="81" t="s">
        <v>1757</v>
      </c>
      <c r="BX280" s="81" t="s">
        <v>155</v>
      </c>
      <c r="BZ280" s="81" t="s">
        <v>155</v>
      </c>
      <c r="CA280" s="81" t="s">
        <v>3934</v>
      </c>
      <c r="CC280" s="167">
        <v>0</v>
      </c>
      <c r="CD280" s="167">
        <v>0</v>
      </c>
      <c r="CE280" s="167">
        <v>0</v>
      </c>
      <c r="CF280" s="167">
        <v>0</v>
      </c>
      <c r="CG280" s="167">
        <f>N280</f>
        <v>10</v>
      </c>
      <c r="CH280" s="167">
        <v>0</v>
      </c>
      <c r="CI280" s="167">
        <v>0</v>
      </c>
      <c r="CJ280" s="167">
        <v>0</v>
      </c>
      <c r="CK280" s="167">
        <v>0</v>
      </c>
      <c r="CL280" s="167">
        <v>0</v>
      </c>
      <c r="CM280" s="167">
        <v>0</v>
      </c>
      <c r="CN280" s="167">
        <v>0</v>
      </c>
      <c r="CO280" s="167">
        <v>0</v>
      </c>
      <c r="CP280" s="167">
        <v>0</v>
      </c>
      <c r="CQ280" s="167">
        <v>0</v>
      </c>
      <c r="CR280" s="167">
        <v>0</v>
      </c>
      <c r="CS280" s="167">
        <v>0</v>
      </c>
      <c r="CT280" s="167">
        <v>0</v>
      </c>
      <c r="CU280" s="167">
        <v>0</v>
      </c>
      <c r="CV280" s="167">
        <v>0</v>
      </c>
      <c r="CW280" s="167">
        <v>0</v>
      </c>
      <c r="CX280" s="167">
        <f>SUM(CD280:CH280)</f>
        <v>10</v>
      </c>
      <c r="CY280" s="167">
        <f>SUM(CD280:CM280)</f>
        <v>10</v>
      </c>
    </row>
    <row r="281" spans="1:103" x14ac:dyDescent="0.2">
      <c r="A281" s="81">
        <v>2338</v>
      </c>
      <c r="B281" s="165" t="s">
        <v>1908</v>
      </c>
      <c r="C281" s="165" t="s">
        <v>313</v>
      </c>
      <c r="E281" s="165" t="s">
        <v>1997</v>
      </c>
      <c r="G281" s="81">
        <v>527689</v>
      </c>
      <c r="H281" s="81">
        <v>175864</v>
      </c>
      <c r="I281" s="165" t="s">
        <v>256</v>
      </c>
      <c r="J281" s="349">
        <v>43154</v>
      </c>
      <c r="L281" s="166">
        <v>0</v>
      </c>
      <c r="M281" s="166">
        <v>1</v>
      </c>
      <c r="N281" s="166">
        <v>1</v>
      </c>
      <c r="O281" s="166">
        <v>1</v>
      </c>
      <c r="P281" s="166">
        <v>1</v>
      </c>
      <c r="R281" s="165" t="s">
        <v>1119</v>
      </c>
      <c r="S281" s="81" t="s">
        <v>113</v>
      </c>
      <c r="T281" s="349">
        <v>41925</v>
      </c>
      <c r="U281" s="349">
        <v>42062</v>
      </c>
      <c r="W281" s="81" t="s">
        <v>114</v>
      </c>
      <c r="Y281" s="81" t="s">
        <v>115</v>
      </c>
      <c r="Z281" s="81" t="s">
        <v>116</v>
      </c>
      <c r="AA281" s="81" t="s">
        <v>117</v>
      </c>
      <c r="AB281" s="81" t="s">
        <v>218</v>
      </c>
      <c r="AC281" s="166">
        <v>8.0000003799796104E-3</v>
      </c>
      <c r="AD281" s="349">
        <v>43154</v>
      </c>
      <c r="AE281" s="81" t="s">
        <v>155</v>
      </c>
      <c r="AG281" s="81" t="s">
        <v>238</v>
      </c>
      <c r="AH281" s="81" t="s">
        <v>118</v>
      </c>
      <c r="AK281" s="166">
        <v>0</v>
      </c>
      <c r="AM281" s="166">
        <v>0</v>
      </c>
      <c r="AO281" s="166">
        <v>0</v>
      </c>
      <c r="AP281" s="166">
        <v>0</v>
      </c>
      <c r="AQ281" s="166">
        <v>1</v>
      </c>
      <c r="AR281" s="166">
        <v>0</v>
      </c>
      <c r="AS281" s="166">
        <v>0</v>
      </c>
      <c r="AT281" s="166">
        <v>0</v>
      </c>
      <c r="AU281" s="166">
        <v>0</v>
      </c>
      <c r="AV281" s="166">
        <v>0</v>
      </c>
      <c r="AW281" s="166">
        <v>0</v>
      </c>
      <c r="AX281" s="166">
        <v>1</v>
      </c>
      <c r="AY281" s="166">
        <v>0</v>
      </c>
      <c r="AZ281" s="166">
        <v>0</v>
      </c>
      <c r="BA281" s="166">
        <v>0</v>
      </c>
      <c r="BB281" s="166">
        <v>0</v>
      </c>
      <c r="BC281" s="166">
        <v>0</v>
      </c>
      <c r="BD281" s="166">
        <v>0</v>
      </c>
      <c r="BE281" s="166">
        <v>0</v>
      </c>
      <c r="BF281" s="166">
        <v>0</v>
      </c>
      <c r="BG281" s="166">
        <v>0</v>
      </c>
      <c r="BH281" s="166">
        <v>0</v>
      </c>
      <c r="BI281" s="166">
        <v>0</v>
      </c>
      <c r="BJ281" s="166">
        <v>0</v>
      </c>
      <c r="BK281" s="166">
        <v>0</v>
      </c>
      <c r="BL281" s="166">
        <v>0</v>
      </c>
      <c r="BM281" s="166">
        <v>0</v>
      </c>
      <c r="BN281" s="166">
        <v>0</v>
      </c>
      <c r="BO281" s="166">
        <v>0</v>
      </c>
      <c r="BP281" s="166">
        <v>0</v>
      </c>
      <c r="BQ281" s="81" t="s">
        <v>1757</v>
      </c>
      <c r="BZ281" s="81" t="s">
        <v>155</v>
      </c>
      <c r="CA281" s="81" t="s">
        <v>3977</v>
      </c>
      <c r="CC281" s="167">
        <v>0</v>
      </c>
      <c r="CD281" s="167">
        <f>$N281/2</f>
        <v>0.5</v>
      </c>
      <c r="CE281" s="167">
        <f>$N281/2</f>
        <v>0.5</v>
      </c>
      <c r="CF281" s="167">
        <v>0</v>
      </c>
      <c r="CG281" s="167">
        <v>0</v>
      </c>
      <c r="CH281" s="167">
        <v>0</v>
      </c>
      <c r="CI281" s="167">
        <v>0</v>
      </c>
      <c r="CJ281" s="167">
        <v>0</v>
      </c>
      <c r="CK281" s="167">
        <v>0</v>
      </c>
      <c r="CL281" s="167">
        <v>0</v>
      </c>
      <c r="CM281" s="167">
        <v>0</v>
      </c>
      <c r="CN281" s="167">
        <v>0</v>
      </c>
      <c r="CO281" s="167">
        <v>0</v>
      </c>
      <c r="CP281" s="167">
        <v>0</v>
      </c>
      <c r="CQ281" s="167">
        <v>0</v>
      </c>
      <c r="CR281" s="167">
        <v>0</v>
      </c>
      <c r="CS281" s="167">
        <v>0</v>
      </c>
      <c r="CT281" s="167">
        <v>0</v>
      </c>
      <c r="CU281" s="167">
        <v>0</v>
      </c>
      <c r="CV281" s="167">
        <v>0</v>
      </c>
      <c r="CW281" s="167">
        <v>0</v>
      </c>
      <c r="CX281" s="167">
        <f>SUM(CD281:CH281)</f>
        <v>1</v>
      </c>
      <c r="CY281" s="167">
        <f>SUM(CD281:CM281)</f>
        <v>1</v>
      </c>
    </row>
    <row r="282" spans="1:103" ht="12.75" customHeight="1" x14ac:dyDescent="0.2">
      <c r="A282" s="81">
        <v>2411</v>
      </c>
      <c r="B282" s="165" t="s">
        <v>1908</v>
      </c>
      <c r="C282" s="165" t="s">
        <v>4039</v>
      </c>
      <c r="D282" s="165" t="s">
        <v>508</v>
      </c>
      <c r="E282" s="165" t="s">
        <v>1982</v>
      </c>
      <c r="F282" s="165" t="s">
        <v>510</v>
      </c>
      <c r="G282" s="81">
        <v>528934</v>
      </c>
      <c r="H282" s="81">
        <v>177496</v>
      </c>
      <c r="I282" s="165" t="s">
        <v>240</v>
      </c>
      <c r="J282" s="349">
        <v>41698</v>
      </c>
      <c r="L282" s="166">
        <v>0</v>
      </c>
      <c r="M282" s="166">
        <v>253</v>
      </c>
      <c r="N282" s="166">
        <v>253</v>
      </c>
      <c r="O282" s="166">
        <v>253</v>
      </c>
      <c r="P282" s="166">
        <v>253</v>
      </c>
      <c r="Q282" s="81" t="s">
        <v>155</v>
      </c>
      <c r="R282" s="165" t="s">
        <v>4040</v>
      </c>
      <c r="S282" s="81" t="s">
        <v>1916</v>
      </c>
      <c r="T282" s="349">
        <v>42817</v>
      </c>
      <c r="U282" s="349">
        <v>42873</v>
      </c>
      <c r="V282" s="81" t="s">
        <v>155</v>
      </c>
      <c r="W282" s="81" t="s">
        <v>114</v>
      </c>
      <c r="Y282" s="81" t="s">
        <v>115</v>
      </c>
      <c r="Z282" s="81" t="s">
        <v>398</v>
      </c>
      <c r="AA282" s="81" t="s">
        <v>92</v>
      </c>
      <c r="AB282" s="81" t="s">
        <v>117</v>
      </c>
      <c r="AC282" s="166">
        <v>0.31900000000000001</v>
      </c>
      <c r="AD282" s="349">
        <v>41698</v>
      </c>
      <c r="AG282" s="81" t="s">
        <v>238</v>
      </c>
      <c r="AH282" s="81" t="s">
        <v>118</v>
      </c>
      <c r="AI282" s="352" t="s">
        <v>1983</v>
      </c>
      <c r="AK282" s="166">
        <v>253</v>
      </c>
      <c r="AM282" s="166">
        <v>25</v>
      </c>
      <c r="AO282" s="166">
        <v>73</v>
      </c>
      <c r="AP282" s="166">
        <v>48</v>
      </c>
      <c r="AQ282" s="166">
        <v>79</v>
      </c>
      <c r="AR282" s="166">
        <v>41</v>
      </c>
      <c r="AS282" s="166">
        <v>9</v>
      </c>
      <c r="AT282" s="166">
        <v>3</v>
      </c>
      <c r="AU282" s="166">
        <v>0</v>
      </c>
      <c r="AV282" s="166">
        <v>73</v>
      </c>
      <c r="AW282" s="166">
        <v>48</v>
      </c>
      <c r="AX282" s="166">
        <v>79</v>
      </c>
      <c r="AY282" s="166">
        <v>41</v>
      </c>
      <c r="AZ282" s="166">
        <v>9</v>
      </c>
      <c r="BA282" s="166">
        <v>3</v>
      </c>
      <c r="BB282" s="166">
        <v>0</v>
      </c>
      <c r="BC282" s="166">
        <v>0</v>
      </c>
      <c r="BD282" s="166">
        <v>0</v>
      </c>
      <c r="BE282" s="166">
        <v>0</v>
      </c>
      <c r="BF282" s="166">
        <v>0</v>
      </c>
      <c r="BG282" s="166">
        <v>0</v>
      </c>
      <c r="BH282" s="166">
        <v>0</v>
      </c>
      <c r="BI282" s="166">
        <v>0</v>
      </c>
      <c r="BJ282" s="166">
        <v>0</v>
      </c>
      <c r="BK282" s="166">
        <v>0</v>
      </c>
      <c r="BL282" s="166">
        <v>0</v>
      </c>
      <c r="BM282" s="166">
        <v>0</v>
      </c>
      <c r="BN282" s="166">
        <v>0</v>
      </c>
      <c r="BO282" s="166">
        <v>0</v>
      </c>
      <c r="BP282" s="166">
        <v>0</v>
      </c>
      <c r="BQ282" s="81" t="s">
        <v>1759</v>
      </c>
      <c r="BS282" s="81" t="s">
        <v>155</v>
      </c>
      <c r="BZ282" s="81" t="s">
        <v>155</v>
      </c>
      <c r="CA282" s="81">
        <v>12</v>
      </c>
      <c r="CC282" s="167">
        <v>0</v>
      </c>
      <c r="CD282" s="167">
        <v>0</v>
      </c>
      <c r="CE282" s="167">
        <v>0</v>
      </c>
      <c r="CF282" s="167">
        <v>253</v>
      </c>
      <c r="CG282" s="167">
        <v>0</v>
      </c>
      <c r="CH282" s="167">
        <v>0</v>
      </c>
      <c r="CI282" s="167">
        <v>0</v>
      </c>
      <c r="CJ282" s="167">
        <v>0</v>
      </c>
      <c r="CK282" s="167">
        <v>0</v>
      </c>
      <c r="CL282" s="167">
        <v>0</v>
      </c>
      <c r="CM282" s="167">
        <v>0</v>
      </c>
      <c r="CN282" s="167">
        <v>0</v>
      </c>
      <c r="CO282" s="167">
        <v>0</v>
      </c>
      <c r="CP282" s="167">
        <v>0</v>
      </c>
      <c r="CQ282" s="167">
        <v>0</v>
      </c>
      <c r="CR282" s="167">
        <v>0</v>
      </c>
      <c r="CS282" s="167">
        <v>0</v>
      </c>
      <c r="CT282" s="167">
        <v>0</v>
      </c>
      <c r="CU282" s="167">
        <v>0</v>
      </c>
      <c r="CV282" s="167">
        <v>0</v>
      </c>
      <c r="CW282" s="167">
        <v>0</v>
      </c>
      <c r="CX282" s="167">
        <f>SUM(CD282:CH282)</f>
        <v>253</v>
      </c>
      <c r="CY282" s="167">
        <f>SUM(CD282:CM282)</f>
        <v>253</v>
      </c>
    </row>
    <row r="283" spans="1:103" ht="12.75" customHeight="1" x14ac:dyDescent="0.2">
      <c r="A283" s="81">
        <v>2411</v>
      </c>
      <c r="B283" s="165" t="s">
        <v>1908</v>
      </c>
      <c r="C283" s="165" t="s">
        <v>1846</v>
      </c>
      <c r="D283" s="165" t="s">
        <v>508</v>
      </c>
      <c r="E283" s="165" t="s">
        <v>1982</v>
      </c>
      <c r="F283" s="165" t="s">
        <v>1847</v>
      </c>
      <c r="G283" s="81">
        <v>528934</v>
      </c>
      <c r="H283" s="81">
        <v>177496</v>
      </c>
      <c r="I283" s="165" t="s">
        <v>240</v>
      </c>
      <c r="J283" s="349">
        <v>42506</v>
      </c>
      <c r="L283" s="166">
        <v>0</v>
      </c>
      <c r="M283" s="166">
        <v>536</v>
      </c>
      <c r="N283" s="166">
        <v>536</v>
      </c>
      <c r="O283" s="166">
        <v>1363</v>
      </c>
      <c r="P283" s="166">
        <v>1363</v>
      </c>
      <c r="Q283" s="81" t="s">
        <v>155</v>
      </c>
      <c r="R283" s="165" t="s">
        <v>1849</v>
      </c>
      <c r="S283" s="81" t="s">
        <v>1998</v>
      </c>
      <c r="T283" s="349">
        <v>43010</v>
      </c>
      <c r="U283" s="349">
        <v>43066</v>
      </c>
      <c r="V283" s="81" t="s">
        <v>155</v>
      </c>
      <c r="W283" s="81" t="s">
        <v>114</v>
      </c>
      <c r="Y283" s="81" t="s">
        <v>115</v>
      </c>
      <c r="Z283" s="81" t="s">
        <v>116</v>
      </c>
      <c r="AA283" s="81" t="s">
        <v>116</v>
      </c>
      <c r="AB283" s="81" t="s">
        <v>117</v>
      </c>
      <c r="AC283" s="166">
        <v>0.67700000000000005</v>
      </c>
      <c r="AD283" s="349">
        <v>42506</v>
      </c>
      <c r="AG283" s="81" t="s">
        <v>238</v>
      </c>
      <c r="AH283" s="81" t="s">
        <v>118</v>
      </c>
      <c r="AI283" s="353" t="s">
        <v>1983</v>
      </c>
      <c r="AK283" s="166">
        <v>536</v>
      </c>
      <c r="AM283" s="166">
        <v>54</v>
      </c>
      <c r="AO283" s="166">
        <v>57</v>
      </c>
      <c r="AP283" s="166">
        <v>65</v>
      </c>
      <c r="AQ283" s="166">
        <v>234</v>
      </c>
      <c r="AR283" s="166">
        <v>131</v>
      </c>
      <c r="AS283" s="166">
        <v>16</v>
      </c>
      <c r="AT283" s="166">
        <v>33</v>
      </c>
      <c r="AU283" s="166">
        <v>0</v>
      </c>
      <c r="AV283" s="166">
        <v>57</v>
      </c>
      <c r="AW283" s="166">
        <v>65</v>
      </c>
      <c r="AX283" s="166">
        <v>234</v>
      </c>
      <c r="AY283" s="166">
        <v>131</v>
      </c>
      <c r="AZ283" s="166">
        <v>16</v>
      </c>
      <c r="BA283" s="166">
        <v>33</v>
      </c>
      <c r="BB283" s="166">
        <v>0</v>
      </c>
      <c r="BC283" s="166">
        <v>0</v>
      </c>
      <c r="BD283" s="166">
        <v>0</v>
      </c>
      <c r="BE283" s="166">
        <v>0</v>
      </c>
      <c r="BF283" s="166">
        <v>0</v>
      </c>
      <c r="BG283" s="166">
        <v>0</v>
      </c>
      <c r="BH283" s="166">
        <v>0</v>
      </c>
      <c r="BI283" s="166">
        <v>0</v>
      </c>
      <c r="BJ283" s="166">
        <v>0</v>
      </c>
      <c r="BK283" s="166">
        <v>0</v>
      </c>
      <c r="BL283" s="166">
        <v>0</v>
      </c>
      <c r="BM283" s="166">
        <v>0</v>
      </c>
      <c r="BN283" s="166">
        <v>0</v>
      </c>
      <c r="BO283" s="166">
        <v>0</v>
      </c>
      <c r="BP283" s="166">
        <v>0</v>
      </c>
      <c r="BQ283" s="81" t="s">
        <v>1759</v>
      </c>
      <c r="BS283" s="81" t="s">
        <v>155</v>
      </c>
      <c r="BZ283" s="81" t="s">
        <v>155</v>
      </c>
      <c r="CA283" s="81">
        <v>12</v>
      </c>
      <c r="CC283" s="167">
        <v>0</v>
      </c>
      <c r="CD283" s="167">
        <v>0</v>
      </c>
      <c r="CE283" s="167">
        <v>536</v>
      </c>
      <c r="CF283" s="167">
        <v>0</v>
      </c>
      <c r="CG283" s="167">
        <v>0</v>
      </c>
      <c r="CH283" s="167">
        <v>0</v>
      </c>
      <c r="CI283" s="167">
        <v>0</v>
      </c>
      <c r="CJ283" s="167">
        <v>0</v>
      </c>
      <c r="CK283" s="167">
        <v>0</v>
      </c>
      <c r="CL283" s="167">
        <v>0</v>
      </c>
      <c r="CM283" s="167">
        <v>0</v>
      </c>
      <c r="CN283" s="167">
        <v>0</v>
      </c>
      <c r="CO283" s="167">
        <v>0</v>
      </c>
      <c r="CP283" s="167">
        <v>0</v>
      </c>
      <c r="CQ283" s="167">
        <v>0</v>
      </c>
      <c r="CR283" s="167">
        <v>0</v>
      </c>
      <c r="CS283" s="167">
        <v>0</v>
      </c>
      <c r="CT283" s="167">
        <v>0</v>
      </c>
      <c r="CU283" s="167">
        <v>0</v>
      </c>
      <c r="CV283" s="167">
        <v>0</v>
      </c>
      <c r="CW283" s="167">
        <v>0</v>
      </c>
      <c r="CX283" s="167">
        <f>SUM(CD283:CH283)</f>
        <v>536</v>
      </c>
      <c r="CY283" s="167">
        <f>SUM(CD283:CM283)</f>
        <v>536</v>
      </c>
    </row>
    <row r="284" spans="1:103" ht="12.75" customHeight="1" x14ac:dyDescent="0.2">
      <c r="A284" s="81">
        <v>2502</v>
      </c>
      <c r="B284" s="165" t="s">
        <v>1908</v>
      </c>
      <c r="C284" s="165" t="s">
        <v>236</v>
      </c>
      <c r="E284" s="165" t="s">
        <v>1993</v>
      </c>
      <c r="F284" s="165" t="s">
        <v>1082</v>
      </c>
      <c r="G284" s="81">
        <v>527221</v>
      </c>
      <c r="H284" s="81">
        <v>172443</v>
      </c>
      <c r="I284" s="165" t="s">
        <v>260</v>
      </c>
      <c r="J284" s="349">
        <v>42244</v>
      </c>
      <c r="L284" s="166">
        <v>0</v>
      </c>
      <c r="M284" s="166">
        <v>69</v>
      </c>
      <c r="N284" s="166">
        <v>69</v>
      </c>
      <c r="O284" s="166">
        <v>839</v>
      </c>
      <c r="P284" s="166">
        <v>839</v>
      </c>
      <c r="Q284" s="81" t="s">
        <v>155</v>
      </c>
      <c r="R284" s="165" t="s">
        <v>738</v>
      </c>
      <c r="S284" s="81" t="s">
        <v>296</v>
      </c>
      <c r="T284" s="349">
        <v>40431</v>
      </c>
      <c r="U284" s="349">
        <v>40587</v>
      </c>
      <c r="W284" s="81" t="s">
        <v>297</v>
      </c>
      <c r="X284" s="349">
        <v>41082</v>
      </c>
      <c r="Y284" s="81" t="s">
        <v>115</v>
      </c>
      <c r="Z284" s="81" t="s">
        <v>398</v>
      </c>
      <c r="AA284" s="81" t="s">
        <v>116</v>
      </c>
      <c r="AB284" s="81" t="s">
        <v>117</v>
      </c>
      <c r="AC284" s="166">
        <v>0.96600002050399802</v>
      </c>
      <c r="AG284" s="81" t="s">
        <v>154</v>
      </c>
      <c r="AH284" s="81" t="s">
        <v>276</v>
      </c>
      <c r="AI284" s="81" t="s">
        <v>1994</v>
      </c>
      <c r="AK284" s="166">
        <v>69</v>
      </c>
      <c r="AM284" s="166">
        <v>6</v>
      </c>
      <c r="AO284" s="166">
        <v>0</v>
      </c>
      <c r="AP284" s="166">
        <v>0</v>
      </c>
      <c r="AQ284" s="166">
        <v>10</v>
      </c>
      <c r="AR284" s="166">
        <v>52</v>
      </c>
      <c r="AS284" s="166">
        <v>7</v>
      </c>
      <c r="AT284" s="166">
        <v>0</v>
      </c>
      <c r="AU284" s="166">
        <v>0</v>
      </c>
      <c r="AV284" s="166">
        <v>0</v>
      </c>
      <c r="AW284" s="166">
        <v>0</v>
      </c>
      <c r="AX284" s="166">
        <v>0</v>
      </c>
      <c r="AY284" s="166">
        <v>0</v>
      </c>
      <c r="AZ284" s="166">
        <v>0</v>
      </c>
      <c r="BA284" s="166">
        <v>0</v>
      </c>
      <c r="BB284" s="166">
        <v>0</v>
      </c>
      <c r="BC284" s="166">
        <v>0</v>
      </c>
      <c r="BD284" s="166">
        <v>0</v>
      </c>
      <c r="BE284" s="166">
        <v>10</v>
      </c>
      <c r="BF284" s="166">
        <v>52</v>
      </c>
      <c r="BG284" s="166">
        <v>7</v>
      </c>
      <c r="BH284" s="166">
        <v>0</v>
      </c>
      <c r="BI284" s="166">
        <v>0</v>
      </c>
      <c r="BJ284" s="166">
        <v>0</v>
      </c>
      <c r="BK284" s="166">
        <v>0</v>
      </c>
      <c r="BL284" s="166">
        <v>0</v>
      </c>
      <c r="BM284" s="166">
        <v>0</v>
      </c>
      <c r="BN284" s="166">
        <v>0</v>
      </c>
      <c r="BO284" s="166">
        <v>0</v>
      </c>
      <c r="BP284" s="166">
        <v>0</v>
      </c>
      <c r="BQ284" s="81" t="s">
        <v>1758</v>
      </c>
      <c r="BZ284" s="81" t="s">
        <v>155</v>
      </c>
      <c r="CA284" s="81" t="s">
        <v>3934</v>
      </c>
      <c r="CC284" s="167">
        <v>0</v>
      </c>
      <c r="CD284" s="167">
        <v>0</v>
      </c>
      <c r="CE284" s="167">
        <v>0</v>
      </c>
      <c r="CF284" s="167">
        <v>0</v>
      </c>
      <c r="CG284" s="167">
        <v>69</v>
      </c>
      <c r="CH284" s="167">
        <v>0</v>
      </c>
      <c r="CI284" s="167">
        <v>0</v>
      </c>
      <c r="CJ284" s="167">
        <v>0</v>
      </c>
      <c r="CK284" s="167">
        <v>0</v>
      </c>
      <c r="CL284" s="167">
        <v>0</v>
      </c>
      <c r="CM284" s="167">
        <v>0</v>
      </c>
      <c r="CN284" s="167">
        <v>0</v>
      </c>
      <c r="CO284" s="167">
        <v>0</v>
      </c>
      <c r="CP284" s="167">
        <v>0</v>
      </c>
      <c r="CQ284" s="167">
        <v>0</v>
      </c>
      <c r="CR284" s="167">
        <v>0</v>
      </c>
      <c r="CS284" s="167">
        <v>0</v>
      </c>
      <c r="CT284" s="167">
        <v>0</v>
      </c>
      <c r="CU284" s="167">
        <v>0</v>
      </c>
      <c r="CV284" s="167">
        <v>0</v>
      </c>
      <c r="CW284" s="167">
        <v>0</v>
      </c>
      <c r="CX284" s="167">
        <f>SUM(CD284:CH284)</f>
        <v>69</v>
      </c>
      <c r="CY284" s="167">
        <f>SUM(CD284:CM284)</f>
        <v>69</v>
      </c>
    </row>
    <row r="285" spans="1:103" ht="12.75" customHeight="1" x14ac:dyDescent="0.2">
      <c r="A285" s="81">
        <v>2502</v>
      </c>
      <c r="B285" s="165" t="s">
        <v>1908</v>
      </c>
      <c r="C285" s="165" t="s">
        <v>236</v>
      </c>
      <c r="E285" s="165" t="s">
        <v>1993</v>
      </c>
      <c r="F285" s="165" t="s">
        <v>734</v>
      </c>
      <c r="G285" s="81">
        <v>527221</v>
      </c>
      <c r="H285" s="81">
        <v>172443</v>
      </c>
      <c r="I285" s="165" t="s">
        <v>260</v>
      </c>
      <c r="J285" s="349">
        <v>42244</v>
      </c>
      <c r="L285" s="166">
        <v>0</v>
      </c>
      <c r="M285" s="166">
        <v>46</v>
      </c>
      <c r="N285" s="166">
        <v>46</v>
      </c>
      <c r="O285" s="166">
        <v>839</v>
      </c>
      <c r="P285" s="166">
        <v>839</v>
      </c>
      <c r="Q285" s="81" t="s">
        <v>155</v>
      </c>
      <c r="R285" s="165" t="s">
        <v>738</v>
      </c>
      <c r="S285" s="81" t="s">
        <v>296</v>
      </c>
      <c r="T285" s="349">
        <v>40431</v>
      </c>
      <c r="U285" s="349">
        <v>40587</v>
      </c>
      <c r="W285" s="81" t="s">
        <v>297</v>
      </c>
      <c r="X285" s="349">
        <v>41082</v>
      </c>
      <c r="Y285" s="81" t="s">
        <v>115</v>
      </c>
      <c r="Z285" s="81" t="s">
        <v>398</v>
      </c>
      <c r="AA285" s="81" t="s">
        <v>116</v>
      </c>
      <c r="AB285" s="81" t="s">
        <v>117</v>
      </c>
      <c r="AC285" s="166">
        <v>0.64399999380111705</v>
      </c>
      <c r="AG285" s="81" t="s">
        <v>154</v>
      </c>
      <c r="AH285" s="81" t="s">
        <v>312</v>
      </c>
      <c r="AI285" s="81" t="s">
        <v>1994</v>
      </c>
      <c r="AK285" s="166">
        <v>46</v>
      </c>
      <c r="AM285" s="166">
        <v>4</v>
      </c>
      <c r="AO285" s="166">
        <v>0</v>
      </c>
      <c r="AP285" s="166">
        <v>40</v>
      </c>
      <c r="AQ285" s="166">
        <v>6</v>
      </c>
      <c r="AR285" s="166">
        <v>0</v>
      </c>
      <c r="AS285" s="166">
        <v>0</v>
      </c>
      <c r="AT285" s="166">
        <v>0</v>
      </c>
      <c r="AU285" s="166">
        <v>0</v>
      </c>
      <c r="AV285" s="166">
        <v>0</v>
      </c>
      <c r="AW285" s="166">
        <v>40</v>
      </c>
      <c r="AX285" s="166">
        <v>6</v>
      </c>
      <c r="AY285" s="166">
        <v>0</v>
      </c>
      <c r="AZ285" s="166">
        <v>0</v>
      </c>
      <c r="BA285" s="166">
        <v>0</v>
      </c>
      <c r="BB285" s="166">
        <v>0</v>
      </c>
      <c r="BC285" s="166">
        <v>0</v>
      </c>
      <c r="BD285" s="166">
        <v>0</v>
      </c>
      <c r="BE285" s="166">
        <v>0</v>
      </c>
      <c r="BF285" s="166">
        <v>0</v>
      </c>
      <c r="BG285" s="166">
        <v>0</v>
      </c>
      <c r="BH285" s="166">
        <v>0</v>
      </c>
      <c r="BI285" s="166">
        <v>0</v>
      </c>
      <c r="BJ285" s="166">
        <v>0</v>
      </c>
      <c r="BK285" s="166">
        <v>0</v>
      </c>
      <c r="BL285" s="166">
        <v>0</v>
      </c>
      <c r="BM285" s="166">
        <v>0</v>
      </c>
      <c r="BN285" s="166">
        <v>0</v>
      </c>
      <c r="BO285" s="166">
        <v>0</v>
      </c>
      <c r="BP285" s="166">
        <v>0</v>
      </c>
      <c r="BQ285" s="81" t="s">
        <v>1758</v>
      </c>
      <c r="BZ285" s="81" t="s">
        <v>155</v>
      </c>
      <c r="CA285" s="81" t="s">
        <v>3934</v>
      </c>
      <c r="CC285" s="167">
        <v>0</v>
      </c>
      <c r="CD285" s="167">
        <v>0</v>
      </c>
      <c r="CE285" s="167">
        <v>0</v>
      </c>
      <c r="CF285" s="167">
        <v>0</v>
      </c>
      <c r="CG285" s="167">
        <v>0</v>
      </c>
      <c r="CH285" s="167">
        <v>46</v>
      </c>
      <c r="CI285" s="167">
        <v>0</v>
      </c>
      <c r="CJ285" s="167">
        <v>0</v>
      </c>
      <c r="CK285" s="167">
        <v>0</v>
      </c>
      <c r="CL285" s="167">
        <v>0</v>
      </c>
      <c r="CM285" s="167">
        <v>0</v>
      </c>
      <c r="CN285" s="167">
        <v>0</v>
      </c>
      <c r="CO285" s="167">
        <v>0</v>
      </c>
      <c r="CP285" s="167">
        <v>0</v>
      </c>
      <c r="CQ285" s="167">
        <v>0</v>
      </c>
      <c r="CR285" s="167">
        <v>0</v>
      </c>
      <c r="CS285" s="167">
        <v>0</v>
      </c>
      <c r="CT285" s="167">
        <v>0</v>
      </c>
      <c r="CU285" s="167">
        <v>0</v>
      </c>
      <c r="CV285" s="167">
        <v>0</v>
      </c>
      <c r="CW285" s="167">
        <v>0</v>
      </c>
      <c r="CX285" s="167">
        <f>SUM(CD285:CH285)</f>
        <v>46</v>
      </c>
      <c r="CY285" s="167">
        <f>SUM(CD285:CM285)</f>
        <v>46</v>
      </c>
    </row>
    <row r="286" spans="1:103" ht="12.75" customHeight="1" x14ac:dyDescent="0.2">
      <c r="A286" s="81">
        <v>2502</v>
      </c>
      <c r="B286" s="165" t="s">
        <v>1908</v>
      </c>
      <c r="C286" s="165" t="s">
        <v>236</v>
      </c>
      <c r="E286" s="165" t="s">
        <v>1993</v>
      </c>
      <c r="F286" s="165" t="s">
        <v>735</v>
      </c>
      <c r="G286" s="81">
        <v>527221</v>
      </c>
      <c r="H286" s="81">
        <v>172443</v>
      </c>
      <c r="I286" s="165" t="s">
        <v>260</v>
      </c>
      <c r="J286" s="349">
        <v>42244</v>
      </c>
      <c r="L286" s="166">
        <v>0</v>
      </c>
      <c r="M286" s="166">
        <v>262</v>
      </c>
      <c r="N286" s="166">
        <v>262</v>
      </c>
      <c r="O286" s="166">
        <v>839</v>
      </c>
      <c r="P286" s="166">
        <v>839</v>
      </c>
      <c r="Q286" s="81" t="s">
        <v>155</v>
      </c>
      <c r="R286" s="165" t="s">
        <v>738</v>
      </c>
      <c r="S286" s="81" t="s">
        <v>296</v>
      </c>
      <c r="T286" s="349">
        <v>40431</v>
      </c>
      <c r="U286" s="349">
        <v>40587</v>
      </c>
      <c r="W286" s="81" t="s">
        <v>297</v>
      </c>
      <c r="X286" s="349">
        <v>41082</v>
      </c>
      <c r="Y286" s="81" t="s">
        <v>115</v>
      </c>
      <c r="Z286" s="81" t="s">
        <v>398</v>
      </c>
      <c r="AA286" s="81" t="s">
        <v>345</v>
      </c>
      <c r="AB286" s="81" t="s">
        <v>117</v>
      </c>
      <c r="AC286" s="166">
        <v>3.6659998893737802</v>
      </c>
      <c r="AG286" s="81" t="s">
        <v>238</v>
      </c>
      <c r="AH286" s="81" t="s">
        <v>118</v>
      </c>
      <c r="AI286" s="81" t="s">
        <v>1994</v>
      </c>
      <c r="AK286" s="166">
        <v>262</v>
      </c>
      <c r="AM286" s="166">
        <v>26</v>
      </c>
      <c r="AO286" s="166">
        <v>0</v>
      </c>
      <c r="AP286" s="166">
        <v>41</v>
      </c>
      <c r="AQ286" s="166">
        <v>150</v>
      </c>
      <c r="AR286" s="166">
        <v>71</v>
      </c>
      <c r="AS286" s="166">
        <v>0</v>
      </c>
      <c r="AT286" s="166">
        <v>0</v>
      </c>
      <c r="AU286" s="166">
        <v>0</v>
      </c>
      <c r="AV286" s="166">
        <v>0</v>
      </c>
      <c r="AW286" s="166">
        <v>41</v>
      </c>
      <c r="AX286" s="166">
        <v>150</v>
      </c>
      <c r="AY286" s="166">
        <v>70</v>
      </c>
      <c r="AZ286" s="166">
        <v>0</v>
      </c>
      <c r="BA286" s="166">
        <v>0</v>
      </c>
      <c r="BB286" s="166">
        <v>0</v>
      </c>
      <c r="BC286" s="166">
        <v>0</v>
      </c>
      <c r="BD286" s="166">
        <v>0</v>
      </c>
      <c r="BE286" s="166">
        <v>0</v>
      </c>
      <c r="BF286" s="166">
        <v>1</v>
      </c>
      <c r="BG286" s="166">
        <v>0</v>
      </c>
      <c r="BH286" s="166">
        <v>0</v>
      </c>
      <c r="BI286" s="166">
        <v>0</v>
      </c>
      <c r="BJ286" s="166">
        <v>0</v>
      </c>
      <c r="BK286" s="166">
        <v>0</v>
      </c>
      <c r="BL286" s="166">
        <v>0</v>
      </c>
      <c r="BM286" s="166">
        <v>0</v>
      </c>
      <c r="BN286" s="166">
        <v>0</v>
      </c>
      <c r="BO286" s="166">
        <v>0</v>
      </c>
      <c r="BP286" s="166">
        <v>0</v>
      </c>
      <c r="BQ286" s="81" t="s">
        <v>1758</v>
      </c>
      <c r="BZ286" s="81" t="s">
        <v>155</v>
      </c>
      <c r="CA286" s="81" t="s">
        <v>3934</v>
      </c>
      <c r="CC286" s="167">
        <v>0</v>
      </c>
      <c r="CD286" s="167">
        <v>0</v>
      </c>
      <c r="CE286" s="167">
        <v>0</v>
      </c>
      <c r="CF286" s="167">
        <v>0</v>
      </c>
      <c r="CG286" s="167">
        <v>0</v>
      </c>
      <c r="CH286" s="167">
        <v>0</v>
      </c>
      <c r="CI286" s="167">
        <v>262</v>
      </c>
      <c r="CJ286" s="167">
        <v>0</v>
      </c>
      <c r="CK286" s="167">
        <v>0</v>
      </c>
      <c r="CL286" s="167">
        <v>0</v>
      </c>
      <c r="CM286" s="167">
        <v>0</v>
      </c>
      <c r="CN286" s="167">
        <v>0</v>
      </c>
      <c r="CO286" s="167">
        <v>0</v>
      </c>
      <c r="CP286" s="167">
        <v>0</v>
      </c>
      <c r="CQ286" s="167">
        <v>0</v>
      </c>
      <c r="CR286" s="167">
        <v>0</v>
      </c>
      <c r="CS286" s="167">
        <v>0</v>
      </c>
      <c r="CT286" s="167">
        <v>0</v>
      </c>
      <c r="CU286" s="167">
        <v>0</v>
      </c>
      <c r="CV286" s="167">
        <v>0</v>
      </c>
      <c r="CW286" s="167">
        <v>0</v>
      </c>
      <c r="CX286" s="167">
        <f>SUM(CD286:CH286)</f>
        <v>0</v>
      </c>
      <c r="CY286" s="167">
        <f>SUM(CD286:CM286)</f>
        <v>262</v>
      </c>
    </row>
    <row r="287" spans="1:103" ht="12.75" customHeight="1" x14ac:dyDescent="0.2">
      <c r="A287" s="81">
        <v>2502</v>
      </c>
      <c r="B287" s="165" t="s">
        <v>1908</v>
      </c>
      <c r="C287" s="165" t="s">
        <v>236</v>
      </c>
      <c r="E287" s="165" t="s">
        <v>1993</v>
      </c>
      <c r="F287" s="165" t="s">
        <v>505</v>
      </c>
      <c r="G287" s="81">
        <v>527221</v>
      </c>
      <c r="H287" s="81">
        <v>172443</v>
      </c>
      <c r="I287" s="165" t="s">
        <v>260</v>
      </c>
      <c r="J287" s="349">
        <v>42244</v>
      </c>
      <c r="L287" s="166">
        <v>0</v>
      </c>
      <c r="M287" s="166">
        <v>383</v>
      </c>
      <c r="N287" s="166">
        <v>383</v>
      </c>
      <c r="O287" s="166">
        <v>839</v>
      </c>
      <c r="P287" s="166">
        <v>839</v>
      </c>
      <c r="Q287" s="81" t="s">
        <v>155</v>
      </c>
      <c r="R287" s="165" t="s">
        <v>738</v>
      </c>
      <c r="S287" s="81" t="s">
        <v>296</v>
      </c>
      <c r="T287" s="349">
        <v>40431</v>
      </c>
      <c r="U287" s="349">
        <v>40587</v>
      </c>
      <c r="W287" s="81" t="s">
        <v>297</v>
      </c>
      <c r="X287" s="349">
        <v>41082</v>
      </c>
      <c r="Y287" s="81" t="s">
        <v>115</v>
      </c>
      <c r="Z287" s="81" t="s">
        <v>398</v>
      </c>
      <c r="AA287" s="81" t="s">
        <v>116</v>
      </c>
      <c r="AB287" s="81" t="s">
        <v>117</v>
      </c>
      <c r="AC287" s="166">
        <v>5.72300004959106</v>
      </c>
      <c r="AG287" s="81" t="s">
        <v>238</v>
      </c>
      <c r="AH287" s="81" t="s">
        <v>118</v>
      </c>
      <c r="AI287" s="81" t="s">
        <v>1994</v>
      </c>
      <c r="AK287" s="166">
        <v>409</v>
      </c>
      <c r="AM287" s="166">
        <v>40</v>
      </c>
      <c r="AO287" s="166">
        <v>0</v>
      </c>
      <c r="AP287" s="166">
        <v>87</v>
      </c>
      <c r="AQ287" s="166">
        <v>105</v>
      </c>
      <c r="AR287" s="166">
        <v>107</v>
      </c>
      <c r="AS287" s="166">
        <v>24</v>
      </c>
      <c r="AT287" s="166">
        <v>60</v>
      </c>
      <c r="AU287" s="166">
        <v>0</v>
      </c>
      <c r="AV287" s="166">
        <v>0</v>
      </c>
      <c r="AW287" s="166">
        <v>87</v>
      </c>
      <c r="AX287" s="166">
        <v>67</v>
      </c>
      <c r="AY287" s="166">
        <v>36</v>
      </c>
      <c r="AZ287" s="166">
        <v>0</v>
      </c>
      <c r="BA287" s="166">
        <v>0</v>
      </c>
      <c r="BB287" s="166">
        <v>0</v>
      </c>
      <c r="BC287" s="166">
        <v>0</v>
      </c>
      <c r="BD287" s="166">
        <v>0</v>
      </c>
      <c r="BE287" s="166">
        <v>38</v>
      </c>
      <c r="BF287" s="166">
        <v>71</v>
      </c>
      <c r="BG287" s="166">
        <v>24</v>
      </c>
      <c r="BH287" s="166">
        <v>60</v>
      </c>
      <c r="BI287" s="166">
        <v>0</v>
      </c>
      <c r="BJ287" s="166">
        <v>0</v>
      </c>
      <c r="BK287" s="166">
        <v>0</v>
      </c>
      <c r="BL287" s="166">
        <v>0</v>
      </c>
      <c r="BM287" s="166">
        <v>0</v>
      </c>
      <c r="BN287" s="166">
        <v>0</v>
      </c>
      <c r="BO287" s="166">
        <v>0</v>
      </c>
      <c r="BP287" s="166">
        <v>0</v>
      </c>
      <c r="BQ287" s="81" t="s">
        <v>1758</v>
      </c>
      <c r="BZ287" s="81" t="s">
        <v>155</v>
      </c>
      <c r="CA287" s="81" t="s">
        <v>3934</v>
      </c>
      <c r="CC287" s="167">
        <v>0</v>
      </c>
      <c r="CD287" s="167">
        <v>0</v>
      </c>
      <c r="CE287" s="167">
        <v>0</v>
      </c>
      <c r="CF287" s="167">
        <v>0</v>
      </c>
      <c r="CG287" s="167">
        <f>87+50</f>
        <v>137</v>
      </c>
      <c r="CH287" s="167">
        <f>95-46</f>
        <v>49</v>
      </c>
      <c r="CI287" s="167">
        <v>31</v>
      </c>
      <c r="CJ287" s="167">
        <v>58</v>
      </c>
      <c r="CK287" s="167">
        <f>151-43</f>
        <v>108</v>
      </c>
      <c r="CL287" s="167">
        <v>0</v>
      </c>
      <c r="CM287" s="167">
        <v>0</v>
      </c>
      <c r="CN287" s="167">
        <v>0</v>
      </c>
      <c r="CO287" s="167">
        <v>0</v>
      </c>
      <c r="CP287" s="167">
        <v>0</v>
      </c>
      <c r="CQ287" s="167">
        <v>0</v>
      </c>
      <c r="CR287" s="167">
        <v>0</v>
      </c>
      <c r="CS287" s="167">
        <v>0</v>
      </c>
      <c r="CT287" s="167">
        <v>0</v>
      </c>
      <c r="CU287" s="167">
        <v>0</v>
      </c>
      <c r="CV287" s="167">
        <v>0</v>
      </c>
      <c r="CW287" s="167">
        <v>0</v>
      </c>
      <c r="CX287" s="167">
        <f>SUM(CD287:CH287)</f>
        <v>186</v>
      </c>
      <c r="CY287" s="167">
        <f>SUM(CD287:CM287)</f>
        <v>383</v>
      </c>
    </row>
    <row r="288" spans="1:103" ht="12.75" customHeight="1" x14ac:dyDescent="0.2">
      <c r="A288" s="81">
        <v>2502</v>
      </c>
      <c r="B288" s="165" t="s">
        <v>1908</v>
      </c>
      <c r="C288" s="165" t="s">
        <v>236</v>
      </c>
      <c r="E288" s="165" t="s">
        <v>1993</v>
      </c>
      <c r="F288" s="165" t="s">
        <v>1083</v>
      </c>
      <c r="G288" s="81">
        <v>527221</v>
      </c>
      <c r="H288" s="81">
        <v>172443</v>
      </c>
      <c r="I288" s="165" t="s">
        <v>260</v>
      </c>
      <c r="J288" s="349">
        <v>42244</v>
      </c>
      <c r="L288" s="166">
        <v>0</v>
      </c>
      <c r="M288" s="166">
        <v>10</v>
      </c>
      <c r="N288" s="166">
        <v>10</v>
      </c>
      <c r="O288" s="166">
        <v>839</v>
      </c>
      <c r="P288" s="166">
        <v>839</v>
      </c>
      <c r="Q288" s="81" t="s">
        <v>155</v>
      </c>
      <c r="R288" s="165" t="s">
        <v>738</v>
      </c>
      <c r="S288" s="81" t="s">
        <v>296</v>
      </c>
      <c r="T288" s="349">
        <v>40431</v>
      </c>
      <c r="U288" s="349">
        <v>40587</v>
      </c>
      <c r="W288" s="81" t="s">
        <v>297</v>
      </c>
      <c r="X288" s="349">
        <v>41082</v>
      </c>
      <c r="Y288" s="81" t="s">
        <v>115</v>
      </c>
      <c r="Z288" s="81" t="s">
        <v>398</v>
      </c>
      <c r="AA288" s="81" t="s">
        <v>116</v>
      </c>
      <c r="AB288" s="81" t="s">
        <v>117</v>
      </c>
      <c r="AC288" s="166">
        <v>1.4000000432133701E-2</v>
      </c>
      <c r="AG288" s="81" t="s">
        <v>154</v>
      </c>
      <c r="AH288" s="81" t="s">
        <v>276</v>
      </c>
      <c r="AI288" s="81" t="s">
        <v>1994</v>
      </c>
      <c r="AK288" s="166">
        <v>10</v>
      </c>
      <c r="AM288" s="166">
        <v>1</v>
      </c>
      <c r="AO288" s="166">
        <v>0</v>
      </c>
      <c r="AP288" s="166">
        <v>10</v>
      </c>
      <c r="AQ288" s="166">
        <v>0</v>
      </c>
      <c r="AR288" s="166">
        <v>0</v>
      </c>
      <c r="AS288" s="166">
        <v>0</v>
      </c>
      <c r="AT288" s="166">
        <v>0</v>
      </c>
      <c r="AU288" s="166">
        <v>0</v>
      </c>
      <c r="AV288" s="166">
        <v>0</v>
      </c>
      <c r="AW288" s="166">
        <v>10</v>
      </c>
      <c r="AX288" s="166">
        <v>0</v>
      </c>
      <c r="AY288" s="166">
        <v>0</v>
      </c>
      <c r="AZ288" s="166">
        <v>0</v>
      </c>
      <c r="BA288" s="166">
        <v>0</v>
      </c>
      <c r="BB288" s="166">
        <v>0</v>
      </c>
      <c r="BC288" s="166">
        <v>0</v>
      </c>
      <c r="BD288" s="166">
        <v>0</v>
      </c>
      <c r="BE288" s="166">
        <v>0</v>
      </c>
      <c r="BF288" s="166">
        <v>0</v>
      </c>
      <c r="BG288" s="166">
        <v>0</v>
      </c>
      <c r="BH288" s="166">
        <v>0</v>
      </c>
      <c r="BI288" s="166">
        <v>0</v>
      </c>
      <c r="BJ288" s="166">
        <v>0</v>
      </c>
      <c r="BK288" s="166">
        <v>0</v>
      </c>
      <c r="BL288" s="166">
        <v>0</v>
      </c>
      <c r="BM288" s="166">
        <v>0</v>
      </c>
      <c r="BN288" s="166">
        <v>0</v>
      </c>
      <c r="BO288" s="166">
        <v>0</v>
      </c>
      <c r="BP288" s="166">
        <v>0</v>
      </c>
      <c r="BQ288" s="81" t="s">
        <v>1758</v>
      </c>
      <c r="BZ288" s="81" t="s">
        <v>155</v>
      </c>
      <c r="CA288" s="81" t="s">
        <v>3934</v>
      </c>
      <c r="CC288" s="167">
        <v>0</v>
      </c>
      <c r="CD288" s="167">
        <v>0</v>
      </c>
      <c r="CE288" s="167">
        <v>0</v>
      </c>
      <c r="CF288" s="167">
        <v>0</v>
      </c>
      <c r="CG288" s="167">
        <v>10</v>
      </c>
      <c r="CH288" s="167">
        <v>0</v>
      </c>
      <c r="CI288" s="167">
        <v>0</v>
      </c>
      <c r="CJ288" s="167">
        <v>0</v>
      </c>
      <c r="CK288" s="167">
        <v>0</v>
      </c>
      <c r="CL288" s="167">
        <v>0</v>
      </c>
      <c r="CM288" s="167">
        <v>0</v>
      </c>
      <c r="CN288" s="167">
        <v>0</v>
      </c>
      <c r="CO288" s="167">
        <v>0</v>
      </c>
      <c r="CP288" s="167">
        <v>0</v>
      </c>
      <c r="CQ288" s="167">
        <v>0</v>
      </c>
      <c r="CR288" s="167">
        <v>0</v>
      </c>
      <c r="CS288" s="167">
        <v>0</v>
      </c>
      <c r="CT288" s="167">
        <v>0</v>
      </c>
      <c r="CU288" s="167">
        <v>0</v>
      </c>
      <c r="CV288" s="167">
        <v>0</v>
      </c>
      <c r="CW288" s="167">
        <v>0</v>
      </c>
      <c r="CX288" s="167">
        <f>SUM(CD288:CH288)</f>
        <v>10</v>
      </c>
      <c r="CY288" s="167">
        <f>SUM(CD288:CM288)</f>
        <v>10</v>
      </c>
    </row>
    <row r="289" spans="1:103" ht="12.75" customHeight="1" x14ac:dyDescent="0.2">
      <c r="A289" s="81">
        <v>2502</v>
      </c>
      <c r="B289" s="165" t="s">
        <v>1908</v>
      </c>
      <c r="C289" s="165" t="s">
        <v>236</v>
      </c>
      <c r="E289" s="165" t="s">
        <v>1993</v>
      </c>
      <c r="F289" s="165" t="s">
        <v>736</v>
      </c>
      <c r="G289" s="81">
        <v>527221</v>
      </c>
      <c r="H289" s="81">
        <v>172443</v>
      </c>
      <c r="I289" s="165" t="s">
        <v>260</v>
      </c>
      <c r="J289" s="349">
        <v>42244</v>
      </c>
      <c r="L289" s="166">
        <v>0</v>
      </c>
      <c r="M289" s="166">
        <v>43</v>
      </c>
      <c r="N289" s="166">
        <v>43</v>
      </c>
      <c r="O289" s="166">
        <v>839</v>
      </c>
      <c r="P289" s="166">
        <v>839</v>
      </c>
      <c r="Q289" s="81" t="s">
        <v>155</v>
      </c>
      <c r="R289" s="165" t="s">
        <v>738</v>
      </c>
      <c r="S289" s="81" t="s">
        <v>296</v>
      </c>
      <c r="T289" s="349">
        <v>40431</v>
      </c>
      <c r="U289" s="349">
        <v>40587</v>
      </c>
      <c r="W289" s="81" t="s">
        <v>297</v>
      </c>
      <c r="X289" s="349">
        <v>41082</v>
      </c>
      <c r="Y289" s="81" t="s">
        <v>115</v>
      </c>
      <c r="Z289" s="81" t="s">
        <v>398</v>
      </c>
      <c r="AA289" s="81" t="s">
        <v>116</v>
      </c>
      <c r="AB289" s="81" t="s">
        <v>117</v>
      </c>
      <c r="AC289" s="166">
        <v>0.60199999809265103</v>
      </c>
      <c r="AG289" s="81" t="s">
        <v>74</v>
      </c>
      <c r="AH289" s="81" t="s">
        <v>1913</v>
      </c>
      <c r="AI289" s="81" t="s">
        <v>1994</v>
      </c>
      <c r="AK289" s="166">
        <v>43</v>
      </c>
      <c r="AM289" s="166">
        <v>4</v>
      </c>
      <c r="AO289" s="166">
        <v>0</v>
      </c>
      <c r="AP289" s="166">
        <v>15</v>
      </c>
      <c r="AQ289" s="166">
        <v>18</v>
      </c>
      <c r="AR289" s="166">
        <v>10</v>
      </c>
      <c r="AS289" s="166">
        <v>0</v>
      </c>
      <c r="AT289" s="166">
        <v>0</v>
      </c>
      <c r="AU289" s="166">
        <v>0</v>
      </c>
      <c r="AV289" s="166">
        <v>0</v>
      </c>
      <c r="AW289" s="166">
        <v>15</v>
      </c>
      <c r="AX289" s="166">
        <v>11</v>
      </c>
      <c r="AY289" s="166">
        <v>10</v>
      </c>
      <c r="AZ289" s="166">
        <v>0</v>
      </c>
      <c r="BA289" s="166">
        <v>0</v>
      </c>
      <c r="BB289" s="166">
        <v>0</v>
      </c>
      <c r="BC289" s="166">
        <v>0</v>
      </c>
      <c r="BD289" s="166">
        <v>0</v>
      </c>
      <c r="BE289" s="166">
        <v>7</v>
      </c>
      <c r="BF289" s="166">
        <v>0</v>
      </c>
      <c r="BG289" s="166">
        <v>0</v>
      </c>
      <c r="BH289" s="166">
        <v>0</v>
      </c>
      <c r="BI289" s="166">
        <v>0</v>
      </c>
      <c r="BJ289" s="166">
        <v>0</v>
      </c>
      <c r="BK289" s="166">
        <v>0</v>
      </c>
      <c r="BL289" s="166">
        <v>0</v>
      </c>
      <c r="BM289" s="166">
        <v>0</v>
      </c>
      <c r="BN289" s="166">
        <v>0</v>
      </c>
      <c r="BO289" s="166">
        <v>0</v>
      </c>
      <c r="BP289" s="166">
        <v>0</v>
      </c>
      <c r="BQ289" s="81" t="s">
        <v>1758</v>
      </c>
      <c r="BZ289" s="81" t="s">
        <v>155</v>
      </c>
      <c r="CA289" s="81" t="s">
        <v>3934</v>
      </c>
      <c r="CC289" s="167">
        <v>0</v>
      </c>
      <c r="CD289" s="167">
        <v>0</v>
      </c>
      <c r="CE289" s="167">
        <v>0</v>
      </c>
      <c r="CF289" s="167">
        <v>0</v>
      </c>
      <c r="CG289" s="167">
        <v>0</v>
      </c>
      <c r="CH289" s="167">
        <v>0</v>
      </c>
      <c r="CI289" s="167">
        <v>0</v>
      </c>
      <c r="CJ289" s="167">
        <v>0</v>
      </c>
      <c r="CK289" s="167">
        <v>43</v>
      </c>
      <c r="CL289" s="167">
        <v>0</v>
      </c>
      <c r="CM289" s="167">
        <v>0</v>
      </c>
      <c r="CN289" s="167">
        <v>0</v>
      </c>
      <c r="CO289" s="167">
        <v>0</v>
      </c>
      <c r="CP289" s="167">
        <v>0</v>
      </c>
      <c r="CQ289" s="167">
        <v>0</v>
      </c>
      <c r="CR289" s="167">
        <v>0</v>
      </c>
      <c r="CS289" s="167">
        <v>0</v>
      </c>
      <c r="CT289" s="167">
        <v>0</v>
      </c>
      <c r="CU289" s="167">
        <v>0</v>
      </c>
      <c r="CV289" s="167">
        <v>0</v>
      </c>
      <c r="CW289" s="167">
        <v>0</v>
      </c>
      <c r="CX289" s="167">
        <f>SUM(CD289:CH289)</f>
        <v>0</v>
      </c>
      <c r="CY289" s="167">
        <f>SUM(CD289:CM289)</f>
        <v>43</v>
      </c>
    </row>
    <row r="290" spans="1:103" ht="12.75" customHeight="1" x14ac:dyDescent="0.2">
      <c r="A290" s="81">
        <v>2641</v>
      </c>
      <c r="B290" s="165" t="s">
        <v>1908</v>
      </c>
      <c r="C290" s="165" t="s">
        <v>19</v>
      </c>
      <c r="E290" s="165" t="s">
        <v>1999</v>
      </c>
      <c r="G290" s="81">
        <v>527902</v>
      </c>
      <c r="H290" s="81">
        <v>173411</v>
      </c>
      <c r="I290" s="165" t="s">
        <v>254</v>
      </c>
      <c r="J290" s="349">
        <v>42332</v>
      </c>
      <c r="L290" s="166">
        <v>0</v>
      </c>
      <c r="M290" s="166">
        <v>5</v>
      </c>
      <c r="N290" s="166">
        <v>5</v>
      </c>
      <c r="O290" s="166">
        <v>5</v>
      </c>
      <c r="P290" s="166">
        <v>5</v>
      </c>
      <c r="R290" s="165" t="s">
        <v>740</v>
      </c>
      <c r="S290" s="81" t="s">
        <v>113</v>
      </c>
      <c r="T290" s="349">
        <v>41166</v>
      </c>
      <c r="U290" s="349">
        <v>41262</v>
      </c>
      <c r="W290" s="81" t="s">
        <v>114</v>
      </c>
      <c r="Y290" s="81" t="s">
        <v>115</v>
      </c>
      <c r="Z290" s="81" t="s">
        <v>116</v>
      </c>
      <c r="AA290" s="81" t="s">
        <v>117</v>
      </c>
      <c r="AB290" s="81" t="s">
        <v>218</v>
      </c>
      <c r="AC290" s="166">
        <v>4.1999999433755902E-2</v>
      </c>
      <c r="AD290" s="349">
        <v>42332</v>
      </c>
      <c r="AG290" s="81" t="s">
        <v>238</v>
      </c>
      <c r="AH290" s="81" t="s">
        <v>118</v>
      </c>
      <c r="AK290" s="166">
        <v>5</v>
      </c>
      <c r="AM290" s="166">
        <v>0</v>
      </c>
      <c r="AO290" s="166">
        <v>0</v>
      </c>
      <c r="AP290" s="166">
        <v>0</v>
      </c>
      <c r="AQ290" s="166">
        <v>4</v>
      </c>
      <c r="AR290" s="166">
        <v>1</v>
      </c>
      <c r="AS290" s="166">
        <v>0</v>
      </c>
      <c r="AT290" s="166">
        <v>0</v>
      </c>
      <c r="AU290" s="166">
        <v>0</v>
      </c>
      <c r="AV290" s="166">
        <v>0</v>
      </c>
      <c r="AW290" s="166">
        <v>0</v>
      </c>
      <c r="AX290" s="166">
        <v>4</v>
      </c>
      <c r="AY290" s="166">
        <v>1</v>
      </c>
      <c r="AZ290" s="166">
        <v>0</v>
      </c>
      <c r="BA290" s="166">
        <v>0</v>
      </c>
      <c r="BB290" s="166">
        <v>0</v>
      </c>
      <c r="BC290" s="166">
        <v>0</v>
      </c>
      <c r="BD290" s="166">
        <v>0</v>
      </c>
      <c r="BE290" s="166">
        <v>0</v>
      </c>
      <c r="BF290" s="166">
        <v>0</v>
      </c>
      <c r="BG290" s="166">
        <v>0</v>
      </c>
      <c r="BH290" s="166">
        <v>0</v>
      </c>
      <c r="BI290" s="166">
        <v>0</v>
      </c>
      <c r="BJ290" s="166">
        <v>0</v>
      </c>
      <c r="BK290" s="166">
        <v>0</v>
      </c>
      <c r="BL290" s="166">
        <v>0</v>
      </c>
      <c r="BM290" s="166">
        <v>0</v>
      </c>
      <c r="BN290" s="166">
        <v>0</v>
      </c>
      <c r="BO290" s="166">
        <v>0</v>
      </c>
      <c r="BP290" s="166">
        <v>0</v>
      </c>
      <c r="BQ290" s="81" t="s">
        <v>1757</v>
      </c>
      <c r="BZ290" s="81" t="s">
        <v>155</v>
      </c>
      <c r="CA290" s="81" t="s">
        <v>3976</v>
      </c>
      <c r="CC290" s="167">
        <v>0</v>
      </c>
      <c r="CD290" s="167">
        <f>N290</f>
        <v>5</v>
      </c>
      <c r="CE290" s="167">
        <v>0</v>
      </c>
      <c r="CF290" s="167">
        <v>0</v>
      </c>
      <c r="CG290" s="167">
        <v>0</v>
      </c>
      <c r="CH290" s="167">
        <v>0</v>
      </c>
      <c r="CI290" s="167">
        <v>0</v>
      </c>
      <c r="CJ290" s="167">
        <v>0</v>
      </c>
      <c r="CK290" s="167">
        <v>0</v>
      </c>
      <c r="CL290" s="167">
        <v>0</v>
      </c>
      <c r="CM290" s="167">
        <v>0</v>
      </c>
      <c r="CN290" s="167">
        <v>0</v>
      </c>
      <c r="CO290" s="167">
        <v>0</v>
      </c>
      <c r="CP290" s="167">
        <v>0</v>
      </c>
      <c r="CQ290" s="167">
        <v>0</v>
      </c>
      <c r="CR290" s="167">
        <v>0</v>
      </c>
      <c r="CS290" s="167">
        <v>0</v>
      </c>
      <c r="CT290" s="167">
        <v>0</v>
      </c>
      <c r="CU290" s="167">
        <v>0</v>
      </c>
      <c r="CV290" s="167">
        <v>0</v>
      </c>
      <c r="CW290" s="167">
        <v>0</v>
      </c>
      <c r="CX290" s="167">
        <f>SUM(CD290:CH290)</f>
        <v>5</v>
      </c>
      <c r="CY290" s="167">
        <f>SUM(CD290:CM290)</f>
        <v>5</v>
      </c>
    </row>
    <row r="291" spans="1:103" ht="12.75" customHeight="1" x14ac:dyDescent="0.2">
      <c r="A291" s="81">
        <v>2643</v>
      </c>
      <c r="B291" s="165" t="s">
        <v>1908</v>
      </c>
      <c r="C291" s="165" t="s">
        <v>3381</v>
      </c>
      <c r="D291" s="165" t="s">
        <v>514</v>
      </c>
      <c r="E291" s="165" t="s">
        <v>3382</v>
      </c>
      <c r="G291" s="81">
        <v>528058</v>
      </c>
      <c r="H291" s="81">
        <v>172638</v>
      </c>
      <c r="I291" s="165" t="s">
        <v>254</v>
      </c>
      <c r="J291" s="349">
        <v>43190</v>
      </c>
      <c r="L291" s="166">
        <v>0</v>
      </c>
      <c r="M291" s="166">
        <v>1</v>
      </c>
      <c r="N291" s="166">
        <v>1</v>
      </c>
      <c r="O291" s="166">
        <v>1</v>
      </c>
      <c r="P291" s="166">
        <v>1</v>
      </c>
      <c r="R291" s="165" t="s">
        <v>3383</v>
      </c>
      <c r="S291" s="81" t="s">
        <v>113</v>
      </c>
      <c r="T291" s="349">
        <v>43067</v>
      </c>
      <c r="U291" s="349">
        <v>43154</v>
      </c>
      <c r="V291" s="81" t="s">
        <v>155</v>
      </c>
      <c r="W291" s="81" t="s">
        <v>114</v>
      </c>
      <c r="Y291" s="81" t="s">
        <v>115</v>
      </c>
      <c r="Z291" s="81" t="s">
        <v>219</v>
      </c>
      <c r="AA291" s="81" t="s">
        <v>117</v>
      </c>
      <c r="AB291" s="81" t="s">
        <v>3889</v>
      </c>
      <c r="AC291" s="166">
        <v>8.0000003799796104E-3</v>
      </c>
      <c r="AD291" s="349">
        <v>43190</v>
      </c>
      <c r="AE291" s="81" t="s">
        <v>155</v>
      </c>
      <c r="AG291" s="81" t="s">
        <v>238</v>
      </c>
      <c r="AH291" s="81" t="s">
        <v>118</v>
      </c>
      <c r="AK291" s="166">
        <v>0</v>
      </c>
      <c r="AL291" s="166">
        <v>1</v>
      </c>
      <c r="AM291" s="166">
        <v>0</v>
      </c>
      <c r="AO291" s="166">
        <v>0</v>
      </c>
      <c r="AP291" s="166">
        <v>0</v>
      </c>
      <c r="AQ291" s="166">
        <v>1</v>
      </c>
      <c r="AR291" s="166">
        <v>0</v>
      </c>
      <c r="AS291" s="166">
        <v>0</v>
      </c>
      <c r="AT291" s="166">
        <v>0</v>
      </c>
      <c r="AU291" s="166">
        <v>0</v>
      </c>
      <c r="AV291" s="166">
        <v>0</v>
      </c>
      <c r="AW291" s="166">
        <v>0</v>
      </c>
      <c r="AX291" s="166">
        <v>1</v>
      </c>
      <c r="AY291" s="166">
        <v>0</v>
      </c>
      <c r="AZ291" s="166">
        <v>0</v>
      </c>
      <c r="BA291" s="166">
        <v>0</v>
      </c>
      <c r="BB291" s="166">
        <v>0</v>
      </c>
      <c r="BC291" s="166">
        <v>0</v>
      </c>
      <c r="BD291" s="166">
        <v>0</v>
      </c>
      <c r="BE291" s="166">
        <v>0</v>
      </c>
      <c r="BF291" s="166">
        <v>0</v>
      </c>
      <c r="BG291" s="166">
        <v>0</v>
      </c>
      <c r="BH291" s="166">
        <v>0</v>
      </c>
      <c r="BI291" s="166">
        <v>0</v>
      </c>
      <c r="BJ291" s="166">
        <v>0</v>
      </c>
      <c r="BK291" s="166">
        <v>0</v>
      </c>
      <c r="BL291" s="166">
        <v>0</v>
      </c>
      <c r="BM291" s="166">
        <v>0</v>
      </c>
      <c r="BN291" s="166">
        <v>0</v>
      </c>
      <c r="BO291" s="166">
        <v>0</v>
      </c>
      <c r="BP291" s="166">
        <v>0</v>
      </c>
      <c r="BQ291" s="81" t="s">
        <v>1757</v>
      </c>
      <c r="BZ291" s="81" t="s">
        <v>155</v>
      </c>
      <c r="CA291" s="81" t="s">
        <v>3981</v>
      </c>
      <c r="CC291" s="167">
        <v>0</v>
      </c>
      <c r="CD291" s="167">
        <f>$N291/2</f>
        <v>0.5</v>
      </c>
      <c r="CE291" s="167">
        <f>$N291/2</f>
        <v>0.5</v>
      </c>
      <c r="CF291" s="167">
        <v>0</v>
      </c>
      <c r="CG291" s="167">
        <v>0</v>
      </c>
      <c r="CH291" s="167">
        <v>0</v>
      </c>
      <c r="CI291" s="167">
        <v>0</v>
      </c>
      <c r="CJ291" s="167">
        <v>0</v>
      </c>
      <c r="CK291" s="167">
        <v>0</v>
      </c>
      <c r="CL291" s="167">
        <v>0</v>
      </c>
      <c r="CM291" s="167">
        <v>0</v>
      </c>
      <c r="CN291" s="167">
        <v>0</v>
      </c>
      <c r="CO291" s="167">
        <v>0</v>
      </c>
      <c r="CP291" s="167">
        <v>0</v>
      </c>
      <c r="CQ291" s="167">
        <v>0</v>
      </c>
      <c r="CR291" s="167">
        <v>0</v>
      </c>
      <c r="CS291" s="167">
        <v>0</v>
      </c>
      <c r="CT291" s="167">
        <v>0</v>
      </c>
      <c r="CU291" s="167">
        <v>0</v>
      </c>
      <c r="CV291" s="167">
        <v>0</v>
      </c>
      <c r="CW291" s="167">
        <v>0</v>
      </c>
      <c r="CX291" s="167">
        <f>SUM(CD291:CH291)</f>
        <v>1</v>
      </c>
      <c r="CY291" s="167">
        <f>SUM(CD291:CM291)</f>
        <v>1</v>
      </c>
    </row>
    <row r="292" spans="1:103" ht="12.75" customHeight="1" x14ac:dyDescent="0.2">
      <c r="A292" s="81">
        <v>2759</v>
      </c>
      <c r="B292" s="165" t="s">
        <v>1908</v>
      </c>
      <c r="C292" s="165" t="s">
        <v>1318</v>
      </c>
      <c r="E292" s="165" t="s">
        <v>3069</v>
      </c>
      <c r="G292" s="81">
        <v>527493</v>
      </c>
      <c r="H292" s="81">
        <v>171577</v>
      </c>
      <c r="I292" s="165" t="s">
        <v>242</v>
      </c>
      <c r="J292" s="349">
        <v>42487</v>
      </c>
      <c r="L292" s="166">
        <v>0</v>
      </c>
      <c r="M292" s="166">
        <v>1</v>
      </c>
      <c r="N292" s="166">
        <v>1</v>
      </c>
      <c r="O292" s="166">
        <v>1</v>
      </c>
      <c r="P292" s="166">
        <v>1</v>
      </c>
      <c r="R292" s="165" t="s">
        <v>1319</v>
      </c>
      <c r="S292" s="81" t="s">
        <v>113</v>
      </c>
      <c r="T292" s="349">
        <v>42538</v>
      </c>
      <c r="U292" s="349">
        <v>42681</v>
      </c>
      <c r="W292" s="81" t="s">
        <v>114</v>
      </c>
      <c r="Y292" s="81" t="s">
        <v>115</v>
      </c>
      <c r="Z292" s="81" t="s">
        <v>398</v>
      </c>
      <c r="AA292" s="81" t="s">
        <v>117</v>
      </c>
      <c r="AB292" s="81" t="s">
        <v>102</v>
      </c>
      <c r="AC292" s="166">
        <v>3.0000000260770299E-3</v>
      </c>
      <c r="AD292" s="349">
        <v>42487</v>
      </c>
      <c r="AG292" s="81" t="s">
        <v>238</v>
      </c>
      <c r="AH292" s="81" t="s">
        <v>118</v>
      </c>
      <c r="AK292" s="166">
        <v>1</v>
      </c>
      <c r="AM292" s="166">
        <v>0</v>
      </c>
      <c r="AO292" s="166">
        <v>0</v>
      </c>
      <c r="AP292" s="166">
        <v>1</v>
      </c>
      <c r="AQ292" s="166">
        <v>0</v>
      </c>
      <c r="AR292" s="166">
        <v>0</v>
      </c>
      <c r="AS292" s="166">
        <v>0</v>
      </c>
      <c r="AT292" s="166">
        <v>0</v>
      </c>
      <c r="AU292" s="166">
        <v>0</v>
      </c>
      <c r="AV292" s="166">
        <v>0</v>
      </c>
      <c r="AW292" s="166">
        <v>1</v>
      </c>
      <c r="AX292" s="166">
        <v>0</v>
      </c>
      <c r="AY292" s="166">
        <v>0</v>
      </c>
      <c r="AZ292" s="166">
        <v>0</v>
      </c>
      <c r="BA292" s="166">
        <v>0</v>
      </c>
      <c r="BB292" s="166">
        <v>0</v>
      </c>
      <c r="BC292" s="166">
        <v>0</v>
      </c>
      <c r="BD292" s="166">
        <v>0</v>
      </c>
      <c r="BE292" s="166">
        <v>0</v>
      </c>
      <c r="BF292" s="166">
        <v>0</v>
      </c>
      <c r="BG292" s="166">
        <v>0</v>
      </c>
      <c r="BH292" s="166">
        <v>0</v>
      </c>
      <c r="BI292" s="166">
        <v>0</v>
      </c>
      <c r="BJ292" s="166">
        <v>0</v>
      </c>
      <c r="BK292" s="166">
        <v>0</v>
      </c>
      <c r="BL292" s="166">
        <v>0</v>
      </c>
      <c r="BM292" s="166">
        <v>0</v>
      </c>
      <c r="BN292" s="166">
        <v>0</v>
      </c>
      <c r="BO292" s="166">
        <v>0</v>
      </c>
      <c r="BP292" s="166">
        <v>0</v>
      </c>
      <c r="BQ292" s="81" t="s">
        <v>1757</v>
      </c>
      <c r="BR292" s="81" t="s">
        <v>242</v>
      </c>
      <c r="BZ292" s="81" t="s">
        <v>155</v>
      </c>
      <c r="CA292" s="81" t="s">
        <v>3980</v>
      </c>
      <c r="CC292" s="167">
        <v>0</v>
      </c>
      <c r="CD292" s="167">
        <f>N292</f>
        <v>1</v>
      </c>
      <c r="CE292" s="167">
        <v>0</v>
      </c>
      <c r="CF292" s="167">
        <v>0</v>
      </c>
      <c r="CG292" s="167">
        <v>0</v>
      </c>
      <c r="CH292" s="167">
        <v>0</v>
      </c>
      <c r="CI292" s="167">
        <v>0</v>
      </c>
      <c r="CJ292" s="167">
        <v>0</v>
      </c>
      <c r="CK292" s="167">
        <v>0</v>
      </c>
      <c r="CL292" s="167">
        <v>0</v>
      </c>
      <c r="CM292" s="167">
        <v>0</v>
      </c>
      <c r="CN292" s="167">
        <v>0</v>
      </c>
      <c r="CO292" s="167">
        <v>0</v>
      </c>
      <c r="CP292" s="167">
        <v>0</v>
      </c>
      <c r="CQ292" s="167">
        <v>0</v>
      </c>
      <c r="CR292" s="167">
        <v>0</v>
      </c>
      <c r="CS292" s="167">
        <v>0</v>
      </c>
      <c r="CT292" s="167">
        <v>0</v>
      </c>
      <c r="CU292" s="167">
        <v>0</v>
      </c>
      <c r="CV292" s="167">
        <v>0</v>
      </c>
      <c r="CW292" s="167">
        <v>0</v>
      </c>
      <c r="CX292" s="167">
        <f>SUM(CD292:CH292)</f>
        <v>1</v>
      </c>
      <c r="CY292" s="167">
        <f>SUM(CD292:CM292)</f>
        <v>1</v>
      </c>
    </row>
    <row r="293" spans="1:103" ht="12.75" customHeight="1" x14ac:dyDescent="0.2">
      <c r="A293" s="81">
        <v>2786</v>
      </c>
      <c r="B293" s="165" t="s">
        <v>1908</v>
      </c>
      <c r="C293" s="165" t="s">
        <v>1398</v>
      </c>
      <c r="E293" s="165" t="s">
        <v>3384</v>
      </c>
      <c r="G293" s="81">
        <v>527308</v>
      </c>
      <c r="H293" s="81">
        <v>171157</v>
      </c>
      <c r="I293" s="165" t="s">
        <v>253</v>
      </c>
      <c r="J293" s="349">
        <v>43190</v>
      </c>
      <c r="L293" s="166">
        <v>0</v>
      </c>
      <c r="M293" s="166">
        <v>2</v>
      </c>
      <c r="N293" s="166">
        <v>2</v>
      </c>
      <c r="O293" s="166">
        <v>2</v>
      </c>
      <c r="P293" s="166">
        <v>2</v>
      </c>
      <c r="R293" s="165" t="s">
        <v>1399</v>
      </c>
      <c r="S293" s="81" t="s">
        <v>113</v>
      </c>
      <c r="T293" s="349">
        <v>42608</v>
      </c>
      <c r="U293" s="349">
        <v>42664</v>
      </c>
      <c r="W293" s="81" t="s">
        <v>114</v>
      </c>
      <c r="Y293" s="81" t="s">
        <v>115</v>
      </c>
      <c r="Z293" s="81" t="s">
        <v>219</v>
      </c>
      <c r="AA293" s="81" t="s">
        <v>117</v>
      </c>
      <c r="AB293" s="81" t="s">
        <v>102</v>
      </c>
      <c r="AC293" s="166">
        <v>1.4000000432133701E-2</v>
      </c>
      <c r="AD293" s="349">
        <v>43190</v>
      </c>
      <c r="AE293" s="81" t="s">
        <v>155</v>
      </c>
      <c r="AG293" s="81" t="s">
        <v>238</v>
      </c>
      <c r="AH293" s="81" t="s">
        <v>118</v>
      </c>
      <c r="AK293" s="166">
        <v>2</v>
      </c>
      <c r="AM293" s="166">
        <v>0</v>
      </c>
      <c r="AO293" s="166">
        <v>0</v>
      </c>
      <c r="AP293" s="166">
        <v>0</v>
      </c>
      <c r="AQ293" s="166">
        <v>2</v>
      </c>
      <c r="AR293" s="166">
        <v>0</v>
      </c>
      <c r="AS293" s="166">
        <v>0</v>
      </c>
      <c r="AT293" s="166">
        <v>0</v>
      </c>
      <c r="AU293" s="166">
        <v>0</v>
      </c>
      <c r="AV293" s="166">
        <v>0</v>
      </c>
      <c r="AW293" s="166">
        <v>0</v>
      </c>
      <c r="AX293" s="166">
        <v>2</v>
      </c>
      <c r="AY293" s="166">
        <v>0</v>
      </c>
      <c r="AZ293" s="166">
        <v>0</v>
      </c>
      <c r="BA293" s="166">
        <v>0</v>
      </c>
      <c r="BB293" s="166">
        <v>0</v>
      </c>
      <c r="BC293" s="166">
        <v>0</v>
      </c>
      <c r="BD293" s="166">
        <v>0</v>
      </c>
      <c r="BE293" s="166">
        <v>0</v>
      </c>
      <c r="BF293" s="166">
        <v>0</v>
      </c>
      <c r="BG293" s="166">
        <v>0</v>
      </c>
      <c r="BH293" s="166">
        <v>0</v>
      </c>
      <c r="BI293" s="166">
        <v>0</v>
      </c>
      <c r="BJ293" s="166">
        <v>0</v>
      </c>
      <c r="BK293" s="166">
        <v>0</v>
      </c>
      <c r="BL293" s="166">
        <v>0</v>
      </c>
      <c r="BM293" s="166">
        <v>0</v>
      </c>
      <c r="BN293" s="166">
        <v>0</v>
      </c>
      <c r="BO293" s="166">
        <v>0</v>
      </c>
      <c r="BP293" s="166">
        <v>0</v>
      </c>
      <c r="BQ293" s="81" t="s">
        <v>1757</v>
      </c>
      <c r="BZ293" s="81" t="s">
        <v>155</v>
      </c>
      <c r="CA293" s="81" t="s">
        <v>3981</v>
      </c>
      <c r="CC293" s="167">
        <v>0</v>
      </c>
      <c r="CD293" s="167">
        <f>$N293/2</f>
        <v>1</v>
      </c>
      <c r="CE293" s="167">
        <f>$N293/2</f>
        <v>1</v>
      </c>
      <c r="CF293" s="167">
        <v>0</v>
      </c>
      <c r="CG293" s="167">
        <v>0</v>
      </c>
      <c r="CH293" s="167">
        <v>0</v>
      </c>
      <c r="CI293" s="167">
        <v>0</v>
      </c>
      <c r="CJ293" s="167">
        <v>0</v>
      </c>
      <c r="CK293" s="167">
        <v>0</v>
      </c>
      <c r="CL293" s="167">
        <v>0</v>
      </c>
      <c r="CM293" s="167">
        <v>0</v>
      </c>
      <c r="CN293" s="167">
        <v>0</v>
      </c>
      <c r="CO293" s="167">
        <v>0</v>
      </c>
      <c r="CP293" s="167">
        <v>0</v>
      </c>
      <c r="CQ293" s="167">
        <v>0</v>
      </c>
      <c r="CR293" s="167">
        <v>0</v>
      </c>
      <c r="CS293" s="167">
        <v>0</v>
      </c>
      <c r="CT293" s="167">
        <v>0</v>
      </c>
      <c r="CU293" s="167">
        <v>0</v>
      </c>
      <c r="CV293" s="167">
        <v>0</v>
      </c>
      <c r="CW293" s="167">
        <v>0</v>
      </c>
      <c r="CX293" s="167">
        <f>SUM(CD293:CH293)</f>
        <v>2</v>
      </c>
      <c r="CY293" s="167">
        <f>SUM(CD293:CM293)</f>
        <v>2</v>
      </c>
    </row>
    <row r="294" spans="1:103" x14ac:dyDescent="0.2">
      <c r="A294" s="81">
        <v>2796</v>
      </c>
      <c r="B294" s="165" t="s">
        <v>1908</v>
      </c>
      <c r="C294" s="165" t="s">
        <v>662</v>
      </c>
      <c r="D294" s="165" t="s">
        <v>663</v>
      </c>
      <c r="E294" s="165" t="s">
        <v>2000</v>
      </c>
      <c r="F294" s="165" t="s">
        <v>921</v>
      </c>
      <c r="G294" s="81">
        <v>526651</v>
      </c>
      <c r="H294" s="81">
        <v>175984</v>
      </c>
      <c r="I294" s="165" t="s">
        <v>257</v>
      </c>
      <c r="J294" s="349">
        <v>42552</v>
      </c>
      <c r="L294" s="166">
        <v>0</v>
      </c>
      <c r="M294" s="166">
        <v>4</v>
      </c>
      <c r="N294" s="166">
        <v>4</v>
      </c>
      <c r="O294" s="166">
        <v>173</v>
      </c>
      <c r="P294" s="166">
        <v>173</v>
      </c>
      <c r="Q294" s="81" t="s">
        <v>155</v>
      </c>
      <c r="R294" s="165" t="s">
        <v>922</v>
      </c>
      <c r="S294" s="81" t="s">
        <v>104</v>
      </c>
      <c r="T294" s="349">
        <v>42268</v>
      </c>
      <c r="U294" s="349">
        <v>42356</v>
      </c>
      <c r="W294" s="81" t="s">
        <v>114</v>
      </c>
      <c r="Y294" s="81" t="s">
        <v>115</v>
      </c>
      <c r="Z294" s="81" t="s">
        <v>116</v>
      </c>
      <c r="AA294" s="81" t="s">
        <v>116</v>
      </c>
      <c r="AB294" s="81" t="s">
        <v>117</v>
      </c>
      <c r="AC294" s="166">
        <v>1.2000000104308101E-2</v>
      </c>
      <c r="AD294" s="349">
        <v>42552</v>
      </c>
      <c r="AG294" s="81" t="s">
        <v>238</v>
      </c>
      <c r="AH294" s="81" t="s">
        <v>118</v>
      </c>
      <c r="AI294" s="81" t="s">
        <v>2001</v>
      </c>
      <c r="AK294" s="166">
        <v>4</v>
      </c>
      <c r="AM294" s="166">
        <v>0</v>
      </c>
      <c r="AO294" s="166">
        <v>0</v>
      </c>
      <c r="AP294" s="166">
        <v>0</v>
      </c>
      <c r="AQ294" s="166">
        <v>1</v>
      </c>
      <c r="AR294" s="166">
        <v>3</v>
      </c>
      <c r="AS294" s="166">
        <v>0</v>
      </c>
      <c r="AT294" s="166">
        <v>0</v>
      </c>
      <c r="AU294" s="166">
        <v>0</v>
      </c>
      <c r="AV294" s="166">
        <v>0</v>
      </c>
      <c r="AW294" s="166">
        <v>0</v>
      </c>
      <c r="AX294" s="166">
        <v>1</v>
      </c>
      <c r="AY294" s="166">
        <v>3</v>
      </c>
      <c r="AZ294" s="166">
        <v>0</v>
      </c>
      <c r="BA294" s="166">
        <v>0</v>
      </c>
      <c r="BB294" s="166">
        <v>0</v>
      </c>
      <c r="BC294" s="166">
        <v>0</v>
      </c>
      <c r="BD294" s="166">
        <v>0</v>
      </c>
      <c r="BE294" s="166">
        <v>0</v>
      </c>
      <c r="BF294" s="166">
        <v>0</v>
      </c>
      <c r="BG294" s="166">
        <v>0</v>
      </c>
      <c r="BH294" s="166">
        <v>0</v>
      </c>
      <c r="BI294" s="166">
        <v>0</v>
      </c>
      <c r="BJ294" s="166">
        <v>0</v>
      </c>
      <c r="BK294" s="166">
        <v>0</v>
      </c>
      <c r="BL294" s="166">
        <v>0</v>
      </c>
      <c r="BM294" s="166">
        <v>0</v>
      </c>
      <c r="BN294" s="166">
        <v>0</v>
      </c>
      <c r="BO294" s="166">
        <v>0</v>
      </c>
      <c r="BP294" s="166">
        <v>0</v>
      </c>
      <c r="BQ294" s="81" t="s">
        <v>1757</v>
      </c>
      <c r="BX294" s="81" t="s">
        <v>155</v>
      </c>
      <c r="BZ294" s="81" t="s">
        <v>155</v>
      </c>
      <c r="CA294" s="81" t="s">
        <v>3934</v>
      </c>
      <c r="CC294" s="167">
        <v>0</v>
      </c>
      <c r="CD294" s="167">
        <v>0</v>
      </c>
      <c r="CE294" s="167">
        <f>N294</f>
        <v>4</v>
      </c>
      <c r="CF294" s="167">
        <v>0</v>
      </c>
      <c r="CG294" s="167">
        <v>0</v>
      </c>
      <c r="CH294" s="167">
        <v>0</v>
      </c>
      <c r="CI294" s="167">
        <v>0</v>
      </c>
      <c r="CJ294" s="167">
        <v>0</v>
      </c>
      <c r="CK294" s="167">
        <v>0</v>
      </c>
      <c r="CL294" s="167">
        <v>0</v>
      </c>
      <c r="CM294" s="167">
        <v>0</v>
      </c>
      <c r="CN294" s="167">
        <v>0</v>
      </c>
      <c r="CO294" s="167">
        <v>0</v>
      </c>
      <c r="CP294" s="167">
        <v>0</v>
      </c>
      <c r="CQ294" s="167">
        <v>0</v>
      </c>
      <c r="CR294" s="167">
        <v>0</v>
      </c>
      <c r="CS294" s="167">
        <v>0</v>
      </c>
      <c r="CT294" s="167">
        <v>0</v>
      </c>
      <c r="CU294" s="167">
        <v>0</v>
      </c>
      <c r="CV294" s="167">
        <v>0</v>
      </c>
      <c r="CW294" s="167">
        <v>0</v>
      </c>
      <c r="CX294" s="167">
        <f>SUM(CD294:CH294)</f>
        <v>4</v>
      </c>
      <c r="CY294" s="167">
        <f>SUM(CD294:CM294)</f>
        <v>4</v>
      </c>
    </row>
    <row r="295" spans="1:103" x14ac:dyDescent="0.2">
      <c r="A295" s="81">
        <v>2796</v>
      </c>
      <c r="B295" s="165" t="s">
        <v>1908</v>
      </c>
      <c r="C295" s="165" t="s">
        <v>662</v>
      </c>
      <c r="D295" s="165" t="s">
        <v>663</v>
      </c>
      <c r="E295" s="165" t="s">
        <v>2000</v>
      </c>
      <c r="F295" s="165" t="s">
        <v>923</v>
      </c>
      <c r="G295" s="81">
        <v>526651</v>
      </c>
      <c r="H295" s="81">
        <v>175984</v>
      </c>
      <c r="I295" s="165" t="s">
        <v>257</v>
      </c>
      <c r="J295" s="349">
        <v>42552</v>
      </c>
      <c r="L295" s="166">
        <v>0</v>
      </c>
      <c r="M295" s="166">
        <v>4</v>
      </c>
      <c r="N295" s="166">
        <v>4</v>
      </c>
      <c r="O295" s="166">
        <v>173</v>
      </c>
      <c r="P295" s="166">
        <v>173</v>
      </c>
      <c r="Q295" s="81" t="s">
        <v>155</v>
      </c>
      <c r="R295" s="165" t="s">
        <v>922</v>
      </c>
      <c r="S295" s="81" t="s">
        <v>104</v>
      </c>
      <c r="T295" s="349">
        <v>42268</v>
      </c>
      <c r="U295" s="349">
        <v>42356</v>
      </c>
      <c r="W295" s="81" t="s">
        <v>114</v>
      </c>
      <c r="Y295" s="81" t="s">
        <v>115</v>
      </c>
      <c r="Z295" s="81" t="s">
        <v>116</v>
      </c>
      <c r="AA295" s="81" t="s">
        <v>116</v>
      </c>
      <c r="AB295" s="81" t="s">
        <v>117</v>
      </c>
      <c r="AC295" s="166">
        <v>1.2000000104308101E-2</v>
      </c>
      <c r="AD295" s="349">
        <v>42552</v>
      </c>
      <c r="AG295" s="81" t="s">
        <v>238</v>
      </c>
      <c r="AH295" s="81" t="s">
        <v>118</v>
      </c>
      <c r="AI295" s="81" t="s">
        <v>2001</v>
      </c>
      <c r="AK295" s="166">
        <v>4</v>
      </c>
      <c r="AM295" s="166">
        <v>0</v>
      </c>
      <c r="AO295" s="166">
        <v>0</v>
      </c>
      <c r="AP295" s="166">
        <v>0</v>
      </c>
      <c r="AQ295" s="166">
        <v>1</v>
      </c>
      <c r="AR295" s="166">
        <v>3</v>
      </c>
      <c r="AS295" s="166">
        <v>0</v>
      </c>
      <c r="AT295" s="166">
        <v>0</v>
      </c>
      <c r="AU295" s="166">
        <v>0</v>
      </c>
      <c r="AV295" s="166">
        <v>0</v>
      </c>
      <c r="AW295" s="166">
        <v>0</v>
      </c>
      <c r="AX295" s="166">
        <v>1</v>
      </c>
      <c r="AY295" s="166">
        <v>3</v>
      </c>
      <c r="AZ295" s="166">
        <v>0</v>
      </c>
      <c r="BA295" s="166">
        <v>0</v>
      </c>
      <c r="BB295" s="166">
        <v>0</v>
      </c>
      <c r="BC295" s="166">
        <v>0</v>
      </c>
      <c r="BD295" s="166">
        <v>0</v>
      </c>
      <c r="BE295" s="166">
        <v>0</v>
      </c>
      <c r="BF295" s="166">
        <v>0</v>
      </c>
      <c r="BG295" s="166">
        <v>0</v>
      </c>
      <c r="BH295" s="166">
        <v>0</v>
      </c>
      <c r="BI295" s="166">
        <v>0</v>
      </c>
      <c r="BJ295" s="166">
        <v>0</v>
      </c>
      <c r="BK295" s="166">
        <v>0</v>
      </c>
      <c r="BL295" s="166">
        <v>0</v>
      </c>
      <c r="BM295" s="166">
        <v>0</v>
      </c>
      <c r="BN295" s="166">
        <v>0</v>
      </c>
      <c r="BO295" s="166">
        <v>0</v>
      </c>
      <c r="BP295" s="166">
        <v>0</v>
      </c>
      <c r="BQ295" s="81" t="s">
        <v>1757</v>
      </c>
      <c r="BX295" s="81" t="s">
        <v>155</v>
      </c>
      <c r="BZ295" s="81" t="s">
        <v>155</v>
      </c>
      <c r="CA295" s="81" t="s">
        <v>3934</v>
      </c>
      <c r="CC295" s="167">
        <v>0</v>
      </c>
      <c r="CD295" s="167">
        <v>0</v>
      </c>
      <c r="CE295" s="167">
        <f>N295</f>
        <v>4</v>
      </c>
      <c r="CF295" s="167">
        <v>0</v>
      </c>
      <c r="CG295" s="167">
        <v>0</v>
      </c>
      <c r="CH295" s="167">
        <v>0</v>
      </c>
      <c r="CI295" s="167">
        <v>0</v>
      </c>
      <c r="CJ295" s="167">
        <v>0</v>
      </c>
      <c r="CK295" s="167">
        <v>0</v>
      </c>
      <c r="CL295" s="167">
        <v>0</v>
      </c>
      <c r="CM295" s="167">
        <v>0</v>
      </c>
      <c r="CN295" s="167">
        <v>0</v>
      </c>
      <c r="CO295" s="167">
        <v>0</v>
      </c>
      <c r="CP295" s="167">
        <v>0</v>
      </c>
      <c r="CQ295" s="167">
        <v>0</v>
      </c>
      <c r="CR295" s="167">
        <v>0</v>
      </c>
      <c r="CS295" s="167">
        <v>0</v>
      </c>
      <c r="CT295" s="167">
        <v>0</v>
      </c>
      <c r="CU295" s="167">
        <v>0</v>
      </c>
      <c r="CV295" s="167">
        <v>0</v>
      </c>
      <c r="CW295" s="167">
        <v>0</v>
      </c>
      <c r="CX295" s="167">
        <f>SUM(CD295:CH295)</f>
        <v>4</v>
      </c>
      <c r="CY295" s="167">
        <f>SUM(CD295:CM295)</f>
        <v>4</v>
      </c>
    </row>
    <row r="296" spans="1:103" ht="12.75" customHeight="1" x14ac:dyDescent="0.2">
      <c r="A296" s="81">
        <v>2796</v>
      </c>
      <c r="B296" s="165" t="s">
        <v>1908</v>
      </c>
      <c r="C296" s="165" t="s">
        <v>662</v>
      </c>
      <c r="D296" s="165" t="s">
        <v>663</v>
      </c>
      <c r="E296" s="165" t="s">
        <v>2000</v>
      </c>
      <c r="F296" s="165" t="s">
        <v>924</v>
      </c>
      <c r="G296" s="81">
        <v>526651</v>
      </c>
      <c r="H296" s="81">
        <v>175984</v>
      </c>
      <c r="I296" s="165" t="s">
        <v>257</v>
      </c>
      <c r="J296" s="349">
        <v>42552</v>
      </c>
      <c r="L296" s="166">
        <v>0</v>
      </c>
      <c r="M296" s="166">
        <v>4</v>
      </c>
      <c r="N296" s="166">
        <v>4</v>
      </c>
      <c r="O296" s="166">
        <v>173</v>
      </c>
      <c r="P296" s="166">
        <v>173</v>
      </c>
      <c r="Q296" s="81" t="s">
        <v>155</v>
      </c>
      <c r="R296" s="165" t="s">
        <v>922</v>
      </c>
      <c r="S296" s="81" t="s">
        <v>104</v>
      </c>
      <c r="T296" s="349">
        <v>42268</v>
      </c>
      <c r="U296" s="349">
        <v>42356</v>
      </c>
      <c r="W296" s="81" t="s">
        <v>114</v>
      </c>
      <c r="Y296" s="81" t="s">
        <v>115</v>
      </c>
      <c r="Z296" s="81" t="s">
        <v>116</v>
      </c>
      <c r="AA296" s="81" t="s">
        <v>116</v>
      </c>
      <c r="AB296" s="81" t="s">
        <v>117</v>
      </c>
      <c r="AC296" s="166">
        <v>1.2000000104308101E-2</v>
      </c>
      <c r="AD296" s="349">
        <v>42552</v>
      </c>
      <c r="AG296" s="81" t="s">
        <v>238</v>
      </c>
      <c r="AH296" s="81" t="s">
        <v>118</v>
      </c>
      <c r="AI296" s="81" t="s">
        <v>2001</v>
      </c>
      <c r="AK296" s="166">
        <v>4</v>
      </c>
      <c r="AM296" s="166">
        <v>0</v>
      </c>
      <c r="AO296" s="166">
        <v>0</v>
      </c>
      <c r="AP296" s="166">
        <v>0</v>
      </c>
      <c r="AQ296" s="166">
        <v>1</v>
      </c>
      <c r="AR296" s="166">
        <v>3</v>
      </c>
      <c r="AS296" s="166">
        <v>0</v>
      </c>
      <c r="AT296" s="166">
        <v>0</v>
      </c>
      <c r="AU296" s="166">
        <v>0</v>
      </c>
      <c r="AV296" s="166">
        <v>0</v>
      </c>
      <c r="AW296" s="166">
        <v>0</v>
      </c>
      <c r="AX296" s="166">
        <v>1</v>
      </c>
      <c r="AY296" s="166">
        <v>3</v>
      </c>
      <c r="AZ296" s="166">
        <v>0</v>
      </c>
      <c r="BA296" s="166">
        <v>0</v>
      </c>
      <c r="BB296" s="166">
        <v>0</v>
      </c>
      <c r="BC296" s="166">
        <v>0</v>
      </c>
      <c r="BD296" s="166">
        <v>0</v>
      </c>
      <c r="BE296" s="166">
        <v>0</v>
      </c>
      <c r="BF296" s="166">
        <v>0</v>
      </c>
      <c r="BG296" s="166">
        <v>0</v>
      </c>
      <c r="BH296" s="166">
        <v>0</v>
      </c>
      <c r="BI296" s="166">
        <v>0</v>
      </c>
      <c r="BJ296" s="166">
        <v>0</v>
      </c>
      <c r="BK296" s="166">
        <v>0</v>
      </c>
      <c r="BL296" s="166">
        <v>0</v>
      </c>
      <c r="BM296" s="166">
        <v>0</v>
      </c>
      <c r="BN296" s="166">
        <v>0</v>
      </c>
      <c r="BO296" s="166">
        <v>0</v>
      </c>
      <c r="BP296" s="166">
        <v>0</v>
      </c>
      <c r="BQ296" s="81" t="s">
        <v>1757</v>
      </c>
      <c r="BX296" s="81" t="s">
        <v>155</v>
      </c>
      <c r="BZ296" s="81" t="s">
        <v>155</v>
      </c>
      <c r="CA296" s="81" t="s">
        <v>3934</v>
      </c>
      <c r="CC296" s="167">
        <v>0</v>
      </c>
      <c r="CD296" s="167">
        <v>0</v>
      </c>
      <c r="CE296" s="167">
        <f>N296</f>
        <v>4</v>
      </c>
      <c r="CF296" s="167">
        <v>0</v>
      </c>
      <c r="CG296" s="167">
        <v>0</v>
      </c>
      <c r="CH296" s="167">
        <v>0</v>
      </c>
      <c r="CI296" s="167">
        <v>0</v>
      </c>
      <c r="CJ296" s="167">
        <v>0</v>
      </c>
      <c r="CK296" s="167">
        <v>0</v>
      </c>
      <c r="CL296" s="167">
        <v>0</v>
      </c>
      <c r="CM296" s="167">
        <v>0</v>
      </c>
      <c r="CN296" s="167">
        <v>0</v>
      </c>
      <c r="CO296" s="167">
        <v>0</v>
      </c>
      <c r="CP296" s="167">
        <v>0</v>
      </c>
      <c r="CQ296" s="167">
        <v>0</v>
      </c>
      <c r="CR296" s="167">
        <v>0</v>
      </c>
      <c r="CS296" s="167">
        <v>0</v>
      </c>
      <c r="CT296" s="167">
        <v>0</v>
      </c>
      <c r="CU296" s="167">
        <v>0</v>
      </c>
      <c r="CV296" s="167">
        <v>0</v>
      </c>
      <c r="CW296" s="167">
        <v>0</v>
      </c>
      <c r="CX296" s="167">
        <f>SUM(CD296:CH296)</f>
        <v>4</v>
      </c>
      <c r="CY296" s="167">
        <f>SUM(CD296:CM296)</f>
        <v>4</v>
      </c>
    </row>
    <row r="297" spans="1:103" ht="12.75" customHeight="1" x14ac:dyDescent="0.2">
      <c r="A297" s="81">
        <v>2796</v>
      </c>
      <c r="B297" s="165" t="s">
        <v>1908</v>
      </c>
      <c r="C297" s="165" t="s">
        <v>662</v>
      </c>
      <c r="D297" s="165" t="s">
        <v>663</v>
      </c>
      <c r="E297" s="165" t="s">
        <v>2000</v>
      </c>
      <c r="F297" s="165" t="s">
        <v>925</v>
      </c>
      <c r="G297" s="81">
        <v>526651</v>
      </c>
      <c r="H297" s="81">
        <v>175984</v>
      </c>
      <c r="I297" s="165" t="s">
        <v>257</v>
      </c>
      <c r="J297" s="349">
        <v>42552</v>
      </c>
      <c r="L297" s="166">
        <v>0</v>
      </c>
      <c r="M297" s="166">
        <v>6</v>
      </c>
      <c r="N297" s="166">
        <v>6</v>
      </c>
      <c r="O297" s="166">
        <v>173</v>
      </c>
      <c r="P297" s="166">
        <v>173</v>
      </c>
      <c r="Q297" s="81" t="s">
        <v>155</v>
      </c>
      <c r="R297" s="165" t="s">
        <v>922</v>
      </c>
      <c r="S297" s="81" t="s">
        <v>104</v>
      </c>
      <c r="T297" s="349">
        <v>42268</v>
      </c>
      <c r="U297" s="349">
        <v>42356</v>
      </c>
      <c r="W297" s="81" t="s">
        <v>114</v>
      </c>
      <c r="Y297" s="81" t="s">
        <v>115</v>
      </c>
      <c r="Z297" s="81" t="s">
        <v>116</v>
      </c>
      <c r="AA297" s="81" t="s">
        <v>116</v>
      </c>
      <c r="AB297" s="81" t="s">
        <v>117</v>
      </c>
      <c r="AC297" s="166">
        <v>1.30000002682209E-2</v>
      </c>
      <c r="AD297" s="349">
        <v>42552</v>
      </c>
      <c r="AG297" s="81" t="s">
        <v>238</v>
      </c>
      <c r="AH297" s="81" t="s">
        <v>118</v>
      </c>
      <c r="AI297" s="81" t="s">
        <v>2001</v>
      </c>
      <c r="AK297" s="166">
        <v>6</v>
      </c>
      <c r="AM297" s="166">
        <v>1</v>
      </c>
      <c r="AO297" s="166">
        <v>0</v>
      </c>
      <c r="AP297" s="166">
        <v>4</v>
      </c>
      <c r="AQ297" s="166">
        <v>2</v>
      </c>
      <c r="AR297" s="166">
        <v>0</v>
      </c>
      <c r="AS297" s="166">
        <v>0</v>
      </c>
      <c r="AT297" s="166">
        <v>0</v>
      </c>
      <c r="AU297" s="166">
        <v>0</v>
      </c>
      <c r="AV297" s="166">
        <v>0</v>
      </c>
      <c r="AW297" s="166">
        <v>4</v>
      </c>
      <c r="AX297" s="166">
        <v>2</v>
      </c>
      <c r="AY297" s="166">
        <v>0</v>
      </c>
      <c r="AZ297" s="166">
        <v>0</v>
      </c>
      <c r="BA297" s="166">
        <v>0</v>
      </c>
      <c r="BB297" s="166">
        <v>0</v>
      </c>
      <c r="BC297" s="166">
        <v>0</v>
      </c>
      <c r="BD297" s="166">
        <v>0</v>
      </c>
      <c r="BE297" s="166">
        <v>0</v>
      </c>
      <c r="BF297" s="166">
        <v>0</v>
      </c>
      <c r="BG297" s="166">
        <v>0</v>
      </c>
      <c r="BH297" s="166">
        <v>0</v>
      </c>
      <c r="BI297" s="166">
        <v>0</v>
      </c>
      <c r="BJ297" s="166">
        <v>0</v>
      </c>
      <c r="BK297" s="166">
        <v>0</v>
      </c>
      <c r="BL297" s="166">
        <v>0</v>
      </c>
      <c r="BM297" s="166">
        <v>0</v>
      </c>
      <c r="BN297" s="166">
        <v>0</v>
      </c>
      <c r="BO297" s="166">
        <v>0</v>
      </c>
      <c r="BP297" s="166">
        <v>0</v>
      </c>
      <c r="BQ297" s="81" t="s">
        <v>1757</v>
      </c>
      <c r="BX297" s="81" t="s">
        <v>155</v>
      </c>
      <c r="BZ297" s="81" t="s">
        <v>155</v>
      </c>
      <c r="CA297" s="81" t="s">
        <v>3934</v>
      </c>
      <c r="CC297" s="167">
        <v>0</v>
      </c>
      <c r="CD297" s="167">
        <v>0</v>
      </c>
      <c r="CE297" s="167">
        <f>N297</f>
        <v>6</v>
      </c>
      <c r="CF297" s="167">
        <v>0</v>
      </c>
      <c r="CG297" s="167">
        <v>0</v>
      </c>
      <c r="CH297" s="167">
        <v>0</v>
      </c>
      <c r="CI297" s="167">
        <v>0</v>
      </c>
      <c r="CJ297" s="167">
        <v>0</v>
      </c>
      <c r="CK297" s="167">
        <v>0</v>
      </c>
      <c r="CL297" s="167">
        <v>0</v>
      </c>
      <c r="CM297" s="167">
        <v>0</v>
      </c>
      <c r="CN297" s="167">
        <v>0</v>
      </c>
      <c r="CO297" s="167">
        <v>0</v>
      </c>
      <c r="CP297" s="167">
        <v>0</v>
      </c>
      <c r="CQ297" s="167">
        <v>0</v>
      </c>
      <c r="CR297" s="167">
        <v>0</v>
      </c>
      <c r="CS297" s="167">
        <v>0</v>
      </c>
      <c r="CT297" s="167">
        <v>0</v>
      </c>
      <c r="CU297" s="167">
        <v>0</v>
      </c>
      <c r="CV297" s="167">
        <v>0</v>
      </c>
      <c r="CW297" s="167">
        <v>0</v>
      </c>
      <c r="CX297" s="167">
        <f>SUM(CD297:CH297)</f>
        <v>6</v>
      </c>
      <c r="CY297" s="167">
        <f>SUM(CD297:CM297)</f>
        <v>6</v>
      </c>
    </row>
    <row r="298" spans="1:103" x14ac:dyDescent="0.2">
      <c r="A298" s="81">
        <v>2796</v>
      </c>
      <c r="B298" s="165" t="s">
        <v>1908</v>
      </c>
      <c r="C298" s="165" t="s">
        <v>662</v>
      </c>
      <c r="D298" s="165" t="s">
        <v>663</v>
      </c>
      <c r="E298" s="165" t="s">
        <v>2000</v>
      </c>
      <c r="F298" s="165" t="s">
        <v>926</v>
      </c>
      <c r="G298" s="81">
        <v>526651</v>
      </c>
      <c r="H298" s="81">
        <v>175984</v>
      </c>
      <c r="I298" s="165" t="s">
        <v>257</v>
      </c>
      <c r="J298" s="349">
        <v>42552</v>
      </c>
      <c r="L298" s="166">
        <v>0</v>
      </c>
      <c r="M298" s="166">
        <v>6</v>
      </c>
      <c r="N298" s="166">
        <v>6</v>
      </c>
      <c r="O298" s="166">
        <v>173</v>
      </c>
      <c r="P298" s="166">
        <v>173</v>
      </c>
      <c r="Q298" s="81" t="s">
        <v>155</v>
      </c>
      <c r="R298" s="165" t="s">
        <v>922</v>
      </c>
      <c r="S298" s="81" t="s">
        <v>104</v>
      </c>
      <c r="T298" s="349">
        <v>42268</v>
      </c>
      <c r="U298" s="349">
        <v>42356</v>
      </c>
      <c r="W298" s="81" t="s">
        <v>114</v>
      </c>
      <c r="Y298" s="81" t="s">
        <v>115</v>
      </c>
      <c r="Z298" s="81" t="s">
        <v>116</v>
      </c>
      <c r="AA298" s="81" t="s">
        <v>116</v>
      </c>
      <c r="AB298" s="81" t="s">
        <v>117</v>
      </c>
      <c r="AC298" s="166">
        <v>1.4999999664723899E-2</v>
      </c>
      <c r="AD298" s="349">
        <v>42552</v>
      </c>
      <c r="AG298" s="81" t="s">
        <v>238</v>
      </c>
      <c r="AH298" s="81" t="s">
        <v>118</v>
      </c>
      <c r="AI298" s="81" t="s">
        <v>2001</v>
      </c>
      <c r="AK298" s="166">
        <v>6</v>
      </c>
      <c r="AM298" s="166">
        <v>1</v>
      </c>
      <c r="AO298" s="166">
        <v>0</v>
      </c>
      <c r="AP298" s="166">
        <v>3</v>
      </c>
      <c r="AQ298" s="166">
        <v>3</v>
      </c>
      <c r="AR298" s="166">
        <v>0</v>
      </c>
      <c r="AS298" s="166">
        <v>0</v>
      </c>
      <c r="AT298" s="166">
        <v>0</v>
      </c>
      <c r="AU298" s="166">
        <v>0</v>
      </c>
      <c r="AV298" s="166">
        <v>0</v>
      </c>
      <c r="AW298" s="166">
        <v>3</v>
      </c>
      <c r="AX298" s="166">
        <v>3</v>
      </c>
      <c r="AY298" s="166">
        <v>0</v>
      </c>
      <c r="AZ298" s="166">
        <v>0</v>
      </c>
      <c r="BA298" s="166">
        <v>0</v>
      </c>
      <c r="BB298" s="166">
        <v>0</v>
      </c>
      <c r="BC298" s="166">
        <v>0</v>
      </c>
      <c r="BD298" s="166">
        <v>0</v>
      </c>
      <c r="BE298" s="166">
        <v>0</v>
      </c>
      <c r="BF298" s="166">
        <v>0</v>
      </c>
      <c r="BG298" s="166">
        <v>0</v>
      </c>
      <c r="BH298" s="166">
        <v>0</v>
      </c>
      <c r="BI298" s="166">
        <v>0</v>
      </c>
      <c r="BJ298" s="166">
        <v>0</v>
      </c>
      <c r="BK298" s="166">
        <v>0</v>
      </c>
      <c r="BL298" s="166">
        <v>0</v>
      </c>
      <c r="BM298" s="166">
        <v>0</v>
      </c>
      <c r="BN298" s="166">
        <v>0</v>
      </c>
      <c r="BO298" s="166">
        <v>0</v>
      </c>
      <c r="BP298" s="166">
        <v>0</v>
      </c>
      <c r="BQ298" s="81" t="s">
        <v>1757</v>
      </c>
      <c r="BX298" s="81" t="s">
        <v>155</v>
      </c>
      <c r="BZ298" s="81" t="s">
        <v>155</v>
      </c>
      <c r="CA298" s="81" t="s">
        <v>3934</v>
      </c>
      <c r="CC298" s="167">
        <v>0</v>
      </c>
      <c r="CD298" s="167">
        <v>0</v>
      </c>
      <c r="CE298" s="167">
        <f>N298</f>
        <v>6</v>
      </c>
      <c r="CF298" s="167">
        <v>0</v>
      </c>
      <c r="CG298" s="167">
        <v>0</v>
      </c>
      <c r="CH298" s="167">
        <v>0</v>
      </c>
      <c r="CI298" s="167">
        <v>0</v>
      </c>
      <c r="CJ298" s="167">
        <v>0</v>
      </c>
      <c r="CK298" s="167">
        <v>0</v>
      </c>
      <c r="CL298" s="167">
        <v>0</v>
      </c>
      <c r="CM298" s="167">
        <v>0</v>
      </c>
      <c r="CN298" s="167">
        <v>0</v>
      </c>
      <c r="CO298" s="167">
        <v>0</v>
      </c>
      <c r="CP298" s="167">
        <v>0</v>
      </c>
      <c r="CQ298" s="167">
        <v>0</v>
      </c>
      <c r="CR298" s="167">
        <v>0</v>
      </c>
      <c r="CS298" s="167">
        <v>0</v>
      </c>
      <c r="CT298" s="167">
        <v>0</v>
      </c>
      <c r="CU298" s="167">
        <v>0</v>
      </c>
      <c r="CV298" s="167">
        <v>0</v>
      </c>
      <c r="CW298" s="167">
        <v>0</v>
      </c>
      <c r="CX298" s="167">
        <f>SUM(CD298:CH298)</f>
        <v>6</v>
      </c>
      <c r="CY298" s="167">
        <f>SUM(CD298:CM298)</f>
        <v>6</v>
      </c>
    </row>
    <row r="299" spans="1:103" x14ac:dyDescent="0.2">
      <c r="A299" s="81">
        <v>2796</v>
      </c>
      <c r="B299" s="165" t="s">
        <v>1908</v>
      </c>
      <c r="C299" s="165" t="s">
        <v>662</v>
      </c>
      <c r="D299" s="165" t="s">
        <v>663</v>
      </c>
      <c r="E299" s="165" t="s">
        <v>2000</v>
      </c>
      <c r="F299" s="165" t="s">
        <v>927</v>
      </c>
      <c r="G299" s="81">
        <v>526651</v>
      </c>
      <c r="H299" s="81">
        <v>175984</v>
      </c>
      <c r="I299" s="165" t="s">
        <v>257</v>
      </c>
      <c r="J299" s="349">
        <v>42552</v>
      </c>
      <c r="L299" s="166">
        <v>0</v>
      </c>
      <c r="M299" s="166">
        <v>6</v>
      </c>
      <c r="N299" s="166">
        <v>6</v>
      </c>
      <c r="O299" s="166">
        <v>173</v>
      </c>
      <c r="P299" s="166">
        <v>173</v>
      </c>
      <c r="Q299" s="81" t="s">
        <v>155</v>
      </c>
      <c r="R299" s="165" t="s">
        <v>922</v>
      </c>
      <c r="S299" s="81" t="s">
        <v>104</v>
      </c>
      <c r="T299" s="349">
        <v>42268</v>
      </c>
      <c r="U299" s="349">
        <v>42356</v>
      </c>
      <c r="W299" s="81" t="s">
        <v>114</v>
      </c>
      <c r="Y299" s="81" t="s">
        <v>115</v>
      </c>
      <c r="Z299" s="81" t="s">
        <v>116</v>
      </c>
      <c r="AA299" s="81" t="s">
        <v>116</v>
      </c>
      <c r="AB299" s="81" t="s">
        <v>117</v>
      </c>
      <c r="AC299" s="166">
        <v>1.4999999664723899E-2</v>
      </c>
      <c r="AD299" s="349">
        <v>42552</v>
      </c>
      <c r="AG299" s="81" t="s">
        <v>238</v>
      </c>
      <c r="AH299" s="81" t="s">
        <v>118</v>
      </c>
      <c r="AI299" s="81" t="s">
        <v>2001</v>
      </c>
      <c r="AK299" s="166">
        <v>6</v>
      </c>
      <c r="AM299" s="166">
        <v>1</v>
      </c>
      <c r="AO299" s="166">
        <v>0</v>
      </c>
      <c r="AP299" s="166">
        <v>3</v>
      </c>
      <c r="AQ299" s="166">
        <v>3</v>
      </c>
      <c r="AR299" s="166">
        <v>0</v>
      </c>
      <c r="AS299" s="166">
        <v>0</v>
      </c>
      <c r="AT299" s="166">
        <v>0</v>
      </c>
      <c r="AU299" s="166">
        <v>0</v>
      </c>
      <c r="AV299" s="166">
        <v>0</v>
      </c>
      <c r="AW299" s="166">
        <v>3</v>
      </c>
      <c r="AX299" s="166">
        <v>3</v>
      </c>
      <c r="AY299" s="166">
        <v>0</v>
      </c>
      <c r="AZ299" s="166">
        <v>0</v>
      </c>
      <c r="BA299" s="166">
        <v>0</v>
      </c>
      <c r="BB299" s="166">
        <v>0</v>
      </c>
      <c r="BC299" s="166">
        <v>0</v>
      </c>
      <c r="BD299" s="166">
        <v>0</v>
      </c>
      <c r="BE299" s="166">
        <v>0</v>
      </c>
      <c r="BF299" s="166">
        <v>0</v>
      </c>
      <c r="BG299" s="166">
        <v>0</v>
      </c>
      <c r="BH299" s="166">
        <v>0</v>
      </c>
      <c r="BI299" s="166">
        <v>0</v>
      </c>
      <c r="BJ299" s="166">
        <v>0</v>
      </c>
      <c r="BK299" s="166">
        <v>0</v>
      </c>
      <c r="BL299" s="166">
        <v>0</v>
      </c>
      <c r="BM299" s="166">
        <v>0</v>
      </c>
      <c r="BN299" s="166">
        <v>0</v>
      </c>
      <c r="BO299" s="166">
        <v>0</v>
      </c>
      <c r="BP299" s="166">
        <v>0</v>
      </c>
      <c r="BQ299" s="81" t="s">
        <v>1757</v>
      </c>
      <c r="BX299" s="81" t="s">
        <v>155</v>
      </c>
      <c r="BZ299" s="81" t="s">
        <v>155</v>
      </c>
      <c r="CA299" s="81" t="s">
        <v>3934</v>
      </c>
      <c r="CC299" s="167">
        <v>0</v>
      </c>
      <c r="CD299" s="167">
        <v>0</v>
      </c>
      <c r="CE299" s="167">
        <f>N299</f>
        <v>6</v>
      </c>
      <c r="CF299" s="167">
        <v>0</v>
      </c>
      <c r="CG299" s="167">
        <v>0</v>
      </c>
      <c r="CH299" s="167">
        <v>0</v>
      </c>
      <c r="CI299" s="167">
        <v>0</v>
      </c>
      <c r="CJ299" s="167">
        <v>0</v>
      </c>
      <c r="CK299" s="167">
        <v>0</v>
      </c>
      <c r="CL299" s="167">
        <v>0</v>
      </c>
      <c r="CM299" s="167">
        <v>0</v>
      </c>
      <c r="CN299" s="167">
        <v>0</v>
      </c>
      <c r="CO299" s="167">
        <v>0</v>
      </c>
      <c r="CP299" s="167">
        <v>0</v>
      </c>
      <c r="CQ299" s="167">
        <v>0</v>
      </c>
      <c r="CR299" s="167">
        <v>0</v>
      </c>
      <c r="CS299" s="167">
        <v>0</v>
      </c>
      <c r="CT299" s="167">
        <v>0</v>
      </c>
      <c r="CU299" s="167">
        <v>0</v>
      </c>
      <c r="CV299" s="167">
        <v>0</v>
      </c>
      <c r="CW299" s="167">
        <v>0</v>
      </c>
      <c r="CX299" s="167">
        <f>SUM(CD299:CH299)</f>
        <v>6</v>
      </c>
      <c r="CY299" s="167">
        <f>SUM(CD299:CM299)</f>
        <v>6</v>
      </c>
    </row>
    <row r="300" spans="1:103" ht="12.75" customHeight="1" x14ac:dyDescent="0.2">
      <c r="A300" s="81">
        <v>2796</v>
      </c>
      <c r="B300" s="165" t="s">
        <v>1908</v>
      </c>
      <c r="C300" s="165" t="s">
        <v>662</v>
      </c>
      <c r="D300" s="165" t="s">
        <v>663</v>
      </c>
      <c r="E300" s="165" t="s">
        <v>2000</v>
      </c>
      <c r="F300" s="165" t="s">
        <v>928</v>
      </c>
      <c r="G300" s="81">
        <v>526651</v>
      </c>
      <c r="H300" s="81">
        <v>175984</v>
      </c>
      <c r="I300" s="165" t="s">
        <v>257</v>
      </c>
      <c r="J300" s="349">
        <v>42552</v>
      </c>
      <c r="L300" s="166">
        <v>0</v>
      </c>
      <c r="M300" s="166">
        <v>6</v>
      </c>
      <c r="N300" s="166">
        <v>6</v>
      </c>
      <c r="O300" s="166">
        <v>173</v>
      </c>
      <c r="P300" s="166">
        <v>173</v>
      </c>
      <c r="Q300" s="81" t="s">
        <v>155</v>
      </c>
      <c r="R300" s="165" t="s">
        <v>922</v>
      </c>
      <c r="S300" s="81" t="s">
        <v>104</v>
      </c>
      <c r="T300" s="349">
        <v>42268</v>
      </c>
      <c r="U300" s="349">
        <v>42356</v>
      </c>
      <c r="W300" s="81" t="s">
        <v>114</v>
      </c>
      <c r="Y300" s="81" t="s">
        <v>115</v>
      </c>
      <c r="Z300" s="81" t="s">
        <v>116</v>
      </c>
      <c r="AA300" s="81" t="s">
        <v>116</v>
      </c>
      <c r="AB300" s="81" t="s">
        <v>117</v>
      </c>
      <c r="AC300" s="166">
        <v>1.4999999664723899E-2</v>
      </c>
      <c r="AD300" s="349">
        <v>42552</v>
      </c>
      <c r="AG300" s="81" t="s">
        <v>238</v>
      </c>
      <c r="AH300" s="81" t="s">
        <v>118</v>
      </c>
      <c r="AI300" s="81" t="s">
        <v>2001</v>
      </c>
      <c r="AK300" s="166">
        <v>6</v>
      </c>
      <c r="AM300" s="166">
        <v>1</v>
      </c>
      <c r="AO300" s="166">
        <v>0</v>
      </c>
      <c r="AP300" s="166">
        <v>3</v>
      </c>
      <c r="AQ300" s="166">
        <v>3</v>
      </c>
      <c r="AR300" s="166">
        <v>0</v>
      </c>
      <c r="AS300" s="166">
        <v>0</v>
      </c>
      <c r="AT300" s="166">
        <v>0</v>
      </c>
      <c r="AU300" s="166">
        <v>0</v>
      </c>
      <c r="AV300" s="166">
        <v>0</v>
      </c>
      <c r="AW300" s="166">
        <v>3</v>
      </c>
      <c r="AX300" s="166">
        <v>3</v>
      </c>
      <c r="AY300" s="166">
        <v>0</v>
      </c>
      <c r="AZ300" s="166">
        <v>0</v>
      </c>
      <c r="BA300" s="166">
        <v>0</v>
      </c>
      <c r="BB300" s="166">
        <v>0</v>
      </c>
      <c r="BC300" s="166">
        <v>0</v>
      </c>
      <c r="BD300" s="166">
        <v>0</v>
      </c>
      <c r="BE300" s="166">
        <v>0</v>
      </c>
      <c r="BF300" s="166">
        <v>0</v>
      </c>
      <c r="BG300" s="166">
        <v>0</v>
      </c>
      <c r="BH300" s="166">
        <v>0</v>
      </c>
      <c r="BI300" s="166">
        <v>0</v>
      </c>
      <c r="BJ300" s="166">
        <v>0</v>
      </c>
      <c r="BK300" s="166">
        <v>0</v>
      </c>
      <c r="BL300" s="166">
        <v>0</v>
      </c>
      <c r="BM300" s="166">
        <v>0</v>
      </c>
      <c r="BN300" s="166">
        <v>0</v>
      </c>
      <c r="BO300" s="166">
        <v>0</v>
      </c>
      <c r="BP300" s="166">
        <v>0</v>
      </c>
      <c r="BQ300" s="81" t="s">
        <v>1757</v>
      </c>
      <c r="BX300" s="81" t="s">
        <v>155</v>
      </c>
      <c r="BZ300" s="81" t="s">
        <v>155</v>
      </c>
      <c r="CA300" s="81" t="s">
        <v>3934</v>
      </c>
      <c r="CC300" s="167">
        <v>0</v>
      </c>
      <c r="CD300" s="167">
        <v>0</v>
      </c>
      <c r="CE300" s="167">
        <f>N300</f>
        <v>6</v>
      </c>
      <c r="CF300" s="167">
        <v>0</v>
      </c>
      <c r="CG300" s="167">
        <v>0</v>
      </c>
      <c r="CH300" s="167">
        <v>0</v>
      </c>
      <c r="CI300" s="167">
        <v>0</v>
      </c>
      <c r="CJ300" s="167">
        <v>0</v>
      </c>
      <c r="CK300" s="167">
        <v>0</v>
      </c>
      <c r="CL300" s="167">
        <v>0</v>
      </c>
      <c r="CM300" s="167">
        <v>0</v>
      </c>
      <c r="CN300" s="167">
        <v>0</v>
      </c>
      <c r="CO300" s="167">
        <v>0</v>
      </c>
      <c r="CP300" s="167">
        <v>0</v>
      </c>
      <c r="CQ300" s="167">
        <v>0</v>
      </c>
      <c r="CR300" s="167">
        <v>0</v>
      </c>
      <c r="CS300" s="167">
        <v>0</v>
      </c>
      <c r="CT300" s="167">
        <v>0</v>
      </c>
      <c r="CU300" s="167">
        <v>0</v>
      </c>
      <c r="CV300" s="167">
        <v>0</v>
      </c>
      <c r="CW300" s="167">
        <v>0</v>
      </c>
      <c r="CX300" s="167">
        <f>SUM(CD300:CH300)</f>
        <v>6</v>
      </c>
      <c r="CY300" s="167">
        <f>SUM(CD300:CM300)</f>
        <v>6</v>
      </c>
    </row>
    <row r="301" spans="1:103" ht="12.75" customHeight="1" x14ac:dyDescent="0.2">
      <c r="A301" s="81">
        <v>2796</v>
      </c>
      <c r="B301" s="165" t="s">
        <v>1908</v>
      </c>
      <c r="C301" s="165" t="s">
        <v>662</v>
      </c>
      <c r="D301" s="165" t="s">
        <v>663</v>
      </c>
      <c r="E301" s="165" t="s">
        <v>2000</v>
      </c>
      <c r="F301" s="165" t="s">
        <v>929</v>
      </c>
      <c r="G301" s="81">
        <v>526651</v>
      </c>
      <c r="H301" s="81">
        <v>175984</v>
      </c>
      <c r="I301" s="165" t="s">
        <v>257</v>
      </c>
      <c r="J301" s="349">
        <v>42552</v>
      </c>
      <c r="L301" s="166">
        <v>0</v>
      </c>
      <c r="M301" s="166">
        <v>6</v>
      </c>
      <c r="N301" s="166">
        <v>6</v>
      </c>
      <c r="O301" s="166">
        <v>173</v>
      </c>
      <c r="P301" s="166">
        <v>173</v>
      </c>
      <c r="Q301" s="81" t="s">
        <v>155</v>
      </c>
      <c r="R301" s="165" t="s">
        <v>922</v>
      </c>
      <c r="S301" s="81" t="s">
        <v>104</v>
      </c>
      <c r="T301" s="349">
        <v>42268</v>
      </c>
      <c r="U301" s="349">
        <v>42356</v>
      </c>
      <c r="W301" s="81" t="s">
        <v>114</v>
      </c>
      <c r="Y301" s="81" t="s">
        <v>115</v>
      </c>
      <c r="Z301" s="81" t="s">
        <v>116</v>
      </c>
      <c r="AA301" s="81" t="s">
        <v>116</v>
      </c>
      <c r="AB301" s="81" t="s">
        <v>117</v>
      </c>
      <c r="AC301" s="166">
        <v>1.4999999664723899E-2</v>
      </c>
      <c r="AD301" s="349">
        <v>42552</v>
      </c>
      <c r="AG301" s="81" t="s">
        <v>238</v>
      </c>
      <c r="AH301" s="81" t="s">
        <v>118</v>
      </c>
      <c r="AI301" s="81" t="s">
        <v>2001</v>
      </c>
      <c r="AK301" s="166">
        <v>6</v>
      </c>
      <c r="AM301" s="166">
        <v>1</v>
      </c>
      <c r="AO301" s="166">
        <v>0</v>
      </c>
      <c r="AP301" s="166">
        <v>3</v>
      </c>
      <c r="AQ301" s="166">
        <v>3</v>
      </c>
      <c r="AR301" s="166">
        <v>0</v>
      </c>
      <c r="AS301" s="166">
        <v>0</v>
      </c>
      <c r="AT301" s="166">
        <v>0</v>
      </c>
      <c r="AU301" s="166">
        <v>0</v>
      </c>
      <c r="AV301" s="166">
        <v>0</v>
      </c>
      <c r="AW301" s="166">
        <v>3</v>
      </c>
      <c r="AX301" s="166">
        <v>3</v>
      </c>
      <c r="AY301" s="166">
        <v>0</v>
      </c>
      <c r="AZ301" s="166">
        <v>0</v>
      </c>
      <c r="BA301" s="166">
        <v>0</v>
      </c>
      <c r="BB301" s="166">
        <v>0</v>
      </c>
      <c r="BC301" s="166">
        <v>0</v>
      </c>
      <c r="BD301" s="166">
        <v>0</v>
      </c>
      <c r="BE301" s="166">
        <v>0</v>
      </c>
      <c r="BF301" s="166">
        <v>0</v>
      </c>
      <c r="BG301" s="166">
        <v>0</v>
      </c>
      <c r="BH301" s="166">
        <v>0</v>
      </c>
      <c r="BI301" s="166">
        <v>0</v>
      </c>
      <c r="BJ301" s="166">
        <v>0</v>
      </c>
      <c r="BK301" s="166">
        <v>0</v>
      </c>
      <c r="BL301" s="166">
        <v>0</v>
      </c>
      <c r="BM301" s="166">
        <v>0</v>
      </c>
      <c r="BN301" s="166">
        <v>0</v>
      </c>
      <c r="BO301" s="166">
        <v>0</v>
      </c>
      <c r="BP301" s="166">
        <v>0</v>
      </c>
      <c r="BQ301" s="81" t="s">
        <v>1757</v>
      </c>
      <c r="BX301" s="81" t="s">
        <v>155</v>
      </c>
      <c r="BZ301" s="81" t="s">
        <v>155</v>
      </c>
      <c r="CA301" s="81" t="s">
        <v>3934</v>
      </c>
      <c r="CC301" s="167">
        <v>0</v>
      </c>
      <c r="CD301" s="167">
        <v>0</v>
      </c>
      <c r="CE301" s="167">
        <f>N301</f>
        <v>6</v>
      </c>
      <c r="CF301" s="167">
        <v>0</v>
      </c>
      <c r="CG301" s="167">
        <v>0</v>
      </c>
      <c r="CH301" s="167">
        <v>0</v>
      </c>
      <c r="CI301" s="167">
        <v>0</v>
      </c>
      <c r="CJ301" s="167">
        <v>0</v>
      </c>
      <c r="CK301" s="167">
        <v>0</v>
      </c>
      <c r="CL301" s="167">
        <v>0</v>
      </c>
      <c r="CM301" s="167">
        <v>0</v>
      </c>
      <c r="CN301" s="167">
        <v>0</v>
      </c>
      <c r="CO301" s="167">
        <v>0</v>
      </c>
      <c r="CP301" s="167">
        <v>0</v>
      </c>
      <c r="CQ301" s="167">
        <v>0</v>
      </c>
      <c r="CR301" s="167">
        <v>0</v>
      </c>
      <c r="CS301" s="167">
        <v>0</v>
      </c>
      <c r="CT301" s="167">
        <v>0</v>
      </c>
      <c r="CU301" s="167">
        <v>0</v>
      </c>
      <c r="CV301" s="167">
        <v>0</v>
      </c>
      <c r="CW301" s="167">
        <v>0</v>
      </c>
      <c r="CX301" s="167">
        <f>SUM(CD301:CH301)</f>
        <v>6</v>
      </c>
      <c r="CY301" s="167">
        <f>SUM(CD301:CM301)</f>
        <v>6</v>
      </c>
    </row>
    <row r="302" spans="1:103" ht="12.75" customHeight="1" x14ac:dyDescent="0.2">
      <c r="A302" s="81">
        <v>2796</v>
      </c>
      <c r="B302" s="165" t="s">
        <v>1908</v>
      </c>
      <c r="C302" s="165" t="s">
        <v>662</v>
      </c>
      <c r="D302" s="165" t="s">
        <v>663</v>
      </c>
      <c r="E302" s="165" t="s">
        <v>2000</v>
      </c>
      <c r="F302" s="165" t="s">
        <v>930</v>
      </c>
      <c r="G302" s="81">
        <v>526651</v>
      </c>
      <c r="H302" s="81">
        <v>175984</v>
      </c>
      <c r="I302" s="165" t="s">
        <v>257</v>
      </c>
      <c r="J302" s="349">
        <v>42552</v>
      </c>
      <c r="L302" s="166">
        <v>0</v>
      </c>
      <c r="M302" s="166">
        <v>6</v>
      </c>
      <c r="N302" s="166">
        <v>6</v>
      </c>
      <c r="O302" s="166">
        <v>173</v>
      </c>
      <c r="P302" s="166">
        <v>173</v>
      </c>
      <c r="Q302" s="81" t="s">
        <v>155</v>
      </c>
      <c r="R302" s="165" t="s">
        <v>922</v>
      </c>
      <c r="S302" s="81" t="s">
        <v>104</v>
      </c>
      <c r="T302" s="349">
        <v>42268</v>
      </c>
      <c r="U302" s="349">
        <v>42356</v>
      </c>
      <c r="W302" s="81" t="s">
        <v>114</v>
      </c>
      <c r="Y302" s="81" t="s">
        <v>115</v>
      </c>
      <c r="Z302" s="81" t="s">
        <v>116</v>
      </c>
      <c r="AA302" s="81" t="s">
        <v>116</v>
      </c>
      <c r="AB302" s="81" t="s">
        <v>117</v>
      </c>
      <c r="AC302" s="166">
        <v>1.30000002682209E-2</v>
      </c>
      <c r="AD302" s="349">
        <v>42552</v>
      </c>
      <c r="AG302" s="81" t="s">
        <v>238</v>
      </c>
      <c r="AH302" s="81" t="s">
        <v>118</v>
      </c>
      <c r="AI302" s="81" t="s">
        <v>2001</v>
      </c>
      <c r="AK302" s="166">
        <v>6</v>
      </c>
      <c r="AM302" s="166">
        <v>1</v>
      </c>
      <c r="AO302" s="166">
        <v>0</v>
      </c>
      <c r="AP302" s="166">
        <v>3</v>
      </c>
      <c r="AQ302" s="166">
        <v>3</v>
      </c>
      <c r="AR302" s="166">
        <v>0</v>
      </c>
      <c r="AS302" s="166">
        <v>0</v>
      </c>
      <c r="AT302" s="166">
        <v>0</v>
      </c>
      <c r="AU302" s="166">
        <v>0</v>
      </c>
      <c r="AV302" s="166">
        <v>0</v>
      </c>
      <c r="AW302" s="166">
        <v>3</v>
      </c>
      <c r="AX302" s="166">
        <v>3</v>
      </c>
      <c r="AY302" s="166">
        <v>0</v>
      </c>
      <c r="AZ302" s="166">
        <v>0</v>
      </c>
      <c r="BA302" s="166">
        <v>0</v>
      </c>
      <c r="BB302" s="166">
        <v>0</v>
      </c>
      <c r="BC302" s="166">
        <v>0</v>
      </c>
      <c r="BD302" s="166">
        <v>0</v>
      </c>
      <c r="BE302" s="166">
        <v>0</v>
      </c>
      <c r="BF302" s="166">
        <v>0</v>
      </c>
      <c r="BG302" s="166">
        <v>0</v>
      </c>
      <c r="BH302" s="166">
        <v>0</v>
      </c>
      <c r="BI302" s="166">
        <v>0</v>
      </c>
      <c r="BJ302" s="166">
        <v>0</v>
      </c>
      <c r="BK302" s="166">
        <v>0</v>
      </c>
      <c r="BL302" s="166">
        <v>0</v>
      </c>
      <c r="BM302" s="166">
        <v>0</v>
      </c>
      <c r="BN302" s="166">
        <v>0</v>
      </c>
      <c r="BO302" s="166">
        <v>0</v>
      </c>
      <c r="BP302" s="166">
        <v>0</v>
      </c>
      <c r="BQ302" s="81" t="s">
        <v>1757</v>
      </c>
      <c r="BX302" s="81" t="s">
        <v>155</v>
      </c>
      <c r="BZ302" s="81" t="s">
        <v>155</v>
      </c>
      <c r="CA302" s="81" t="s">
        <v>3934</v>
      </c>
      <c r="CC302" s="167">
        <v>0</v>
      </c>
      <c r="CD302" s="167">
        <v>0</v>
      </c>
      <c r="CE302" s="167">
        <f>N302</f>
        <v>6</v>
      </c>
      <c r="CF302" s="167">
        <v>0</v>
      </c>
      <c r="CG302" s="167">
        <v>0</v>
      </c>
      <c r="CH302" s="167">
        <v>0</v>
      </c>
      <c r="CI302" s="167">
        <v>0</v>
      </c>
      <c r="CJ302" s="167">
        <v>0</v>
      </c>
      <c r="CK302" s="167">
        <v>0</v>
      </c>
      <c r="CL302" s="167">
        <v>0</v>
      </c>
      <c r="CM302" s="167">
        <v>0</v>
      </c>
      <c r="CN302" s="167">
        <v>0</v>
      </c>
      <c r="CO302" s="167">
        <v>0</v>
      </c>
      <c r="CP302" s="167">
        <v>0</v>
      </c>
      <c r="CQ302" s="167">
        <v>0</v>
      </c>
      <c r="CR302" s="167">
        <v>0</v>
      </c>
      <c r="CS302" s="167">
        <v>0</v>
      </c>
      <c r="CT302" s="167">
        <v>0</v>
      </c>
      <c r="CU302" s="167">
        <v>0</v>
      </c>
      <c r="CV302" s="167">
        <v>0</v>
      </c>
      <c r="CW302" s="167">
        <v>0</v>
      </c>
      <c r="CX302" s="167">
        <f>SUM(CD302:CH302)</f>
        <v>6</v>
      </c>
      <c r="CY302" s="167">
        <f>SUM(CD302:CM302)</f>
        <v>6</v>
      </c>
    </row>
    <row r="303" spans="1:103" x14ac:dyDescent="0.2">
      <c r="A303" s="81">
        <v>2796</v>
      </c>
      <c r="B303" s="165" t="s">
        <v>1908</v>
      </c>
      <c r="C303" s="165" t="s">
        <v>662</v>
      </c>
      <c r="D303" s="165" t="s">
        <v>663</v>
      </c>
      <c r="E303" s="165" t="s">
        <v>2000</v>
      </c>
      <c r="F303" s="165" t="s">
        <v>931</v>
      </c>
      <c r="G303" s="81">
        <v>526651</v>
      </c>
      <c r="H303" s="81">
        <v>175984</v>
      </c>
      <c r="I303" s="165" t="s">
        <v>257</v>
      </c>
      <c r="J303" s="349">
        <v>42552</v>
      </c>
      <c r="L303" s="166">
        <v>0</v>
      </c>
      <c r="M303" s="166">
        <v>6</v>
      </c>
      <c r="N303" s="166">
        <v>6</v>
      </c>
      <c r="O303" s="166">
        <v>173</v>
      </c>
      <c r="P303" s="166">
        <v>173</v>
      </c>
      <c r="Q303" s="81" t="s">
        <v>155</v>
      </c>
      <c r="R303" s="165" t="s">
        <v>922</v>
      </c>
      <c r="S303" s="81" t="s">
        <v>104</v>
      </c>
      <c r="T303" s="349">
        <v>42268</v>
      </c>
      <c r="U303" s="349">
        <v>42356</v>
      </c>
      <c r="W303" s="81" t="s">
        <v>114</v>
      </c>
      <c r="Y303" s="81" t="s">
        <v>115</v>
      </c>
      <c r="Z303" s="81" t="s">
        <v>116</v>
      </c>
      <c r="AA303" s="81" t="s">
        <v>116</v>
      </c>
      <c r="AB303" s="81" t="s">
        <v>117</v>
      </c>
      <c r="AC303" s="166">
        <v>1.30000002682209E-2</v>
      </c>
      <c r="AD303" s="349">
        <v>42552</v>
      </c>
      <c r="AG303" s="81" t="s">
        <v>238</v>
      </c>
      <c r="AH303" s="81" t="s">
        <v>118</v>
      </c>
      <c r="AI303" s="81" t="s">
        <v>2001</v>
      </c>
      <c r="AK303" s="166">
        <v>6</v>
      </c>
      <c r="AM303" s="166">
        <v>1</v>
      </c>
      <c r="AO303" s="166">
        <v>0</v>
      </c>
      <c r="AP303" s="166">
        <v>3</v>
      </c>
      <c r="AQ303" s="166">
        <v>3</v>
      </c>
      <c r="AR303" s="166">
        <v>0</v>
      </c>
      <c r="AS303" s="166">
        <v>0</v>
      </c>
      <c r="AT303" s="166">
        <v>0</v>
      </c>
      <c r="AU303" s="166">
        <v>0</v>
      </c>
      <c r="AV303" s="166">
        <v>0</v>
      </c>
      <c r="AW303" s="166">
        <v>3</v>
      </c>
      <c r="AX303" s="166">
        <v>3</v>
      </c>
      <c r="AY303" s="166">
        <v>0</v>
      </c>
      <c r="AZ303" s="166">
        <v>0</v>
      </c>
      <c r="BA303" s="166">
        <v>0</v>
      </c>
      <c r="BB303" s="166">
        <v>0</v>
      </c>
      <c r="BC303" s="166">
        <v>0</v>
      </c>
      <c r="BD303" s="166">
        <v>0</v>
      </c>
      <c r="BE303" s="166">
        <v>0</v>
      </c>
      <c r="BF303" s="166">
        <v>0</v>
      </c>
      <c r="BG303" s="166">
        <v>0</v>
      </c>
      <c r="BH303" s="166">
        <v>0</v>
      </c>
      <c r="BI303" s="166">
        <v>0</v>
      </c>
      <c r="BJ303" s="166">
        <v>0</v>
      </c>
      <c r="BK303" s="166">
        <v>0</v>
      </c>
      <c r="BL303" s="166">
        <v>0</v>
      </c>
      <c r="BM303" s="166">
        <v>0</v>
      </c>
      <c r="BN303" s="166">
        <v>0</v>
      </c>
      <c r="BO303" s="166">
        <v>0</v>
      </c>
      <c r="BP303" s="166">
        <v>0</v>
      </c>
      <c r="BQ303" s="81" t="s">
        <v>1757</v>
      </c>
      <c r="BX303" s="81" t="s">
        <v>155</v>
      </c>
      <c r="BZ303" s="81" t="s">
        <v>155</v>
      </c>
      <c r="CA303" s="81" t="s">
        <v>3934</v>
      </c>
      <c r="CC303" s="167">
        <v>0</v>
      </c>
      <c r="CD303" s="167">
        <v>0</v>
      </c>
      <c r="CE303" s="167">
        <f>N303</f>
        <v>6</v>
      </c>
      <c r="CF303" s="167">
        <v>0</v>
      </c>
      <c r="CG303" s="167">
        <v>0</v>
      </c>
      <c r="CH303" s="167">
        <v>0</v>
      </c>
      <c r="CI303" s="167">
        <v>0</v>
      </c>
      <c r="CJ303" s="167">
        <v>0</v>
      </c>
      <c r="CK303" s="167">
        <v>0</v>
      </c>
      <c r="CL303" s="167">
        <v>0</v>
      </c>
      <c r="CM303" s="167">
        <v>0</v>
      </c>
      <c r="CN303" s="167">
        <v>0</v>
      </c>
      <c r="CO303" s="167">
        <v>0</v>
      </c>
      <c r="CP303" s="167">
        <v>0</v>
      </c>
      <c r="CQ303" s="167">
        <v>0</v>
      </c>
      <c r="CR303" s="167">
        <v>0</v>
      </c>
      <c r="CS303" s="167">
        <v>0</v>
      </c>
      <c r="CT303" s="167">
        <v>0</v>
      </c>
      <c r="CU303" s="167">
        <v>0</v>
      </c>
      <c r="CV303" s="167">
        <v>0</v>
      </c>
      <c r="CW303" s="167">
        <v>0</v>
      </c>
      <c r="CX303" s="167">
        <f>SUM(CD303:CH303)</f>
        <v>6</v>
      </c>
      <c r="CY303" s="167">
        <f>SUM(CD303:CM303)</f>
        <v>6</v>
      </c>
    </row>
    <row r="304" spans="1:103" ht="12.75" customHeight="1" x14ac:dyDescent="0.2">
      <c r="A304" s="81">
        <v>2796</v>
      </c>
      <c r="B304" s="165" t="s">
        <v>1908</v>
      </c>
      <c r="C304" s="165" t="s">
        <v>662</v>
      </c>
      <c r="D304" s="165" t="s">
        <v>663</v>
      </c>
      <c r="E304" s="165" t="s">
        <v>2000</v>
      </c>
      <c r="F304" s="165" t="s">
        <v>932</v>
      </c>
      <c r="G304" s="81">
        <v>526651</v>
      </c>
      <c r="H304" s="81">
        <v>175984</v>
      </c>
      <c r="I304" s="165" t="s">
        <v>257</v>
      </c>
      <c r="J304" s="349">
        <v>42552</v>
      </c>
      <c r="L304" s="166">
        <v>0</v>
      </c>
      <c r="M304" s="166">
        <v>5</v>
      </c>
      <c r="N304" s="166">
        <v>5</v>
      </c>
      <c r="O304" s="166">
        <v>173</v>
      </c>
      <c r="P304" s="166">
        <v>173</v>
      </c>
      <c r="Q304" s="81" t="s">
        <v>155</v>
      </c>
      <c r="R304" s="165" t="s">
        <v>922</v>
      </c>
      <c r="S304" s="81" t="s">
        <v>104</v>
      </c>
      <c r="T304" s="349">
        <v>42268</v>
      </c>
      <c r="U304" s="349">
        <v>42356</v>
      </c>
      <c r="W304" s="81" t="s">
        <v>114</v>
      </c>
      <c r="Y304" s="81" t="s">
        <v>115</v>
      </c>
      <c r="Z304" s="81" t="s">
        <v>116</v>
      </c>
      <c r="AA304" s="81" t="s">
        <v>116</v>
      </c>
      <c r="AB304" s="81" t="s">
        <v>117</v>
      </c>
      <c r="AC304" s="166">
        <v>1.7999999225139601E-2</v>
      </c>
      <c r="AD304" s="349">
        <v>42552</v>
      </c>
      <c r="AG304" s="81" t="s">
        <v>74</v>
      </c>
      <c r="AH304" s="81" t="s">
        <v>1913</v>
      </c>
      <c r="AI304" s="81" t="s">
        <v>2001</v>
      </c>
      <c r="AK304" s="166">
        <v>5</v>
      </c>
      <c r="AM304" s="166">
        <v>2</v>
      </c>
      <c r="AO304" s="166">
        <v>0</v>
      </c>
      <c r="AP304" s="166">
        <v>1</v>
      </c>
      <c r="AQ304" s="166">
        <v>4</v>
      </c>
      <c r="AR304" s="166">
        <v>0</v>
      </c>
      <c r="AS304" s="166">
        <v>0</v>
      </c>
      <c r="AT304" s="166">
        <v>0</v>
      </c>
      <c r="AU304" s="166">
        <v>0</v>
      </c>
      <c r="AV304" s="166">
        <v>0</v>
      </c>
      <c r="AW304" s="166">
        <v>1</v>
      </c>
      <c r="AX304" s="166">
        <v>4</v>
      </c>
      <c r="AY304" s="166">
        <v>0</v>
      </c>
      <c r="AZ304" s="166">
        <v>0</v>
      </c>
      <c r="BA304" s="166">
        <v>0</v>
      </c>
      <c r="BB304" s="166">
        <v>0</v>
      </c>
      <c r="BC304" s="166">
        <v>0</v>
      </c>
      <c r="BD304" s="166">
        <v>0</v>
      </c>
      <c r="BE304" s="166">
        <v>0</v>
      </c>
      <c r="BF304" s="166">
        <v>0</v>
      </c>
      <c r="BG304" s="166">
        <v>0</v>
      </c>
      <c r="BH304" s="166">
        <v>0</v>
      </c>
      <c r="BI304" s="166">
        <v>0</v>
      </c>
      <c r="BJ304" s="166">
        <v>0</v>
      </c>
      <c r="BK304" s="166">
        <v>0</v>
      </c>
      <c r="BL304" s="166">
        <v>0</v>
      </c>
      <c r="BM304" s="166">
        <v>0</v>
      </c>
      <c r="BN304" s="166">
        <v>0</v>
      </c>
      <c r="BO304" s="166">
        <v>0</v>
      </c>
      <c r="BP304" s="166">
        <v>0</v>
      </c>
      <c r="BQ304" s="81" t="s">
        <v>1757</v>
      </c>
      <c r="BX304" s="81" t="s">
        <v>155</v>
      </c>
      <c r="BZ304" s="81" t="s">
        <v>155</v>
      </c>
      <c r="CA304" s="81" t="s">
        <v>3934</v>
      </c>
      <c r="CC304" s="167">
        <v>0</v>
      </c>
      <c r="CD304" s="167">
        <v>0</v>
      </c>
      <c r="CE304" s="167">
        <f>N304</f>
        <v>5</v>
      </c>
      <c r="CF304" s="167">
        <v>0</v>
      </c>
      <c r="CG304" s="167">
        <v>0</v>
      </c>
      <c r="CH304" s="167">
        <v>0</v>
      </c>
      <c r="CI304" s="167">
        <v>0</v>
      </c>
      <c r="CJ304" s="167">
        <v>0</v>
      </c>
      <c r="CK304" s="167">
        <v>0</v>
      </c>
      <c r="CL304" s="167">
        <v>0</v>
      </c>
      <c r="CM304" s="167">
        <v>0</v>
      </c>
      <c r="CN304" s="167">
        <v>0</v>
      </c>
      <c r="CO304" s="167">
        <v>0</v>
      </c>
      <c r="CP304" s="167">
        <v>0</v>
      </c>
      <c r="CQ304" s="167">
        <v>0</v>
      </c>
      <c r="CR304" s="167">
        <v>0</v>
      </c>
      <c r="CS304" s="167">
        <v>0</v>
      </c>
      <c r="CT304" s="167">
        <v>0</v>
      </c>
      <c r="CU304" s="167">
        <v>0</v>
      </c>
      <c r="CV304" s="167">
        <v>0</v>
      </c>
      <c r="CW304" s="167">
        <v>0</v>
      </c>
      <c r="CX304" s="167">
        <f>SUM(CD304:CH304)</f>
        <v>5</v>
      </c>
      <c r="CY304" s="167">
        <f>SUM(CD304:CM304)</f>
        <v>5</v>
      </c>
    </row>
    <row r="305" spans="1:103" x14ac:dyDescent="0.2">
      <c r="A305" s="81">
        <v>2796</v>
      </c>
      <c r="B305" s="165" t="s">
        <v>1908</v>
      </c>
      <c r="C305" s="165" t="s">
        <v>662</v>
      </c>
      <c r="D305" s="165" t="s">
        <v>663</v>
      </c>
      <c r="E305" s="165" t="s">
        <v>2000</v>
      </c>
      <c r="F305" s="165" t="s">
        <v>933</v>
      </c>
      <c r="G305" s="81">
        <v>526651</v>
      </c>
      <c r="H305" s="81">
        <v>175984</v>
      </c>
      <c r="I305" s="165" t="s">
        <v>257</v>
      </c>
      <c r="J305" s="349">
        <v>42552</v>
      </c>
      <c r="L305" s="166">
        <v>0</v>
      </c>
      <c r="M305" s="166">
        <v>4</v>
      </c>
      <c r="N305" s="166">
        <v>4</v>
      </c>
      <c r="O305" s="166">
        <v>173</v>
      </c>
      <c r="P305" s="166">
        <v>173</v>
      </c>
      <c r="Q305" s="81" t="s">
        <v>155</v>
      </c>
      <c r="R305" s="165" t="s">
        <v>922</v>
      </c>
      <c r="S305" s="81" t="s">
        <v>104</v>
      </c>
      <c r="T305" s="349">
        <v>42268</v>
      </c>
      <c r="U305" s="349">
        <v>42356</v>
      </c>
      <c r="W305" s="81" t="s">
        <v>114</v>
      </c>
      <c r="Y305" s="81" t="s">
        <v>115</v>
      </c>
      <c r="Z305" s="81" t="s">
        <v>116</v>
      </c>
      <c r="AA305" s="81" t="s">
        <v>116</v>
      </c>
      <c r="AB305" s="81" t="s">
        <v>117</v>
      </c>
      <c r="AC305" s="166">
        <v>1.4000000432133701E-2</v>
      </c>
      <c r="AD305" s="349">
        <v>42552</v>
      </c>
      <c r="AG305" s="81" t="s">
        <v>74</v>
      </c>
      <c r="AH305" s="81" t="s">
        <v>1913</v>
      </c>
      <c r="AI305" s="81" t="s">
        <v>2001</v>
      </c>
      <c r="AK305" s="166">
        <v>4</v>
      </c>
      <c r="AM305" s="166">
        <v>1</v>
      </c>
      <c r="AO305" s="166">
        <v>0</v>
      </c>
      <c r="AP305" s="166">
        <v>0</v>
      </c>
      <c r="AQ305" s="166">
        <v>4</v>
      </c>
      <c r="AR305" s="166">
        <v>0</v>
      </c>
      <c r="AS305" s="166">
        <v>0</v>
      </c>
      <c r="AT305" s="166">
        <v>0</v>
      </c>
      <c r="AU305" s="166">
        <v>0</v>
      </c>
      <c r="AV305" s="166">
        <v>0</v>
      </c>
      <c r="AW305" s="166">
        <v>0</v>
      </c>
      <c r="AX305" s="166">
        <v>4</v>
      </c>
      <c r="AY305" s="166">
        <v>0</v>
      </c>
      <c r="AZ305" s="166">
        <v>0</v>
      </c>
      <c r="BA305" s="166">
        <v>0</v>
      </c>
      <c r="BB305" s="166">
        <v>0</v>
      </c>
      <c r="BC305" s="166">
        <v>0</v>
      </c>
      <c r="BD305" s="166">
        <v>0</v>
      </c>
      <c r="BE305" s="166">
        <v>0</v>
      </c>
      <c r="BF305" s="166">
        <v>0</v>
      </c>
      <c r="BG305" s="166">
        <v>0</v>
      </c>
      <c r="BH305" s="166">
        <v>0</v>
      </c>
      <c r="BI305" s="166">
        <v>0</v>
      </c>
      <c r="BJ305" s="166">
        <v>0</v>
      </c>
      <c r="BK305" s="166">
        <v>0</v>
      </c>
      <c r="BL305" s="166">
        <v>0</v>
      </c>
      <c r="BM305" s="166">
        <v>0</v>
      </c>
      <c r="BN305" s="166">
        <v>0</v>
      </c>
      <c r="BO305" s="166">
        <v>0</v>
      </c>
      <c r="BP305" s="166">
        <v>0</v>
      </c>
      <c r="BQ305" s="81" t="s">
        <v>1757</v>
      </c>
      <c r="BX305" s="81" t="s">
        <v>155</v>
      </c>
      <c r="BZ305" s="81" t="s">
        <v>155</v>
      </c>
      <c r="CA305" s="81" t="s">
        <v>3934</v>
      </c>
      <c r="CC305" s="167">
        <v>0</v>
      </c>
      <c r="CD305" s="167">
        <v>0</v>
      </c>
      <c r="CE305" s="167">
        <f>N305</f>
        <v>4</v>
      </c>
      <c r="CF305" s="167">
        <v>0</v>
      </c>
      <c r="CG305" s="167">
        <v>0</v>
      </c>
      <c r="CH305" s="167">
        <v>0</v>
      </c>
      <c r="CI305" s="167">
        <v>0</v>
      </c>
      <c r="CJ305" s="167">
        <v>0</v>
      </c>
      <c r="CK305" s="167">
        <v>0</v>
      </c>
      <c r="CL305" s="167">
        <v>0</v>
      </c>
      <c r="CM305" s="167">
        <v>0</v>
      </c>
      <c r="CN305" s="167">
        <v>0</v>
      </c>
      <c r="CO305" s="167">
        <v>0</v>
      </c>
      <c r="CP305" s="167">
        <v>0</v>
      </c>
      <c r="CQ305" s="167">
        <v>0</v>
      </c>
      <c r="CR305" s="167">
        <v>0</v>
      </c>
      <c r="CS305" s="167">
        <v>0</v>
      </c>
      <c r="CT305" s="167">
        <v>0</v>
      </c>
      <c r="CU305" s="167">
        <v>0</v>
      </c>
      <c r="CV305" s="167">
        <v>0</v>
      </c>
      <c r="CW305" s="167">
        <v>0</v>
      </c>
      <c r="CX305" s="167">
        <f>SUM(CD305:CH305)</f>
        <v>4</v>
      </c>
      <c r="CY305" s="167">
        <f>SUM(CD305:CM305)</f>
        <v>4</v>
      </c>
    </row>
    <row r="306" spans="1:103" x14ac:dyDescent="0.2">
      <c r="A306" s="81">
        <v>2796</v>
      </c>
      <c r="B306" s="165" t="s">
        <v>1908</v>
      </c>
      <c r="C306" s="165" t="s">
        <v>662</v>
      </c>
      <c r="D306" s="165" t="s">
        <v>663</v>
      </c>
      <c r="E306" s="165" t="s">
        <v>2000</v>
      </c>
      <c r="F306" s="165" t="s">
        <v>934</v>
      </c>
      <c r="G306" s="81">
        <v>526651</v>
      </c>
      <c r="H306" s="81">
        <v>175984</v>
      </c>
      <c r="I306" s="165" t="s">
        <v>257</v>
      </c>
      <c r="J306" s="349">
        <v>42552</v>
      </c>
      <c r="L306" s="166">
        <v>0</v>
      </c>
      <c r="M306" s="166">
        <v>4</v>
      </c>
      <c r="N306" s="166">
        <v>4</v>
      </c>
      <c r="O306" s="166">
        <v>173</v>
      </c>
      <c r="P306" s="166">
        <v>173</v>
      </c>
      <c r="Q306" s="81" t="s">
        <v>155</v>
      </c>
      <c r="R306" s="165" t="s">
        <v>922</v>
      </c>
      <c r="S306" s="81" t="s">
        <v>104</v>
      </c>
      <c r="T306" s="349">
        <v>42268</v>
      </c>
      <c r="U306" s="349">
        <v>42356</v>
      </c>
      <c r="W306" s="81" t="s">
        <v>114</v>
      </c>
      <c r="Y306" s="81" t="s">
        <v>115</v>
      </c>
      <c r="Z306" s="81" t="s">
        <v>116</v>
      </c>
      <c r="AA306" s="81" t="s">
        <v>116</v>
      </c>
      <c r="AB306" s="81" t="s">
        <v>117</v>
      </c>
      <c r="AC306" s="166">
        <v>1.4000000432133701E-2</v>
      </c>
      <c r="AD306" s="349">
        <v>42552</v>
      </c>
      <c r="AG306" s="81" t="s">
        <v>74</v>
      </c>
      <c r="AH306" s="81" t="s">
        <v>1913</v>
      </c>
      <c r="AI306" s="81" t="s">
        <v>2001</v>
      </c>
      <c r="AK306" s="166">
        <v>4</v>
      </c>
      <c r="AM306" s="166">
        <v>1</v>
      </c>
      <c r="AO306" s="166">
        <v>0</v>
      </c>
      <c r="AP306" s="166">
        <v>0</v>
      </c>
      <c r="AQ306" s="166">
        <v>4</v>
      </c>
      <c r="AR306" s="166">
        <v>0</v>
      </c>
      <c r="AS306" s="166">
        <v>0</v>
      </c>
      <c r="AT306" s="166">
        <v>0</v>
      </c>
      <c r="AU306" s="166">
        <v>0</v>
      </c>
      <c r="AV306" s="166">
        <v>0</v>
      </c>
      <c r="AW306" s="166">
        <v>0</v>
      </c>
      <c r="AX306" s="166">
        <v>4</v>
      </c>
      <c r="AY306" s="166">
        <v>0</v>
      </c>
      <c r="AZ306" s="166">
        <v>0</v>
      </c>
      <c r="BA306" s="166">
        <v>0</v>
      </c>
      <c r="BB306" s="166">
        <v>0</v>
      </c>
      <c r="BC306" s="166">
        <v>0</v>
      </c>
      <c r="BD306" s="166">
        <v>0</v>
      </c>
      <c r="BE306" s="166">
        <v>0</v>
      </c>
      <c r="BF306" s="166">
        <v>0</v>
      </c>
      <c r="BG306" s="166">
        <v>0</v>
      </c>
      <c r="BH306" s="166">
        <v>0</v>
      </c>
      <c r="BI306" s="166">
        <v>0</v>
      </c>
      <c r="BJ306" s="166">
        <v>0</v>
      </c>
      <c r="BK306" s="166">
        <v>0</v>
      </c>
      <c r="BL306" s="166">
        <v>0</v>
      </c>
      <c r="BM306" s="166">
        <v>0</v>
      </c>
      <c r="BN306" s="166">
        <v>0</v>
      </c>
      <c r="BO306" s="166">
        <v>0</v>
      </c>
      <c r="BP306" s="166">
        <v>0</v>
      </c>
      <c r="BQ306" s="81" t="s">
        <v>1757</v>
      </c>
      <c r="BX306" s="81" t="s">
        <v>155</v>
      </c>
      <c r="BZ306" s="81" t="s">
        <v>155</v>
      </c>
      <c r="CA306" s="81" t="s">
        <v>3934</v>
      </c>
      <c r="CC306" s="167">
        <v>0</v>
      </c>
      <c r="CD306" s="167">
        <v>0</v>
      </c>
      <c r="CE306" s="167">
        <f>N306</f>
        <v>4</v>
      </c>
      <c r="CF306" s="167">
        <v>0</v>
      </c>
      <c r="CG306" s="167">
        <v>0</v>
      </c>
      <c r="CH306" s="167">
        <v>0</v>
      </c>
      <c r="CI306" s="167">
        <v>0</v>
      </c>
      <c r="CJ306" s="167">
        <v>0</v>
      </c>
      <c r="CK306" s="167">
        <v>0</v>
      </c>
      <c r="CL306" s="167">
        <v>0</v>
      </c>
      <c r="CM306" s="167">
        <v>0</v>
      </c>
      <c r="CN306" s="167">
        <v>0</v>
      </c>
      <c r="CO306" s="167">
        <v>0</v>
      </c>
      <c r="CP306" s="167">
        <v>0</v>
      </c>
      <c r="CQ306" s="167">
        <v>0</v>
      </c>
      <c r="CR306" s="167">
        <v>0</v>
      </c>
      <c r="CS306" s="167">
        <v>0</v>
      </c>
      <c r="CT306" s="167">
        <v>0</v>
      </c>
      <c r="CU306" s="167">
        <v>0</v>
      </c>
      <c r="CV306" s="167">
        <v>0</v>
      </c>
      <c r="CW306" s="167">
        <v>0</v>
      </c>
      <c r="CX306" s="167">
        <f>SUM(CD306:CH306)</f>
        <v>4</v>
      </c>
      <c r="CY306" s="167">
        <f>SUM(CD306:CM306)</f>
        <v>4</v>
      </c>
    </row>
    <row r="307" spans="1:103" ht="12.75" customHeight="1" x14ac:dyDescent="0.2">
      <c r="A307" s="81">
        <v>2796</v>
      </c>
      <c r="B307" s="165" t="s">
        <v>1908</v>
      </c>
      <c r="C307" s="165" t="s">
        <v>662</v>
      </c>
      <c r="D307" s="165" t="s">
        <v>663</v>
      </c>
      <c r="E307" s="165" t="s">
        <v>2000</v>
      </c>
      <c r="F307" s="165" t="s">
        <v>935</v>
      </c>
      <c r="G307" s="81">
        <v>526651</v>
      </c>
      <c r="H307" s="81">
        <v>175984</v>
      </c>
      <c r="I307" s="165" t="s">
        <v>257</v>
      </c>
      <c r="J307" s="349">
        <v>42552</v>
      </c>
      <c r="L307" s="166">
        <v>0</v>
      </c>
      <c r="M307" s="166">
        <v>4</v>
      </c>
      <c r="N307" s="166">
        <v>4</v>
      </c>
      <c r="O307" s="166">
        <v>173</v>
      </c>
      <c r="P307" s="166">
        <v>173</v>
      </c>
      <c r="Q307" s="81" t="s">
        <v>155</v>
      </c>
      <c r="R307" s="165" t="s">
        <v>922</v>
      </c>
      <c r="S307" s="81" t="s">
        <v>104</v>
      </c>
      <c r="T307" s="349">
        <v>42268</v>
      </c>
      <c r="U307" s="349">
        <v>42356</v>
      </c>
      <c r="W307" s="81" t="s">
        <v>114</v>
      </c>
      <c r="Y307" s="81" t="s">
        <v>115</v>
      </c>
      <c r="Z307" s="81" t="s">
        <v>116</v>
      </c>
      <c r="AA307" s="81" t="s">
        <v>116</v>
      </c>
      <c r="AB307" s="81" t="s">
        <v>117</v>
      </c>
      <c r="AC307" s="166">
        <v>1.4000000432133701E-2</v>
      </c>
      <c r="AD307" s="349">
        <v>42552</v>
      </c>
      <c r="AG307" s="81" t="s">
        <v>238</v>
      </c>
      <c r="AH307" s="81" t="s">
        <v>118</v>
      </c>
      <c r="AI307" s="81" t="s">
        <v>2001</v>
      </c>
      <c r="AK307" s="166">
        <v>4</v>
      </c>
      <c r="AM307" s="166">
        <v>0</v>
      </c>
      <c r="AO307" s="166">
        <v>0</v>
      </c>
      <c r="AP307" s="166">
        <v>0</v>
      </c>
      <c r="AQ307" s="166">
        <v>4</v>
      </c>
      <c r="AR307" s="166">
        <v>0</v>
      </c>
      <c r="AS307" s="166">
        <v>0</v>
      </c>
      <c r="AT307" s="166">
        <v>0</v>
      </c>
      <c r="AU307" s="166">
        <v>0</v>
      </c>
      <c r="AV307" s="166">
        <v>0</v>
      </c>
      <c r="AW307" s="166">
        <v>0</v>
      </c>
      <c r="AX307" s="166">
        <v>4</v>
      </c>
      <c r="AY307" s="166">
        <v>0</v>
      </c>
      <c r="AZ307" s="166">
        <v>0</v>
      </c>
      <c r="BA307" s="166">
        <v>0</v>
      </c>
      <c r="BB307" s="166">
        <v>0</v>
      </c>
      <c r="BC307" s="166">
        <v>0</v>
      </c>
      <c r="BD307" s="166">
        <v>0</v>
      </c>
      <c r="BE307" s="166">
        <v>0</v>
      </c>
      <c r="BF307" s="166">
        <v>0</v>
      </c>
      <c r="BG307" s="166">
        <v>0</v>
      </c>
      <c r="BH307" s="166">
        <v>0</v>
      </c>
      <c r="BI307" s="166">
        <v>0</v>
      </c>
      <c r="BJ307" s="166">
        <v>0</v>
      </c>
      <c r="BK307" s="166">
        <v>0</v>
      </c>
      <c r="BL307" s="166">
        <v>0</v>
      </c>
      <c r="BM307" s="166">
        <v>0</v>
      </c>
      <c r="BN307" s="166">
        <v>0</v>
      </c>
      <c r="BO307" s="166">
        <v>0</v>
      </c>
      <c r="BP307" s="166">
        <v>0</v>
      </c>
      <c r="BQ307" s="81" t="s">
        <v>1757</v>
      </c>
      <c r="BX307" s="81" t="s">
        <v>155</v>
      </c>
      <c r="BZ307" s="81" t="s">
        <v>155</v>
      </c>
      <c r="CA307" s="81" t="s">
        <v>3934</v>
      </c>
      <c r="CC307" s="167">
        <v>0</v>
      </c>
      <c r="CD307" s="167">
        <v>0</v>
      </c>
      <c r="CE307" s="167">
        <f>N307</f>
        <v>4</v>
      </c>
      <c r="CF307" s="167">
        <v>0</v>
      </c>
      <c r="CG307" s="167">
        <v>0</v>
      </c>
      <c r="CH307" s="167">
        <v>0</v>
      </c>
      <c r="CI307" s="167">
        <v>0</v>
      </c>
      <c r="CJ307" s="167">
        <v>0</v>
      </c>
      <c r="CK307" s="167">
        <v>0</v>
      </c>
      <c r="CL307" s="167">
        <v>0</v>
      </c>
      <c r="CM307" s="167">
        <v>0</v>
      </c>
      <c r="CN307" s="167">
        <v>0</v>
      </c>
      <c r="CO307" s="167">
        <v>0</v>
      </c>
      <c r="CP307" s="167">
        <v>0</v>
      </c>
      <c r="CQ307" s="167">
        <v>0</v>
      </c>
      <c r="CR307" s="167">
        <v>0</v>
      </c>
      <c r="CS307" s="167">
        <v>0</v>
      </c>
      <c r="CT307" s="167">
        <v>0</v>
      </c>
      <c r="CU307" s="167">
        <v>0</v>
      </c>
      <c r="CV307" s="167">
        <v>0</v>
      </c>
      <c r="CW307" s="167">
        <v>0</v>
      </c>
      <c r="CX307" s="167">
        <f>SUM(CD307:CH307)</f>
        <v>4</v>
      </c>
      <c r="CY307" s="167">
        <f>SUM(CD307:CM307)</f>
        <v>4</v>
      </c>
    </row>
    <row r="308" spans="1:103" ht="12.75" customHeight="1" x14ac:dyDescent="0.2">
      <c r="A308" s="81">
        <v>2796</v>
      </c>
      <c r="B308" s="165" t="s">
        <v>1908</v>
      </c>
      <c r="C308" s="165" t="s">
        <v>662</v>
      </c>
      <c r="D308" s="165" t="s">
        <v>663</v>
      </c>
      <c r="E308" s="165" t="s">
        <v>2000</v>
      </c>
      <c r="F308" s="165" t="s">
        <v>936</v>
      </c>
      <c r="G308" s="81">
        <v>526651</v>
      </c>
      <c r="H308" s="81">
        <v>175984</v>
      </c>
      <c r="I308" s="165" t="s">
        <v>257</v>
      </c>
      <c r="J308" s="349">
        <v>42552</v>
      </c>
      <c r="L308" s="166">
        <v>0</v>
      </c>
      <c r="M308" s="166">
        <v>3</v>
      </c>
      <c r="N308" s="166">
        <v>3</v>
      </c>
      <c r="O308" s="166">
        <v>173</v>
      </c>
      <c r="P308" s="166">
        <v>173</v>
      </c>
      <c r="Q308" s="81" t="s">
        <v>155</v>
      </c>
      <c r="R308" s="165" t="s">
        <v>922</v>
      </c>
      <c r="S308" s="81" t="s">
        <v>104</v>
      </c>
      <c r="T308" s="349">
        <v>42268</v>
      </c>
      <c r="U308" s="349">
        <v>42356</v>
      </c>
      <c r="W308" s="81" t="s">
        <v>114</v>
      </c>
      <c r="Y308" s="81" t="s">
        <v>115</v>
      </c>
      <c r="Z308" s="81" t="s">
        <v>116</v>
      </c>
      <c r="AA308" s="81" t="s">
        <v>116</v>
      </c>
      <c r="AB308" s="81" t="s">
        <v>117</v>
      </c>
      <c r="AC308" s="166">
        <v>1.09999999403954E-2</v>
      </c>
      <c r="AD308" s="349">
        <v>42552</v>
      </c>
      <c r="AG308" s="81" t="s">
        <v>238</v>
      </c>
      <c r="AH308" s="81" t="s">
        <v>118</v>
      </c>
      <c r="AI308" s="81" t="s">
        <v>2001</v>
      </c>
      <c r="AK308" s="166">
        <v>3</v>
      </c>
      <c r="AM308" s="166">
        <v>0</v>
      </c>
      <c r="AO308" s="166">
        <v>0</v>
      </c>
      <c r="AP308" s="166">
        <v>0</v>
      </c>
      <c r="AQ308" s="166">
        <v>3</v>
      </c>
      <c r="AR308" s="166">
        <v>0</v>
      </c>
      <c r="AS308" s="166">
        <v>0</v>
      </c>
      <c r="AT308" s="166">
        <v>0</v>
      </c>
      <c r="AU308" s="166">
        <v>0</v>
      </c>
      <c r="AV308" s="166">
        <v>0</v>
      </c>
      <c r="AW308" s="166">
        <v>0</v>
      </c>
      <c r="AX308" s="166">
        <v>3</v>
      </c>
      <c r="AY308" s="166">
        <v>0</v>
      </c>
      <c r="AZ308" s="166">
        <v>0</v>
      </c>
      <c r="BA308" s="166">
        <v>0</v>
      </c>
      <c r="BB308" s="166">
        <v>0</v>
      </c>
      <c r="BC308" s="166">
        <v>0</v>
      </c>
      <c r="BD308" s="166">
        <v>0</v>
      </c>
      <c r="BE308" s="166">
        <v>0</v>
      </c>
      <c r="BF308" s="166">
        <v>0</v>
      </c>
      <c r="BG308" s="166">
        <v>0</v>
      </c>
      <c r="BH308" s="166">
        <v>0</v>
      </c>
      <c r="BI308" s="166">
        <v>0</v>
      </c>
      <c r="BJ308" s="166">
        <v>0</v>
      </c>
      <c r="BK308" s="166">
        <v>0</v>
      </c>
      <c r="BL308" s="166">
        <v>0</v>
      </c>
      <c r="BM308" s="166">
        <v>0</v>
      </c>
      <c r="BN308" s="166">
        <v>0</v>
      </c>
      <c r="BO308" s="166">
        <v>0</v>
      </c>
      <c r="BP308" s="166">
        <v>0</v>
      </c>
      <c r="BQ308" s="81" t="s">
        <v>1757</v>
      </c>
      <c r="BX308" s="81" t="s">
        <v>155</v>
      </c>
      <c r="BZ308" s="81" t="s">
        <v>155</v>
      </c>
      <c r="CA308" s="81" t="s">
        <v>3934</v>
      </c>
      <c r="CC308" s="167">
        <v>0</v>
      </c>
      <c r="CD308" s="167">
        <v>0</v>
      </c>
      <c r="CE308" s="167">
        <f>N308</f>
        <v>3</v>
      </c>
      <c r="CF308" s="167">
        <v>0</v>
      </c>
      <c r="CG308" s="167">
        <v>0</v>
      </c>
      <c r="CH308" s="167">
        <v>0</v>
      </c>
      <c r="CI308" s="167">
        <v>0</v>
      </c>
      <c r="CJ308" s="167">
        <v>0</v>
      </c>
      <c r="CK308" s="167">
        <v>0</v>
      </c>
      <c r="CL308" s="167">
        <v>0</v>
      </c>
      <c r="CM308" s="167">
        <v>0</v>
      </c>
      <c r="CN308" s="167">
        <v>0</v>
      </c>
      <c r="CO308" s="167">
        <v>0</v>
      </c>
      <c r="CP308" s="167">
        <v>0</v>
      </c>
      <c r="CQ308" s="167">
        <v>0</v>
      </c>
      <c r="CR308" s="167">
        <v>0</v>
      </c>
      <c r="CS308" s="167">
        <v>0</v>
      </c>
      <c r="CT308" s="167">
        <v>0</v>
      </c>
      <c r="CU308" s="167">
        <v>0</v>
      </c>
      <c r="CV308" s="167">
        <v>0</v>
      </c>
      <c r="CW308" s="167">
        <v>0</v>
      </c>
      <c r="CX308" s="167">
        <f>SUM(CD308:CH308)</f>
        <v>3</v>
      </c>
      <c r="CY308" s="167">
        <f>SUM(CD308:CM308)</f>
        <v>3</v>
      </c>
    </row>
    <row r="309" spans="1:103" x14ac:dyDescent="0.2">
      <c r="A309" s="81">
        <v>2796</v>
      </c>
      <c r="B309" s="165" t="s">
        <v>1908</v>
      </c>
      <c r="C309" s="165" t="s">
        <v>662</v>
      </c>
      <c r="D309" s="165" t="s">
        <v>663</v>
      </c>
      <c r="E309" s="165" t="s">
        <v>2000</v>
      </c>
      <c r="F309" s="165" t="s">
        <v>937</v>
      </c>
      <c r="G309" s="81">
        <v>526651</v>
      </c>
      <c r="H309" s="81">
        <v>175984</v>
      </c>
      <c r="I309" s="165" t="s">
        <v>257</v>
      </c>
      <c r="J309" s="349">
        <v>42552</v>
      </c>
      <c r="L309" s="166">
        <v>0</v>
      </c>
      <c r="M309" s="166">
        <v>5</v>
      </c>
      <c r="N309" s="166">
        <v>5</v>
      </c>
      <c r="O309" s="166">
        <v>173</v>
      </c>
      <c r="P309" s="166">
        <v>173</v>
      </c>
      <c r="Q309" s="81" t="s">
        <v>155</v>
      </c>
      <c r="R309" s="165" t="s">
        <v>922</v>
      </c>
      <c r="S309" s="81" t="s">
        <v>104</v>
      </c>
      <c r="T309" s="349">
        <v>42268</v>
      </c>
      <c r="U309" s="349">
        <v>42356</v>
      </c>
      <c r="W309" s="81" t="s">
        <v>114</v>
      </c>
      <c r="Y309" s="81" t="s">
        <v>115</v>
      </c>
      <c r="Z309" s="81" t="s">
        <v>116</v>
      </c>
      <c r="AA309" s="81" t="s">
        <v>116</v>
      </c>
      <c r="AB309" s="81" t="s">
        <v>117</v>
      </c>
      <c r="AC309" s="166">
        <v>8.0000003799796104E-3</v>
      </c>
      <c r="AD309" s="349">
        <v>42552</v>
      </c>
      <c r="AG309" s="81" t="s">
        <v>238</v>
      </c>
      <c r="AH309" s="81" t="s">
        <v>118</v>
      </c>
      <c r="AI309" s="81" t="s">
        <v>2001</v>
      </c>
      <c r="AK309" s="166">
        <v>5</v>
      </c>
      <c r="AM309" s="166">
        <v>0</v>
      </c>
      <c r="AO309" s="166">
        <v>0</v>
      </c>
      <c r="AP309" s="166">
        <v>0</v>
      </c>
      <c r="AQ309" s="166">
        <v>5</v>
      </c>
      <c r="AR309" s="166">
        <v>0</v>
      </c>
      <c r="AS309" s="166">
        <v>0</v>
      </c>
      <c r="AT309" s="166">
        <v>0</v>
      </c>
      <c r="AU309" s="166">
        <v>0</v>
      </c>
      <c r="AV309" s="166">
        <v>0</v>
      </c>
      <c r="AW309" s="166">
        <v>0</v>
      </c>
      <c r="AX309" s="166">
        <v>5</v>
      </c>
      <c r="AY309" s="166">
        <v>0</v>
      </c>
      <c r="AZ309" s="166">
        <v>0</v>
      </c>
      <c r="BA309" s="166">
        <v>0</v>
      </c>
      <c r="BB309" s="166">
        <v>0</v>
      </c>
      <c r="BC309" s="166">
        <v>0</v>
      </c>
      <c r="BD309" s="166">
        <v>0</v>
      </c>
      <c r="BE309" s="166">
        <v>0</v>
      </c>
      <c r="BF309" s="166">
        <v>0</v>
      </c>
      <c r="BG309" s="166">
        <v>0</v>
      </c>
      <c r="BH309" s="166">
        <v>0</v>
      </c>
      <c r="BI309" s="166">
        <v>0</v>
      </c>
      <c r="BJ309" s="166">
        <v>0</v>
      </c>
      <c r="BK309" s="166">
        <v>0</v>
      </c>
      <c r="BL309" s="166">
        <v>0</v>
      </c>
      <c r="BM309" s="166">
        <v>0</v>
      </c>
      <c r="BN309" s="166">
        <v>0</v>
      </c>
      <c r="BO309" s="166">
        <v>0</v>
      </c>
      <c r="BP309" s="166">
        <v>0</v>
      </c>
      <c r="BQ309" s="81" t="s">
        <v>1757</v>
      </c>
      <c r="BX309" s="81" t="s">
        <v>155</v>
      </c>
      <c r="BZ309" s="81" t="s">
        <v>155</v>
      </c>
      <c r="CA309" s="81" t="s">
        <v>3934</v>
      </c>
      <c r="CC309" s="167">
        <v>0</v>
      </c>
      <c r="CD309" s="167">
        <v>0</v>
      </c>
      <c r="CE309" s="167">
        <f>N309</f>
        <v>5</v>
      </c>
      <c r="CF309" s="167">
        <v>0</v>
      </c>
      <c r="CG309" s="167">
        <v>0</v>
      </c>
      <c r="CH309" s="167">
        <v>0</v>
      </c>
      <c r="CI309" s="167">
        <v>0</v>
      </c>
      <c r="CJ309" s="167">
        <v>0</v>
      </c>
      <c r="CK309" s="167">
        <v>0</v>
      </c>
      <c r="CL309" s="167">
        <v>0</v>
      </c>
      <c r="CM309" s="167">
        <v>0</v>
      </c>
      <c r="CN309" s="167">
        <v>0</v>
      </c>
      <c r="CO309" s="167">
        <v>0</v>
      </c>
      <c r="CP309" s="167">
        <v>0</v>
      </c>
      <c r="CQ309" s="167">
        <v>0</v>
      </c>
      <c r="CR309" s="167">
        <v>0</v>
      </c>
      <c r="CS309" s="167">
        <v>0</v>
      </c>
      <c r="CT309" s="167">
        <v>0</v>
      </c>
      <c r="CU309" s="167">
        <v>0</v>
      </c>
      <c r="CV309" s="167">
        <v>0</v>
      </c>
      <c r="CW309" s="167">
        <v>0</v>
      </c>
      <c r="CX309" s="167">
        <f>SUM(CD309:CH309)</f>
        <v>5</v>
      </c>
      <c r="CY309" s="167">
        <f>SUM(CD309:CM309)</f>
        <v>5</v>
      </c>
    </row>
    <row r="310" spans="1:103" ht="12.75" customHeight="1" x14ac:dyDescent="0.2">
      <c r="A310" s="81">
        <v>2796</v>
      </c>
      <c r="B310" s="165" t="s">
        <v>1908</v>
      </c>
      <c r="C310" s="165" t="s">
        <v>662</v>
      </c>
      <c r="D310" s="165" t="s">
        <v>663</v>
      </c>
      <c r="E310" s="165" t="s">
        <v>2000</v>
      </c>
      <c r="F310" s="165" t="s">
        <v>938</v>
      </c>
      <c r="G310" s="81">
        <v>526651</v>
      </c>
      <c r="H310" s="81">
        <v>175984</v>
      </c>
      <c r="I310" s="165" t="s">
        <v>257</v>
      </c>
      <c r="J310" s="349">
        <v>42552</v>
      </c>
      <c r="L310" s="166">
        <v>0</v>
      </c>
      <c r="M310" s="166">
        <v>5</v>
      </c>
      <c r="N310" s="166">
        <v>5</v>
      </c>
      <c r="O310" s="166">
        <v>173</v>
      </c>
      <c r="P310" s="166">
        <v>173</v>
      </c>
      <c r="Q310" s="81" t="s">
        <v>155</v>
      </c>
      <c r="R310" s="165" t="s">
        <v>922</v>
      </c>
      <c r="S310" s="81" t="s">
        <v>104</v>
      </c>
      <c r="T310" s="349">
        <v>42268</v>
      </c>
      <c r="U310" s="349">
        <v>42356</v>
      </c>
      <c r="W310" s="81" t="s">
        <v>114</v>
      </c>
      <c r="Y310" s="81" t="s">
        <v>115</v>
      </c>
      <c r="Z310" s="81" t="s">
        <v>116</v>
      </c>
      <c r="AA310" s="81" t="s">
        <v>116</v>
      </c>
      <c r="AB310" s="81" t="s">
        <v>117</v>
      </c>
      <c r="AC310" s="166">
        <v>8.0000003799796104E-3</v>
      </c>
      <c r="AD310" s="349">
        <v>42552</v>
      </c>
      <c r="AG310" s="81" t="s">
        <v>238</v>
      </c>
      <c r="AH310" s="81" t="s">
        <v>118</v>
      </c>
      <c r="AI310" s="81" t="s">
        <v>2001</v>
      </c>
      <c r="AK310" s="166">
        <v>5</v>
      </c>
      <c r="AM310" s="166">
        <v>0</v>
      </c>
      <c r="AO310" s="166">
        <v>0</v>
      </c>
      <c r="AP310" s="166">
        <v>0</v>
      </c>
      <c r="AQ310" s="166">
        <v>5</v>
      </c>
      <c r="AR310" s="166">
        <v>0</v>
      </c>
      <c r="AS310" s="166">
        <v>0</v>
      </c>
      <c r="AT310" s="166">
        <v>0</v>
      </c>
      <c r="AU310" s="166">
        <v>0</v>
      </c>
      <c r="AV310" s="166">
        <v>0</v>
      </c>
      <c r="AW310" s="166">
        <v>0</v>
      </c>
      <c r="AX310" s="166">
        <v>5</v>
      </c>
      <c r="AY310" s="166">
        <v>0</v>
      </c>
      <c r="AZ310" s="166">
        <v>0</v>
      </c>
      <c r="BA310" s="166">
        <v>0</v>
      </c>
      <c r="BB310" s="166">
        <v>0</v>
      </c>
      <c r="BC310" s="166">
        <v>0</v>
      </c>
      <c r="BD310" s="166">
        <v>0</v>
      </c>
      <c r="BE310" s="166">
        <v>0</v>
      </c>
      <c r="BF310" s="166">
        <v>0</v>
      </c>
      <c r="BG310" s="166">
        <v>0</v>
      </c>
      <c r="BH310" s="166">
        <v>0</v>
      </c>
      <c r="BI310" s="166">
        <v>0</v>
      </c>
      <c r="BJ310" s="166">
        <v>0</v>
      </c>
      <c r="BK310" s="166">
        <v>0</v>
      </c>
      <c r="BL310" s="166">
        <v>0</v>
      </c>
      <c r="BM310" s="166">
        <v>0</v>
      </c>
      <c r="BN310" s="166">
        <v>0</v>
      </c>
      <c r="BO310" s="166">
        <v>0</v>
      </c>
      <c r="BP310" s="166">
        <v>0</v>
      </c>
      <c r="BQ310" s="81" t="s">
        <v>1757</v>
      </c>
      <c r="BX310" s="81" t="s">
        <v>155</v>
      </c>
      <c r="BZ310" s="81" t="s">
        <v>155</v>
      </c>
      <c r="CA310" s="81" t="s">
        <v>3934</v>
      </c>
      <c r="CC310" s="167">
        <v>0</v>
      </c>
      <c r="CD310" s="167">
        <v>0</v>
      </c>
      <c r="CE310" s="167">
        <f>N310</f>
        <v>5</v>
      </c>
      <c r="CF310" s="167">
        <v>0</v>
      </c>
      <c r="CG310" s="167">
        <v>0</v>
      </c>
      <c r="CH310" s="167">
        <v>0</v>
      </c>
      <c r="CI310" s="167">
        <v>0</v>
      </c>
      <c r="CJ310" s="167">
        <v>0</v>
      </c>
      <c r="CK310" s="167">
        <v>0</v>
      </c>
      <c r="CL310" s="167">
        <v>0</v>
      </c>
      <c r="CM310" s="167">
        <v>0</v>
      </c>
      <c r="CN310" s="167">
        <v>0</v>
      </c>
      <c r="CO310" s="167">
        <v>0</v>
      </c>
      <c r="CP310" s="167">
        <v>0</v>
      </c>
      <c r="CQ310" s="167">
        <v>0</v>
      </c>
      <c r="CR310" s="167">
        <v>0</v>
      </c>
      <c r="CS310" s="167">
        <v>0</v>
      </c>
      <c r="CT310" s="167">
        <v>0</v>
      </c>
      <c r="CU310" s="167">
        <v>0</v>
      </c>
      <c r="CV310" s="167">
        <v>0</v>
      </c>
      <c r="CW310" s="167">
        <v>0</v>
      </c>
      <c r="CX310" s="167">
        <f>SUM(CD310:CH310)</f>
        <v>5</v>
      </c>
      <c r="CY310" s="167">
        <f>SUM(CD310:CM310)</f>
        <v>5</v>
      </c>
    </row>
    <row r="311" spans="1:103" ht="12.75" customHeight="1" x14ac:dyDescent="0.2">
      <c r="A311" s="81">
        <v>2796</v>
      </c>
      <c r="B311" s="165" t="s">
        <v>1908</v>
      </c>
      <c r="C311" s="165" t="s">
        <v>662</v>
      </c>
      <c r="D311" s="165" t="s">
        <v>663</v>
      </c>
      <c r="E311" s="165" t="s">
        <v>2000</v>
      </c>
      <c r="F311" s="165" t="s">
        <v>939</v>
      </c>
      <c r="G311" s="81">
        <v>526651</v>
      </c>
      <c r="H311" s="81">
        <v>175984</v>
      </c>
      <c r="I311" s="165" t="s">
        <v>257</v>
      </c>
      <c r="J311" s="349">
        <v>42552</v>
      </c>
      <c r="L311" s="166">
        <v>0</v>
      </c>
      <c r="M311" s="166">
        <v>5</v>
      </c>
      <c r="N311" s="166">
        <v>5</v>
      </c>
      <c r="O311" s="166">
        <v>173</v>
      </c>
      <c r="P311" s="166">
        <v>173</v>
      </c>
      <c r="Q311" s="81" t="s">
        <v>155</v>
      </c>
      <c r="R311" s="165" t="s">
        <v>922</v>
      </c>
      <c r="S311" s="81" t="s">
        <v>104</v>
      </c>
      <c r="T311" s="349">
        <v>42268</v>
      </c>
      <c r="U311" s="349">
        <v>42356</v>
      </c>
      <c r="W311" s="81" t="s">
        <v>114</v>
      </c>
      <c r="Y311" s="81" t="s">
        <v>115</v>
      </c>
      <c r="Z311" s="81" t="s">
        <v>116</v>
      </c>
      <c r="AA311" s="81" t="s">
        <v>116</v>
      </c>
      <c r="AB311" s="81" t="s">
        <v>117</v>
      </c>
      <c r="AC311" s="166">
        <v>8.0000003799796104E-3</v>
      </c>
      <c r="AD311" s="349">
        <v>42552</v>
      </c>
      <c r="AG311" s="81" t="s">
        <v>238</v>
      </c>
      <c r="AH311" s="81" t="s">
        <v>118</v>
      </c>
      <c r="AI311" s="81" t="s">
        <v>2001</v>
      </c>
      <c r="AK311" s="166">
        <v>5</v>
      </c>
      <c r="AM311" s="166">
        <v>0</v>
      </c>
      <c r="AO311" s="166">
        <v>0</v>
      </c>
      <c r="AP311" s="166">
        <v>0</v>
      </c>
      <c r="AQ311" s="166">
        <v>5</v>
      </c>
      <c r="AR311" s="166">
        <v>0</v>
      </c>
      <c r="AS311" s="166">
        <v>0</v>
      </c>
      <c r="AT311" s="166">
        <v>0</v>
      </c>
      <c r="AU311" s="166">
        <v>0</v>
      </c>
      <c r="AV311" s="166">
        <v>0</v>
      </c>
      <c r="AW311" s="166">
        <v>0</v>
      </c>
      <c r="AX311" s="166">
        <v>5</v>
      </c>
      <c r="AY311" s="166">
        <v>0</v>
      </c>
      <c r="AZ311" s="166">
        <v>0</v>
      </c>
      <c r="BA311" s="166">
        <v>0</v>
      </c>
      <c r="BB311" s="166">
        <v>0</v>
      </c>
      <c r="BC311" s="166">
        <v>0</v>
      </c>
      <c r="BD311" s="166">
        <v>0</v>
      </c>
      <c r="BE311" s="166">
        <v>0</v>
      </c>
      <c r="BF311" s="166">
        <v>0</v>
      </c>
      <c r="BG311" s="166">
        <v>0</v>
      </c>
      <c r="BH311" s="166">
        <v>0</v>
      </c>
      <c r="BI311" s="166">
        <v>0</v>
      </c>
      <c r="BJ311" s="166">
        <v>0</v>
      </c>
      <c r="BK311" s="166">
        <v>0</v>
      </c>
      <c r="BL311" s="166">
        <v>0</v>
      </c>
      <c r="BM311" s="166">
        <v>0</v>
      </c>
      <c r="BN311" s="166">
        <v>0</v>
      </c>
      <c r="BO311" s="166">
        <v>0</v>
      </c>
      <c r="BP311" s="166">
        <v>0</v>
      </c>
      <c r="BQ311" s="81" t="s">
        <v>1757</v>
      </c>
      <c r="BX311" s="81" t="s">
        <v>155</v>
      </c>
      <c r="BZ311" s="81" t="s">
        <v>155</v>
      </c>
      <c r="CA311" s="81" t="s">
        <v>3934</v>
      </c>
      <c r="CC311" s="167">
        <v>0</v>
      </c>
      <c r="CD311" s="167">
        <v>0</v>
      </c>
      <c r="CE311" s="167">
        <f>N311</f>
        <v>5</v>
      </c>
      <c r="CF311" s="167">
        <v>0</v>
      </c>
      <c r="CG311" s="167">
        <v>0</v>
      </c>
      <c r="CH311" s="167">
        <v>0</v>
      </c>
      <c r="CI311" s="167">
        <v>0</v>
      </c>
      <c r="CJ311" s="167">
        <v>0</v>
      </c>
      <c r="CK311" s="167">
        <v>0</v>
      </c>
      <c r="CL311" s="167">
        <v>0</v>
      </c>
      <c r="CM311" s="167">
        <v>0</v>
      </c>
      <c r="CN311" s="167">
        <v>0</v>
      </c>
      <c r="CO311" s="167">
        <v>0</v>
      </c>
      <c r="CP311" s="167">
        <v>0</v>
      </c>
      <c r="CQ311" s="167">
        <v>0</v>
      </c>
      <c r="CR311" s="167">
        <v>0</v>
      </c>
      <c r="CS311" s="167">
        <v>0</v>
      </c>
      <c r="CT311" s="167">
        <v>0</v>
      </c>
      <c r="CU311" s="167">
        <v>0</v>
      </c>
      <c r="CV311" s="167">
        <v>0</v>
      </c>
      <c r="CW311" s="167">
        <v>0</v>
      </c>
      <c r="CX311" s="167">
        <f>SUM(CD311:CH311)</f>
        <v>5</v>
      </c>
      <c r="CY311" s="167">
        <f>SUM(CD311:CM311)</f>
        <v>5</v>
      </c>
    </row>
    <row r="312" spans="1:103" x14ac:dyDescent="0.2">
      <c r="A312" s="81">
        <v>2796</v>
      </c>
      <c r="B312" s="165" t="s">
        <v>1908</v>
      </c>
      <c r="C312" s="165" t="s">
        <v>662</v>
      </c>
      <c r="D312" s="165" t="s">
        <v>663</v>
      </c>
      <c r="E312" s="165" t="s">
        <v>2000</v>
      </c>
      <c r="F312" s="165" t="s">
        <v>940</v>
      </c>
      <c r="G312" s="81">
        <v>526651</v>
      </c>
      <c r="H312" s="81">
        <v>175984</v>
      </c>
      <c r="I312" s="165" t="s">
        <v>257</v>
      </c>
      <c r="J312" s="349">
        <v>42552</v>
      </c>
      <c r="L312" s="166">
        <v>0</v>
      </c>
      <c r="M312" s="166">
        <v>5</v>
      </c>
      <c r="N312" s="166">
        <v>5</v>
      </c>
      <c r="O312" s="166">
        <v>173</v>
      </c>
      <c r="P312" s="166">
        <v>173</v>
      </c>
      <c r="Q312" s="81" t="s">
        <v>155</v>
      </c>
      <c r="R312" s="165" t="s">
        <v>922</v>
      </c>
      <c r="S312" s="81" t="s">
        <v>104</v>
      </c>
      <c r="T312" s="349">
        <v>42268</v>
      </c>
      <c r="U312" s="349">
        <v>42356</v>
      </c>
      <c r="W312" s="81" t="s">
        <v>114</v>
      </c>
      <c r="Y312" s="81" t="s">
        <v>115</v>
      </c>
      <c r="Z312" s="81" t="s">
        <v>116</v>
      </c>
      <c r="AA312" s="81" t="s">
        <v>116</v>
      </c>
      <c r="AB312" s="81" t="s">
        <v>117</v>
      </c>
      <c r="AC312" s="166">
        <v>8.0000003799796104E-3</v>
      </c>
      <c r="AD312" s="349">
        <v>42552</v>
      </c>
      <c r="AG312" s="81" t="s">
        <v>238</v>
      </c>
      <c r="AH312" s="81" t="s">
        <v>118</v>
      </c>
      <c r="AI312" s="81" t="s">
        <v>2001</v>
      </c>
      <c r="AK312" s="166">
        <v>5</v>
      </c>
      <c r="AM312" s="166">
        <v>0</v>
      </c>
      <c r="AO312" s="166">
        <v>0</v>
      </c>
      <c r="AP312" s="166">
        <v>0</v>
      </c>
      <c r="AQ312" s="166">
        <v>5</v>
      </c>
      <c r="AR312" s="166">
        <v>0</v>
      </c>
      <c r="AS312" s="166">
        <v>0</v>
      </c>
      <c r="AT312" s="166">
        <v>0</v>
      </c>
      <c r="AU312" s="166">
        <v>0</v>
      </c>
      <c r="AV312" s="166">
        <v>0</v>
      </c>
      <c r="AW312" s="166">
        <v>0</v>
      </c>
      <c r="AX312" s="166">
        <v>5</v>
      </c>
      <c r="AY312" s="166">
        <v>0</v>
      </c>
      <c r="AZ312" s="166">
        <v>0</v>
      </c>
      <c r="BA312" s="166">
        <v>0</v>
      </c>
      <c r="BB312" s="166">
        <v>0</v>
      </c>
      <c r="BC312" s="166">
        <v>0</v>
      </c>
      <c r="BD312" s="166">
        <v>0</v>
      </c>
      <c r="BE312" s="166">
        <v>0</v>
      </c>
      <c r="BF312" s="166">
        <v>0</v>
      </c>
      <c r="BG312" s="166">
        <v>0</v>
      </c>
      <c r="BH312" s="166">
        <v>0</v>
      </c>
      <c r="BI312" s="166">
        <v>0</v>
      </c>
      <c r="BJ312" s="166">
        <v>0</v>
      </c>
      <c r="BK312" s="166">
        <v>0</v>
      </c>
      <c r="BL312" s="166">
        <v>0</v>
      </c>
      <c r="BM312" s="166">
        <v>0</v>
      </c>
      <c r="BN312" s="166">
        <v>0</v>
      </c>
      <c r="BO312" s="166">
        <v>0</v>
      </c>
      <c r="BP312" s="166">
        <v>0</v>
      </c>
      <c r="BQ312" s="81" t="s">
        <v>1757</v>
      </c>
      <c r="BX312" s="81" t="s">
        <v>155</v>
      </c>
      <c r="BZ312" s="81" t="s">
        <v>155</v>
      </c>
      <c r="CA312" s="81" t="s">
        <v>3934</v>
      </c>
      <c r="CC312" s="167">
        <v>0</v>
      </c>
      <c r="CD312" s="167">
        <v>0</v>
      </c>
      <c r="CE312" s="167">
        <f>N312</f>
        <v>5</v>
      </c>
      <c r="CF312" s="167">
        <v>0</v>
      </c>
      <c r="CG312" s="167">
        <v>0</v>
      </c>
      <c r="CH312" s="167">
        <v>0</v>
      </c>
      <c r="CI312" s="167">
        <v>0</v>
      </c>
      <c r="CJ312" s="167">
        <v>0</v>
      </c>
      <c r="CK312" s="167">
        <v>0</v>
      </c>
      <c r="CL312" s="167">
        <v>0</v>
      </c>
      <c r="CM312" s="167">
        <v>0</v>
      </c>
      <c r="CN312" s="167">
        <v>0</v>
      </c>
      <c r="CO312" s="167">
        <v>0</v>
      </c>
      <c r="CP312" s="167">
        <v>0</v>
      </c>
      <c r="CQ312" s="167">
        <v>0</v>
      </c>
      <c r="CR312" s="167">
        <v>0</v>
      </c>
      <c r="CS312" s="167">
        <v>0</v>
      </c>
      <c r="CT312" s="167">
        <v>0</v>
      </c>
      <c r="CU312" s="167">
        <v>0</v>
      </c>
      <c r="CV312" s="167">
        <v>0</v>
      </c>
      <c r="CW312" s="167">
        <v>0</v>
      </c>
      <c r="CX312" s="167">
        <f>SUM(CD312:CH312)</f>
        <v>5</v>
      </c>
      <c r="CY312" s="167">
        <f>SUM(CD312:CM312)</f>
        <v>5</v>
      </c>
    </row>
    <row r="313" spans="1:103" ht="12.75" customHeight="1" x14ac:dyDescent="0.2">
      <c r="A313" s="81">
        <v>2796</v>
      </c>
      <c r="B313" s="165" t="s">
        <v>1908</v>
      </c>
      <c r="C313" s="165" t="s">
        <v>662</v>
      </c>
      <c r="D313" s="165" t="s">
        <v>663</v>
      </c>
      <c r="E313" s="165" t="s">
        <v>2000</v>
      </c>
      <c r="F313" s="165" t="s">
        <v>941</v>
      </c>
      <c r="G313" s="81">
        <v>526651</v>
      </c>
      <c r="H313" s="81">
        <v>175984</v>
      </c>
      <c r="I313" s="165" t="s">
        <v>257</v>
      </c>
      <c r="J313" s="349">
        <v>42552</v>
      </c>
      <c r="L313" s="166">
        <v>0</v>
      </c>
      <c r="M313" s="166">
        <v>5</v>
      </c>
      <c r="N313" s="166">
        <v>5</v>
      </c>
      <c r="O313" s="166">
        <v>173</v>
      </c>
      <c r="P313" s="166">
        <v>173</v>
      </c>
      <c r="Q313" s="81" t="s">
        <v>155</v>
      </c>
      <c r="R313" s="165" t="s">
        <v>922</v>
      </c>
      <c r="S313" s="81" t="s">
        <v>104</v>
      </c>
      <c r="T313" s="349">
        <v>42268</v>
      </c>
      <c r="U313" s="349">
        <v>42356</v>
      </c>
      <c r="W313" s="81" t="s">
        <v>114</v>
      </c>
      <c r="Y313" s="81" t="s">
        <v>115</v>
      </c>
      <c r="Z313" s="81" t="s">
        <v>116</v>
      </c>
      <c r="AA313" s="81" t="s">
        <v>116</v>
      </c>
      <c r="AB313" s="81" t="s">
        <v>117</v>
      </c>
      <c r="AC313" s="166">
        <v>8.0000003799796104E-3</v>
      </c>
      <c r="AD313" s="349">
        <v>42552</v>
      </c>
      <c r="AG313" s="81" t="s">
        <v>238</v>
      </c>
      <c r="AH313" s="81" t="s">
        <v>118</v>
      </c>
      <c r="AI313" s="81" t="s">
        <v>2001</v>
      </c>
      <c r="AK313" s="166">
        <v>5</v>
      </c>
      <c r="AM313" s="166">
        <v>0</v>
      </c>
      <c r="AO313" s="166">
        <v>0</v>
      </c>
      <c r="AP313" s="166">
        <v>0</v>
      </c>
      <c r="AQ313" s="166">
        <v>5</v>
      </c>
      <c r="AR313" s="166">
        <v>0</v>
      </c>
      <c r="AS313" s="166">
        <v>0</v>
      </c>
      <c r="AT313" s="166">
        <v>0</v>
      </c>
      <c r="AU313" s="166">
        <v>0</v>
      </c>
      <c r="AV313" s="166">
        <v>0</v>
      </c>
      <c r="AW313" s="166">
        <v>0</v>
      </c>
      <c r="AX313" s="166">
        <v>5</v>
      </c>
      <c r="AY313" s="166">
        <v>0</v>
      </c>
      <c r="AZ313" s="166">
        <v>0</v>
      </c>
      <c r="BA313" s="166">
        <v>0</v>
      </c>
      <c r="BB313" s="166">
        <v>0</v>
      </c>
      <c r="BC313" s="166">
        <v>0</v>
      </c>
      <c r="BD313" s="166">
        <v>0</v>
      </c>
      <c r="BE313" s="166">
        <v>0</v>
      </c>
      <c r="BF313" s="166">
        <v>0</v>
      </c>
      <c r="BG313" s="166">
        <v>0</v>
      </c>
      <c r="BH313" s="166">
        <v>0</v>
      </c>
      <c r="BI313" s="166">
        <v>0</v>
      </c>
      <c r="BJ313" s="166">
        <v>0</v>
      </c>
      <c r="BK313" s="166">
        <v>0</v>
      </c>
      <c r="BL313" s="166">
        <v>0</v>
      </c>
      <c r="BM313" s="166">
        <v>0</v>
      </c>
      <c r="BN313" s="166">
        <v>0</v>
      </c>
      <c r="BO313" s="166">
        <v>0</v>
      </c>
      <c r="BP313" s="166">
        <v>0</v>
      </c>
      <c r="BQ313" s="81" t="s">
        <v>1757</v>
      </c>
      <c r="BX313" s="81" t="s">
        <v>155</v>
      </c>
      <c r="BZ313" s="81" t="s">
        <v>155</v>
      </c>
      <c r="CA313" s="81" t="s">
        <v>3934</v>
      </c>
      <c r="CC313" s="167">
        <v>0</v>
      </c>
      <c r="CD313" s="167">
        <v>0</v>
      </c>
      <c r="CE313" s="167">
        <f>N313</f>
        <v>5</v>
      </c>
      <c r="CF313" s="167">
        <v>0</v>
      </c>
      <c r="CG313" s="167">
        <v>0</v>
      </c>
      <c r="CH313" s="167">
        <v>0</v>
      </c>
      <c r="CI313" s="167">
        <v>0</v>
      </c>
      <c r="CJ313" s="167">
        <v>0</v>
      </c>
      <c r="CK313" s="167">
        <v>0</v>
      </c>
      <c r="CL313" s="167">
        <v>0</v>
      </c>
      <c r="CM313" s="167">
        <v>0</v>
      </c>
      <c r="CN313" s="167">
        <v>0</v>
      </c>
      <c r="CO313" s="167">
        <v>0</v>
      </c>
      <c r="CP313" s="167">
        <v>0</v>
      </c>
      <c r="CQ313" s="167">
        <v>0</v>
      </c>
      <c r="CR313" s="167">
        <v>0</v>
      </c>
      <c r="CS313" s="167">
        <v>0</v>
      </c>
      <c r="CT313" s="167">
        <v>0</v>
      </c>
      <c r="CU313" s="167">
        <v>0</v>
      </c>
      <c r="CV313" s="167">
        <v>0</v>
      </c>
      <c r="CW313" s="167">
        <v>0</v>
      </c>
      <c r="CX313" s="167">
        <f>SUM(CD313:CH313)</f>
        <v>5</v>
      </c>
      <c r="CY313" s="167">
        <f>SUM(CD313:CM313)</f>
        <v>5</v>
      </c>
    </row>
    <row r="314" spans="1:103" x14ac:dyDescent="0.2">
      <c r="A314" s="81">
        <v>2796</v>
      </c>
      <c r="B314" s="165" t="s">
        <v>1908</v>
      </c>
      <c r="C314" s="165" t="s">
        <v>662</v>
      </c>
      <c r="D314" s="165" t="s">
        <v>663</v>
      </c>
      <c r="E314" s="165" t="s">
        <v>2000</v>
      </c>
      <c r="F314" s="165" t="s">
        <v>942</v>
      </c>
      <c r="G314" s="81">
        <v>526651</v>
      </c>
      <c r="H314" s="81">
        <v>175984</v>
      </c>
      <c r="I314" s="165" t="s">
        <v>257</v>
      </c>
      <c r="J314" s="349">
        <v>42552</v>
      </c>
      <c r="L314" s="166">
        <v>0</v>
      </c>
      <c r="M314" s="166">
        <v>5</v>
      </c>
      <c r="N314" s="166">
        <v>5</v>
      </c>
      <c r="O314" s="166">
        <v>173</v>
      </c>
      <c r="P314" s="166">
        <v>173</v>
      </c>
      <c r="Q314" s="81" t="s">
        <v>155</v>
      </c>
      <c r="R314" s="165" t="s">
        <v>922</v>
      </c>
      <c r="S314" s="81" t="s">
        <v>104</v>
      </c>
      <c r="T314" s="349">
        <v>42268</v>
      </c>
      <c r="U314" s="349">
        <v>42356</v>
      </c>
      <c r="W314" s="81" t="s">
        <v>114</v>
      </c>
      <c r="Y314" s="81" t="s">
        <v>115</v>
      </c>
      <c r="Z314" s="81" t="s">
        <v>116</v>
      </c>
      <c r="AA314" s="81" t="s">
        <v>116</v>
      </c>
      <c r="AB314" s="81" t="s">
        <v>117</v>
      </c>
      <c r="AC314" s="166">
        <v>8.0000003799796104E-3</v>
      </c>
      <c r="AD314" s="349">
        <v>42552</v>
      </c>
      <c r="AG314" s="81" t="s">
        <v>238</v>
      </c>
      <c r="AH314" s="81" t="s">
        <v>118</v>
      </c>
      <c r="AI314" s="81" t="s">
        <v>2001</v>
      </c>
      <c r="AK314" s="166">
        <v>5</v>
      </c>
      <c r="AM314" s="166">
        <v>0</v>
      </c>
      <c r="AO314" s="166">
        <v>0</v>
      </c>
      <c r="AP314" s="166">
        <v>0</v>
      </c>
      <c r="AQ314" s="166">
        <v>5</v>
      </c>
      <c r="AR314" s="166">
        <v>0</v>
      </c>
      <c r="AS314" s="166">
        <v>0</v>
      </c>
      <c r="AT314" s="166">
        <v>0</v>
      </c>
      <c r="AU314" s="166">
        <v>0</v>
      </c>
      <c r="AV314" s="166">
        <v>0</v>
      </c>
      <c r="AW314" s="166">
        <v>0</v>
      </c>
      <c r="AX314" s="166">
        <v>5</v>
      </c>
      <c r="AY314" s="166">
        <v>0</v>
      </c>
      <c r="AZ314" s="166">
        <v>0</v>
      </c>
      <c r="BA314" s="166">
        <v>0</v>
      </c>
      <c r="BB314" s="166">
        <v>0</v>
      </c>
      <c r="BC314" s="166">
        <v>0</v>
      </c>
      <c r="BD314" s="166">
        <v>0</v>
      </c>
      <c r="BE314" s="166">
        <v>0</v>
      </c>
      <c r="BF314" s="166">
        <v>0</v>
      </c>
      <c r="BG314" s="166">
        <v>0</v>
      </c>
      <c r="BH314" s="166">
        <v>0</v>
      </c>
      <c r="BI314" s="166">
        <v>0</v>
      </c>
      <c r="BJ314" s="166">
        <v>0</v>
      </c>
      <c r="BK314" s="166">
        <v>0</v>
      </c>
      <c r="BL314" s="166">
        <v>0</v>
      </c>
      <c r="BM314" s="166">
        <v>0</v>
      </c>
      <c r="BN314" s="166">
        <v>0</v>
      </c>
      <c r="BO314" s="166">
        <v>0</v>
      </c>
      <c r="BP314" s="166">
        <v>0</v>
      </c>
      <c r="BQ314" s="81" t="s">
        <v>1757</v>
      </c>
      <c r="BX314" s="81" t="s">
        <v>155</v>
      </c>
      <c r="BZ314" s="81" t="s">
        <v>155</v>
      </c>
      <c r="CA314" s="81" t="s">
        <v>3934</v>
      </c>
      <c r="CC314" s="167">
        <v>0</v>
      </c>
      <c r="CD314" s="167">
        <v>0</v>
      </c>
      <c r="CE314" s="167">
        <f>N314</f>
        <v>5</v>
      </c>
      <c r="CF314" s="167">
        <v>0</v>
      </c>
      <c r="CG314" s="167">
        <v>0</v>
      </c>
      <c r="CH314" s="167">
        <v>0</v>
      </c>
      <c r="CI314" s="167">
        <v>0</v>
      </c>
      <c r="CJ314" s="167">
        <v>0</v>
      </c>
      <c r="CK314" s="167">
        <v>0</v>
      </c>
      <c r="CL314" s="167">
        <v>0</v>
      </c>
      <c r="CM314" s="167">
        <v>0</v>
      </c>
      <c r="CN314" s="167">
        <v>0</v>
      </c>
      <c r="CO314" s="167">
        <v>0</v>
      </c>
      <c r="CP314" s="167">
        <v>0</v>
      </c>
      <c r="CQ314" s="167">
        <v>0</v>
      </c>
      <c r="CR314" s="167">
        <v>0</v>
      </c>
      <c r="CS314" s="167">
        <v>0</v>
      </c>
      <c r="CT314" s="167">
        <v>0</v>
      </c>
      <c r="CU314" s="167">
        <v>0</v>
      </c>
      <c r="CV314" s="167">
        <v>0</v>
      </c>
      <c r="CW314" s="167">
        <v>0</v>
      </c>
      <c r="CX314" s="167">
        <f>SUM(CD314:CH314)</f>
        <v>5</v>
      </c>
      <c r="CY314" s="167">
        <f>SUM(CD314:CM314)</f>
        <v>5</v>
      </c>
    </row>
    <row r="315" spans="1:103" ht="12.75" customHeight="1" x14ac:dyDescent="0.2">
      <c r="A315" s="81">
        <v>2796</v>
      </c>
      <c r="B315" s="165" t="s">
        <v>1908</v>
      </c>
      <c r="C315" s="165" t="s">
        <v>662</v>
      </c>
      <c r="D315" s="165" t="s">
        <v>663</v>
      </c>
      <c r="E315" s="165" t="s">
        <v>2000</v>
      </c>
      <c r="F315" s="165" t="s">
        <v>943</v>
      </c>
      <c r="G315" s="81">
        <v>526651</v>
      </c>
      <c r="H315" s="81">
        <v>175984</v>
      </c>
      <c r="I315" s="165" t="s">
        <v>257</v>
      </c>
      <c r="J315" s="349">
        <v>42552</v>
      </c>
      <c r="L315" s="166">
        <v>0</v>
      </c>
      <c r="M315" s="166">
        <v>4</v>
      </c>
      <c r="N315" s="166">
        <v>4</v>
      </c>
      <c r="O315" s="166">
        <v>173</v>
      </c>
      <c r="P315" s="166">
        <v>173</v>
      </c>
      <c r="Q315" s="81" t="s">
        <v>155</v>
      </c>
      <c r="R315" s="165" t="s">
        <v>922</v>
      </c>
      <c r="S315" s="81" t="s">
        <v>104</v>
      </c>
      <c r="T315" s="349">
        <v>42268</v>
      </c>
      <c r="U315" s="349">
        <v>42356</v>
      </c>
      <c r="W315" s="81" t="s">
        <v>114</v>
      </c>
      <c r="Y315" s="81" t="s">
        <v>115</v>
      </c>
      <c r="Z315" s="81" t="s">
        <v>116</v>
      </c>
      <c r="AA315" s="81" t="s">
        <v>116</v>
      </c>
      <c r="AB315" s="81" t="s">
        <v>117</v>
      </c>
      <c r="AC315" s="166">
        <v>6.0000000521540598E-3</v>
      </c>
      <c r="AD315" s="349">
        <v>42552</v>
      </c>
      <c r="AG315" s="81" t="s">
        <v>238</v>
      </c>
      <c r="AH315" s="81" t="s">
        <v>118</v>
      </c>
      <c r="AI315" s="81" t="s">
        <v>2001</v>
      </c>
      <c r="AK315" s="166">
        <v>4</v>
      </c>
      <c r="AM315" s="166">
        <v>0</v>
      </c>
      <c r="AO315" s="166">
        <v>0</v>
      </c>
      <c r="AP315" s="166">
        <v>0</v>
      </c>
      <c r="AQ315" s="166">
        <v>4</v>
      </c>
      <c r="AR315" s="166">
        <v>0</v>
      </c>
      <c r="AS315" s="166">
        <v>0</v>
      </c>
      <c r="AT315" s="166">
        <v>0</v>
      </c>
      <c r="AU315" s="166">
        <v>0</v>
      </c>
      <c r="AV315" s="166">
        <v>0</v>
      </c>
      <c r="AW315" s="166">
        <v>0</v>
      </c>
      <c r="AX315" s="166">
        <v>4</v>
      </c>
      <c r="AY315" s="166">
        <v>0</v>
      </c>
      <c r="AZ315" s="166">
        <v>0</v>
      </c>
      <c r="BA315" s="166">
        <v>0</v>
      </c>
      <c r="BB315" s="166">
        <v>0</v>
      </c>
      <c r="BC315" s="166">
        <v>0</v>
      </c>
      <c r="BD315" s="166">
        <v>0</v>
      </c>
      <c r="BE315" s="166">
        <v>0</v>
      </c>
      <c r="BF315" s="166">
        <v>0</v>
      </c>
      <c r="BG315" s="166">
        <v>0</v>
      </c>
      <c r="BH315" s="166">
        <v>0</v>
      </c>
      <c r="BI315" s="166">
        <v>0</v>
      </c>
      <c r="BJ315" s="166">
        <v>0</v>
      </c>
      <c r="BK315" s="166">
        <v>0</v>
      </c>
      <c r="BL315" s="166">
        <v>0</v>
      </c>
      <c r="BM315" s="166">
        <v>0</v>
      </c>
      <c r="BN315" s="166">
        <v>0</v>
      </c>
      <c r="BO315" s="166">
        <v>0</v>
      </c>
      <c r="BP315" s="166">
        <v>0</v>
      </c>
      <c r="BQ315" s="81" t="s">
        <v>1757</v>
      </c>
      <c r="BX315" s="81" t="s">
        <v>155</v>
      </c>
      <c r="BZ315" s="81" t="s">
        <v>155</v>
      </c>
      <c r="CA315" s="81" t="s">
        <v>3934</v>
      </c>
      <c r="CC315" s="167">
        <v>0</v>
      </c>
      <c r="CD315" s="167">
        <v>0</v>
      </c>
      <c r="CE315" s="167">
        <f>N315</f>
        <v>4</v>
      </c>
      <c r="CF315" s="167">
        <v>0</v>
      </c>
      <c r="CG315" s="167">
        <v>0</v>
      </c>
      <c r="CH315" s="167">
        <v>0</v>
      </c>
      <c r="CI315" s="167">
        <v>0</v>
      </c>
      <c r="CJ315" s="167">
        <v>0</v>
      </c>
      <c r="CK315" s="167">
        <v>0</v>
      </c>
      <c r="CL315" s="167">
        <v>0</v>
      </c>
      <c r="CM315" s="167">
        <v>0</v>
      </c>
      <c r="CN315" s="167">
        <v>0</v>
      </c>
      <c r="CO315" s="167">
        <v>0</v>
      </c>
      <c r="CP315" s="167">
        <v>0</v>
      </c>
      <c r="CQ315" s="167">
        <v>0</v>
      </c>
      <c r="CR315" s="167">
        <v>0</v>
      </c>
      <c r="CS315" s="167">
        <v>0</v>
      </c>
      <c r="CT315" s="167">
        <v>0</v>
      </c>
      <c r="CU315" s="167">
        <v>0</v>
      </c>
      <c r="CV315" s="167">
        <v>0</v>
      </c>
      <c r="CW315" s="167">
        <v>0</v>
      </c>
      <c r="CX315" s="167">
        <f>SUM(CD315:CH315)</f>
        <v>4</v>
      </c>
      <c r="CY315" s="167">
        <f>SUM(CD315:CM315)</f>
        <v>4</v>
      </c>
    </row>
    <row r="316" spans="1:103" ht="12.75" customHeight="1" x14ac:dyDescent="0.2">
      <c r="A316" s="81">
        <v>2796</v>
      </c>
      <c r="B316" s="165" t="s">
        <v>1908</v>
      </c>
      <c r="C316" s="165" t="s">
        <v>662</v>
      </c>
      <c r="D316" s="165" t="s">
        <v>663</v>
      </c>
      <c r="E316" s="165" t="s">
        <v>2000</v>
      </c>
      <c r="F316" s="165" t="s">
        <v>944</v>
      </c>
      <c r="G316" s="81">
        <v>526651</v>
      </c>
      <c r="H316" s="81">
        <v>175984</v>
      </c>
      <c r="I316" s="165" t="s">
        <v>257</v>
      </c>
      <c r="J316" s="349">
        <v>42552</v>
      </c>
      <c r="L316" s="166">
        <v>0</v>
      </c>
      <c r="M316" s="166">
        <v>5</v>
      </c>
      <c r="N316" s="166">
        <v>5</v>
      </c>
      <c r="O316" s="166">
        <v>173</v>
      </c>
      <c r="P316" s="166">
        <v>173</v>
      </c>
      <c r="Q316" s="81" t="s">
        <v>155</v>
      </c>
      <c r="R316" s="165" t="s">
        <v>922</v>
      </c>
      <c r="S316" s="81" t="s">
        <v>104</v>
      </c>
      <c r="T316" s="349">
        <v>42268</v>
      </c>
      <c r="U316" s="349">
        <v>42356</v>
      </c>
      <c r="W316" s="81" t="s">
        <v>114</v>
      </c>
      <c r="Y316" s="81" t="s">
        <v>115</v>
      </c>
      <c r="Z316" s="81" t="s">
        <v>116</v>
      </c>
      <c r="AA316" s="81" t="s">
        <v>116</v>
      </c>
      <c r="AB316" s="81" t="s">
        <v>117</v>
      </c>
      <c r="AC316" s="166">
        <v>8.9999996125698107E-3</v>
      </c>
      <c r="AD316" s="349">
        <v>42552</v>
      </c>
      <c r="AG316" s="81" t="s">
        <v>238</v>
      </c>
      <c r="AH316" s="81" t="s">
        <v>118</v>
      </c>
      <c r="AI316" s="81" t="s">
        <v>2001</v>
      </c>
      <c r="AK316" s="166">
        <v>5</v>
      </c>
      <c r="AM316" s="166">
        <v>1</v>
      </c>
      <c r="AO316" s="166">
        <v>0</v>
      </c>
      <c r="AP316" s="166">
        <v>1</v>
      </c>
      <c r="AQ316" s="166">
        <v>4</v>
      </c>
      <c r="AR316" s="166">
        <v>0</v>
      </c>
      <c r="AS316" s="166">
        <v>0</v>
      </c>
      <c r="AT316" s="166">
        <v>0</v>
      </c>
      <c r="AU316" s="166">
        <v>0</v>
      </c>
      <c r="AV316" s="166">
        <v>0</v>
      </c>
      <c r="AW316" s="166">
        <v>1</v>
      </c>
      <c r="AX316" s="166">
        <v>4</v>
      </c>
      <c r="AY316" s="166">
        <v>0</v>
      </c>
      <c r="AZ316" s="166">
        <v>0</v>
      </c>
      <c r="BA316" s="166">
        <v>0</v>
      </c>
      <c r="BB316" s="166">
        <v>0</v>
      </c>
      <c r="BC316" s="166">
        <v>0</v>
      </c>
      <c r="BD316" s="166">
        <v>0</v>
      </c>
      <c r="BE316" s="166">
        <v>0</v>
      </c>
      <c r="BF316" s="166">
        <v>0</v>
      </c>
      <c r="BG316" s="166">
        <v>0</v>
      </c>
      <c r="BH316" s="166">
        <v>0</v>
      </c>
      <c r="BI316" s="166">
        <v>0</v>
      </c>
      <c r="BJ316" s="166">
        <v>0</v>
      </c>
      <c r="BK316" s="166">
        <v>0</v>
      </c>
      <c r="BL316" s="166">
        <v>0</v>
      </c>
      <c r="BM316" s="166">
        <v>0</v>
      </c>
      <c r="BN316" s="166">
        <v>0</v>
      </c>
      <c r="BO316" s="166">
        <v>0</v>
      </c>
      <c r="BP316" s="166">
        <v>0</v>
      </c>
      <c r="BQ316" s="81" t="s">
        <v>1757</v>
      </c>
      <c r="BX316" s="81" t="s">
        <v>155</v>
      </c>
      <c r="BZ316" s="81" t="s">
        <v>155</v>
      </c>
      <c r="CA316" s="81" t="s">
        <v>3934</v>
      </c>
      <c r="CC316" s="167">
        <v>0</v>
      </c>
      <c r="CD316" s="167">
        <v>0</v>
      </c>
      <c r="CE316" s="167">
        <f>N316</f>
        <v>5</v>
      </c>
      <c r="CF316" s="167">
        <v>0</v>
      </c>
      <c r="CG316" s="167">
        <v>0</v>
      </c>
      <c r="CH316" s="167">
        <v>0</v>
      </c>
      <c r="CI316" s="167">
        <v>0</v>
      </c>
      <c r="CJ316" s="167">
        <v>0</v>
      </c>
      <c r="CK316" s="167">
        <v>0</v>
      </c>
      <c r="CL316" s="167">
        <v>0</v>
      </c>
      <c r="CM316" s="167">
        <v>0</v>
      </c>
      <c r="CN316" s="167">
        <v>0</v>
      </c>
      <c r="CO316" s="167">
        <v>0</v>
      </c>
      <c r="CP316" s="167">
        <v>0</v>
      </c>
      <c r="CQ316" s="167">
        <v>0</v>
      </c>
      <c r="CR316" s="167">
        <v>0</v>
      </c>
      <c r="CS316" s="167">
        <v>0</v>
      </c>
      <c r="CT316" s="167">
        <v>0</v>
      </c>
      <c r="CU316" s="167">
        <v>0</v>
      </c>
      <c r="CV316" s="167">
        <v>0</v>
      </c>
      <c r="CW316" s="167">
        <v>0</v>
      </c>
      <c r="CX316" s="167">
        <f>SUM(CD316:CH316)</f>
        <v>5</v>
      </c>
      <c r="CY316" s="167">
        <f>SUM(CD316:CM316)</f>
        <v>5</v>
      </c>
    </row>
    <row r="317" spans="1:103" ht="12.75" customHeight="1" x14ac:dyDescent="0.2">
      <c r="A317" s="81">
        <v>2796</v>
      </c>
      <c r="B317" s="165" t="s">
        <v>1908</v>
      </c>
      <c r="C317" s="165" t="s">
        <v>662</v>
      </c>
      <c r="D317" s="165" t="s">
        <v>663</v>
      </c>
      <c r="E317" s="165" t="s">
        <v>2000</v>
      </c>
      <c r="F317" s="165" t="s">
        <v>945</v>
      </c>
      <c r="G317" s="81">
        <v>526651</v>
      </c>
      <c r="H317" s="81">
        <v>175984</v>
      </c>
      <c r="I317" s="165" t="s">
        <v>257</v>
      </c>
      <c r="J317" s="349">
        <v>42552</v>
      </c>
      <c r="L317" s="166">
        <v>0</v>
      </c>
      <c r="M317" s="166">
        <v>5</v>
      </c>
      <c r="N317" s="166">
        <v>5</v>
      </c>
      <c r="O317" s="166">
        <v>173</v>
      </c>
      <c r="P317" s="166">
        <v>173</v>
      </c>
      <c r="Q317" s="81" t="s">
        <v>155</v>
      </c>
      <c r="R317" s="165" t="s">
        <v>922</v>
      </c>
      <c r="S317" s="81" t="s">
        <v>104</v>
      </c>
      <c r="T317" s="349">
        <v>42268</v>
      </c>
      <c r="U317" s="349">
        <v>42356</v>
      </c>
      <c r="W317" s="81" t="s">
        <v>114</v>
      </c>
      <c r="Y317" s="81" t="s">
        <v>115</v>
      </c>
      <c r="Z317" s="81" t="s">
        <v>116</v>
      </c>
      <c r="AA317" s="81" t="s">
        <v>116</v>
      </c>
      <c r="AB317" s="81" t="s">
        <v>117</v>
      </c>
      <c r="AC317" s="166">
        <v>8.9999996125698107E-3</v>
      </c>
      <c r="AD317" s="349">
        <v>42552</v>
      </c>
      <c r="AG317" s="81" t="s">
        <v>238</v>
      </c>
      <c r="AH317" s="81" t="s">
        <v>118</v>
      </c>
      <c r="AI317" s="81" t="s">
        <v>2001</v>
      </c>
      <c r="AK317" s="166">
        <v>5</v>
      </c>
      <c r="AM317" s="166">
        <v>1</v>
      </c>
      <c r="AO317" s="166">
        <v>0</v>
      </c>
      <c r="AP317" s="166">
        <v>0</v>
      </c>
      <c r="AQ317" s="166">
        <v>5</v>
      </c>
      <c r="AR317" s="166">
        <v>0</v>
      </c>
      <c r="AS317" s="166">
        <v>0</v>
      </c>
      <c r="AT317" s="166">
        <v>0</v>
      </c>
      <c r="AU317" s="166">
        <v>0</v>
      </c>
      <c r="AV317" s="166">
        <v>0</v>
      </c>
      <c r="AW317" s="166">
        <v>0</v>
      </c>
      <c r="AX317" s="166">
        <v>5</v>
      </c>
      <c r="AY317" s="166">
        <v>0</v>
      </c>
      <c r="AZ317" s="166">
        <v>0</v>
      </c>
      <c r="BA317" s="166">
        <v>0</v>
      </c>
      <c r="BB317" s="166">
        <v>0</v>
      </c>
      <c r="BC317" s="166">
        <v>0</v>
      </c>
      <c r="BD317" s="166">
        <v>0</v>
      </c>
      <c r="BE317" s="166">
        <v>0</v>
      </c>
      <c r="BF317" s="166">
        <v>0</v>
      </c>
      <c r="BG317" s="166">
        <v>0</v>
      </c>
      <c r="BH317" s="166">
        <v>0</v>
      </c>
      <c r="BI317" s="166">
        <v>0</v>
      </c>
      <c r="BJ317" s="166">
        <v>0</v>
      </c>
      <c r="BK317" s="166">
        <v>0</v>
      </c>
      <c r="BL317" s="166">
        <v>0</v>
      </c>
      <c r="BM317" s="166">
        <v>0</v>
      </c>
      <c r="BN317" s="166">
        <v>0</v>
      </c>
      <c r="BO317" s="166">
        <v>0</v>
      </c>
      <c r="BP317" s="166">
        <v>0</v>
      </c>
      <c r="BQ317" s="81" t="s">
        <v>1757</v>
      </c>
      <c r="BX317" s="81" t="s">
        <v>155</v>
      </c>
      <c r="BZ317" s="81" t="s">
        <v>155</v>
      </c>
      <c r="CA317" s="81" t="s">
        <v>3934</v>
      </c>
      <c r="CC317" s="167">
        <v>0</v>
      </c>
      <c r="CD317" s="167">
        <v>0</v>
      </c>
      <c r="CE317" s="167">
        <f>N317</f>
        <v>5</v>
      </c>
      <c r="CF317" s="167">
        <v>0</v>
      </c>
      <c r="CG317" s="167">
        <v>0</v>
      </c>
      <c r="CH317" s="167">
        <v>0</v>
      </c>
      <c r="CI317" s="167">
        <v>0</v>
      </c>
      <c r="CJ317" s="167">
        <v>0</v>
      </c>
      <c r="CK317" s="167">
        <v>0</v>
      </c>
      <c r="CL317" s="167">
        <v>0</v>
      </c>
      <c r="CM317" s="167">
        <v>0</v>
      </c>
      <c r="CN317" s="167">
        <v>0</v>
      </c>
      <c r="CO317" s="167">
        <v>0</v>
      </c>
      <c r="CP317" s="167">
        <v>0</v>
      </c>
      <c r="CQ317" s="167">
        <v>0</v>
      </c>
      <c r="CR317" s="167">
        <v>0</v>
      </c>
      <c r="CS317" s="167">
        <v>0</v>
      </c>
      <c r="CT317" s="167">
        <v>0</v>
      </c>
      <c r="CU317" s="167">
        <v>0</v>
      </c>
      <c r="CV317" s="167">
        <v>0</v>
      </c>
      <c r="CW317" s="167">
        <v>0</v>
      </c>
      <c r="CX317" s="167">
        <f>SUM(CD317:CH317)</f>
        <v>5</v>
      </c>
      <c r="CY317" s="167">
        <f>SUM(CD317:CM317)</f>
        <v>5</v>
      </c>
    </row>
    <row r="318" spans="1:103" ht="12.75" customHeight="1" x14ac:dyDescent="0.2">
      <c r="A318" s="81">
        <v>2796</v>
      </c>
      <c r="B318" s="165" t="s">
        <v>1908</v>
      </c>
      <c r="C318" s="165" t="s">
        <v>662</v>
      </c>
      <c r="D318" s="165" t="s">
        <v>663</v>
      </c>
      <c r="E318" s="165" t="s">
        <v>2000</v>
      </c>
      <c r="F318" s="165" t="s">
        <v>946</v>
      </c>
      <c r="G318" s="81">
        <v>526651</v>
      </c>
      <c r="H318" s="81">
        <v>175984</v>
      </c>
      <c r="I318" s="165" t="s">
        <v>257</v>
      </c>
      <c r="J318" s="349">
        <v>42552</v>
      </c>
      <c r="L318" s="166">
        <v>0</v>
      </c>
      <c r="M318" s="166">
        <v>5</v>
      </c>
      <c r="N318" s="166">
        <v>5</v>
      </c>
      <c r="O318" s="166">
        <v>173</v>
      </c>
      <c r="P318" s="166">
        <v>173</v>
      </c>
      <c r="Q318" s="81" t="s">
        <v>155</v>
      </c>
      <c r="R318" s="165" t="s">
        <v>922</v>
      </c>
      <c r="S318" s="81" t="s">
        <v>104</v>
      </c>
      <c r="T318" s="349">
        <v>42268</v>
      </c>
      <c r="U318" s="349">
        <v>42356</v>
      </c>
      <c r="W318" s="81" t="s">
        <v>114</v>
      </c>
      <c r="Y318" s="81" t="s">
        <v>115</v>
      </c>
      <c r="Z318" s="81" t="s">
        <v>116</v>
      </c>
      <c r="AA318" s="81" t="s">
        <v>116</v>
      </c>
      <c r="AB318" s="81" t="s">
        <v>117</v>
      </c>
      <c r="AC318" s="166">
        <v>8.9999996125698107E-3</v>
      </c>
      <c r="AD318" s="349">
        <v>42552</v>
      </c>
      <c r="AG318" s="81" t="s">
        <v>238</v>
      </c>
      <c r="AH318" s="81" t="s">
        <v>118</v>
      </c>
      <c r="AI318" s="81" t="s">
        <v>2001</v>
      </c>
      <c r="AK318" s="166">
        <v>5</v>
      </c>
      <c r="AM318" s="166">
        <v>1</v>
      </c>
      <c r="AO318" s="166">
        <v>0</v>
      </c>
      <c r="AP318" s="166">
        <v>0</v>
      </c>
      <c r="AQ318" s="166">
        <v>5</v>
      </c>
      <c r="AR318" s="166">
        <v>0</v>
      </c>
      <c r="AS318" s="166">
        <v>0</v>
      </c>
      <c r="AT318" s="166">
        <v>0</v>
      </c>
      <c r="AU318" s="166">
        <v>0</v>
      </c>
      <c r="AV318" s="166">
        <v>0</v>
      </c>
      <c r="AW318" s="166">
        <v>0</v>
      </c>
      <c r="AX318" s="166">
        <v>5</v>
      </c>
      <c r="AY318" s="166">
        <v>0</v>
      </c>
      <c r="AZ318" s="166">
        <v>0</v>
      </c>
      <c r="BA318" s="166">
        <v>0</v>
      </c>
      <c r="BB318" s="166">
        <v>0</v>
      </c>
      <c r="BC318" s="166">
        <v>0</v>
      </c>
      <c r="BD318" s="166">
        <v>0</v>
      </c>
      <c r="BE318" s="166">
        <v>0</v>
      </c>
      <c r="BF318" s="166">
        <v>0</v>
      </c>
      <c r="BG318" s="166">
        <v>0</v>
      </c>
      <c r="BH318" s="166">
        <v>0</v>
      </c>
      <c r="BI318" s="166">
        <v>0</v>
      </c>
      <c r="BJ318" s="166">
        <v>0</v>
      </c>
      <c r="BK318" s="166">
        <v>0</v>
      </c>
      <c r="BL318" s="166">
        <v>0</v>
      </c>
      <c r="BM318" s="166">
        <v>0</v>
      </c>
      <c r="BN318" s="166">
        <v>0</v>
      </c>
      <c r="BO318" s="166">
        <v>0</v>
      </c>
      <c r="BP318" s="166">
        <v>0</v>
      </c>
      <c r="BQ318" s="81" t="s">
        <v>1757</v>
      </c>
      <c r="BX318" s="81" t="s">
        <v>155</v>
      </c>
      <c r="BZ318" s="81" t="s">
        <v>155</v>
      </c>
      <c r="CA318" s="81" t="s">
        <v>3934</v>
      </c>
      <c r="CC318" s="167">
        <v>0</v>
      </c>
      <c r="CD318" s="167">
        <v>0</v>
      </c>
      <c r="CE318" s="167">
        <f>N318</f>
        <v>5</v>
      </c>
      <c r="CF318" s="167">
        <v>0</v>
      </c>
      <c r="CG318" s="167">
        <v>0</v>
      </c>
      <c r="CH318" s="167">
        <v>0</v>
      </c>
      <c r="CI318" s="167">
        <v>0</v>
      </c>
      <c r="CJ318" s="167">
        <v>0</v>
      </c>
      <c r="CK318" s="167">
        <v>0</v>
      </c>
      <c r="CL318" s="167">
        <v>0</v>
      </c>
      <c r="CM318" s="167">
        <v>0</v>
      </c>
      <c r="CN318" s="167">
        <v>0</v>
      </c>
      <c r="CO318" s="167">
        <v>0</v>
      </c>
      <c r="CP318" s="167">
        <v>0</v>
      </c>
      <c r="CQ318" s="167">
        <v>0</v>
      </c>
      <c r="CR318" s="167">
        <v>0</v>
      </c>
      <c r="CS318" s="167">
        <v>0</v>
      </c>
      <c r="CT318" s="167">
        <v>0</v>
      </c>
      <c r="CU318" s="167">
        <v>0</v>
      </c>
      <c r="CV318" s="167">
        <v>0</v>
      </c>
      <c r="CW318" s="167">
        <v>0</v>
      </c>
      <c r="CX318" s="167">
        <f>SUM(CD318:CH318)</f>
        <v>5</v>
      </c>
      <c r="CY318" s="167">
        <f>SUM(CD318:CM318)</f>
        <v>5</v>
      </c>
    </row>
    <row r="319" spans="1:103" ht="12.75" customHeight="1" x14ac:dyDescent="0.2">
      <c r="A319" s="81">
        <v>2796</v>
      </c>
      <c r="B319" s="165" t="s">
        <v>1908</v>
      </c>
      <c r="C319" s="165" t="s">
        <v>662</v>
      </c>
      <c r="D319" s="165" t="s">
        <v>663</v>
      </c>
      <c r="E319" s="165" t="s">
        <v>2000</v>
      </c>
      <c r="F319" s="165" t="s">
        <v>947</v>
      </c>
      <c r="G319" s="81">
        <v>526651</v>
      </c>
      <c r="H319" s="81">
        <v>175984</v>
      </c>
      <c r="I319" s="165" t="s">
        <v>257</v>
      </c>
      <c r="J319" s="349">
        <v>42552</v>
      </c>
      <c r="L319" s="166">
        <v>0</v>
      </c>
      <c r="M319" s="166">
        <v>5</v>
      </c>
      <c r="N319" s="166">
        <v>5</v>
      </c>
      <c r="O319" s="166">
        <v>173</v>
      </c>
      <c r="P319" s="166">
        <v>173</v>
      </c>
      <c r="Q319" s="81" t="s">
        <v>155</v>
      </c>
      <c r="R319" s="165" t="s">
        <v>922</v>
      </c>
      <c r="S319" s="81" t="s">
        <v>104</v>
      </c>
      <c r="T319" s="349">
        <v>42268</v>
      </c>
      <c r="U319" s="349">
        <v>42356</v>
      </c>
      <c r="W319" s="81" t="s">
        <v>114</v>
      </c>
      <c r="Y319" s="81" t="s">
        <v>115</v>
      </c>
      <c r="Z319" s="81" t="s">
        <v>116</v>
      </c>
      <c r="AA319" s="81" t="s">
        <v>116</v>
      </c>
      <c r="AB319" s="81" t="s">
        <v>117</v>
      </c>
      <c r="AC319" s="166">
        <v>8.9999996125698107E-3</v>
      </c>
      <c r="AD319" s="349">
        <v>42552</v>
      </c>
      <c r="AG319" s="81" t="s">
        <v>238</v>
      </c>
      <c r="AH319" s="81" t="s">
        <v>118</v>
      </c>
      <c r="AI319" s="81" t="s">
        <v>2001</v>
      </c>
      <c r="AK319" s="166">
        <v>5</v>
      </c>
      <c r="AM319" s="166">
        <v>1</v>
      </c>
      <c r="AO319" s="166">
        <v>0</v>
      </c>
      <c r="AP319" s="166">
        <v>0</v>
      </c>
      <c r="AQ319" s="166">
        <v>5</v>
      </c>
      <c r="AR319" s="166">
        <v>0</v>
      </c>
      <c r="AS319" s="166">
        <v>0</v>
      </c>
      <c r="AT319" s="166">
        <v>0</v>
      </c>
      <c r="AU319" s="166">
        <v>0</v>
      </c>
      <c r="AV319" s="166">
        <v>0</v>
      </c>
      <c r="AW319" s="166">
        <v>0</v>
      </c>
      <c r="AX319" s="166">
        <v>5</v>
      </c>
      <c r="AY319" s="166">
        <v>0</v>
      </c>
      <c r="AZ319" s="166">
        <v>0</v>
      </c>
      <c r="BA319" s="166">
        <v>0</v>
      </c>
      <c r="BB319" s="166">
        <v>0</v>
      </c>
      <c r="BC319" s="166">
        <v>0</v>
      </c>
      <c r="BD319" s="166">
        <v>0</v>
      </c>
      <c r="BE319" s="166">
        <v>0</v>
      </c>
      <c r="BF319" s="166">
        <v>0</v>
      </c>
      <c r="BG319" s="166">
        <v>0</v>
      </c>
      <c r="BH319" s="166">
        <v>0</v>
      </c>
      <c r="BI319" s="166">
        <v>0</v>
      </c>
      <c r="BJ319" s="166">
        <v>0</v>
      </c>
      <c r="BK319" s="166">
        <v>0</v>
      </c>
      <c r="BL319" s="166">
        <v>0</v>
      </c>
      <c r="BM319" s="166">
        <v>0</v>
      </c>
      <c r="BN319" s="166">
        <v>0</v>
      </c>
      <c r="BO319" s="166">
        <v>0</v>
      </c>
      <c r="BP319" s="166">
        <v>0</v>
      </c>
      <c r="BQ319" s="81" t="s">
        <v>1757</v>
      </c>
      <c r="BX319" s="81" t="s">
        <v>155</v>
      </c>
      <c r="BZ319" s="81" t="s">
        <v>155</v>
      </c>
      <c r="CA319" s="81" t="s">
        <v>3934</v>
      </c>
      <c r="CC319" s="167">
        <v>0</v>
      </c>
      <c r="CD319" s="167">
        <v>0</v>
      </c>
      <c r="CE319" s="167">
        <f>N319</f>
        <v>5</v>
      </c>
      <c r="CF319" s="167">
        <v>0</v>
      </c>
      <c r="CG319" s="167">
        <v>0</v>
      </c>
      <c r="CH319" s="167">
        <v>0</v>
      </c>
      <c r="CI319" s="167">
        <v>0</v>
      </c>
      <c r="CJ319" s="167">
        <v>0</v>
      </c>
      <c r="CK319" s="167">
        <v>0</v>
      </c>
      <c r="CL319" s="167">
        <v>0</v>
      </c>
      <c r="CM319" s="167">
        <v>0</v>
      </c>
      <c r="CN319" s="167">
        <v>0</v>
      </c>
      <c r="CO319" s="167">
        <v>0</v>
      </c>
      <c r="CP319" s="167">
        <v>0</v>
      </c>
      <c r="CQ319" s="167">
        <v>0</v>
      </c>
      <c r="CR319" s="167">
        <v>0</v>
      </c>
      <c r="CS319" s="167">
        <v>0</v>
      </c>
      <c r="CT319" s="167">
        <v>0</v>
      </c>
      <c r="CU319" s="167">
        <v>0</v>
      </c>
      <c r="CV319" s="167">
        <v>0</v>
      </c>
      <c r="CW319" s="167">
        <v>0</v>
      </c>
      <c r="CX319" s="167">
        <f>SUM(CD319:CH319)</f>
        <v>5</v>
      </c>
      <c r="CY319" s="167">
        <f>SUM(CD319:CM319)</f>
        <v>5</v>
      </c>
    </row>
    <row r="320" spans="1:103" ht="12.75" customHeight="1" x14ac:dyDescent="0.2">
      <c r="A320" s="81">
        <v>2796</v>
      </c>
      <c r="B320" s="165" t="s">
        <v>1908</v>
      </c>
      <c r="C320" s="165" t="s">
        <v>662</v>
      </c>
      <c r="D320" s="165" t="s">
        <v>663</v>
      </c>
      <c r="E320" s="165" t="s">
        <v>2000</v>
      </c>
      <c r="F320" s="165" t="s">
        <v>948</v>
      </c>
      <c r="G320" s="81">
        <v>526651</v>
      </c>
      <c r="H320" s="81">
        <v>175984</v>
      </c>
      <c r="I320" s="165" t="s">
        <v>257</v>
      </c>
      <c r="J320" s="349">
        <v>42552</v>
      </c>
      <c r="L320" s="166">
        <v>0</v>
      </c>
      <c r="M320" s="166">
        <v>5</v>
      </c>
      <c r="N320" s="166">
        <v>5</v>
      </c>
      <c r="O320" s="166">
        <v>173</v>
      </c>
      <c r="P320" s="166">
        <v>173</v>
      </c>
      <c r="Q320" s="81" t="s">
        <v>155</v>
      </c>
      <c r="R320" s="165" t="s">
        <v>922</v>
      </c>
      <c r="S320" s="81" t="s">
        <v>104</v>
      </c>
      <c r="T320" s="349">
        <v>42268</v>
      </c>
      <c r="U320" s="349">
        <v>42356</v>
      </c>
      <c r="W320" s="81" t="s">
        <v>114</v>
      </c>
      <c r="Y320" s="81" t="s">
        <v>115</v>
      </c>
      <c r="Z320" s="81" t="s">
        <v>116</v>
      </c>
      <c r="AA320" s="81" t="s">
        <v>116</v>
      </c>
      <c r="AB320" s="81" t="s">
        <v>117</v>
      </c>
      <c r="AC320" s="166">
        <v>8.9999996125698107E-3</v>
      </c>
      <c r="AD320" s="349">
        <v>42552</v>
      </c>
      <c r="AG320" s="81" t="s">
        <v>238</v>
      </c>
      <c r="AH320" s="81" t="s">
        <v>118</v>
      </c>
      <c r="AI320" s="81" t="s">
        <v>2001</v>
      </c>
      <c r="AK320" s="166">
        <v>5</v>
      </c>
      <c r="AM320" s="166">
        <v>1</v>
      </c>
      <c r="AO320" s="166">
        <v>0</v>
      </c>
      <c r="AP320" s="166">
        <v>0</v>
      </c>
      <c r="AQ320" s="166">
        <v>5</v>
      </c>
      <c r="AR320" s="166">
        <v>0</v>
      </c>
      <c r="AS320" s="166">
        <v>0</v>
      </c>
      <c r="AT320" s="166">
        <v>0</v>
      </c>
      <c r="AU320" s="166">
        <v>0</v>
      </c>
      <c r="AV320" s="166">
        <v>0</v>
      </c>
      <c r="AW320" s="166">
        <v>0</v>
      </c>
      <c r="AX320" s="166">
        <v>5</v>
      </c>
      <c r="AY320" s="166">
        <v>0</v>
      </c>
      <c r="AZ320" s="166">
        <v>0</v>
      </c>
      <c r="BA320" s="166">
        <v>0</v>
      </c>
      <c r="BB320" s="166">
        <v>0</v>
      </c>
      <c r="BC320" s="166">
        <v>0</v>
      </c>
      <c r="BD320" s="166">
        <v>0</v>
      </c>
      <c r="BE320" s="166">
        <v>0</v>
      </c>
      <c r="BF320" s="166">
        <v>0</v>
      </c>
      <c r="BG320" s="166">
        <v>0</v>
      </c>
      <c r="BH320" s="166">
        <v>0</v>
      </c>
      <c r="BI320" s="166">
        <v>0</v>
      </c>
      <c r="BJ320" s="166">
        <v>0</v>
      </c>
      <c r="BK320" s="166">
        <v>0</v>
      </c>
      <c r="BL320" s="166">
        <v>0</v>
      </c>
      <c r="BM320" s="166">
        <v>0</v>
      </c>
      <c r="BN320" s="166">
        <v>0</v>
      </c>
      <c r="BO320" s="166">
        <v>0</v>
      </c>
      <c r="BP320" s="166">
        <v>0</v>
      </c>
      <c r="BQ320" s="81" t="s">
        <v>1757</v>
      </c>
      <c r="BX320" s="81" t="s">
        <v>155</v>
      </c>
      <c r="BZ320" s="81" t="s">
        <v>155</v>
      </c>
      <c r="CA320" s="81" t="s">
        <v>3934</v>
      </c>
      <c r="CC320" s="167">
        <v>0</v>
      </c>
      <c r="CD320" s="167">
        <v>0</v>
      </c>
      <c r="CE320" s="167">
        <f>N320</f>
        <v>5</v>
      </c>
      <c r="CF320" s="167">
        <v>0</v>
      </c>
      <c r="CG320" s="167">
        <v>0</v>
      </c>
      <c r="CH320" s="167">
        <v>0</v>
      </c>
      <c r="CI320" s="167">
        <v>0</v>
      </c>
      <c r="CJ320" s="167">
        <v>0</v>
      </c>
      <c r="CK320" s="167">
        <v>0</v>
      </c>
      <c r="CL320" s="167">
        <v>0</v>
      </c>
      <c r="CM320" s="167">
        <v>0</v>
      </c>
      <c r="CN320" s="167">
        <v>0</v>
      </c>
      <c r="CO320" s="167">
        <v>0</v>
      </c>
      <c r="CP320" s="167">
        <v>0</v>
      </c>
      <c r="CQ320" s="167">
        <v>0</v>
      </c>
      <c r="CR320" s="167">
        <v>0</v>
      </c>
      <c r="CS320" s="167">
        <v>0</v>
      </c>
      <c r="CT320" s="167">
        <v>0</v>
      </c>
      <c r="CU320" s="167">
        <v>0</v>
      </c>
      <c r="CV320" s="167">
        <v>0</v>
      </c>
      <c r="CW320" s="167">
        <v>0</v>
      </c>
      <c r="CX320" s="167">
        <f>SUM(CD320:CH320)</f>
        <v>5</v>
      </c>
      <c r="CY320" s="167">
        <f>SUM(CD320:CM320)</f>
        <v>5</v>
      </c>
    </row>
    <row r="321" spans="1:103" ht="12.75" customHeight="1" x14ac:dyDescent="0.2">
      <c r="A321" s="81">
        <v>2796</v>
      </c>
      <c r="B321" s="165" t="s">
        <v>1908</v>
      </c>
      <c r="C321" s="165" t="s">
        <v>662</v>
      </c>
      <c r="D321" s="165" t="s">
        <v>663</v>
      </c>
      <c r="E321" s="165" t="s">
        <v>2000</v>
      </c>
      <c r="F321" s="165" t="s">
        <v>949</v>
      </c>
      <c r="G321" s="81">
        <v>526651</v>
      </c>
      <c r="H321" s="81">
        <v>175984</v>
      </c>
      <c r="I321" s="165" t="s">
        <v>257</v>
      </c>
      <c r="J321" s="349">
        <v>42552</v>
      </c>
      <c r="L321" s="166">
        <v>0</v>
      </c>
      <c r="M321" s="166">
        <v>5</v>
      </c>
      <c r="N321" s="166">
        <v>5</v>
      </c>
      <c r="O321" s="166">
        <v>173</v>
      </c>
      <c r="P321" s="166">
        <v>173</v>
      </c>
      <c r="Q321" s="81" t="s">
        <v>155</v>
      </c>
      <c r="R321" s="165" t="s">
        <v>922</v>
      </c>
      <c r="S321" s="81" t="s">
        <v>104</v>
      </c>
      <c r="T321" s="349">
        <v>42268</v>
      </c>
      <c r="U321" s="349">
        <v>42356</v>
      </c>
      <c r="W321" s="81" t="s">
        <v>114</v>
      </c>
      <c r="Y321" s="81" t="s">
        <v>115</v>
      </c>
      <c r="Z321" s="81" t="s">
        <v>116</v>
      </c>
      <c r="AA321" s="81" t="s">
        <v>116</v>
      </c>
      <c r="AB321" s="81" t="s">
        <v>117</v>
      </c>
      <c r="AC321" s="166">
        <v>8.0000003799796104E-3</v>
      </c>
      <c r="AD321" s="349">
        <v>42552</v>
      </c>
      <c r="AG321" s="81" t="s">
        <v>238</v>
      </c>
      <c r="AH321" s="81" t="s">
        <v>118</v>
      </c>
      <c r="AI321" s="81" t="s">
        <v>2001</v>
      </c>
      <c r="AK321" s="166">
        <v>5</v>
      </c>
      <c r="AM321" s="166">
        <v>1</v>
      </c>
      <c r="AO321" s="166">
        <v>0</v>
      </c>
      <c r="AP321" s="166">
        <v>0</v>
      </c>
      <c r="AQ321" s="166">
        <v>5</v>
      </c>
      <c r="AR321" s="166">
        <v>0</v>
      </c>
      <c r="AS321" s="166">
        <v>0</v>
      </c>
      <c r="AT321" s="166">
        <v>0</v>
      </c>
      <c r="AU321" s="166">
        <v>0</v>
      </c>
      <c r="AV321" s="166">
        <v>0</v>
      </c>
      <c r="AW321" s="166">
        <v>0</v>
      </c>
      <c r="AX321" s="166">
        <v>5</v>
      </c>
      <c r="AY321" s="166">
        <v>0</v>
      </c>
      <c r="AZ321" s="166">
        <v>0</v>
      </c>
      <c r="BA321" s="166">
        <v>0</v>
      </c>
      <c r="BB321" s="166">
        <v>0</v>
      </c>
      <c r="BC321" s="166">
        <v>0</v>
      </c>
      <c r="BD321" s="166">
        <v>0</v>
      </c>
      <c r="BE321" s="166">
        <v>0</v>
      </c>
      <c r="BF321" s="166">
        <v>0</v>
      </c>
      <c r="BG321" s="166">
        <v>0</v>
      </c>
      <c r="BH321" s="166">
        <v>0</v>
      </c>
      <c r="BI321" s="166">
        <v>0</v>
      </c>
      <c r="BJ321" s="166">
        <v>0</v>
      </c>
      <c r="BK321" s="166">
        <v>0</v>
      </c>
      <c r="BL321" s="166">
        <v>0</v>
      </c>
      <c r="BM321" s="166">
        <v>0</v>
      </c>
      <c r="BN321" s="166">
        <v>0</v>
      </c>
      <c r="BO321" s="166">
        <v>0</v>
      </c>
      <c r="BP321" s="166">
        <v>0</v>
      </c>
      <c r="BQ321" s="81" t="s">
        <v>1757</v>
      </c>
      <c r="BX321" s="81" t="s">
        <v>155</v>
      </c>
      <c r="BZ321" s="81" t="s">
        <v>155</v>
      </c>
      <c r="CA321" s="81" t="s">
        <v>3934</v>
      </c>
      <c r="CC321" s="167">
        <v>0</v>
      </c>
      <c r="CD321" s="167">
        <v>0</v>
      </c>
      <c r="CE321" s="167">
        <f>N321</f>
        <v>5</v>
      </c>
      <c r="CF321" s="167">
        <v>0</v>
      </c>
      <c r="CG321" s="167">
        <v>0</v>
      </c>
      <c r="CH321" s="167">
        <v>0</v>
      </c>
      <c r="CI321" s="167">
        <v>0</v>
      </c>
      <c r="CJ321" s="167">
        <v>0</v>
      </c>
      <c r="CK321" s="167">
        <v>0</v>
      </c>
      <c r="CL321" s="167">
        <v>0</v>
      </c>
      <c r="CM321" s="167">
        <v>0</v>
      </c>
      <c r="CN321" s="167">
        <v>0</v>
      </c>
      <c r="CO321" s="167">
        <v>0</v>
      </c>
      <c r="CP321" s="167">
        <v>0</v>
      </c>
      <c r="CQ321" s="167">
        <v>0</v>
      </c>
      <c r="CR321" s="167">
        <v>0</v>
      </c>
      <c r="CS321" s="167">
        <v>0</v>
      </c>
      <c r="CT321" s="167">
        <v>0</v>
      </c>
      <c r="CU321" s="167">
        <v>0</v>
      </c>
      <c r="CV321" s="167">
        <v>0</v>
      </c>
      <c r="CW321" s="167">
        <v>0</v>
      </c>
      <c r="CX321" s="167">
        <f>SUM(CD321:CH321)</f>
        <v>5</v>
      </c>
      <c r="CY321" s="167">
        <f>SUM(CD321:CM321)</f>
        <v>5</v>
      </c>
    </row>
    <row r="322" spans="1:103" ht="12.75" customHeight="1" x14ac:dyDescent="0.2">
      <c r="A322" s="81">
        <v>2796</v>
      </c>
      <c r="B322" s="165" t="s">
        <v>1908</v>
      </c>
      <c r="C322" s="165" t="s">
        <v>662</v>
      </c>
      <c r="D322" s="165" t="s">
        <v>663</v>
      </c>
      <c r="E322" s="165" t="s">
        <v>2000</v>
      </c>
      <c r="F322" s="165" t="s">
        <v>950</v>
      </c>
      <c r="G322" s="81">
        <v>526651</v>
      </c>
      <c r="H322" s="81">
        <v>175984</v>
      </c>
      <c r="I322" s="165" t="s">
        <v>257</v>
      </c>
      <c r="J322" s="349">
        <v>42552</v>
      </c>
      <c r="L322" s="166">
        <v>0</v>
      </c>
      <c r="M322" s="166">
        <v>5</v>
      </c>
      <c r="N322" s="166">
        <v>5</v>
      </c>
      <c r="O322" s="166">
        <v>173</v>
      </c>
      <c r="P322" s="166">
        <v>173</v>
      </c>
      <c r="Q322" s="81" t="s">
        <v>155</v>
      </c>
      <c r="R322" s="165" t="s">
        <v>922</v>
      </c>
      <c r="S322" s="81" t="s">
        <v>104</v>
      </c>
      <c r="T322" s="349">
        <v>42268</v>
      </c>
      <c r="U322" s="349">
        <v>42356</v>
      </c>
      <c r="W322" s="81" t="s">
        <v>114</v>
      </c>
      <c r="Y322" s="81" t="s">
        <v>115</v>
      </c>
      <c r="Z322" s="81" t="s">
        <v>116</v>
      </c>
      <c r="AA322" s="81" t="s">
        <v>116</v>
      </c>
      <c r="AB322" s="81" t="s">
        <v>117</v>
      </c>
      <c r="AC322" s="166">
        <v>8.0000003799796104E-3</v>
      </c>
      <c r="AD322" s="349">
        <v>42552</v>
      </c>
      <c r="AG322" s="81" t="s">
        <v>238</v>
      </c>
      <c r="AH322" s="81" t="s">
        <v>118</v>
      </c>
      <c r="AI322" s="81" t="s">
        <v>2001</v>
      </c>
      <c r="AK322" s="166">
        <v>5</v>
      </c>
      <c r="AM322" s="166">
        <v>0</v>
      </c>
      <c r="AO322" s="166">
        <v>0</v>
      </c>
      <c r="AP322" s="166">
        <v>0</v>
      </c>
      <c r="AQ322" s="166">
        <v>5</v>
      </c>
      <c r="AR322" s="166">
        <v>0</v>
      </c>
      <c r="AS322" s="166">
        <v>0</v>
      </c>
      <c r="AT322" s="166">
        <v>0</v>
      </c>
      <c r="AU322" s="166">
        <v>0</v>
      </c>
      <c r="AV322" s="166">
        <v>0</v>
      </c>
      <c r="AW322" s="166">
        <v>0</v>
      </c>
      <c r="AX322" s="166">
        <v>5</v>
      </c>
      <c r="AY322" s="166">
        <v>0</v>
      </c>
      <c r="AZ322" s="166">
        <v>0</v>
      </c>
      <c r="BA322" s="166">
        <v>0</v>
      </c>
      <c r="BB322" s="166">
        <v>0</v>
      </c>
      <c r="BC322" s="166">
        <v>0</v>
      </c>
      <c r="BD322" s="166">
        <v>0</v>
      </c>
      <c r="BE322" s="166">
        <v>0</v>
      </c>
      <c r="BF322" s="166">
        <v>0</v>
      </c>
      <c r="BG322" s="166">
        <v>0</v>
      </c>
      <c r="BH322" s="166">
        <v>0</v>
      </c>
      <c r="BI322" s="166">
        <v>0</v>
      </c>
      <c r="BJ322" s="166">
        <v>0</v>
      </c>
      <c r="BK322" s="166">
        <v>0</v>
      </c>
      <c r="BL322" s="166">
        <v>0</v>
      </c>
      <c r="BM322" s="166">
        <v>0</v>
      </c>
      <c r="BN322" s="166">
        <v>0</v>
      </c>
      <c r="BO322" s="166">
        <v>0</v>
      </c>
      <c r="BP322" s="166">
        <v>0</v>
      </c>
      <c r="BQ322" s="81" t="s">
        <v>1757</v>
      </c>
      <c r="BX322" s="81" t="s">
        <v>155</v>
      </c>
      <c r="BZ322" s="81" t="s">
        <v>155</v>
      </c>
      <c r="CA322" s="81" t="s">
        <v>3934</v>
      </c>
      <c r="CC322" s="167">
        <v>0</v>
      </c>
      <c r="CD322" s="167">
        <v>0</v>
      </c>
      <c r="CE322" s="167">
        <f>N322</f>
        <v>5</v>
      </c>
      <c r="CF322" s="167">
        <v>0</v>
      </c>
      <c r="CG322" s="167">
        <v>0</v>
      </c>
      <c r="CH322" s="167">
        <v>0</v>
      </c>
      <c r="CI322" s="167">
        <v>0</v>
      </c>
      <c r="CJ322" s="167">
        <v>0</v>
      </c>
      <c r="CK322" s="167">
        <v>0</v>
      </c>
      <c r="CL322" s="167">
        <v>0</v>
      </c>
      <c r="CM322" s="167">
        <v>0</v>
      </c>
      <c r="CN322" s="167">
        <v>0</v>
      </c>
      <c r="CO322" s="167">
        <v>0</v>
      </c>
      <c r="CP322" s="167">
        <v>0</v>
      </c>
      <c r="CQ322" s="167">
        <v>0</v>
      </c>
      <c r="CR322" s="167">
        <v>0</v>
      </c>
      <c r="CS322" s="167">
        <v>0</v>
      </c>
      <c r="CT322" s="167">
        <v>0</v>
      </c>
      <c r="CU322" s="167">
        <v>0</v>
      </c>
      <c r="CV322" s="167">
        <v>0</v>
      </c>
      <c r="CW322" s="167">
        <v>0</v>
      </c>
      <c r="CX322" s="167">
        <f>SUM(CD322:CH322)</f>
        <v>5</v>
      </c>
      <c r="CY322" s="167">
        <f>SUM(CD322:CM322)</f>
        <v>5</v>
      </c>
    </row>
    <row r="323" spans="1:103" ht="12.75" customHeight="1" x14ac:dyDescent="0.2">
      <c r="A323" s="81">
        <v>2796</v>
      </c>
      <c r="B323" s="165" t="s">
        <v>1908</v>
      </c>
      <c r="C323" s="165" t="s">
        <v>662</v>
      </c>
      <c r="D323" s="165" t="s">
        <v>663</v>
      </c>
      <c r="E323" s="165" t="s">
        <v>2000</v>
      </c>
      <c r="F323" s="165" t="s">
        <v>951</v>
      </c>
      <c r="G323" s="81">
        <v>526651</v>
      </c>
      <c r="H323" s="81">
        <v>175984</v>
      </c>
      <c r="I323" s="165" t="s">
        <v>257</v>
      </c>
      <c r="J323" s="349">
        <v>42552</v>
      </c>
      <c r="L323" s="166">
        <v>0</v>
      </c>
      <c r="M323" s="166">
        <v>5</v>
      </c>
      <c r="N323" s="166">
        <v>5</v>
      </c>
      <c r="O323" s="166">
        <v>173</v>
      </c>
      <c r="P323" s="166">
        <v>173</v>
      </c>
      <c r="Q323" s="81" t="s">
        <v>155</v>
      </c>
      <c r="R323" s="165" t="s">
        <v>922</v>
      </c>
      <c r="S323" s="81" t="s">
        <v>104</v>
      </c>
      <c r="T323" s="349">
        <v>42268</v>
      </c>
      <c r="U323" s="349">
        <v>42356</v>
      </c>
      <c r="W323" s="81" t="s">
        <v>114</v>
      </c>
      <c r="Y323" s="81" t="s">
        <v>115</v>
      </c>
      <c r="Z323" s="81" t="s">
        <v>116</v>
      </c>
      <c r="AA323" s="81" t="s">
        <v>116</v>
      </c>
      <c r="AB323" s="81" t="s">
        <v>117</v>
      </c>
      <c r="AC323" s="166">
        <v>1.60000007599592E-2</v>
      </c>
      <c r="AD323" s="349">
        <v>42552</v>
      </c>
      <c r="AG323" s="81" t="s">
        <v>74</v>
      </c>
      <c r="AH323" s="81" t="s">
        <v>1913</v>
      </c>
      <c r="AI323" s="81" t="s">
        <v>2001</v>
      </c>
      <c r="AK323" s="166">
        <v>5</v>
      </c>
      <c r="AM323" s="166">
        <v>0</v>
      </c>
      <c r="AO323" s="166">
        <v>0</v>
      </c>
      <c r="AP323" s="166">
        <v>4</v>
      </c>
      <c r="AQ323" s="166">
        <v>1</v>
      </c>
      <c r="AR323" s="166">
        <v>0</v>
      </c>
      <c r="AS323" s="166">
        <v>0</v>
      </c>
      <c r="AT323" s="166">
        <v>0</v>
      </c>
      <c r="AU323" s="166">
        <v>0</v>
      </c>
      <c r="AV323" s="166">
        <v>0</v>
      </c>
      <c r="AW323" s="166">
        <v>4</v>
      </c>
      <c r="AX323" s="166">
        <v>1</v>
      </c>
      <c r="AY323" s="166">
        <v>0</v>
      </c>
      <c r="AZ323" s="166">
        <v>0</v>
      </c>
      <c r="BA323" s="166">
        <v>0</v>
      </c>
      <c r="BB323" s="166">
        <v>0</v>
      </c>
      <c r="BC323" s="166">
        <v>0</v>
      </c>
      <c r="BD323" s="166">
        <v>0</v>
      </c>
      <c r="BE323" s="166">
        <v>0</v>
      </c>
      <c r="BF323" s="166">
        <v>0</v>
      </c>
      <c r="BG323" s="166">
        <v>0</v>
      </c>
      <c r="BH323" s="166">
        <v>0</v>
      </c>
      <c r="BI323" s="166">
        <v>0</v>
      </c>
      <c r="BJ323" s="166">
        <v>0</v>
      </c>
      <c r="BK323" s="166">
        <v>0</v>
      </c>
      <c r="BL323" s="166">
        <v>0</v>
      </c>
      <c r="BM323" s="166">
        <v>0</v>
      </c>
      <c r="BN323" s="166">
        <v>0</v>
      </c>
      <c r="BO323" s="166">
        <v>0</v>
      </c>
      <c r="BP323" s="166">
        <v>0</v>
      </c>
      <c r="BQ323" s="81" t="s">
        <v>1757</v>
      </c>
      <c r="BX323" s="81" t="s">
        <v>155</v>
      </c>
      <c r="BZ323" s="81" t="s">
        <v>155</v>
      </c>
      <c r="CA323" s="81" t="s">
        <v>3934</v>
      </c>
      <c r="CC323" s="167">
        <v>0</v>
      </c>
      <c r="CD323" s="167">
        <v>0</v>
      </c>
      <c r="CE323" s="167">
        <f>N323</f>
        <v>5</v>
      </c>
      <c r="CF323" s="167">
        <v>0</v>
      </c>
      <c r="CG323" s="167">
        <v>0</v>
      </c>
      <c r="CH323" s="167">
        <v>0</v>
      </c>
      <c r="CI323" s="167">
        <v>0</v>
      </c>
      <c r="CJ323" s="167">
        <v>0</v>
      </c>
      <c r="CK323" s="167">
        <v>0</v>
      </c>
      <c r="CL323" s="167">
        <v>0</v>
      </c>
      <c r="CM323" s="167">
        <v>0</v>
      </c>
      <c r="CN323" s="167">
        <v>0</v>
      </c>
      <c r="CO323" s="167">
        <v>0</v>
      </c>
      <c r="CP323" s="167">
        <v>0</v>
      </c>
      <c r="CQ323" s="167">
        <v>0</v>
      </c>
      <c r="CR323" s="167">
        <v>0</v>
      </c>
      <c r="CS323" s="167">
        <v>0</v>
      </c>
      <c r="CT323" s="167">
        <v>0</v>
      </c>
      <c r="CU323" s="167">
        <v>0</v>
      </c>
      <c r="CV323" s="167">
        <v>0</v>
      </c>
      <c r="CW323" s="167">
        <v>0</v>
      </c>
      <c r="CX323" s="167">
        <f>SUM(CD323:CH323)</f>
        <v>5</v>
      </c>
      <c r="CY323" s="167">
        <f>SUM(CD323:CM323)</f>
        <v>5</v>
      </c>
    </row>
    <row r="324" spans="1:103" ht="12.75" customHeight="1" x14ac:dyDescent="0.2">
      <c r="A324" s="81">
        <v>2796</v>
      </c>
      <c r="B324" s="165" t="s">
        <v>1908</v>
      </c>
      <c r="C324" s="165" t="s">
        <v>662</v>
      </c>
      <c r="D324" s="165" t="s">
        <v>663</v>
      </c>
      <c r="E324" s="165" t="s">
        <v>2000</v>
      </c>
      <c r="F324" s="165" t="s">
        <v>952</v>
      </c>
      <c r="G324" s="81">
        <v>526651</v>
      </c>
      <c r="H324" s="81">
        <v>175984</v>
      </c>
      <c r="I324" s="165" t="s">
        <v>257</v>
      </c>
      <c r="J324" s="349">
        <v>42552</v>
      </c>
      <c r="L324" s="166">
        <v>0</v>
      </c>
      <c r="M324" s="166">
        <v>5</v>
      </c>
      <c r="N324" s="166">
        <v>5</v>
      </c>
      <c r="O324" s="166">
        <v>173</v>
      </c>
      <c r="P324" s="166">
        <v>173</v>
      </c>
      <c r="Q324" s="81" t="s">
        <v>155</v>
      </c>
      <c r="R324" s="165" t="s">
        <v>922</v>
      </c>
      <c r="S324" s="81" t="s">
        <v>104</v>
      </c>
      <c r="T324" s="349">
        <v>42268</v>
      </c>
      <c r="U324" s="349">
        <v>42356</v>
      </c>
      <c r="W324" s="81" t="s">
        <v>114</v>
      </c>
      <c r="Y324" s="81" t="s">
        <v>115</v>
      </c>
      <c r="Z324" s="81" t="s">
        <v>116</v>
      </c>
      <c r="AA324" s="81" t="s">
        <v>116</v>
      </c>
      <c r="AB324" s="81" t="s">
        <v>117</v>
      </c>
      <c r="AC324" s="166">
        <v>1.60000007599592E-2</v>
      </c>
      <c r="AD324" s="349">
        <v>42552</v>
      </c>
      <c r="AG324" s="81" t="s">
        <v>74</v>
      </c>
      <c r="AH324" s="81" t="s">
        <v>1913</v>
      </c>
      <c r="AI324" s="81" t="s">
        <v>2001</v>
      </c>
      <c r="AK324" s="166">
        <v>5</v>
      </c>
      <c r="AM324" s="166">
        <v>0</v>
      </c>
      <c r="AO324" s="166">
        <v>0</v>
      </c>
      <c r="AP324" s="166">
        <v>3</v>
      </c>
      <c r="AQ324" s="166">
        <v>2</v>
      </c>
      <c r="AR324" s="166">
        <v>0</v>
      </c>
      <c r="AS324" s="166">
        <v>0</v>
      </c>
      <c r="AT324" s="166">
        <v>0</v>
      </c>
      <c r="AU324" s="166">
        <v>0</v>
      </c>
      <c r="AV324" s="166">
        <v>0</v>
      </c>
      <c r="AW324" s="166">
        <v>3</v>
      </c>
      <c r="AX324" s="166">
        <v>2</v>
      </c>
      <c r="AY324" s="166">
        <v>0</v>
      </c>
      <c r="AZ324" s="166">
        <v>0</v>
      </c>
      <c r="BA324" s="166">
        <v>0</v>
      </c>
      <c r="BB324" s="166">
        <v>0</v>
      </c>
      <c r="BC324" s="166">
        <v>0</v>
      </c>
      <c r="BD324" s="166">
        <v>0</v>
      </c>
      <c r="BE324" s="166">
        <v>0</v>
      </c>
      <c r="BF324" s="166">
        <v>0</v>
      </c>
      <c r="BG324" s="166">
        <v>0</v>
      </c>
      <c r="BH324" s="166">
        <v>0</v>
      </c>
      <c r="BI324" s="166">
        <v>0</v>
      </c>
      <c r="BJ324" s="166">
        <v>0</v>
      </c>
      <c r="BK324" s="166">
        <v>0</v>
      </c>
      <c r="BL324" s="166">
        <v>0</v>
      </c>
      <c r="BM324" s="166">
        <v>0</v>
      </c>
      <c r="BN324" s="166">
        <v>0</v>
      </c>
      <c r="BO324" s="166">
        <v>0</v>
      </c>
      <c r="BP324" s="166">
        <v>0</v>
      </c>
      <c r="BQ324" s="81" t="s">
        <v>1757</v>
      </c>
      <c r="BX324" s="81" t="s">
        <v>155</v>
      </c>
      <c r="BZ324" s="81" t="s">
        <v>155</v>
      </c>
      <c r="CA324" s="81" t="s">
        <v>3934</v>
      </c>
      <c r="CC324" s="167">
        <v>0</v>
      </c>
      <c r="CD324" s="167">
        <v>0</v>
      </c>
      <c r="CE324" s="167">
        <f>N324</f>
        <v>5</v>
      </c>
      <c r="CF324" s="167">
        <v>0</v>
      </c>
      <c r="CG324" s="167">
        <v>0</v>
      </c>
      <c r="CH324" s="167">
        <v>0</v>
      </c>
      <c r="CI324" s="167">
        <v>0</v>
      </c>
      <c r="CJ324" s="167">
        <v>0</v>
      </c>
      <c r="CK324" s="167">
        <v>0</v>
      </c>
      <c r="CL324" s="167">
        <v>0</v>
      </c>
      <c r="CM324" s="167">
        <v>0</v>
      </c>
      <c r="CN324" s="167">
        <v>0</v>
      </c>
      <c r="CO324" s="167">
        <v>0</v>
      </c>
      <c r="CP324" s="167">
        <v>0</v>
      </c>
      <c r="CQ324" s="167">
        <v>0</v>
      </c>
      <c r="CR324" s="167">
        <v>0</v>
      </c>
      <c r="CS324" s="167">
        <v>0</v>
      </c>
      <c r="CT324" s="167">
        <v>0</v>
      </c>
      <c r="CU324" s="167">
        <v>0</v>
      </c>
      <c r="CV324" s="167">
        <v>0</v>
      </c>
      <c r="CW324" s="167">
        <v>0</v>
      </c>
      <c r="CX324" s="167">
        <f>SUM(CD324:CH324)</f>
        <v>5</v>
      </c>
      <c r="CY324" s="167">
        <f>SUM(CD324:CM324)</f>
        <v>5</v>
      </c>
    </row>
    <row r="325" spans="1:103" ht="12.75" customHeight="1" x14ac:dyDescent="0.2">
      <c r="A325" s="81">
        <v>2796</v>
      </c>
      <c r="B325" s="165" t="s">
        <v>1908</v>
      </c>
      <c r="C325" s="165" t="s">
        <v>662</v>
      </c>
      <c r="D325" s="165" t="s">
        <v>663</v>
      </c>
      <c r="E325" s="165" t="s">
        <v>2000</v>
      </c>
      <c r="F325" s="165" t="s">
        <v>953</v>
      </c>
      <c r="G325" s="81">
        <v>526651</v>
      </c>
      <c r="H325" s="81">
        <v>175984</v>
      </c>
      <c r="I325" s="165" t="s">
        <v>257</v>
      </c>
      <c r="J325" s="349">
        <v>42552</v>
      </c>
      <c r="L325" s="166">
        <v>0</v>
      </c>
      <c r="M325" s="166">
        <v>5</v>
      </c>
      <c r="N325" s="166">
        <v>5</v>
      </c>
      <c r="O325" s="166">
        <v>173</v>
      </c>
      <c r="P325" s="166">
        <v>173</v>
      </c>
      <c r="Q325" s="81" t="s">
        <v>155</v>
      </c>
      <c r="R325" s="165" t="s">
        <v>922</v>
      </c>
      <c r="S325" s="81" t="s">
        <v>104</v>
      </c>
      <c r="T325" s="349">
        <v>42268</v>
      </c>
      <c r="U325" s="349">
        <v>42356</v>
      </c>
      <c r="W325" s="81" t="s">
        <v>114</v>
      </c>
      <c r="Y325" s="81" t="s">
        <v>115</v>
      </c>
      <c r="Z325" s="81" t="s">
        <v>116</v>
      </c>
      <c r="AA325" s="81" t="s">
        <v>116</v>
      </c>
      <c r="AB325" s="81" t="s">
        <v>117</v>
      </c>
      <c r="AC325" s="166">
        <v>1.60000007599592E-2</v>
      </c>
      <c r="AD325" s="349">
        <v>42552</v>
      </c>
      <c r="AG325" s="81" t="s">
        <v>74</v>
      </c>
      <c r="AH325" s="81" t="s">
        <v>1913</v>
      </c>
      <c r="AI325" s="81" t="s">
        <v>2001</v>
      </c>
      <c r="AK325" s="166">
        <v>5</v>
      </c>
      <c r="AM325" s="166">
        <v>0</v>
      </c>
      <c r="AO325" s="166">
        <v>0</v>
      </c>
      <c r="AP325" s="166">
        <v>3</v>
      </c>
      <c r="AQ325" s="166">
        <v>2</v>
      </c>
      <c r="AR325" s="166">
        <v>0</v>
      </c>
      <c r="AS325" s="166">
        <v>0</v>
      </c>
      <c r="AT325" s="166">
        <v>0</v>
      </c>
      <c r="AU325" s="166">
        <v>0</v>
      </c>
      <c r="AV325" s="166">
        <v>0</v>
      </c>
      <c r="AW325" s="166">
        <v>3</v>
      </c>
      <c r="AX325" s="166">
        <v>2</v>
      </c>
      <c r="AY325" s="166">
        <v>0</v>
      </c>
      <c r="AZ325" s="166">
        <v>0</v>
      </c>
      <c r="BA325" s="166">
        <v>0</v>
      </c>
      <c r="BB325" s="166">
        <v>0</v>
      </c>
      <c r="BC325" s="166">
        <v>0</v>
      </c>
      <c r="BD325" s="166">
        <v>0</v>
      </c>
      <c r="BE325" s="166">
        <v>0</v>
      </c>
      <c r="BF325" s="166">
        <v>0</v>
      </c>
      <c r="BG325" s="166">
        <v>0</v>
      </c>
      <c r="BH325" s="166">
        <v>0</v>
      </c>
      <c r="BI325" s="166">
        <v>0</v>
      </c>
      <c r="BJ325" s="166">
        <v>0</v>
      </c>
      <c r="BK325" s="166">
        <v>0</v>
      </c>
      <c r="BL325" s="166">
        <v>0</v>
      </c>
      <c r="BM325" s="166">
        <v>0</v>
      </c>
      <c r="BN325" s="166">
        <v>0</v>
      </c>
      <c r="BO325" s="166">
        <v>0</v>
      </c>
      <c r="BP325" s="166">
        <v>0</v>
      </c>
      <c r="BQ325" s="81" t="s">
        <v>1757</v>
      </c>
      <c r="BX325" s="81" t="s">
        <v>155</v>
      </c>
      <c r="BZ325" s="81" t="s">
        <v>155</v>
      </c>
      <c r="CA325" s="81" t="s">
        <v>3934</v>
      </c>
      <c r="CC325" s="167">
        <v>0</v>
      </c>
      <c r="CD325" s="167">
        <v>0</v>
      </c>
      <c r="CE325" s="167">
        <f>N325</f>
        <v>5</v>
      </c>
      <c r="CF325" s="167">
        <v>0</v>
      </c>
      <c r="CG325" s="167">
        <v>0</v>
      </c>
      <c r="CH325" s="167">
        <v>0</v>
      </c>
      <c r="CI325" s="167">
        <v>0</v>
      </c>
      <c r="CJ325" s="167">
        <v>0</v>
      </c>
      <c r="CK325" s="167">
        <v>0</v>
      </c>
      <c r="CL325" s="167">
        <v>0</v>
      </c>
      <c r="CM325" s="167">
        <v>0</v>
      </c>
      <c r="CN325" s="167">
        <v>0</v>
      </c>
      <c r="CO325" s="167">
        <v>0</v>
      </c>
      <c r="CP325" s="167">
        <v>0</v>
      </c>
      <c r="CQ325" s="167">
        <v>0</v>
      </c>
      <c r="CR325" s="167">
        <v>0</v>
      </c>
      <c r="CS325" s="167">
        <v>0</v>
      </c>
      <c r="CT325" s="167">
        <v>0</v>
      </c>
      <c r="CU325" s="167">
        <v>0</v>
      </c>
      <c r="CV325" s="167">
        <v>0</v>
      </c>
      <c r="CW325" s="167">
        <v>0</v>
      </c>
      <c r="CX325" s="167">
        <f>SUM(CD325:CH325)</f>
        <v>5</v>
      </c>
      <c r="CY325" s="167">
        <f>SUM(CD325:CM325)</f>
        <v>5</v>
      </c>
    </row>
    <row r="326" spans="1:103" ht="12.75" customHeight="1" x14ac:dyDescent="0.2">
      <c r="A326" s="81">
        <v>2796</v>
      </c>
      <c r="B326" s="165" t="s">
        <v>1908</v>
      </c>
      <c r="C326" s="165" t="s">
        <v>662</v>
      </c>
      <c r="D326" s="165" t="s">
        <v>663</v>
      </c>
      <c r="E326" s="165" t="s">
        <v>2000</v>
      </c>
      <c r="F326" s="165" t="s">
        <v>954</v>
      </c>
      <c r="G326" s="81">
        <v>526651</v>
      </c>
      <c r="H326" s="81">
        <v>175984</v>
      </c>
      <c r="I326" s="165" t="s">
        <v>257</v>
      </c>
      <c r="J326" s="349">
        <v>42552</v>
      </c>
      <c r="L326" s="166">
        <v>0</v>
      </c>
      <c r="M326" s="166">
        <v>5</v>
      </c>
      <c r="N326" s="166">
        <v>5</v>
      </c>
      <c r="O326" s="166">
        <v>173</v>
      </c>
      <c r="P326" s="166">
        <v>173</v>
      </c>
      <c r="Q326" s="81" t="s">
        <v>155</v>
      </c>
      <c r="R326" s="165" t="s">
        <v>922</v>
      </c>
      <c r="S326" s="81" t="s">
        <v>104</v>
      </c>
      <c r="T326" s="349">
        <v>42268</v>
      </c>
      <c r="U326" s="349">
        <v>42356</v>
      </c>
      <c r="W326" s="81" t="s">
        <v>114</v>
      </c>
      <c r="Y326" s="81" t="s">
        <v>115</v>
      </c>
      <c r="Z326" s="81" t="s">
        <v>116</v>
      </c>
      <c r="AA326" s="81" t="s">
        <v>116</v>
      </c>
      <c r="AB326" s="81" t="s">
        <v>117</v>
      </c>
      <c r="AC326" s="166">
        <v>1.60000007599592E-2</v>
      </c>
      <c r="AD326" s="349">
        <v>42552</v>
      </c>
      <c r="AG326" s="81" t="s">
        <v>74</v>
      </c>
      <c r="AH326" s="81" t="s">
        <v>1913</v>
      </c>
      <c r="AI326" s="81" t="s">
        <v>2001</v>
      </c>
      <c r="AK326" s="166">
        <v>5</v>
      </c>
      <c r="AM326" s="166">
        <v>0</v>
      </c>
      <c r="AO326" s="166">
        <v>0</v>
      </c>
      <c r="AP326" s="166">
        <v>3</v>
      </c>
      <c r="AQ326" s="166">
        <v>2</v>
      </c>
      <c r="AR326" s="166">
        <v>0</v>
      </c>
      <c r="AS326" s="166">
        <v>0</v>
      </c>
      <c r="AT326" s="166">
        <v>0</v>
      </c>
      <c r="AU326" s="166">
        <v>0</v>
      </c>
      <c r="AV326" s="166">
        <v>0</v>
      </c>
      <c r="AW326" s="166">
        <v>3</v>
      </c>
      <c r="AX326" s="166">
        <v>2</v>
      </c>
      <c r="AY326" s="166">
        <v>0</v>
      </c>
      <c r="AZ326" s="166">
        <v>0</v>
      </c>
      <c r="BA326" s="166">
        <v>0</v>
      </c>
      <c r="BB326" s="166">
        <v>0</v>
      </c>
      <c r="BC326" s="166">
        <v>0</v>
      </c>
      <c r="BD326" s="166">
        <v>0</v>
      </c>
      <c r="BE326" s="166">
        <v>0</v>
      </c>
      <c r="BF326" s="166">
        <v>0</v>
      </c>
      <c r="BG326" s="166">
        <v>0</v>
      </c>
      <c r="BH326" s="166">
        <v>0</v>
      </c>
      <c r="BI326" s="166">
        <v>0</v>
      </c>
      <c r="BJ326" s="166">
        <v>0</v>
      </c>
      <c r="BK326" s="166">
        <v>0</v>
      </c>
      <c r="BL326" s="166">
        <v>0</v>
      </c>
      <c r="BM326" s="166">
        <v>0</v>
      </c>
      <c r="BN326" s="166">
        <v>0</v>
      </c>
      <c r="BO326" s="166">
        <v>0</v>
      </c>
      <c r="BP326" s="166">
        <v>0</v>
      </c>
      <c r="BQ326" s="81" t="s">
        <v>1757</v>
      </c>
      <c r="BX326" s="81" t="s">
        <v>155</v>
      </c>
      <c r="BZ326" s="81" t="s">
        <v>155</v>
      </c>
      <c r="CA326" s="81" t="s">
        <v>3934</v>
      </c>
      <c r="CC326" s="167">
        <v>0</v>
      </c>
      <c r="CD326" s="167">
        <v>0</v>
      </c>
      <c r="CE326" s="167">
        <f>N326</f>
        <v>5</v>
      </c>
      <c r="CF326" s="167">
        <v>0</v>
      </c>
      <c r="CG326" s="167">
        <v>0</v>
      </c>
      <c r="CH326" s="167">
        <v>0</v>
      </c>
      <c r="CI326" s="167">
        <v>0</v>
      </c>
      <c r="CJ326" s="167">
        <v>0</v>
      </c>
      <c r="CK326" s="167">
        <v>0</v>
      </c>
      <c r="CL326" s="167">
        <v>0</v>
      </c>
      <c r="CM326" s="167">
        <v>0</v>
      </c>
      <c r="CN326" s="167">
        <v>0</v>
      </c>
      <c r="CO326" s="167">
        <v>0</v>
      </c>
      <c r="CP326" s="167">
        <v>0</v>
      </c>
      <c r="CQ326" s="167">
        <v>0</v>
      </c>
      <c r="CR326" s="167">
        <v>0</v>
      </c>
      <c r="CS326" s="167">
        <v>0</v>
      </c>
      <c r="CT326" s="167">
        <v>0</v>
      </c>
      <c r="CU326" s="167">
        <v>0</v>
      </c>
      <c r="CV326" s="167">
        <v>0</v>
      </c>
      <c r="CW326" s="167">
        <v>0</v>
      </c>
      <c r="CX326" s="167">
        <f>SUM(CD326:CH326)</f>
        <v>5</v>
      </c>
      <c r="CY326" s="167">
        <f>SUM(CD326:CM326)</f>
        <v>5</v>
      </c>
    </row>
    <row r="327" spans="1:103" ht="12.75" customHeight="1" x14ac:dyDescent="0.2">
      <c r="A327" s="81">
        <v>2796</v>
      </c>
      <c r="B327" s="165" t="s">
        <v>1908</v>
      </c>
      <c r="C327" s="165" t="s">
        <v>662</v>
      </c>
      <c r="D327" s="165" t="s">
        <v>663</v>
      </c>
      <c r="E327" s="165" t="s">
        <v>2000</v>
      </c>
      <c r="F327" s="165" t="s">
        <v>955</v>
      </c>
      <c r="G327" s="81">
        <v>526651</v>
      </c>
      <c r="H327" s="81">
        <v>175984</v>
      </c>
      <c r="I327" s="165" t="s">
        <v>257</v>
      </c>
      <c r="J327" s="349">
        <v>42552</v>
      </c>
      <c r="L327" s="166">
        <v>0</v>
      </c>
      <c r="M327" s="166">
        <v>5</v>
      </c>
      <c r="N327" s="166">
        <v>5</v>
      </c>
      <c r="O327" s="166">
        <v>173</v>
      </c>
      <c r="P327" s="166">
        <v>173</v>
      </c>
      <c r="Q327" s="81" t="s">
        <v>155</v>
      </c>
      <c r="R327" s="165" t="s">
        <v>922</v>
      </c>
      <c r="S327" s="81" t="s">
        <v>104</v>
      </c>
      <c r="T327" s="349">
        <v>42268</v>
      </c>
      <c r="U327" s="349">
        <v>42356</v>
      </c>
      <c r="W327" s="81" t="s">
        <v>114</v>
      </c>
      <c r="Y327" s="81" t="s">
        <v>115</v>
      </c>
      <c r="Z327" s="81" t="s">
        <v>116</v>
      </c>
      <c r="AA327" s="81" t="s">
        <v>116</v>
      </c>
      <c r="AB327" s="81" t="s">
        <v>117</v>
      </c>
      <c r="AC327" s="166">
        <v>1.60000007599592E-2</v>
      </c>
      <c r="AD327" s="349">
        <v>42552</v>
      </c>
      <c r="AG327" s="81" t="s">
        <v>74</v>
      </c>
      <c r="AH327" s="81" t="s">
        <v>1913</v>
      </c>
      <c r="AI327" s="81" t="s">
        <v>2001</v>
      </c>
      <c r="AK327" s="166">
        <v>5</v>
      </c>
      <c r="AM327" s="166">
        <v>0</v>
      </c>
      <c r="AO327" s="166">
        <v>0</v>
      </c>
      <c r="AP327" s="166">
        <v>3</v>
      </c>
      <c r="AQ327" s="166">
        <v>2</v>
      </c>
      <c r="AR327" s="166">
        <v>0</v>
      </c>
      <c r="AS327" s="166">
        <v>0</v>
      </c>
      <c r="AT327" s="166">
        <v>0</v>
      </c>
      <c r="AU327" s="166">
        <v>0</v>
      </c>
      <c r="AV327" s="166">
        <v>0</v>
      </c>
      <c r="AW327" s="166">
        <v>3</v>
      </c>
      <c r="AX327" s="166">
        <v>2</v>
      </c>
      <c r="AY327" s="166">
        <v>0</v>
      </c>
      <c r="AZ327" s="166">
        <v>0</v>
      </c>
      <c r="BA327" s="166">
        <v>0</v>
      </c>
      <c r="BB327" s="166">
        <v>0</v>
      </c>
      <c r="BC327" s="166">
        <v>0</v>
      </c>
      <c r="BD327" s="166">
        <v>0</v>
      </c>
      <c r="BE327" s="166">
        <v>0</v>
      </c>
      <c r="BF327" s="166">
        <v>0</v>
      </c>
      <c r="BG327" s="166">
        <v>0</v>
      </c>
      <c r="BH327" s="166">
        <v>0</v>
      </c>
      <c r="BI327" s="166">
        <v>0</v>
      </c>
      <c r="BJ327" s="166">
        <v>0</v>
      </c>
      <c r="BK327" s="166">
        <v>0</v>
      </c>
      <c r="BL327" s="166">
        <v>0</v>
      </c>
      <c r="BM327" s="166">
        <v>0</v>
      </c>
      <c r="BN327" s="166">
        <v>0</v>
      </c>
      <c r="BO327" s="166">
        <v>0</v>
      </c>
      <c r="BP327" s="166">
        <v>0</v>
      </c>
      <c r="BQ327" s="81" t="s">
        <v>1757</v>
      </c>
      <c r="BX327" s="81" t="s">
        <v>155</v>
      </c>
      <c r="BZ327" s="81" t="s">
        <v>155</v>
      </c>
      <c r="CA327" s="81" t="s">
        <v>3934</v>
      </c>
      <c r="CC327" s="167">
        <v>0</v>
      </c>
      <c r="CD327" s="167">
        <v>0</v>
      </c>
      <c r="CE327" s="167">
        <f>N327</f>
        <v>5</v>
      </c>
      <c r="CF327" s="167">
        <v>0</v>
      </c>
      <c r="CG327" s="167">
        <v>0</v>
      </c>
      <c r="CH327" s="167">
        <v>0</v>
      </c>
      <c r="CI327" s="167">
        <v>0</v>
      </c>
      <c r="CJ327" s="167">
        <v>0</v>
      </c>
      <c r="CK327" s="167">
        <v>0</v>
      </c>
      <c r="CL327" s="167">
        <v>0</v>
      </c>
      <c r="CM327" s="167">
        <v>0</v>
      </c>
      <c r="CN327" s="167">
        <v>0</v>
      </c>
      <c r="CO327" s="167">
        <v>0</v>
      </c>
      <c r="CP327" s="167">
        <v>0</v>
      </c>
      <c r="CQ327" s="167">
        <v>0</v>
      </c>
      <c r="CR327" s="167">
        <v>0</v>
      </c>
      <c r="CS327" s="167">
        <v>0</v>
      </c>
      <c r="CT327" s="167">
        <v>0</v>
      </c>
      <c r="CU327" s="167">
        <v>0</v>
      </c>
      <c r="CV327" s="167">
        <v>0</v>
      </c>
      <c r="CW327" s="167">
        <v>0</v>
      </c>
      <c r="CX327" s="167">
        <f>SUM(CD327:CH327)</f>
        <v>5</v>
      </c>
      <c r="CY327" s="167">
        <f>SUM(CD327:CM327)</f>
        <v>5</v>
      </c>
    </row>
    <row r="328" spans="1:103" ht="12.75" customHeight="1" x14ac:dyDescent="0.2">
      <c r="A328" s="81">
        <v>2796</v>
      </c>
      <c r="B328" s="165" t="s">
        <v>1908</v>
      </c>
      <c r="C328" s="165" t="s">
        <v>662</v>
      </c>
      <c r="D328" s="165" t="s">
        <v>663</v>
      </c>
      <c r="E328" s="165" t="s">
        <v>2000</v>
      </c>
      <c r="F328" s="165" t="s">
        <v>956</v>
      </c>
      <c r="G328" s="81">
        <v>526651</v>
      </c>
      <c r="H328" s="81">
        <v>175984</v>
      </c>
      <c r="I328" s="165" t="s">
        <v>257</v>
      </c>
      <c r="J328" s="349">
        <v>42552</v>
      </c>
      <c r="L328" s="166">
        <v>0</v>
      </c>
      <c r="M328" s="166">
        <v>5</v>
      </c>
      <c r="N328" s="166">
        <v>5</v>
      </c>
      <c r="O328" s="166">
        <v>173</v>
      </c>
      <c r="P328" s="166">
        <v>173</v>
      </c>
      <c r="Q328" s="81" t="s">
        <v>155</v>
      </c>
      <c r="R328" s="165" t="s">
        <v>922</v>
      </c>
      <c r="S328" s="81" t="s">
        <v>104</v>
      </c>
      <c r="T328" s="349">
        <v>42268</v>
      </c>
      <c r="U328" s="349">
        <v>42356</v>
      </c>
      <c r="W328" s="81" t="s">
        <v>114</v>
      </c>
      <c r="Y328" s="81" t="s">
        <v>115</v>
      </c>
      <c r="Z328" s="81" t="s">
        <v>116</v>
      </c>
      <c r="AA328" s="81" t="s">
        <v>116</v>
      </c>
      <c r="AB328" s="81" t="s">
        <v>117</v>
      </c>
      <c r="AC328" s="166">
        <v>1.4000000432133701E-2</v>
      </c>
      <c r="AD328" s="349">
        <v>42552</v>
      </c>
      <c r="AG328" s="81" t="s">
        <v>74</v>
      </c>
      <c r="AH328" s="81" t="s">
        <v>1913</v>
      </c>
      <c r="AI328" s="81" t="s">
        <v>2001</v>
      </c>
      <c r="AK328" s="166">
        <v>5</v>
      </c>
      <c r="AM328" s="166">
        <v>0</v>
      </c>
      <c r="AO328" s="166">
        <v>0</v>
      </c>
      <c r="AP328" s="166">
        <v>3</v>
      </c>
      <c r="AQ328" s="166">
        <v>2</v>
      </c>
      <c r="AR328" s="166">
        <v>0</v>
      </c>
      <c r="AS328" s="166">
        <v>0</v>
      </c>
      <c r="AT328" s="166">
        <v>0</v>
      </c>
      <c r="AU328" s="166">
        <v>0</v>
      </c>
      <c r="AV328" s="166">
        <v>0</v>
      </c>
      <c r="AW328" s="166">
        <v>3</v>
      </c>
      <c r="AX328" s="166">
        <v>2</v>
      </c>
      <c r="AY328" s="166">
        <v>0</v>
      </c>
      <c r="AZ328" s="166">
        <v>0</v>
      </c>
      <c r="BA328" s="166">
        <v>0</v>
      </c>
      <c r="BB328" s="166">
        <v>0</v>
      </c>
      <c r="BC328" s="166">
        <v>0</v>
      </c>
      <c r="BD328" s="166">
        <v>0</v>
      </c>
      <c r="BE328" s="166">
        <v>0</v>
      </c>
      <c r="BF328" s="166">
        <v>0</v>
      </c>
      <c r="BG328" s="166">
        <v>0</v>
      </c>
      <c r="BH328" s="166">
        <v>0</v>
      </c>
      <c r="BI328" s="166">
        <v>0</v>
      </c>
      <c r="BJ328" s="166">
        <v>0</v>
      </c>
      <c r="BK328" s="166">
        <v>0</v>
      </c>
      <c r="BL328" s="166">
        <v>0</v>
      </c>
      <c r="BM328" s="166">
        <v>0</v>
      </c>
      <c r="BN328" s="166">
        <v>0</v>
      </c>
      <c r="BO328" s="166">
        <v>0</v>
      </c>
      <c r="BP328" s="166">
        <v>0</v>
      </c>
      <c r="BQ328" s="81" t="s">
        <v>1757</v>
      </c>
      <c r="BX328" s="81" t="s">
        <v>155</v>
      </c>
      <c r="BZ328" s="81" t="s">
        <v>155</v>
      </c>
      <c r="CA328" s="81" t="s">
        <v>3934</v>
      </c>
      <c r="CC328" s="167">
        <v>0</v>
      </c>
      <c r="CD328" s="167">
        <v>0</v>
      </c>
      <c r="CE328" s="167">
        <f>N328</f>
        <v>5</v>
      </c>
      <c r="CF328" s="167">
        <v>0</v>
      </c>
      <c r="CG328" s="167">
        <v>0</v>
      </c>
      <c r="CH328" s="167">
        <v>0</v>
      </c>
      <c r="CI328" s="167">
        <v>0</v>
      </c>
      <c r="CJ328" s="167">
        <v>0</v>
      </c>
      <c r="CK328" s="167">
        <v>0</v>
      </c>
      <c r="CL328" s="167">
        <v>0</v>
      </c>
      <c r="CM328" s="167">
        <v>0</v>
      </c>
      <c r="CN328" s="167">
        <v>0</v>
      </c>
      <c r="CO328" s="167">
        <v>0</v>
      </c>
      <c r="CP328" s="167">
        <v>0</v>
      </c>
      <c r="CQ328" s="167">
        <v>0</v>
      </c>
      <c r="CR328" s="167">
        <v>0</v>
      </c>
      <c r="CS328" s="167">
        <v>0</v>
      </c>
      <c r="CT328" s="167">
        <v>0</v>
      </c>
      <c r="CU328" s="167">
        <v>0</v>
      </c>
      <c r="CV328" s="167">
        <v>0</v>
      </c>
      <c r="CW328" s="167">
        <v>0</v>
      </c>
      <c r="CX328" s="167">
        <f>SUM(CD328:CH328)</f>
        <v>5</v>
      </c>
      <c r="CY328" s="167">
        <f>SUM(CD328:CM328)</f>
        <v>5</v>
      </c>
    </row>
    <row r="329" spans="1:103" ht="12.75" customHeight="1" x14ac:dyDescent="0.2">
      <c r="A329" s="81">
        <v>2820</v>
      </c>
      <c r="B329" s="165" t="s">
        <v>1908</v>
      </c>
      <c r="C329" s="165" t="s">
        <v>1570</v>
      </c>
      <c r="E329" s="165" t="s">
        <v>3410</v>
      </c>
      <c r="G329" s="81">
        <v>525961</v>
      </c>
      <c r="H329" s="81">
        <v>173072</v>
      </c>
      <c r="I329" s="165" t="s">
        <v>249</v>
      </c>
      <c r="J329" s="349">
        <v>43190</v>
      </c>
      <c r="L329" s="166">
        <v>0</v>
      </c>
      <c r="M329" s="166">
        <v>2</v>
      </c>
      <c r="N329" s="166">
        <v>2</v>
      </c>
      <c r="O329" s="166">
        <v>2</v>
      </c>
      <c r="P329" s="166">
        <v>2</v>
      </c>
      <c r="R329" s="165" t="s">
        <v>1571</v>
      </c>
      <c r="S329" s="81" t="s">
        <v>113</v>
      </c>
      <c r="T329" s="349">
        <v>42690</v>
      </c>
      <c r="U329" s="349">
        <v>42894</v>
      </c>
      <c r="V329" s="81" t="s">
        <v>155</v>
      </c>
      <c r="W329" s="81" t="s">
        <v>114</v>
      </c>
      <c r="Y329" s="81" t="s">
        <v>115</v>
      </c>
      <c r="Z329" s="81" t="s">
        <v>219</v>
      </c>
      <c r="AA329" s="81" t="s">
        <v>117</v>
      </c>
      <c r="AB329" s="81" t="s">
        <v>3889</v>
      </c>
      <c r="AC329" s="166">
        <v>7.0000002160668399E-3</v>
      </c>
      <c r="AD329" s="349">
        <v>43190</v>
      </c>
      <c r="AE329" s="81" t="s">
        <v>155</v>
      </c>
      <c r="AG329" s="81" t="s">
        <v>238</v>
      </c>
      <c r="AH329" s="81" t="s">
        <v>118</v>
      </c>
      <c r="AK329" s="166">
        <v>0</v>
      </c>
      <c r="AM329" s="166">
        <v>0</v>
      </c>
      <c r="AO329" s="166">
        <v>0</v>
      </c>
      <c r="AP329" s="166">
        <v>2</v>
      </c>
      <c r="AQ329" s="166">
        <v>0</v>
      </c>
      <c r="AR329" s="166">
        <v>0</v>
      </c>
      <c r="AS329" s="166">
        <v>0</v>
      </c>
      <c r="AT329" s="166">
        <v>0</v>
      </c>
      <c r="AU329" s="166">
        <v>0</v>
      </c>
      <c r="AV329" s="166">
        <v>0</v>
      </c>
      <c r="AW329" s="166">
        <v>2</v>
      </c>
      <c r="AX329" s="166">
        <v>0</v>
      </c>
      <c r="AY329" s="166">
        <v>0</v>
      </c>
      <c r="AZ329" s="166">
        <v>0</v>
      </c>
      <c r="BA329" s="166">
        <v>0</v>
      </c>
      <c r="BB329" s="166">
        <v>0</v>
      </c>
      <c r="BC329" s="166">
        <v>0</v>
      </c>
      <c r="BD329" s="166">
        <v>0</v>
      </c>
      <c r="BE329" s="166">
        <v>0</v>
      </c>
      <c r="BF329" s="166">
        <v>0</v>
      </c>
      <c r="BG329" s="166">
        <v>0</v>
      </c>
      <c r="BH329" s="166">
        <v>0</v>
      </c>
      <c r="BI329" s="166">
        <v>0</v>
      </c>
      <c r="BJ329" s="166">
        <v>0</v>
      </c>
      <c r="BK329" s="166">
        <v>0</v>
      </c>
      <c r="BL329" s="166">
        <v>0</v>
      </c>
      <c r="BM329" s="166">
        <v>0</v>
      </c>
      <c r="BN329" s="166">
        <v>0</v>
      </c>
      <c r="BO329" s="166">
        <v>0</v>
      </c>
      <c r="BP329" s="166">
        <v>0</v>
      </c>
      <c r="BQ329" s="81" t="s">
        <v>1758</v>
      </c>
      <c r="BY329" s="81" t="s">
        <v>155</v>
      </c>
      <c r="BZ329" s="81" t="s">
        <v>155</v>
      </c>
      <c r="CA329" s="81" t="s">
        <v>3981</v>
      </c>
      <c r="CC329" s="167">
        <v>0</v>
      </c>
      <c r="CD329" s="167">
        <f>$N329/2</f>
        <v>1</v>
      </c>
      <c r="CE329" s="167">
        <f>$N329/2</f>
        <v>1</v>
      </c>
      <c r="CF329" s="167">
        <v>0</v>
      </c>
      <c r="CG329" s="167">
        <v>0</v>
      </c>
      <c r="CH329" s="167">
        <v>0</v>
      </c>
      <c r="CI329" s="167">
        <v>0</v>
      </c>
      <c r="CJ329" s="167">
        <v>0</v>
      </c>
      <c r="CK329" s="167">
        <v>0</v>
      </c>
      <c r="CL329" s="167">
        <v>0</v>
      </c>
      <c r="CM329" s="167">
        <v>0</v>
      </c>
      <c r="CN329" s="167">
        <v>0</v>
      </c>
      <c r="CO329" s="167">
        <v>0</v>
      </c>
      <c r="CP329" s="167">
        <v>0</v>
      </c>
      <c r="CQ329" s="167">
        <v>0</v>
      </c>
      <c r="CR329" s="167">
        <v>0</v>
      </c>
      <c r="CS329" s="167">
        <v>0</v>
      </c>
      <c r="CT329" s="167">
        <v>0</v>
      </c>
      <c r="CU329" s="167">
        <v>0</v>
      </c>
      <c r="CV329" s="167">
        <v>0</v>
      </c>
      <c r="CW329" s="167">
        <v>0</v>
      </c>
      <c r="CX329" s="167">
        <f>SUM(CD329:CH329)</f>
        <v>2</v>
      </c>
      <c r="CY329" s="167">
        <f>SUM(CD329:CM329)</f>
        <v>2</v>
      </c>
    </row>
    <row r="330" spans="1:103" ht="12.75" customHeight="1" x14ac:dyDescent="0.2">
      <c r="A330" s="81">
        <v>2825</v>
      </c>
      <c r="B330" s="165" t="s">
        <v>1908</v>
      </c>
      <c r="C330" s="165" t="s">
        <v>1076</v>
      </c>
      <c r="E330" s="165" t="s">
        <v>2305</v>
      </c>
      <c r="G330" s="81">
        <v>527106</v>
      </c>
      <c r="H330" s="81">
        <v>173327</v>
      </c>
      <c r="I330" s="165" t="s">
        <v>260</v>
      </c>
      <c r="J330" s="349">
        <v>42825</v>
      </c>
      <c r="L330" s="166">
        <v>1</v>
      </c>
      <c r="M330" s="166">
        <v>1</v>
      </c>
      <c r="N330" s="166">
        <v>0</v>
      </c>
      <c r="O330" s="166">
        <v>1</v>
      </c>
      <c r="P330" s="166">
        <v>0</v>
      </c>
      <c r="R330" s="165" t="s">
        <v>1077</v>
      </c>
      <c r="S330" s="81" t="s">
        <v>113</v>
      </c>
      <c r="T330" s="349">
        <v>42692</v>
      </c>
      <c r="U330" s="349">
        <v>42824</v>
      </c>
      <c r="W330" s="81" t="s">
        <v>114</v>
      </c>
      <c r="Y330" s="81" t="s">
        <v>115</v>
      </c>
      <c r="Z330" s="81" t="s">
        <v>116</v>
      </c>
      <c r="AA330" s="81" t="s">
        <v>117</v>
      </c>
      <c r="AB330" s="81" t="s">
        <v>218</v>
      </c>
      <c r="AC330" s="166">
        <v>9.3000002205371898E-2</v>
      </c>
      <c r="AD330" s="349">
        <v>42825</v>
      </c>
      <c r="AG330" s="81" t="s">
        <v>238</v>
      </c>
      <c r="AH330" s="81" t="s">
        <v>118</v>
      </c>
      <c r="AK330" s="166">
        <v>0</v>
      </c>
      <c r="AM330" s="166">
        <v>0</v>
      </c>
      <c r="AO330" s="166">
        <v>0</v>
      </c>
      <c r="AP330" s="166">
        <v>0</v>
      </c>
      <c r="AQ330" s="166">
        <v>0</v>
      </c>
      <c r="AR330" s="166">
        <v>0</v>
      </c>
      <c r="AS330" s="166">
        <v>0</v>
      </c>
      <c r="AT330" s="166">
        <v>0</v>
      </c>
      <c r="AU330" s="166">
        <v>0</v>
      </c>
      <c r="AV330" s="166">
        <v>0</v>
      </c>
      <c r="AW330" s="166">
        <v>0</v>
      </c>
      <c r="AX330" s="166">
        <v>0</v>
      </c>
      <c r="AY330" s="166">
        <v>0</v>
      </c>
      <c r="AZ330" s="166">
        <v>0</v>
      </c>
      <c r="BA330" s="166">
        <v>0</v>
      </c>
      <c r="BB330" s="166">
        <v>0</v>
      </c>
      <c r="BC330" s="166">
        <v>0</v>
      </c>
      <c r="BD330" s="166">
        <v>0</v>
      </c>
      <c r="BE330" s="166">
        <v>0</v>
      </c>
      <c r="BF330" s="166">
        <v>0</v>
      </c>
      <c r="BG330" s="166">
        <v>0</v>
      </c>
      <c r="BH330" s="166">
        <v>0</v>
      </c>
      <c r="BI330" s="166">
        <v>0</v>
      </c>
      <c r="BJ330" s="166">
        <v>0</v>
      </c>
      <c r="BK330" s="166">
        <v>0</v>
      </c>
      <c r="BL330" s="166">
        <v>0</v>
      </c>
      <c r="BM330" s="166">
        <v>0</v>
      </c>
      <c r="BN330" s="166">
        <v>0</v>
      </c>
      <c r="BO330" s="166">
        <v>0</v>
      </c>
      <c r="BP330" s="166">
        <v>0</v>
      </c>
      <c r="BQ330" s="81" t="s">
        <v>1758</v>
      </c>
      <c r="BZ330" s="81" t="s">
        <v>155</v>
      </c>
      <c r="CA330" s="81" t="s">
        <v>3976</v>
      </c>
      <c r="CC330" s="167">
        <v>0</v>
      </c>
      <c r="CD330" s="167">
        <f>N330</f>
        <v>0</v>
      </c>
      <c r="CE330" s="167">
        <v>0</v>
      </c>
      <c r="CF330" s="167">
        <v>0</v>
      </c>
      <c r="CG330" s="167">
        <v>0</v>
      </c>
      <c r="CH330" s="167">
        <v>0</v>
      </c>
      <c r="CI330" s="167">
        <v>0</v>
      </c>
      <c r="CJ330" s="167">
        <v>0</v>
      </c>
      <c r="CK330" s="167">
        <v>0</v>
      </c>
      <c r="CL330" s="167">
        <v>0</v>
      </c>
      <c r="CM330" s="167">
        <v>0</v>
      </c>
      <c r="CN330" s="167">
        <v>0</v>
      </c>
      <c r="CO330" s="167">
        <v>0</v>
      </c>
      <c r="CP330" s="167">
        <v>0</v>
      </c>
      <c r="CQ330" s="167">
        <v>0</v>
      </c>
      <c r="CR330" s="167">
        <v>0</v>
      </c>
      <c r="CS330" s="167">
        <v>0</v>
      </c>
      <c r="CT330" s="167">
        <v>0</v>
      </c>
      <c r="CU330" s="167">
        <v>0</v>
      </c>
      <c r="CV330" s="167">
        <v>0</v>
      </c>
      <c r="CW330" s="167">
        <v>0</v>
      </c>
      <c r="CX330" s="167">
        <f>SUM(CD330:CH330)</f>
        <v>0</v>
      </c>
      <c r="CY330" s="167">
        <f>SUM(CD330:CM330)</f>
        <v>0</v>
      </c>
    </row>
    <row r="331" spans="1:103" ht="12.75" customHeight="1" x14ac:dyDescent="0.2">
      <c r="A331" s="81">
        <v>3035</v>
      </c>
      <c r="B331" s="165" t="s">
        <v>1908</v>
      </c>
      <c r="C331" s="165" t="s">
        <v>107</v>
      </c>
      <c r="E331" s="165" t="s">
        <v>2080</v>
      </c>
      <c r="G331" s="81">
        <v>524067</v>
      </c>
      <c r="H331" s="81">
        <v>175351</v>
      </c>
      <c r="I331" s="165" t="s">
        <v>259</v>
      </c>
      <c r="J331" s="349">
        <v>42270</v>
      </c>
      <c r="L331" s="166">
        <v>7</v>
      </c>
      <c r="M331" s="166">
        <v>12</v>
      </c>
      <c r="N331" s="166">
        <v>5</v>
      </c>
      <c r="O331" s="166">
        <v>12</v>
      </c>
      <c r="P331" s="166">
        <v>5</v>
      </c>
      <c r="Q331" s="81" t="s">
        <v>155</v>
      </c>
      <c r="R331" s="165" t="s">
        <v>744</v>
      </c>
      <c r="S331" s="81" t="s">
        <v>113</v>
      </c>
      <c r="T331" s="349">
        <v>41347</v>
      </c>
      <c r="U331" s="349">
        <v>41404</v>
      </c>
      <c r="W331" s="81" t="s">
        <v>114</v>
      </c>
      <c r="Y331" s="81" t="s">
        <v>115</v>
      </c>
      <c r="Z331" s="81" t="s">
        <v>398</v>
      </c>
      <c r="AA331" s="81" t="s">
        <v>116</v>
      </c>
      <c r="AB331" s="81" t="s">
        <v>117</v>
      </c>
      <c r="AC331" s="166">
        <v>1.09999999403954E-2</v>
      </c>
      <c r="AD331" s="349">
        <v>42270</v>
      </c>
      <c r="AG331" s="81" t="s">
        <v>238</v>
      </c>
      <c r="AH331" s="81" t="s">
        <v>118</v>
      </c>
      <c r="AK331" s="166">
        <v>0</v>
      </c>
      <c r="AM331" s="166">
        <v>0</v>
      </c>
      <c r="AO331" s="166">
        <v>0</v>
      </c>
      <c r="AP331" s="166">
        <v>5</v>
      </c>
      <c r="AQ331" s="166">
        <v>2</v>
      </c>
      <c r="AR331" s="166">
        <v>-1</v>
      </c>
      <c r="AS331" s="166">
        <v>-1</v>
      </c>
      <c r="AT331" s="166">
        <v>0</v>
      </c>
      <c r="AU331" s="166">
        <v>0</v>
      </c>
      <c r="AV331" s="166">
        <v>0</v>
      </c>
      <c r="AW331" s="166">
        <v>5</v>
      </c>
      <c r="AX331" s="166">
        <v>2</v>
      </c>
      <c r="AY331" s="166">
        <v>-1</v>
      </c>
      <c r="AZ331" s="166">
        <v>-1</v>
      </c>
      <c r="BA331" s="166">
        <v>0</v>
      </c>
      <c r="BB331" s="166">
        <v>0</v>
      </c>
      <c r="BC331" s="166">
        <v>0</v>
      </c>
      <c r="BD331" s="166">
        <v>0</v>
      </c>
      <c r="BE331" s="166">
        <v>0</v>
      </c>
      <c r="BF331" s="166">
        <v>0</v>
      </c>
      <c r="BG331" s="166">
        <v>0</v>
      </c>
      <c r="BH331" s="166">
        <v>0</v>
      </c>
      <c r="BI331" s="166">
        <v>0</v>
      </c>
      <c r="BJ331" s="166">
        <v>0</v>
      </c>
      <c r="BK331" s="166">
        <v>0</v>
      </c>
      <c r="BL331" s="166">
        <v>0</v>
      </c>
      <c r="BM331" s="166">
        <v>0</v>
      </c>
      <c r="BN331" s="166">
        <v>0</v>
      </c>
      <c r="BO331" s="166">
        <v>0</v>
      </c>
      <c r="BP331" s="166">
        <v>0</v>
      </c>
      <c r="BQ331" s="81" t="s">
        <v>1758</v>
      </c>
      <c r="BR331" s="81" t="s">
        <v>161</v>
      </c>
      <c r="BZ331" s="81" t="s">
        <v>155</v>
      </c>
      <c r="CA331" s="81" t="s">
        <v>3976</v>
      </c>
      <c r="CC331" s="167">
        <v>0</v>
      </c>
      <c r="CD331" s="167">
        <f>N331</f>
        <v>5</v>
      </c>
      <c r="CE331" s="167">
        <v>0</v>
      </c>
      <c r="CF331" s="167">
        <v>0</v>
      </c>
      <c r="CG331" s="167">
        <v>0</v>
      </c>
      <c r="CH331" s="167">
        <v>0</v>
      </c>
      <c r="CI331" s="167">
        <v>0</v>
      </c>
      <c r="CJ331" s="167">
        <v>0</v>
      </c>
      <c r="CK331" s="167">
        <v>0</v>
      </c>
      <c r="CL331" s="167">
        <v>0</v>
      </c>
      <c r="CM331" s="167">
        <v>0</v>
      </c>
      <c r="CN331" s="167">
        <v>0</v>
      </c>
      <c r="CO331" s="167">
        <v>0</v>
      </c>
      <c r="CP331" s="167">
        <v>0</v>
      </c>
      <c r="CQ331" s="167">
        <v>0</v>
      </c>
      <c r="CR331" s="167">
        <v>0</v>
      </c>
      <c r="CS331" s="167">
        <v>0</v>
      </c>
      <c r="CT331" s="167">
        <v>0</v>
      </c>
      <c r="CU331" s="167">
        <v>0</v>
      </c>
      <c r="CV331" s="167">
        <v>0</v>
      </c>
      <c r="CW331" s="167">
        <v>0</v>
      </c>
      <c r="CX331" s="167">
        <f>SUM(CD331:CH331)</f>
        <v>5</v>
      </c>
      <c r="CY331" s="167">
        <f>SUM(CD331:CM331)</f>
        <v>5</v>
      </c>
    </row>
    <row r="332" spans="1:103" ht="12.75" customHeight="1" x14ac:dyDescent="0.2">
      <c r="A332" s="81">
        <v>3265</v>
      </c>
      <c r="B332" s="165" t="s">
        <v>1908</v>
      </c>
      <c r="C332" s="165" t="s">
        <v>3411</v>
      </c>
      <c r="E332" s="165" t="s">
        <v>3412</v>
      </c>
      <c r="G332" s="81">
        <v>524466</v>
      </c>
      <c r="H332" s="81">
        <v>175195</v>
      </c>
      <c r="I332" s="165" t="s">
        <v>259</v>
      </c>
      <c r="J332" s="349">
        <v>43190</v>
      </c>
      <c r="L332" s="166">
        <v>0</v>
      </c>
      <c r="M332" s="166">
        <v>1</v>
      </c>
      <c r="N332" s="166">
        <v>1</v>
      </c>
      <c r="O332" s="166">
        <v>1</v>
      </c>
      <c r="P332" s="166">
        <v>1</v>
      </c>
      <c r="R332" s="165" t="s">
        <v>3413</v>
      </c>
      <c r="S332" s="81" t="s">
        <v>113</v>
      </c>
      <c r="T332" s="349">
        <v>42978</v>
      </c>
      <c r="U332" s="349">
        <v>43034</v>
      </c>
      <c r="V332" s="81" t="s">
        <v>155</v>
      </c>
      <c r="W332" s="81" t="s">
        <v>114</v>
      </c>
      <c r="Y332" s="81" t="s">
        <v>115</v>
      </c>
      <c r="Z332" s="81" t="s">
        <v>398</v>
      </c>
      <c r="AA332" s="81" t="s">
        <v>117</v>
      </c>
      <c r="AB332" s="81" t="s">
        <v>399</v>
      </c>
      <c r="AC332" s="166">
        <v>1.9999999552965199E-2</v>
      </c>
      <c r="AD332" s="349">
        <v>43190</v>
      </c>
      <c r="AE332" s="81" t="s">
        <v>155</v>
      </c>
      <c r="AG332" s="81" t="s">
        <v>238</v>
      </c>
      <c r="AH332" s="81" t="s">
        <v>118</v>
      </c>
      <c r="AK332" s="166">
        <v>0</v>
      </c>
      <c r="AM332" s="166">
        <v>0</v>
      </c>
      <c r="AO332" s="166">
        <v>0</v>
      </c>
      <c r="AP332" s="166">
        <v>0</v>
      </c>
      <c r="AQ332" s="166">
        <v>0</v>
      </c>
      <c r="AR332" s="166">
        <v>0</v>
      </c>
      <c r="AS332" s="166">
        <v>1</v>
      </c>
      <c r="AT332" s="166">
        <v>0</v>
      </c>
      <c r="AU332" s="166">
        <v>0</v>
      </c>
      <c r="AV332" s="166">
        <v>0</v>
      </c>
      <c r="AW332" s="166">
        <v>0</v>
      </c>
      <c r="AX332" s="166">
        <v>0</v>
      </c>
      <c r="AY332" s="166">
        <v>0</v>
      </c>
      <c r="AZ332" s="166">
        <v>0</v>
      </c>
      <c r="BA332" s="166">
        <v>0</v>
      </c>
      <c r="BB332" s="166">
        <v>0</v>
      </c>
      <c r="BC332" s="166">
        <v>0</v>
      </c>
      <c r="BD332" s="166">
        <v>0</v>
      </c>
      <c r="BE332" s="166">
        <v>0</v>
      </c>
      <c r="BF332" s="166">
        <v>0</v>
      </c>
      <c r="BG332" s="166">
        <v>1</v>
      </c>
      <c r="BH332" s="166">
        <v>0</v>
      </c>
      <c r="BI332" s="166">
        <v>0</v>
      </c>
      <c r="BJ332" s="166">
        <v>0</v>
      </c>
      <c r="BK332" s="166">
        <v>0</v>
      </c>
      <c r="BL332" s="166">
        <v>0</v>
      </c>
      <c r="BM332" s="166">
        <v>0</v>
      </c>
      <c r="BN332" s="166">
        <v>0</v>
      </c>
      <c r="BO332" s="166">
        <v>0</v>
      </c>
      <c r="BP332" s="166">
        <v>0</v>
      </c>
      <c r="BQ332" s="81" t="s">
        <v>1758</v>
      </c>
      <c r="BZ332" s="81" t="s">
        <v>155</v>
      </c>
      <c r="CA332" s="81" t="s">
        <v>3981</v>
      </c>
      <c r="CC332" s="167">
        <v>0</v>
      </c>
      <c r="CD332" s="167">
        <f>$N332/2</f>
        <v>0.5</v>
      </c>
      <c r="CE332" s="167">
        <f>$N332/2</f>
        <v>0.5</v>
      </c>
      <c r="CF332" s="167">
        <v>0</v>
      </c>
      <c r="CG332" s="167">
        <v>0</v>
      </c>
      <c r="CH332" s="167">
        <v>0</v>
      </c>
      <c r="CI332" s="167">
        <v>0</v>
      </c>
      <c r="CJ332" s="167">
        <v>0</v>
      </c>
      <c r="CK332" s="167">
        <v>0</v>
      </c>
      <c r="CL332" s="167">
        <v>0</v>
      </c>
      <c r="CM332" s="167">
        <v>0</v>
      </c>
      <c r="CN332" s="167">
        <v>0</v>
      </c>
      <c r="CO332" s="167">
        <v>0</v>
      </c>
      <c r="CP332" s="167">
        <v>0</v>
      </c>
      <c r="CQ332" s="167">
        <v>0</v>
      </c>
      <c r="CR332" s="167">
        <v>0</v>
      </c>
      <c r="CS332" s="167">
        <v>0</v>
      </c>
      <c r="CT332" s="167">
        <v>0</v>
      </c>
      <c r="CU332" s="167">
        <v>0</v>
      </c>
      <c r="CV332" s="167">
        <v>0</v>
      </c>
      <c r="CW332" s="167">
        <v>0</v>
      </c>
      <c r="CX332" s="167">
        <f>SUM(CD332:CH332)</f>
        <v>1</v>
      </c>
      <c r="CY332" s="167">
        <f>SUM(CD332:CM332)</f>
        <v>1</v>
      </c>
    </row>
    <row r="333" spans="1:103" x14ac:dyDescent="0.2">
      <c r="A333" s="81">
        <v>3266</v>
      </c>
      <c r="B333" s="165" t="s">
        <v>1908</v>
      </c>
      <c r="C333" s="165" t="s">
        <v>594</v>
      </c>
      <c r="E333" s="165" t="s">
        <v>2372</v>
      </c>
      <c r="G333" s="81">
        <v>526086</v>
      </c>
      <c r="H333" s="81">
        <v>172456</v>
      </c>
      <c r="I333" s="165" t="s">
        <v>249</v>
      </c>
      <c r="J333" s="349">
        <v>43190</v>
      </c>
      <c r="L333" s="166">
        <v>0</v>
      </c>
      <c r="M333" s="166">
        <v>8</v>
      </c>
      <c r="N333" s="166">
        <v>8</v>
      </c>
      <c r="O333" s="166">
        <v>8</v>
      </c>
      <c r="P333" s="166">
        <v>8</v>
      </c>
      <c r="R333" s="165" t="s">
        <v>595</v>
      </c>
      <c r="S333" s="81" t="s">
        <v>113</v>
      </c>
      <c r="T333" s="349">
        <v>42170</v>
      </c>
      <c r="U333" s="349">
        <v>42264</v>
      </c>
      <c r="W333" s="81" t="s">
        <v>114</v>
      </c>
      <c r="Y333" s="81" t="s">
        <v>115</v>
      </c>
      <c r="Z333" s="81" t="s">
        <v>116</v>
      </c>
      <c r="AA333" s="81" t="s">
        <v>117</v>
      </c>
      <c r="AB333" s="81" t="s">
        <v>218</v>
      </c>
      <c r="AC333" s="166">
        <v>2.8000000864267301E-2</v>
      </c>
      <c r="AD333" s="349">
        <v>43190</v>
      </c>
      <c r="AE333" s="81" t="s">
        <v>155</v>
      </c>
      <c r="AG333" s="81" t="s">
        <v>238</v>
      </c>
      <c r="AH333" s="81" t="s">
        <v>118</v>
      </c>
      <c r="AK333" s="166">
        <v>8</v>
      </c>
      <c r="AM333" s="166">
        <v>0</v>
      </c>
      <c r="AO333" s="166">
        <v>0</v>
      </c>
      <c r="AP333" s="166">
        <v>4</v>
      </c>
      <c r="AQ333" s="166">
        <v>3</v>
      </c>
      <c r="AR333" s="166">
        <v>1</v>
      </c>
      <c r="AS333" s="166">
        <v>0</v>
      </c>
      <c r="AT333" s="166">
        <v>0</v>
      </c>
      <c r="AU333" s="166">
        <v>0</v>
      </c>
      <c r="AV333" s="166">
        <v>0</v>
      </c>
      <c r="AW333" s="166">
        <v>4</v>
      </c>
      <c r="AX333" s="166">
        <v>3</v>
      </c>
      <c r="AY333" s="166">
        <v>1</v>
      </c>
      <c r="AZ333" s="166">
        <v>0</v>
      </c>
      <c r="BA333" s="166">
        <v>0</v>
      </c>
      <c r="BB333" s="166">
        <v>0</v>
      </c>
      <c r="BC333" s="166">
        <v>0</v>
      </c>
      <c r="BD333" s="166">
        <v>0</v>
      </c>
      <c r="BE333" s="166">
        <v>0</v>
      </c>
      <c r="BF333" s="166">
        <v>0</v>
      </c>
      <c r="BG333" s="166">
        <v>0</v>
      </c>
      <c r="BH333" s="166">
        <v>0</v>
      </c>
      <c r="BI333" s="166">
        <v>0</v>
      </c>
      <c r="BJ333" s="166">
        <v>0</v>
      </c>
      <c r="BK333" s="166">
        <v>0</v>
      </c>
      <c r="BL333" s="166">
        <v>0</v>
      </c>
      <c r="BM333" s="166">
        <v>0</v>
      </c>
      <c r="BN333" s="166">
        <v>0</v>
      </c>
      <c r="BO333" s="166">
        <v>0</v>
      </c>
      <c r="BP333" s="166">
        <v>0</v>
      </c>
      <c r="BQ333" s="81" t="s">
        <v>1758</v>
      </c>
      <c r="BY333" s="81" t="s">
        <v>155</v>
      </c>
      <c r="BZ333" s="81" t="s">
        <v>155</v>
      </c>
      <c r="CA333" s="81" t="s">
        <v>3977</v>
      </c>
      <c r="CC333" s="167">
        <v>0</v>
      </c>
      <c r="CD333" s="167">
        <f>$N333/2</f>
        <v>4</v>
      </c>
      <c r="CE333" s="167">
        <f>$N333/2</f>
        <v>4</v>
      </c>
      <c r="CF333" s="167">
        <v>0</v>
      </c>
      <c r="CG333" s="167">
        <v>0</v>
      </c>
      <c r="CH333" s="167">
        <v>0</v>
      </c>
      <c r="CI333" s="167">
        <v>0</v>
      </c>
      <c r="CJ333" s="167">
        <v>0</v>
      </c>
      <c r="CK333" s="167">
        <v>0</v>
      </c>
      <c r="CL333" s="167">
        <v>0</v>
      </c>
      <c r="CM333" s="167">
        <v>0</v>
      </c>
      <c r="CN333" s="167">
        <v>0</v>
      </c>
      <c r="CO333" s="167">
        <v>0</v>
      </c>
      <c r="CP333" s="167">
        <v>0</v>
      </c>
      <c r="CQ333" s="167">
        <v>0</v>
      </c>
      <c r="CR333" s="167">
        <v>0</v>
      </c>
      <c r="CS333" s="167">
        <v>0</v>
      </c>
      <c r="CT333" s="167">
        <v>0</v>
      </c>
      <c r="CU333" s="167">
        <v>0</v>
      </c>
      <c r="CV333" s="167">
        <v>0</v>
      </c>
      <c r="CW333" s="167">
        <v>0</v>
      </c>
      <c r="CX333" s="167">
        <f>SUM(CD333:CH333)</f>
        <v>8</v>
      </c>
      <c r="CY333" s="167">
        <f>SUM(CD333:CM333)</f>
        <v>8</v>
      </c>
    </row>
    <row r="334" spans="1:103" ht="12.75" customHeight="1" x14ac:dyDescent="0.2">
      <c r="A334" s="81">
        <v>3415</v>
      </c>
      <c r="B334" s="165" t="s">
        <v>1908</v>
      </c>
      <c r="C334" s="165" t="s">
        <v>1703</v>
      </c>
      <c r="E334" s="165" t="s">
        <v>3414</v>
      </c>
      <c r="G334" s="81">
        <v>528454</v>
      </c>
      <c r="H334" s="81">
        <v>173134</v>
      </c>
      <c r="I334" s="165" t="s">
        <v>254</v>
      </c>
      <c r="J334" s="349">
        <v>42879</v>
      </c>
      <c r="L334" s="166">
        <v>3</v>
      </c>
      <c r="M334" s="166">
        <v>4</v>
      </c>
      <c r="N334" s="166">
        <v>1</v>
      </c>
      <c r="O334" s="166">
        <v>4</v>
      </c>
      <c r="P334" s="166">
        <v>1</v>
      </c>
      <c r="R334" s="165" t="s">
        <v>1704</v>
      </c>
      <c r="S334" s="81" t="s">
        <v>113</v>
      </c>
      <c r="T334" s="349">
        <v>42529</v>
      </c>
      <c r="U334" s="349">
        <v>42585</v>
      </c>
      <c r="W334" s="81" t="s">
        <v>114</v>
      </c>
      <c r="Y334" s="81" t="s">
        <v>115</v>
      </c>
      <c r="Z334" s="81" t="s">
        <v>398</v>
      </c>
      <c r="AA334" s="81" t="s">
        <v>117</v>
      </c>
      <c r="AB334" s="81" t="s">
        <v>220</v>
      </c>
      <c r="AC334" s="166">
        <v>9.9999997764825804E-3</v>
      </c>
      <c r="AD334" s="349">
        <v>42879</v>
      </c>
      <c r="AE334" s="81" t="s">
        <v>155</v>
      </c>
      <c r="AG334" s="81" t="s">
        <v>238</v>
      </c>
      <c r="AH334" s="81" t="s">
        <v>118</v>
      </c>
      <c r="AK334" s="166">
        <v>0</v>
      </c>
      <c r="AM334" s="166">
        <v>0</v>
      </c>
      <c r="AO334" s="166">
        <v>0</v>
      </c>
      <c r="AP334" s="166">
        <v>-1</v>
      </c>
      <c r="AQ334" s="166">
        <v>2</v>
      </c>
      <c r="AR334" s="166">
        <v>0</v>
      </c>
      <c r="AS334" s="166">
        <v>0</v>
      </c>
      <c r="AT334" s="166">
        <v>0</v>
      </c>
      <c r="AU334" s="166">
        <v>0</v>
      </c>
      <c r="AV334" s="166">
        <v>0</v>
      </c>
      <c r="AW334" s="166">
        <v>-1</v>
      </c>
      <c r="AX334" s="166">
        <v>2</v>
      </c>
      <c r="AY334" s="166">
        <v>0</v>
      </c>
      <c r="AZ334" s="166">
        <v>0</v>
      </c>
      <c r="BA334" s="166">
        <v>0</v>
      </c>
      <c r="BB334" s="166">
        <v>0</v>
      </c>
      <c r="BC334" s="166">
        <v>0</v>
      </c>
      <c r="BD334" s="166">
        <v>0</v>
      </c>
      <c r="BE334" s="166">
        <v>0</v>
      </c>
      <c r="BF334" s="166">
        <v>0</v>
      </c>
      <c r="BG334" s="166">
        <v>0</v>
      </c>
      <c r="BH334" s="166">
        <v>0</v>
      </c>
      <c r="BI334" s="166">
        <v>0</v>
      </c>
      <c r="BJ334" s="166">
        <v>0</v>
      </c>
      <c r="BK334" s="166">
        <v>0</v>
      </c>
      <c r="BL334" s="166">
        <v>0</v>
      </c>
      <c r="BM334" s="166">
        <v>0</v>
      </c>
      <c r="BN334" s="166">
        <v>0</v>
      </c>
      <c r="BO334" s="166">
        <v>0</v>
      </c>
      <c r="BP334" s="166">
        <v>0</v>
      </c>
      <c r="BQ334" s="81" t="s">
        <v>1757</v>
      </c>
      <c r="BZ334" s="81" t="s">
        <v>155</v>
      </c>
      <c r="CA334" s="81" t="s">
        <v>3980</v>
      </c>
      <c r="CC334" s="167">
        <v>0</v>
      </c>
      <c r="CD334" s="167">
        <f>N334</f>
        <v>1</v>
      </c>
      <c r="CE334" s="167">
        <v>0</v>
      </c>
      <c r="CF334" s="167">
        <v>0</v>
      </c>
      <c r="CG334" s="167">
        <v>0</v>
      </c>
      <c r="CH334" s="167">
        <v>0</v>
      </c>
      <c r="CI334" s="167">
        <v>0</v>
      </c>
      <c r="CJ334" s="167">
        <v>0</v>
      </c>
      <c r="CK334" s="167">
        <v>0</v>
      </c>
      <c r="CL334" s="167">
        <v>0</v>
      </c>
      <c r="CM334" s="167">
        <v>0</v>
      </c>
      <c r="CN334" s="167">
        <v>0</v>
      </c>
      <c r="CO334" s="167">
        <v>0</v>
      </c>
      <c r="CP334" s="167">
        <v>0</v>
      </c>
      <c r="CQ334" s="167">
        <v>0</v>
      </c>
      <c r="CR334" s="167">
        <v>0</v>
      </c>
      <c r="CS334" s="167">
        <v>0</v>
      </c>
      <c r="CT334" s="167">
        <v>0</v>
      </c>
      <c r="CU334" s="167">
        <v>0</v>
      </c>
      <c r="CV334" s="167">
        <v>0</v>
      </c>
      <c r="CW334" s="167">
        <v>0</v>
      </c>
      <c r="CX334" s="167">
        <f>SUM(CD334:CH334)</f>
        <v>1</v>
      </c>
      <c r="CY334" s="167">
        <f>SUM(CD334:CM334)</f>
        <v>1</v>
      </c>
    </row>
    <row r="335" spans="1:103" x14ac:dyDescent="0.2">
      <c r="A335" s="81">
        <v>3501</v>
      </c>
      <c r="B335" s="165" t="s">
        <v>1908</v>
      </c>
      <c r="C335" s="165" t="s">
        <v>442</v>
      </c>
      <c r="E335" s="165" t="s">
        <v>2081</v>
      </c>
      <c r="F335" s="165" t="s">
        <v>2373</v>
      </c>
      <c r="G335" s="81">
        <v>526469</v>
      </c>
      <c r="H335" s="81">
        <v>175635</v>
      </c>
      <c r="I335" s="165" t="s">
        <v>257</v>
      </c>
      <c r="J335" s="349">
        <v>42275</v>
      </c>
      <c r="L335" s="166">
        <v>0</v>
      </c>
      <c r="M335" s="166">
        <v>29</v>
      </c>
      <c r="N335" s="166">
        <v>29</v>
      </c>
      <c r="O335" s="166">
        <v>51</v>
      </c>
      <c r="P335" s="166">
        <v>51</v>
      </c>
      <c r="Q335" s="81" t="s">
        <v>155</v>
      </c>
      <c r="R335" s="165" t="s">
        <v>754</v>
      </c>
      <c r="S335" s="81" t="s">
        <v>104</v>
      </c>
      <c r="T335" s="349">
        <v>41862</v>
      </c>
      <c r="U335" s="349">
        <v>42179</v>
      </c>
      <c r="W335" s="81" t="s">
        <v>114</v>
      </c>
      <c r="Y335" s="81" t="s">
        <v>115</v>
      </c>
      <c r="Z335" s="81" t="s">
        <v>116</v>
      </c>
      <c r="AA335" s="81" t="s">
        <v>116</v>
      </c>
      <c r="AB335" s="81" t="s">
        <v>117</v>
      </c>
      <c r="AC335" s="166">
        <v>7.0000000298023196E-2</v>
      </c>
      <c r="AD335" s="349">
        <v>42275</v>
      </c>
      <c r="AG335" s="81" t="s">
        <v>238</v>
      </c>
      <c r="AH335" s="81" t="s">
        <v>118</v>
      </c>
      <c r="AI335" s="81" t="s">
        <v>2083</v>
      </c>
      <c r="AK335" s="166">
        <v>29</v>
      </c>
      <c r="AM335" s="166">
        <v>0</v>
      </c>
      <c r="AO335" s="166">
        <v>0</v>
      </c>
      <c r="AP335" s="166">
        <v>9</v>
      </c>
      <c r="AQ335" s="166">
        <v>18</v>
      </c>
      <c r="AR335" s="166">
        <v>2</v>
      </c>
      <c r="AS335" s="166">
        <v>0</v>
      </c>
      <c r="AT335" s="166">
        <v>0</v>
      </c>
      <c r="AU335" s="166">
        <v>0</v>
      </c>
      <c r="AV335" s="166">
        <v>0</v>
      </c>
      <c r="AW335" s="166">
        <v>9</v>
      </c>
      <c r="AX335" s="166">
        <v>18</v>
      </c>
      <c r="AY335" s="166">
        <v>2</v>
      </c>
      <c r="AZ335" s="166">
        <v>0</v>
      </c>
      <c r="BA335" s="166">
        <v>0</v>
      </c>
      <c r="BB335" s="166">
        <v>0</v>
      </c>
      <c r="BC335" s="166">
        <v>0</v>
      </c>
      <c r="BD335" s="166">
        <v>0</v>
      </c>
      <c r="BE335" s="166">
        <v>0</v>
      </c>
      <c r="BF335" s="166">
        <v>0</v>
      </c>
      <c r="BG335" s="166">
        <v>0</v>
      </c>
      <c r="BH335" s="166">
        <v>0</v>
      </c>
      <c r="BI335" s="166">
        <v>0</v>
      </c>
      <c r="BJ335" s="166">
        <v>0</v>
      </c>
      <c r="BK335" s="166">
        <v>0</v>
      </c>
      <c r="BL335" s="166">
        <v>0</v>
      </c>
      <c r="BM335" s="166">
        <v>0</v>
      </c>
      <c r="BN335" s="166">
        <v>0</v>
      </c>
      <c r="BO335" s="166">
        <v>0</v>
      </c>
      <c r="BP335" s="166">
        <v>0</v>
      </c>
      <c r="BQ335" s="81" t="s">
        <v>1757</v>
      </c>
      <c r="BX335" s="81" t="s">
        <v>155</v>
      </c>
      <c r="BZ335" s="81" t="s">
        <v>155</v>
      </c>
      <c r="CA335" s="81" t="s">
        <v>3934</v>
      </c>
      <c r="CC335" s="167">
        <v>0</v>
      </c>
      <c r="CD335" s="167">
        <f>N335</f>
        <v>29</v>
      </c>
      <c r="CE335" s="167">
        <v>0</v>
      </c>
      <c r="CF335" s="167">
        <v>0</v>
      </c>
      <c r="CG335" s="167">
        <v>0</v>
      </c>
      <c r="CH335" s="167">
        <v>0</v>
      </c>
      <c r="CI335" s="167">
        <v>0</v>
      </c>
      <c r="CJ335" s="167">
        <v>0</v>
      </c>
      <c r="CK335" s="167">
        <v>0</v>
      </c>
      <c r="CL335" s="167">
        <v>0</v>
      </c>
      <c r="CM335" s="167">
        <v>0</v>
      </c>
      <c r="CN335" s="167">
        <v>0</v>
      </c>
      <c r="CO335" s="167">
        <v>0</v>
      </c>
      <c r="CP335" s="167">
        <v>0</v>
      </c>
      <c r="CQ335" s="167">
        <v>0</v>
      </c>
      <c r="CR335" s="167">
        <v>0</v>
      </c>
      <c r="CS335" s="167">
        <v>0</v>
      </c>
      <c r="CT335" s="167">
        <v>0</v>
      </c>
      <c r="CU335" s="167">
        <v>0</v>
      </c>
      <c r="CV335" s="167">
        <v>0</v>
      </c>
      <c r="CW335" s="167">
        <v>0</v>
      </c>
      <c r="CX335" s="167">
        <f>SUM(CD335:CH335)</f>
        <v>29</v>
      </c>
      <c r="CY335" s="167">
        <f>SUM(CD335:CM335)</f>
        <v>29</v>
      </c>
    </row>
    <row r="336" spans="1:103" ht="12.75" customHeight="1" x14ac:dyDescent="0.2">
      <c r="A336" s="81">
        <v>3501</v>
      </c>
      <c r="B336" s="165" t="s">
        <v>1908</v>
      </c>
      <c r="C336" s="165" t="s">
        <v>442</v>
      </c>
      <c r="E336" s="165" t="s">
        <v>2081</v>
      </c>
      <c r="F336" s="165" t="s">
        <v>2096</v>
      </c>
      <c r="G336" s="81">
        <v>526469</v>
      </c>
      <c r="H336" s="81">
        <v>175635</v>
      </c>
      <c r="I336" s="165" t="s">
        <v>257</v>
      </c>
      <c r="J336" s="349">
        <v>42275</v>
      </c>
      <c r="L336" s="166">
        <v>0</v>
      </c>
      <c r="M336" s="166">
        <v>5</v>
      </c>
      <c r="N336" s="166">
        <v>5</v>
      </c>
      <c r="O336" s="166">
        <v>51</v>
      </c>
      <c r="P336" s="166">
        <v>51</v>
      </c>
      <c r="Q336" s="81" t="s">
        <v>155</v>
      </c>
      <c r="R336" s="165" t="s">
        <v>754</v>
      </c>
      <c r="S336" s="81" t="s">
        <v>104</v>
      </c>
      <c r="T336" s="349">
        <v>41862</v>
      </c>
      <c r="U336" s="349">
        <v>42179</v>
      </c>
      <c r="W336" s="81" t="s">
        <v>114</v>
      </c>
      <c r="Y336" s="81" t="s">
        <v>115</v>
      </c>
      <c r="Z336" s="81" t="s">
        <v>116</v>
      </c>
      <c r="AA336" s="81" t="s">
        <v>116</v>
      </c>
      <c r="AB336" s="81" t="s">
        <v>117</v>
      </c>
      <c r="AC336" s="166">
        <v>5.9999998658895499E-2</v>
      </c>
      <c r="AD336" s="349">
        <v>42275</v>
      </c>
      <c r="AG336" s="81" t="s">
        <v>238</v>
      </c>
      <c r="AH336" s="81" t="s">
        <v>118</v>
      </c>
      <c r="AI336" s="81" t="s">
        <v>2083</v>
      </c>
      <c r="AK336" s="166">
        <v>10</v>
      </c>
      <c r="AM336" s="166">
        <v>0</v>
      </c>
      <c r="AO336" s="166">
        <v>0</v>
      </c>
      <c r="AP336" s="166">
        <v>0</v>
      </c>
      <c r="AQ336" s="166">
        <v>5</v>
      </c>
      <c r="AR336" s="166">
        <v>0</v>
      </c>
      <c r="AS336" s="166">
        <v>0</v>
      </c>
      <c r="AT336" s="166">
        <v>0</v>
      </c>
      <c r="AU336" s="166">
        <v>0</v>
      </c>
      <c r="AV336" s="166">
        <v>0</v>
      </c>
      <c r="AW336" s="166">
        <v>0</v>
      </c>
      <c r="AX336" s="166">
        <v>5</v>
      </c>
      <c r="AY336" s="166">
        <v>0</v>
      </c>
      <c r="AZ336" s="166">
        <v>0</v>
      </c>
      <c r="BA336" s="166">
        <v>0</v>
      </c>
      <c r="BB336" s="166">
        <v>0</v>
      </c>
      <c r="BC336" s="166">
        <v>0</v>
      </c>
      <c r="BD336" s="166">
        <v>0</v>
      </c>
      <c r="BE336" s="166">
        <v>0</v>
      </c>
      <c r="BF336" s="166">
        <v>0</v>
      </c>
      <c r="BG336" s="166">
        <v>0</v>
      </c>
      <c r="BH336" s="166">
        <v>0</v>
      </c>
      <c r="BI336" s="166">
        <v>0</v>
      </c>
      <c r="BJ336" s="166">
        <v>0</v>
      </c>
      <c r="BK336" s="166">
        <v>0</v>
      </c>
      <c r="BL336" s="166">
        <v>0</v>
      </c>
      <c r="BM336" s="166">
        <v>0</v>
      </c>
      <c r="BN336" s="166">
        <v>0</v>
      </c>
      <c r="BO336" s="166">
        <v>0</v>
      </c>
      <c r="BP336" s="166">
        <v>0</v>
      </c>
      <c r="BQ336" s="81" t="s">
        <v>1757</v>
      </c>
      <c r="BX336" s="81" t="s">
        <v>155</v>
      </c>
      <c r="BZ336" s="81" t="s">
        <v>155</v>
      </c>
      <c r="CA336" s="81" t="s">
        <v>3934</v>
      </c>
      <c r="CC336" s="167">
        <v>0</v>
      </c>
      <c r="CD336" s="167">
        <f>N336</f>
        <v>5</v>
      </c>
      <c r="CE336" s="167">
        <v>0</v>
      </c>
      <c r="CF336" s="167">
        <v>0</v>
      </c>
      <c r="CG336" s="167">
        <v>0</v>
      </c>
      <c r="CH336" s="167">
        <v>0</v>
      </c>
      <c r="CI336" s="167">
        <v>0</v>
      </c>
      <c r="CJ336" s="167">
        <v>0</v>
      </c>
      <c r="CK336" s="167">
        <v>0</v>
      </c>
      <c r="CL336" s="167">
        <v>0</v>
      </c>
      <c r="CM336" s="167">
        <v>0</v>
      </c>
      <c r="CN336" s="167">
        <v>0</v>
      </c>
      <c r="CO336" s="167">
        <v>0</v>
      </c>
      <c r="CP336" s="167">
        <v>0</v>
      </c>
      <c r="CQ336" s="167">
        <v>0</v>
      </c>
      <c r="CR336" s="167">
        <v>0</v>
      </c>
      <c r="CS336" s="167">
        <v>0</v>
      </c>
      <c r="CT336" s="167">
        <v>0</v>
      </c>
      <c r="CU336" s="167">
        <v>0</v>
      </c>
      <c r="CV336" s="167">
        <v>0</v>
      </c>
      <c r="CW336" s="167">
        <v>0</v>
      </c>
      <c r="CX336" s="167">
        <f>SUM(CD336:CH336)</f>
        <v>5</v>
      </c>
      <c r="CY336" s="167">
        <f>SUM(CD336:CM336)</f>
        <v>5</v>
      </c>
    </row>
    <row r="337" spans="1:103" ht="12.75" customHeight="1" x14ac:dyDescent="0.2">
      <c r="A337" s="81">
        <v>3511</v>
      </c>
      <c r="B337" s="165" t="s">
        <v>1908</v>
      </c>
      <c r="C337" s="165" t="s">
        <v>33</v>
      </c>
      <c r="D337" s="165" t="s">
        <v>34</v>
      </c>
      <c r="E337" s="165" t="s">
        <v>2412</v>
      </c>
      <c r="F337" s="165" t="s">
        <v>1089</v>
      </c>
      <c r="G337" s="81">
        <v>529369</v>
      </c>
      <c r="H337" s="81">
        <v>177317</v>
      </c>
      <c r="I337" s="165" t="s">
        <v>240</v>
      </c>
      <c r="J337" s="349">
        <v>42825</v>
      </c>
      <c r="L337" s="166">
        <v>0</v>
      </c>
      <c r="M337" s="166">
        <v>207</v>
      </c>
      <c r="N337" s="166">
        <v>207</v>
      </c>
      <c r="O337" s="166">
        <v>2971</v>
      </c>
      <c r="P337" s="166">
        <v>2971</v>
      </c>
      <c r="Q337" s="81" t="s">
        <v>155</v>
      </c>
      <c r="R337" s="165" t="s">
        <v>1090</v>
      </c>
      <c r="S337" s="81" t="s">
        <v>24</v>
      </c>
      <c r="T337" s="349">
        <v>41774</v>
      </c>
      <c r="U337" s="349">
        <v>42046</v>
      </c>
      <c r="W337" s="81" t="s">
        <v>114</v>
      </c>
      <c r="Y337" s="81" t="s">
        <v>115</v>
      </c>
      <c r="Z337" s="81" t="s">
        <v>116</v>
      </c>
      <c r="AA337" s="81" t="s">
        <v>116</v>
      </c>
      <c r="AB337" s="81" t="s">
        <v>117</v>
      </c>
      <c r="AC337" s="166">
        <v>0</v>
      </c>
      <c r="AG337" s="81" t="s">
        <v>238</v>
      </c>
      <c r="AH337" s="81" t="s">
        <v>118</v>
      </c>
      <c r="AI337" s="81" t="s">
        <v>2413</v>
      </c>
      <c r="AK337" s="166">
        <v>0</v>
      </c>
      <c r="AM337" s="166">
        <v>0</v>
      </c>
      <c r="AO337" s="166">
        <v>26</v>
      </c>
      <c r="AP337" s="166">
        <v>41</v>
      </c>
      <c r="AQ337" s="166">
        <v>124</v>
      </c>
      <c r="AR337" s="166">
        <v>16</v>
      </c>
      <c r="AS337" s="166">
        <v>0</v>
      </c>
      <c r="AT337" s="166">
        <v>0</v>
      </c>
      <c r="AU337" s="166">
        <v>0</v>
      </c>
      <c r="AV337" s="166">
        <v>26</v>
      </c>
      <c r="AW337" s="166">
        <v>41</v>
      </c>
      <c r="AX337" s="166">
        <v>124</v>
      </c>
      <c r="AY337" s="166">
        <v>16</v>
      </c>
      <c r="AZ337" s="166">
        <v>0</v>
      </c>
      <c r="BA337" s="166">
        <v>0</v>
      </c>
      <c r="BB337" s="166">
        <v>0</v>
      </c>
      <c r="BC337" s="166">
        <v>0</v>
      </c>
      <c r="BD337" s="166">
        <v>0</v>
      </c>
      <c r="BE337" s="166">
        <v>0</v>
      </c>
      <c r="BF337" s="166">
        <v>0</v>
      </c>
      <c r="BG337" s="166">
        <v>0</v>
      </c>
      <c r="BH337" s="166">
        <v>0</v>
      </c>
      <c r="BI337" s="166">
        <v>0</v>
      </c>
      <c r="BJ337" s="166">
        <v>0</v>
      </c>
      <c r="BK337" s="166">
        <v>0</v>
      </c>
      <c r="BL337" s="166">
        <v>0</v>
      </c>
      <c r="BM337" s="166">
        <v>0</v>
      </c>
      <c r="BN337" s="166">
        <v>0</v>
      </c>
      <c r="BO337" s="166">
        <v>0</v>
      </c>
      <c r="BP337" s="166">
        <v>0</v>
      </c>
      <c r="BQ337" s="81" t="s">
        <v>1759</v>
      </c>
      <c r="BS337" s="81" t="s">
        <v>155</v>
      </c>
      <c r="BZ337" s="81" t="s">
        <v>155</v>
      </c>
      <c r="CA337" s="81">
        <v>12</v>
      </c>
      <c r="CC337" s="167">
        <v>0</v>
      </c>
      <c r="CD337" s="167">
        <v>0</v>
      </c>
      <c r="CE337" s="167">
        <v>0</v>
      </c>
      <c r="CF337" s="167">
        <v>0</v>
      </c>
      <c r="CG337" s="167">
        <v>0</v>
      </c>
      <c r="CH337" s="167">
        <v>0</v>
      </c>
      <c r="CI337" s="167">
        <v>0</v>
      </c>
      <c r="CJ337" s="167">
        <v>0</v>
      </c>
      <c r="CK337" s="167">
        <v>0</v>
      </c>
      <c r="CL337" s="167">
        <v>0</v>
      </c>
      <c r="CM337" s="167">
        <f>N337</f>
        <v>207</v>
      </c>
      <c r="CN337" s="167">
        <v>0</v>
      </c>
      <c r="CO337" s="167">
        <v>0</v>
      </c>
      <c r="CP337" s="167">
        <v>0</v>
      </c>
      <c r="CQ337" s="167">
        <v>0</v>
      </c>
      <c r="CR337" s="167">
        <v>0</v>
      </c>
      <c r="CS337" s="167">
        <v>0</v>
      </c>
      <c r="CT337" s="167">
        <v>0</v>
      </c>
      <c r="CU337" s="167">
        <v>0</v>
      </c>
      <c r="CV337" s="167">
        <v>0</v>
      </c>
      <c r="CW337" s="167">
        <v>0</v>
      </c>
      <c r="CX337" s="167">
        <f>SUM(CD337:CH337)</f>
        <v>0</v>
      </c>
      <c r="CY337" s="167">
        <f>SUM(CD337:CM337)</f>
        <v>207</v>
      </c>
    </row>
    <row r="338" spans="1:103" ht="12.75" customHeight="1" x14ac:dyDescent="0.2">
      <c r="A338" s="81">
        <v>3511</v>
      </c>
      <c r="B338" s="165" t="s">
        <v>1908</v>
      </c>
      <c r="C338" s="165" t="s">
        <v>33</v>
      </c>
      <c r="D338" s="165" t="s">
        <v>34</v>
      </c>
      <c r="E338" s="165" t="s">
        <v>2412</v>
      </c>
      <c r="F338" s="165" t="s">
        <v>1091</v>
      </c>
      <c r="G338" s="81">
        <v>529369</v>
      </c>
      <c r="H338" s="81">
        <v>177317</v>
      </c>
      <c r="I338" s="165" t="s">
        <v>240</v>
      </c>
      <c r="J338" s="349">
        <v>42825</v>
      </c>
      <c r="L338" s="166">
        <v>0</v>
      </c>
      <c r="M338" s="166">
        <v>136</v>
      </c>
      <c r="N338" s="166">
        <v>136</v>
      </c>
      <c r="O338" s="166">
        <v>2971</v>
      </c>
      <c r="P338" s="166">
        <v>2971</v>
      </c>
      <c r="Q338" s="81" t="s">
        <v>155</v>
      </c>
      <c r="R338" s="165" t="s">
        <v>1090</v>
      </c>
      <c r="S338" s="81" t="s">
        <v>24</v>
      </c>
      <c r="T338" s="349">
        <v>41774</v>
      </c>
      <c r="U338" s="349">
        <v>42046</v>
      </c>
      <c r="W338" s="81" t="s">
        <v>114</v>
      </c>
      <c r="Y338" s="81" t="s">
        <v>115</v>
      </c>
      <c r="Z338" s="81" t="s">
        <v>116</v>
      </c>
      <c r="AA338" s="81" t="s">
        <v>116</v>
      </c>
      <c r="AB338" s="81" t="s">
        <v>117</v>
      </c>
      <c r="AC338" s="166">
        <v>0</v>
      </c>
      <c r="AG338" s="81" t="s">
        <v>238</v>
      </c>
      <c r="AH338" s="81" t="s">
        <v>118</v>
      </c>
      <c r="AI338" s="81" t="s">
        <v>2413</v>
      </c>
      <c r="AK338" s="166">
        <v>0</v>
      </c>
      <c r="AM338" s="166">
        <v>0</v>
      </c>
      <c r="AO338" s="166">
        <v>17</v>
      </c>
      <c r="AP338" s="166">
        <v>27</v>
      </c>
      <c r="AQ338" s="166">
        <v>82</v>
      </c>
      <c r="AR338" s="166">
        <v>10</v>
      </c>
      <c r="AS338" s="166">
        <v>0</v>
      </c>
      <c r="AT338" s="166">
        <v>0</v>
      </c>
      <c r="AU338" s="166">
        <v>0</v>
      </c>
      <c r="AV338" s="166">
        <v>17</v>
      </c>
      <c r="AW338" s="166">
        <v>27</v>
      </c>
      <c r="AX338" s="166">
        <v>82</v>
      </c>
      <c r="AY338" s="166">
        <v>10</v>
      </c>
      <c r="AZ338" s="166">
        <v>0</v>
      </c>
      <c r="BA338" s="166">
        <v>0</v>
      </c>
      <c r="BB338" s="166">
        <v>0</v>
      </c>
      <c r="BC338" s="166">
        <v>0</v>
      </c>
      <c r="BD338" s="166">
        <v>0</v>
      </c>
      <c r="BE338" s="166">
        <v>0</v>
      </c>
      <c r="BF338" s="166">
        <v>0</v>
      </c>
      <c r="BG338" s="166">
        <v>0</v>
      </c>
      <c r="BH338" s="166">
        <v>0</v>
      </c>
      <c r="BI338" s="166">
        <v>0</v>
      </c>
      <c r="BJ338" s="166">
        <v>0</v>
      </c>
      <c r="BK338" s="166">
        <v>0</v>
      </c>
      <c r="BL338" s="166">
        <v>0</v>
      </c>
      <c r="BM338" s="166">
        <v>0</v>
      </c>
      <c r="BN338" s="166">
        <v>0</v>
      </c>
      <c r="BO338" s="166">
        <v>0</v>
      </c>
      <c r="BP338" s="166">
        <v>0</v>
      </c>
      <c r="BQ338" s="81" t="s">
        <v>1759</v>
      </c>
      <c r="BS338" s="81" t="s">
        <v>155</v>
      </c>
      <c r="BZ338" s="81" t="s">
        <v>155</v>
      </c>
      <c r="CA338" s="81">
        <v>12</v>
      </c>
      <c r="CC338" s="167">
        <v>0</v>
      </c>
      <c r="CD338" s="167">
        <v>0</v>
      </c>
      <c r="CE338" s="167">
        <v>0</v>
      </c>
      <c r="CF338" s="167">
        <v>0</v>
      </c>
      <c r="CG338" s="167">
        <v>0</v>
      </c>
      <c r="CH338" s="167">
        <v>0</v>
      </c>
      <c r="CI338" s="167">
        <v>0</v>
      </c>
      <c r="CJ338" s="167">
        <v>0</v>
      </c>
      <c r="CK338" s="167">
        <v>0</v>
      </c>
      <c r="CL338" s="167">
        <v>0</v>
      </c>
      <c r="CM338" s="167">
        <v>0</v>
      </c>
      <c r="CN338" s="167">
        <f>N338</f>
        <v>136</v>
      </c>
      <c r="CO338" s="167">
        <v>0</v>
      </c>
      <c r="CP338" s="167">
        <v>0</v>
      </c>
      <c r="CQ338" s="167">
        <v>0</v>
      </c>
      <c r="CR338" s="167">
        <v>0</v>
      </c>
      <c r="CS338" s="167">
        <v>0</v>
      </c>
      <c r="CT338" s="167">
        <v>0</v>
      </c>
      <c r="CU338" s="167">
        <v>0</v>
      </c>
      <c r="CV338" s="167">
        <v>0</v>
      </c>
      <c r="CW338" s="167">
        <v>0</v>
      </c>
      <c r="CX338" s="167">
        <f>SUM(CD338:CH338)</f>
        <v>0</v>
      </c>
      <c r="CY338" s="167">
        <f>SUM(CD338:CM338)</f>
        <v>0</v>
      </c>
    </row>
    <row r="339" spans="1:103" x14ac:dyDescent="0.2">
      <c r="A339" s="81">
        <v>3511</v>
      </c>
      <c r="B339" s="165" t="s">
        <v>1908</v>
      </c>
      <c r="C339" s="165" t="s">
        <v>33</v>
      </c>
      <c r="D339" s="165" t="s">
        <v>34</v>
      </c>
      <c r="E339" s="165" t="s">
        <v>2412</v>
      </c>
      <c r="F339" s="165" t="s">
        <v>1092</v>
      </c>
      <c r="G339" s="81">
        <v>529369</v>
      </c>
      <c r="H339" s="81">
        <v>177317</v>
      </c>
      <c r="I339" s="165" t="s">
        <v>240</v>
      </c>
      <c r="J339" s="349">
        <v>42825</v>
      </c>
      <c r="L339" s="166">
        <v>0</v>
      </c>
      <c r="M339" s="166">
        <v>101</v>
      </c>
      <c r="N339" s="166">
        <v>101</v>
      </c>
      <c r="O339" s="166">
        <v>2971</v>
      </c>
      <c r="P339" s="166">
        <v>2971</v>
      </c>
      <c r="Q339" s="81" t="s">
        <v>155</v>
      </c>
      <c r="R339" s="165" t="s">
        <v>1090</v>
      </c>
      <c r="S339" s="81" t="s">
        <v>24</v>
      </c>
      <c r="T339" s="349">
        <v>41774</v>
      </c>
      <c r="U339" s="349">
        <v>42046</v>
      </c>
      <c r="W339" s="81" t="s">
        <v>114</v>
      </c>
      <c r="Y339" s="81" t="s">
        <v>115</v>
      </c>
      <c r="Z339" s="81" t="s">
        <v>116</v>
      </c>
      <c r="AA339" s="81" t="s">
        <v>116</v>
      </c>
      <c r="AB339" s="81" t="s">
        <v>117</v>
      </c>
      <c r="AC339" s="166">
        <v>1.79999995231628</v>
      </c>
      <c r="AG339" s="81" t="s">
        <v>74</v>
      </c>
      <c r="AH339" s="81" t="s">
        <v>1913</v>
      </c>
      <c r="AI339" s="81" t="s">
        <v>2413</v>
      </c>
      <c r="AK339" s="166">
        <v>0</v>
      </c>
      <c r="AM339" s="166">
        <v>0</v>
      </c>
      <c r="AO339" s="166">
        <v>0</v>
      </c>
      <c r="AP339" s="166">
        <v>45</v>
      </c>
      <c r="AQ339" s="166">
        <v>46</v>
      </c>
      <c r="AR339" s="166">
        <v>10</v>
      </c>
      <c r="AS339" s="166">
        <v>0</v>
      </c>
      <c r="AT339" s="166">
        <v>0</v>
      </c>
      <c r="AU339" s="166">
        <v>0</v>
      </c>
      <c r="AV339" s="166">
        <v>0</v>
      </c>
      <c r="AW339" s="166">
        <v>45</v>
      </c>
      <c r="AX339" s="166">
        <v>46</v>
      </c>
      <c r="AY339" s="166">
        <v>10</v>
      </c>
      <c r="AZ339" s="166">
        <v>0</v>
      </c>
      <c r="BA339" s="166">
        <v>0</v>
      </c>
      <c r="BB339" s="166">
        <v>0</v>
      </c>
      <c r="BC339" s="166">
        <v>0</v>
      </c>
      <c r="BD339" s="166">
        <v>0</v>
      </c>
      <c r="BE339" s="166">
        <v>0</v>
      </c>
      <c r="BF339" s="166">
        <v>0</v>
      </c>
      <c r="BG339" s="166">
        <v>0</v>
      </c>
      <c r="BH339" s="166">
        <v>0</v>
      </c>
      <c r="BI339" s="166">
        <v>0</v>
      </c>
      <c r="BJ339" s="166">
        <v>0</v>
      </c>
      <c r="BK339" s="166">
        <v>0</v>
      </c>
      <c r="BL339" s="166">
        <v>0</v>
      </c>
      <c r="BM339" s="166">
        <v>0</v>
      </c>
      <c r="BN339" s="166">
        <v>0</v>
      </c>
      <c r="BO339" s="166">
        <v>0</v>
      </c>
      <c r="BP339" s="166">
        <v>0</v>
      </c>
      <c r="BQ339" s="81" t="s">
        <v>1759</v>
      </c>
      <c r="BS339" s="81" t="s">
        <v>155</v>
      </c>
      <c r="BZ339" s="81" t="s">
        <v>155</v>
      </c>
      <c r="CA339" s="81">
        <v>12</v>
      </c>
      <c r="CC339" s="167">
        <v>0</v>
      </c>
      <c r="CD339" s="167">
        <v>0</v>
      </c>
      <c r="CE339" s="167">
        <v>0</v>
      </c>
      <c r="CF339" s="167">
        <v>0</v>
      </c>
      <c r="CG339" s="167">
        <v>0</v>
      </c>
      <c r="CH339" s="167">
        <v>0</v>
      </c>
      <c r="CI339" s="167">
        <v>0</v>
      </c>
      <c r="CJ339" s="167">
        <v>0</v>
      </c>
      <c r="CK339" s="167">
        <v>0</v>
      </c>
      <c r="CL339" s="167">
        <v>0</v>
      </c>
      <c r="CM339" s="167">
        <f>N339</f>
        <v>101</v>
      </c>
      <c r="CN339" s="167">
        <v>0</v>
      </c>
      <c r="CO339" s="167">
        <v>0</v>
      </c>
      <c r="CP339" s="167">
        <v>0</v>
      </c>
      <c r="CQ339" s="167">
        <v>0</v>
      </c>
      <c r="CR339" s="167">
        <v>0</v>
      </c>
      <c r="CS339" s="167">
        <v>0</v>
      </c>
      <c r="CT339" s="167">
        <v>0</v>
      </c>
      <c r="CU339" s="167">
        <v>0</v>
      </c>
      <c r="CV339" s="167">
        <v>0</v>
      </c>
      <c r="CW339" s="167">
        <v>0</v>
      </c>
      <c r="CX339" s="167">
        <f>SUM(CD339:CH339)</f>
        <v>0</v>
      </c>
      <c r="CY339" s="167">
        <f>SUM(CD339:CM339)</f>
        <v>101</v>
      </c>
    </row>
    <row r="340" spans="1:103" ht="12.75" customHeight="1" x14ac:dyDescent="0.2">
      <c r="A340" s="81">
        <v>3511</v>
      </c>
      <c r="B340" s="165" t="s">
        <v>1908</v>
      </c>
      <c r="C340" s="165" t="s">
        <v>33</v>
      </c>
      <c r="D340" s="165" t="s">
        <v>34</v>
      </c>
      <c r="E340" s="165" t="s">
        <v>2412</v>
      </c>
      <c r="F340" s="165" t="s">
        <v>1093</v>
      </c>
      <c r="G340" s="81">
        <v>529369</v>
      </c>
      <c r="H340" s="81">
        <v>177317</v>
      </c>
      <c r="I340" s="165" t="s">
        <v>240</v>
      </c>
      <c r="J340" s="349">
        <v>42825</v>
      </c>
      <c r="L340" s="166">
        <v>0</v>
      </c>
      <c r="M340" s="166">
        <v>151</v>
      </c>
      <c r="N340" s="166">
        <v>151</v>
      </c>
      <c r="O340" s="166">
        <v>2971</v>
      </c>
      <c r="P340" s="166">
        <v>2971</v>
      </c>
      <c r="Q340" s="81" t="s">
        <v>155</v>
      </c>
      <c r="R340" s="165" t="s">
        <v>1090</v>
      </c>
      <c r="S340" s="81" t="s">
        <v>24</v>
      </c>
      <c r="T340" s="349">
        <v>41774</v>
      </c>
      <c r="U340" s="349">
        <v>42046</v>
      </c>
      <c r="W340" s="81" t="s">
        <v>114</v>
      </c>
      <c r="Y340" s="81" t="s">
        <v>115</v>
      </c>
      <c r="Z340" s="81" t="s">
        <v>116</v>
      </c>
      <c r="AA340" s="81" t="s">
        <v>116</v>
      </c>
      <c r="AB340" s="81" t="s">
        <v>117</v>
      </c>
      <c r="AC340" s="166">
        <v>0</v>
      </c>
      <c r="AG340" s="81" t="s">
        <v>238</v>
      </c>
      <c r="AH340" s="81" t="s">
        <v>118</v>
      </c>
      <c r="AI340" s="81" t="s">
        <v>2413</v>
      </c>
      <c r="AK340" s="166">
        <v>0</v>
      </c>
      <c r="AM340" s="166">
        <v>0</v>
      </c>
      <c r="AO340" s="166">
        <v>19</v>
      </c>
      <c r="AP340" s="166">
        <v>30</v>
      </c>
      <c r="AQ340" s="166">
        <v>91</v>
      </c>
      <c r="AR340" s="166">
        <v>11</v>
      </c>
      <c r="AS340" s="166">
        <v>0</v>
      </c>
      <c r="AT340" s="166">
        <v>0</v>
      </c>
      <c r="AU340" s="166">
        <v>0</v>
      </c>
      <c r="AV340" s="166">
        <v>19</v>
      </c>
      <c r="AW340" s="166">
        <v>30</v>
      </c>
      <c r="AX340" s="166">
        <v>91</v>
      </c>
      <c r="AY340" s="166">
        <v>11</v>
      </c>
      <c r="AZ340" s="166">
        <v>0</v>
      </c>
      <c r="BA340" s="166">
        <v>0</v>
      </c>
      <c r="BB340" s="166">
        <v>0</v>
      </c>
      <c r="BC340" s="166">
        <v>0</v>
      </c>
      <c r="BD340" s="166">
        <v>0</v>
      </c>
      <c r="BE340" s="166">
        <v>0</v>
      </c>
      <c r="BF340" s="166">
        <v>0</v>
      </c>
      <c r="BG340" s="166">
        <v>0</v>
      </c>
      <c r="BH340" s="166">
        <v>0</v>
      </c>
      <c r="BI340" s="166">
        <v>0</v>
      </c>
      <c r="BJ340" s="166">
        <v>0</v>
      </c>
      <c r="BK340" s="166">
        <v>0</v>
      </c>
      <c r="BL340" s="166">
        <v>0</v>
      </c>
      <c r="BM340" s="166">
        <v>0</v>
      </c>
      <c r="BN340" s="166">
        <v>0</v>
      </c>
      <c r="BO340" s="166">
        <v>0</v>
      </c>
      <c r="BP340" s="166">
        <v>0</v>
      </c>
      <c r="BQ340" s="81" t="s">
        <v>1759</v>
      </c>
      <c r="BS340" s="81" t="s">
        <v>155</v>
      </c>
      <c r="BZ340" s="81" t="s">
        <v>155</v>
      </c>
      <c r="CA340" s="81">
        <v>12</v>
      </c>
      <c r="CC340" s="167">
        <v>0</v>
      </c>
      <c r="CD340" s="167">
        <v>0</v>
      </c>
      <c r="CE340" s="167">
        <v>0</v>
      </c>
      <c r="CF340" s="167">
        <v>0</v>
      </c>
      <c r="CG340" s="167">
        <v>0</v>
      </c>
      <c r="CH340" s="167">
        <v>0</v>
      </c>
      <c r="CI340" s="167">
        <v>0</v>
      </c>
      <c r="CJ340" s="167">
        <v>0</v>
      </c>
      <c r="CK340" s="167">
        <v>0</v>
      </c>
      <c r="CL340" s="167">
        <v>0</v>
      </c>
      <c r="CM340" s="167">
        <v>0</v>
      </c>
      <c r="CN340" s="167">
        <v>0</v>
      </c>
      <c r="CO340" s="167">
        <f>N340</f>
        <v>151</v>
      </c>
      <c r="CP340" s="167">
        <v>0</v>
      </c>
      <c r="CQ340" s="167">
        <v>0</v>
      </c>
      <c r="CR340" s="167">
        <v>0</v>
      </c>
      <c r="CS340" s="167">
        <v>0</v>
      </c>
      <c r="CT340" s="167">
        <v>0</v>
      </c>
      <c r="CU340" s="167">
        <v>0</v>
      </c>
      <c r="CV340" s="167">
        <v>0</v>
      </c>
      <c r="CW340" s="167">
        <v>0</v>
      </c>
      <c r="CX340" s="167">
        <f>SUM(CD340:CH340)</f>
        <v>0</v>
      </c>
      <c r="CY340" s="167">
        <f>SUM(CD340:CM340)</f>
        <v>0</v>
      </c>
    </row>
    <row r="341" spans="1:103" ht="12.75" customHeight="1" x14ac:dyDescent="0.2">
      <c r="A341" s="81">
        <v>3511</v>
      </c>
      <c r="B341" s="165" t="s">
        <v>1908</v>
      </c>
      <c r="C341" s="165" t="s">
        <v>33</v>
      </c>
      <c r="D341" s="165" t="s">
        <v>34</v>
      </c>
      <c r="E341" s="165" t="s">
        <v>2412</v>
      </c>
      <c r="F341" s="165" t="s">
        <v>1094</v>
      </c>
      <c r="G341" s="81">
        <v>529369</v>
      </c>
      <c r="H341" s="81">
        <v>177317</v>
      </c>
      <c r="I341" s="165" t="s">
        <v>240</v>
      </c>
      <c r="J341" s="349">
        <v>42825</v>
      </c>
      <c r="L341" s="166">
        <v>0</v>
      </c>
      <c r="M341" s="166">
        <v>17</v>
      </c>
      <c r="N341" s="166">
        <v>17</v>
      </c>
      <c r="O341" s="166">
        <v>2971</v>
      </c>
      <c r="P341" s="166">
        <v>2971</v>
      </c>
      <c r="Q341" s="81" t="s">
        <v>155</v>
      </c>
      <c r="R341" s="165" t="s">
        <v>1090</v>
      </c>
      <c r="S341" s="81" t="s">
        <v>24</v>
      </c>
      <c r="T341" s="349">
        <v>41774</v>
      </c>
      <c r="U341" s="349">
        <v>42046</v>
      </c>
      <c r="W341" s="81" t="s">
        <v>114</v>
      </c>
      <c r="Y341" s="81" t="s">
        <v>115</v>
      </c>
      <c r="Z341" s="81" t="s">
        <v>116</v>
      </c>
      <c r="AA341" s="81" t="s">
        <v>116</v>
      </c>
      <c r="AB341" s="81" t="s">
        <v>117</v>
      </c>
      <c r="AC341" s="166">
        <v>0</v>
      </c>
      <c r="AG341" s="81" t="s">
        <v>238</v>
      </c>
      <c r="AH341" s="81" t="s">
        <v>118</v>
      </c>
      <c r="AI341" s="81" t="s">
        <v>2413</v>
      </c>
      <c r="AK341" s="166">
        <v>0</v>
      </c>
      <c r="AM341" s="166">
        <v>0</v>
      </c>
      <c r="AO341" s="166">
        <v>2</v>
      </c>
      <c r="AP341" s="166">
        <v>3</v>
      </c>
      <c r="AQ341" s="166">
        <v>10</v>
      </c>
      <c r="AR341" s="166">
        <v>2</v>
      </c>
      <c r="AS341" s="166">
        <v>0</v>
      </c>
      <c r="AT341" s="166">
        <v>0</v>
      </c>
      <c r="AU341" s="166">
        <v>0</v>
      </c>
      <c r="AV341" s="166">
        <v>2</v>
      </c>
      <c r="AW341" s="166">
        <v>3</v>
      </c>
      <c r="AX341" s="166">
        <v>10</v>
      </c>
      <c r="AY341" s="166">
        <v>2</v>
      </c>
      <c r="AZ341" s="166">
        <v>0</v>
      </c>
      <c r="BA341" s="166">
        <v>0</v>
      </c>
      <c r="BB341" s="166">
        <v>0</v>
      </c>
      <c r="BC341" s="166">
        <v>0</v>
      </c>
      <c r="BD341" s="166">
        <v>0</v>
      </c>
      <c r="BE341" s="166">
        <v>0</v>
      </c>
      <c r="BF341" s="166">
        <v>0</v>
      </c>
      <c r="BG341" s="166">
        <v>0</v>
      </c>
      <c r="BH341" s="166">
        <v>0</v>
      </c>
      <c r="BI341" s="166">
        <v>0</v>
      </c>
      <c r="BJ341" s="166">
        <v>0</v>
      </c>
      <c r="BK341" s="166">
        <v>0</v>
      </c>
      <c r="BL341" s="166">
        <v>0</v>
      </c>
      <c r="BM341" s="166">
        <v>0</v>
      </c>
      <c r="BN341" s="166">
        <v>0</v>
      </c>
      <c r="BO341" s="166">
        <v>0</v>
      </c>
      <c r="BP341" s="166">
        <v>0</v>
      </c>
      <c r="BQ341" s="81" t="s">
        <v>1759</v>
      </c>
      <c r="BS341" s="81" t="s">
        <v>155</v>
      </c>
      <c r="BZ341" s="81" t="s">
        <v>155</v>
      </c>
      <c r="CA341" s="81">
        <v>12</v>
      </c>
      <c r="CC341" s="167">
        <v>0</v>
      </c>
      <c r="CD341" s="167">
        <v>0</v>
      </c>
      <c r="CE341" s="167">
        <v>0</v>
      </c>
      <c r="CF341" s="167">
        <v>0</v>
      </c>
      <c r="CG341" s="167">
        <v>0</v>
      </c>
      <c r="CH341" s="167">
        <v>0</v>
      </c>
      <c r="CI341" s="167">
        <v>0</v>
      </c>
      <c r="CJ341" s="167">
        <v>0</v>
      </c>
      <c r="CK341" s="167">
        <v>0</v>
      </c>
      <c r="CL341" s="167">
        <v>0</v>
      </c>
      <c r="CM341" s="167">
        <v>0</v>
      </c>
      <c r="CN341" s="167">
        <v>0</v>
      </c>
      <c r="CO341" s="167">
        <f>N341</f>
        <v>17</v>
      </c>
      <c r="CP341" s="167">
        <v>0</v>
      </c>
      <c r="CQ341" s="167">
        <v>0</v>
      </c>
      <c r="CR341" s="167">
        <v>0</v>
      </c>
      <c r="CS341" s="167">
        <v>0</v>
      </c>
      <c r="CT341" s="167">
        <v>0</v>
      </c>
      <c r="CU341" s="167">
        <v>0</v>
      </c>
      <c r="CV341" s="167">
        <v>0</v>
      </c>
      <c r="CW341" s="167">
        <v>0</v>
      </c>
      <c r="CX341" s="167">
        <f>SUM(CD341:CH341)</f>
        <v>0</v>
      </c>
      <c r="CY341" s="167">
        <f>SUM(CD341:CM341)</f>
        <v>0</v>
      </c>
    </row>
    <row r="342" spans="1:103" ht="12.75" customHeight="1" x14ac:dyDescent="0.2">
      <c r="A342" s="81">
        <v>3511</v>
      </c>
      <c r="B342" s="165" t="s">
        <v>1908</v>
      </c>
      <c r="C342" s="165" t="s">
        <v>33</v>
      </c>
      <c r="D342" s="165" t="s">
        <v>34</v>
      </c>
      <c r="E342" s="165" t="s">
        <v>2412</v>
      </c>
      <c r="F342" s="165" t="s">
        <v>1095</v>
      </c>
      <c r="G342" s="81">
        <v>529369</v>
      </c>
      <c r="H342" s="81">
        <v>177317</v>
      </c>
      <c r="I342" s="165" t="s">
        <v>240</v>
      </c>
      <c r="J342" s="349">
        <v>42825</v>
      </c>
      <c r="L342" s="166">
        <v>0</v>
      </c>
      <c r="M342" s="166">
        <v>11</v>
      </c>
      <c r="N342" s="166">
        <v>11</v>
      </c>
      <c r="O342" s="166">
        <v>2971</v>
      </c>
      <c r="P342" s="166">
        <v>2971</v>
      </c>
      <c r="Q342" s="81" t="s">
        <v>155</v>
      </c>
      <c r="R342" s="165" t="s">
        <v>1090</v>
      </c>
      <c r="S342" s="81" t="s">
        <v>24</v>
      </c>
      <c r="T342" s="349">
        <v>41774</v>
      </c>
      <c r="U342" s="349">
        <v>42046</v>
      </c>
      <c r="W342" s="81" t="s">
        <v>114</v>
      </c>
      <c r="Y342" s="81" t="s">
        <v>115</v>
      </c>
      <c r="Z342" s="81" t="s">
        <v>116</v>
      </c>
      <c r="AA342" s="81" t="s">
        <v>116</v>
      </c>
      <c r="AB342" s="81" t="s">
        <v>117</v>
      </c>
      <c r="AC342" s="166">
        <v>0</v>
      </c>
      <c r="AG342" s="81" t="s">
        <v>154</v>
      </c>
      <c r="AH342" s="81" t="s">
        <v>312</v>
      </c>
      <c r="AI342" s="81" t="s">
        <v>2413</v>
      </c>
      <c r="AK342" s="166">
        <v>0</v>
      </c>
      <c r="AM342" s="166">
        <v>0</v>
      </c>
      <c r="AO342" s="166">
        <v>0</v>
      </c>
      <c r="AP342" s="166">
        <v>2</v>
      </c>
      <c r="AQ342" s="166">
        <v>5</v>
      </c>
      <c r="AR342" s="166">
        <v>3</v>
      </c>
      <c r="AS342" s="166">
        <v>1</v>
      </c>
      <c r="AT342" s="166">
        <v>0</v>
      </c>
      <c r="AU342" s="166">
        <v>0</v>
      </c>
      <c r="AV342" s="166">
        <v>0</v>
      </c>
      <c r="AW342" s="166">
        <v>2</v>
      </c>
      <c r="AX342" s="166">
        <v>5</v>
      </c>
      <c r="AY342" s="166">
        <v>3</v>
      </c>
      <c r="AZ342" s="166">
        <v>0</v>
      </c>
      <c r="BA342" s="166">
        <v>0</v>
      </c>
      <c r="BB342" s="166">
        <v>0</v>
      </c>
      <c r="BC342" s="166">
        <v>0</v>
      </c>
      <c r="BD342" s="166">
        <v>0</v>
      </c>
      <c r="BE342" s="166">
        <v>0</v>
      </c>
      <c r="BF342" s="166">
        <v>0</v>
      </c>
      <c r="BG342" s="166">
        <v>1</v>
      </c>
      <c r="BH342" s="166">
        <v>0</v>
      </c>
      <c r="BI342" s="166">
        <v>0</v>
      </c>
      <c r="BJ342" s="166">
        <v>0</v>
      </c>
      <c r="BK342" s="166">
        <v>0</v>
      </c>
      <c r="BL342" s="166">
        <v>0</v>
      </c>
      <c r="BM342" s="166">
        <v>0</v>
      </c>
      <c r="BN342" s="166">
        <v>0</v>
      </c>
      <c r="BO342" s="166">
        <v>0</v>
      </c>
      <c r="BP342" s="166">
        <v>0</v>
      </c>
      <c r="BQ342" s="81" t="s">
        <v>1759</v>
      </c>
      <c r="BS342" s="81" t="s">
        <v>155</v>
      </c>
      <c r="BZ342" s="81" t="s">
        <v>155</v>
      </c>
      <c r="CA342" s="81">
        <v>12</v>
      </c>
      <c r="CC342" s="167">
        <v>0</v>
      </c>
      <c r="CD342" s="167">
        <v>0</v>
      </c>
      <c r="CE342" s="167">
        <v>0</v>
      </c>
      <c r="CF342" s="167">
        <v>0</v>
      </c>
      <c r="CG342" s="167">
        <v>0</v>
      </c>
      <c r="CH342" s="167">
        <v>0</v>
      </c>
      <c r="CI342" s="167">
        <v>0</v>
      </c>
      <c r="CJ342" s="167">
        <v>0</v>
      </c>
      <c r="CK342" s="167">
        <v>0</v>
      </c>
      <c r="CL342" s="167">
        <v>0</v>
      </c>
      <c r="CM342" s="167">
        <v>0</v>
      </c>
      <c r="CN342" s="167">
        <f>N342</f>
        <v>11</v>
      </c>
      <c r="CO342" s="167">
        <v>0</v>
      </c>
      <c r="CP342" s="167">
        <v>0</v>
      </c>
      <c r="CQ342" s="167">
        <v>0</v>
      </c>
      <c r="CR342" s="167">
        <v>0</v>
      </c>
      <c r="CS342" s="167">
        <v>0</v>
      </c>
      <c r="CT342" s="167">
        <v>0</v>
      </c>
      <c r="CU342" s="167">
        <v>0</v>
      </c>
      <c r="CV342" s="167">
        <v>0</v>
      </c>
      <c r="CW342" s="167">
        <v>0</v>
      </c>
      <c r="CX342" s="167">
        <f>SUM(CD342:CH342)</f>
        <v>0</v>
      </c>
      <c r="CY342" s="167">
        <f>SUM(CD342:CM342)</f>
        <v>0</v>
      </c>
    </row>
    <row r="343" spans="1:103" ht="12.75" customHeight="1" x14ac:dyDescent="0.2">
      <c r="A343" s="81">
        <v>3511</v>
      </c>
      <c r="B343" s="165" t="s">
        <v>1908</v>
      </c>
      <c r="C343" s="165" t="s">
        <v>33</v>
      </c>
      <c r="D343" s="165" t="s">
        <v>34</v>
      </c>
      <c r="E343" s="165" t="s">
        <v>2412</v>
      </c>
      <c r="F343" s="165" t="s">
        <v>1096</v>
      </c>
      <c r="G343" s="81">
        <v>529369</v>
      </c>
      <c r="H343" s="81">
        <v>177317</v>
      </c>
      <c r="I343" s="165" t="s">
        <v>240</v>
      </c>
      <c r="J343" s="349">
        <v>42825</v>
      </c>
      <c r="L343" s="166">
        <v>0</v>
      </c>
      <c r="M343" s="166">
        <v>72</v>
      </c>
      <c r="N343" s="166">
        <v>72</v>
      </c>
      <c r="O343" s="166">
        <v>2971</v>
      </c>
      <c r="P343" s="166">
        <v>2971</v>
      </c>
      <c r="Q343" s="81" t="s">
        <v>155</v>
      </c>
      <c r="R343" s="165" t="s">
        <v>1090</v>
      </c>
      <c r="S343" s="81" t="s">
        <v>24</v>
      </c>
      <c r="T343" s="349">
        <v>41774</v>
      </c>
      <c r="U343" s="349">
        <v>42046</v>
      </c>
      <c r="W343" s="81" t="s">
        <v>114</v>
      </c>
      <c r="Y343" s="81" t="s">
        <v>115</v>
      </c>
      <c r="Z343" s="81" t="s">
        <v>116</v>
      </c>
      <c r="AA343" s="81" t="s">
        <v>116</v>
      </c>
      <c r="AB343" s="81" t="s">
        <v>117</v>
      </c>
      <c r="AC343" s="166">
        <v>1.3999999761581401</v>
      </c>
      <c r="AG343" s="81" t="s">
        <v>154</v>
      </c>
      <c r="AH343" s="81" t="s">
        <v>312</v>
      </c>
      <c r="AI343" s="81" t="s">
        <v>2413</v>
      </c>
      <c r="AK343" s="166">
        <v>0</v>
      </c>
      <c r="AM343" s="166">
        <v>0</v>
      </c>
      <c r="AO343" s="166">
        <v>0</v>
      </c>
      <c r="AP343" s="166">
        <v>11</v>
      </c>
      <c r="AQ343" s="166">
        <v>32</v>
      </c>
      <c r="AR343" s="166">
        <v>22</v>
      </c>
      <c r="AS343" s="166">
        <v>7</v>
      </c>
      <c r="AT343" s="166">
        <v>0</v>
      </c>
      <c r="AU343" s="166">
        <v>0</v>
      </c>
      <c r="AV343" s="166">
        <v>0</v>
      </c>
      <c r="AW343" s="166">
        <v>11</v>
      </c>
      <c r="AX343" s="166">
        <v>32</v>
      </c>
      <c r="AY343" s="166">
        <v>22</v>
      </c>
      <c r="AZ343" s="166">
        <v>7</v>
      </c>
      <c r="BA343" s="166">
        <v>0</v>
      </c>
      <c r="BB343" s="166">
        <v>0</v>
      </c>
      <c r="BC343" s="166">
        <v>0</v>
      </c>
      <c r="BD343" s="166">
        <v>0</v>
      </c>
      <c r="BE343" s="166">
        <v>0</v>
      </c>
      <c r="BF343" s="166">
        <v>0</v>
      </c>
      <c r="BG343" s="166">
        <v>0</v>
      </c>
      <c r="BH343" s="166">
        <v>0</v>
      </c>
      <c r="BI343" s="166">
        <v>0</v>
      </c>
      <c r="BJ343" s="166">
        <v>0</v>
      </c>
      <c r="BK343" s="166">
        <v>0</v>
      </c>
      <c r="BL343" s="166">
        <v>0</v>
      </c>
      <c r="BM343" s="166">
        <v>0</v>
      </c>
      <c r="BN343" s="166">
        <v>0</v>
      </c>
      <c r="BO343" s="166">
        <v>0</v>
      </c>
      <c r="BP343" s="166">
        <v>0</v>
      </c>
      <c r="BQ343" s="81" t="s">
        <v>1759</v>
      </c>
      <c r="BS343" s="81" t="s">
        <v>155</v>
      </c>
      <c r="BZ343" s="81" t="s">
        <v>155</v>
      </c>
      <c r="CA343" s="81">
        <v>12</v>
      </c>
      <c r="CC343" s="167">
        <v>0</v>
      </c>
      <c r="CD343" s="167">
        <v>0</v>
      </c>
      <c r="CE343" s="167">
        <v>0</v>
      </c>
      <c r="CF343" s="167">
        <v>0</v>
      </c>
      <c r="CG343" s="167">
        <v>0</v>
      </c>
      <c r="CH343" s="167">
        <v>0</v>
      </c>
      <c r="CI343" s="167">
        <v>0</v>
      </c>
      <c r="CJ343" s="167">
        <v>0</v>
      </c>
      <c r="CK343" s="167">
        <v>0</v>
      </c>
      <c r="CL343" s="167">
        <v>0</v>
      </c>
      <c r="CM343" s="167">
        <f>N343</f>
        <v>72</v>
      </c>
      <c r="CN343" s="167">
        <v>0</v>
      </c>
      <c r="CO343" s="167">
        <v>0</v>
      </c>
      <c r="CP343" s="167">
        <v>0</v>
      </c>
      <c r="CQ343" s="167">
        <v>0</v>
      </c>
      <c r="CR343" s="167">
        <v>0</v>
      </c>
      <c r="CS343" s="167">
        <v>0</v>
      </c>
      <c r="CT343" s="167">
        <v>0</v>
      </c>
      <c r="CU343" s="167">
        <v>0</v>
      </c>
      <c r="CV343" s="167">
        <v>0</v>
      </c>
      <c r="CW343" s="167">
        <v>0</v>
      </c>
      <c r="CX343" s="167">
        <f>SUM(CD343:CH343)</f>
        <v>0</v>
      </c>
      <c r="CY343" s="167">
        <f>SUM(CD343:CM343)</f>
        <v>72</v>
      </c>
    </row>
    <row r="344" spans="1:103" ht="12.75" customHeight="1" x14ac:dyDescent="0.2">
      <c r="A344" s="81">
        <v>3511</v>
      </c>
      <c r="B344" s="165" t="s">
        <v>1908</v>
      </c>
      <c r="C344" s="165" t="s">
        <v>33</v>
      </c>
      <c r="D344" s="165" t="s">
        <v>34</v>
      </c>
      <c r="E344" s="165" t="s">
        <v>2412</v>
      </c>
      <c r="F344" s="165" t="s">
        <v>1096</v>
      </c>
      <c r="G344" s="81">
        <v>529369</v>
      </c>
      <c r="H344" s="81">
        <v>177317</v>
      </c>
      <c r="I344" s="165" t="s">
        <v>240</v>
      </c>
      <c r="J344" s="349">
        <v>42825</v>
      </c>
      <c r="L344" s="166">
        <v>0</v>
      </c>
      <c r="M344" s="166">
        <v>27</v>
      </c>
      <c r="N344" s="166">
        <v>27</v>
      </c>
      <c r="O344" s="166">
        <v>2971</v>
      </c>
      <c r="P344" s="166">
        <v>2971</v>
      </c>
      <c r="Q344" s="81" t="s">
        <v>155</v>
      </c>
      <c r="R344" s="165" t="s">
        <v>1090</v>
      </c>
      <c r="S344" s="81" t="s">
        <v>24</v>
      </c>
      <c r="T344" s="349">
        <v>41774</v>
      </c>
      <c r="U344" s="349">
        <v>42046</v>
      </c>
      <c r="W344" s="81" t="s">
        <v>114</v>
      </c>
      <c r="Y344" s="81" t="s">
        <v>115</v>
      </c>
      <c r="Z344" s="81" t="s">
        <v>116</v>
      </c>
      <c r="AA344" s="81" t="s">
        <v>116</v>
      </c>
      <c r="AB344" s="81" t="s">
        <v>117</v>
      </c>
      <c r="AC344" s="166">
        <v>1.3999999761581401</v>
      </c>
      <c r="AG344" s="81" t="s">
        <v>154</v>
      </c>
      <c r="AH344" s="81" t="s">
        <v>312</v>
      </c>
      <c r="AI344" s="81" t="s">
        <v>2413</v>
      </c>
      <c r="AK344" s="166">
        <v>0</v>
      </c>
      <c r="AM344" s="166">
        <v>0</v>
      </c>
      <c r="AO344" s="166">
        <v>0</v>
      </c>
      <c r="AP344" s="166">
        <v>4</v>
      </c>
      <c r="AQ344" s="166">
        <v>12</v>
      </c>
      <c r="AR344" s="166">
        <v>8</v>
      </c>
      <c r="AS344" s="166">
        <v>3</v>
      </c>
      <c r="AT344" s="166">
        <v>0</v>
      </c>
      <c r="AU344" s="166">
        <v>0</v>
      </c>
      <c r="AV344" s="166">
        <v>0</v>
      </c>
      <c r="AW344" s="166">
        <v>4</v>
      </c>
      <c r="AX344" s="166">
        <v>12</v>
      </c>
      <c r="AY344" s="166">
        <v>8</v>
      </c>
      <c r="AZ344" s="166">
        <v>3</v>
      </c>
      <c r="BA344" s="166">
        <v>0</v>
      </c>
      <c r="BB344" s="166">
        <v>0</v>
      </c>
      <c r="BC344" s="166">
        <v>0</v>
      </c>
      <c r="BD344" s="166">
        <v>0</v>
      </c>
      <c r="BE344" s="166">
        <v>0</v>
      </c>
      <c r="BF344" s="166">
        <v>0</v>
      </c>
      <c r="BG344" s="166">
        <v>0</v>
      </c>
      <c r="BH344" s="166">
        <v>0</v>
      </c>
      <c r="BI344" s="166">
        <v>0</v>
      </c>
      <c r="BJ344" s="166">
        <v>0</v>
      </c>
      <c r="BK344" s="166">
        <v>0</v>
      </c>
      <c r="BL344" s="166">
        <v>0</v>
      </c>
      <c r="BM344" s="166">
        <v>0</v>
      </c>
      <c r="BN344" s="166">
        <v>0</v>
      </c>
      <c r="BO344" s="166">
        <v>0</v>
      </c>
      <c r="BP344" s="166">
        <v>0</v>
      </c>
      <c r="BQ344" s="81" t="s">
        <v>1759</v>
      </c>
      <c r="BS344" s="81" t="s">
        <v>155</v>
      </c>
      <c r="BZ344" s="81" t="s">
        <v>155</v>
      </c>
      <c r="CA344" s="81">
        <v>12</v>
      </c>
      <c r="CC344" s="167">
        <v>0</v>
      </c>
      <c r="CD344" s="167">
        <v>0</v>
      </c>
      <c r="CE344" s="167">
        <v>0</v>
      </c>
      <c r="CF344" s="167">
        <v>0</v>
      </c>
      <c r="CG344" s="167">
        <v>0</v>
      </c>
      <c r="CH344" s="167">
        <v>0</v>
      </c>
      <c r="CI344" s="167">
        <v>0</v>
      </c>
      <c r="CJ344" s="167">
        <v>0</v>
      </c>
      <c r="CK344" s="167">
        <v>0</v>
      </c>
      <c r="CL344" s="167">
        <v>0</v>
      </c>
      <c r="CM344" s="167">
        <f>N344</f>
        <v>27</v>
      </c>
      <c r="CN344" s="167">
        <v>0</v>
      </c>
      <c r="CO344" s="167">
        <v>0</v>
      </c>
      <c r="CP344" s="167">
        <v>0</v>
      </c>
      <c r="CQ344" s="167">
        <v>0</v>
      </c>
      <c r="CR344" s="167">
        <v>0</v>
      </c>
      <c r="CS344" s="167">
        <v>0</v>
      </c>
      <c r="CT344" s="167">
        <v>0</v>
      </c>
      <c r="CU344" s="167">
        <v>0</v>
      </c>
      <c r="CV344" s="167">
        <v>0</v>
      </c>
      <c r="CW344" s="167">
        <v>0</v>
      </c>
      <c r="CX344" s="167">
        <f>SUM(CD344:CH344)</f>
        <v>0</v>
      </c>
      <c r="CY344" s="167">
        <f>SUM(CD344:CM344)</f>
        <v>27</v>
      </c>
    </row>
    <row r="345" spans="1:103" ht="12.75" customHeight="1" x14ac:dyDescent="0.2">
      <c r="A345" s="81">
        <v>3511</v>
      </c>
      <c r="B345" s="165" t="s">
        <v>1908</v>
      </c>
      <c r="C345" s="165" t="s">
        <v>33</v>
      </c>
      <c r="D345" s="165" t="s">
        <v>34</v>
      </c>
      <c r="E345" s="165" t="s">
        <v>2412</v>
      </c>
      <c r="F345" s="165" t="s">
        <v>1097</v>
      </c>
      <c r="G345" s="81">
        <v>529369</v>
      </c>
      <c r="H345" s="81">
        <v>177317</v>
      </c>
      <c r="I345" s="165" t="s">
        <v>240</v>
      </c>
      <c r="J345" s="349">
        <v>42825</v>
      </c>
      <c r="L345" s="166">
        <v>0</v>
      </c>
      <c r="M345" s="166">
        <v>36</v>
      </c>
      <c r="N345" s="166">
        <v>36</v>
      </c>
      <c r="O345" s="166">
        <v>2971</v>
      </c>
      <c r="P345" s="166">
        <v>2971</v>
      </c>
      <c r="Q345" s="81" t="s">
        <v>155</v>
      </c>
      <c r="R345" s="165" t="s">
        <v>1090</v>
      </c>
      <c r="S345" s="81" t="s">
        <v>24</v>
      </c>
      <c r="T345" s="349">
        <v>41774</v>
      </c>
      <c r="U345" s="349">
        <v>42046</v>
      </c>
      <c r="W345" s="81" t="s">
        <v>114</v>
      </c>
      <c r="Y345" s="81" t="s">
        <v>115</v>
      </c>
      <c r="Z345" s="81" t="s">
        <v>116</v>
      </c>
      <c r="AA345" s="81" t="s">
        <v>116</v>
      </c>
      <c r="AB345" s="81" t="s">
        <v>117</v>
      </c>
      <c r="AC345" s="166">
        <v>0</v>
      </c>
      <c r="AG345" s="81" t="s">
        <v>154</v>
      </c>
      <c r="AH345" s="81" t="s">
        <v>312</v>
      </c>
      <c r="AI345" s="81" t="s">
        <v>2413</v>
      </c>
      <c r="AK345" s="166">
        <v>0</v>
      </c>
      <c r="AM345" s="166">
        <v>0</v>
      </c>
      <c r="AO345" s="166">
        <v>0</v>
      </c>
      <c r="AP345" s="166">
        <v>5</v>
      </c>
      <c r="AQ345" s="166">
        <v>16</v>
      </c>
      <c r="AR345" s="166">
        <v>11</v>
      </c>
      <c r="AS345" s="166">
        <v>4</v>
      </c>
      <c r="AT345" s="166">
        <v>0</v>
      </c>
      <c r="AU345" s="166">
        <v>0</v>
      </c>
      <c r="AV345" s="166">
        <v>0</v>
      </c>
      <c r="AW345" s="166">
        <v>5</v>
      </c>
      <c r="AX345" s="166">
        <v>16</v>
      </c>
      <c r="AY345" s="166">
        <v>11</v>
      </c>
      <c r="AZ345" s="166">
        <v>4</v>
      </c>
      <c r="BA345" s="166">
        <v>0</v>
      </c>
      <c r="BB345" s="166">
        <v>0</v>
      </c>
      <c r="BC345" s="166">
        <v>0</v>
      </c>
      <c r="BD345" s="166">
        <v>0</v>
      </c>
      <c r="BE345" s="166">
        <v>0</v>
      </c>
      <c r="BF345" s="166">
        <v>0</v>
      </c>
      <c r="BG345" s="166">
        <v>0</v>
      </c>
      <c r="BH345" s="166">
        <v>0</v>
      </c>
      <c r="BI345" s="166">
        <v>0</v>
      </c>
      <c r="BJ345" s="166">
        <v>0</v>
      </c>
      <c r="BK345" s="166">
        <v>0</v>
      </c>
      <c r="BL345" s="166">
        <v>0</v>
      </c>
      <c r="BM345" s="166">
        <v>0</v>
      </c>
      <c r="BN345" s="166">
        <v>0</v>
      </c>
      <c r="BO345" s="166">
        <v>0</v>
      </c>
      <c r="BP345" s="166">
        <v>0</v>
      </c>
      <c r="BQ345" s="81" t="s">
        <v>1759</v>
      </c>
      <c r="BS345" s="81" t="s">
        <v>155</v>
      </c>
      <c r="BZ345" s="81" t="s">
        <v>155</v>
      </c>
      <c r="CA345" s="81">
        <v>12</v>
      </c>
      <c r="CC345" s="167">
        <v>0</v>
      </c>
      <c r="CD345" s="167">
        <v>0</v>
      </c>
      <c r="CE345" s="167">
        <v>0</v>
      </c>
      <c r="CF345" s="167">
        <v>0</v>
      </c>
      <c r="CG345" s="167">
        <v>0</v>
      </c>
      <c r="CH345" s="167">
        <v>0</v>
      </c>
      <c r="CI345" s="167">
        <v>0</v>
      </c>
      <c r="CJ345" s="167">
        <v>0</v>
      </c>
      <c r="CK345" s="167">
        <v>0</v>
      </c>
      <c r="CL345" s="167">
        <v>0</v>
      </c>
      <c r="CM345" s="167">
        <f>N345</f>
        <v>36</v>
      </c>
      <c r="CN345" s="167">
        <v>0</v>
      </c>
      <c r="CO345" s="167">
        <v>0</v>
      </c>
      <c r="CP345" s="167">
        <v>0</v>
      </c>
      <c r="CQ345" s="167">
        <v>0</v>
      </c>
      <c r="CR345" s="167">
        <v>0</v>
      </c>
      <c r="CS345" s="167">
        <v>0</v>
      </c>
      <c r="CT345" s="167">
        <v>0</v>
      </c>
      <c r="CU345" s="167">
        <v>0</v>
      </c>
      <c r="CV345" s="167">
        <v>0</v>
      </c>
      <c r="CW345" s="167">
        <v>0</v>
      </c>
      <c r="CX345" s="167">
        <f>SUM(CD345:CH345)</f>
        <v>0</v>
      </c>
      <c r="CY345" s="167">
        <f>SUM(CD345:CM345)</f>
        <v>36</v>
      </c>
    </row>
    <row r="346" spans="1:103" ht="12.75" customHeight="1" x14ac:dyDescent="0.2">
      <c r="A346" s="81">
        <v>3511</v>
      </c>
      <c r="B346" s="165" t="s">
        <v>1908</v>
      </c>
      <c r="C346" s="165" t="s">
        <v>33</v>
      </c>
      <c r="D346" s="165" t="s">
        <v>34</v>
      </c>
      <c r="E346" s="165" t="s">
        <v>2412</v>
      </c>
      <c r="F346" s="165" t="s">
        <v>1098</v>
      </c>
      <c r="G346" s="81">
        <v>529369</v>
      </c>
      <c r="H346" s="81">
        <v>177317</v>
      </c>
      <c r="I346" s="165" t="s">
        <v>240</v>
      </c>
      <c r="J346" s="349">
        <v>42825</v>
      </c>
      <c r="L346" s="166">
        <v>0</v>
      </c>
      <c r="M346" s="166">
        <v>54</v>
      </c>
      <c r="N346" s="166">
        <v>54</v>
      </c>
      <c r="O346" s="166">
        <v>2971</v>
      </c>
      <c r="P346" s="166">
        <v>2971</v>
      </c>
      <c r="Q346" s="81" t="s">
        <v>155</v>
      </c>
      <c r="R346" s="165" t="s">
        <v>1090</v>
      </c>
      <c r="S346" s="81" t="s">
        <v>24</v>
      </c>
      <c r="T346" s="349">
        <v>41774</v>
      </c>
      <c r="U346" s="349">
        <v>42046</v>
      </c>
      <c r="W346" s="81" t="s">
        <v>114</v>
      </c>
      <c r="Y346" s="81" t="s">
        <v>115</v>
      </c>
      <c r="Z346" s="81" t="s">
        <v>116</v>
      </c>
      <c r="AA346" s="81" t="s">
        <v>116</v>
      </c>
      <c r="AB346" s="81" t="s">
        <v>117</v>
      </c>
      <c r="AC346" s="166">
        <v>0</v>
      </c>
      <c r="AG346" s="81" t="s">
        <v>154</v>
      </c>
      <c r="AH346" s="81" t="s">
        <v>312</v>
      </c>
      <c r="AI346" s="81" t="s">
        <v>2413</v>
      </c>
      <c r="AK346" s="166">
        <v>0</v>
      </c>
      <c r="AM346" s="166">
        <v>0</v>
      </c>
      <c r="AO346" s="166">
        <v>0</v>
      </c>
      <c r="AP346" s="166">
        <v>8</v>
      </c>
      <c r="AQ346" s="166">
        <v>25</v>
      </c>
      <c r="AR346" s="166">
        <v>16</v>
      </c>
      <c r="AS346" s="166">
        <v>5</v>
      </c>
      <c r="AT346" s="166">
        <v>0</v>
      </c>
      <c r="AU346" s="166">
        <v>0</v>
      </c>
      <c r="AV346" s="166">
        <v>0</v>
      </c>
      <c r="AW346" s="166">
        <v>8</v>
      </c>
      <c r="AX346" s="166">
        <v>25</v>
      </c>
      <c r="AY346" s="166">
        <v>16</v>
      </c>
      <c r="AZ346" s="166">
        <v>5</v>
      </c>
      <c r="BA346" s="166">
        <v>0</v>
      </c>
      <c r="BB346" s="166">
        <v>0</v>
      </c>
      <c r="BC346" s="166">
        <v>0</v>
      </c>
      <c r="BD346" s="166">
        <v>0</v>
      </c>
      <c r="BE346" s="166">
        <v>0</v>
      </c>
      <c r="BF346" s="166">
        <v>0</v>
      </c>
      <c r="BG346" s="166">
        <v>0</v>
      </c>
      <c r="BH346" s="166">
        <v>0</v>
      </c>
      <c r="BI346" s="166">
        <v>0</v>
      </c>
      <c r="BJ346" s="166">
        <v>0</v>
      </c>
      <c r="BK346" s="166">
        <v>0</v>
      </c>
      <c r="BL346" s="166">
        <v>0</v>
      </c>
      <c r="BM346" s="166">
        <v>0</v>
      </c>
      <c r="BN346" s="166">
        <v>0</v>
      </c>
      <c r="BO346" s="166">
        <v>0</v>
      </c>
      <c r="BP346" s="166">
        <v>0</v>
      </c>
      <c r="BQ346" s="81" t="s">
        <v>1759</v>
      </c>
      <c r="BS346" s="81" t="s">
        <v>155</v>
      </c>
      <c r="BZ346" s="81" t="s">
        <v>155</v>
      </c>
      <c r="CA346" s="81">
        <v>12</v>
      </c>
      <c r="CC346" s="167">
        <v>0</v>
      </c>
      <c r="CD346" s="167">
        <v>0</v>
      </c>
      <c r="CE346" s="167">
        <v>0</v>
      </c>
      <c r="CF346" s="167">
        <v>0</v>
      </c>
      <c r="CG346" s="167">
        <v>0</v>
      </c>
      <c r="CH346" s="167">
        <v>0</v>
      </c>
      <c r="CI346" s="167">
        <v>0</v>
      </c>
      <c r="CJ346" s="167">
        <v>0</v>
      </c>
      <c r="CK346" s="167">
        <v>0</v>
      </c>
      <c r="CL346" s="167">
        <v>0</v>
      </c>
      <c r="CM346" s="167">
        <f>N346</f>
        <v>54</v>
      </c>
      <c r="CN346" s="167">
        <v>0</v>
      </c>
      <c r="CO346" s="167">
        <v>0</v>
      </c>
      <c r="CP346" s="167">
        <v>0</v>
      </c>
      <c r="CQ346" s="167">
        <v>0</v>
      </c>
      <c r="CR346" s="167">
        <v>0</v>
      </c>
      <c r="CS346" s="167">
        <v>0</v>
      </c>
      <c r="CT346" s="167">
        <v>0</v>
      </c>
      <c r="CU346" s="167">
        <v>0</v>
      </c>
      <c r="CV346" s="167">
        <v>0</v>
      </c>
      <c r="CW346" s="167">
        <v>0</v>
      </c>
      <c r="CX346" s="167">
        <f>SUM(CD346:CH346)</f>
        <v>0</v>
      </c>
      <c r="CY346" s="167">
        <f>SUM(CD346:CM346)</f>
        <v>54</v>
      </c>
    </row>
    <row r="347" spans="1:103" ht="12.75" customHeight="1" x14ac:dyDescent="0.2">
      <c r="A347" s="81">
        <v>3511</v>
      </c>
      <c r="B347" s="165" t="s">
        <v>1908</v>
      </c>
      <c r="C347" s="165" t="s">
        <v>33</v>
      </c>
      <c r="D347" s="165" t="s">
        <v>34</v>
      </c>
      <c r="E347" s="165" t="s">
        <v>2412</v>
      </c>
      <c r="F347" s="165" t="s">
        <v>1099</v>
      </c>
      <c r="G347" s="81">
        <v>529369</v>
      </c>
      <c r="H347" s="81">
        <v>177317</v>
      </c>
      <c r="I347" s="165" t="s">
        <v>240</v>
      </c>
      <c r="J347" s="349">
        <v>42825</v>
      </c>
      <c r="L347" s="166">
        <v>0</v>
      </c>
      <c r="M347" s="166">
        <v>59</v>
      </c>
      <c r="N347" s="166">
        <v>59</v>
      </c>
      <c r="O347" s="166">
        <v>2971</v>
      </c>
      <c r="P347" s="166">
        <v>2971</v>
      </c>
      <c r="Q347" s="81" t="s">
        <v>155</v>
      </c>
      <c r="R347" s="165" t="s">
        <v>1090</v>
      </c>
      <c r="S347" s="81" t="s">
        <v>24</v>
      </c>
      <c r="T347" s="349">
        <v>41774</v>
      </c>
      <c r="U347" s="349">
        <v>42046</v>
      </c>
      <c r="W347" s="81" t="s">
        <v>114</v>
      </c>
      <c r="Y347" s="81" t="s">
        <v>115</v>
      </c>
      <c r="Z347" s="81" t="s">
        <v>116</v>
      </c>
      <c r="AA347" s="81" t="s">
        <v>116</v>
      </c>
      <c r="AB347" s="81" t="s">
        <v>117</v>
      </c>
      <c r="AC347" s="166">
        <v>0</v>
      </c>
      <c r="AG347" s="81" t="s">
        <v>238</v>
      </c>
      <c r="AH347" s="81" t="s">
        <v>118</v>
      </c>
      <c r="AI347" s="81" t="s">
        <v>2413</v>
      </c>
      <c r="AK347" s="166">
        <v>0</v>
      </c>
      <c r="AM347" s="166">
        <v>0</v>
      </c>
      <c r="AO347" s="166">
        <v>7</v>
      </c>
      <c r="AP347" s="166">
        <v>12</v>
      </c>
      <c r="AQ347" s="166">
        <v>36</v>
      </c>
      <c r="AR347" s="166">
        <v>4</v>
      </c>
      <c r="AS347" s="166">
        <v>0</v>
      </c>
      <c r="AT347" s="166">
        <v>0</v>
      </c>
      <c r="AU347" s="166">
        <v>0</v>
      </c>
      <c r="AV347" s="166">
        <v>7</v>
      </c>
      <c r="AW347" s="166">
        <v>12</v>
      </c>
      <c r="AX347" s="166">
        <v>36</v>
      </c>
      <c r="AY347" s="166">
        <v>4</v>
      </c>
      <c r="AZ347" s="166">
        <v>0</v>
      </c>
      <c r="BA347" s="166">
        <v>0</v>
      </c>
      <c r="BB347" s="166">
        <v>0</v>
      </c>
      <c r="BC347" s="166">
        <v>0</v>
      </c>
      <c r="BD347" s="166">
        <v>0</v>
      </c>
      <c r="BE347" s="166">
        <v>0</v>
      </c>
      <c r="BF347" s="166">
        <v>0</v>
      </c>
      <c r="BG347" s="166">
        <v>0</v>
      </c>
      <c r="BH347" s="166">
        <v>0</v>
      </c>
      <c r="BI347" s="166">
        <v>0</v>
      </c>
      <c r="BJ347" s="166">
        <v>0</v>
      </c>
      <c r="BK347" s="166">
        <v>0</v>
      </c>
      <c r="BL347" s="166">
        <v>0</v>
      </c>
      <c r="BM347" s="166">
        <v>0</v>
      </c>
      <c r="BN347" s="166">
        <v>0</v>
      </c>
      <c r="BO347" s="166">
        <v>0</v>
      </c>
      <c r="BP347" s="166">
        <v>0</v>
      </c>
      <c r="BQ347" s="81" t="s">
        <v>1759</v>
      </c>
      <c r="BS347" s="81" t="s">
        <v>155</v>
      </c>
      <c r="BZ347" s="81" t="s">
        <v>155</v>
      </c>
      <c r="CA347" s="81">
        <v>12</v>
      </c>
      <c r="CC347" s="167">
        <v>0</v>
      </c>
      <c r="CD347" s="167">
        <v>0</v>
      </c>
      <c r="CE347" s="167">
        <v>0</v>
      </c>
      <c r="CF347" s="167">
        <v>0</v>
      </c>
      <c r="CG347" s="167">
        <v>0</v>
      </c>
      <c r="CH347" s="167">
        <v>0</v>
      </c>
      <c r="CI347" s="167">
        <v>0</v>
      </c>
      <c r="CJ347" s="167">
        <v>0</v>
      </c>
      <c r="CK347" s="167">
        <v>0</v>
      </c>
      <c r="CL347" s="167">
        <v>0</v>
      </c>
      <c r="CM347" s="167">
        <f>N347</f>
        <v>59</v>
      </c>
      <c r="CN347" s="167">
        <v>0</v>
      </c>
      <c r="CO347" s="167">
        <v>0</v>
      </c>
      <c r="CP347" s="167">
        <v>0</v>
      </c>
      <c r="CQ347" s="167">
        <v>0</v>
      </c>
      <c r="CR347" s="167">
        <v>0</v>
      </c>
      <c r="CS347" s="167">
        <v>0</v>
      </c>
      <c r="CT347" s="167">
        <v>0</v>
      </c>
      <c r="CU347" s="167">
        <v>0</v>
      </c>
      <c r="CV347" s="167">
        <v>0</v>
      </c>
      <c r="CW347" s="167">
        <v>0</v>
      </c>
      <c r="CX347" s="167">
        <f>SUM(CD347:CH347)</f>
        <v>0</v>
      </c>
      <c r="CY347" s="167">
        <f>SUM(CD347:CM347)</f>
        <v>59</v>
      </c>
    </row>
    <row r="348" spans="1:103" ht="12.75" customHeight="1" x14ac:dyDescent="0.2">
      <c r="A348" s="81">
        <v>3511</v>
      </c>
      <c r="B348" s="165" t="s">
        <v>1908</v>
      </c>
      <c r="C348" s="165" t="s">
        <v>33</v>
      </c>
      <c r="D348" s="165" t="s">
        <v>34</v>
      </c>
      <c r="E348" s="165" t="s">
        <v>2412</v>
      </c>
      <c r="F348" s="165" t="s">
        <v>1100</v>
      </c>
      <c r="G348" s="81">
        <v>529369</v>
      </c>
      <c r="H348" s="81">
        <v>177317</v>
      </c>
      <c r="I348" s="165" t="s">
        <v>240</v>
      </c>
      <c r="J348" s="349">
        <v>42825</v>
      </c>
      <c r="L348" s="166">
        <v>0</v>
      </c>
      <c r="M348" s="166">
        <v>95</v>
      </c>
      <c r="N348" s="166">
        <v>95</v>
      </c>
      <c r="O348" s="166">
        <v>2971</v>
      </c>
      <c r="P348" s="166">
        <v>2971</v>
      </c>
      <c r="Q348" s="81" t="s">
        <v>155</v>
      </c>
      <c r="R348" s="165" t="s">
        <v>1090</v>
      </c>
      <c r="S348" s="81" t="s">
        <v>24</v>
      </c>
      <c r="T348" s="349">
        <v>41774</v>
      </c>
      <c r="U348" s="349">
        <v>42046</v>
      </c>
      <c r="W348" s="81" t="s">
        <v>114</v>
      </c>
      <c r="Y348" s="81" t="s">
        <v>115</v>
      </c>
      <c r="Z348" s="81" t="s">
        <v>116</v>
      </c>
      <c r="AA348" s="81" t="s">
        <v>116</v>
      </c>
      <c r="AB348" s="81" t="s">
        <v>117</v>
      </c>
      <c r="AC348" s="166">
        <v>1.3999999761581401</v>
      </c>
      <c r="AG348" s="81" t="s">
        <v>238</v>
      </c>
      <c r="AH348" s="81" t="s">
        <v>118</v>
      </c>
      <c r="AI348" s="81" t="s">
        <v>2413</v>
      </c>
      <c r="AK348" s="166">
        <v>0</v>
      </c>
      <c r="AM348" s="166">
        <v>0</v>
      </c>
      <c r="AO348" s="166">
        <v>12</v>
      </c>
      <c r="AP348" s="166">
        <v>19</v>
      </c>
      <c r="AQ348" s="166">
        <v>57</v>
      </c>
      <c r="AR348" s="166">
        <v>7</v>
      </c>
      <c r="AS348" s="166">
        <v>0</v>
      </c>
      <c r="AT348" s="166">
        <v>0</v>
      </c>
      <c r="AU348" s="166">
        <v>0</v>
      </c>
      <c r="AV348" s="166">
        <v>12</v>
      </c>
      <c r="AW348" s="166">
        <v>19</v>
      </c>
      <c r="AX348" s="166">
        <v>57</v>
      </c>
      <c r="AY348" s="166">
        <v>7</v>
      </c>
      <c r="AZ348" s="166">
        <v>0</v>
      </c>
      <c r="BA348" s="166">
        <v>0</v>
      </c>
      <c r="BB348" s="166">
        <v>0</v>
      </c>
      <c r="BC348" s="166">
        <v>0</v>
      </c>
      <c r="BD348" s="166">
        <v>0</v>
      </c>
      <c r="BE348" s="166">
        <v>0</v>
      </c>
      <c r="BF348" s="166">
        <v>0</v>
      </c>
      <c r="BG348" s="166">
        <v>0</v>
      </c>
      <c r="BH348" s="166">
        <v>0</v>
      </c>
      <c r="BI348" s="166">
        <v>0</v>
      </c>
      <c r="BJ348" s="166">
        <v>0</v>
      </c>
      <c r="BK348" s="166">
        <v>0</v>
      </c>
      <c r="BL348" s="166">
        <v>0</v>
      </c>
      <c r="BM348" s="166">
        <v>0</v>
      </c>
      <c r="BN348" s="166">
        <v>0</v>
      </c>
      <c r="BO348" s="166">
        <v>0</v>
      </c>
      <c r="BP348" s="166">
        <v>0</v>
      </c>
      <c r="BQ348" s="81" t="s">
        <v>1759</v>
      </c>
      <c r="BS348" s="81" t="s">
        <v>155</v>
      </c>
      <c r="BZ348" s="81" t="s">
        <v>155</v>
      </c>
      <c r="CA348" s="81">
        <v>12</v>
      </c>
      <c r="CC348" s="167">
        <v>0</v>
      </c>
      <c r="CD348" s="167">
        <v>0</v>
      </c>
      <c r="CE348" s="167">
        <v>0</v>
      </c>
      <c r="CF348" s="167">
        <v>0</v>
      </c>
      <c r="CG348" s="167">
        <v>0</v>
      </c>
      <c r="CH348" s="167">
        <v>0</v>
      </c>
      <c r="CI348" s="167">
        <v>0</v>
      </c>
      <c r="CJ348" s="167">
        <v>0</v>
      </c>
      <c r="CK348" s="167">
        <v>0</v>
      </c>
      <c r="CL348" s="167">
        <v>0</v>
      </c>
      <c r="CM348" s="167">
        <f>N348</f>
        <v>95</v>
      </c>
      <c r="CN348" s="167">
        <v>0</v>
      </c>
      <c r="CO348" s="167">
        <v>0</v>
      </c>
      <c r="CP348" s="167">
        <v>0</v>
      </c>
      <c r="CQ348" s="167">
        <v>0</v>
      </c>
      <c r="CR348" s="167">
        <v>0</v>
      </c>
      <c r="CS348" s="167">
        <v>0</v>
      </c>
      <c r="CT348" s="167">
        <v>0</v>
      </c>
      <c r="CU348" s="167">
        <v>0</v>
      </c>
      <c r="CV348" s="167">
        <v>0</v>
      </c>
      <c r="CW348" s="167">
        <v>0</v>
      </c>
      <c r="CX348" s="167">
        <f>SUM(CD348:CH348)</f>
        <v>0</v>
      </c>
      <c r="CY348" s="167">
        <f>SUM(CD348:CM348)</f>
        <v>95</v>
      </c>
    </row>
    <row r="349" spans="1:103" ht="12.75" customHeight="1" x14ac:dyDescent="0.2">
      <c r="A349" s="81">
        <v>3511</v>
      </c>
      <c r="B349" s="165" t="s">
        <v>1908</v>
      </c>
      <c r="C349" s="165" t="s">
        <v>33</v>
      </c>
      <c r="D349" s="165" t="s">
        <v>34</v>
      </c>
      <c r="E349" s="165" t="s">
        <v>2412</v>
      </c>
      <c r="F349" s="165" t="s">
        <v>1101</v>
      </c>
      <c r="G349" s="81">
        <v>529369</v>
      </c>
      <c r="H349" s="81">
        <v>177317</v>
      </c>
      <c r="I349" s="165" t="s">
        <v>240</v>
      </c>
      <c r="J349" s="349">
        <v>42825</v>
      </c>
      <c r="L349" s="166">
        <v>0</v>
      </c>
      <c r="M349" s="166">
        <v>87</v>
      </c>
      <c r="N349" s="166">
        <v>87</v>
      </c>
      <c r="O349" s="166">
        <v>2971</v>
      </c>
      <c r="P349" s="166">
        <v>2971</v>
      </c>
      <c r="Q349" s="81" t="s">
        <v>155</v>
      </c>
      <c r="R349" s="165" t="s">
        <v>1090</v>
      </c>
      <c r="S349" s="81" t="s">
        <v>24</v>
      </c>
      <c r="T349" s="349">
        <v>41774</v>
      </c>
      <c r="U349" s="349">
        <v>42046</v>
      </c>
      <c r="W349" s="81" t="s">
        <v>114</v>
      </c>
      <c r="Y349" s="81" t="s">
        <v>115</v>
      </c>
      <c r="Z349" s="81" t="s">
        <v>116</v>
      </c>
      <c r="AA349" s="81" t="s">
        <v>116</v>
      </c>
      <c r="AB349" s="81" t="s">
        <v>117</v>
      </c>
      <c r="AC349" s="166">
        <v>0</v>
      </c>
      <c r="AG349" s="81" t="s">
        <v>238</v>
      </c>
      <c r="AH349" s="81" t="s">
        <v>118</v>
      </c>
      <c r="AI349" s="81" t="s">
        <v>2413</v>
      </c>
      <c r="AK349" s="166">
        <v>0</v>
      </c>
      <c r="AM349" s="166">
        <v>0</v>
      </c>
      <c r="AO349" s="166">
        <v>0</v>
      </c>
      <c r="AP349" s="166">
        <v>17</v>
      </c>
      <c r="AQ349" s="166">
        <v>30</v>
      </c>
      <c r="AR349" s="166">
        <v>40</v>
      </c>
      <c r="AS349" s="166">
        <v>0</v>
      </c>
      <c r="AT349" s="166">
        <v>0</v>
      </c>
      <c r="AU349" s="166">
        <v>0</v>
      </c>
      <c r="AV349" s="166">
        <v>0</v>
      </c>
      <c r="AW349" s="166">
        <v>17</v>
      </c>
      <c r="AX349" s="166">
        <v>30</v>
      </c>
      <c r="AY349" s="166">
        <v>40</v>
      </c>
      <c r="AZ349" s="166">
        <v>0</v>
      </c>
      <c r="BA349" s="166">
        <v>0</v>
      </c>
      <c r="BB349" s="166">
        <v>0</v>
      </c>
      <c r="BC349" s="166">
        <v>0</v>
      </c>
      <c r="BD349" s="166">
        <v>0</v>
      </c>
      <c r="BE349" s="166">
        <v>0</v>
      </c>
      <c r="BF349" s="166">
        <v>0</v>
      </c>
      <c r="BG349" s="166">
        <v>0</v>
      </c>
      <c r="BH349" s="166">
        <v>0</v>
      </c>
      <c r="BI349" s="166">
        <v>0</v>
      </c>
      <c r="BJ349" s="166">
        <v>0</v>
      </c>
      <c r="BK349" s="166">
        <v>0</v>
      </c>
      <c r="BL349" s="166">
        <v>0</v>
      </c>
      <c r="BM349" s="166">
        <v>0</v>
      </c>
      <c r="BN349" s="166">
        <v>0</v>
      </c>
      <c r="BO349" s="166">
        <v>0</v>
      </c>
      <c r="BP349" s="166">
        <v>0</v>
      </c>
      <c r="BQ349" s="81" t="s">
        <v>1759</v>
      </c>
      <c r="BS349" s="81" t="s">
        <v>155</v>
      </c>
      <c r="BZ349" s="81" t="s">
        <v>155</v>
      </c>
      <c r="CA349" s="81">
        <v>12</v>
      </c>
      <c r="CC349" s="167">
        <v>0</v>
      </c>
      <c r="CD349" s="167">
        <v>0</v>
      </c>
      <c r="CE349" s="167">
        <v>0</v>
      </c>
      <c r="CF349" s="167">
        <v>0</v>
      </c>
      <c r="CG349" s="167">
        <v>0</v>
      </c>
      <c r="CH349" s="167">
        <v>0</v>
      </c>
      <c r="CI349" s="167">
        <v>0</v>
      </c>
      <c r="CJ349" s="167">
        <v>0</v>
      </c>
      <c r="CK349" s="167">
        <v>0</v>
      </c>
      <c r="CL349" s="167">
        <v>0</v>
      </c>
      <c r="CM349" s="167">
        <v>0</v>
      </c>
      <c r="CN349" s="167">
        <f>N349</f>
        <v>87</v>
      </c>
      <c r="CO349" s="167">
        <v>0</v>
      </c>
      <c r="CP349" s="167">
        <v>0</v>
      </c>
      <c r="CQ349" s="167">
        <v>0</v>
      </c>
      <c r="CR349" s="167">
        <v>0</v>
      </c>
      <c r="CS349" s="167">
        <v>0</v>
      </c>
      <c r="CT349" s="167">
        <v>0</v>
      </c>
      <c r="CU349" s="167">
        <v>0</v>
      </c>
      <c r="CV349" s="167">
        <v>0</v>
      </c>
      <c r="CW349" s="167">
        <v>0</v>
      </c>
      <c r="CX349" s="167">
        <f>SUM(CD349:CH349)</f>
        <v>0</v>
      </c>
      <c r="CY349" s="167">
        <f>SUM(CD349:CM349)</f>
        <v>0</v>
      </c>
    </row>
    <row r="350" spans="1:103" ht="12.75" customHeight="1" x14ac:dyDescent="0.2">
      <c r="A350" s="81">
        <v>3511</v>
      </c>
      <c r="B350" s="165" t="s">
        <v>1908</v>
      </c>
      <c r="C350" s="165" t="s">
        <v>33</v>
      </c>
      <c r="D350" s="165" t="s">
        <v>34</v>
      </c>
      <c r="E350" s="165" t="s">
        <v>2412</v>
      </c>
      <c r="F350" s="165" t="s">
        <v>1102</v>
      </c>
      <c r="G350" s="81">
        <v>529369</v>
      </c>
      <c r="H350" s="81">
        <v>177317</v>
      </c>
      <c r="I350" s="165" t="s">
        <v>240</v>
      </c>
      <c r="J350" s="349">
        <v>42825</v>
      </c>
      <c r="L350" s="166">
        <v>0</v>
      </c>
      <c r="M350" s="166">
        <v>198</v>
      </c>
      <c r="N350" s="166">
        <v>198</v>
      </c>
      <c r="O350" s="166">
        <v>2971</v>
      </c>
      <c r="P350" s="166">
        <v>2971</v>
      </c>
      <c r="Q350" s="81" t="s">
        <v>155</v>
      </c>
      <c r="R350" s="165" t="s">
        <v>1090</v>
      </c>
      <c r="S350" s="81" t="s">
        <v>24</v>
      </c>
      <c r="T350" s="349">
        <v>41774</v>
      </c>
      <c r="U350" s="349">
        <v>42046</v>
      </c>
      <c r="W350" s="81" t="s">
        <v>114</v>
      </c>
      <c r="Y350" s="81" t="s">
        <v>115</v>
      </c>
      <c r="Z350" s="81" t="s">
        <v>116</v>
      </c>
      <c r="AA350" s="81" t="s">
        <v>116</v>
      </c>
      <c r="AB350" s="81" t="s">
        <v>117</v>
      </c>
      <c r="AC350" s="166">
        <v>0</v>
      </c>
      <c r="AD350" s="349"/>
      <c r="AG350" s="81" t="s">
        <v>238</v>
      </c>
      <c r="AH350" s="81" t="s">
        <v>118</v>
      </c>
      <c r="AI350" s="81" t="s">
        <v>2413</v>
      </c>
      <c r="AK350" s="166">
        <v>0</v>
      </c>
      <c r="AM350" s="166">
        <v>0</v>
      </c>
      <c r="AO350" s="166">
        <v>23</v>
      </c>
      <c r="AP350" s="166">
        <v>40</v>
      </c>
      <c r="AQ350" s="166">
        <v>120</v>
      </c>
      <c r="AR350" s="166">
        <v>15</v>
      </c>
      <c r="AS350" s="166">
        <v>0</v>
      </c>
      <c r="AT350" s="166">
        <v>0</v>
      </c>
      <c r="AU350" s="166">
        <v>0</v>
      </c>
      <c r="AV350" s="166">
        <v>23</v>
      </c>
      <c r="AW350" s="166">
        <v>40</v>
      </c>
      <c r="AX350" s="166">
        <v>120</v>
      </c>
      <c r="AY350" s="166">
        <v>15</v>
      </c>
      <c r="AZ350" s="166">
        <v>0</v>
      </c>
      <c r="BA350" s="166">
        <v>0</v>
      </c>
      <c r="BB350" s="166">
        <v>0</v>
      </c>
      <c r="BC350" s="166">
        <v>0</v>
      </c>
      <c r="BD350" s="166">
        <v>0</v>
      </c>
      <c r="BE350" s="166">
        <v>0</v>
      </c>
      <c r="BF350" s="166">
        <v>0</v>
      </c>
      <c r="BG350" s="166">
        <v>0</v>
      </c>
      <c r="BH350" s="166">
        <v>0</v>
      </c>
      <c r="BI350" s="166">
        <v>0</v>
      </c>
      <c r="BJ350" s="166">
        <v>0</v>
      </c>
      <c r="BK350" s="166">
        <v>0</v>
      </c>
      <c r="BL350" s="166">
        <v>0</v>
      </c>
      <c r="BM350" s="166">
        <v>0</v>
      </c>
      <c r="BN350" s="166">
        <v>0</v>
      </c>
      <c r="BO350" s="166">
        <v>0</v>
      </c>
      <c r="BP350" s="166">
        <v>0</v>
      </c>
      <c r="BQ350" s="81" t="s">
        <v>1759</v>
      </c>
      <c r="BS350" s="81" t="s">
        <v>155</v>
      </c>
      <c r="BZ350" s="81" t="s">
        <v>155</v>
      </c>
      <c r="CA350" s="81">
        <v>12</v>
      </c>
      <c r="CC350" s="167">
        <v>0</v>
      </c>
      <c r="CD350" s="167">
        <v>0</v>
      </c>
      <c r="CE350" s="167">
        <v>0</v>
      </c>
      <c r="CF350" s="167">
        <f>N350</f>
        <v>198</v>
      </c>
      <c r="CG350" s="167">
        <v>0</v>
      </c>
      <c r="CH350" s="167">
        <v>0</v>
      </c>
      <c r="CI350" s="167">
        <v>0</v>
      </c>
      <c r="CJ350" s="167">
        <v>0</v>
      </c>
      <c r="CK350" s="167">
        <v>0</v>
      </c>
      <c r="CL350" s="167">
        <v>0</v>
      </c>
      <c r="CM350" s="167">
        <v>0</v>
      </c>
      <c r="CN350" s="167">
        <v>0</v>
      </c>
      <c r="CO350" s="167">
        <v>0</v>
      </c>
      <c r="CP350" s="167">
        <v>0</v>
      </c>
      <c r="CQ350" s="167">
        <v>0</v>
      </c>
      <c r="CR350" s="167">
        <v>0</v>
      </c>
      <c r="CS350" s="167">
        <v>0</v>
      </c>
      <c r="CT350" s="167">
        <v>0</v>
      </c>
      <c r="CU350" s="167">
        <v>0</v>
      </c>
      <c r="CV350" s="167">
        <v>0</v>
      </c>
      <c r="CW350" s="167">
        <v>0</v>
      </c>
      <c r="CX350" s="167">
        <f>SUM(CD350:CH350)</f>
        <v>198</v>
      </c>
      <c r="CY350" s="167">
        <f>SUM(CD350:CM350)</f>
        <v>198</v>
      </c>
    </row>
    <row r="351" spans="1:103" ht="12.75" customHeight="1" x14ac:dyDescent="0.2">
      <c r="A351" s="81">
        <v>3511</v>
      </c>
      <c r="B351" s="165" t="s">
        <v>1908</v>
      </c>
      <c r="C351" s="165" t="s">
        <v>33</v>
      </c>
      <c r="D351" s="165" t="s">
        <v>34</v>
      </c>
      <c r="E351" s="165" t="s">
        <v>2412</v>
      </c>
      <c r="F351" s="165" t="s">
        <v>1103</v>
      </c>
      <c r="G351" s="81">
        <v>529369</v>
      </c>
      <c r="H351" s="81">
        <v>177317</v>
      </c>
      <c r="I351" s="165" t="s">
        <v>240</v>
      </c>
      <c r="J351" s="349">
        <v>42825</v>
      </c>
      <c r="L351" s="166">
        <v>0</v>
      </c>
      <c r="M351" s="166">
        <v>338</v>
      </c>
      <c r="N351" s="166">
        <v>338</v>
      </c>
      <c r="O351" s="166">
        <v>2971</v>
      </c>
      <c r="P351" s="166">
        <v>2971</v>
      </c>
      <c r="Q351" s="81" t="s">
        <v>155</v>
      </c>
      <c r="R351" s="165" t="s">
        <v>1090</v>
      </c>
      <c r="S351" s="81" t="s">
        <v>24</v>
      </c>
      <c r="T351" s="349">
        <v>41774</v>
      </c>
      <c r="U351" s="349">
        <v>42046</v>
      </c>
      <c r="W351" s="81" t="s">
        <v>114</v>
      </c>
      <c r="Y351" s="81" t="s">
        <v>115</v>
      </c>
      <c r="Z351" s="81" t="s">
        <v>116</v>
      </c>
      <c r="AA351" s="81" t="s">
        <v>116</v>
      </c>
      <c r="AB351" s="81" t="s">
        <v>117</v>
      </c>
      <c r="AC351" s="166">
        <v>0</v>
      </c>
      <c r="AD351" s="349"/>
      <c r="AG351" s="81" t="s">
        <v>238</v>
      </c>
      <c r="AH351" s="81" t="s">
        <v>118</v>
      </c>
      <c r="AI351" s="81" t="s">
        <v>2413</v>
      </c>
      <c r="AK351" s="166">
        <v>0</v>
      </c>
      <c r="AM351" s="166">
        <v>0</v>
      </c>
      <c r="AO351" s="166">
        <v>0</v>
      </c>
      <c r="AP351" s="166">
        <v>67</v>
      </c>
      <c r="AQ351" s="166">
        <v>119</v>
      </c>
      <c r="AR351" s="166">
        <v>152</v>
      </c>
      <c r="AS351" s="166">
        <v>0</v>
      </c>
      <c r="AT351" s="166">
        <v>0</v>
      </c>
      <c r="AU351" s="166">
        <v>0</v>
      </c>
      <c r="AV351" s="166">
        <v>0</v>
      </c>
      <c r="AW351" s="166">
        <v>67</v>
      </c>
      <c r="AX351" s="166">
        <v>119</v>
      </c>
      <c r="AY351" s="166">
        <v>152</v>
      </c>
      <c r="AZ351" s="166">
        <v>0</v>
      </c>
      <c r="BA351" s="166">
        <v>0</v>
      </c>
      <c r="BB351" s="166">
        <v>0</v>
      </c>
      <c r="BC351" s="166">
        <v>0</v>
      </c>
      <c r="BD351" s="166">
        <v>0</v>
      </c>
      <c r="BE351" s="166">
        <v>0</v>
      </c>
      <c r="BF351" s="166">
        <v>0</v>
      </c>
      <c r="BG351" s="166">
        <v>0</v>
      </c>
      <c r="BH351" s="166">
        <v>0</v>
      </c>
      <c r="BI351" s="166">
        <v>0</v>
      </c>
      <c r="BJ351" s="166">
        <v>0</v>
      </c>
      <c r="BK351" s="166">
        <v>0</v>
      </c>
      <c r="BL351" s="166">
        <v>0</v>
      </c>
      <c r="BM351" s="166">
        <v>0</v>
      </c>
      <c r="BN351" s="166">
        <v>0</v>
      </c>
      <c r="BO351" s="166">
        <v>0</v>
      </c>
      <c r="BP351" s="166">
        <v>0</v>
      </c>
      <c r="BQ351" s="81" t="s">
        <v>1759</v>
      </c>
      <c r="BS351" s="81" t="s">
        <v>155</v>
      </c>
      <c r="BZ351" s="81" t="s">
        <v>155</v>
      </c>
      <c r="CA351" s="81">
        <v>12</v>
      </c>
      <c r="CC351" s="167">
        <v>0</v>
      </c>
      <c r="CD351" s="167">
        <v>0</v>
      </c>
      <c r="CE351" s="167">
        <v>0</v>
      </c>
      <c r="CF351" s="167">
        <v>0</v>
      </c>
      <c r="CG351" s="167">
        <f>N351</f>
        <v>338</v>
      </c>
      <c r="CH351" s="167">
        <v>0</v>
      </c>
      <c r="CI351" s="167">
        <v>0</v>
      </c>
      <c r="CJ351" s="167">
        <v>0</v>
      </c>
      <c r="CK351" s="167">
        <v>0</v>
      </c>
      <c r="CL351" s="167">
        <v>0</v>
      </c>
      <c r="CM351" s="167">
        <v>0</v>
      </c>
      <c r="CN351" s="167">
        <v>0</v>
      </c>
      <c r="CO351" s="167">
        <v>0</v>
      </c>
      <c r="CP351" s="167">
        <v>0</v>
      </c>
      <c r="CQ351" s="167">
        <v>0</v>
      </c>
      <c r="CR351" s="167">
        <v>0</v>
      </c>
      <c r="CS351" s="167">
        <v>0</v>
      </c>
      <c r="CT351" s="167">
        <v>0</v>
      </c>
      <c r="CU351" s="167">
        <v>0</v>
      </c>
      <c r="CV351" s="167">
        <v>0</v>
      </c>
      <c r="CW351" s="167">
        <v>0</v>
      </c>
      <c r="CX351" s="167">
        <f>SUM(CD351:CH351)</f>
        <v>338</v>
      </c>
      <c r="CY351" s="167">
        <f>SUM(CD351:CM351)</f>
        <v>338</v>
      </c>
    </row>
    <row r="352" spans="1:103" ht="12.75" customHeight="1" x14ac:dyDescent="0.2">
      <c r="A352" s="81">
        <v>3511</v>
      </c>
      <c r="B352" s="165" t="s">
        <v>1908</v>
      </c>
      <c r="C352" s="165" t="s">
        <v>33</v>
      </c>
      <c r="D352" s="165" t="s">
        <v>34</v>
      </c>
      <c r="E352" s="165" t="s">
        <v>2412</v>
      </c>
      <c r="F352" s="165" t="s">
        <v>1104</v>
      </c>
      <c r="G352" s="81">
        <v>529369</v>
      </c>
      <c r="H352" s="81">
        <v>177317</v>
      </c>
      <c r="I352" s="165" t="s">
        <v>240</v>
      </c>
      <c r="J352" s="349">
        <v>42825</v>
      </c>
      <c r="L352" s="166">
        <v>0</v>
      </c>
      <c r="M352" s="166">
        <v>13</v>
      </c>
      <c r="N352" s="166">
        <v>13</v>
      </c>
      <c r="O352" s="166">
        <v>2971</v>
      </c>
      <c r="P352" s="166">
        <v>2971</v>
      </c>
      <c r="Q352" s="81" t="s">
        <v>155</v>
      </c>
      <c r="R352" s="165" t="s">
        <v>1090</v>
      </c>
      <c r="S352" s="81" t="s">
        <v>24</v>
      </c>
      <c r="T352" s="349">
        <v>41774</v>
      </c>
      <c r="U352" s="349">
        <v>42046</v>
      </c>
      <c r="W352" s="81" t="s">
        <v>114</v>
      </c>
      <c r="Y352" s="81" t="s">
        <v>115</v>
      </c>
      <c r="Z352" s="81" t="s">
        <v>116</v>
      </c>
      <c r="AA352" s="81" t="s">
        <v>116</v>
      </c>
      <c r="AB352" s="81" t="s">
        <v>117</v>
      </c>
      <c r="AC352" s="166">
        <v>0</v>
      </c>
      <c r="AD352" s="349"/>
      <c r="AG352" s="81" t="s">
        <v>74</v>
      </c>
      <c r="AH352" s="81" t="s">
        <v>1913</v>
      </c>
      <c r="AI352" s="81" t="s">
        <v>2413</v>
      </c>
      <c r="AK352" s="166">
        <v>0</v>
      </c>
      <c r="AM352" s="166">
        <v>0</v>
      </c>
      <c r="AO352" s="166">
        <v>0</v>
      </c>
      <c r="AP352" s="166">
        <v>6</v>
      </c>
      <c r="AQ352" s="166">
        <v>6</v>
      </c>
      <c r="AR352" s="166">
        <v>1</v>
      </c>
      <c r="AS352" s="166">
        <v>0</v>
      </c>
      <c r="AT352" s="166">
        <v>0</v>
      </c>
      <c r="AU352" s="166">
        <v>0</v>
      </c>
      <c r="AV352" s="166">
        <v>0</v>
      </c>
      <c r="AW352" s="166">
        <v>6</v>
      </c>
      <c r="AX352" s="166">
        <v>6</v>
      </c>
      <c r="AY352" s="166">
        <v>1</v>
      </c>
      <c r="AZ352" s="166">
        <v>0</v>
      </c>
      <c r="BA352" s="166">
        <v>0</v>
      </c>
      <c r="BB352" s="166">
        <v>0</v>
      </c>
      <c r="BC352" s="166">
        <v>0</v>
      </c>
      <c r="BD352" s="166">
        <v>0</v>
      </c>
      <c r="BE352" s="166">
        <v>0</v>
      </c>
      <c r="BF352" s="166">
        <v>0</v>
      </c>
      <c r="BG352" s="166">
        <v>0</v>
      </c>
      <c r="BH352" s="166">
        <v>0</v>
      </c>
      <c r="BI352" s="166">
        <v>0</v>
      </c>
      <c r="BJ352" s="166">
        <v>0</v>
      </c>
      <c r="BK352" s="166">
        <v>0</v>
      </c>
      <c r="BL352" s="166">
        <v>0</v>
      </c>
      <c r="BM352" s="166">
        <v>0</v>
      </c>
      <c r="BN352" s="166">
        <v>0</v>
      </c>
      <c r="BO352" s="166">
        <v>0</v>
      </c>
      <c r="BP352" s="166">
        <v>0</v>
      </c>
      <c r="BQ352" s="81" t="s">
        <v>1759</v>
      </c>
      <c r="BS352" s="81" t="s">
        <v>155</v>
      </c>
      <c r="BZ352" s="81" t="s">
        <v>155</v>
      </c>
      <c r="CA352" s="81">
        <v>12</v>
      </c>
      <c r="CC352" s="167">
        <v>0</v>
      </c>
      <c r="CD352" s="167">
        <v>0</v>
      </c>
      <c r="CE352" s="167">
        <f>N352</f>
        <v>13</v>
      </c>
      <c r="CF352" s="167">
        <v>0</v>
      </c>
      <c r="CG352" s="167">
        <v>0</v>
      </c>
      <c r="CH352" s="167">
        <v>0</v>
      </c>
      <c r="CI352" s="167">
        <v>0</v>
      </c>
      <c r="CJ352" s="167">
        <v>0</v>
      </c>
      <c r="CK352" s="167">
        <v>0</v>
      </c>
      <c r="CL352" s="167">
        <v>0</v>
      </c>
      <c r="CM352" s="167">
        <v>0</v>
      </c>
      <c r="CN352" s="167">
        <v>0</v>
      </c>
      <c r="CO352" s="167">
        <v>0</v>
      </c>
      <c r="CP352" s="167">
        <v>0</v>
      </c>
      <c r="CQ352" s="167">
        <v>0</v>
      </c>
      <c r="CR352" s="167">
        <v>0</v>
      </c>
      <c r="CS352" s="167">
        <v>0</v>
      </c>
      <c r="CT352" s="167">
        <v>0</v>
      </c>
      <c r="CU352" s="167">
        <v>0</v>
      </c>
      <c r="CV352" s="167">
        <v>0</v>
      </c>
      <c r="CW352" s="167">
        <v>0</v>
      </c>
      <c r="CX352" s="167">
        <f>SUM(CD352:CH352)</f>
        <v>13</v>
      </c>
      <c r="CY352" s="167">
        <f>SUM(CD352:CM352)</f>
        <v>13</v>
      </c>
    </row>
    <row r="353" spans="1:103" ht="12.75" customHeight="1" x14ac:dyDescent="0.2">
      <c r="A353" s="81">
        <v>3511</v>
      </c>
      <c r="B353" s="165" t="s">
        <v>1908</v>
      </c>
      <c r="C353" s="165" t="s">
        <v>33</v>
      </c>
      <c r="D353" s="165" t="s">
        <v>34</v>
      </c>
      <c r="E353" s="165" t="s">
        <v>2412</v>
      </c>
      <c r="F353" s="165" t="s">
        <v>1105</v>
      </c>
      <c r="G353" s="81">
        <v>529369</v>
      </c>
      <c r="H353" s="81">
        <v>177317</v>
      </c>
      <c r="I353" s="165" t="s">
        <v>240</v>
      </c>
      <c r="J353" s="349">
        <v>42825</v>
      </c>
      <c r="L353" s="166">
        <v>0</v>
      </c>
      <c r="M353" s="166">
        <v>81</v>
      </c>
      <c r="N353" s="166">
        <v>81</v>
      </c>
      <c r="O353" s="166">
        <v>2971</v>
      </c>
      <c r="P353" s="166">
        <v>2971</v>
      </c>
      <c r="Q353" s="81" t="s">
        <v>155</v>
      </c>
      <c r="R353" s="165" t="s">
        <v>1090</v>
      </c>
      <c r="S353" s="81" t="s">
        <v>24</v>
      </c>
      <c r="T353" s="349">
        <v>41774</v>
      </c>
      <c r="U353" s="349">
        <v>42046</v>
      </c>
      <c r="W353" s="81" t="s">
        <v>114</v>
      </c>
      <c r="Y353" s="81" t="s">
        <v>115</v>
      </c>
      <c r="Z353" s="81" t="s">
        <v>116</v>
      </c>
      <c r="AA353" s="81" t="s">
        <v>116</v>
      </c>
      <c r="AB353" s="81" t="s">
        <v>117</v>
      </c>
      <c r="AC353" s="166">
        <v>0</v>
      </c>
      <c r="AD353" s="349"/>
      <c r="AG353" s="81" t="s">
        <v>74</v>
      </c>
      <c r="AH353" s="81" t="s">
        <v>1913</v>
      </c>
      <c r="AI353" s="81" t="s">
        <v>2413</v>
      </c>
      <c r="AK353" s="166">
        <v>0</v>
      </c>
      <c r="AM353" s="166">
        <v>0</v>
      </c>
      <c r="AO353" s="166">
        <v>0</v>
      </c>
      <c r="AP353" s="166">
        <v>37</v>
      </c>
      <c r="AQ353" s="166">
        <v>36</v>
      </c>
      <c r="AR353" s="166">
        <v>8</v>
      </c>
      <c r="AS353" s="166">
        <v>0</v>
      </c>
      <c r="AT353" s="166">
        <v>0</v>
      </c>
      <c r="AU353" s="166">
        <v>0</v>
      </c>
      <c r="AV353" s="166">
        <v>0</v>
      </c>
      <c r="AW353" s="166">
        <v>37</v>
      </c>
      <c r="AX353" s="166">
        <v>36</v>
      </c>
      <c r="AY353" s="166">
        <v>8</v>
      </c>
      <c r="AZ353" s="166">
        <v>0</v>
      </c>
      <c r="BA353" s="166">
        <v>0</v>
      </c>
      <c r="BB353" s="166">
        <v>0</v>
      </c>
      <c r="BC353" s="166">
        <v>0</v>
      </c>
      <c r="BD353" s="166">
        <v>0</v>
      </c>
      <c r="BE353" s="166">
        <v>0</v>
      </c>
      <c r="BF353" s="166">
        <v>0</v>
      </c>
      <c r="BG353" s="166">
        <v>0</v>
      </c>
      <c r="BH353" s="166">
        <v>0</v>
      </c>
      <c r="BI353" s="166">
        <v>0</v>
      </c>
      <c r="BJ353" s="166">
        <v>0</v>
      </c>
      <c r="BK353" s="166">
        <v>0</v>
      </c>
      <c r="BL353" s="166">
        <v>0</v>
      </c>
      <c r="BM353" s="166">
        <v>0</v>
      </c>
      <c r="BN353" s="166">
        <v>0</v>
      </c>
      <c r="BO353" s="166">
        <v>0</v>
      </c>
      <c r="BP353" s="166">
        <v>0</v>
      </c>
      <c r="BQ353" s="81" t="s">
        <v>1759</v>
      </c>
      <c r="BS353" s="81" t="s">
        <v>155</v>
      </c>
      <c r="BZ353" s="81" t="s">
        <v>155</v>
      </c>
      <c r="CA353" s="81">
        <v>12</v>
      </c>
      <c r="CC353" s="167">
        <v>0</v>
      </c>
      <c r="CD353" s="167">
        <v>0</v>
      </c>
      <c r="CE353" s="167">
        <v>0</v>
      </c>
      <c r="CF353" s="167">
        <f>N353</f>
        <v>81</v>
      </c>
      <c r="CG353" s="167">
        <v>0</v>
      </c>
      <c r="CH353" s="167">
        <v>0</v>
      </c>
      <c r="CI353" s="167">
        <v>0</v>
      </c>
      <c r="CJ353" s="167">
        <v>0</v>
      </c>
      <c r="CK353" s="167">
        <v>0</v>
      </c>
      <c r="CL353" s="167">
        <v>0</v>
      </c>
      <c r="CM353" s="167">
        <v>0</v>
      </c>
      <c r="CN353" s="167">
        <v>0</v>
      </c>
      <c r="CO353" s="167">
        <v>0</v>
      </c>
      <c r="CP353" s="167">
        <v>0</v>
      </c>
      <c r="CQ353" s="167">
        <v>0</v>
      </c>
      <c r="CR353" s="167">
        <v>0</v>
      </c>
      <c r="CS353" s="167">
        <v>0</v>
      </c>
      <c r="CT353" s="167">
        <v>0</v>
      </c>
      <c r="CU353" s="167">
        <v>0</v>
      </c>
      <c r="CV353" s="167">
        <v>0</v>
      </c>
      <c r="CW353" s="167">
        <v>0</v>
      </c>
      <c r="CX353" s="167">
        <f>SUM(CD353:CH353)</f>
        <v>81</v>
      </c>
      <c r="CY353" s="167">
        <f>SUM(CD353:CM353)</f>
        <v>81</v>
      </c>
    </row>
    <row r="354" spans="1:103" ht="12.75" customHeight="1" x14ac:dyDescent="0.2">
      <c r="A354" s="81">
        <v>3511</v>
      </c>
      <c r="B354" s="165" t="s">
        <v>1908</v>
      </c>
      <c r="C354" s="165" t="s">
        <v>33</v>
      </c>
      <c r="D354" s="165" t="s">
        <v>34</v>
      </c>
      <c r="E354" s="165" t="s">
        <v>2412</v>
      </c>
      <c r="F354" s="165" t="s">
        <v>1106</v>
      </c>
      <c r="G354" s="81">
        <v>529369</v>
      </c>
      <c r="H354" s="81">
        <v>177317</v>
      </c>
      <c r="I354" s="165" t="s">
        <v>240</v>
      </c>
      <c r="J354" s="349">
        <v>42825</v>
      </c>
      <c r="L354" s="166">
        <v>0</v>
      </c>
      <c r="M354" s="166">
        <v>73</v>
      </c>
      <c r="N354" s="166">
        <v>73</v>
      </c>
      <c r="O354" s="166">
        <v>2971</v>
      </c>
      <c r="P354" s="166">
        <v>2971</v>
      </c>
      <c r="Q354" s="81" t="s">
        <v>155</v>
      </c>
      <c r="R354" s="165" t="s">
        <v>1090</v>
      </c>
      <c r="S354" s="81" t="s">
        <v>24</v>
      </c>
      <c r="T354" s="349">
        <v>41774</v>
      </c>
      <c r="U354" s="349">
        <v>42046</v>
      </c>
      <c r="W354" s="81" t="s">
        <v>114</v>
      </c>
      <c r="Y354" s="81" t="s">
        <v>115</v>
      </c>
      <c r="Z354" s="81" t="s">
        <v>116</v>
      </c>
      <c r="AA354" s="81" t="s">
        <v>116</v>
      </c>
      <c r="AB354" s="81" t="s">
        <v>117</v>
      </c>
      <c r="AC354" s="166">
        <v>0</v>
      </c>
      <c r="AD354" s="349"/>
      <c r="AG354" s="81" t="s">
        <v>238</v>
      </c>
      <c r="AH354" s="81" t="s">
        <v>118</v>
      </c>
      <c r="AI354" s="81" t="s">
        <v>2413</v>
      </c>
      <c r="AK354" s="166">
        <v>0</v>
      </c>
      <c r="AM354" s="166">
        <v>0</v>
      </c>
      <c r="AO354" s="166">
        <v>9</v>
      </c>
      <c r="AP354" s="166">
        <v>15</v>
      </c>
      <c r="AQ354" s="166">
        <v>43</v>
      </c>
      <c r="AR354" s="166">
        <v>6</v>
      </c>
      <c r="AS354" s="166">
        <v>0</v>
      </c>
      <c r="AT354" s="166">
        <v>0</v>
      </c>
      <c r="AU354" s="166">
        <v>0</v>
      </c>
      <c r="AV354" s="166">
        <v>9</v>
      </c>
      <c r="AW354" s="166">
        <v>15</v>
      </c>
      <c r="AX354" s="166">
        <v>43</v>
      </c>
      <c r="AY354" s="166">
        <v>6</v>
      </c>
      <c r="AZ354" s="166">
        <v>0</v>
      </c>
      <c r="BA354" s="166">
        <v>0</v>
      </c>
      <c r="BB354" s="166">
        <v>0</v>
      </c>
      <c r="BC354" s="166">
        <v>0</v>
      </c>
      <c r="BD354" s="166">
        <v>0</v>
      </c>
      <c r="BE354" s="166">
        <v>0</v>
      </c>
      <c r="BF354" s="166">
        <v>0</v>
      </c>
      <c r="BG354" s="166">
        <v>0</v>
      </c>
      <c r="BH354" s="166">
        <v>0</v>
      </c>
      <c r="BI354" s="166">
        <v>0</v>
      </c>
      <c r="BJ354" s="166">
        <v>0</v>
      </c>
      <c r="BK354" s="166">
        <v>0</v>
      </c>
      <c r="BL354" s="166">
        <v>0</v>
      </c>
      <c r="BM354" s="166">
        <v>0</v>
      </c>
      <c r="BN354" s="166">
        <v>0</v>
      </c>
      <c r="BO354" s="166">
        <v>0</v>
      </c>
      <c r="BP354" s="166">
        <v>0</v>
      </c>
      <c r="BQ354" s="81" t="s">
        <v>1759</v>
      </c>
      <c r="BS354" s="81" t="s">
        <v>155</v>
      </c>
      <c r="BZ354" s="81" t="s">
        <v>155</v>
      </c>
      <c r="CA354" s="81">
        <v>12</v>
      </c>
      <c r="CC354" s="167">
        <v>0</v>
      </c>
      <c r="CD354" s="167">
        <v>0</v>
      </c>
      <c r="CE354" s="167">
        <v>0</v>
      </c>
      <c r="CF354" s="167">
        <f>N354</f>
        <v>73</v>
      </c>
      <c r="CG354" s="167">
        <v>0</v>
      </c>
      <c r="CH354" s="167">
        <v>0</v>
      </c>
      <c r="CI354" s="167">
        <v>0</v>
      </c>
      <c r="CJ354" s="167">
        <v>0</v>
      </c>
      <c r="CK354" s="167">
        <v>0</v>
      </c>
      <c r="CL354" s="167">
        <v>0</v>
      </c>
      <c r="CM354" s="167">
        <v>0</v>
      </c>
      <c r="CN354" s="167">
        <v>0</v>
      </c>
      <c r="CO354" s="167">
        <v>0</v>
      </c>
      <c r="CP354" s="167">
        <v>0</v>
      </c>
      <c r="CQ354" s="167">
        <v>0</v>
      </c>
      <c r="CR354" s="167">
        <v>0</v>
      </c>
      <c r="CS354" s="167">
        <v>0</v>
      </c>
      <c r="CT354" s="167">
        <v>0</v>
      </c>
      <c r="CU354" s="167">
        <v>0</v>
      </c>
      <c r="CV354" s="167">
        <v>0</v>
      </c>
      <c r="CW354" s="167">
        <v>0</v>
      </c>
      <c r="CX354" s="167">
        <f>SUM(CD354:CH354)</f>
        <v>73</v>
      </c>
      <c r="CY354" s="167">
        <f>SUM(CD354:CM354)</f>
        <v>73</v>
      </c>
    </row>
    <row r="355" spans="1:103" ht="12.75" customHeight="1" x14ac:dyDescent="0.2">
      <c r="A355" s="81">
        <v>3511</v>
      </c>
      <c r="B355" s="165" t="s">
        <v>1908</v>
      </c>
      <c r="C355" s="165" t="s">
        <v>33</v>
      </c>
      <c r="D355" s="165" t="s">
        <v>34</v>
      </c>
      <c r="E355" s="165" t="s">
        <v>2412</v>
      </c>
      <c r="F355" s="165" t="s">
        <v>1107</v>
      </c>
      <c r="G355" s="81">
        <v>529369</v>
      </c>
      <c r="H355" s="81">
        <v>177317</v>
      </c>
      <c r="I355" s="165" t="s">
        <v>240</v>
      </c>
      <c r="J355" s="349">
        <v>42825</v>
      </c>
      <c r="L355" s="166">
        <v>0</v>
      </c>
      <c r="M355" s="166">
        <v>84</v>
      </c>
      <c r="N355" s="166">
        <v>84</v>
      </c>
      <c r="O355" s="166">
        <v>2971</v>
      </c>
      <c r="P355" s="166">
        <v>2971</v>
      </c>
      <c r="Q355" s="81" t="s">
        <v>155</v>
      </c>
      <c r="R355" s="165" t="s">
        <v>1090</v>
      </c>
      <c r="S355" s="81" t="s">
        <v>24</v>
      </c>
      <c r="T355" s="349">
        <v>41774</v>
      </c>
      <c r="U355" s="349">
        <v>42046</v>
      </c>
      <c r="W355" s="81" t="s">
        <v>114</v>
      </c>
      <c r="Y355" s="81" t="s">
        <v>115</v>
      </c>
      <c r="Z355" s="81" t="s">
        <v>116</v>
      </c>
      <c r="AA355" s="81" t="s">
        <v>116</v>
      </c>
      <c r="AB355" s="81" t="s">
        <v>117</v>
      </c>
      <c r="AC355" s="166">
        <v>0</v>
      </c>
      <c r="AD355" s="349"/>
      <c r="AG355" s="81" t="s">
        <v>238</v>
      </c>
      <c r="AH355" s="81" t="s">
        <v>118</v>
      </c>
      <c r="AI355" s="81" t="s">
        <v>2413</v>
      </c>
      <c r="AK355" s="166">
        <v>0</v>
      </c>
      <c r="AM355" s="166">
        <v>0</v>
      </c>
      <c r="AO355" s="166">
        <v>11</v>
      </c>
      <c r="AP355" s="166">
        <v>17</v>
      </c>
      <c r="AQ355" s="166">
        <v>50</v>
      </c>
      <c r="AR355" s="166">
        <v>6</v>
      </c>
      <c r="AS355" s="166">
        <v>0</v>
      </c>
      <c r="AT355" s="166">
        <v>0</v>
      </c>
      <c r="AU355" s="166">
        <v>0</v>
      </c>
      <c r="AV355" s="166">
        <v>11</v>
      </c>
      <c r="AW355" s="166">
        <v>17</v>
      </c>
      <c r="AX355" s="166">
        <v>50</v>
      </c>
      <c r="AY355" s="166">
        <v>6</v>
      </c>
      <c r="AZ355" s="166">
        <v>0</v>
      </c>
      <c r="BA355" s="166">
        <v>0</v>
      </c>
      <c r="BB355" s="166">
        <v>0</v>
      </c>
      <c r="BC355" s="166">
        <v>0</v>
      </c>
      <c r="BD355" s="166">
        <v>0</v>
      </c>
      <c r="BE355" s="166">
        <v>0</v>
      </c>
      <c r="BF355" s="166">
        <v>0</v>
      </c>
      <c r="BG355" s="166">
        <v>0</v>
      </c>
      <c r="BH355" s="166">
        <v>0</v>
      </c>
      <c r="BI355" s="166">
        <v>0</v>
      </c>
      <c r="BJ355" s="166">
        <v>0</v>
      </c>
      <c r="BK355" s="166">
        <v>0</v>
      </c>
      <c r="BL355" s="166">
        <v>0</v>
      </c>
      <c r="BM355" s="166">
        <v>0</v>
      </c>
      <c r="BN355" s="166">
        <v>0</v>
      </c>
      <c r="BO355" s="166">
        <v>0</v>
      </c>
      <c r="BP355" s="166">
        <v>0</v>
      </c>
      <c r="BQ355" s="81" t="s">
        <v>1759</v>
      </c>
      <c r="BS355" s="81" t="s">
        <v>155</v>
      </c>
      <c r="BZ355" s="81" t="s">
        <v>155</v>
      </c>
      <c r="CA355" s="81">
        <v>12</v>
      </c>
      <c r="CC355" s="167">
        <v>0</v>
      </c>
      <c r="CD355" s="167">
        <v>0</v>
      </c>
      <c r="CE355" s="167">
        <v>0</v>
      </c>
      <c r="CF355" s="167">
        <f>N355</f>
        <v>84</v>
      </c>
      <c r="CG355" s="167">
        <v>0</v>
      </c>
      <c r="CH355" s="167">
        <v>0</v>
      </c>
      <c r="CI355" s="167">
        <v>0</v>
      </c>
      <c r="CJ355" s="167">
        <v>0</v>
      </c>
      <c r="CK355" s="167">
        <v>0</v>
      </c>
      <c r="CL355" s="167">
        <v>0</v>
      </c>
      <c r="CM355" s="167">
        <v>0</v>
      </c>
      <c r="CN355" s="167">
        <v>0</v>
      </c>
      <c r="CO355" s="167">
        <v>0</v>
      </c>
      <c r="CP355" s="167">
        <v>0</v>
      </c>
      <c r="CQ355" s="167">
        <v>0</v>
      </c>
      <c r="CR355" s="167">
        <v>0</v>
      </c>
      <c r="CS355" s="167">
        <v>0</v>
      </c>
      <c r="CT355" s="167">
        <v>0</v>
      </c>
      <c r="CU355" s="167">
        <v>0</v>
      </c>
      <c r="CV355" s="167">
        <v>0</v>
      </c>
      <c r="CW355" s="167">
        <v>0</v>
      </c>
      <c r="CX355" s="167">
        <f>SUM(CD355:CH355)</f>
        <v>84</v>
      </c>
      <c r="CY355" s="167">
        <f>SUM(CD355:CM355)</f>
        <v>84</v>
      </c>
    </row>
    <row r="356" spans="1:103" ht="12.75" customHeight="1" x14ac:dyDescent="0.2">
      <c r="A356" s="81">
        <v>3511</v>
      </c>
      <c r="B356" s="165" t="s">
        <v>1908</v>
      </c>
      <c r="C356" s="165" t="s">
        <v>33</v>
      </c>
      <c r="D356" s="165" t="s">
        <v>34</v>
      </c>
      <c r="E356" s="165" t="s">
        <v>2412</v>
      </c>
      <c r="F356" s="165" t="s">
        <v>1108</v>
      </c>
      <c r="G356" s="81">
        <v>529369</v>
      </c>
      <c r="H356" s="81">
        <v>177317</v>
      </c>
      <c r="I356" s="165" t="s">
        <v>240</v>
      </c>
      <c r="J356" s="349">
        <v>42825</v>
      </c>
      <c r="L356" s="166">
        <v>0</v>
      </c>
      <c r="M356" s="166">
        <v>81</v>
      </c>
      <c r="N356" s="166">
        <v>81</v>
      </c>
      <c r="O356" s="166">
        <v>2971</v>
      </c>
      <c r="P356" s="166">
        <v>2971</v>
      </c>
      <c r="Q356" s="81" t="s">
        <v>155</v>
      </c>
      <c r="R356" s="165" t="s">
        <v>1090</v>
      </c>
      <c r="S356" s="81" t="s">
        <v>24</v>
      </c>
      <c r="T356" s="349">
        <v>41774</v>
      </c>
      <c r="U356" s="349">
        <v>42046</v>
      </c>
      <c r="W356" s="81" t="s">
        <v>114</v>
      </c>
      <c r="Y356" s="81" t="s">
        <v>115</v>
      </c>
      <c r="Z356" s="81" t="s">
        <v>116</v>
      </c>
      <c r="AA356" s="81" t="s">
        <v>116</v>
      </c>
      <c r="AB356" s="81" t="s">
        <v>117</v>
      </c>
      <c r="AC356" s="166">
        <v>0</v>
      </c>
      <c r="AD356" s="349"/>
      <c r="AG356" s="81" t="s">
        <v>238</v>
      </c>
      <c r="AH356" s="81" t="s">
        <v>118</v>
      </c>
      <c r="AI356" s="81" t="s">
        <v>2413</v>
      </c>
      <c r="AK356" s="166">
        <v>0</v>
      </c>
      <c r="AM356" s="166">
        <v>0</v>
      </c>
      <c r="AO356" s="166">
        <v>10</v>
      </c>
      <c r="AP356" s="166">
        <v>16</v>
      </c>
      <c r="AQ356" s="166">
        <v>49</v>
      </c>
      <c r="AR356" s="166">
        <v>6</v>
      </c>
      <c r="AS356" s="166">
        <v>0</v>
      </c>
      <c r="AT356" s="166">
        <v>0</v>
      </c>
      <c r="AU356" s="166">
        <v>0</v>
      </c>
      <c r="AV356" s="166">
        <v>10</v>
      </c>
      <c r="AW356" s="166">
        <v>16</v>
      </c>
      <c r="AX356" s="166">
        <v>49</v>
      </c>
      <c r="AY356" s="166">
        <v>6</v>
      </c>
      <c r="AZ356" s="166">
        <v>0</v>
      </c>
      <c r="BA356" s="166">
        <v>0</v>
      </c>
      <c r="BB356" s="166">
        <v>0</v>
      </c>
      <c r="BC356" s="166">
        <v>0</v>
      </c>
      <c r="BD356" s="166">
        <v>0</v>
      </c>
      <c r="BE356" s="166">
        <v>0</v>
      </c>
      <c r="BF356" s="166">
        <v>0</v>
      </c>
      <c r="BG356" s="166">
        <v>0</v>
      </c>
      <c r="BH356" s="166">
        <v>0</v>
      </c>
      <c r="BI356" s="166">
        <v>0</v>
      </c>
      <c r="BJ356" s="166">
        <v>0</v>
      </c>
      <c r="BK356" s="166">
        <v>0</v>
      </c>
      <c r="BL356" s="166">
        <v>0</v>
      </c>
      <c r="BM356" s="166">
        <v>0</v>
      </c>
      <c r="BN356" s="166">
        <v>0</v>
      </c>
      <c r="BO356" s="166">
        <v>0</v>
      </c>
      <c r="BP356" s="166">
        <v>0</v>
      </c>
      <c r="BQ356" s="81" t="s">
        <v>1759</v>
      </c>
      <c r="BS356" s="81" t="s">
        <v>155</v>
      </c>
      <c r="BZ356" s="81" t="s">
        <v>155</v>
      </c>
      <c r="CA356" s="81">
        <v>12</v>
      </c>
      <c r="CC356" s="167">
        <v>0</v>
      </c>
      <c r="CD356" s="167">
        <v>0</v>
      </c>
      <c r="CE356" s="167">
        <v>0</v>
      </c>
      <c r="CF356" s="167">
        <f>N356</f>
        <v>81</v>
      </c>
      <c r="CG356" s="167">
        <v>0</v>
      </c>
      <c r="CH356" s="167">
        <v>0</v>
      </c>
      <c r="CI356" s="167">
        <v>0</v>
      </c>
      <c r="CJ356" s="167">
        <v>0</v>
      </c>
      <c r="CK356" s="167">
        <v>0</v>
      </c>
      <c r="CL356" s="167">
        <v>0</v>
      </c>
      <c r="CM356" s="167">
        <v>0</v>
      </c>
      <c r="CN356" s="167">
        <v>0</v>
      </c>
      <c r="CO356" s="167">
        <v>0</v>
      </c>
      <c r="CP356" s="167">
        <v>0</v>
      </c>
      <c r="CQ356" s="167">
        <v>0</v>
      </c>
      <c r="CR356" s="167">
        <v>0</v>
      </c>
      <c r="CS356" s="167">
        <v>0</v>
      </c>
      <c r="CT356" s="167">
        <v>0</v>
      </c>
      <c r="CU356" s="167">
        <v>0</v>
      </c>
      <c r="CV356" s="167">
        <v>0</v>
      </c>
      <c r="CW356" s="167">
        <v>0</v>
      </c>
      <c r="CX356" s="167">
        <f>SUM(CD356:CH356)</f>
        <v>81</v>
      </c>
      <c r="CY356" s="167">
        <f>SUM(CD356:CM356)</f>
        <v>81</v>
      </c>
    </row>
    <row r="357" spans="1:103" ht="12.75" customHeight="1" x14ac:dyDescent="0.2">
      <c r="A357" s="81">
        <v>3511</v>
      </c>
      <c r="B357" s="165" t="s">
        <v>1908</v>
      </c>
      <c r="C357" s="165" t="s">
        <v>33</v>
      </c>
      <c r="D357" s="165" t="s">
        <v>34</v>
      </c>
      <c r="E357" s="165" t="s">
        <v>2412</v>
      </c>
      <c r="F357" s="165" t="s">
        <v>1109</v>
      </c>
      <c r="G357" s="81">
        <v>529369</v>
      </c>
      <c r="H357" s="81">
        <v>177317</v>
      </c>
      <c r="I357" s="165" t="s">
        <v>240</v>
      </c>
      <c r="J357" s="349">
        <v>42825</v>
      </c>
      <c r="L357" s="166">
        <v>0</v>
      </c>
      <c r="M357" s="166">
        <v>116</v>
      </c>
      <c r="N357" s="166">
        <v>116</v>
      </c>
      <c r="O357" s="166">
        <v>2971</v>
      </c>
      <c r="P357" s="166">
        <v>2971</v>
      </c>
      <c r="Q357" s="81" t="s">
        <v>155</v>
      </c>
      <c r="R357" s="165" t="s">
        <v>1090</v>
      </c>
      <c r="S357" s="81" t="s">
        <v>24</v>
      </c>
      <c r="T357" s="349">
        <v>41774</v>
      </c>
      <c r="U357" s="349">
        <v>42046</v>
      </c>
      <c r="W357" s="81" t="s">
        <v>114</v>
      </c>
      <c r="Y357" s="81" t="s">
        <v>115</v>
      </c>
      <c r="Z357" s="81" t="s">
        <v>116</v>
      </c>
      <c r="AA357" s="81" t="s">
        <v>116</v>
      </c>
      <c r="AB357" s="81" t="s">
        <v>117</v>
      </c>
      <c r="AC357" s="166">
        <v>0</v>
      </c>
      <c r="AD357" s="349"/>
      <c r="AG357" s="81" t="s">
        <v>238</v>
      </c>
      <c r="AH357" s="81" t="s">
        <v>118</v>
      </c>
      <c r="AI357" s="81" t="s">
        <v>2413</v>
      </c>
      <c r="AK357" s="166">
        <v>0</v>
      </c>
      <c r="AM357" s="166">
        <v>0</v>
      </c>
      <c r="AO357" s="166">
        <v>12</v>
      </c>
      <c r="AP357" s="166">
        <v>24</v>
      </c>
      <c r="AQ357" s="166">
        <v>71</v>
      </c>
      <c r="AR357" s="166">
        <v>9</v>
      </c>
      <c r="AS357" s="166">
        <v>0</v>
      </c>
      <c r="AT357" s="166">
        <v>0</v>
      </c>
      <c r="AU357" s="166">
        <v>0</v>
      </c>
      <c r="AV357" s="166">
        <v>12</v>
      </c>
      <c r="AW357" s="166">
        <v>24</v>
      </c>
      <c r="AX357" s="166">
        <v>71</v>
      </c>
      <c r="AY357" s="166">
        <v>9</v>
      </c>
      <c r="AZ357" s="166">
        <v>0</v>
      </c>
      <c r="BA357" s="166">
        <v>0</v>
      </c>
      <c r="BB357" s="166">
        <v>0</v>
      </c>
      <c r="BC357" s="166">
        <v>0</v>
      </c>
      <c r="BD357" s="166">
        <v>0</v>
      </c>
      <c r="BE357" s="166">
        <v>0</v>
      </c>
      <c r="BF357" s="166">
        <v>0</v>
      </c>
      <c r="BG357" s="166">
        <v>0</v>
      </c>
      <c r="BH357" s="166">
        <v>0</v>
      </c>
      <c r="BI357" s="166">
        <v>0</v>
      </c>
      <c r="BJ357" s="166">
        <v>0</v>
      </c>
      <c r="BK357" s="166">
        <v>0</v>
      </c>
      <c r="BL357" s="166">
        <v>0</v>
      </c>
      <c r="BM357" s="166">
        <v>0</v>
      </c>
      <c r="BN357" s="166">
        <v>0</v>
      </c>
      <c r="BO357" s="166">
        <v>0</v>
      </c>
      <c r="BP357" s="166">
        <v>0</v>
      </c>
      <c r="BQ357" s="81" t="s">
        <v>1759</v>
      </c>
      <c r="BS357" s="81" t="s">
        <v>155</v>
      </c>
      <c r="BZ357" s="81" t="s">
        <v>155</v>
      </c>
      <c r="CA357" s="81">
        <v>12</v>
      </c>
      <c r="CC357" s="167">
        <v>0</v>
      </c>
      <c r="CD357" s="167">
        <v>0</v>
      </c>
      <c r="CE357" s="167">
        <v>0</v>
      </c>
      <c r="CF357" s="167">
        <f>N357</f>
        <v>116</v>
      </c>
      <c r="CG357" s="167">
        <v>0</v>
      </c>
      <c r="CH357" s="167">
        <v>0</v>
      </c>
      <c r="CI357" s="167">
        <v>0</v>
      </c>
      <c r="CJ357" s="167">
        <v>0</v>
      </c>
      <c r="CK357" s="167">
        <v>0</v>
      </c>
      <c r="CL357" s="167">
        <v>0</v>
      </c>
      <c r="CM357" s="167">
        <v>0</v>
      </c>
      <c r="CN357" s="167">
        <v>0</v>
      </c>
      <c r="CO357" s="167">
        <v>0</v>
      </c>
      <c r="CP357" s="167">
        <v>0</v>
      </c>
      <c r="CQ357" s="167">
        <v>0</v>
      </c>
      <c r="CR357" s="167">
        <v>0</v>
      </c>
      <c r="CS357" s="167">
        <v>0</v>
      </c>
      <c r="CT357" s="167">
        <v>0</v>
      </c>
      <c r="CU357" s="167">
        <v>0</v>
      </c>
      <c r="CV357" s="167">
        <v>0</v>
      </c>
      <c r="CW357" s="167">
        <v>0</v>
      </c>
      <c r="CX357" s="167">
        <f>SUM(CD357:CH357)</f>
        <v>116</v>
      </c>
      <c r="CY357" s="167">
        <f>SUM(CD357:CM357)</f>
        <v>116</v>
      </c>
    </row>
    <row r="358" spans="1:103" x14ac:dyDescent="0.2">
      <c r="A358" s="81">
        <v>3511</v>
      </c>
      <c r="B358" s="165" t="s">
        <v>1908</v>
      </c>
      <c r="C358" s="165" t="s">
        <v>33</v>
      </c>
      <c r="D358" s="165" t="s">
        <v>34</v>
      </c>
      <c r="E358" s="165" t="s">
        <v>2412</v>
      </c>
      <c r="F358" s="165" t="s">
        <v>1110</v>
      </c>
      <c r="G358" s="81">
        <v>529369</v>
      </c>
      <c r="H358" s="81">
        <v>177317</v>
      </c>
      <c r="I358" s="165" t="s">
        <v>240</v>
      </c>
      <c r="J358" s="349">
        <v>42825</v>
      </c>
      <c r="L358" s="166">
        <v>0</v>
      </c>
      <c r="M358" s="166">
        <v>120</v>
      </c>
      <c r="N358" s="166">
        <v>120</v>
      </c>
      <c r="O358" s="166">
        <v>2971</v>
      </c>
      <c r="P358" s="166">
        <v>2971</v>
      </c>
      <c r="Q358" s="81" t="s">
        <v>155</v>
      </c>
      <c r="R358" s="165" t="s">
        <v>1090</v>
      </c>
      <c r="S358" s="81" t="s">
        <v>24</v>
      </c>
      <c r="T358" s="349">
        <v>41774</v>
      </c>
      <c r="U358" s="349">
        <v>42046</v>
      </c>
      <c r="W358" s="81" t="s">
        <v>114</v>
      </c>
      <c r="Y358" s="81" t="s">
        <v>115</v>
      </c>
      <c r="Z358" s="81" t="s">
        <v>116</v>
      </c>
      <c r="AA358" s="81" t="s">
        <v>116</v>
      </c>
      <c r="AB358" s="81" t="s">
        <v>117</v>
      </c>
      <c r="AC358" s="166">
        <v>0</v>
      </c>
      <c r="AD358" s="349"/>
      <c r="AG358" s="81" t="s">
        <v>238</v>
      </c>
      <c r="AH358" s="81" t="s">
        <v>118</v>
      </c>
      <c r="AI358" s="81" t="s">
        <v>2413</v>
      </c>
      <c r="AK358" s="166">
        <v>0</v>
      </c>
      <c r="AM358" s="166">
        <v>0</v>
      </c>
      <c r="AO358" s="166">
        <v>0</v>
      </c>
      <c r="AP358" s="166">
        <v>24</v>
      </c>
      <c r="AQ358" s="166">
        <v>42</v>
      </c>
      <c r="AR358" s="166">
        <v>54</v>
      </c>
      <c r="AS358" s="166">
        <v>0</v>
      </c>
      <c r="AT358" s="166">
        <v>0</v>
      </c>
      <c r="AU358" s="166">
        <v>0</v>
      </c>
      <c r="AV358" s="166">
        <v>0</v>
      </c>
      <c r="AW358" s="166">
        <v>24</v>
      </c>
      <c r="AX358" s="166">
        <v>42</v>
      </c>
      <c r="AY358" s="166">
        <v>54</v>
      </c>
      <c r="AZ358" s="166">
        <v>0</v>
      </c>
      <c r="BA358" s="166">
        <v>0</v>
      </c>
      <c r="BB358" s="166">
        <v>0</v>
      </c>
      <c r="BC358" s="166">
        <v>0</v>
      </c>
      <c r="BD358" s="166">
        <v>0</v>
      </c>
      <c r="BE358" s="166">
        <v>0</v>
      </c>
      <c r="BF358" s="166">
        <v>0</v>
      </c>
      <c r="BG358" s="166">
        <v>0</v>
      </c>
      <c r="BH358" s="166">
        <v>0</v>
      </c>
      <c r="BI358" s="166">
        <v>0</v>
      </c>
      <c r="BJ358" s="166">
        <v>0</v>
      </c>
      <c r="BK358" s="166">
        <v>0</v>
      </c>
      <c r="BL358" s="166">
        <v>0</v>
      </c>
      <c r="BM358" s="166">
        <v>0</v>
      </c>
      <c r="BN358" s="166">
        <v>0</v>
      </c>
      <c r="BO358" s="166">
        <v>0</v>
      </c>
      <c r="BP358" s="166">
        <v>0</v>
      </c>
      <c r="BQ358" s="81" t="s">
        <v>1759</v>
      </c>
      <c r="BS358" s="81" t="s">
        <v>155</v>
      </c>
      <c r="BZ358" s="81" t="s">
        <v>155</v>
      </c>
      <c r="CA358" s="81">
        <v>12</v>
      </c>
      <c r="CC358" s="167">
        <v>0</v>
      </c>
      <c r="CD358" s="167">
        <v>0</v>
      </c>
      <c r="CE358" s="167">
        <v>0</v>
      </c>
      <c r="CF358" s="167">
        <f>N358</f>
        <v>120</v>
      </c>
      <c r="CG358" s="167">
        <v>0</v>
      </c>
      <c r="CH358" s="167">
        <v>0</v>
      </c>
      <c r="CI358" s="167">
        <v>0</v>
      </c>
      <c r="CJ358" s="167">
        <v>0</v>
      </c>
      <c r="CK358" s="167">
        <v>0</v>
      </c>
      <c r="CL358" s="167">
        <v>0</v>
      </c>
      <c r="CM358" s="167">
        <v>0</v>
      </c>
      <c r="CN358" s="167">
        <v>0</v>
      </c>
      <c r="CO358" s="167">
        <v>0</v>
      </c>
      <c r="CP358" s="167">
        <v>0</v>
      </c>
      <c r="CQ358" s="167">
        <v>0</v>
      </c>
      <c r="CR358" s="167">
        <v>0</v>
      </c>
      <c r="CS358" s="167">
        <v>0</v>
      </c>
      <c r="CT358" s="167">
        <v>0</v>
      </c>
      <c r="CU358" s="167">
        <v>0</v>
      </c>
      <c r="CV358" s="167">
        <v>0</v>
      </c>
      <c r="CW358" s="167">
        <v>0</v>
      </c>
      <c r="CX358" s="167">
        <f>SUM(CD358:CH358)</f>
        <v>120</v>
      </c>
      <c r="CY358" s="167">
        <f>SUM(CD358:CM358)</f>
        <v>120</v>
      </c>
    </row>
    <row r="359" spans="1:103" ht="12.75" customHeight="1" x14ac:dyDescent="0.2">
      <c r="A359" s="81">
        <v>3511</v>
      </c>
      <c r="B359" s="165" t="s">
        <v>1908</v>
      </c>
      <c r="C359" s="165" t="s">
        <v>33</v>
      </c>
      <c r="D359" s="165" t="s">
        <v>34</v>
      </c>
      <c r="E359" s="165" t="s">
        <v>2412</v>
      </c>
      <c r="F359" s="165" t="s">
        <v>1111</v>
      </c>
      <c r="G359" s="81">
        <v>529369</v>
      </c>
      <c r="H359" s="81">
        <v>177317</v>
      </c>
      <c r="I359" s="165" t="s">
        <v>240</v>
      </c>
      <c r="J359" s="349">
        <v>42825</v>
      </c>
      <c r="L359" s="166">
        <v>0</v>
      </c>
      <c r="M359" s="166">
        <v>166</v>
      </c>
      <c r="N359" s="166">
        <v>166</v>
      </c>
      <c r="O359" s="166">
        <v>2971</v>
      </c>
      <c r="P359" s="166">
        <v>2971</v>
      </c>
      <c r="Q359" s="81" t="s">
        <v>155</v>
      </c>
      <c r="R359" s="165" t="s">
        <v>1090</v>
      </c>
      <c r="S359" s="81" t="s">
        <v>24</v>
      </c>
      <c r="T359" s="349">
        <v>41774</v>
      </c>
      <c r="U359" s="349">
        <v>42046</v>
      </c>
      <c r="W359" s="81" t="s">
        <v>114</v>
      </c>
      <c r="Y359" s="81" t="s">
        <v>115</v>
      </c>
      <c r="Z359" s="81" t="s">
        <v>116</v>
      </c>
      <c r="AA359" s="81" t="s">
        <v>116</v>
      </c>
      <c r="AB359" s="81" t="s">
        <v>117</v>
      </c>
      <c r="AC359" s="166">
        <v>0</v>
      </c>
      <c r="AD359" s="349"/>
      <c r="AG359" s="81" t="s">
        <v>238</v>
      </c>
      <c r="AH359" s="81" t="s">
        <v>118</v>
      </c>
      <c r="AI359" s="81" t="s">
        <v>2413</v>
      </c>
      <c r="AK359" s="166">
        <v>0</v>
      </c>
      <c r="AM359" s="166">
        <v>0</v>
      </c>
      <c r="AO359" s="166">
        <v>0</v>
      </c>
      <c r="AP359" s="166">
        <v>33</v>
      </c>
      <c r="AQ359" s="166">
        <v>58</v>
      </c>
      <c r="AR359" s="166">
        <v>75</v>
      </c>
      <c r="AS359" s="166">
        <v>0</v>
      </c>
      <c r="AT359" s="166">
        <v>0</v>
      </c>
      <c r="AU359" s="166">
        <v>0</v>
      </c>
      <c r="AV359" s="166">
        <v>0</v>
      </c>
      <c r="AW359" s="166">
        <v>33</v>
      </c>
      <c r="AX359" s="166">
        <v>58</v>
      </c>
      <c r="AY359" s="166">
        <v>75</v>
      </c>
      <c r="AZ359" s="166">
        <v>0</v>
      </c>
      <c r="BA359" s="166">
        <v>0</v>
      </c>
      <c r="BB359" s="166">
        <v>0</v>
      </c>
      <c r="BC359" s="166">
        <v>0</v>
      </c>
      <c r="BD359" s="166">
        <v>0</v>
      </c>
      <c r="BE359" s="166">
        <v>0</v>
      </c>
      <c r="BF359" s="166">
        <v>0</v>
      </c>
      <c r="BG359" s="166">
        <v>0</v>
      </c>
      <c r="BH359" s="166">
        <v>0</v>
      </c>
      <c r="BI359" s="166">
        <v>0</v>
      </c>
      <c r="BJ359" s="166">
        <v>0</v>
      </c>
      <c r="BK359" s="166">
        <v>0</v>
      </c>
      <c r="BL359" s="166">
        <v>0</v>
      </c>
      <c r="BM359" s="166">
        <v>0</v>
      </c>
      <c r="BN359" s="166">
        <v>0</v>
      </c>
      <c r="BO359" s="166">
        <v>0</v>
      </c>
      <c r="BP359" s="166">
        <v>0</v>
      </c>
      <c r="BQ359" s="81" t="s">
        <v>1759</v>
      </c>
      <c r="BS359" s="81" t="s">
        <v>155</v>
      </c>
      <c r="BZ359" s="81" t="s">
        <v>155</v>
      </c>
      <c r="CA359" s="81">
        <v>12</v>
      </c>
      <c r="CC359" s="167">
        <v>0</v>
      </c>
      <c r="CD359" s="167">
        <v>0</v>
      </c>
      <c r="CE359" s="167">
        <v>0</v>
      </c>
      <c r="CF359" s="167">
        <f>N359</f>
        <v>166</v>
      </c>
      <c r="CG359" s="167">
        <v>0</v>
      </c>
      <c r="CH359" s="167">
        <v>0</v>
      </c>
      <c r="CI359" s="167">
        <v>0</v>
      </c>
      <c r="CJ359" s="167">
        <v>0</v>
      </c>
      <c r="CK359" s="167">
        <v>0</v>
      </c>
      <c r="CL359" s="167">
        <v>0</v>
      </c>
      <c r="CM359" s="167">
        <v>0</v>
      </c>
      <c r="CN359" s="167">
        <v>0</v>
      </c>
      <c r="CO359" s="167">
        <v>0</v>
      </c>
      <c r="CP359" s="167">
        <v>0</v>
      </c>
      <c r="CQ359" s="167">
        <v>0</v>
      </c>
      <c r="CR359" s="167">
        <v>0</v>
      </c>
      <c r="CS359" s="167">
        <v>0</v>
      </c>
      <c r="CT359" s="167">
        <v>0</v>
      </c>
      <c r="CU359" s="167">
        <v>0</v>
      </c>
      <c r="CV359" s="167">
        <v>0</v>
      </c>
      <c r="CW359" s="167">
        <v>0</v>
      </c>
      <c r="CX359" s="167">
        <f>SUM(CD359:CH359)</f>
        <v>166</v>
      </c>
      <c r="CY359" s="167">
        <f>SUM(CD359:CM359)</f>
        <v>166</v>
      </c>
    </row>
    <row r="360" spans="1:103" ht="12.75" customHeight="1" x14ac:dyDescent="0.2">
      <c r="A360" s="81">
        <v>3511</v>
      </c>
      <c r="B360" s="165" t="s">
        <v>1908</v>
      </c>
      <c r="C360" s="165" t="s">
        <v>33</v>
      </c>
      <c r="D360" s="165" t="s">
        <v>34</v>
      </c>
      <c r="E360" s="165" t="s">
        <v>2412</v>
      </c>
      <c r="F360" s="165" t="s">
        <v>1112</v>
      </c>
      <c r="G360" s="81">
        <v>529369</v>
      </c>
      <c r="H360" s="81">
        <v>177317</v>
      </c>
      <c r="I360" s="165" t="s">
        <v>240</v>
      </c>
      <c r="J360" s="349">
        <v>42825</v>
      </c>
      <c r="L360" s="166">
        <v>0</v>
      </c>
      <c r="M360" s="166">
        <v>346</v>
      </c>
      <c r="N360" s="166">
        <v>346</v>
      </c>
      <c r="O360" s="166">
        <v>2971</v>
      </c>
      <c r="P360" s="166">
        <v>2971</v>
      </c>
      <c r="Q360" s="81" t="s">
        <v>155</v>
      </c>
      <c r="R360" s="165" t="s">
        <v>1090</v>
      </c>
      <c r="S360" s="81" t="s">
        <v>24</v>
      </c>
      <c r="T360" s="349">
        <v>41774</v>
      </c>
      <c r="U360" s="349">
        <v>42046</v>
      </c>
      <c r="W360" s="81" t="s">
        <v>114</v>
      </c>
      <c r="Y360" s="81" t="s">
        <v>115</v>
      </c>
      <c r="Z360" s="81" t="s">
        <v>116</v>
      </c>
      <c r="AA360" s="81" t="s">
        <v>116</v>
      </c>
      <c r="AB360" s="81" t="s">
        <v>117</v>
      </c>
      <c r="AC360" s="166">
        <v>0</v>
      </c>
      <c r="AD360" s="349">
        <v>43190</v>
      </c>
      <c r="AE360" s="81" t="s">
        <v>155</v>
      </c>
      <c r="AG360" s="81" t="s">
        <v>238</v>
      </c>
      <c r="AH360" s="81" t="s">
        <v>118</v>
      </c>
      <c r="AI360" s="81" t="s">
        <v>2413</v>
      </c>
      <c r="AK360" s="166">
        <v>0</v>
      </c>
      <c r="AM360" s="166">
        <v>0</v>
      </c>
      <c r="AO360" s="166">
        <v>0</v>
      </c>
      <c r="AP360" s="166">
        <v>86</v>
      </c>
      <c r="AQ360" s="166">
        <v>123</v>
      </c>
      <c r="AR360" s="166">
        <v>137</v>
      </c>
      <c r="AS360" s="166">
        <v>0</v>
      </c>
      <c r="AT360" s="166">
        <v>0</v>
      </c>
      <c r="AU360" s="166">
        <v>0</v>
      </c>
      <c r="AV360" s="166">
        <v>0</v>
      </c>
      <c r="AW360" s="166">
        <v>86</v>
      </c>
      <c r="AX360" s="166">
        <v>123</v>
      </c>
      <c r="AY360" s="166">
        <v>137</v>
      </c>
      <c r="AZ360" s="166">
        <v>0</v>
      </c>
      <c r="BA360" s="166">
        <v>0</v>
      </c>
      <c r="BB360" s="166">
        <v>0</v>
      </c>
      <c r="BC360" s="166">
        <v>0</v>
      </c>
      <c r="BD360" s="166">
        <v>0</v>
      </c>
      <c r="BE360" s="166">
        <v>0</v>
      </c>
      <c r="BF360" s="166">
        <v>0</v>
      </c>
      <c r="BG360" s="166">
        <v>0</v>
      </c>
      <c r="BH360" s="166">
        <v>0</v>
      </c>
      <c r="BI360" s="166">
        <v>0</v>
      </c>
      <c r="BJ360" s="166">
        <v>0</v>
      </c>
      <c r="BK360" s="166">
        <v>0</v>
      </c>
      <c r="BL360" s="166">
        <v>0</v>
      </c>
      <c r="BM360" s="166">
        <v>0</v>
      </c>
      <c r="BN360" s="166">
        <v>0</v>
      </c>
      <c r="BO360" s="166">
        <v>0</v>
      </c>
      <c r="BP360" s="166">
        <v>0</v>
      </c>
      <c r="BQ360" s="81" t="s">
        <v>1759</v>
      </c>
      <c r="BS360" s="81" t="s">
        <v>155</v>
      </c>
      <c r="BZ360" s="81" t="s">
        <v>155</v>
      </c>
      <c r="CA360" s="81">
        <v>12</v>
      </c>
      <c r="CC360" s="167">
        <v>0</v>
      </c>
      <c r="CD360" s="167">
        <v>0</v>
      </c>
      <c r="CE360" s="167">
        <v>0</v>
      </c>
      <c r="CF360" s="167">
        <v>0</v>
      </c>
      <c r="CG360" s="167">
        <f>N360</f>
        <v>346</v>
      </c>
      <c r="CH360" s="167">
        <v>0</v>
      </c>
      <c r="CI360" s="167">
        <v>0</v>
      </c>
      <c r="CJ360" s="167">
        <v>0</v>
      </c>
      <c r="CK360" s="167">
        <v>0</v>
      </c>
      <c r="CL360" s="167">
        <v>0</v>
      </c>
      <c r="CM360" s="167">
        <v>0</v>
      </c>
      <c r="CN360" s="167">
        <v>0</v>
      </c>
      <c r="CO360" s="167">
        <v>0</v>
      </c>
      <c r="CP360" s="167">
        <v>0</v>
      </c>
      <c r="CQ360" s="167">
        <v>0</v>
      </c>
      <c r="CR360" s="167">
        <v>0</v>
      </c>
      <c r="CS360" s="167">
        <v>0</v>
      </c>
      <c r="CT360" s="167">
        <v>0</v>
      </c>
      <c r="CU360" s="167">
        <v>0</v>
      </c>
      <c r="CV360" s="167">
        <v>0</v>
      </c>
      <c r="CW360" s="167">
        <v>0</v>
      </c>
      <c r="CX360" s="167">
        <f>SUM(CD360:CH360)</f>
        <v>346</v>
      </c>
      <c r="CY360" s="167">
        <f>SUM(CD360:CM360)</f>
        <v>346</v>
      </c>
    </row>
    <row r="361" spans="1:103" ht="12.75" customHeight="1" x14ac:dyDescent="0.2">
      <c r="A361" s="81">
        <v>3511</v>
      </c>
      <c r="B361" s="165" t="s">
        <v>1908</v>
      </c>
      <c r="C361" s="165" t="s">
        <v>33</v>
      </c>
      <c r="D361" s="165" t="s">
        <v>34</v>
      </c>
      <c r="E361" s="165" t="s">
        <v>2412</v>
      </c>
      <c r="F361" s="165" t="s">
        <v>1113</v>
      </c>
      <c r="G361" s="81">
        <v>529369</v>
      </c>
      <c r="H361" s="81">
        <v>177317</v>
      </c>
      <c r="I361" s="165" t="s">
        <v>240</v>
      </c>
      <c r="J361" s="349">
        <v>42825</v>
      </c>
      <c r="L361" s="166">
        <v>0</v>
      </c>
      <c r="M361" s="166">
        <v>251</v>
      </c>
      <c r="N361" s="166">
        <v>251</v>
      </c>
      <c r="O361" s="166">
        <v>2971</v>
      </c>
      <c r="P361" s="166">
        <v>2971</v>
      </c>
      <c r="Q361" s="81" t="s">
        <v>155</v>
      </c>
      <c r="R361" s="165" t="s">
        <v>1090</v>
      </c>
      <c r="S361" s="81" t="s">
        <v>24</v>
      </c>
      <c r="T361" s="349">
        <v>41774</v>
      </c>
      <c r="U361" s="349">
        <v>42046</v>
      </c>
      <c r="W361" s="81" t="s">
        <v>114</v>
      </c>
      <c r="Y361" s="81" t="s">
        <v>115</v>
      </c>
      <c r="Z361" s="81" t="s">
        <v>116</v>
      </c>
      <c r="AA361" s="81" t="s">
        <v>116</v>
      </c>
      <c r="AB361" s="81" t="s">
        <v>117</v>
      </c>
      <c r="AC361" s="166">
        <v>0</v>
      </c>
      <c r="AG361" s="81" t="s">
        <v>238</v>
      </c>
      <c r="AH361" s="81" t="s">
        <v>118</v>
      </c>
      <c r="AI361" s="81" t="s">
        <v>2413</v>
      </c>
      <c r="AK361" s="166">
        <v>0</v>
      </c>
      <c r="AM361" s="166">
        <v>0</v>
      </c>
      <c r="AO361" s="166">
        <v>0</v>
      </c>
      <c r="AP361" s="166">
        <v>50</v>
      </c>
      <c r="AQ361" s="166">
        <v>88</v>
      </c>
      <c r="AR361" s="166">
        <v>113</v>
      </c>
      <c r="AS361" s="166">
        <v>0</v>
      </c>
      <c r="AT361" s="166">
        <v>0</v>
      </c>
      <c r="AU361" s="166">
        <v>0</v>
      </c>
      <c r="AV361" s="166">
        <v>0</v>
      </c>
      <c r="AW361" s="166">
        <v>50</v>
      </c>
      <c r="AX361" s="166">
        <v>88</v>
      </c>
      <c r="AY361" s="166">
        <v>113</v>
      </c>
      <c r="AZ361" s="166">
        <v>0</v>
      </c>
      <c r="BA361" s="166">
        <v>0</v>
      </c>
      <c r="BB361" s="166">
        <v>0</v>
      </c>
      <c r="BC361" s="166">
        <v>0</v>
      </c>
      <c r="BD361" s="166">
        <v>0</v>
      </c>
      <c r="BE361" s="166">
        <v>0</v>
      </c>
      <c r="BF361" s="166">
        <v>0</v>
      </c>
      <c r="BG361" s="166">
        <v>0</v>
      </c>
      <c r="BH361" s="166">
        <v>0</v>
      </c>
      <c r="BI361" s="166">
        <v>0</v>
      </c>
      <c r="BJ361" s="166">
        <v>0</v>
      </c>
      <c r="BK361" s="166">
        <v>0</v>
      </c>
      <c r="BL361" s="166">
        <v>0</v>
      </c>
      <c r="BM361" s="166">
        <v>0</v>
      </c>
      <c r="BN361" s="166">
        <v>0</v>
      </c>
      <c r="BO361" s="166">
        <v>0</v>
      </c>
      <c r="BP361" s="166">
        <v>0</v>
      </c>
      <c r="BQ361" s="81" t="s">
        <v>1759</v>
      </c>
      <c r="BS361" s="81" t="s">
        <v>155</v>
      </c>
      <c r="BZ361" s="81" t="s">
        <v>155</v>
      </c>
      <c r="CA361" s="81">
        <v>12</v>
      </c>
      <c r="CC361" s="167">
        <v>0</v>
      </c>
      <c r="CD361" s="167">
        <v>0</v>
      </c>
      <c r="CE361" s="167">
        <v>0</v>
      </c>
      <c r="CF361" s="167">
        <f>N361</f>
        <v>251</v>
      </c>
      <c r="CG361" s="167">
        <v>0</v>
      </c>
      <c r="CH361" s="167">
        <v>0</v>
      </c>
      <c r="CI361" s="167">
        <v>0</v>
      </c>
      <c r="CJ361" s="167">
        <v>0</v>
      </c>
      <c r="CK361" s="167">
        <v>0</v>
      </c>
      <c r="CL361" s="167">
        <v>0</v>
      </c>
      <c r="CM361" s="167">
        <v>0</v>
      </c>
      <c r="CN361" s="167">
        <v>0</v>
      </c>
      <c r="CO361" s="167">
        <v>0</v>
      </c>
      <c r="CP361" s="167">
        <v>0</v>
      </c>
      <c r="CQ361" s="167">
        <v>0</v>
      </c>
      <c r="CR361" s="167">
        <v>0</v>
      </c>
      <c r="CS361" s="167">
        <v>0</v>
      </c>
      <c r="CT361" s="167">
        <v>0</v>
      </c>
      <c r="CU361" s="167">
        <v>0</v>
      </c>
      <c r="CV361" s="167">
        <v>0</v>
      </c>
      <c r="CW361" s="167">
        <v>0</v>
      </c>
      <c r="CX361" s="167">
        <f>SUM(CD361:CH361)</f>
        <v>251</v>
      </c>
      <c r="CY361" s="167">
        <f>SUM(CD361:CM361)</f>
        <v>251</v>
      </c>
    </row>
    <row r="362" spans="1:103" ht="12.75" customHeight="1" x14ac:dyDescent="0.2">
      <c r="A362" s="81">
        <v>3511</v>
      </c>
      <c r="B362" s="165" t="s">
        <v>1908</v>
      </c>
      <c r="C362" s="165" t="s">
        <v>33</v>
      </c>
      <c r="D362" s="165" t="s">
        <v>34</v>
      </c>
      <c r="E362" s="165" t="s">
        <v>2412</v>
      </c>
      <c r="F362" s="165" t="s">
        <v>1114</v>
      </c>
      <c r="G362" s="81">
        <v>529369</v>
      </c>
      <c r="H362" s="81">
        <v>177317</v>
      </c>
      <c r="I362" s="165" t="s">
        <v>240</v>
      </c>
      <c r="J362" s="349">
        <v>42825</v>
      </c>
      <c r="L362" s="166">
        <v>0</v>
      </c>
      <c r="M362" s="166">
        <v>17</v>
      </c>
      <c r="N362" s="166">
        <v>17</v>
      </c>
      <c r="O362" s="166">
        <v>2971</v>
      </c>
      <c r="P362" s="166">
        <v>2971</v>
      </c>
      <c r="Q362" s="81" t="s">
        <v>155</v>
      </c>
      <c r="R362" s="165" t="s">
        <v>1090</v>
      </c>
      <c r="S362" s="81" t="s">
        <v>24</v>
      </c>
      <c r="T362" s="349">
        <v>41774</v>
      </c>
      <c r="U362" s="349">
        <v>42046</v>
      </c>
      <c r="W362" s="81" t="s">
        <v>114</v>
      </c>
      <c r="Y362" s="81" t="s">
        <v>115</v>
      </c>
      <c r="Z362" s="81" t="s">
        <v>116</v>
      </c>
      <c r="AA362" s="81" t="s">
        <v>116</v>
      </c>
      <c r="AB362" s="81" t="s">
        <v>117</v>
      </c>
      <c r="AC362" s="166">
        <v>0</v>
      </c>
      <c r="AG362" s="81" t="s">
        <v>154</v>
      </c>
      <c r="AH362" s="81" t="s">
        <v>312</v>
      </c>
      <c r="AI362" s="81" t="s">
        <v>2413</v>
      </c>
      <c r="AK362" s="166">
        <v>0</v>
      </c>
      <c r="AM362" s="166">
        <v>0</v>
      </c>
      <c r="AO362" s="166">
        <v>0</v>
      </c>
      <c r="AP362" s="166">
        <v>2</v>
      </c>
      <c r="AQ362" s="166">
        <v>7</v>
      </c>
      <c r="AR362" s="166">
        <v>8</v>
      </c>
      <c r="AS362" s="166">
        <v>0</v>
      </c>
      <c r="AT362" s="166">
        <v>0</v>
      </c>
      <c r="AU362" s="166">
        <v>0</v>
      </c>
      <c r="AV362" s="166">
        <v>0</v>
      </c>
      <c r="AW362" s="166">
        <v>2</v>
      </c>
      <c r="AX362" s="166">
        <v>7</v>
      </c>
      <c r="AY362" s="166">
        <v>8</v>
      </c>
      <c r="AZ362" s="166">
        <v>0</v>
      </c>
      <c r="BA362" s="166">
        <v>0</v>
      </c>
      <c r="BB362" s="166">
        <v>0</v>
      </c>
      <c r="BC362" s="166">
        <v>0</v>
      </c>
      <c r="BD362" s="166">
        <v>0</v>
      </c>
      <c r="BE362" s="166">
        <v>0</v>
      </c>
      <c r="BF362" s="166">
        <v>0</v>
      </c>
      <c r="BG362" s="166">
        <v>0</v>
      </c>
      <c r="BH362" s="166">
        <v>0</v>
      </c>
      <c r="BI362" s="166">
        <v>0</v>
      </c>
      <c r="BJ362" s="166">
        <v>0</v>
      </c>
      <c r="BK362" s="166">
        <v>0</v>
      </c>
      <c r="BL362" s="166">
        <v>0</v>
      </c>
      <c r="BM362" s="166">
        <v>0</v>
      </c>
      <c r="BN362" s="166">
        <v>0</v>
      </c>
      <c r="BO362" s="166">
        <v>0</v>
      </c>
      <c r="BP362" s="166">
        <v>0</v>
      </c>
      <c r="BQ362" s="81" t="s">
        <v>1759</v>
      </c>
      <c r="BS362" s="81" t="s">
        <v>155</v>
      </c>
      <c r="BZ362" s="81" t="s">
        <v>155</v>
      </c>
      <c r="CA362" s="81">
        <v>12</v>
      </c>
      <c r="CC362" s="167">
        <v>0</v>
      </c>
      <c r="CD362" s="167">
        <v>0</v>
      </c>
      <c r="CE362" s="167">
        <v>0</v>
      </c>
      <c r="CF362" s="167">
        <v>0</v>
      </c>
      <c r="CG362" s="167">
        <v>0</v>
      </c>
      <c r="CH362" s="167">
        <v>0</v>
      </c>
      <c r="CI362" s="167">
        <v>0</v>
      </c>
      <c r="CJ362" s="167">
        <v>0</v>
      </c>
      <c r="CK362" s="167">
        <v>0</v>
      </c>
      <c r="CL362" s="167">
        <f>N362</f>
        <v>17</v>
      </c>
      <c r="CM362" s="167">
        <v>0</v>
      </c>
      <c r="CN362" s="167">
        <v>0</v>
      </c>
      <c r="CO362" s="167">
        <v>0</v>
      </c>
      <c r="CP362" s="167">
        <v>0</v>
      </c>
      <c r="CQ362" s="167">
        <v>0</v>
      </c>
      <c r="CR362" s="167">
        <v>0</v>
      </c>
      <c r="CS362" s="167">
        <v>0</v>
      </c>
      <c r="CT362" s="167">
        <v>0</v>
      </c>
      <c r="CU362" s="167">
        <v>0</v>
      </c>
      <c r="CV362" s="167">
        <v>0</v>
      </c>
      <c r="CW362" s="167">
        <v>0</v>
      </c>
      <c r="CX362" s="167">
        <f>SUM(CD362:CH362)</f>
        <v>0</v>
      </c>
      <c r="CY362" s="167">
        <f>SUM(CD362:CM362)</f>
        <v>17</v>
      </c>
    </row>
    <row r="363" spans="1:103" ht="12.75" customHeight="1" x14ac:dyDescent="0.2">
      <c r="A363" s="81">
        <v>3511</v>
      </c>
      <c r="B363" s="165" t="s">
        <v>1908</v>
      </c>
      <c r="C363" s="165" t="s">
        <v>33</v>
      </c>
      <c r="D363" s="165" t="s">
        <v>34</v>
      </c>
      <c r="E363" s="165" t="s">
        <v>2412</v>
      </c>
      <c r="F363" s="165" t="s">
        <v>1115</v>
      </c>
      <c r="G363" s="81">
        <v>529369</v>
      </c>
      <c r="H363" s="81">
        <v>177317</v>
      </c>
      <c r="I363" s="165" t="s">
        <v>240</v>
      </c>
      <c r="J363" s="349">
        <v>42825</v>
      </c>
      <c r="L363" s="166">
        <v>0</v>
      </c>
      <c r="M363" s="166">
        <v>11</v>
      </c>
      <c r="N363" s="166">
        <v>11</v>
      </c>
      <c r="O363" s="166">
        <v>2971</v>
      </c>
      <c r="P363" s="166">
        <v>2971</v>
      </c>
      <c r="Q363" s="81" t="s">
        <v>155</v>
      </c>
      <c r="R363" s="165" t="s">
        <v>1090</v>
      </c>
      <c r="S363" s="81" t="s">
        <v>24</v>
      </c>
      <c r="T363" s="349">
        <v>41774</v>
      </c>
      <c r="U363" s="349">
        <v>42046</v>
      </c>
      <c r="W363" s="81" t="s">
        <v>114</v>
      </c>
      <c r="Y363" s="81" t="s">
        <v>115</v>
      </c>
      <c r="Z363" s="81" t="s">
        <v>116</v>
      </c>
      <c r="AA363" s="81" t="s">
        <v>116</v>
      </c>
      <c r="AB363" s="81" t="s">
        <v>117</v>
      </c>
      <c r="AC363" s="166">
        <v>0</v>
      </c>
      <c r="AG363" s="81" t="s">
        <v>74</v>
      </c>
      <c r="AH363" s="81" t="s">
        <v>1913</v>
      </c>
      <c r="AI363" s="81" t="s">
        <v>2413</v>
      </c>
      <c r="AK363" s="166">
        <v>0</v>
      </c>
      <c r="AM363" s="166">
        <v>0</v>
      </c>
      <c r="AO363" s="166">
        <v>0</v>
      </c>
      <c r="AP363" s="166">
        <v>2</v>
      </c>
      <c r="AQ363" s="166">
        <v>5</v>
      </c>
      <c r="AR363" s="166">
        <v>4</v>
      </c>
      <c r="AS363" s="166">
        <v>0</v>
      </c>
      <c r="AT363" s="166">
        <v>0</v>
      </c>
      <c r="AU363" s="166">
        <v>0</v>
      </c>
      <c r="AV363" s="166">
        <v>0</v>
      </c>
      <c r="AW363" s="166">
        <v>2</v>
      </c>
      <c r="AX363" s="166">
        <v>5</v>
      </c>
      <c r="AY363" s="166">
        <v>4</v>
      </c>
      <c r="AZ363" s="166">
        <v>0</v>
      </c>
      <c r="BA363" s="166">
        <v>0</v>
      </c>
      <c r="BB363" s="166">
        <v>0</v>
      </c>
      <c r="BC363" s="166">
        <v>0</v>
      </c>
      <c r="BD363" s="166">
        <v>0</v>
      </c>
      <c r="BE363" s="166">
        <v>0</v>
      </c>
      <c r="BF363" s="166">
        <v>0</v>
      </c>
      <c r="BG363" s="166">
        <v>0</v>
      </c>
      <c r="BH363" s="166">
        <v>0</v>
      </c>
      <c r="BI363" s="166">
        <v>0</v>
      </c>
      <c r="BJ363" s="166">
        <v>0</v>
      </c>
      <c r="BK363" s="166">
        <v>0</v>
      </c>
      <c r="BL363" s="166">
        <v>0</v>
      </c>
      <c r="BM363" s="166">
        <v>0</v>
      </c>
      <c r="BN363" s="166">
        <v>0</v>
      </c>
      <c r="BO363" s="166">
        <v>0</v>
      </c>
      <c r="BP363" s="166">
        <v>0</v>
      </c>
      <c r="BQ363" s="81" t="s">
        <v>1759</v>
      </c>
      <c r="BS363" s="81" t="s">
        <v>155</v>
      </c>
      <c r="BZ363" s="81" t="s">
        <v>155</v>
      </c>
      <c r="CA363" s="81">
        <v>12</v>
      </c>
      <c r="CC363" s="167">
        <v>0</v>
      </c>
      <c r="CD363" s="167">
        <v>0</v>
      </c>
      <c r="CE363" s="167">
        <v>0</v>
      </c>
      <c r="CF363" s="167">
        <v>0</v>
      </c>
      <c r="CG363" s="167">
        <v>0</v>
      </c>
      <c r="CH363" s="167">
        <v>0</v>
      </c>
      <c r="CI363" s="167">
        <v>0</v>
      </c>
      <c r="CJ363" s="167">
        <v>0</v>
      </c>
      <c r="CK363" s="167">
        <v>0</v>
      </c>
      <c r="CL363" s="167">
        <f>N363</f>
        <v>11</v>
      </c>
      <c r="CM363" s="167">
        <v>0</v>
      </c>
      <c r="CN363" s="167">
        <v>0</v>
      </c>
      <c r="CO363" s="167">
        <v>0</v>
      </c>
      <c r="CP363" s="167">
        <v>0</v>
      </c>
      <c r="CQ363" s="167">
        <v>0</v>
      </c>
      <c r="CR363" s="167">
        <v>0</v>
      </c>
      <c r="CS363" s="167">
        <v>0</v>
      </c>
      <c r="CT363" s="167">
        <v>0</v>
      </c>
      <c r="CU363" s="167">
        <v>0</v>
      </c>
      <c r="CV363" s="167">
        <v>0</v>
      </c>
      <c r="CW363" s="167">
        <v>0</v>
      </c>
      <c r="CX363" s="167">
        <f>SUM(CD363:CH363)</f>
        <v>0</v>
      </c>
      <c r="CY363" s="167">
        <f>SUM(CD363:CM363)</f>
        <v>11</v>
      </c>
    </row>
    <row r="364" spans="1:103" ht="12.75" customHeight="1" x14ac:dyDescent="0.2">
      <c r="A364" s="81">
        <v>3511</v>
      </c>
      <c r="B364" s="165" t="s">
        <v>1908</v>
      </c>
      <c r="C364" s="165" t="s">
        <v>33</v>
      </c>
      <c r="D364" s="165" t="s">
        <v>34</v>
      </c>
      <c r="E364" s="165" t="s">
        <v>2412</v>
      </c>
      <c r="F364" s="165" t="s">
        <v>1116</v>
      </c>
      <c r="G364" s="81">
        <v>529369</v>
      </c>
      <c r="H364" s="81">
        <v>177317</v>
      </c>
      <c r="I364" s="165" t="s">
        <v>240</v>
      </c>
      <c r="J364" s="349">
        <v>42825</v>
      </c>
      <c r="L364" s="166">
        <v>0</v>
      </c>
      <c r="M364" s="166">
        <v>6</v>
      </c>
      <c r="N364" s="166">
        <v>6</v>
      </c>
      <c r="O364" s="166">
        <v>2971</v>
      </c>
      <c r="P364" s="166">
        <v>2971</v>
      </c>
      <c r="Q364" s="81" t="s">
        <v>155</v>
      </c>
      <c r="R364" s="165" t="s">
        <v>1090</v>
      </c>
      <c r="S364" s="81" t="s">
        <v>24</v>
      </c>
      <c r="T364" s="349">
        <v>41774</v>
      </c>
      <c r="U364" s="349">
        <v>42046</v>
      </c>
      <c r="W364" s="81" t="s">
        <v>114</v>
      </c>
      <c r="Y364" s="81" t="s">
        <v>115</v>
      </c>
      <c r="Z364" s="81" t="s">
        <v>116</v>
      </c>
      <c r="AA364" s="81" t="s">
        <v>116</v>
      </c>
      <c r="AB364" s="81" t="s">
        <v>117</v>
      </c>
      <c r="AC364" s="166">
        <v>0</v>
      </c>
      <c r="AG364" s="81" t="s">
        <v>154</v>
      </c>
      <c r="AH364" s="81" t="s">
        <v>312</v>
      </c>
      <c r="AI364" s="81" t="s">
        <v>2413</v>
      </c>
      <c r="AK364" s="166">
        <v>0</v>
      </c>
      <c r="AM364" s="166">
        <v>0</v>
      </c>
      <c r="AO364" s="166">
        <v>0</v>
      </c>
      <c r="AP364" s="166">
        <v>0</v>
      </c>
      <c r="AQ364" s="166">
        <v>2</v>
      </c>
      <c r="AR364" s="166">
        <v>4</v>
      </c>
      <c r="AS364" s="166">
        <v>0</v>
      </c>
      <c r="AT364" s="166">
        <v>0</v>
      </c>
      <c r="AU364" s="166">
        <v>0</v>
      </c>
      <c r="AV364" s="166">
        <v>0</v>
      </c>
      <c r="AW364" s="166">
        <v>0</v>
      </c>
      <c r="AX364" s="166">
        <v>2</v>
      </c>
      <c r="AY364" s="166">
        <v>4</v>
      </c>
      <c r="AZ364" s="166">
        <v>0</v>
      </c>
      <c r="BA364" s="166">
        <v>0</v>
      </c>
      <c r="BB364" s="166">
        <v>0</v>
      </c>
      <c r="BC364" s="166">
        <v>0</v>
      </c>
      <c r="BD364" s="166">
        <v>0</v>
      </c>
      <c r="BE364" s="166">
        <v>0</v>
      </c>
      <c r="BF364" s="166">
        <v>0</v>
      </c>
      <c r="BG364" s="166">
        <v>0</v>
      </c>
      <c r="BH364" s="166">
        <v>0</v>
      </c>
      <c r="BI364" s="166">
        <v>0</v>
      </c>
      <c r="BJ364" s="166">
        <v>0</v>
      </c>
      <c r="BK364" s="166">
        <v>0</v>
      </c>
      <c r="BL364" s="166">
        <v>0</v>
      </c>
      <c r="BM364" s="166">
        <v>0</v>
      </c>
      <c r="BN364" s="166">
        <v>0</v>
      </c>
      <c r="BO364" s="166">
        <v>0</v>
      </c>
      <c r="BP364" s="166">
        <v>0</v>
      </c>
      <c r="BQ364" s="81" t="s">
        <v>1759</v>
      </c>
      <c r="BS364" s="81" t="s">
        <v>155</v>
      </c>
      <c r="BZ364" s="81" t="s">
        <v>155</v>
      </c>
      <c r="CA364" s="81">
        <v>12</v>
      </c>
      <c r="CC364" s="167">
        <v>0</v>
      </c>
      <c r="CD364" s="167">
        <v>0</v>
      </c>
      <c r="CE364" s="167">
        <v>0</v>
      </c>
      <c r="CF364" s="167">
        <v>0</v>
      </c>
      <c r="CG364" s="167">
        <v>0</v>
      </c>
      <c r="CH364" s="167">
        <v>0</v>
      </c>
      <c r="CI364" s="167">
        <v>0</v>
      </c>
      <c r="CJ364" s="167">
        <v>0</v>
      </c>
      <c r="CK364" s="167">
        <v>0</v>
      </c>
      <c r="CL364" s="167">
        <f>N364</f>
        <v>6</v>
      </c>
      <c r="CM364" s="167">
        <v>0</v>
      </c>
      <c r="CN364" s="167">
        <v>0</v>
      </c>
      <c r="CO364" s="167">
        <v>0</v>
      </c>
      <c r="CP364" s="167">
        <v>0</v>
      </c>
      <c r="CQ364" s="167">
        <v>0</v>
      </c>
      <c r="CR364" s="167">
        <v>0</v>
      </c>
      <c r="CS364" s="167">
        <v>0</v>
      </c>
      <c r="CT364" s="167">
        <v>0</v>
      </c>
      <c r="CU364" s="167">
        <v>0</v>
      </c>
      <c r="CV364" s="167">
        <v>0</v>
      </c>
      <c r="CW364" s="167">
        <v>0</v>
      </c>
      <c r="CX364" s="167">
        <f>SUM(CD364:CH364)</f>
        <v>0</v>
      </c>
      <c r="CY364" s="167">
        <f>SUM(CD364:CM364)</f>
        <v>6</v>
      </c>
    </row>
    <row r="365" spans="1:103" ht="12.75" customHeight="1" x14ac:dyDescent="0.2">
      <c r="A365" s="81">
        <v>3511</v>
      </c>
      <c r="B365" s="165" t="s">
        <v>1908</v>
      </c>
      <c r="C365" s="165" t="s">
        <v>33</v>
      </c>
      <c r="D365" s="165" t="s">
        <v>34</v>
      </c>
      <c r="E365" s="165" t="s">
        <v>2412</v>
      </c>
      <c r="F365" s="165" t="s">
        <v>1117</v>
      </c>
      <c r="G365" s="81">
        <v>529369</v>
      </c>
      <c r="H365" s="81">
        <v>177317</v>
      </c>
      <c r="I365" s="165" t="s">
        <v>240</v>
      </c>
      <c r="J365" s="349">
        <v>42825</v>
      </c>
      <c r="L365" s="166">
        <v>0</v>
      </c>
      <c r="M365" s="166">
        <v>17</v>
      </c>
      <c r="N365" s="166">
        <v>17</v>
      </c>
      <c r="O365" s="166">
        <v>2971</v>
      </c>
      <c r="P365" s="166">
        <v>2971</v>
      </c>
      <c r="Q365" s="81" t="s">
        <v>155</v>
      </c>
      <c r="R365" s="165" t="s">
        <v>1090</v>
      </c>
      <c r="S365" s="81" t="s">
        <v>24</v>
      </c>
      <c r="T365" s="349">
        <v>41774</v>
      </c>
      <c r="U365" s="349">
        <v>42046</v>
      </c>
      <c r="W365" s="81" t="s">
        <v>114</v>
      </c>
      <c r="Y365" s="81" t="s">
        <v>115</v>
      </c>
      <c r="Z365" s="81" t="s">
        <v>116</v>
      </c>
      <c r="AA365" s="81" t="s">
        <v>116</v>
      </c>
      <c r="AB365" s="81" t="s">
        <v>117</v>
      </c>
      <c r="AC365" s="166">
        <v>0.30000001192092901</v>
      </c>
      <c r="AG365" s="81" t="s">
        <v>74</v>
      </c>
      <c r="AH365" s="81" t="s">
        <v>1913</v>
      </c>
      <c r="AI365" s="81" t="s">
        <v>2413</v>
      </c>
      <c r="AK365" s="166">
        <v>0</v>
      </c>
      <c r="AM365" s="166">
        <v>0</v>
      </c>
      <c r="AO365" s="166">
        <v>0</v>
      </c>
      <c r="AP365" s="166">
        <v>2</v>
      </c>
      <c r="AQ365" s="166">
        <v>7</v>
      </c>
      <c r="AR365" s="166">
        <v>8</v>
      </c>
      <c r="AS365" s="166">
        <v>0</v>
      </c>
      <c r="AT365" s="166">
        <v>0</v>
      </c>
      <c r="AU365" s="166">
        <v>0</v>
      </c>
      <c r="AV365" s="166">
        <v>0</v>
      </c>
      <c r="AW365" s="166">
        <v>2</v>
      </c>
      <c r="AX365" s="166">
        <v>7</v>
      </c>
      <c r="AY365" s="166">
        <v>8</v>
      </c>
      <c r="AZ365" s="166">
        <v>0</v>
      </c>
      <c r="BA365" s="166">
        <v>0</v>
      </c>
      <c r="BB365" s="166">
        <v>0</v>
      </c>
      <c r="BC365" s="166">
        <v>0</v>
      </c>
      <c r="BD365" s="166">
        <v>0</v>
      </c>
      <c r="BE365" s="166">
        <v>0</v>
      </c>
      <c r="BF365" s="166">
        <v>0</v>
      </c>
      <c r="BG365" s="166">
        <v>0</v>
      </c>
      <c r="BH365" s="166">
        <v>0</v>
      </c>
      <c r="BI365" s="166">
        <v>0</v>
      </c>
      <c r="BJ365" s="166">
        <v>0</v>
      </c>
      <c r="BK365" s="166">
        <v>0</v>
      </c>
      <c r="BL365" s="166">
        <v>0</v>
      </c>
      <c r="BM365" s="166">
        <v>0</v>
      </c>
      <c r="BN365" s="166">
        <v>0</v>
      </c>
      <c r="BO365" s="166">
        <v>0</v>
      </c>
      <c r="BP365" s="166">
        <v>0</v>
      </c>
      <c r="BQ365" s="81" t="s">
        <v>1759</v>
      </c>
      <c r="BS365" s="81" t="s">
        <v>155</v>
      </c>
      <c r="BZ365" s="81" t="s">
        <v>155</v>
      </c>
      <c r="CA365" s="81">
        <v>12</v>
      </c>
      <c r="CC365" s="167">
        <v>0</v>
      </c>
      <c r="CD365" s="167">
        <v>0</v>
      </c>
      <c r="CE365" s="167">
        <v>0</v>
      </c>
      <c r="CF365" s="167">
        <v>0</v>
      </c>
      <c r="CG365" s="167">
        <v>0</v>
      </c>
      <c r="CH365" s="167">
        <v>0</v>
      </c>
      <c r="CI365" s="167">
        <v>0</v>
      </c>
      <c r="CJ365" s="167">
        <v>0</v>
      </c>
      <c r="CK365" s="167">
        <v>0</v>
      </c>
      <c r="CL365" s="167">
        <f>N365</f>
        <v>17</v>
      </c>
      <c r="CM365" s="167">
        <v>0</v>
      </c>
      <c r="CN365" s="167">
        <v>0</v>
      </c>
      <c r="CO365" s="167">
        <v>0</v>
      </c>
      <c r="CP365" s="167">
        <v>0</v>
      </c>
      <c r="CQ365" s="167">
        <v>0</v>
      </c>
      <c r="CR365" s="167">
        <v>0</v>
      </c>
      <c r="CS365" s="167">
        <v>0</v>
      </c>
      <c r="CT365" s="167">
        <v>0</v>
      </c>
      <c r="CU365" s="167">
        <v>0</v>
      </c>
      <c r="CV365" s="167">
        <v>0</v>
      </c>
      <c r="CW365" s="167">
        <v>0</v>
      </c>
      <c r="CX365" s="167">
        <f>SUM(CD365:CH365)</f>
        <v>0</v>
      </c>
      <c r="CY365" s="167">
        <f>SUM(CD365:CM365)</f>
        <v>17</v>
      </c>
    </row>
    <row r="366" spans="1:103" ht="12.75" customHeight="1" x14ac:dyDescent="0.2">
      <c r="A366" s="81">
        <v>3514</v>
      </c>
      <c r="B366" s="165" t="s">
        <v>1908</v>
      </c>
      <c r="C366" s="165" t="s">
        <v>51</v>
      </c>
      <c r="E366" s="165" t="s">
        <v>2597</v>
      </c>
      <c r="F366" s="165" t="s">
        <v>904</v>
      </c>
      <c r="G366" s="81">
        <v>528809</v>
      </c>
      <c r="H366" s="81">
        <v>177181</v>
      </c>
      <c r="I366" s="165" t="s">
        <v>240</v>
      </c>
      <c r="J366" s="349">
        <v>42662</v>
      </c>
      <c r="L366" s="166">
        <v>0</v>
      </c>
      <c r="M366" s="166">
        <v>62</v>
      </c>
      <c r="N366" s="166">
        <v>62</v>
      </c>
      <c r="O366" s="166">
        <v>839</v>
      </c>
      <c r="P366" s="166">
        <v>839</v>
      </c>
      <c r="Q366" s="81" t="s">
        <v>155</v>
      </c>
      <c r="R366" s="165" t="s">
        <v>905</v>
      </c>
      <c r="S366" s="81" t="s">
        <v>104</v>
      </c>
      <c r="T366" s="349">
        <v>42039</v>
      </c>
      <c r="U366" s="349">
        <v>42265</v>
      </c>
      <c r="W366" s="81" t="s">
        <v>114</v>
      </c>
      <c r="Y366" s="81" t="s">
        <v>115</v>
      </c>
      <c r="Z366" s="81" t="s">
        <v>116</v>
      </c>
      <c r="AA366" s="81" t="s">
        <v>116</v>
      </c>
      <c r="AB366" s="81" t="s">
        <v>117</v>
      </c>
      <c r="AC366" s="166">
        <v>0.15600000321865101</v>
      </c>
      <c r="AD366" s="349">
        <v>42662</v>
      </c>
      <c r="AG366" s="81" t="s">
        <v>238</v>
      </c>
      <c r="AH366" s="81" t="s">
        <v>118</v>
      </c>
      <c r="AI366" s="81" t="s">
        <v>2598</v>
      </c>
      <c r="AK366" s="166">
        <v>62</v>
      </c>
      <c r="AM366" s="166">
        <v>6</v>
      </c>
      <c r="AO366" s="166">
        <v>0</v>
      </c>
      <c r="AP366" s="166">
        <v>14</v>
      </c>
      <c r="AQ366" s="166">
        <v>42</v>
      </c>
      <c r="AR366" s="166">
        <v>6</v>
      </c>
      <c r="AS366" s="166">
        <v>0</v>
      </c>
      <c r="AT366" s="166">
        <v>0</v>
      </c>
      <c r="AU366" s="166">
        <v>0</v>
      </c>
      <c r="AV366" s="166">
        <v>0</v>
      </c>
      <c r="AW366" s="166">
        <v>14</v>
      </c>
      <c r="AX366" s="166">
        <v>42</v>
      </c>
      <c r="AY366" s="166">
        <v>6</v>
      </c>
      <c r="AZ366" s="166">
        <v>0</v>
      </c>
      <c r="BA366" s="166">
        <v>0</v>
      </c>
      <c r="BB366" s="166">
        <v>0</v>
      </c>
      <c r="BC366" s="166">
        <v>0</v>
      </c>
      <c r="BD366" s="166">
        <v>0</v>
      </c>
      <c r="BE366" s="166">
        <v>0</v>
      </c>
      <c r="BF366" s="166">
        <v>0</v>
      </c>
      <c r="BG366" s="166">
        <v>0</v>
      </c>
      <c r="BH366" s="166">
        <v>0</v>
      </c>
      <c r="BI366" s="166">
        <v>0</v>
      </c>
      <c r="BJ366" s="166">
        <v>0</v>
      </c>
      <c r="BK366" s="166">
        <v>0</v>
      </c>
      <c r="BL366" s="166">
        <v>0</v>
      </c>
      <c r="BM366" s="166">
        <v>0</v>
      </c>
      <c r="BN366" s="166">
        <v>0</v>
      </c>
      <c r="BO366" s="166">
        <v>0</v>
      </c>
      <c r="BP366" s="166">
        <v>0</v>
      </c>
      <c r="BQ366" s="81" t="s">
        <v>1759</v>
      </c>
      <c r="BS366" s="81" t="s">
        <v>155</v>
      </c>
      <c r="BZ366" s="81" t="s">
        <v>155</v>
      </c>
      <c r="CA366" s="81">
        <v>12</v>
      </c>
      <c r="CC366" s="167">
        <v>0</v>
      </c>
      <c r="CD366" s="167">
        <v>0</v>
      </c>
      <c r="CE366" s="167">
        <f>N366</f>
        <v>62</v>
      </c>
      <c r="CF366" s="167">
        <v>0</v>
      </c>
      <c r="CG366" s="167">
        <v>0</v>
      </c>
      <c r="CH366" s="167">
        <v>0</v>
      </c>
      <c r="CI366" s="167">
        <v>0</v>
      </c>
      <c r="CJ366" s="167">
        <v>0</v>
      </c>
      <c r="CK366" s="167">
        <v>0</v>
      </c>
      <c r="CL366" s="167">
        <v>0</v>
      </c>
      <c r="CM366" s="167">
        <v>0</v>
      </c>
      <c r="CN366" s="167">
        <v>0</v>
      </c>
      <c r="CO366" s="167">
        <v>0</v>
      </c>
      <c r="CP366" s="167">
        <v>0</v>
      </c>
      <c r="CQ366" s="167">
        <v>0</v>
      </c>
      <c r="CR366" s="167">
        <v>0</v>
      </c>
      <c r="CS366" s="167">
        <v>0</v>
      </c>
      <c r="CT366" s="167">
        <v>0</v>
      </c>
      <c r="CU366" s="167">
        <v>0</v>
      </c>
      <c r="CV366" s="167">
        <v>0</v>
      </c>
      <c r="CW366" s="167">
        <v>0</v>
      </c>
      <c r="CX366" s="167">
        <f>SUM(CD366:CH366)</f>
        <v>62</v>
      </c>
      <c r="CY366" s="167">
        <f>SUM(CD366:CM366)</f>
        <v>62</v>
      </c>
    </row>
    <row r="367" spans="1:103" ht="12.75" customHeight="1" x14ac:dyDescent="0.2">
      <c r="A367" s="81">
        <v>3514</v>
      </c>
      <c r="B367" s="165" t="s">
        <v>1908</v>
      </c>
      <c r="C367" s="165" t="s">
        <v>51</v>
      </c>
      <c r="E367" s="165" t="s">
        <v>2597</v>
      </c>
      <c r="F367" s="165" t="s">
        <v>906</v>
      </c>
      <c r="G367" s="81">
        <v>528809</v>
      </c>
      <c r="H367" s="81">
        <v>177181</v>
      </c>
      <c r="I367" s="165" t="s">
        <v>240</v>
      </c>
      <c r="J367" s="349">
        <v>42662</v>
      </c>
      <c r="L367" s="166">
        <v>0</v>
      </c>
      <c r="M367" s="166">
        <v>5</v>
      </c>
      <c r="N367" s="166">
        <v>5</v>
      </c>
      <c r="O367" s="166">
        <v>839</v>
      </c>
      <c r="P367" s="166">
        <v>839</v>
      </c>
      <c r="Q367" s="81" t="s">
        <v>155</v>
      </c>
      <c r="R367" s="165" t="s">
        <v>905</v>
      </c>
      <c r="S367" s="81" t="s">
        <v>104</v>
      </c>
      <c r="T367" s="349">
        <v>42039</v>
      </c>
      <c r="U367" s="349">
        <v>42265</v>
      </c>
      <c r="W367" s="81" t="s">
        <v>114</v>
      </c>
      <c r="Y367" s="81" t="s">
        <v>115</v>
      </c>
      <c r="Z367" s="81" t="s">
        <v>116</v>
      </c>
      <c r="AA367" s="81" t="s">
        <v>116</v>
      </c>
      <c r="AB367" s="81" t="s">
        <v>117</v>
      </c>
      <c r="AC367" s="166">
        <v>1.7000000923872001E-2</v>
      </c>
      <c r="AD367" s="349">
        <v>42662</v>
      </c>
      <c r="AG367" s="81" t="s">
        <v>74</v>
      </c>
      <c r="AH367" s="81" t="s">
        <v>1913</v>
      </c>
      <c r="AI367" s="81" t="s">
        <v>2598</v>
      </c>
      <c r="AK367" s="166">
        <v>5</v>
      </c>
      <c r="AM367" s="166">
        <v>1</v>
      </c>
      <c r="AO367" s="166">
        <v>0</v>
      </c>
      <c r="AP367" s="166">
        <v>2</v>
      </c>
      <c r="AQ367" s="166">
        <v>3</v>
      </c>
      <c r="AR367" s="166">
        <v>0</v>
      </c>
      <c r="AS367" s="166">
        <v>0</v>
      </c>
      <c r="AT367" s="166">
        <v>0</v>
      </c>
      <c r="AU367" s="166">
        <v>0</v>
      </c>
      <c r="AV367" s="166">
        <v>0</v>
      </c>
      <c r="AW367" s="166">
        <v>2</v>
      </c>
      <c r="AX367" s="166">
        <v>3</v>
      </c>
      <c r="AY367" s="166">
        <v>0</v>
      </c>
      <c r="AZ367" s="166">
        <v>0</v>
      </c>
      <c r="BA367" s="166">
        <v>0</v>
      </c>
      <c r="BB367" s="166">
        <v>0</v>
      </c>
      <c r="BC367" s="166">
        <v>0</v>
      </c>
      <c r="BD367" s="166">
        <v>0</v>
      </c>
      <c r="BE367" s="166">
        <v>0</v>
      </c>
      <c r="BF367" s="166">
        <v>0</v>
      </c>
      <c r="BG367" s="166">
        <v>0</v>
      </c>
      <c r="BH367" s="166">
        <v>0</v>
      </c>
      <c r="BI367" s="166">
        <v>0</v>
      </c>
      <c r="BJ367" s="166">
        <v>0</v>
      </c>
      <c r="BK367" s="166">
        <v>0</v>
      </c>
      <c r="BL367" s="166">
        <v>0</v>
      </c>
      <c r="BM367" s="166">
        <v>0</v>
      </c>
      <c r="BN367" s="166">
        <v>0</v>
      </c>
      <c r="BO367" s="166">
        <v>0</v>
      </c>
      <c r="BP367" s="166">
        <v>0</v>
      </c>
      <c r="BQ367" s="81" t="s">
        <v>1759</v>
      </c>
      <c r="BS367" s="81" t="s">
        <v>155</v>
      </c>
      <c r="BZ367" s="81" t="s">
        <v>155</v>
      </c>
      <c r="CA367" s="81">
        <v>12</v>
      </c>
      <c r="CC367" s="167">
        <v>0</v>
      </c>
      <c r="CD367" s="167">
        <v>0</v>
      </c>
      <c r="CE367" s="167">
        <f>N367</f>
        <v>5</v>
      </c>
      <c r="CF367" s="167">
        <v>0</v>
      </c>
      <c r="CG367" s="167">
        <v>0</v>
      </c>
      <c r="CH367" s="167">
        <v>0</v>
      </c>
      <c r="CI367" s="167">
        <v>0</v>
      </c>
      <c r="CJ367" s="167">
        <v>0</v>
      </c>
      <c r="CK367" s="167">
        <v>0</v>
      </c>
      <c r="CL367" s="167">
        <v>0</v>
      </c>
      <c r="CM367" s="167">
        <v>0</v>
      </c>
      <c r="CN367" s="167">
        <v>0</v>
      </c>
      <c r="CO367" s="167">
        <v>0</v>
      </c>
      <c r="CP367" s="167">
        <v>0</v>
      </c>
      <c r="CQ367" s="167">
        <v>0</v>
      </c>
      <c r="CR367" s="167">
        <v>0</v>
      </c>
      <c r="CS367" s="167">
        <v>0</v>
      </c>
      <c r="CT367" s="167">
        <v>0</v>
      </c>
      <c r="CU367" s="167">
        <v>0</v>
      </c>
      <c r="CV367" s="167">
        <v>0</v>
      </c>
      <c r="CW367" s="167">
        <v>0</v>
      </c>
      <c r="CX367" s="167">
        <f>SUM(CD367:CH367)</f>
        <v>5</v>
      </c>
      <c r="CY367" s="167">
        <f>SUM(CD367:CM367)</f>
        <v>5</v>
      </c>
    </row>
    <row r="368" spans="1:103" ht="12.75" customHeight="1" x14ac:dyDescent="0.2">
      <c r="A368" s="81">
        <v>3514</v>
      </c>
      <c r="B368" s="165" t="s">
        <v>1908</v>
      </c>
      <c r="C368" s="165" t="s">
        <v>51</v>
      </c>
      <c r="E368" s="165" t="s">
        <v>2597</v>
      </c>
      <c r="F368" s="165" t="s">
        <v>907</v>
      </c>
      <c r="G368" s="81">
        <v>528809</v>
      </c>
      <c r="H368" s="81">
        <v>177181</v>
      </c>
      <c r="I368" s="165" t="s">
        <v>240</v>
      </c>
      <c r="J368" s="349">
        <v>42662</v>
      </c>
      <c r="L368" s="166">
        <v>0</v>
      </c>
      <c r="M368" s="166">
        <v>5</v>
      </c>
      <c r="N368" s="166">
        <v>5</v>
      </c>
      <c r="O368" s="166">
        <v>839</v>
      </c>
      <c r="P368" s="166">
        <v>839</v>
      </c>
      <c r="Q368" s="81" t="s">
        <v>155</v>
      </c>
      <c r="R368" s="165" t="s">
        <v>905</v>
      </c>
      <c r="S368" s="81" t="s">
        <v>104</v>
      </c>
      <c r="T368" s="349">
        <v>42039</v>
      </c>
      <c r="U368" s="349">
        <v>42265</v>
      </c>
      <c r="W368" s="81" t="s">
        <v>114</v>
      </c>
      <c r="Y368" s="81" t="s">
        <v>115</v>
      </c>
      <c r="Z368" s="81" t="s">
        <v>116</v>
      </c>
      <c r="AA368" s="81" t="s">
        <v>116</v>
      </c>
      <c r="AB368" s="81" t="s">
        <v>117</v>
      </c>
      <c r="AC368" s="166">
        <v>1.7000000923872001E-2</v>
      </c>
      <c r="AD368" s="349">
        <v>42662</v>
      </c>
      <c r="AG368" s="81" t="s">
        <v>74</v>
      </c>
      <c r="AH368" s="81" t="s">
        <v>1913</v>
      </c>
      <c r="AI368" s="81" t="s">
        <v>2598</v>
      </c>
      <c r="AK368" s="166">
        <v>5</v>
      </c>
      <c r="AM368" s="166">
        <v>1</v>
      </c>
      <c r="AO368" s="166">
        <v>0</v>
      </c>
      <c r="AP368" s="166">
        <v>2</v>
      </c>
      <c r="AQ368" s="166">
        <v>3</v>
      </c>
      <c r="AR368" s="166">
        <v>0</v>
      </c>
      <c r="AS368" s="166">
        <v>0</v>
      </c>
      <c r="AT368" s="166">
        <v>0</v>
      </c>
      <c r="AU368" s="166">
        <v>0</v>
      </c>
      <c r="AV368" s="166">
        <v>0</v>
      </c>
      <c r="AW368" s="166">
        <v>2</v>
      </c>
      <c r="AX368" s="166">
        <v>3</v>
      </c>
      <c r="AY368" s="166">
        <v>0</v>
      </c>
      <c r="AZ368" s="166">
        <v>0</v>
      </c>
      <c r="BA368" s="166">
        <v>0</v>
      </c>
      <c r="BB368" s="166">
        <v>0</v>
      </c>
      <c r="BC368" s="166">
        <v>0</v>
      </c>
      <c r="BD368" s="166">
        <v>0</v>
      </c>
      <c r="BE368" s="166">
        <v>0</v>
      </c>
      <c r="BF368" s="166">
        <v>0</v>
      </c>
      <c r="BG368" s="166">
        <v>0</v>
      </c>
      <c r="BH368" s="166">
        <v>0</v>
      </c>
      <c r="BI368" s="166">
        <v>0</v>
      </c>
      <c r="BJ368" s="166">
        <v>0</v>
      </c>
      <c r="BK368" s="166">
        <v>0</v>
      </c>
      <c r="BL368" s="166">
        <v>0</v>
      </c>
      <c r="BM368" s="166">
        <v>0</v>
      </c>
      <c r="BN368" s="166">
        <v>0</v>
      </c>
      <c r="BO368" s="166">
        <v>0</v>
      </c>
      <c r="BP368" s="166">
        <v>0</v>
      </c>
      <c r="BQ368" s="81" t="s">
        <v>1759</v>
      </c>
      <c r="BS368" s="81" t="s">
        <v>155</v>
      </c>
      <c r="BZ368" s="81" t="s">
        <v>155</v>
      </c>
      <c r="CA368" s="81">
        <v>12</v>
      </c>
      <c r="CC368" s="167">
        <v>0</v>
      </c>
      <c r="CD368" s="167">
        <v>0</v>
      </c>
      <c r="CE368" s="167">
        <f>N368</f>
        <v>5</v>
      </c>
      <c r="CF368" s="167">
        <v>0</v>
      </c>
      <c r="CG368" s="167">
        <v>0</v>
      </c>
      <c r="CH368" s="167">
        <v>0</v>
      </c>
      <c r="CI368" s="167">
        <v>0</v>
      </c>
      <c r="CJ368" s="167">
        <v>0</v>
      </c>
      <c r="CK368" s="167">
        <v>0</v>
      </c>
      <c r="CL368" s="167">
        <v>0</v>
      </c>
      <c r="CM368" s="167">
        <v>0</v>
      </c>
      <c r="CN368" s="167">
        <v>0</v>
      </c>
      <c r="CO368" s="167">
        <v>0</v>
      </c>
      <c r="CP368" s="167">
        <v>0</v>
      </c>
      <c r="CQ368" s="167">
        <v>0</v>
      </c>
      <c r="CR368" s="167">
        <v>0</v>
      </c>
      <c r="CS368" s="167">
        <v>0</v>
      </c>
      <c r="CT368" s="167">
        <v>0</v>
      </c>
      <c r="CU368" s="167">
        <v>0</v>
      </c>
      <c r="CV368" s="167">
        <v>0</v>
      </c>
      <c r="CW368" s="167">
        <v>0</v>
      </c>
      <c r="CX368" s="167">
        <f>SUM(CD368:CH368)</f>
        <v>5</v>
      </c>
      <c r="CY368" s="167">
        <f>SUM(CD368:CM368)</f>
        <v>5</v>
      </c>
    </row>
    <row r="369" spans="1:103" ht="12.75" customHeight="1" x14ac:dyDescent="0.2">
      <c r="A369" s="81">
        <v>3514</v>
      </c>
      <c r="B369" s="165" t="s">
        <v>1908</v>
      </c>
      <c r="C369" s="165" t="s">
        <v>51</v>
      </c>
      <c r="E369" s="165" t="s">
        <v>2597</v>
      </c>
      <c r="F369" s="165" t="s">
        <v>908</v>
      </c>
      <c r="G369" s="81">
        <v>528809</v>
      </c>
      <c r="H369" s="81">
        <v>177181</v>
      </c>
      <c r="I369" s="165" t="s">
        <v>240</v>
      </c>
      <c r="J369" s="349">
        <v>42662</v>
      </c>
      <c r="L369" s="166">
        <v>0</v>
      </c>
      <c r="M369" s="166">
        <v>5</v>
      </c>
      <c r="N369" s="166">
        <v>5</v>
      </c>
      <c r="O369" s="166">
        <v>839</v>
      </c>
      <c r="P369" s="166">
        <v>839</v>
      </c>
      <c r="Q369" s="81" t="s">
        <v>155</v>
      </c>
      <c r="R369" s="165" t="s">
        <v>905</v>
      </c>
      <c r="S369" s="81" t="s">
        <v>104</v>
      </c>
      <c r="T369" s="349">
        <v>42039</v>
      </c>
      <c r="U369" s="349">
        <v>42265</v>
      </c>
      <c r="W369" s="81" t="s">
        <v>114</v>
      </c>
      <c r="Y369" s="81" t="s">
        <v>115</v>
      </c>
      <c r="Z369" s="81" t="s">
        <v>116</v>
      </c>
      <c r="AA369" s="81" t="s">
        <v>116</v>
      </c>
      <c r="AB369" s="81" t="s">
        <v>117</v>
      </c>
      <c r="AC369" s="166">
        <v>1.7000000923872001E-2</v>
      </c>
      <c r="AD369" s="349">
        <v>42662</v>
      </c>
      <c r="AG369" s="81" t="s">
        <v>74</v>
      </c>
      <c r="AH369" s="81" t="s">
        <v>1913</v>
      </c>
      <c r="AI369" s="81" t="s">
        <v>2598</v>
      </c>
      <c r="AK369" s="166">
        <v>5</v>
      </c>
      <c r="AM369" s="166">
        <v>1</v>
      </c>
      <c r="AO369" s="166">
        <v>0</v>
      </c>
      <c r="AP369" s="166">
        <v>2</v>
      </c>
      <c r="AQ369" s="166">
        <v>3</v>
      </c>
      <c r="AR369" s="166">
        <v>0</v>
      </c>
      <c r="AS369" s="166">
        <v>0</v>
      </c>
      <c r="AT369" s="166">
        <v>0</v>
      </c>
      <c r="AU369" s="166">
        <v>0</v>
      </c>
      <c r="AV369" s="166">
        <v>0</v>
      </c>
      <c r="AW369" s="166">
        <v>2</v>
      </c>
      <c r="AX369" s="166">
        <v>3</v>
      </c>
      <c r="AY369" s="166">
        <v>0</v>
      </c>
      <c r="AZ369" s="166">
        <v>0</v>
      </c>
      <c r="BA369" s="166">
        <v>0</v>
      </c>
      <c r="BB369" s="166">
        <v>0</v>
      </c>
      <c r="BC369" s="166">
        <v>0</v>
      </c>
      <c r="BD369" s="166">
        <v>0</v>
      </c>
      <c r="BE369" s="166">
        <v>0</v>
      </c>
      <c r="BF369" s="166">
        <v>0</v>
      </c>
      <c r="BG369" s="166">
        <v>0</v>
      </c>
      <c r="BH369" s="166">
        <v>0</v>
      </c>
      <c r="BI369" s="166">
        <v>0</v>
      </c>
      <c r="BJ369" s="166">
        <v>0</v>
      </c>
      <c r="BK369" s="166">
        <v>0</v>
      </c>
      <c r="BL369" s="166">
        <v>0</v>
      </c>
      <c r="BM369" s="166">
        <v>0</v>
      </c>
      <c r="BN369" s="166">
        <v>0</v>
      </c>
      <c r="BO369" s="166">
        <v>0</v>
      </c>
      <c r="BP369" s="166">
        <v>0</v>
      </c>
      <c r="BQ369" s="81" t="s">
        <v>1759</v>
      </c>
      <c r="BS369" s="81" t="s">
        <v>155</v>
      </c>
      <c r="BZ369" s="81" t="s">
        <v>155</v>
      </c>
      <c r="CA369" s="81">
        <v>12</v>
      </c>
      <c r="CC369" s="167">
        <v>0</v>
      </c>
      <c r="CD369" s="167">
        <v>0</v>
      </c>
      <c r="CE369" s="167">
        <f>N369</f>
        <v>5</v>
      </c>
      <c r="CF369" s="167">
        <v>0</v>
      </c>
      <c r="CG369" s="167">
        <v>0</v>
      </c>
      <c r="CH369" s="167">
        <v>0</v>
      </c>
      <c r="CI369" s="167">
        <v>0</v>
      </c>
      <c r="CJ369" s="167">
        <v>0</v>
      </c>
      <c r="CK369" s="167">
        <v>0</v>
      </c>
      <c r="CL369" s="167">
        <v>0</v>
      </c>
      <c r="CM369" s="167">
        <v>0</v>
      </c>
      <c r="CN369" s="167">
        <v>0</v>
      </c>
      <c r="CO369" s="167">
        <v>0</v>
      </c>
      <c r="CP369" s="167">
        <v>0</v>
      </c>
      <c r="CQ369" s="167">
        <v>0</v>
      </c>
      <c r="CR369" s="167">
        <v>0</v>
      </c>
      <c r="CS369" s="167">
        <v>0</v>
      </c>
      <c r="CT369" s="167">
        <v>0</v>
      </c>
      <c r="CU369" s="167">
        <v>0</v>
      </c>
      <c r="CV369" s="167">
        <v>0</v>
      </c>
      <c r="CW369" s="167">
        <v>0</v>
      </c>
      <c r="CX369" s="167">
        <f>SUM(CD369:CH369)</f>
        <v>5</v>
      </c>
      <c r="CY369" s="167">
        <f>SUM(CD369:CM369)</f>
        <v>5</v>
      </c>
    </row>
    <row r="370" spans="1:103" ht="12.75" customHeight="1" x14ac:dyDescent="0.2">
      <c r="A370" s="81">
        <v>3514</v>
      </c>
      <c r="B370" s="165" t="s">
        <v>1908</v>
      </c>
      <c r="C370" s="165" t="s">
        <v>51</v>
      </c>
      <c r="E370" s="165" t="s">
        <v>2597</v>
      </c>
      <c r="F370" s="165" t="s">
        <v>909</v>
      </c>
      <c r="G370" s="81">
        <v>528809</v>
      </c>
      <c r="H370" s="81">
        <v>177181</v>
      </c>
      <c r="I370" s="165" t="s">
        <v>240</v>
      </c>
      <c r="J370" s="349">
        <v>42662</v>
      </c>
      <c r="L370" s="166">
        <v>0</v>
      </c>
      <c r="M370" s="166">
        <v>43</v>
      </c>
      <c r="N370" s="166">
        <v>43</v>
      </c>
      <c r="O370" s="166">
        <v>839</v>
      </c>
      <c r="P370" s="166">
        <v>839</v>
      </c>
      <c r="Q370" s="81" t="s">
        <v>155</v>
      </c>
      <c r="R370" s="165" t="s">
        <v>905</v>
      </c>
      <c r="S370" s="81" t="s">
        <v>104</v>
      </c>
      <c r="T370" s="349">
        <v>42039</v>
      </c>
      <c r="U370" s="349">
        <v>42265</v>
      </c>
      <c r="W370" s="81" t="s">
        <v>114</v>
      </c>
      <c r="Y370" s="81" t="s">
        <v>115</v>
      </c>
      <c r="Z370" s="81" t="s">
        <v>116</v>
      </c>
      <c r="AA370" s="81" t="s">
        <v>116</v>
      </c>
      <c r="AB370" s="81" t="s">
        <v>117</v>
      </c>
      <c r="AC370" s="166">
        <v>8.9000001549720806E-2</v>
      </c>
      <c r="AD370" s="349">
        <v>42662</v>
      </c>
      <c r="AG370" s="81" t="s">
        <v>238</v>
      </c>
      <c r="AH370" s="81" t="s">
        <v>118</v>
      </c>
      <c r="AI370" s="81" t="s">
        <v>2598</v>
      </c>
      <c r="AK370" s="166">
        <v>43</v>
      </c>
      <c r="AM370" s="166">
        <v>4</v>
      </c>
      <c r="AO370" s="166">
        <v>0</v>
      </c>
      <c r="AP370" s="166">
        <v>10</v>
      </c>
      <c r="AQ370" s="166">
        <v>25</v>
      </c>
      <c r="AR370" s="166">
        <v>8</v>
      </c>
      <c r="AS370" s="166">
        <v>0</v>
      </c>
      <c r="AT370" s="166">
        <v>0</v>
      </c>
      <c r="AU370" s="166">
        <v>0</v>
      </c>
      <c r="AV370" s="166">
        <v>0</v>
      </c>
      <c r="AW370" s="166">
        <v>10</v>
      </c>
      <c r="AX370" s="166">
        <v>25</v>
      </c>
      <c r="AY370" s="166">
        <v>8</v>
      </c>
      <c r="AZ370" s="166">
        <v>0</v>
      </c>
      <c r="BA370" s="166">
        <v>0</v>
      </c>
      <c r="BB370" s="166">
        <v>0</v>
      </c>
      <c r="BC370" s="166">
        <v>0</v>
      </c>
      <c r="BD370" s="166">
        <v>0</v>
      </c>
      <c r="BE370" s="166">
        <v>0</v>
      </c>
      <c r="BF370" s="166">
        <v>0</v>
      </c>
      <c r="BG370" s="166">
        <v>0</v>
      </c>
      <c r="BH370" s="166">
        <v>0</v>
      </c>
      <c r="BI370" s="166">
        <v>0</v>
      </c>
      <c r="BJ370" s="166">
        <v>0</v>
      </c>
      <c r="BK370" s="166">
        <v>0</v>
      </c>
      <c r="BL370" s="166">
        <v>0</v>
      </c>
      <c r="BM370" s="166">
        <v>0</v>
      </c>
      <c r="BN370" s="166">
        <v>0</v>
      </c>
      <c r="BO370" s="166">
        <v>0</v>
      </c>
      <c r="BP370" s="166">
        <v>0</v>
      </c>
      <c r="BQ370" s="81" t="s">
        <v>1759</v>
      </c>
      <c r="BS370" s="81" t="s">
        <v>155</v>
      </c>
      <c r="BZ370" s="81" t="s">
        <v>155</v>
      </c>
      <c r="CA370" s="81">
        <v>12</v>
      </c>
      <c r="CC370" s="167">
        <v>0</v>
      </c>
      <c r="CD370" s="167">
        <v>0</v>
      </c>
      <c r="CE370" s="167">
        <f>N370</f>
        <v>43</v>
      </c>
      <c r="CF370" s="167">
        <v>0</v>
      </c>
      <c r="CG370" s="167">
        <v>0</v>
      </c>
      <c r="CH370" s="167">
        <v>0</v>
      </c>
      <c r="CI370" s="167">
        <v>0</v>
      </c>
      <c r="CJ370" s="167">
        <v>0</v>
      </c>
      <c r="CK370" s="167">
        <v>0</v>
      </c>
      <c r="CL370" s="167">
        <v>0</v>
      </c>
      <c r="CM370" s="167">
        <v>0</v>
      </c>
      <c r="CN370" s="167">
        <v>0</v>
      </c>
      <c r="CO370" s="167">
        <v>0</v>
      </c>
      <c r="CP370" s="167">
        <v>0</v>
      </c>
      <c r="CQ370" s="167">
        <v>0</v>
      </c>
      <c r="CR370" s="167">
        <v>0</v>
      </c>
      <c r="CS370" s="167">
        <v>0</v>
      </c>
      <c r="CT370" s="167">
        <v>0</v>
      </c>
      <c r="CU370" s="167">
        <v>0</v>
      </c>
      <c r="CV370" s="167">
        <v>0</v>
      </c>
      <c r="CW370" s="167">
        <v>0</v>
      </c>
      <c r="CX370" s="167">
        <f>SUM(CD370:CH370)</f>
        <v>43</v>
      </c>
      <c r="CY370" s="167">
        <f>SUM(CD370:CM370)</f>
        <v>43</v>
      </c>
    </row>
    <row r="371" spans="1:103" ht="12.75" customHeight="1" x14ac:dyDescent="0.2">
      <c r="A371" s="81">
        <v>3514</v>
      </c>
      <c r="B371" s="165" t="s">
        <v>1908</v>
      </c>
      <c r="C371" s="165" t="s">
        <v>1072</v>
      </c>
      <c r="E371" s="165" t="s">
        <v>2597</v>
      </c>
      <c r="F371" s="165" t="s">
        <v>293</v>
      </c>
      <c r="G371" s="81">
        <v>528809</v>
      </c>
      <c r="H371" s="81">
        <v>177181</v>
      </c>
      <c r="I371" s="165" t="s">
        <v>240</v>
      </c>
      <c r="J371" s="349">
        <v>42662</v>
      </c>
      <c r="L371" s="166">
        <v>0</v>
      </c>
      <c r="M371" s="166">
        <v>46</v>
      </c>
      <c r="N371" s="166">
        <v>46</v>
      </c>
      <c r="O371" s="166">
        <v>835</v>
      </c>
      <c r="P371" s="166">
        <v>835</v>
      </c>
      <c r="Q371" s="81" t="s">
        <v>155</v>
      </c>
      <c r="R371" s="165" t="s">
        <v>1073</v>
      </c>
      <c r="S371" s="81" t="s">
        <v>509</v>
      </c>
      <c r="T371" s="349">
        <v>42675</v>
      </c>
      <c r="U371" s="349">
        <v>42858</v>
      </c>
      <c r="V371" s="81" t="s">
        <v>155</v>
      </c>
      <c r="W371" s="81" t="s">
        <v>114</v>
      </c>
      <c r="Y371" s="81" t="s">
        <v>115</v>
      </c>
      <c r="Z371" s="81" t="s">
        <v>116</v>
      </c>
      <c r="AA371" s="81" t="s">
        <v>116</v>
      </c>
      <c r="AB371" s="81" t="s">
        <v>117</v>
      </c>
      <c r="AC371" s="166">
        <v>0.202000007033348</v>
      </c>
      <c r="AG371" s="81" t="s">
        <v>238</v>
      </c>
      <c r="AH371" s="81" t="s">
        <v>118</v>
      </c>
      <c r="AI371" s="81" t="s">
        <v>2598</v>
      </c>
      <c r="AK371" s="166">
        <v>46</v>
      </c>
      <c r="AM371" s="166">
        <v>5</v>
      </c>
      <c r="AO371" s="166">
        <v>0</v>
      </c>
      <c r="AP371" s="166">
        <v>0</v>
      </c>
      <c r="AQ371" s="166">
        <v>40</v>
      </c>
      <c r="AR371" s="166">
        <v>6</v>
      </c>
      <c r="AS371" s="166">
        <v>0</v>
      </c>
      <c r="AT371" s="166">
        <v>0</v>
      </c>
      <c r="AU371" s="166">
        <v>0</v>
      </c>
      <c r="AV371" s="166">
        <v>0</v>
      </c>
      <c r="AW371" s="166">
        <v>0</v>
      </c>
      <c r="AX371" s="166">
        <v>40</v>
      </c>
      <c r="AY371" s="166">
        <v>6</v>
      </c>
      <c r="AZ371" s="166">
        <v>0</v>
      </c>
      <c r="BA371" s="166">
        <v>0</v>
      </c>
      <c r="BB371" s="166">
        <v>0</v>
      </c>
      <c r="BC371" s="166">
        <v>0</v>
      </c>
      <c r="BD371" s="166">
        <v>0</v>
      </c>
      <c r="BE371" s="166">
        <v>0</v>
      </c>
      <c r="BF371" s="166">
        <v>0</v>
      </c>
      <c r="BG371" s="166">
        <v>0</v>
      </c>
      <c r="BH371" s="166">
        <v>0</v>
      </c>
      <c r="BI371" s="166">
        <v>0</v>
      </c>
      <c r="BJ371" s="166">
        <v>0</v>
      </c>
      <c r="BK371" s="166">
        <v>0</v>
      </c>
      <c r="BL371" s="166">
        <v>0</v>
      </c>
      <c r="BM371" s="166">
        <v>0</v>
      </c>
      <c r="BN371" s="166">
        <v>0</v>
      </c>
      <c r="BO371" s="166">
        <v>0</v>
      </c>
      <c r="BP371" s="166">
        <v>0</v>
      </c>
      <c r="BQ371" s="81" t="s">
        <v>1759</v>
      </c>
      <c r="BS371" s="81" t="s">
        <v>155</v>
      </c>
      <c r="BZ371" s="81" t="s">
        <v>155</v>
      </c>
      <c r="CA371" s="81">
        <v>12</v>
      </c>
      <c r="CC371" s="167">
        <v>0</v>
      </c>
      <c r="CD371" s="167">
        <v>0</v>
      </c>
      <c r="CE371" s="167">
        <v>0</v>
      </c>
      <c r="CF371" s="167">
        <v>0</v>
      </c>
      <c r="CG371" s="167">
        <v>0</v>
      </c>
      <c r="CH371" s="167">
        <v>0</v>
      </c>
      <c r="CI371" s="167">
        <v>0</v>
      </c>
      <c r="CJ371" s="167">
        <f>N371</f>
        <v>46</v>
      </c>
      <c r="CK371" s="167">
        <v>0</v>
      </c>
      <c r="CL371" s="167">
        <v>0</v>
      </c>
      <c r="CM371" s="167">
        <v>0</v>
      </c>
      <c r="CN371" s="167">
        <v>0</v>
      </c>
      <c r="CO371" s="167">
        <v>0</v>
      </c>
      <c r="CP371" s="167">
        <v>0</v>
      </c>
      <c r="CQ371" s="167">
        <v>0</v>
      </c>
      <c r="CR371" s="167">
        <v>0</v>
      </c>
      <c r="CS371" s="167">
        <v>0</v>
      </c>
      <c r="CT371" s="167">
        <v>0</v>
      </c>
      <c r="CU371" s="167">
        <v>0</v>
      </c>
      <c r="CV371" s="167">
        <v>0</v>
      </c>
      <c r="CW371" s="167">
        <v>0</v>
      </c>
      <c r="CX371" s="167">
        <f>SUM(CD371:CH371)</f>
        <v>0</v>
      </c>
      <c r="CY371" s="167">
        <f>SUM(CD371:CM371)</f>
        <v>46</v>
      </c>
    </row>
    <row r="372" spans="1:103" x14ac:dyDescent="0.2">
      <c r="A372" s="81">
        <v>3514</v>
      </c>
      <c r="B372" s="165" t="s">
        <v>1908</v>
      </c>
      <c r="C372" s="165" t="s">
        <v>1072</v>
      </c>
      <c r="E372" s="165" t="s">
        <v>2597</v>
      </c>
      <c r="F372" s="165" t="s">
        <v>294</v>
      </c>
      <c r="G372" s="81">
        <v>528809</v>
      </c>
      <c r="H372" s="81">
        <v>177181</v>
      </c>
      <c r="I372" s="165" t="s">
        <v>240</v>
      </c>
      <c r="J372" s="349">
        <v>42662</v>
      </c>
      <c r="L372" s="166">
        <v>0</v>
      </c>
      <c r="M372" s="166">
        <v>118</v>
      </c>
      <c r="N372" s="166">
        <v>118</v>
      </c>
      <c r="O372" s="166">
        <v>835</v>
      </c>
      <c r="P372" s="166">
        <v>835</v>
      </c>
      <c r="Q372" s="81" t="s">
        <v>155</v>
      </c>
      <c r="R372" s="165" t="s">
        <v>1073</v>
      </c>
      <c r="S372" s="81" t="s">
        <v>509</v>
      </c>
      <c r="T372" s="349">
        <v>42675</v>
      </c>
      <c r="U372" s="349">
        <v>42858</v>
      </c>
      <c r="V372" s="81" t="s">
        <v>155</v>
      </c>
      <c r="W372" s="81" t="s">
        <v>114</v>
      </c>
      <c r="Y372" s="81" t="s">
        <v>115</v>
      </c>
      <c r="Z372" s="81" t="s">
        <v>116</v>
      </c>
      <c r="AA372" s="81" t="s">
        <v>116</v>
      </c>
      <c r="AB372" s="81" t="s">
        <v>117</v>
      </c>
      <c r="AC372" s="166">
        <v>0.29199999570846602</v>
      </c>
      <c r="AG372" s="81" t="s">
        <v>238</v>
      </c>
      <c r="AH372" s="81" t="s">
        <v>118</v>
      </c>
      <c r="AI372" s="81" t="s">
        <v>2598</v>
      </c>
      <c r="AK372" s="166">
        <v>118</v>
      </c>
      <c r="AM372" s="166">
        <v>12</v>
      </c>
      <c r="AO372" s="166">
        <v>0</v>
      </c>
      <c r="AP372" s="166">
        <v>34</v>
      </c>
      <c r="AQ372" s="166">
        <v>82</v>
      </c>
      <c r="AR372" s="166">
        <v>2</v>
      </c>
      <c r="AS372" s="166">
        <v>0</v>
      </c>
      <c r="AT372" s="166">
        <v>0</v>
      </c>
      <c r="AU372" s="166">
        <v>0</v>
      </c>
      <c r="AV372" s="166">
        <v>0</v>
      </c>
      <c r="AW372" s="166">
        <v>34</v>
      </c>
      <c r="AX372" s="166">
        <v>82</v>
      </c>
      <c r="AY372" s="166">
        <v>2</v>
      </c>
      <c r="AZ372" s="166">
        <v>0</v>
      </c>
      <c r="BA372" s="166">
        <v>0</v>
      </c>
      <c r="BB372" s="166">
        <v>0</v>
      </c>
      <c r="BC372" s="166">
        <v>0</v>
      </c>
      <c r="BD372" s="166">
        <v>0</v>
      </c>
      <c r="BE372" s="166">
        <v>0</v>
      </c>
      <c r="BF372" s="166">
        <v>0</v>
      </c>
      <c r="BG372" s="166">
        <v>0</v>
      </c>
      <c r="BH372" s="166">
        <v>0</v>
      </c>
      <c r="BI372" s="166">
        <v>0</v>
      </c>
      <c r="BJ372" s="166">
        <v>0</v>
      </c>
      <c r="BK372" s="166">
        <v>0</v>
      </c>
      <c r="BL372" s="166">
        <v>0</v>
      </c>
      <c r="BM372" s="166">
        <v>0</v>
      </c>
      <c r="BN372" s="166">
        <v>0</v>
      </c>
      <c r="BO372" s="166">
        <v>0</v>
      </c>
      <c r="BP372" s="166">
        <v>0</v>
      </c>
      <c r="BQ372" s="81" t="s">
        <v>1759</v>
      </c>
      <c r="BS372" s="81" t="s">
        <v>155</v>
      </c>
      <c r="BZ372" s="81" t="s">
        <v>155</v>
      </c>
      <c r="CA372" s="81">
        <v>12</v>
      </c>
      <c r="CC372" s="167">
        <v>0</v>
      </c>
      <c r="CD372" s="167">
        <v>0</v>
      </c>
      <c r="CE372" s="167">
        <v>0</v>
      </c>
      <c r="CF372" s="167">
        <v>0</v>
      </c>
      <c r="CG372" s="167">
        <v>0</v>
      </c>
      <c r="CH372" s="167">
        <v>0</v>
      </c>
      <c r="CI372" s="167">
        <f>N372</f>
        <v>118</v>
      </c>
      <c r="CJ372" s="167">
        <v>0</v>
      </c>
      <c r="CK372" s="167">
        <v>0</v>
      </c>
      <c r="CL372" s="167">
        <v>0</v>
      </c>
      <c r="CM372" s="167">
        <v>0</v>
      </c>
      <c r="CN372" s="167">
        <v>0</v>
      </c>
      <c r="CO372" s="167">
        <v>0</v>
      </c>
      <c r="CP372" s="167">
        <v>0</v>
      </c>
      <c r="CQ372" s="167">
        <v>0</v>
      </c>
      <c r="CR372" s="167">
        <v>0</v>
      </c>
      <c r="CS372" s="167">
        <v>0</v>
      </c>
      <c r="CT372" s="167">
        <v>0</v>
      </c>
      <c r="CU372" s="167">
        <v>0</v>
      </c>
      <c r="CV372" s="167">
        <v>0</v>
      </c>
      <c r="CW372" s="167">
        <v>0</v>
      </c>
      <c r="CX372" s="167">
        <f>SUM(CD372:CH372)</f>
        <v>0</v>
      </c>
      <c r="CY372" s="167">
        <f>SUM(CD372:CM372)</f>
        <v>118</v>
      </c>
    </row>
    <row r="373" spans="1:103" ht="12.75" customHeight="1" x14ac:dyDescent="0.2">
      <c r="A373" s="81">
        <v>3514</v>
      </c>
      <c r="B373" s="165" t="s">
        <v>1908</v>
      </c>
      <c r="C373" s="165" t="s">
        <v>1072</v>
      </c>
      <c r="E373" s="165" t="s">
        <v>2597</v>
      </c>
      <c r="F373" s="165" t="s">
        <v>25</v>
      </c>
      <c r="G373" s="81">
        <v>528809</v>
      </c>
      <c r="H373" s="81">
        <v>177181</v>
      </c>
      <c r="I373" s="165" t="s">
        <v>240</v>
      </c>
      <c r="J373" s="349">
        <v>42662</v>
      </c>
      <c r="L373" s="166">
        <v>0</v>
      </c>
      <c r="M373" s="166">
        <v>112</v>
      </c>
      <c r="N373" s="166">
        <v>112</v>
      </c>
      <c r="O373" s="166">
        <v>835</v>
      </c>
      <c r="P373" s="166">
        <v>835</v>
      </c>
      <c r="Q373" s="81" t="s">
        <v>155</v>
      </c>
      <c r="R373" s="165" t="s">
        <v>1073</v>
      </c>
      <c r="S373" s="81" t="s">
        <v>509</v>
      </c>
      <c r="T373" s="349">
        <v>42675</v>
      </c>
      <c r="U373" s="349">
        <v>42858</v>
      </c>
      <c r="V373" s="81" t="s">
        <v>155</v>
      </c>
      <c r="W373" s="81" t="s">
        <v>114</v>
      </c>
      <c r="Y373" s="81" t="s">
        <v>115</v>
      </c>
      <c r="Z373" s="81" t="s">
        <v>116</v>
      </c>
      <c r="AA373" s="81" t="s">
        <v>116</v>
      </c>
      <c r="AB373" s="81" t="s">
        <v>117</v>
      </c>
      <c r="AC373" s="166">
        <v>0.28700000047683699</v>
      </c>
      <c r="AD373" s="349">
        <v>42662</v>
      </c>
      <c r="AG373" s="81" t="s">
        <v>238</v>
      </c>
      <c r="AH373" s="81" t="s">
        <v>118</v>
      </c>
      <c r="AI373" s="81" t="s">
        <v>2598</v>
      </c>
      <c r="AK373" s="166">
        <v>112</v>
      </c>
      <c r="AM373" s="166">
        <v>11</v>
      </c>
      <c r="AO373" s="166">
        <v>0</v>
      </c>
      <c r="AP373" s="166">
        <v>36</v>
      </c>
      <c r="AQ373" s="166">
        <v>66</v>
      </c>
      <c r="AR373" s="166">
        <v>10</v>
      </c>
      <c r="AS373" s="166">
        <v>0</v>
      </c>
      <c r="AT373" s="166">
        <v>0</v>
      </c>
      <c r="AU373" s="166">
        <v>0</v>
      </c>
      <c r="AV373" s="166">
        <v>0</v>
      </c>
      <c r="AW373" s="166">
        <v>36</v>
      </c>
      <c r="AX373" s="166">
        <v>66</v>
      </c>
      <c r="AY373" s="166">
        <v>10</v>
      </c>
      <c r="AZ373" s="166">
        <v>0</v>
      </c>
      <c r="BA373" s="166">
        <v>0</v>
      </c>
      <c r="BB373" s="166">
        <v>0</v>
      </c>
      <c r="BC373" s="166">
        <v>0</v>
      </c>
      <c r="BD373" s="166">
        <v>0</v>
      </c>
      <c r="BE373" s="166">
        <v>0</v>
      </c>
      <c r="BF373" s="166">
        <v>0</v>
      </c>
      <c r="BG373" s="166">
        <v>0</v>
      </c>
      <c r="BH373" s="166">
        <v>0</v>
      </c>
      <c r="BI373" s="166">
        <v>0</v>
      </c>
      <c r="BJ373" s="166">
        <v>0</v>
      </c>
      <c r="BK373" s="166">
        <v>0</v>
      </c>
      <c r="BL373" s="166">
        <v>0</v>
      </c>
      <c r="BM373" s="166">
        <v>0</v>
      </c>
      <c r="BN373" s="166">
        <v>0</v>
      </c>
      <c r="BO373" s="166">
        <v>0</v>
      </c>
      <c r="BP373" s="166">
        <v>0</v>
      </c>
      <c r="BQ373" s="81" t="s">
        <v>1759</v>
      </c>
      <c r="BS373" s="81" t="s">
        <v>155</v>
      </c>
      <c r="BZ373" s="81" t="s">
        <v>155</v>
      </c>
      <c r="CA373" s="81">
        <v>12</v>
      </c>
      <c r="CC373" s="167">
        <v>0</v>
      </c>
      <c r="CD373" s="167">
        <v>0</v>
      </c>
      <c r="CE373" s="167">
        <v>0</v>
      </c>
      <c r="CF373" s="167">
        <v>0</v>
      </c>
      <c r="CG373" s="167">
        <v>0</v>
      </c>
      <c r="CH373" s="167">
        <f>N373</f>
        <v>112</v>
      </c>
      <c r="CI373" s="167">
        <v>0</v>
      </c>
      <c r="CJ373" s="167">
        <v>0</v>
      </c>
      <c r="CK373" s="167">
        <v>0</v>
      </c>
      <c r="CL373" s="167">
        <v>0</v>
      </c>
      <c r="CM373" s="167">
        <v>0</v>
      </c>
      <c r="CN373" s="167">
        <v>0</v>
      </c>
      <c r="CO373" s="167">
        <v>0</v>
      </c>
      <c r="CP373" s="167">
        <v>0</v>
      </c>
      <c r="CQ373" s="167">
        <v>0</v>
      </c>
      <c r="CR373" s="167">
        <v>0</v>
      </c>
      <c r="CS373" s="167">
        <v>0</v>
      </c>
      <c r="CT373" s="167">
        <v>0</v>
      </c>
      <c r="CU373" s="167">
        <v>0</v>
      </c>
      <c r="CV373" s="167">
        <v>0</v>
      </c>
      <c r="CW373" s="167">
        <v>0</v>
      </c>
      <c r="CX373" s="167">
        <f>SUM(CD373:CH373)</f>
        <v>112</v>
      </c>
      <c r="CY373" s="167">
        <f>SUM(CD373:CM373)</f>
        <v>112</v>
      </c>
    </row>
    <row r="374" spans="1:103" ht="12.75" customHeight="1" x14ac:dyDescent="0.2">
      <c r="A374" s="81">
        <v>3514</v>
      </c>
      <c r="B374" s="165" t="s">
        <v>1908</v>
      </c>
      <c r="C374" s="165" t="s">
        <v>1072</v>
      </c>
      <c r="E374" s="165" t="s">
        <v>2597</v>
      </c>
      <c r="F374" s="165" t="s">
        <v>295</v>
      </c>
      <c r="G374" s="81">
        <v>528809</v>
      </c>
      <c r="H374" s="81">
        <v>177181</v>
      </c>
      <c r="I374" s="165" t="s">
        <v>240</v>
      </c>
      <c r="J374" s="349">
        <v>42662</v>
      </c>
      <c r="L374" s="166">
        <v>0</v>
      </c>
      <c r="M374" s="166">
        <v>85</v>
      </c>
      <c r="N374" s="166">
        <v>85</v>
      </c>
      <c r="O374" s="166">
        <v>835</v>
      </c>
      <c r="P374" s="166">
        <v>835</v>
      </c>
      <c r="Q374" s="81" t="s">
        <v>155</v>
      </c>
      <c r="R374" s="165" t="s">
        <v>1073</v>
      </c>
      <c r="S374" s="81" t="s">
        <v>509</v>
      </c>
      <c r="T374" s="349">
        <v>42675</v>
      </c>
      <c r="U374" s="349">
        <v>42858</v>
      </c>
      <c r="V374" s="81" t="s">
        <v>155</v>
      </c>
      <c r="W374" s="81" t="s">
        <v>114</v>
      </c>
      <c r="Y374" s="81" t="s">
        <v>115</v>
      </c>
      <c r="Z374" s="81" t="s">
        <v>116</v>
      </c>
      <c r="AA374" s="81" t="s">
        <v>116</v>
      </c>
      <c r="AB374" s="81" t="s">
        <v>117</v>
      </c>
      <c r="AC374" s="166">
        <v>0.225999996066093</v>
      </c>
      <c r="AD374" s="349">
        <v>42662</v>
      </c>
      <c r="AG374" s="81" t="s">
        <v>238</v>
      </c>
      <c r="AH374" s="81" t="s">
        <v>118</v>
      </c>
      <c r="AI374" s="81" t="s">
        <v>2598</v>
      </c>
      <c r="AK374" s="166">
        <v>85</v>
      </c>
      <c r="AM374" s="166">
        <v>9</v>
      </c>
      <c r="AO374" s="166">
        <v>0</v>
      </c>
      <c r="AP374" s="166">
        <v>27</v>
      </c>
      <c r="AQ374" s="166">
        <v>49</v>
      </c>
      <c r="AR374" s="166">
        <v>9</v>
      </c>
      <c r="AS374" s="166">
        <v>0</v>
      </c>
      <c r="AT374" s="166">
        <v>0</v>
      </c>
      <c r="AU374" s="166">
        <v>0</v>
      </c>
      <c r="AV374" s="166">
        <v>0</v>
      </c>
      <c r="AW374" s="166">
        <v>27</v>
      </c>
      <c r="AX374" s="166">
        <v>49</v>
      </c>
      <c r="AY374" s="166">
        <v>9</v>
      </c>
      <c r="AZ374" s="166">
        <v>0</v>
      </c>
      <c r="BA374" s="166">
        <v>0</v>
      </c>
      <c r="BB374" s="166">
        <v>0</v>
      </c>
      <c r="BC374" s="166">
        <v>0</v>
      </c>
      <c r="BD374" s="166">
        <v>0</v>
      </c>
      <c r="BE374" s="166">
        <v>0</v>
      </c>
      <c r="BF374" s="166">
        <v>0</v>
      </c>
      <c r="BG374" s="166">
        <v>0</v>
      </c>
      <c r="BH374" s="166">
        <v>0</v>
      </c>
      <c r="BI374" s="166">
        <v>0</v>
      </c>
      <c r="BJ374" s="166">
        <v>0</v>
      </c>
      <c r="BK374" s="166">
        <v>0</v>
      </c>
      <c r="BL374" s="166">
        <v>0</v>
      </c>
      <c r="BM374" s="166">
        <v>0</v>
      </c>
      <c r="BN374" s="166">
        <v>0</v>
      </c>
      <c r="BO374" s="166">
        <v>0</v>
      </c>
      <c r="BP374" s="166">
        <v>0</v>
      </c>
      <c r="BQ374" s="81" t="s">
        <v>1759</v>
      </c>
      <c r="BS374" s="81" t="s">
        <v>155</v>
      </c>
      <c r="BZ374" s="81" t="s">
        <v>155</v>
      </c>
      <c r="CA374" s="81">
        <v>12</v>
      </c>
      <c r="CC374" s="167">
        <v>0</v>
      </c>
      <c r="CD374" s="167">
        <v>0</v>
      </c>
      <c r="CE374" s="167">
        <v>0</v>
      </c>
      <c r="CF374" s="167">
        <f>N374</f>
        <v>85</v>
      </c>
      <c r="CG374" s="167">
        <v>0</v>
      </c>
      <c r="CH374" s="167">
        <v>0</v>
      </c>
      <c r="CI374" s="167">
        <v>0</v>
      </c>
      <c r="CJ374" s="167">
        <v>0</v>
      </c>
      <c r="CK374" s="167">
        <v>0</v>
      </c>
      <c r="CL374" s="167">
        <v>0</v>
      </c>
      <c r="CM374" s="167">
        <v>0</v>
      </c>
      <c r="CN374" s="167">
        <v>0</v>
      </c>
      <c r="CO374" s="167">
        <v>0</v>
      </c>
      <c r="CP374" s="167">
        <v>0</v>
      </c>
      <c r="CQ374" s="167">
        <v>0</v>
      </c>
      <c r="CR374" s="167">
        <v>0</v>
      </c>
      <c r="CS374" s="167">
        <v>0</v>
      </c>
      <c r="CT374" s="167">
        <v>0</v>
      </c>
      <c r="CU374" s="167">
        <v>0</v>
      </c>
      <c r="CV374" s="167">
        <v>0</v>
      </c>
      <c r="CW374" s="167">
        <v>0</v>
      </c>
      <c r="CX374" s="167">
        <f>SUM(CD374:CH374)</f>
        <v>85</v>
      </c>
      <c r="CY374" s="167">
        <f>SUM(CD374:CM374)</f>
        <v>85</v>
      </c>
    </row>
    <row r="375" spans="1:103" ht="12.75" customHeight="1" x14ac:dyDescent="0.2">
      <c r="A375" s="81">
        <v>3514</v>
      </c>
      <c r="B375" s="165" t="s">
        <v>1908</v>
      </c>
      <c r="C375" s="165" t="s">
        <v>1072</v>
      </c>
      <c r="E375" s="165" t="s">
        <v>2597</v>
      </c>
      <c r="F375" s="165" t="s">
        <v>864</v>
      </c>
      <c r="G375" s="81">
        <v>528809</v>
      </c>
      <c r="H375" s="81">
        <v>177181</v>
      </c>
      <c r="I375" s="165" t="s">
        <v>240</v>
      </c>
      <c r="J375" s="349">
        <v>42662</v>
      </c>
      <c r="L375" s="166">
        <v>0</v>
      </c>
      <c r="M375" s="166">
        <v>98</v>
      </c>
      <c r="N375" s="166">
        <v>98</v>
      </c>
      <c r="O375" s="166">
        <v>835</v>
      </c>
      <c r="P375" s="166">
        <v>835</v>
      </c>
      <c r="Q375" s="81" t="s">
        <v>155</v>
      </c>
      <c r="R375" s="165" t="s">
        <v>1073</v>
      </c>
      <c r="S375" s="81" t="s">
        <v>509</v>
      </c>
      <c r="T375" s="349">
        <v>42675</v>
      </c>
      <c r="U375" s="349">
        <v>42858</v>
      </c>
      <c r="V375" s="81" t="s">
        <v>155</v>
      </c>
      <c r="W375" s="81" t="s">
        <v>114</v>
      </c>
      <c r="Y375" s="81" t="s">
        <v>115</v>
      </c>
      <c r="Z375" s="81" t="s">
        <v>116</v>
      </c>
      <c r="AA375" s="81" t="s">
        <v>116</v>
      </c>
      <c r="AB375" s="81" t="s">
        <v>117</v>
      </c>
      <c r="AC375" s="166">
        <v>0.24400000274181399</v>
      </c>
      <c r="AG375" s="81" t="s">
        <v>238</v>
      </c>
      <c r="AH375" s="81" t="s">
        <v>118</v>
      </c>
      <c r="AI375" s="81" t="s">
        <v>2598</v>
      </c>
      <c r="AK375" s="166">
        <v>98</v>
      </c>
      <c r="AM375" s="166">
        <v>10</v>
      </c>
      <c r="AO375" s="166">
        <v>0</v>
      </c>
      <c r="AP375" s="166">
        <v>28</v>
      </c>
      <c r="AQ375" s="166">
        <v>68</v>
      </c>
      <c r="AR375" s="166">
        <v>2</v>
      </c>
      <c r="AS375" s="166">
        <v>0</v>
      </c>
      <c r="AT375" s="166">
        <v>0</v>
      </c>
      <c r="AU375" s="166">
        <v>0</v>
      </c>
      <c r="AV375" s="166">
        <v>0</v>
      </c>
      <c r="AW375" s="166">
        <v>28</v>
      </c>
      <c r="AX375" s="166">
        <v>68</v>
      </c>
      <c r="AY375" s="166">
        <v>2</v>
      </c>
      <c r="AZ375" s="166">
        <v>0</v>
      </c>
      <c r="BA375" s="166">
        <v>0</v>
      </c>
      <c r="BB375" s="166">
        <v>0</v>
      </c>
      <c r="BC375" s="166">
        <v>0</v>
      </c>
      <c r="BD375" s="166">
        <v>0</v>
      </c>
      <c r="BE375" s="166">
        <v>0</v>
      </c>
      <c r="BF375" s="166">
        <v>0</v>
      </c>
      <c r="BG375" s="166">
        <v>0</v>
      </c>
      <c r="BH375" s="166">
        <v>0</v>
      </c>
      <c r="BI375" s="166">
        <v>0</v>
      </c>
      <c r="BJ375" s="166">
        <v>0</v>
      </c>
      <c r="BK375" s="166">
        <v>0</v>
      </c>
      <c r="BL375" s="166">
        <v>0</v>
      </c>
      <c r="BM375" s="166">
        <v>0</v>
      </c>
      <c r="BN375" s="166">
        <v>0</v>
      </c>
      <c r="BO375" s="166">
        <v>0</v>
      </c>
      <c r="BP375" s="166">
        <v>0</v>
      </c>
      <c r="BQ375" s="81" t="s">
        <v>1759</v>
      </c>
      <c r="BS375" s="81" t="s">
        <v>155</v>
      </c>
      <c r="BZ375" s="81" t="s">
        <v>155</v>
      </c>
      <c r="CA375" s="81">
        <v>12</v>
      </c>
      <c r="CC375" s="167">
        <v>0</v>
      </c>
      <c r="CD375" s="167">
        <v>0</v>
      </c>
      <c r="CE375" s="167">
        <v>0</v>
      </c>
      <c r="CF375" s="167">
        <v>0</v>
      </c>
      <c r="CG375" s="167">
        <v>0</v>
      </c>
      <c r="CH375" s="167">
        <v>0</v>
      </c>
      <c r="CI375" s="167">
        <v>0</v>
      </c>
      <c r="CJ375" s="167">
        <f>N375</f>
        <v>98</v>
      </c>
      <c r="CK375" s="167">
        <v>0</v>
      </c>
      <c r="CL375" s="167">
        <v>0</v>
      </c>
      <c r="CM375" s="167">
        <v>0</v>
      </c>
      <c r="CN375" s="167">
        <v>0</v>
      </c>
      <c r="CO375" s="167">
        <v>0</v>
      </c>
      <c r="CP375" s="167">
        <v>0</v>
      </c>
      <c r="CQ375" s="167">
        <v>0</v>
      </c>
      <c r="CR375" s="167">
        <v>0</v>
      </c>
      <c r="CS375" s="167">
        <v>0</v>
      </c>
      <c r="CT375" s="167">
        <v>0</v>
      </c>
      <c r="CU375" s="167">
        <v>0</v>
      </c>
      <c r="CV375" s="167">
        <v>0</v>
      </c>
      <c r="CW375" s="167">
        <v>0</v>
      </c>
      <c r="CX375" s="167">
        <f>SUM(CD375:CH375)</f>
        <v>0</v>
      </c>
      <c r="CY375" s="167">
        <f>SUM(CD375:CM375)</f>
        <v>98</v>
      </c>
    </row>
    <row r="376" spans="1:103" ht="12.75" customHeight="1" x14ac:dyDescent="0.2">
      <c r="A376" s="81">
        <v>3514</v>
      </c>
      <c r="B376" s="165" t="s">
        <v>1908</v>
      </c>
      <c r="C376" s="165" t="s">
        <v>1072</v>
      </c>
      <c r="E376" s="165" t="s">
        <v>2597</v>
      </c>
      <c r="F376" s="165" t="s">
        <v>865</v>
      </c>
      <c r="G376" s="81">
        <v>528809</v>
      </c>
      <c r="H376" s="81">
        <v>177181</v>
      </c>
      <c r="I376" s="165" t="s">
        <v>240</v>
      </c>
      <c r="J376" s="349">
        <v>42662</v>
      </c>
      <c r="L376" s="166">
        <v>0</v>
      </c>
      <c r="M376" s="166">
        <v>90</v>
      </c>
      <c r="N376" s="166">
        <v>90</v>
      </c>
      <c r="O376" s="166">
        <v>835</v>
      </c>
      <c r="P376" s="166">
        <v>835</v>
      </c>
      <c r="Q376" s="81" t="s">
        <v>155</v>
      </c>
      <c r="R376" s="165" t="s">
        <v>1073</v>
      </c>
      <c r="S376" s="81" t="s">
        <v>509</v>
      </c>
      <c r="T376" s="349">
        <v>42675</v>
      </c>
      <c r="U376" s="349">
        <v>42858</v>
      </c>
      <c r="V376" s="81" t="s">
        <v>155</v>
      </c>
      <c r="W376" s="81" t="s">
        <v>114</v>
      </c>
      <c r="Y376" s="81" t="s">
        <v>115</v>
      </c>
      <c r="Z376" s="81" t="s">
        <v>116</v>
      </c>
      <c r="AA376" s="81" t="s">
        <v>116</v>
      </c>
      <c r="AB376" s="81" t="s">
        <v>117</v>
      </c>
      <c r="AC376" s="166">
        <v>0.23800000548362699</v>
      </c>
      <c r="AD376" s="349">
        <v>42662</v>
      </c>
      <c r="AG376" s="81" t="s">
        <v>238</v>
      </c>
      <c r="AH376" s="81" t="s">
        <v>118</v>
      </c>
      <c r="AI376" s="81" t="s">
        <v>2598</v>
      </c>
      <c r="AK376" s="166">
        <v>90</v>
      </c>
      <c r="AM376" s="166">
        <v>9</v>
      </c>
      <c r="AO376" s="166">
        <v>0</v>
      </c>
      <c r="AP376" s="166">
        <v>32</v>
      </c>
      <c r="AQ376" s="166">
        <v>32</v>
      </c>
      <c r="AR376" s="166">
        <v>26</v>
      </c>
      <c r="AS376" s="166">
        <v>0</v>
      </c>
      <c r="AT376" s="166">
        <v>0</v>
      </c>
      <c r="AU376" s="166">
        <v>0</v>
      </c>
      <c r="AV376" s="166">
        <v>0</v>
      </c>
      <c r="AW376" s="166">
        <v>32</v>
      </c>
      <c r="AX376" s="166">
        <v>32</v>
      </c>
      <c r="AY376" s="166">
        <v>26</v>
      </c>
      <c r="AZ376" s="166">
        <v>0</v>
      </c>
      <c r="BA376" s="166">
        <v>0</v>
      </c>
      <c r="BB376" s="166">
        <v>0</v>
      </c>
      <c r="BC376" s="166">
        <v>0</v>
      </c>
      <c r="BD376" s="166">
        <v>0</v>
      </c>
      <c r="BE376" s="166">
        <v>0</v>
      </c>
      <c r="BF376" s="166">
        <v>0</v>
      </c>
      <c r="BG376" s="166">
        <v>0</v>
      </c>
      <c r="BH376" s="166">
        <v>0</v>
      </c>
      <c r="BI376" s="166">
        <v>0</v>
      </c>
      <c r="BJ376" s="166">
        <v>0</v>
      </c>
      <c r="BK376" s="166">
        <v>0</v>
      </c>
      <c r="BL376" s="166">
        <v>0</v>
      </c>
      <c r="BM376" s="166">
        <v>0</v>
      </c>
      <c r="BN376" s="166">
        <v>0</v>
      </c>
      <c r="BO376" s="166">
        <v>0</v>
      </c>
      <c r="BP376" s="166">
        <v>0</v>
      </c>
      <c r="BQ376" s="81" t="s">
        <v>1759</v>
      </c>
      <c r="BS376" s="81" t="s">
        <v>155</v>
      </c>
      <c r="BZ376" s="81" t="s">
        <v>155</v>
      </c>
      <c r="CA376" s="81">
        <v>12</v>
      </c>
      <c r="CC376" s="167">
        <v>0</v>
      </c>
      <c r="CD376" s="167">
        <v>0</v>
      </c>
      <c r="CE376" s="167">
        <v>0</v>
      </c>
      <c r="CF376" s="167">
        <v>0</v>
      </c>
      <c r="CG376" s="167">
        <f>N376</f>
        <v>90</v>
      </c>
      <c r="CH376" s="167">
        <v>0</v>
      </c>
      <c r="CI376" s="167">
        <v>0</v>
      </c>
      <c r="CJ376" s="167">
        <v>0</v>
      </c>
      <c r="CK376" s="167">
        <v>0</v>
      </c>
      <c r="CL376" s="167">
        <v>0</v>
      </c>
      <c r="CM376" s="167">
        <v>0</v>
      </c>
      <c r="CN376" s="167">
        <v>0</v>
      </c>
      <c r="CO376" s="167">
        <v>0</v>
      </c>
      <c r="CP376" s="167">
        <v>0</v>
      </c>
      <c r="CQ376" s="167">
        <v>0</v>
      </c>
      <c r="CR376" s="167">
        <v>0</v>
      </c>
      <c r="CS376" s="167">
        <v>0</v>
      </c>
      <c r="CT376" s="167">
        <v>0</v>
      </c>
      <c r="CU376" s="167">
        <v>0</v>
      </c>
      <c r="CV376" s="167">
        <v>0</v>
      </c>
      <c r="CW376" s="167">
        <v>0</v>
      </c>
      <c r="CX376" s="167">
        <f>SUM(CD376:CH376)</f>
        <v>90</v>
      </c>
      <c r="CY376" s="167">
        <f>SUM(CD376:CM376)</f>
        <v>90</v>
      </c>
    </row>
    <row r="377" spans="1:103" ht="12.75" customHeight="1" x14ac:dyDescent="0.2">
      <c r="A377" s="81">
        <v>3514</v>
      </c>
      <c r="B377" s="165" t="s">
        <v>1908</v>
      </c>
      <c r="C377" s="165" t="s">
        <v>1072</v>
      </c>
      <c r="E377" s="165" t="s">
        <v>2597</v>
      </c>
      <c r="F377" s="165" t="s">
        <v>865</v>
      </c>
      <c r="G377" s="81">
        <v>528809</v>
      </c>
      <c r="H377" s="81">
        <v>177181</v>
      </c>
      <c r="I377" s="165" t="s">
        <v>240</v>
      </c>
      <c r="J377" s="349">
        <v>42662</v>
      </c>
      <c r="L377" s="166">
        <v>0</v>
      </c>
      <c r="M377" s="166">
        <v>16</v>
      </c>
      <c r="N377" s="166">
        <v>16</v>
      </c>
      <c r="O377" s="166">
        <v>835</v>
      </c>
      <c r="P377" s="166">
        <v>835</v>
      </c>
      <c r="Q377" s="81" t="s">
        <v>155</v>
      </c>
      <c r="R377" s="165" t="s">
        <v>1073</v>
      </c>
      <c r="S377" s="81" t="s">
        <v>509</v>
      </c>
      <c r="T377" s="349">
        <v>42675</v>
      </c>
      <c r="U377" s="349">
        <v>42858</v>
      </c>
      <c r="V377" s="81" t="s">
        <v>155</v>
      </c>
      <c r="W377" s="81" t="s">
        <v>114</v>
      </c>
      <c r="Y377" s="81" t="s">
        <v>115</v>
      </c>
      <c r="Z377" s="81" t="s">
        <v>116</v>
      </c>
      <c r="AA377" s="81" t="s">
        <v>116</v>
      </c>
      <c r="AB377" s="81" t="s">
        <v>117</v>
      </c>
      <c r="AC377" s="166">
        <v>4.1999999433755902E-2</v>
      </c>
      <c r="AD377" s="349">
        <v>42662</v>
      </c>
      <c r="AG377" s="81" t="s">
        <v>74</v>
      </c>
      <c r="AH377" s="81" t="s">
        <v>990</v>
      </c>
      <c r="AI377" s="81" t="s">
        <v>2598</v>
      </c>
      <c r="AK377" s="166">
        <v>16</v>
      </c>
      <c r="AM377" s="166">
        <v>2</v>
      </c>
      <c r="AO377" s="166">
        <v>0</v>
      </c>
      <c r="AP377" s="166">
        <v>8</v>
      </c>
      <c r="AQ377" s="166">
        <v>8</v>
      </c>
      <c r="AR377" s="166">
        <v>0</v>
      </c>
      <c r="AS377" s="166">
        <v>0</v>
      </c>
      <c r="AT377" s="166">
        <v>0</v>
      </c>
      <c r="AU377" s="166">
        <v>0</v>
      </c>
      <c r="AV377" s="166">
        <v>0</v>
      </c>
      <c r="AW377" s="166">
        <v>8</v>
      </c>
      <c r="AX377" s="166">
        <v>8</v>
      </c>
      <c r="AY377" s="166">
        <v>0</v>
      </c>
      <c r="AZ377" s="166">
        <v>0</v>
      </c>
      <c r="BA377" s="166">
        <v>0</v>
      </c>
      <c r="BB377" s="166">
        <v>0</v>
      </c>
      <c r="BC377" s="166">
        <v>0</v>
      </c>
      <c r="BD377" s="166">
        <v>0</v>
      </c>
      <c r="BE377" s="166">
        <v>0</v>
      </c>
      <c r="BF377" s="166">
        <v>0</v>
      </c>
      <c r="BG377" s="166">
        <v>0</v>
      </c>
      <c r="BH377" s="166">
        <v>0</v>
      </c>
      <c r="BI377" s="166">
        <v>0</v>
      </c>
      <c r="BJ377" s="166">
        <v>0</v>
      </c>
      <c r="BK377" s="166">
        <v>0</v>
      </c>
      <c r="BL377" s="166">
        <v>0</v>
      </c>
      <c r="BM377" s="166">
        <v>0</v>
      </c>
      <c r="BN377" s="166">
        <v>0</v>
      </c>
      <c r="BO377" s="166">
        <v>0</v>
      </c>
      <c r="BP377" s="166">
        <v>0</v>
      </c>
      <c r="BQ377" s="81" t="s">
        <v>1759</v>
      </c>
      <c r="BS377" s="81" t="s">
        <v>155</v>
      </c>
      <c r="BZ377" s="81" t="s">
        <v>155</v>
      </c>
      <c r="CA377" s="81">
        <v>12</v>
      </c>
      <c r="CC377" s="167">
        <v>0</v>
      </c>
      <c r="CD377" s="167">
        <v>0</v>
      </c>
      <c r="CE377" s="167">
        <v>0</v>
      </c>
      <c r="CF377" s="167">
        <v>0</v>
      </c>
      <c r="CG377" s="167">
        <f>N377</f>
        <v>16</v>
      </c>
      <c r="CH377" s="167">
        <v>0</v>
      </c>
      <c r="CI377" s="167">
        <v>0</v>
      </c>
      <c r="CJ377" s="167">
        <v>0</v>
      </c>
      <c r="CK377" s="167">
        <v>0</v>
      </c>
      <c r="CL377" s="167">
        <v>0</v>
      </c>
      <c r="CM377" s="167">
        <v>0</v>
      </c>
      <c r="CN377" s="167">
        <v>0</v>
      </c>
      <c r="CO377" s="167">
        <v>0</v>
      </c>
      <c r="CP377" s="167">
        <v>0</v>
      </c>
      <c r="CQ377" s="167">
        <v>0</v>
      </c>
      <c r="CR377" s="167">
        <v>0</v>
      </c>
      <c r="CS377" s="167">
        <v>0</v>
      </c>
      <c r="CT377" s="167">
        <v>0</v>
      </c>
      <c r="CU377" s="167">
        <v>0</v>
      </c>
      <c r="CV377" s="167">
        <v>0</v>
      </c>
      <c r="CW377" s="167">
        <v>0</v>
      </c>
      <c r="CX377" s="167">
        <f>SUM(CD377:CH377)</f>
        <v>16</v>
      </c>
      <c r="CY377" s="167">
        <f>SUM(CD377:CM377)</f>
        <v>16</v>
      </c>
    </row>
    <row r="378" spans="1:103" ht="12.75" customHeight="1" x14ac:dyDescent="0.2">
      <c r="A378" s="81">
        <v>3514</v>
      </c>
      <c r="B378" s="165" t="s">
        <v>1908</v>
      </c>
      <c r="C378" s="165" t="s">
        <v>1072</v>
      </c>
      <c r="E378" s="165" t="s">
        <v>2597</v>
      </c>
      <c r="F378" s="165" t="s">
        <v>866</v>
      </c>
      <c r="G378" s="81">
        <v>528809</v>
      </c>
      <c r="H378" s="81">
        <v>177181</v>
      </c>
      <c r="I378" s="165" t="s">
        <v>240</v>
      </c>
      <c r="J378" s="349">
        <v>42662</v>
      </c>
      <c r="L378" s="166">
        <v>0</v>
      </c>
      <c r="M378" s="166">
        <v>72</v>
      </c>
      <c r="N378" s="166">
        <v>72</v>
      </c>
      <c r="O378" s="166">
        <v>835</v>
      </c>
      <c r="P378" s="166">
        <v>835</v>
      </c>
      <c r="Q378" s="81" t="s">
        <v>155</v>
      </c>
      <c r="R378" s="165" t="s">
        <v>1073</v>
      </c>
      <c r="S378" s="81" t="s">
        <v>509</v>
      </c>
      <c r="T378" s="349">
        <v>42675</v>
      </c>
      <c r="U378" s="349">
        <v>42858</v>
      </c>
      <c r="V378" s="81" t="s">
        <v>155</v>
      </c>
      <c r="W378" s="81" t="s">
        <v>114</v>
      </c>
      <c r="Y378" s="81" t="s">
        <v>115</v>
      </c>
      <c r="Z378" s="81" t="s">
        <v>116</v>
      </c>
      <c r="AA378" s="81" t="s">
        <v>116</v>
      </c>
      <c r="AB378" s="81" t="s">
        <v>117</v>
      </c>
      <c r="AC378" s="166">
        <v>0.17700000107288399</v>
      </c>
      <c r="AD378" s="349">
        <v>42662</v>
      </c>
      <c r="AG378" s="81" t="s">
        <v>238</v>
      </c>
      <c r="AH378" s="81" t="s">
        <v>118</v>
      </c>
      <c r="AI378" s="81" t="s">
        <v>2598</v>
      </c>
      <c r="AK378" s="166">
        <v>72</v>
      </c>
      <c r="AM378" s="166">
        <v>7</v>
      </c>
      <c r="AO378" s="166">
        <v>0</v>
      </c>
      <c r="AP378" s="166">
        <v>32</v>
      </c>
      <c r="AQ378" s="166">
        <v>34</v>
      </c>
      <c r="AR378" s="166">
        <v>6</v>
      </c>
      <c r="AS378" s="166">
        <v>0</v>
      </c>
      <c r="AT378" s="166">
        <v>0</v>
      </c>
      <c r="AU378" s="166">
        <v>0</v>
      </c>
      <c r="AV378" s="166">
        <v>0</v>
      </c>
      <c r="AW378" s="166">
        <v>32</v>
      </c>
      <c r="AX378" s="166">
        <v>34</v>
      </c>
      <c r="AY378" s="166">
        <v>6</v>
      </c>
      <c r="AZ378" s="166">
        <v>0</v>
      </c>
      <c r="BA378" s="166">
        <v>0</v>
      </c>
      <c r="BB378" s="166">
        <v>0</v>
      </c>
      <c r="BC378" s="166">
        <v>0</v>
      </c>
      <c r="BD378" s="166">
        <v>0</v>
      </c>
      <c r="BE378" s="166">
        <v>0</v>
      </c>
      <c r="BF378" s="166">
        <v>0</v>
      </c>
      <c r="BG378" s="166">
        <v>0</v>
      </c>
      <c r="BH378" s="166">
        <v>0</v>
      </c>
      <c r="BI378" s="166">
        <v>0</v>
      </c>
      <c r="BJ378" s="166">
        <v>0</v>
      </c>
      <c r="BK378" s="166">
        <v>0</v>
      </c>
      <c r="BL378" s="166">
        <v>0</v>
      </c>
      <c r="BM378" s="166">
        <v>0</v>
      </c>
      <c r="BN378" s="166">
        <v>0</v>
      </c>
      <c r="BO378" s="166">
        <v>0</v>
      </c>
      <c r="BP378" s="166">
        <v>0</v>
      </c>
      <c r="BQ378" s="81" t="s">
        <v>1759</v>
      </c>
      <c r="BS378" s="81" t="s">
        <v>155</v>
      </c>
      <c r="BZ378" s="81" t="s">
        <v>155</v>
      </c>
      <c r="CA378" s="81">
        <v>12</v>
      </c>
      <c r="CC378" s="167">
        <v>0</v>
      </c>
      <c r="CD378" s="167">
        <v>0</v>
      </c>
      <c r="CE378" s="167">
        <f>N378</f>
        <v>72</v>
      </c>
      <c r="CF378" s="167">
        <v>0</v>
      </c>
      <c r="CG378" s="167">
        <v>0</v>
      </c>
      <c r="CH378" s="167">
        <v>0</v>
      </c>
      <c r="CI378" s="167">
        <v>0</v>
      </c>
      <c r="CJ378" s="167">
        <v>0</v>
      </c>
      <c r="CK378" s="167">
        <v>0</v>
      </c>
      <c r="CL378" s="167">
        <v>0</v>
      </c>
      <c r="CM378" s="167">
        <v>0</v>
      </c>
      <c r="CN378" s="167">
        <v>0</v>
      </c>
      <c r="CO378" s="167">
        <v>0</v>
      </c>
      <c r="CP378" s="167">
        <v>0</v>
      </c>
      <c r="CQ378" s="167">
        <v>0</v>
      </c>
      <c r="CR378" s="167">
        <v>0</v>
      </c>
      <c r="CS378" s="167">
        <v>0</v>
      </c>
      <c r="CT378" s="167">
        <v>0</v>
      </c>
      <c r="CU378" s="167">
        <v>0</v>
      </c>
      <c r="CV378" s="167">
        <v>0</v>
      </c>
      <c r="CW378" s="167">
        <v>0</v>
      </c>
      <c r="CX378" s="167">
        <f>SUM(CD378:CH378)</f>
        <v>72</v>
      </c>
      <c r="CY378" s="167">
        <f>SUM(CD378:CM378)</f>
        <v>72</v>
      </c>
    </row>
    <row r="379" spans="1:103" ht="12.75" customHeight="1" x14ac:dyDescent="0.2">
      <c r="A379" s="81">
        <v>3514</v>
      </c>
      <c r="B379" s="165" t="s">
        <v>1908</v>
      </c>
      <c r="C379" s="165" t="s">
        <v>1072</v>
      </c>
      <c r="E379" s="165" t="s">
        <v>2597</v>
      </c>
      <c r="F379" s="165" t="s">
        <v>866</v>
      </c>
      <c r="G379" s="81">
        <v>528809</v>
      </c>
      <c r="H379" s="81">
        <v>177181</v>
      </c>
      <c r="I379" s="165" t="s">
        <v>240</v>
      </c>
      <c r="J379" s="349">
        <v>42662</v>
      </c>
      <c r="L379" s="166">
        <v>0</v>
      </c>
      <c r="M379" s="166">
        <v>22</v>
      </c>
      <c r="N379" s="166">
        <v>22</v>
      </c>
      <c r="O379" s="166">
        <v>835</v>
      </c>
      <c r="P379" s="166">
        <v>835</v>
      </c>
      <c r="Q379" s="81" t="s">
        <v>155</v>
      </c>
      <c r="R379" s="165" t="s">
        <v>1073</v>
      </c>
      <c r="S379" s="81" t="s">
        <v>509</v>
      </c>
      <c r="T379" s="349">
        <v>42675</v>
      </c>
      <c r="U379" s="349">
        <v>42858</v>
      </c>
      <c r="V379" s="81" t="s">
        <v>155</v>
      </c>
      <c r="W379" s="81" t="s">
        <v>114</v>
      </c>
      <c r="Y379" s="81" t="s">
        <v>115</v>
      </c>
      <c r="Z379" s="81" t="s">
        <v>116</v>
      </c>
      <c r="AA379" s="81" t="s">
        <v>116</v>
      </c>
      <c r="AB379" s="81" t="s">
        <v>117</v>
      </c>
      <c r="AC379" s="166">
        <v>5.4000001400709201E-2</v>
      </c>
      <c r="AD379" s="349">
        <v>42662</v>
      </c>
      <c r="AG379" s="81" t="s">
        <v>74</v>
      </c>
      <c r="AH379" s="81" t="s">
        <v>990</v>
      </c>
      <c r="AI379" s="81" t="s">
        <v>2598</v>
      </c>
      <c r="AK379" s="166">
        <v>22</v>
      </c>
      <c r="AM379" s="166">
        <v>2</v>
      </c>
      <c r="AO379" s="166">
        <v>0</v>
      </c>
      <c r="AP379" s="166">
        <v>16</v>
      </c>
      <c r="AQ379" s="166">
        <v>6</v>
      </c>
      <c r="AR379" s="166">
        <v>0</v>
      </c>
      <c r="AS379" s="166">
        <v>0</v>
      </c>
      <c r="AT379" s="166">
        <v>0</v>
      </c>
      <c r="AU379" s="166">
        <v>0</v>
      </c>
      <c r="AV379" s="166">
        <v>0</v>
      </c>
      <c r="AW379" s="166">
        <v>16</v>
      </c>
      <c r="AX379" s="166">
        <v>6</v>
      </c>
      <c r="AY379" s="166">
        <v>0</v>
      </c>
      <c r="AZ379" s="166">
        <v>0</v>
      </c>
      <c r="BA379" s="166">
        <v>0</v>
      </c>
      <c r="BB379" s="166">
        <v>0</v>
      </c>
      <c r="BC379" s="166">
        <v>0</v>
      </c>
      <c r="BD379" s="166">
        <v>0</v>
      </c>
      <c r="BE379" s="166">
        <v>0</v>
      </c>
      <c r="BF379" s="166">
        <v>0</v>
      </c>
      <c r="BG379" s="166">
        <v>0</v>
      </c>
      <c r="BH379" s="166">
        <v>0</v>
      </c>
      <c r="BI379" s="166">
        <v>0</v>
      </c>
      <c r="BJ379" s="166">
        <v>0</v>
      </c>
      <c r="BK379" s="166">
        <v>0</v>
      </c>
      <c r="BL379" s="166">
        <v>0</v>
      </c>
      <c r="BM379" s="166">
        <v>0</v>
      </c>
      <c r="BN379" s="166">
        <v>0</v>
      </c>
      <c r="BO379" s="166">
        <v>0</v>
      </c>
      <c r="BP379" s="166">
        <v>0</v>
      </c>
      <c r="BQ379" s="81" t="s">
        <v>1759</v>
      </c>
      <c r="BS379" s="81" t="s">
        <v>155</v>
      </c>
      <c r="BZ379" s="81" t="s">
        <v>155</v>
      </c>
      <c r="CA379" s="81">
        <v>12</v>
      </c>
      <c r="CC379" s="167">
        <v>0</v>
      </c>
      <c r="CD379" s="167">
        <v>0</v>
      </c>
      <c r="CE379" s="167">
        <f>N379</f>
        <v>22</v>
      </c>
      <c r="CF379" s="167">
        <v>0</v>
      </c>
      <c r="CG379" s="167">
        <v>0</v>
      </c>
      <c r="CH379" s="167">
        <v>0</v>
      </c>
      <c r="CI379" s="167">
        <v>0</v>
      </c>
      <c r="CJ379" s="167">
        <v>0</v>
      </c>
      <c r="CK379" s="167">
        <v>0</v>
      </c>
      <c r="CL379" s="167">
        <v>0</v>
      </c>
      <c r="CM379" s="167">
        <v>0</v>
      </c>
      <c r="CN379" s="167">
        <v>0</v>
      </c>
      <c r="CO379" s="167">
        <v>0</v>
      </c>
      <c r="CP379" s="167">
        <v>0</v>
      </c>
      <c r="CQ379" s="167">
        <v>0</v>
      </c>
      <c r="CR379" s="167">
        <v>0</v>
      </c>
      <c r="CS379" s="167">
        <v>0</v>
      </c>
      <c r="CT379" s="167">
        <v>0</v>
      </c>
      <c r="CU379" s="167">
        <v>0</v>
      </c>
      <c r="CV379" s="167">
        <v>0</v>
      </c>
      <c r="CW379" s="167">
        <v>0</v>
      </c>
      <c r="CX379" s="167">
        <f>SUM(CD379:CH379)</f>
        <v>22</v>
      </c>
      <c r="CY379" s="167">
        <f>SUM(CD379:CM379)</f>
        <v>22</v>
      </c>
    </row>
    <row r="380" spans="1:103" ht="12.75" customHeight="1" x14ac:dyDescent="0.2">
      <c r="A380" s="81">
        <v>3514</v>
      </c>
      <c r="B380" s="165" t="s">
        <v>1908</v>
      </c>
      <c r="C380" s="165" t="s">
        <v>1072</v>
      </c>
      <c r="E380" s="165" t="s">
        <v>2597</v>
      </c>
      <c r="F380" s="165" t="s">
        <v>867</v>
      </c>
      <c r="G380" s="81">
        <v>528809</v>
      </c>
      <c r="H380" s="81">
        <v>177181</v>
      </c>
      <c r="I380" s="165" t="s">
        <v>240</v>
      </c>
      <c r="J380" s="349">
        <v>42662</v>
      </c>
      <c r="L380" s="166">
        <v>0</v>
      </c>
      <c r="M380" s="166">
        <v>77</v>
      </c>
      <c r="N380" s="166">
        <v>77</v>
      </c>
      <c r="O380" s="166">
        <v>835</v>
      </c>
      <c r="P380" s="166">
        <v>835</v>
      </c>
      <c r="Q380" s="81" t="s">
        <v>155</v>
      </c>
      <c r="R380" s="165" t="s">
        <v>1073</v>
      </c>
      <c r="S380" s="81" t="s">
        <v>509</v>
      </c>
      <c r="T380" s="349">
        <v>42675</v>
      </c>
      <c r="U380" s="349">
        <v>42858</v>
      </c>
      <c r="V380" s="81" t="s">
        <v>155</v>
      </c>
      <c r="W380" s="81" t="s">
        <v>114</v>
      </c>
      <c r="Y380" s="81" t="s">
        <v>115</v>
      </c>
      <c r="Z380" s="81" t="s">
        <v>116</v>
      </c>
      <c r="AA380" s="81" t="s">
        <v>116</v>
      </c>
      <c r="AB380" s="81" t="s">
        <v>117</v>
      </c>
      <c r="AC380" s="166">
        <v>0.18299999833107</v>
      </c>
      <c r="AD380" s="349">
        <v>42662</v>
      </c>
      <c r="AG380" s="81" t="s">
        <v>154</v>
      </c>
      <c r="AH380" s="81" t="s">
        <v>276</v>
      </c>
      <c r="AI380" s="81" t="s">
        <v>2598</v>
      </c>
      <c r="AK380" s="166">
        <v>77</v>
      </c>
      <c r="AM380" s="166">
        <v>8</v>
      </c>
      <c r="AO380" s="166">
        <v>0</v>
      </c>
      <c r="AP380" s="166">
        <v>33</v>
      </c>
      <c r="AQ380" s="166">
        <v>33</v>
      </c>
      <c r="AR380" s="166">
        <v>11</v>
      </c>
      <c r="AS380" s="166">
        <v>0</v>
      </c>
      <c r="AT380" s="166">
        <v>0</v>
      </c>
      <c r="AU380" s="166">
        <v>0</v>
      </c>
      <c r="AV380" s="166">
        <v>0</v>
      </c>
      <c r="AW380" s="166">
        <v>33</v>
      </c>
      <c r="AX380" s="166">
        <v>33</v>
      </c>
      <c r="AY380" s="166">
        <v>11</v>
      </c>
      <c r="AZ380" s="166">
        <v>0</v>
      </c>
      <c r="BA380" s="166">
        <v>0</v>
      </c>
      <c r="BB380" s="166">
        <v>0</v>
      </c>
      <c r="BC380" s="166">
        <v>0</v>
      </c>
      <c r="BD380" s="166">
        <v>0</v>
      </c>
      <c r="BE380" s="166">
        <v>0</v>
      </c>
      <c r="BF380" s="166">
        <v>0</v>
      </c>
      <c r="BG380" s="166">
        <v>0</v>
      </c>
      <c r="BH380" s="166">
        <v>0</v>
      </c>
      <c r="BI380" s="166">
        <v>0</v>
      </c>
      <c r="BJ380" s="166">
        <v>0</v>
      </c>
      <c r="BK380" s="166">
        <v>0</v>
      </c>
      <c r="BL380" s="166">
        <v>0</v>
      </c>
      <c r="BM380" s="166">
        <v>0</v>
      </c>
      <c r="BN380" s="166">
        <v>0</v>
      </c>
      <c r="BO380" s="166">
        <v>0</v>
      </c>
      <c r="BP380" s="166">
        <v>0</v>
      </c>
      <c r="BQ380" s="81" t="s">
        <v>1759</v>
      </c>
      <c r="BS380" s="81" t="s">
        <v>155</v>
      </c>
      <c r="BZ380" s="81" t="s">
        <v>155</v>
      </c>
      <c r="CA380" s="81">
        <v>12</v>
      </c>
      <c r="CC380" s="167">
        <v>0</v>
      </c>
      <c r="CD380" s="167">
        <v>0</v>
      </c>
      <c r="CE380" s="167">
        <v>0</v>
      </c>
      <c r="CF380" s="167">
        <f>N380</f>
        <v>77</v>
      </c>
      <c r="CG380" s="167">
        <v>0</v>
      </c>
      <c r="CH380" s="167">
        <v>0</v>
      </c>
      <c r="CI380" s="167">
        <v>0</v>
      </c>
      <c r="CJ380" s="167">
        <v>0</v>
      </c>
      <c r="CK380" s="167">
        <v>0</v>
      </c>
      <c r="CL380" s="167">
        <v>0</v>
      </c>
      <c r="CM380" s="167">
        <v>0</v>
      </c>
      <c r="CN380" s="167">
        <v>0</v>
      </c>
      <c r="CO380" s="167">
        <v>0</v>
      </c>
      <c r="CP380" s="167">
        <v>0</v>
      </c>
      <c r="CQ380" s="167">
        <v>0</v>
      </c>
      <c r="CR380" s="167">
        <v>0</v>
      </c>
      <c r="CS380" s="167">
        <v>0</v>
      </c>
      <c r="CT380" s="167">
        <v>0</v>
      </c>
      <c r="CU380" s="167">
        <v>0</v>
      </c>
      <c r="CV380" s="167">
        <v>0</v>
      </c>
      <c r="CW380" s="167">
        <v>0</v>
      </c>
      <c r="CX380" s="167">
        <f>SUM(CD380:CH380)</f>
        <v>77</v>
      </c>
      <c r="CY380" s="167">
        <f>SUM(CD380:CM380)</f>
        <v>77</v>
      </c>
    </row>
    <row r="381" spans="1:103" ht="12.75" customHeight="1" x14ac:dyDescent="0.2">
      <c r="A381" s="81">
        <v>3514</v>
      </c>
      <c r="B381" s="165" t="s">
        <v>1908</v>
      </c>
      <c r="C381" s="165" t="s">
        <v>1072</v>
      </c>
      <c r="E381" s="165" t="s">
        <v>2597</v>
      </c>
      <c r="F381" s="165" t="s">
        <v>863</v>
      </c>
      <c r="G381" s="81">
        <v>528809</v>
      </c>
      <c r="H381" s="81">
        <v>177181</v>
      </c>
      <c r="I381" s="165" t="s">
        <v>240</v>
      </c>
      <c r="J381" s="349">
        <v>42662</v>
      </c>
      <c r="L381" s="166">
        <v>0</v>
      </c>
      <c r="M381" s="166">
        <v>99</v>
      </c>
      <c r="N381" s="166">
        <v>99</v>
      </c>
      <c r="O381" s="166">
        <v>835</v>
      </c>
      <c r="P381" s="166">
        <v>835</v>
      </c>
      <c r="Q381" s="81" t="s">
        <v>155</v>
      </c>
      <c r="R381" s="165" t="s">
        <v>1073</v>
      </c>
      <c r="S381" s="81" t="s">
        <v>509</v>
      </c>
      <c r="T381" s="349">
        <v>42675</v>
      </c>
      <c r="U381" s="349">
        <v>42858</v>
      </c>
      <c r="V381" s="81" t="s">
        <v>155</v>
      </c>
      <c r="W381" s="81" t="s">
        <v>114</v>
      </c>
      <c r="Y381" s="81" t="s">
        <v>115</v>
      </c>
      <c r="Z381" s="81" t="s">
        <v>116</v>
      </c>
      <c r="AA381" s="81" t="s">
        <v>116</v>
      </c>
      <c r="AB381" s="81" t="s">
        <v>117</v>
      </c>
      <c r="AC381" s="166">
        <v>0.20399999618530301</v>
      </c>
      <c r="AD381" s="349">
        <v>42662</v>
      </c>
      <c r="AG381" s="81" t="s">
        <v>154</v>
      </c>
      <c r="AH381" s="81" t="s">
        <v>276</v>
      </c>
      <c r="AI381" s="81" t="s">
        <v>2598</v>
      </c>
      <c r="AK381" s="166">
        <v>99</v>
      </c>
      <c r="AM381" s="166">
        <v>10</v>
      </c>
      <c r="AO381" s="166">
        <v>0</v>
      </c>
      <c r="AP381" s="166">
        <v>66</v>
      </c>
      <c r="AQ381" s="166">
        <v>33</v>
      </c>
      <c r="AR381" s="166">
        <v>0</v>
      </c>
      <c r="AS381" s="166">
        <v>0</v>
      </c>
      <c r="AT381" s="166">
        <v>0</v>
      </c>
      <c r="AU381" s="166">
        <v>0</v>
      </c>
      <c r="AV381" s="166">
        <v>0</v>
      </c>
      <c r="AW381" s="166">
        <v>66</v>
      </c>
      <c r="AX381" s="166">
        <v>33</v>
      </c>
      <c r="AY381" s="166">
        <v>0</v>
      </c>
      <c r="AZ381" s="166">
        <v>0</v>
      </c>
      <c r="BA381" s="166">
        <v>0</v>
      </c>
      <c r="BB381" s="166">
        <v>0</v>
      </c>
      <c r="BC381" s="166">
        <v>0</v>
      </c>
      <c r="BD381" s="166">
        <v>0</v>
      </c>
      <c r="BE381" s="166">
        <v>0</v>
      </c>
      <c r="BF381" s="166">
        <v>0</v>
      </c>
      <c r="BG381" s="166">
        <v>0</v>
      </c>
      <c r="BH381" s="166">
        <v>0</v>
      </c>
      <c r="BI381" s="166">
        <v>0</v>
      </c>
      <c r="BJ381" s="166">
        <v>0</v>
      </c>
      <c r="BK381" s="166">
        <v>0</v>
      </c>
      <c r="BL381" s="166">
        <v>0</v>
      </c>
      <c r="BM381" s="166">
        <v>0</v>
      </c>
      <c r="BN381" s="166">
        <v>0</v>
      </c>
      <c r="BO381" s="166">
        <v>0</v>
      </c>
      <c r="BP381" s="166">
        <v>0</v>
      </c>
      <c r="BQ381" s="81" t="s">
        <v>1759</v>
      </c>
      <c r="BS381" s="81" t="s">
        <v>155</v>
      </c>
      <c r="BZ381" s="81" t="s">
        <v>155</v>
      </c>
      <c r="CA381" s="81">
        <v>12</v>
      </c>
      <c r="CC381" s="167">
        <v>0</v>
      </c>
      <c r="CD381" s="167">
        <v>0</v>
      </c>
      <c r="CE381" s="167">
        <v>0</v>
      </c>
      <c r="CF381" s="167">
        <f>N381</f>
        <v>99</v>
      </c>
      <c r="CG381" s="167">
        <v>0</v>
      </c>
      <c r="CH381" s="167">
        <v>0</v>
      </c>
      <c r="CI381" s="167">
        <v>0</v>
      </c>
      <c r="CJ381" s="167">
        <v>0</v>
      </c>
      <c r="CK381" s="167">
        <v>0</v>
      </c>
      <c r="CL381" s="167">
        <v>0</v>
      </c>
      <c r="CM381" s="167">
        <v>0</v>
      </c>
      <c r="CN381" s="167">
        <v>0</v>
      </c>
      <c r="CO381" s="167">
        <v>0</v>
      </c>
      <c r="CP381" s="167">
        <v>0</v>
      </c>
      <c r="CQ381" s="167">
        <v>0</v>
      </c>
      <c r="CR381" s="167">
        <v>0</v>
      </c>
      <c r="CS381" s="167">
        <v>0</v>
      </c>
      <c r="CT381" s="167">
        <v>0</v>
      </c>
      <c r="CU381" s="167">
        <v>0</v>
      </c>
      <c r="CV381" s="167">
        <v>0</v>
      </c>
      <c r="CW381" s="167">
        <v>0</v>
      </c>
      <c r="CX381" s="167">
        <f>SUM(CD381:CH381)</f>
        <v>99</v>
      </c>
      <c r="CY381" s="167">
        <f>SUM(CD381:CM381)</f>
        <v>99</v>
      </c>
    </row>
    <row r="382" spans="1:103" ht="12.75" customHeight="1" x14ac:dyDescent="0.2">
      <c r="A382" s="81">
        <v>3514</v>
      </c>
      <c r="B382" s="165" t="s">
        <v>1908</v>
      </c>
      <c r="C382" s="165" t="s">
        <v>2993</v>
      </c>
      <c r="E382" s="165" t="s">
        <v>2597</v>
      </c>
      <c r="G382" s="81">
        <v>528809</v>
      </c>
      <c r="H382" s="81">
        <v>177181</v>
      </c>
      <c r="I382" s="165" t="s">
        <v>240</v>
      </c>
      <c r="J382" s="349">
        <v>42662</v>
      </c>
      <c r="L382" s="166">
        <v>1</v>
      </c>
      <c r="M382" s="166">
        <v>1</v>
      </c>
      <c r="N382" s="166">
        <v>0</v>
      </c>
      <c r="O382" s="166">
        <v>1</v>
      </c>
      <c r="P382" s="166">
        <v>0</v>
      </c>
      <c r="Q382" s="81" t="s">
        <v>155</v>
      </c>
      <c r="R382" s="165" t="s">
        <v>2994</v>
      </c>
      <c r="S382" s="81" t="s">
        <v>509</v>
      </c>
      <c r="T382" s="349">
        <v>43017</v>
      </c>
      <c r="U382" s="349">
        <v>43039</v>
      </c>
      <c r="V382" s="81" t="s">
        <v>155</v>
      </c>
      <c r="W382" s="81" t="s">
        <v>114</v>
      </c>
      <c r="Y382" s="81" t="s">
        <v>115</v>
      </c>
      <c r="Z382" s="81" t="s">
        <v>116</v>
      </c>
      <c r="AA382" s="81" t="s">
        <v>116</v>
      </c>
      <c r="AB382" s="81" t="s">
        <v>117</v>
      </c>
      <c r="AC382" s="166">
        <v>7.1000002324581105E-2</v>
      </c>
      <c r="AD382" s="349">
        <v>42662</v>
      </c>
      <c r="AG382" s="81" t="s">
        <v>238</v>
      </c>
      <c r="AH382" s="81" t="s">
        <v>118</v>
      </c>
      <c r="AI382" s="81" t="s">
        <v>2598</v>
      </c>
      <c r="AK382" s="166">
        <v>0</v>
      </c>
      <c r="AM382" s="166">
        <v>0</v>
      </c>
      <c r="AO382" s="166">
        <v>0</v>
      </c>
      <c r="AP382" s="166">
        <v>0</v>
      </c>
      <c r="AQ382" s="166">
        <v>-1</v>
      </c>
      <c r="AR382" s="166">
        <v>1</v>
      </c>
      <c r="AS382" s="166">
        <v>0</v>
      </c>
      <c r="AT382" s="166">
        <v>0</v>
      </c>
      <c r="AU382" s="166">
        <v>0</v>
      </c>
      <c r="AV382" s="166">
        <v>0</v>
      </c>
      <c r="AW382" s="166">
        <v>0</v>
      </c>
      <c r="AX382" s="166">
        <v>-1</v>
      </c>
      <c r="AY382" s="166">
        <v>1</v>
      </c>
      <c r="AZ382" s="166">
        <v>0</v>
      </c>
      <c r="BA382" s="166">
        <v>0</v>
      </c>
      <c r="BB382" s="166">
        <v>0</v>
      </c>
      <c r="BC382" s="166">
        <v>0</v>
      </c>
      <c r="BD382" s="166">
        <v>0</v>
      </c>
      <c r="BE382" s="166">
        <v>0</v>
      </c>
      <c r="BF382" s="166">
        <v>0</v>
      </c>
      <c r="BG382" s="166">
        <v>0</v>
      </c>
      <c r="BH382" s="166">
        <v>0</v>
      </c>
      <c r="BI382" s="166">
        <v>0</v>
      </c>
      <c r="BJ382" s="166">
        <v>0</v>
      </c>
      <c r="BK382" s="166">
        <v>0</v>
      </c>
      <c r="BL382" s="166">
        <v>0</v>
      </c>
      <c r="BM382" s="166">
        <v>0</v>
      </c>
      <c r="BN382" s="166">
        <v>0</v>
      </c>
      <c r="BO382" s="166">
        <v>0</v>
      </c>
      <c r="BP382" s="166">
        <v>0</v>
      </c>
      <c r="BQ382" s="81" t="s">
        <v>1759</v>
      </c>
      <c r="BS382" s="81" t="s">
        <v>155</v>
      </c>
      <c r="BZ382" s="81" t="s">
        <v>155</v>
      </c>
      <c r="CA382" s="81">
        <v>12</v>
      </c>
      <c r="CC382" s="167">
        <v>0</v>
      </c>
      <c r="CD382" s="167">
        <v>0</v>
      </c>
      <c r="CE382" s="167">
        <v>0</v>
      </c>
      <c r="CF382" s="167">
        <f>N382</f>
        <v>0</v>
      </c>
      <c r="CG382" s="167">
        <v>0</v>
      </c>
      <c r="CH382" s="167">
        <v>0</v>
      </c>
      <c r="CI382" s="167">
        <v>0</v>
      </c>
      <c r="CJ382" s="167">
        <v>0</v>
      </c>
      <c r="CK382" s="167">
        <v>0</v>
      </c>
      <c r="CL382" s="167">
        <v>0</v>
      </c>
      <c r="CM382" s="167">
        <v>0</v>
      </c>
      <c r="CN382" s="167">
        <v>0</v>
      </c>
      <c r="CO382" s="167">
        <v>0</v>
      </c>
      <c r="CP382" s="167">
        <v>0</v>
      </c>
      <c r="CQ382" s="167">
        <v>0</v>
      </c>
      <c r="CR382" s="167">
        <v>0</v>
      </c>
      <c r="CS382" s="167">
        <v>0</v>
      </c>
      <c r="CT382" s="167">
        <v>0</v>
      </c>
      <c r="CU382" s="167">
        <v>0</v>
      </c>
      <c r="CV382" s="167">
        <v>0</v>
      </c>
      <c r="CW382" s="167">
        <v>0</v>
      </c>
      <c r="CX382" s="167">
        <f>SUM(CD382:CH382)</f>
        <v>0</v>
      </c>
      <c r="CY382" s="167">
        <f>SUM(CD382:CM382)</f>
        <v>0</v>
      </c>
    </row>
    <row r="383" spans="1:103" ht="12.75" customHeight="1" x14ac:dyDescent="0.2">
      <c r="A383" s="81">
        <v>3518</v>
      </c>
      <c r="B383" s="165" t="s">
        <v>1908</v>
      </c>
      <c r="C383" s="165" t="s">
        <v>68</v>
      </c>
      <c r="D383" s="165" t="s">
        <v>507</v>
      </c>
      <c r="E383" s="165" t="s">
        <v>2692</v>
      </c>
      <c r="F383" s="165" t="s">
        <v>848</v>
      </c>
      <c r="G383" s="81">
        <v>525666</v>
      </c>
      <c r="H383" s="81">
        <v>174804</v>
      </c>
      <c r="I383" s="165" t="s">
        <v>251</v>
      </c>
      <c r="J383" s="349">
        <v>42095</v>
      </c>
      <c r="L383" s="166">
        <v>1</v>
      </c>
      <c r="M383" s="166">
        <v>9</v>
      </c>
      <c r="N383" s="166">
        <v>8</v>
      </c>
      <c r="O383" s="166">
        <v>663</v>
      </c>
      <c r="P383" s="166">
        <v>662</v>
      </c>
      <c r="Q383" s="81" t="s">
        <v>155</v>
      </c>
      <c r="R383" s="165" t="s">
        <v>741</v>
      </c>
      <c r="S383" s="81" t="s">
        <v>24</v>
      </c>
      <c r="T383" s="349">
        <v>41234</v>
      </c>
      <c r="U383" s="349">
        <v>41614</v>
      </c>
      <c r="W383" s="81" t="s">
        <v>114</v>
      </c>
      <c r="Y383" s="81" t="s">
        <v>115</v>
      </c>
      <c r="Z383" s="81" t="s">
        <v>116</v>
      </c>
      <c r="AA383" s="81" t="s">
        <v>116</v>
      </c>
      <c r="AB383" s="81" t="s">
        <v>117</v>
      </c>
      <c r="AC383" s="166">
        <v>0</v>
      </c>
      <c r="AD383" s="349">
        <v>42095</v>
      </c>
      <c r="AG383" s="81" t="s">
        <v>238</v>
      </c>
      <c r="AH383" s="81" t="s">
        <v>118</v>
      </c>
      <c r="AI383" s="81" t="s">
        <v>2693</v>
      </c>
      <c r="AK383" s="166">
        <v>0</v>
      </c>
      <c r="AM383" s="166">
        <v>0</v>
      </c>
      <c r="AO383" s="166">
        <v>0</v>
      </c>
      <c r="AP383" s="166">
        <v>6</v>
      </c>
      <c r="AQ383" s="166">
        <v>3</v>
      </c>
      <c r="AR383" s="166">
        <v>0</v>
      </c>
      <c r="AS383" s="166">
        <v>0</v>
      </c>
      <c r="AT383" s="166">
        <v>0</v>
      </c>
      <c r="AU383" s="166">
        <v>-1</v>
      </c>
      <c r="AV383" s="166">
        <v>0</v>
      </c>
      <c r="AW383" s="166">
        <v>6</v>
      </c>
      <c r="AX383" s="166">
        <v>3</v>
      </c>
      <c r="AY383" s="166">
        <v>0</v>
      </c>
      <c r="AZ383" s="166">
        <v>0</v>
      </c>
      <c r="BA383" s="166">
        <v>0</v>
      </c>
      <c r="BB383" s="166">
        <v>0</v>
      </c>
      <c r="BC383" s="166">
        <v>0</v>
      </c>
      <c r="BD383" s="166">
        <v>0</v>
      </c>
      <c r="BE383" s="166">
        <v>0</v>
      </c>
      <c r="BF383" s="166">
        <v>0</v>
      </c>
      <c r="BG383" s="166">
        <v>0</v>
      </c>
      <c r="BH383" s="166">
        <v>0</v>
      </c>
      <c r="BI383" s="166">
        <v>-1</v>
      </c>
      <c r="BJ383" s="166">
        <v>0</v>
      </c>
      <c r="BK383" s="166">
        <v>0</v>
      </c>
      <c r="BL383" s="166">
        <v>0</v>
      </c>
      <c r="BM383" s="166">
        <v>0</v>
      </c>
      <c r="BN383" s="166">
        <v>0</v>
      </c>
      <c r="BO383" s="166">
        <v>0</v>
      </c>
      <c r="BP383" s="166">
        <v>0</v>
      </c>
      <c r="BQ383" s="81" t="s">
        <v>1758</v>
      </c>
      <c r="BR383" s="81" t="s">
        <v>202</v>
      </c>
      <c r="BT383" s="81" t="s">
        <v>155</v>
      </c>
      <c r="BZ383" s="81" t="s">
        <v>155</v>
      </c>
      <c r="CA383" s="81" t="s">
        <v>3934</v>
      </c>
      <c r="CC383" s="167">
        <v>0</v>
      </c>
      <c r="CD383" s="167">
        <f>N383</f>
        <v>8</v>
      </c>
      <c r="CE383" s="167">
        <v>0</v>
      </c>
      <c r="CF383" s="167">
        <v>0</v>
      </c>
      <c r="CG383" s="167">
        <v>0</v>
      </c>
      <c r="CH383" s="167">
        <v>0</v>
      </c>
      <c r="CI383" s="167">
        <v>0</v>
      </c>
      <c r="CJ383" s="167">
        <v>0</v>
      </c>
      <c r="CK383" s="167">
        <v>0</v>
      </c>
      <c r="CL383" s="167">
        <v>0</v>
      </c>
      <c r="CM383" s="167">
        <v>0</v>
      </c>
      <c r="CN383" s="167">
        <v>0</v>
      </c>
      <c r="CO383" s="167">
        <v>0</v>
      </c>
      <c r="CP383" s="167">
        <v>0</v>
      </c>
      <c r="CQ383" s="167">
        <v>0</v>
      </c>
      <c r="CR383" s="167">
        <v>0</v>
      </c>
      <c r="CS383" s="167">
        <v>0</v>
      </c>
      <c r="CT383" s="167">
        <v>0</v>
      </c>
      <c r="CU383" s="167">
        <v>0</v>
      </c>
      <c r="CV383" s="167">
        <v>0</v>
      </c>
      <c r="CW383" s="167">
        <v>0</v>
      </c>
      <c r="CX383" s="167">
        <f>SUM(CD383:CH383)</f>
        <v>8</v>
      </c>
      <c r="CY383" s="167">
        <f>SUM(CD383:CM383)</f>
        <v>8</v>
      </c>
    </row>
    <row r="384" spans="1:103" ht="12.75" customHeight="1" x14ac:dyDescent="0.2">
      <c r="A384" s="81">
        <v>3518</v>
      </c>
      <c r="B384" s="165" t="s">
        <v>1908</v>
      </c>
      <c r="C384" s="165" t="s">
        <v>68</v>
      </c>
      <c r="D384" s="165" t="s">
        <v>507</v>
      </c>
      <c r="E384" s="165" t="s">
        <v>2692</v>
      </c>
      <c r="F384" s="165" t="s">
        <v>849</v>
      </c>
      <c r="G384" s="81">
        <v>525666</v>
      </c>
      <c r="H384" s="81">
        <v>174804</v>
      </c>
      <c r="I384" s="165" t="s">
        <v>251</v>
      </c>
      <c r="J384" s="349">
        <v>42095</v>
      </c>
      <c r="L384" s="166">
        <v>0</v>
      </c>
      <c r="M384" s="166">
        <v>30</v>
      </c>
      <c r="N384" s="166">
        <v>30</v>
      </c>
      <c r="O384" s="166">
        <v>663</v>
      </c>
      <c r="P384" s="166">
        <v>662</v>
      </c>
      <c r="Q384" s="81" t="s">
        <v>155</v>
      </c>
      <c r="R384" s="165" t="s">
        <v>741</v>
      </c>
      <c r="S384" s="81" t="s">
        <v>24</v>
      </c>
      <c r="T384" s="349">
        <v>41234</v>
      </c>
      <c r="U384" s="349">
        <v>41614</v>
      </c>
      <c r="W384" s="81" t="s">
        <v>114</v>
      </c>
      <c r="Y384" s="81" t="s">
        <v>115</v>
      </c>
      <c r="Z384" s="81" t="s">
        <v>116</v>
      </c>
      <c r="AA384" s="81" t="s">
        <v>116</v>
      </c>
      <c r="AB384" s="81" t="s">
        <v>117</v>
      </c>
      <c r="AC384" s="166">
        <v>0</v>
      </c>
      <c r="AD384" s="349">
        <v>42095</v>
      </c>
      <c r="AG384" s="81" t="s">
        <v>238</v>
      </c>
      <c r="AH384" s="81" t="s">
        <v>118</v>
      </c>
      <c r="AI384" s="81" t="s">
        <v>2693</v>
      </c>
      <c r="AK384" s="166">
        <v>0</v>
      </c>
      <c r="AM384" s="166">
        <v>4</v>
      </c>
      <c r="AO384" s="166">
        <v>0</v>
      </c>
      <c r="AP384" s="166">
        <v>16</v>
      </c>
      <c r="AQ384" s="166">
        <v>14</v>
      </c>
      <c r="AR384" s="166">
        <v>0</v>
      </c>
      <c r="AS384" s="166">
        <v>0</v>
      </c>
      <c r="AT384" s="166">
        <v>0</v>
      </c>
      <c r="AU384" s="166">
        <v>0</v>
      </c>
      <c r="AV384" s="166">
        <v>0</v>
      </c>
      <c r="AW384" s="166">
        <v>16</v>
      </c>
      <c r="AX384" s="166">
        <v>14</v>
      </c>
      <c r="AY384" s="166">
        <v>0</v>
      </c>
      <c r="AZ384" s="166">
        <v>0</v>
      </c>
      <c r="BA384" s="166">
        <v>0</v>
      </c>
      <c r="BB384" s="166">
        <v>0</v>
      </c>
      <c r="BC384" s="166">
        <v>0</v>
      </c>
      <c r="BD384" s="166">
        <v>0</v>
      </c>
      <c r="BE384" s="166">
        <v>0</v>
      </c>
      <c r="BF384" s="166">
        <v>0</v>
      </c>
      <c r="BG384" s="166">
        <v>0</v>
      </c>
      <c r="BH384" s="166">
        <v>0</v>
      </c>
      <c r="BI384" s="166">
        <v>0</v>
      </c>
      <c r="BJ384" s="166">
        <v>0</v>
      </c>
      <c r="BK384" s="166">
        <v>0</v>
      </c>
      <c r="BL384" s="166">
        <v>0</v>
      </c>
      <c r="BM384" s="166">
        <v>0</v>
      </c>
      <c r="BN384" s="166">
        <v>0</v>
      </c>
      <c r="BO384" s="166">
        <v>0</v>
      </c>
      <c r="BP384" s="166">
        <v>0</v>
      </c>
      <c r="BQ384" s="81" t="s">
        <v>1758</v>
      </c>
      <c r="BR384" s="81" t="s">
        <v>202</v>
      </c>
      <c r="BT384" s="81" t="s">
        <v>155</v>
      </c>
      <c r="BZ384" s="81" t="s">
        <v>155</v>
      </c>
      <c r="CA384" s="81" t="s">
        <v>3934</v>
      </c>
      <c r="CC384" s="167">
        <v>0</v>
      </c>
      <c r="CD384" s="167">
        <f>N384</f>
        <v>30</v>
      </c>
      <c r="CE384" s="167">
        <v>0</v>
      </c>
      <c r="CF384" s="167">
        <v>0</v>
      </c>
      <c r="CG384" s="167">
        <v>0</v>
      </c>
      <c r="CH384" s="167">
        <v>0</v>
      </c>
      <c r="CI384" s="167">
        <v>0</v>
      </c>
      <c r="CJ384" s="167">
        <v>0</v>
      </c>
      <c r="CK384" s="167">
        <v>0</v>
      </c>
      <c r="CL384" s="167">
        <v>0</v>
      </c>
      <c r="CM384" s="167">
        <v>0</v>
      </c>
      <c r="CN384" s="167">
        <v>0</v>
      </c>
      <c r="CO384" s="167">
        <v>0</v>
      </c>
      <c r="CP384" s="167">
        <v>0</v>
      </c>
      <c r="CQ384" s="167">
        <v>0</v>
      </c>
      <c r="CR384" s="167">
        <v>0</v>
      </c>
      <c r="CS384" s="167">
        <v>0</v>
      </c>
      <c r="CT384" s="167">
        <v>0</v>
      </c>
      <c r="CU384" s="167">
        <v>0</v>
      </c>
      <c r="CV384" s="167">
        <v>0</v>
      </c>
      <c r="CW384" s="167">
        <v>0</v>
      </c>
      <c r="CX384" s="167">
        <f>SUM(CD384:CH384)</f>
        <v>30</v>
      </c>
      <c r="CY384" s="167">
        <f>SUM(CD384:CM384)</f>
        <v>30</v>
      </c>
    </row>
    <row r="385" spans="1:103" x14ac:dyDescent="0.2">
      <c r="A385" s="81">
        <v>3518</v>
      </c>
      <c r="B385" s="165" t="s">
        <v>1908</v>
      </c>
      <c r="C385" s="165" t="s">
        <v>68</v>
      </c>
      <c r="D385" s="165" t="s">
        <v>507</v>
      </c>
      <c r="E385" s="165" t="s">
        <v>2692</v>
      </c>
      <c r="F385" s="165" t="s">
        <v>850</v>
      </c>
      <c r="G385" s="81">
        <v>525666</v>
      </c>
      <c r="H385" s="81">
        <v>174804</v>
      </c>
      <c r="I385" s="165" t="s">
        <v>251</v>
      </c>
      <c r="J385" s="349">
        <v>42095</v>
      </c>
      <c r="L385" s="166">
        <v>0</v>
      </c>
      <c r="M385" s="166">
        <v>12</v>
      </c>
      <c r="N385" s="166">
        <v>12</v>
      </c>
      <c r="O385" s="166">
        <v>663</v>
      </c>
      <c r="P385" s="166">
        <v>662</v>
      </c>
      <c r="Q385" s="81" t="s">
        <v>155</v>
      </c>
      <c r="R385" s="165" t="s">
        <v>741</v>
      </c>
      <c r="S385" s="81" t="s">
        <v>24</v>
      </c>
      <c r="T385" s="349">
        <v>41234</v>
      </c>
      <c r="U385" s="349">
        <v>41614</v>
      </c>
      <c r="W385" s="81" t="s">
        <v>114</v>
      </c>
      <c r="Y385" s="81" t="s">
        <v>115</v>
      </c>
      <c r="Z385" s="81" t="s">
        <v>116</v>
      </c>
      <c r="AA385" s="81" t="s">
        <v>116</v>
      </c>
      <c r="AB385" s="81" t="s">
        <v>117</v>
      </c>
      <c r="AC385" s="166">
        <v>0</v>
      </c>
      <c r="AD385" s="349">
        <v>42095</v>
      </c>
      <c r="AG385" s="81" t="s">
        <v>238</v>
      </c>
      <c r="AH385" s="81" t="s">
        <v>118</v>
      </c>
      <c r="AI385" s="81" t="s">
        <v>2693</v>
      </c>
      <c r="AK385" s="166">
        <v>0</v>
      </c>
      <c r="AM385" s="166">
        <v>0</v>
      </c>
      <c r="AO385" s="166">
        <v>0</v>
      </c>
      <c r="AP385" s="166">
        <v>4</v>
      </c>
      <c r="AQ385" s="166">
        <v>4</v>
      </c>
      <c r="AR385" s="166">
        <v>4</v>
      </c>
      <c r="AS385" s="166">
        <v>0</v>
      </c>
      <c r="AT385" s="166">
        <v>0</v>
      </c>
      <c r="AU385" s="166">
        <v>0</v>
      </c>
      <c r="AV385" s="166">
        <v>0</v>
      </c>
      <c r="AW385" s="166">
        <v>4</v>
      </c>
      <c r="AX385" s="166">
        <v>4</v>
      </c>
      <c r="AY385" s="166">
        <v>4</v>
      </c>
      <c r="AZ385" s="166">
        <v>0</v>
      </c>
      <c r="BA385" s="166">
        <v>0</v>
      </c>
      <c r="BB385" s="166">
        <v>0</v>
      </c>
      <c r="BC385" s="166">
        <v>0</v>
      </c>
      <c r="BD385" s="166">
        <v>0</v>
      </c>
      <c r="BE385" s="166">
        <v>0</v>
      </c>
      <c r="BF385" s="166">
        <v>0</v>
      </c>
      <c r="BG385" s="166">
        <v>0</v>
      </c>
      <c r="BH385" s="166">
        <v>0</v>
      </c>
      <c r="BI385" s="166">
        <v>0</v>
      </c>
      <c r="BJ385" s="166">
        <v>0</v>
      </c>
      <c r="BK385" s="166">
        <v>0</v>
      </c>
      <c r="BL385" s="166">
        <v>0</v>
      </c>
      <c r="BM385" s="166">
        <v>0</v>
      </c>
      <c r="BN385" s="166">
        <v>0</v>
      </c>
      <c r="BO385" s="166">
        <v>0</v>
      </c>
      <c r="BP385" s="166">
        <v>0</v>
      </c>
      <c r="BQ385" s="81" t="s">
        <v>1758</v>
      </c>
      <c r="BR385" s="81" t="s">
        <v>202</v>
      </c>
      <c r="BT385" s="81" t="s">
        <v>155</v>
      </c>
      <c r="BZ385" s="81" t="s">
        <v>155</v>
      </c>
      <c r="CA385" s="81" t="s">
        <v>3934</v>
      </c>
      <c r="CC385" s="167">
        <v>0</v>
      </c>
      <c r="CD385" s="167">
        <f>N385</f>
        <v>12</v>
      </c>
      <c r="CE385" s="167">
        <v>0</v>
      </c>
      <c r="CF385" s="167">
        <v>0</v>
      </c>
      <c r="CG385" s="167">
        <v>0</v>
      </c>
      <c r="CH385" s="167">
        <v>0</v>
      </c>
      <c r="CI385" s="167">
        <v>0</v>
      </c>
      <c r="CJ385" s="167">
        <v>0</v>
      </c>
      <c r="CK385" s="167">
        <v>0</v>
      </c>
      <c r="CL385" s="167">
        <v>0</v>
      </c>
      <c r="CM385" s="167">
        <v>0</v>
      </c>
      <c r="CN385" s="167">
        <v>0</v>
      </c>
      <c r="CO385" s="167">
        <v>0</v>
      </c>
      <c r="CP385" s="167">
        <v>0</v>
      </c>
      <c r="CQ385" s="167">
        <v>0</v>
      </c>
      <c r="CR385" s="167">
        <v>0</v>
      </c>
      <c r="CS385" s="167">
        <v>0</v>
      </c>
      <c r="CT385" s="167">
        <v>0</v>
      </c>
      <c r="CU385" s="167">
        <v>0</v>
      </c>
      <c r="CV385" s="167">
        <v>0</v>
      </c>
      <c r="CW385" s="167">
        <v>0</v>
      </c>
      <c r="CX385" s="167">
        <f>SUM(CD385:CH385)</f>
        <v>12</v>
      </c>
      <c r="CY385" s="167">
        <f>SUM(CD385:CM385)</f>
        <v>12</v>
      </c>
    </row>
    <row r="386" spans="1:103" x14ac:dyDescent="0.2">
      <c r="A386" s="81">
        <v>3518</v>
      </c>
      <c r="B386" s="165" t="s">
        <v>1908</v>
      </c>
      <c r="C386" s="165" t="s">
        <v>68</v>
      </c>
      <c r="D386" s="165" t="s">
        <v>507</v>
      </c>
      <c r="E386" s="165" t="s">
        <v>2692</v>
      </c>
      <c r="F386" s="165" t="s">
        <v>853</v>
      </c>
      <c r="G386" s="81">
        <v>525666</v>
      </c>
      <c r="H386" s="81">
        <v>174804</v>
      </c>
      <c r="I386" s="165" t="s">
        <v>251</v>
      </c>
      <c r="J386" s="349">
        <v>42095</v>
      </c>
      <c r="L386" s="166">
        <v>0</v>
      </c>
      <c r="M386" s="166">
        <v>16</v>
      </c>
      <c r="N386" s="166">
        <v>16</v>
      </c>
      <c r="O386" s="166">
        <v>663</v>
      </c>
      <c r="P386" s="166">
        <v>662</v>
      </c>
      <c r="Q386" s="81" t="s">
        <v>155</v>
      </c>
      <c r="R386" s="165" t="s">
        <v>741</v>
      </c>
      <c r="S386" s="81" t="s">
        <v>24</v>
      </c>
      <c r="T386" s="349">
        <v>41234</v>
      </c>
      <c r="U386" s="349">
        <v>41614</v>
      </c>
      <c r="W386" s="81" t="s">
        <v>114</v>
      </c>
      <c r="Y386" s="81" t="s">
        <v>115</v>
      </c>
      <c r="Z386" s="81" t="s">
        <v>116</v>
      </c>
      <c r="AA386" s="81" t="s">
        <v>116</v>
      </c>
      <c r="AB386" s="81" t="s">
        <v>117</v>
      </c>
      <c r="AC386" s="166">
        <v>0</v>
      </c>
      <c r="AG386" s="81" t="s">
        <v>238</v>
      </c>
      <c r="AH386" s="81" t="s">
        <v>118</v>
      </c>
      <c r="AI386" s="81" t="s">
        <v>2693</v>
      </c>
      <c r="AK386" s="166">
        <v>0</v>
      </c>
      <c r="AM386" s="166">
        <v>0</v>
      </c>
      <c r="AO386" s="166">
        <v>0</v>
      </c>
      <c r="AP386" s="166">
        <v>10</v>
      </c>
      <c r="AQ386" s="166">
        <v>6</v>
      </c>
      <c r="AR386" s="166">
        <v>0</v>
      </c>
      <c r="AS386" s="166">
        <v>0</v>
      </c>
      <c r="AT386" s="166">
        <v>0</v>
      </c>
      <c r="AU386" s="166">
        <v>0</v>
      </c>
      <c r="AV386" s="166">
        <v>0</v>
      </c>
      <c r="AW386" s="166">
        <v>10</v>
      </c>
      <c r="AX386" s="166">
        <v>6</v>
      </c>
      <c r="AY386" s="166">
        <v>0</v>
      </c>
      <c r="AZ386" s="166">
        <v>0</v>
      </c>
      <c r="BA386" s="166">
        <v>0</v>
      </c>
      <c r="BB386" s="166">
        <v>0</v>
      </c>
      <c r="BC386" s="166">
        <v>0</v>
      </c>
      <c r="BD386" s="166">
        <v>0</v>
      </c>
      <c r="BE386" s="166">
        <v>0</v>
      </c>
      <c r="BF386" s="166">
        <v>0</v>
      </c>
      <c r="BG386" s="166">
        <v>0</v>
      </c>
      <c r="BH386" s="166">
        <v>0</v>
      </c>
      <c r="BI386" s="166">
        <v>0</v>
      </c>
      <c r="BJ386" s="166">
        <v>0</v>
      </c>
      <c r="BK386" s="166">
        <v>0</v>
      </c>
      <c r="BL386" s="166">
        <v>0</v>
      </c>
      <c r="BM386" s="166">
        <v>0</v>
      </c>
      <c r="BN386" s="166">
        <v>0</v>
      </c>
      <c r="BO386" s="166">
        <v>0</v>
      </c>
      <c r="BP386" s="166">
        <v>0</v>
      </c>
      <c r="BQ386" s="81" t="s">
        <v>1758</v>
      </c>
      <c r="BR386" s="81" t="s">
        <v>202</v>
      </c>
      <c r="BT386" s="81" t="s">
        <v>155</v>
      </c>
      <c r="BZ386" s="81" t="s">
        <v>155</v>
      </c>
      <c r="CA386" s="81" t="s">
        <v>3934</v>
      </c>
      <c r="CC386" s="167">
        <v>0</v>
      </c>
      <c r="CD386" s="167">
        <f>$N386/10</f>
        <v>1.6</v>
      </c>
      <c r="CE386" s="167">
        <f>$N386/10</f>
        <v>1.6</v>
      </c>
      <c r="CF386" s="167">
        <f>$N386/10</f>
        <v>1.6</v>
      </c>
      <c r="CG386" s="167">
        <f>$N386/10</f>
        <v>1.6</v>
      </c>
      <c r="CH386" s="167">
        <f>$N386/10</f>
        <v>1.6</v>
      </c>
      <c r="CI386" s="167">
        <f>$N386/10</f>
        <v>1.6</v>
      </c>
      <c r="CJ386" s="167">
        <f>$N386/10</f>
        <v>1.6</v>
      </c>
      <c r="CK386" s="167">
        <f>$N386/10</f>
        <v>1.6</v>
      </c>
      <c r="CL386" s="167">
        <f>$N386/10</f>
        <v>1.6</v>
      </c>
      <c r="CM386" s="167">
        <f>$N386/10</f>
        <v>1.6</v>
      </c>
      <c r="CN386" s="167">
        <v>0</v>
      </c>
      <c r="CO386" s="167">
        <v>0</v>
      </c>
      <c r="CP386" s="167">
        <v>0</v>
      </c>
      <c r="CQ386" s="167">
        <v>0</v>
      </c>
      <c r="CR386" s="167">
        <v>0</v>
      </c>
      <c r="CS386" s="167">
        <v>0</v>
      </c>
      <c r="CT386" s="167">
        <v>0</v>
      </c>
      <c r="CU386" s="167">
        <v>0</v>
      </c>
      <c r="CV386" s="167">
        <v>0</v>
      </c>
      <c r="CW386" s="167">
        <v>0</v>
      </c>
      <c r="CX386" s="167">
        <f>SUM(CD386:CH386)</f>
        <v>8</v>
      </c>
      <c r="CY386" s="167">
        <f>SUM(CD386:CM386)</f>
        <v>15.999999999999998</v>
      </c>
    </row>
    <row r="387" spans="1:103" x14ac:dyDescent="0.2">
      <c r="A387" s="81">
        <v>3518</v>
      </c>
      <c r="B387" s="165" t="s">
        <v>1908</v>
      </c>
      <c r="C387" s="165" t="s">
        <v>68</v>
      </c>
      <c r="D387" s="165" t="s">
        <v>507</v>
      </c>
      <c r="E387" s="165" t="s">
        <v>2692</v>
      </c>
      <c r="F387" s="165" t="s">
        <v>854</v>
      </c>
      <c r="G387" s="81">
        <v>525666</v>
      </c>
      <c r="H387" s="81">
        <v>174804</v>
      </c>
      <c r="I387" s="165" t="s">
        <v>251</v>
      </c>
      <c r="J387" s="349">
        <v>42095</v>
      </c>
      <c r="L387" s="166">
        <v>0</v>
      </c>
      <c r="M387" s="166">
        <v>23</v>
      </c>
      <c r="N387" s="166">
        <v>23</v>
      </c>
      <c r="O387" s="166">
        <v>663</v>
      </c>
      <c r="P387" s="166">
        <v>662</v>
      </c>
      <c r="Q387" s="81" t="s">
        <v>155</v>
      </c>
      <c r="R387" s="165" t="s">
        <v>741</v>
      </c>
      <c r="S387" s="81" t="s">
        <v>24</v>
      </c>
      <c r="T387" s="349">
        <v>41234</v>
      </c>
      <c r="U387" s="349">
        <v>41614</v>
      </c>
      <c r="W387" s="81" t="s">
        <v>114</v>
      </c>
      <c r="Y387" s="81" t="s">
        <v>115</v>
      </c>
      <c r="Z387" s="81" t="s">
        <v>116</v>
      </c>
      <c r="AA387" s="81" t="s">
        <v>116</v>
      </c>
      <c r="AB387" s="81" t="s">
        <v>117</v>
      </c>
      <c r="AC387" s="166">
        <v>0</v>
      </c>
      <c r="AG387" s="81" t="s">
        <v>238</v>
      </c>
      <c r="AH387" s="81" t="s">
        <v>118</v>
      </c>
      <c r="AI387" s="81" t="s">
        <v>2693</v>
      </c>
      <c r="AK387" s="166">
        <v>0</v>
      </c>
      <c r="AM387" s="166">
        <v>1</v>
      </c>
      <c r="AO387" s="166">
        <v>0</v>
      </c>
      <c r="AP387" s="166">
        <v>10</v>
      </c>
      <c r="AQ387" s="166">
        <v>7</v>
      </c>
      <c r="AR387" s="166">
        <v>4</v>
      </c>
      <c r="AS387" s="166">
        <v>2</v>
      </c>
      <c r="AT387" s="166">
        <v>0</v>
      </c>
      <c r="AU387" s="166">
        <v>0</v>
      </c>
      <c r="AV387" s="166">
        <v>0</v>
      </c>
      <c r="AW387" s="166">
        <v>10</v>
      </c>
      <c r="AX387" s="166">
        <v>7</v>
      </c>
      <c r="AY387" s="166">
        <v>4</v>
      </c>
      <c r="AZ387" s="166">
        <v>2</v>
      </c>
      <c r="BA387" s="166">
        <v>0</v>
      </c>
      <c r="BB387" s="166">
        <v>0</v>
      </c>
      <c r="BC387" s="166">
        <v>0</v>
      </c>
      <c r="BD387" s="166">
        <v>0</v>
      </c>
      <c r="BE387" s="166">
        <v>0</v>
      </c>
      <c r="BF387" s="166">
        <v>0</v>
      </c>
      <c r="BG387" s="166">
        <v>0</v>
      </c>
      <c r="BH387" s="166">
        <v>0</v>
      </c>
      <c r="BI387" s="166">
        <v>0</v>
      </c>
      <c r="BJ387" s="166">
        <v>0</v>
      </c>
      <c r="BK387" s="166">
        <v>0</v>
      </c>
      <c r="BL387" s="166">
        <v>0</v>
      </c>
      <c r="BM387" s="166">
        <v>0</v>
      </c>
      <c r="BN387" s="166">
        <v>0</v>
      </c>
      <c r="BO387" s="166">
        <v>0</v>
      </c>
      <c r="BP387" s="166">
        <v>0</v>
      </c>
      <c r="BQ387" s="81" t="s">
        <v>1758</v>
      </c>
      <c r="BR387" s="81" t="s">
        <v>202</v>
      </c>
      <c r="BT387" s="81" t="s">
        <v>155</v>
      </c>
      <c r="BZ387" s="81" t="s">
        <v>155</v>
      </c>
      <c r="CA387" s="81" t="s">
        <v>3934</v>
      </c>
      <c r="CC387" s="167">
        <v>0</v>
      </c>
      <c r="CD387" s="167">
        <f>$N387/10</f>
        <v>2.2999999999999998</v>
      </c>
      <c r="CE387" s="167">
        <f>$N387/10</f>
        <v>2.2999999999999998</v>
      </c>
      <c r="CF387" s="167">
        <f>$N387/10</f>
        <v>2.2999999999999998</v>
      </c>
      <c r="CG387" s="167">
        <f>$N387/10</f>
        <v>2.2999999999999998</v>
      </c>
      <c r="CH387" s="167">
        <f>$N387/10</f>
        <v>2.2999999999999998</v>
      </c>
      <c r="CI387" s="167">
        <f>$N387/10</f>
        <v>2.2999999999999998</v>
      </c>
      <c r="CJ387" s="167">
        <f>$N387/10</f>
        <v>2.2999999999999998</v>
      </c>
      <c r="CK387" s="167">
        <f>$N387/10</f>
        <v>2.2999999999999998</v>
      </c>
      <c r="CL387" s="167">
        <f>$N387/10</f>
        <v>2.2999999999999998</v>
      </c>
      <c r="CM387" s="167">
        <f>$N387/10</f>
        <v>2.2999999999999998</v>
      </c>
      <c r="CN387" s="167">
        <v>0</v>
      </c>
      <c r="CO387" s="167">
        <v>0</v>
      </c>
      <c r="CP387" s="167">
        <v>0</v>
      </c>
      <c r="CQ387" s="167">
        <v>0</v>
      </c>
      <c r="CR387" s="167">
        <v>0</v>
      </c>
      <c r="CS387" s="167">
        <v>0</v>
      </c>
      <c r="CT387" s="167">
        <v>0</v>
      </c>
      <c r="CU387" s="167">
        <v>0</v>
      </c>
      <c r="CV387" s="167">
        <v>0</v>
      </c>
      <c r="CW387" s="167">
        <v>0</v>
      </c>
      <c r="CX387" s="167">
        <f>SUM(CD387:CH387)</f>
        <v>11.5</v>
      </c>
      <c r="CY387" s="167">
        <f>SUM(CD387:CM387)</f>
        <v>23.000000000000004</v>
      </c>
    </row>
    <row r="388" spans="1:103" x14ac:dyDescent="0.2">
      <c r="A388" s="81">
        <v>3518</v>
      </c>
      <c r="B388" s="165" t="s">
        <v>1908</v>
      </c>
      <c r="C388" s="165" t="s">
        <v>68</v>
      </c>
      <c r="D388" s="165" t="s">
        <v>507</v>
      </c>
      <c r="E388" s="165" t="s">
        <v>2692</v>
      </c>
      <c r="F388" s="165" t="s">
        <v>855</v>
      </c>
      <c r="G388" s="81">
        <v>525666</v>
      </c>
      <c r="H388" s="81">
        <v>174804</v>
      </c>
      <c r="I388" s="165" t="s">
        <v>251</v>
      </c>
      <c r="J388" s="349">
        <v>42095</v>
      </c>
      <c r="L388" s="166">
        <v>0</v>
      </c>
      <c r="M388" s="166">
        <v>24</v>
      </c>
      <c r="N388" s="166">
        <v>24</v>
      </c>
      <c r="O388" s="166">
        <v>663</v>
      </c>
      <c r="P388" s="166">
        <v>662</v>
      </c>
      <c r="Q388" s="81" t="s">
        <v>155</v>
      </c>
      <c r="R388" s="165" t="s">
        <v>741</v>
      </c>
      <c r="S388" s="81" t="s">
        <v>24</v>
      </c>
      <c r="T388" s="349">
        <v>41234</v>
      </c>
      <c r="U388" s="349">
        <v>41614</v>
      </c>
      <c r="W388" s="81" t="s">
        <v>114</v>
      </c>
      <c r="Y388" s="81" t="s">
        <v>115</v>
      </c>
      <c r="Z388" s="81" t="s">
        <v>116</v>
      </c>
      <c r="AA388" s="81" t="s">
        <v>116</v>
      </c>
      <c r="AB388" s="81" t="s">
        <v>117</v>
      </c>
      <c r="AC388" s="166">
        <v>0</v>
      </c>
      <c r="AG388" s="81" t="s">
        <v>238</v>
      </c>
      <c r="AH388" s="81" t="s">
        <v>118</v>
      </c>
      <c r="AI388" s="81" t="s">
        <v>2693</v>
      </c>
      <c r="AK388" s="166">
        <v>0</v>
      </c>
      <c r="AM388" s="166">
        <v>5</v>
      </c>
      <c r="AO388" s="166">
        <v>0</v>
      </c>
      <c r="AP388" s="166">
        <v>1</v>
      </c>
      <c r="AQ388" s="166">
        <v>19</v>
      </c>
      <c r="AR388" s="166">
        <v>4</v>
      </c>
      <c r="AS388" s="166">
        <v>0</v>
      </c>
      <c r="AT388" s="166">
        <v>0</v>
      </c>
      <c r="AU388" s="166">
        <v>0</v>
      </c>
      <c r="AV388" s="166">
        <v>0</v>
      </c>
      <c r="AW388" s="166">
        <v>1</v>
      </c>
      <c r="AX388" s="166">
        <v>19</v>
      </c>
      <c r="AY388" s="166">
        <v>4</v>
      </c>
      <c r="AZ388" s="166">
        <v>0</v>
      </c>
      <c r="BA388" s="166">
        <v>0</v>
      </c>
      <c r="BB388" s="166">
        <v>0</v>
      </c>
      <c r="BC388" s="166">
        <v>0</v>
      </c>
      <c r="BD388" s="166">
        <v>0</v>
      </c>
      <c r="BE388" s="166">
        <v>0</v>
      </c>
      <c r="BF388" s="166">
        <v>0</v>
      </c>
      <c r="BG388" s="166">
        <v>0</v>
      </c>
      <c r="BH388" s="166">
        <v>0</v>
      </c>
      <c r="BI388" s="166">
        <v>0</v>
      </c>
      <c r="BJ388" s="166">
        <v>0</v>
      </c>
      <c r="BK388" s="166">
        <v>0</v>
      </c>
      <c r="BL388" s="166">
        <v>0</v>
      </c>
      <c r="BM388" s="166">
        <v>0</v>
      </c>
      <c r="BN388" s="166">
        <v>0</v>
      </c>
      <c r="BO388" s="166">
        <v>0</v>
      </c>
      <c r="BP388" s="166">
        <v>0</v>
      </c>
      <c r="BQ388" s="81" t="s">
        <v>1758</v>
      </c>
      <c r="BR388" s="81" t="s">
        <v>202</v>
      </c>
      <c r="BT388" s="81" t="s">
        <v>155</v>
      </c>
      <c r="BZ388" s="81" t="s">
        <v>155</v>
      </c>
      <c r="CA388" s="81" t="s">
        <v>3934</v>
      </c>
      <c r="CC388" s="167">
        <v>0</v>
      </c>
      <c r="CD388" s="167">
        <f>$N388/10</f>
        <v>2.4</v>
      </c>
      <c r="CE388" s="167">
        <f>$N388/10</f>
        <v>2.4</v>
      </c>
      <c r="CF388" s="167">
        <f>$N388/10</f>
        <v>2.4</v>
      </c>
      <c r="CG388" s="167">
        <f>$N388/10</f>
        <v>2.4</v>
      </c>
      <c r="CH388" s="167">
        <f>$N388/10</f>
        <v>2.4</v>
      </c>
      <c r="CI388" s="167">
        <f>$N388/10</f>
        <v>2.4</v>
      </c>
      <c r="CJ388" s="167">
        <f>$N388/10</f>
        <v>2.4</v>
      </c>
      <c r="CK388" s="167">
        <f>$N388/10</f>
        <v>2.4</v>
      </c>
      <c r="CL388" s="167">
        <f>$N388/10</f>
        <v>2.4</v>
      </c>
      <c r="CM388" s="167">
        <f>$N388/10</f>
        <v>2.4</v>
      </c>
      <c r="CN388" s="167">
        <v>0</v>
      </c>
      <c r="CO388" s="167">
        <v>0</v>
      </c>
      <c r="CP388" s="167">
        <v>0</v>
      </c>
      <c r="CQ388" s="167">
        <v>0</v>
      </c>
      <c r="CR388" s="167">
        <v>0</v>
      </c>
      <c r="CS388" s="167">
        <v>0</v>
      </c>
      <c r="CT388" s="167">
        <v>0</v>
      </c>
      <c r="CU388" s="167">
        <v>0</v>
      </c>
      <c r="CV388" s="167">
        <v>0</v>
      </c>
      <c r="CW388" s="167">
        <v>0</v>
      </c>
      <c r="CX388" s="167">
        <f>SUM(CD388:CH388)</f>
        <v>12</v>
      </c>
      <c r="CY388" s="167">
        <f>SUM(CD388:CM388)</f>
        <v>23.999999999999996</v>
      </c>
    </row>
    <row r="389" spans="1:103" x14ac:dyDescent="0.2">
      <c r="A389" s="81">
        <v>3518</v>
      </c>
      <c r="B389" s="165" t="s">
        <v>1908</v>
      </c>
      <c r="C389" s="165" t="s">
        <v>68</v>
      </c>
      <c r="D389" s="165" t="s">
        <v>507</v>
      </c>
      <c r="E389" s="165" t="s">
        <v>2692</v>
      </c>
      <c r="F389" s="165" t="s">
        <v>856</v>
      </c>
      <c r="G389" s="81">
        <v>525666</v>
      </c>
      <c r="H389" s="81">
        <v>174804</v>
      </c>
      <c r="I389" s="165" t="s">
        <v>251</v>
      </c>
      <c r="J389" s="349">
        <v>42095</v>
      </c>
      <c r="L389" s="166">
        <v>0</v>
      </c>
      <c r="M389" s="166">
        <v>166</v>
      </c>
      <c r="N389" s="166">
        <v>166</v>
      </c>
      <c r="O389" s="166">
        <v>663</v>
      </c>
      <c r="P389" s="166">
        <v>662</v>
      </c>
      <c r="Q389" s="81" t="s">
        <v>155</v>
      </c>
      <c r="R389" s="165" t="s">
        <v>741</v>
      </c>
      <c r="S389" s="81" t="s">
        <v>24</v>
      </c>
      <c r="T389" s="349">
        <v>41234</v>
      </c>
      <c r="U389" s="349">
        <v>41614</v>
      </c>
      <c r="W389" s="81" t="s">
        <v>114</v>
      </c>
      <c r="Y389" s="81" t="s">
        <v>115</v>
      </c>
      <c r="Z389" s="81" t="s">
        <v>116</v>
      </c>
      <c r="AA389" s="81" t="s">
        <v>116</v>
      </c>
      <c r="AB389" s="81" t="s">
        <v>117</v>
      </c>
      <c r="AC389" s="166">
        <v>0</v>
      </c>
      <c r="AG389" s="81" t="s">
        <v>238</v>
      </c>
      <c r="AH389" s="81" t="s">
        <v>118</v>
      </c>
      <c r="AI389" s="81" t="s">
        <v>2693</v>
      </c>
      <c r="AK389" s="166">
        <v>0</v>
      </c>
      <c r="AM389" s="166">
        <v>10</v>
      </c>
      <c r="AO389" s="166">
        <v>23</v>
      </c>
      <c r="AP389" s="166">
        <v>23</v>
      </c>
      <c r="AQ389" s="166">
        <v>70</v>
      </c>
      <c r="AR389" s="166">
        <v>44</v>
      </c>
      <c r="AS389" s="166">
        <v>6</v>
      </c>
      <c r="AT389" s="166">
        <v>0</v>
      </c>
      <c r="AU389" s="166">
        <v>0</v>
      </c>
      <c r="AV389" s="166">
        <v>23</v>
      </c>
      <c r="AW389" s="166">
        <v>23</v>
      </c>
      <c r="AX389" s="166">
        <v>70</v>
      </c>
      <c r="AY389" s="166">
        <v>44</v>
      </c>
      <c r="AZ389" s="166">
        <v>6</v>
      </c>
      <c r="BA389" s="166">
        <v>0</v>
      </c>
      <c r="BB389" s="166">
        <v>0</v>
      </c>
      <c r="BC389" s="166">
        <v>0</v>
      </c>
      <c r="BD389" s="166">
        <v>0</v>
      </c>
      <c r="BE389" s="166">
        <v>0</v>
      </c>
      <c r="BF389" s="166">
        <v>0</v>
      </c>
      <c r="BG389" s="166">
        <v>0</v>
      </c>
      <c r="BH389" s="166">
        <v>0</v>
      </c>
      <c r="BI389" s="166">
        <v>0</v>
      </c>
      <c r="BJ389" s="166">
        <v>0</v>
      </c>
      <c r="BK389" s="166">
        <v>0</v>
      </c>
      <c r="BL389" s="166">
        <v>0</v>
      </c>
      <c r="BM389" s="166">
        <v>0</v>
      </c>
      <c r="BN389" s="166">
        <v>0</v>
      </c>
      <c r="BO389" s="166">
        <v>0</v>
      </c>
      <c r="BP389" s="166">
        <v>0</v>
      </c>
      <c r="BQ389" s="81" t="s">
        <v>1758</v>
      </c>
      <c r="BR389" s="81" t="s">
        <v>202</v>
      </c>
      <c r="BT389" s="81" t="s">
        <v>155</v>
      </c>
      <c r="BZ389" s="81" t="s">
        <v>155</v>
      </c>
      <c r="CA389" s="81" t="s">
        <v>3934</v>
      </c>
      <c r="CC389" s="167">
        <v>0</v>
      </c>
      <c r="CD389" s="167">
        <f>$N389/10</f>
        <v>16.600000000000001</v>
      </c>
      <c r="CE389" s="167">
        <f>$N389/10</f>
        <v>16.600000000000001</v>
      </c>
      <c r="CF389" s="167">
        <f>$N389/10</f>
        <v>16.600000000000001</v>
      </c>
      <c r="CG389" s="167">
        <f>$N389/10</f>
        <v>16.600000000000001</v>
      </c>
      <c r="CH389" s="167">
        <f>$N389/10</f>
        <v>16.600000000000001</v>
      </c>
      <c r="CI389" s="167">
        <f>$N389/10</f>
        <v>16.600000000000001</v>
      </c>
      <c r="CJ389" s="167">
        <f>$N389/10</f>
        <v>16.600000000000001</v>
      </c>
      <c r="CK389" s="167">
        <f>$N389/10</f>
        <v>16.600000000000001</v>
      </c>
      <c r="CL389" s="167">
        <f>$N389/10</f>
        <v>16.600000000000001</v>
      </c>
      <c r="CM389" s="167">
        <f>$N389/10</f>
        <v>16.600000000000001</v>
      </c>
      <c r="CN389" s="167">
        <v>0</v>
      </c>
      <c r="CO389" s="167">
        <v>0</v>
      </c>
      <c r="CP389" s="167">
        <v>0</v>
      </c>
      <c r="CQ389" s="167">
        <v>0</v>
      </c>
      <c r="CR389" s="167">
        <v>0</v>
      </c>
      <c r="CS389" s="167">
        <v>0</v>
      </c>
      <c r="CT389" s="167">
        <v>0</v>
      </c>
      <c r="CU389" s="167">
        <v>0</v>
      </c>
      <c r="CV389" s="167">
        <v>0</v>
      </c>
      <c r="CW389" s="167">
        <v>0</v>
      </c>
      <c r="CX389" s="167">
        <f>SUM(CD389:CH389)</f>
        <v>83</v>
      </c>
      <c r="CY389" s="167">
        <f>SUM(CD389:CM389)</f>
        <v>165.99999999999997</v>
      </c>
    </row>
    <row r="390" spans="1:103" x14ac:dyDescent="0.2">
      <c r="A390" s="81">
        <v>3518</v>
      </c>
      <c r="B390" s="165" t="s">
        <v>1908</v>
      </c>
      <c r="C390" s="165" t="s">
        <v>68</v>
      </c>
      <c r="D390" s="165" t="s">
        <v>507</v>
      </c>
      <c r="E390" s="165" t="s">
        <v>2692</v>
      </c>
      <c r="F390" s="165" t="s">
        <v>857</v>
      </c>
      <c r="G390" s="81">
        <v>525666</v>
      </c>
      <c r="H390" s="81">
        <v>174804</v>
      </c>
      <c r="I390" s="165" t="s">
        <v>251</v>
      </c>
      <c r="J390" s="349">
        <v>42095</v>
      </c>
      <c r="L390" s="166">
        <v>0</v>
      </c>
      <c r="M390" s="166">
        <v>30</v>
      </c>
      <c r="N390" s="166">
        <v>30</v>
      </c>
      <c r="O390" s="166">
        <v>663</v>
      </c>
      <c r="P390" s="166">
        <v>662</v>
      </c>
      <c r="Q390" s="81" t="s">
        <v>155</v>
      </c>
      <c r="R390" s="165" t="s">
        <v>741</v>
      </c>
      <c r="S390" s="81" t="s">
        <v>24</v>
      </c>
      <c r="T390" s="349">
        <v>41234</v>
      </c>
      <c r="U390" s="349">
        <v>41614</v>
      </c>
      <c r="W390" s="81" t="s">
        <v>114</v>
      </c>
      <c r="Y390" s="81" t="s">
        <v>115</v>
      </c>
      <c r="Z390" s="81" t="s">
        <v>116</v>
      </c>
      <c r="AA390" s="81" t="s">
        <v>116</v>
      </c>
      <c r="AB390" s="81" t="s">
        <v>117</v>
      </c>
      <c r="AC390" s="166">
        <v>0</v>
      </c>
      <c r="AG390" s="81" t="s">
        <v>238</v>
      </c>
      <c r="AH390" s="81" t="s">
        <v>118</v>
      </c>
      <c r="AI390" s="81" t="s">
        <v>2693</v>
      </c>
      <c r="AK390" s="166">
        <v>0</v>
      </c>
      <c r="AM390" s="166">
        <v>5</v>
      </c>
      <c r="AO390" s="166">
        <v>0</v>
      </c>
      <c r="AP390" s="166">
        <v>15</v>
      </c>
      <c r="AQ390" s="166">
        <v>5</v>
      </c>
      <c r="AR390" s="166">
        <v>10</v>
      </c>
      <c r="AS390" s="166">
        <v>0</v>
      </c>
      <c r="AT390" s="166">
        <v>0</v>
      </c>
      <c r="AU390" s="166">
        <v>0</v>
      </c>
      <c r="AV390" s="166">
        <v>0</v>
      </c>
      <c r="AW390" s="166">
        <v>15</v>
      </c>
      <c r="AX390" s="166">
        <v>5</v>
      </c>
      <c r="AY390" s="166">
        <v>10</v>
      </c>
      <c r="AZ390" s="166">
        <v>0</v>
      </c>
      <c r="BA390" s="166">
        <v>0</v>
      </c>
      <c r="BB390" s="166">
        <v>0</v>
      </c>
      <c r="BC390" s="166">
        <v>0</v>
      </c>
      <c r="BD390" s="166">
        <v>0</v>
      </c>
      <c r="BE390" s="166">
        <v>0</v>
      </c>
      <c r="BF390" s="166">
        <v>0</v>
      </c>
      <c r="BG390" s="166">
        <v>0</v>
      </c>
      <c r="BH390" s="166">
        <v>0</v>
      </c>
      <c r="BI390" s="166">
        <v>0</v>
      </c>
      <c r="BJ390" s="166">
        <v>0</v>
      </c>
      <c r="BK390" s="166">
        <v>0</v>
      </c>
      <c r="BL390" s="166">
        <v>0</v>
      </c>
      <c r="BM390" s="166">
        <v>0</v>
      </c>
      <c r="BN390" s="166">
        <v>0</v>
      </c>
      <c r="BO390" s="166">
        <v>0</v>
      </c>
      <c r="BP390" s="166">
        <v>0</v>
      </c>
      <c r="BQ390" s="81" t="s">
        <v>1758</v>
      </c>
      <c r="BR390" s="81" t="s">
        <v>202</v>
      </c>
      <c r="BT390" s="81" t="s">
        <v>155</v>
      </c>
      <c r="BZ390" s="81" t="s">
        <v>155</v>
      </c>
      <c r="CA390" s="81" t="s">
        <v>3934</v>
      </c>
      <c r="CC390" s="167">
        <v>0</v>
      </c>
      <c r="CD390" s="167">
        <f>$N390/10</f>
        <v>3</v>
      </c>
      <c r="CE390" s="167">
        <f>$N390/10</f>
        <v>3</v>
      </c>
      <c r="CF390" s="167">
        <f>$N390/10</f>
        <v>3</v>
      </c>
      <c r="CG390" s="167">
        <f>$N390/10</f>
        <v>3</v>
      </c>
      <c r="CH390" s="167">
        <f>$N390/10</f>
        <v>3</v>
      </c>
      <c r="CI390" s="167">
        <f>$N390/10</f>
        <v>3</v>
      </c>
      <c r="CJ390" s="167">
        <f>$N390/10</f>
        <v>3</v>
      </c>
      <c r="CK390" s="167">
        <f>$N390/10</f>
        <v>3</v>
      </c>
      <c r="CL390" s="167">
        <f>$N390/10</f>
        <v>3</v>
      </c>
      <c r="CM390" s="167">
        <f>$N390/10</f>
        <v>3</v>
      </c>
      <c r="CN390" s="167">
        <v>0</v>
      </c>
      <c r="CO390" s="167">
        <v>0</v>
      </c>
      <c r="CP390" s="167">
        <v>0</v>
      </c>
      <c r="CQ390" s="167">
        <v>0</v>
      </c>
      <c r="CR390" s="167">
        <v>0</v>
      </c>
      <c r="CS390" s="167">
        <v>0</v>
      </c>
      <c r="CT390" s="167">
        <v>0</v>
      </c>
      <c r="CU390" s="167">
        <v>0</v>
      </c>
      <c r="CV390" s="167">
        <v>0</v>
      </c>
      <c r="CW390" s="167">
        <v>0</v>
      </c>
      <c r="CX390" s="167">
        <f>SUM(CD390:CH390)</f>
        <v>15</v>
      </c>
      <c r="CY390" s="167">
        <f>SUM(CD390:CM390)</f>
        <v>30</v>
      </c>
    </row>
    <row r="391" spans="1:103" x14ac:dyDescent="0.2">
      <c r="A391" s="81">
        <v>3518</v>
      </c>
      <c r="B391" s="165" t="s">
        <v>1908</v>
      </c>
      <c r="C391" s="165" t="s">
        <v>68</v>
      </c>
      <c r="D391" s="165" t="s">
        <v>507</v>
      </c>
      <c r="E391" s="165" t="s">
        <v>2692</v>
      </c>
      <c r="F391" s="165" t="s">
        <v>858</v>
      </c>
      <c r="G391" s="81">
        <v>525666</v>
      </c>
      <c r="H391" s="81">
        <v>174804</v>
      </c>
      <c r="I391" s="165" t="s">
        <v>251</v>
      </c>
      <c r="J391" s="349">
        <v>42095</v>
      </c>
      <c r="L391" s="166">
        <v>0</v>
      </c>
      <c r="M391" s="166">
        <v>26</v>
      </c>
      <c r="N391" s="166">
        <v>26</v>
      </c>
      <c r="O391" s="166">
        <v>663</v>
      </c>
      <c r="P391" s="166">
        <v>662</v>
      </c>
      <c r="Q391" s="81" t="s">
        <v>155</v>
      </c>
      <c r="R391" s="165" t="s">
        <v>741</v>
      </c>
      <c r="S391" s="81" t="s">
        <v>24</v>
      </c>
      <c r="T391" s="349">
        <v>41234</v>
      </c>
      <c r="U391" s="349">
        <v>41614</v>
      </c>
      <c r="W391" s="81" t="s">
        <v>114</v>
      </c>
      <c r="Y391" s="81" t="s">
        <v>115</v>
      </c>
      <c r="Z391" s="81" t="s">
        <v>116</v>
      </c>
      <c r="AA391" s="81" t="s">
        <v>116</v>
      </c>
      <c r="AB391" s="81" t="s">
        <v>117</v>
      </c>
      <c r="AC391" s="166">
        <v>0</v>
      </c>
      <c r="AD391" s="349">
        <v>42095</v>
      </c>
      <c r="AG391" s="81" t="s">
        <v>238</v>
      </c>
      <c r="AH391" s="81" t="s">
        <v>118</v>
      </c>
      <c r="AI391" s="81" t="s">
        <v>2693</v>
      </c>
      <c r="AK391" s="166">
        <v>0</v>
      </c>
      <c r="AM391" s="166">
        <v>5</v>
      </c>
      <c r="AO391" s="166">
        <v>0</v>
      </c>
      <c r="AP391" s="166">
        <v>10</v>
      </c>
      <c r="AQ391" s="166">
        <v>10</v>
      </c>
      <c r="AR391" s="166">
        <v>2</v>
      </c>
      <c r="AS391" s="166">
        <v>4</v>
      </c>
      <c r="AT391" s="166">
        <v>0</v>
      </c>
      <c r="AU391" s="166">
        <v>0</v>
      </c>
      <c r="AV391" s="166">
        <v>0</v>
      </c>
      <c r="AW391" s="166">
        <v>10</v>
      </c>
      <c r="AX391" s="166">
        <v>10</v>
      </c>
      <c r="AY391" s="166">
        <v>2</v>
      </c>
      <c r="AZ391" s="166">
        <v>4</v>
      </c>
      <c r="BA391" s="166">
        <v>0</v>
      </c>
      <c r="BB391" s="166">
        <v>0</v>
      </c>
      <c r="BC391" s="166">
        <v>0</v>
      </c>
      <c r="BD391" s="166">
        <v>0</v>
      </c>
      <c r="BE391" s="166">
        <v>0</v>
      </c>
      <c r="BF391" s="166">
        <v>0</v>
      </c>
      <c r="BG391" s="166">
        <v>0</v>
      </c>
      <c r="BH391" s="166">
        <v>0</v>
      </c>
      <c r="BI391" s="166">
        <v>0</v>
      </c>
      <c r="BJ391" s="166">
        <v>0</v>
      </c>
      <c r="BK391" s="166">
        <v>0</v>
      </c>
      <c r="BL391" s="166">
        <v>0</v>
      </c>
      <c r="BM391" s="166">
        <v>0</v>
      </c>
      <c r="BN391" s="166">
        <v>0</v>
      </c>
      <c r="BO391" s="166">
        <v>0</v>
      </c>
      <c r="BP391" s="166">
        <v>0</v>
      </c>
      <c r="BQ391" s="81" t="s">
        <v>1758</v>
      </c>
      <c r="BR391" s="81" t="s">
        <v>202</v>
      </c>
      <c r="BT391" s="81" t="s">
        <v>155</v>
      </c>
      <c r="BZ391" s="81" t="s">
        <v>155</v>
      </c>
      <c r="CA391" s="81" t="s">
        <v>3934</v>
      </c>
      <c r="CC391" s="167">
        <v>0</v>
      </c>
      <c r="CD391" s="167">
        <f>N391</f>
        <v>26</v>
      </c>
      <c r="CE391" s="167">
        <v>0</v>
      </c>
      <c r="CF391" s="167">
        <v>0</v>
      </c>
      <c r="CG391" s="167">
        <v>0</v>
      </c>
      <c r="CH391" s="167">
        <v>0</v>
      </c>
      <c r="CI391" s="167">
        <v>0</v>
      </c>
      <c r="CJ391" s="167">
        <v>0</v>
      </c>
      <c r="CK391" s="167">
        <v>0</v>
      </c>
      <c r="CL391" s="167">
        <v>0</v>
      </c>
      <c r="CM391" s="167">
        <v>0</v>
      </c>
      <c r="CN391" s="167">
        <v>0</v>
      </c>
      <c r="CO391" s="167">
        <v>0</v>
      </c>
      <c r="CP391" s="167">
        <v>0</v>
      </c>
      <c r="CQ391" s="167">
        <v>0</v>
      </c>
      <c r="CR391" s="167">
        <v>0</v>
      </c>
      <c r="CS391" s="167">
        <v>0</v>
      </c>
      <c r="CT391" s="167">
        <v>0</v>
      </c>
      <c r="CU391" s="167">
        <v>0</v>
      </c>
      <c r="CV391" s="167">
        <v>0</v>
      </c>
      <c r="CW391" s="167">
        <v>0</v>
      </c>
      <c r="CX391" s="167">
        <f>SUM(CD391:CH391)</f>
        <v>26</v>
      </c>
      <c r="CY391" s="167">
        <f>SUM(CD391:CM391)</f>
        <v>26</v>
      </c>
    </row>
    <row r="392" spans="1:103" ht="12.75" customHeight="1" x14ac:dyDescent="0.2">
      <c r="A392" s="81">
        <v>3518</v>
      </c>
      <c r="B392" s="165" t="s">
        <v>1908</v>
      </c>
      <c r="C392" s="165" t="s">
        <v>68</v>
      </c>
      <c r="D392" s="165" t="s">
        <v>507</v>
      </c>
      <c r="E392" s="165" t="s">
        <v>2692</v>
      </c>
      <c r="F392" s="165" t="s">
        <v>860</v>
      </c>
      <c r="G392" s="81">
        <v>525666</v>
      </c>
      <c r="H392" s="81">
        <v>174804</v>
      </c>
      <c r="I392" s="165" t="s">
        <v>251</v>
      </c>
      <c r="J392" s="349">
        <v>42095</v>
      </c>
      <c r="L392" s="166">
        <v>0</v>
      </c>
      <c r="M392" s="166">
        <v>30</v>
      </c>
      <c r="N392" s="166">
        <v>30</v>
      </c>
      <c r="O392" s="166">
        <v>663</v>
      </c>
      <c r="P392" s="166">
        <v>662</v>
      </c>
      <c r="Q392" s="81" t="s">
        <v>155</v>
      </c>
      <c r="R392" s="165" t="s">
        <v>741</v>
      </c>
      <c r="S392" s="81" t="s">
        <v>24</v>
      </c>
      <c r="T392" s="349">
        <v>41234</v>
      </c>
      <c r="U392" s="349">
        <v>41614</v>
      </c>
      <c r="W392" s="81" t="s">
        <v>114</v>
      </c>
      <c r="Y392" s="81" t="s">
        <v>115</v>
      </c>
      <c r="Z392" s="81" t="s">
        <v>116</v>
      </c>
      <c r="AA392" s="81" t="s">
        <v>116</v>
      </c>
      <c r="AB392" s="81" t="s">
        <v>117</v>
      </c>
      <c r="AC392" s="166">
        <v>0</v>
      </c>
      <c r="AD392" s="349">
        <v>42095</v>
      </c>
      <c r="AG392" s="81" t="s">
        <v>238</v>
      </c>
      <c r="AH392" s="81" t="s">
        <v>118</v>
      </c>
      <c r="AI392" s="81" t="s">
        <v>2693</v>
      </c>
      <c r="AK392" s="166">
        <v>0</v>
      </c>
      <c r="AM392" s="166">
        <v>0</v>
      </c>
      <c r="AO392" s="166">
        <v>0</v>
      </c>
      <c r="AP392" s="166">
        <v>14</v>
      </c>
      <c r="AQ392" s="166">
        <v>0</v>
      </c>
      <c r="AR392" s="166">
        <v>15</v>
      </c>
      <c r="AS392" s="166">
        <v>1</v>
      </c>
      <c r="AT392" s="166">
        <v>0</v>
      </c>
      <c r="AU392" s="166">
        <v>0</v>
      </c>
      <c r="AV392" s="166">
        <v>0</v>
      </c>
      <c r="AW392" s="166">
        <v>14</v>
      </c>
      <c r="AX392" s="166">
        <v>0</v>
      </c>
      <c r="AY392" s="166">
        <v>15</v>
      </c>
      <c r="AZ392" s="166">
        <v>1</v>
      </c>
      <c r="BA392" s="166">
        <v>0</v>
      </c>
      <c r="BB392" s="166">
        <v>0</v>
      </c>
      <c r="BC392" s="166">
        <v>0</v>
      </c>
      <c r="BD392" s="166">
        <v>0</v>
      </c>
      <c r="BE392" s="166">
        <v>0</v>
      </c>
      <c r="BF392" s="166">
        <v>0</v>
      </c>
      <c r="BG392" s="166">
        <v>0</v>
      </c>
      <c r="BH392" s="166">
        <v>0</v>
      </c>
      <c r="BI392" s="166">
        <v>0</v>
      </c>
      <c r="BJ392" s="166">
        <v>0</v>
      </c>
      <c r="BK392" s="166">
        <v>0</v>
      </c>
      <c r="BL392" s="166">
        <v>0</v>
      </c>
      <c r="BM392" s="166">
        <v>0</v>
      </c>
      <c r="BN392" s="166">
        <v>0</v>
      </c>
      <c r="BO392" s="166">
        <v>0</v>
      </c>
      <c r="BP392" s="166">
        <v>0</v>
      </c>
      <c r="BQ392" s="81" t="s">
        <v>1758</v>
      </c>
      <c r="BR392" s="81" t="s">
        <v>202</v>
      </c>
      <c r="BT392" s="81" t="s">
        <v>155</v>
      </c>
      <c r="BZ392" s="81" t="s">
        <v>155</v>
      </c>
      <c r="CA392" s="81" t="s">
        <v>3934</v>
      </c>
      <c r="CC392" s="167">
        <v>0</v>
      </c>
      <c r="CD392" s="167">
        <f>N392</f>
        <v>30</v>
      </c>
      <c r="CE392" s="167">
        <v>0</v>
      </c>
      <c r="CF392" s="167">
        <v>0</v>
      </c>
      <c r="CG392" s="167">
        <v>0</v>
      </c>
      <c r="CH392" s="167">
        <v>0</v>
      </c>
      <c r="CI392" s="167">
        <v>0</v>
      </c>
      <c r="CJ392" s="167">
        <v>0</v>
      </c>
      <c r="CK392" s="167">
        <v>0</v>
      </c>
      <c r="CL392" s="167">
        <v>0</v>
      </c>
      <c r="CM392" s="167">
        <v>0</v>
      </c>
      <c r="CN392" s="167">
        <v>0</v>
      </c>
      <c r="CO392" s="167">
        <v>0</v>
      </c>
      <c r="CP392" s="167">
        <v>0</v>
      </c>
      <c r="CQ392" s="167">
        <v>0</v>
      </c>
      <c r="CR392" s="167">
        <v>0</v>
      </c>
      <c r="CS392" s="167">
        <v>0</v>
      </c>
      <c r="CT392" s="167">
        <v>0</v>
      </c>
      <c r="CU392" s="167">
        <v>0</v>
      </c>
      <c r="CV392" s="167">
        <v>0</v>
      </c>
      <c r="CW392" s="167">
        <v>0</v>
      </c>
      <c r="CX392" s="167">
        <f>SUM(CD392:CH392)</f>
        <v>30</v>
      </c>
      <c r="CY392" s="167">
        <f>SUM(CD392:CM392)</f>
        <v>30</v>
      </c>
    </row>
    <row r="393" spans="1:103" ht="12.75" customHeight="1" x14ac:dyDescent="0.2">
      <c r="A393" s="81">
        <v>3518</v>
      </c>
      <c r="B393" s="165" t="s">
        <v>1908</v>
      </c>
      <c r="C393" s="165" t="s">
        <v>68</v>
      </c>
      <c r="D393" s="165" t="s">
        <v>507</v>
      </c>
      <c r="E393" s="165" t="s">
        <v>2692</v>
      </c>
      <c r="F393" s="165" t="s">
        <v>861</v>
      </c>
      <c r="G393" s="81">
        <v>525666</v>
      </c>
      <c r="H393" s="81">
        <v>174804</v>
      </c>
      <c r="I393" s="165" t="s">
        <v>251</v>
      </c>
      <c r="J393" s="349">
        <v>42095</v>
      </c>
      <c r="L393" s="166">
        <v>0</v>
      </c>
      <c r="M393" s="166">
        <v>14</v>
      </c>
      <c r="N393" s="166">
        <v>14</v>
      </c>
      <c r="O393" s="166">
        <v>663</v>
      </c>
      <c r="P393" s="166">
        <v>662</v>
      </c>
      <c r="Q393" s="81" t="s">
        <v>155</v>
      </c>
      <c r="R393" s="165" t="s">
        <v>741</v>
      </c>
      <c r="S393" s="81" t="s">
        <v>24</v>
      </c>
      <c r="T393" s="349">
        <v>41234</v>
      </c>
      <c r="U393" s="349">
        <v>41614</v>
      </c>
      <c r="W393" s="81" t="s">
        <v>114</v>
      </c>
      <c r="Y393" s="81" t="s">
        <v>115</v>
      </c>
      <c r="Z393" s="81" t="s">
        <v>116</v>
      </c>
      <c r="AA393" s="81" t="s">
        <v>116</v>
      </c>
      <c r="AB393" s="81" t="s">
        <v>117</v>
      </c>
      <c r="AC393" s="166">
        <v>0</v>
      </c>
      <c r="AD393" s="349">
        <v>42095</v>
      </c>
      <c r="AG393" s="81" t="s">
        <v>238</v>
      </c>
      <c r="AH393" s="81" t="s">
        <v>118</v>
      </c>
      <c r="AI393" s="81" t="s">
        <v>2693</v>
      </c>
      <c r="AK393" s="166">
        <v>0</v>
      </c>
      <c r="AM393" s="166">
        <v>0</v>
      </c>
      <c r="AO393" s="166">
        <v>0</v>
      </c>
      <c r="AP393" s="166">
        <v>3</v>
      </c>
      <c r="AQ393" s="166">
        <v>10</v>
      </c>
      <c r="AR393" s="166">
        <v>0</v>
      </c>
      <c r="AS393" s="166">
        <v>1</v>
      </c>
      <c r="AT393" s="166">
        <v>0</v>
      </c>
      <c r="AU393" s="166">
        <v>0</v>
      </c>
      <c r="AV393" s="166">
        <v>0</v>
      </c>
      <c r="AW393" s="166">
        <v>3</v>
      </c>
      <c r="AX393" s="166">
        <v>10</v>
      </c>
      <c r="AY393" s="166">
        <v>0</v>
      </c>
      <c r="AZ393" s="166">
        <v>1</v>
      </c>
      <c r="BA393" s="166">
        <v>0</v>
      </c>
      <c r="BB393" s="166">
        <v>0</v>
      </c>
      <c r="BC393" s="166">
        <v>0</v>
      </c>
      <c r="BD393" s="166">
        <v>0</v>
      </c>
      <c r="BE393" s="166">
        <v>0</v>
      </c>
      <c r="BF393" s="166">
        <v>0</v>
      </c>
      <c r="BG393" s="166">
        <v>0</v>
      </c>
      <c r="BH393" s="166">
        <v>0</v>
      </c>
      <c r="BI393" s="166">
        <v>0</v>
      </c>
      <c r="BJ393" s="166">
        <v>0</v>
      </c>
      <c r="BK393" s="166">
        <v>0</v>
      </c>
      <c r="BL393" s="166">
        <v>0</v>
      </c>
      <c r="BM393" s="166">
        <v>0</v>
      </c>
      <c r="BN393" s="166">
        <v>0</v>
      </c>
      <c r="BO393" s="166">
        <v>0</v>
      </c>
      <c r="BP393" s="166">
        <v>0</v>
      </c>
      <c r="BQ393" s="81" t="s">
        <v>1758</v>
      </c>
      <c r="BR393" s="81" t="s">
        <v>202</v>
      </c>
      <c r="BT393" s="81" t="s">
        <v>155</v>
      </c>
      <c r="BZ393" s="81" t="s">
        <v>155</v>
      </c>
      <c r="CA393" s="81" t="s">
        <v>3934</v>
      </c>
      <c r="CC393" s="167">
        <v>0</v>
      </c>
      <c r="CD393" s="167">
        <f>N393</f>
        <v>14</v>
      </c>
      <c r="CE393" s="167">
        <v>0</v>
      </c>
      <c r="CF393" s="167">
        <v>0</v>
      </c>
      <c r="CG393" s="167">
        <v>0</v>
      </c>
      <c r="CH393" s="167">
        <v>0</v>
      </c>
      <c r="CI393" s="167">
        <v>0</v>
      </c>
      <c r="CJ393" s="167">
        <v>0</v>
      </c>
      <c r="CK393" s="167">
        <v>0</v>
      </c>
      <c r="CL393" s="167">
        <v>0</v>
      </c>
      <c r="CM393" s="167">
        <v>0</v>
      </c>
      <c r="CN393" s="167">
        <v>0</v>
      </c>
      <c r="CO393" s="167">
        <v>0</v>
      </c>
      <c r="CP393" s="167">
        <v>0</v>
      </c>
      <c r="CQ393" s="167">
        <v>0</v>
      </c>
      <c r="CR393" s="167">
        <v>0</v>
      </c>
      <c r="CS393" s="167">
        <v>0</v>
      </c>
      <c r="CT393" s="167">
        <v>0</v>
      </c>
      <c r="CU393" s="167">
        <v>0</v>
      </c>
      <c r="CV393" s="167">
        <v>0</v>
      </c>
      <c r="CW393" s="167">
        <v>0</v>
      </c>
      <c r="CX393" s="167">
        <f>SUM(CD393:CH393)</f>
        <v>14</v>
      </c>
      <c r="CY393" s="167">
        <f>SUM(CD393:CM393)</f>
        <v>14</v>
      </c>
    </row>
    <row r="394" spans="1:103" x14ac:dyDescent="0.2">
      <c r="A394" s="81">
        <v>3518</v>
      </c>
      <c r="B394" s="165" t="s">
        <v>1908</v>
      </c>
      <c r="C394" s="165" t="s">
        <v>1067</v>
      </c>
      <c r="D394" s="165" t="s">
        <v>507</v>
      </c>
      <c r="E394" s="165" t="s">
        <v>2692</v>
      </c>
      <c r="F394" s="165" t="s">
        <v>1068</v>
      </c>
      <c r="G394" s="81">
        <v>525666</v>
      </c>
      <c r="H394" s="81">
        <v>174804</v>
      </c>
      <c r="I394" s="165" t="s">
        <v>251</v>
      </c>
      <c r="J394" s="349">
        <v>42095</v>
      </c>
      <c r="L394" s="166">
        <v>0</v>
      </c>
      <c r="M394" s="166">
        <v>66</v>
      </c>
      <c r="N394" s="166">
        <v>66</v>
      </c>
      <c r="O394" s="166">
        <v>66</v>
      </c>
      <c r="P394" s="166">
        <v>66</v>
      </c>
      <c r="Q394" s="81" t="s">
        <v>155</v>
      </c>
      <c r="R394" s="165" t="s">
        <v>1069</v>
      </c>
      <c r="S394" s="81" t="s">
        <v>1916</v>
      </c>
      <c r="T394" s="349">
        <v>42671</v>
      </c>
      <c r="U394" s="349">
        <v>42706</v>
      </c>
      <c r="W394" s="81" t="s">
        <v>114</v>
      </c>
      <c r="Y394" s="81" t="s">
        <v>115</v>
      </c>
      <c r="Z394" s="81" t="s">
        <v>116</v>
      </c>
      <c r="AA394" s="81" t="s">
        <v>116</v>
      </c>
      <c r="AB394" s="81" t="s">
        <v>117</v>
      </c>
      <c r="AC394" s="166">
        <v>0</v>
      </c>
      <c r="AG394" s="81" t="s">
        <v>74</v>
      </c>
      <c r="AH394" s="81" t="s">
        <v>1913</v>
      </c>
      <c r="AI394" s="81" t="s">
        <v>2693</v>
      </c>
      <c r="AK394" s="166">
        <v>10</v>
      </c>
      <c r="AM394" s="166">
        <v>10</v>
      </c>
      <c r="AO394" s="166">
        <v>0</v>
      </c>
      <c r="AP394" s="166">
        <v>36</v>
      </c>
      <c r="AQ394" s="166">
        <v>24</v>
      </c>
      <c r="AR394" s="166">
        <v>6</v>
      </c>
      <c r="AS394" s="166">
        <v>0</v>
      </c>
      <c r="AT394" s="166">
        <v>0</v>
      </c>
      <c r="AU394" s="166">
        <v>0</v>
      </c>
      <c r="AV394" s="166">
        <v>0</v>
      </c>
      <c r="AW394" s="166">
        <v>36</v>
      </c>
      <c r="AX394" s="166">
        <v>24</v>
      </c>
      <c r="AY394" s="166">
        <v>6</v>
      </c>
      <c r="AZ394" s="166">
        <v>0</v>
      </c>
      <c r="BA394" s="166">
        <v>0</v>
      </c>
      <c r="BB394" s="166">
        <v>0</v>
      </c>
      <c r="BC394" s="166">
        <v>0</v>
      </c>
      <c r="BD394" s="166">
        <v>0</v>
      </c>
      <c r="BE394" s="166">
        <v>0</v>
      </c>
      <c r="BF394" s="166">
        <v>0</v>
      </c>
      <c r="BG394" s="166">
        <v>0</v>
      </c>
      <c r="BH394" s="166">
        <v>0</v>
      </c>
      <c r="BI394" s="166">
        <v>0</v>
      </c>
      <c r="BJ394" s="166">
        <v>0</v>
      </c>
      <c r="BK394" s="166">
        <v>0</v>
      </c>
      <c r="BL394" s="166">
        <v>0</v>
      </c>
      <c r="BM394" s="166">
        <v>0</v>
      </c>
      <c r="BN394" s="166">
        <v>0</v>
      </c>
      <c r="BO394" s="166">
        <v>0</v>
      </c>
      <c r="BP394" s="166">
        <v>0</v>
      </c>
      <c r="BQ394" s="81" t="s">
        <v>1758</v>
      </c>
      <c r="BR394" s="81" t="s">
        <v>202</v>
      </c>
      <c r="BT394" s="81" t="s">
        <v>155</v>
      </c>
      <c r="BZ394" s="81" t="s">
        <v>155</v>
      </c>
      <c r="CA394" s="81" t="s">
        <v>3934</v>
      </c>
      <c r="CC394" s="167">
        <v>0</v>
      </c>
      <c r="CD394" s="167">
        <f>$N394/10</f>
        <v>6.6</v>
      </c>
      <c r="CE394" s="167">
        <f>$N394/10</f>
        <v>6.6</v>
      </c>
      <c r="CF394" s="167">
        <f>$N394/10</f>
        <v>6.6</v>
      </c>
      <c r="CG394" s="167">
        <f>$N394/10</f>
        <v>6.6</v>
      </c>
      <c r="CH394" s="167">
        <f>$N394/10</f>
        <v>6.6</v>
      </c>
      <c r="CI394" s="167">
        <f>$N394/10</f>
        <v>6.6</v>
      </c>
      <c r="CJ394" s="167">
        <f>$N394/10</f>
        <v>6.6</v>
      </c>
      <c r="CK394" s="167">
        <f>$N394/10</f>
        <v>6.6</v>
      </c>
      <c r="CL394" s="167">
        <f>$N394/10</f>
        <v>6.6</v>
      </c>
      <c r="CM394" s="167">
        <f>$N394/10</f>
        <v>6.6</v>
      </c>
      <c r="CN394" s="167">
        <v>0</v>
      </c>
      <c r="CO394" s="167">
        <v>0</v>
      </c>
      <c r="CP394" s="167">
        <v>0</v>
      </c>
      <c r="CQ394" s="167">
        <v>0</v>
      </c>
      <c r="CR394" s="167">
        <v>0</v>
      </c>
      <c r="CS394" s="167">
        <v>0</v>
      </c>
      <c r="CT394" s="167">
        <v>0</v>
      </c>
      <c r="CU394" s="167">
        <v>0</v>
      </c>
      <c r="CV394" s="167">
        <v>0</v>
      </c>
      <c r="CW394" s="167">
        <v>0</v>
      </c>
      <c r="CX394" s="167">
        <f>SUM(CD394:CH394)</f>
        <v>33</v>
      </c>
      <c r="CY394" s="167">
        <f>SUM(CD394:CM394)</f>
        <v>66</v>
      </c>
    </row>
    <row r="395" spans="1:103" ht="12.75" customHeight="1" x14ac:dyDescent="0.2">
      <c r="A395" s="81">
        <v>3521</v>
      </c>
      <c r="B395" s="165" t="s">
        <v>1908</v>
      </c>
      <c r="C395" s="165" t="s">
        <v>103</v>
      </c>
      <c r="E395" s="165" t="s">
        <v>2826</v>
      </c>
      <c r="F395" s="165" t="s">
        <v>261</v>
      </c>
      <c r="G395" s="81">
        <v>527156</v>
      </c>
      <c r="H395" s="81">
        <v>175243</v>
      </c>
      <c r="I395" s="165" t="s">
        <v>255</v>
      </c>
      <c r="J395" s="349">
        <v>41304</v>
      </c>
      <c r="L395" s="166">
        <v>61</v>
      </c>
      <c r="M395" s="166">
        <v>0</v>
      </c>
      <c r="N395" s="166">
        <v>-61</v>
      </c>
      <c r="O395" s="166">
        <v>528</v>
      </c>
      <c r="P395" s="166">
        <v>175</v>
      </c>
      <c r="Q395" s="81" t="s">
        <v>155</v>
      </c>
      <c r="R395" s="165" t="s">
        <v>1084</v>
      </c>
      <c r="S395" s="81" t="s">
        <v>104</v>
      </c>
      <c r="T395" s="349">
        <v>41017</v>
      </c>
      <c r="U395" s="349">
        <v>41200</v>
      </c>
      <c r="W395" s="81" t="s">
        <v>114</v>
      </c>
      <c r="Y395" s="81" t="s">
        <v>115</v>
      </c>
      <c r="Z395" s="81" t="s">
        <v>116</v>
      </c>
      <c r="AA395" s="81" t="s">
        <v>116</v>
      </c>
      <c r="AB395" s="81" t="s">
        <v>117</v>
      </c>
      <c r="AC395" s="166">
        <v>0</v>
      </c>
      <c r="AG395" s="81" t="s">
        <v>238</v>
      </c>
      <c r="AH395" s="81" t="s">
        <v>118</v>
      </c>
      <c r="AI395" s="81" t="s">
        <v>2827</v>
      </c>
      <c r="AK395" s="166">
        <v>0</v>
      </c>
      <c r="AM395" s="166">
        <v>0</v>
      </c>
      <c r="AO395" s="166">
        <v>-1</v>
      </c>
      <c r="AP395" s="166">
        <v>-26</v>
      </c>
      <c r="AQ395" s="166">
        <v>-26</v>
      </c>
      <c r="AR395" s="166">
        <v>-7</v>
      </c>
      <c r="AS395" s="166">
        <v>-1</v>
      </c>
      <c r="AT395" s="166">
        <v>0</v>
      </c>
      <c r="AU395" s="166">
        <v>0</v>
      </c>
      <c r="AV395" s="166">
        <v>-1</v>
      </c>
      <c r="AW395" s="166">
        <v>-26</v>
      </c>
      <c r="AX395" s="166">
        <v>-26</v>
      </c>
      <c r="AY395" s="166">
        <v>-7</v>
      </c>
      <c r="AZ395" s="166">
        <v>-1</v>
      </c>
      <c r="BA395" s="166">
        <v>0</v>
      </c>
      <c r="BB395" s="166">
        <v>0</v>
      </c>
      <c r="BC395" s="166">
        <v>0</v>
      </c>
      <c r="BD395" s="166">
        <v>0</v>
      </c>
      <c r="BE395" s="166">
        <v>0</v>
      </c>
      <c r="BF395" s="166">
        <v>0</v>
      </c>
      <c r="BG395" s="166">
        <v>0</v>
      </c>
      <c r="BH395" s="166">
        <v>0</v>
      </c>
      <c r="BI395" s="166">
        <v>0</v>
      </c>
      <c r="BJ395" s="166">
        <v>0</v>
      </c>
      <c r="BK395" s="166">
        <v>0</v>
      </c>
      <c r="BL395" s="166">
        <v>0</v>
      </c>
      <c r="BM395" s="166">
        <v>0</v>
      </c>
      <c r="BN395" s="166">
        <v>0</v>
      </c>
      <c r="BO395" s="166">
        <v>0</v>
      </c>
      <c r="BP395" s="166">
        <v>0</v>
      </c>
      <c r="BQ395" s="81" t="s">
        <v>1757</v>
      </c>
      <c r="BU395" s="81" t="s">
        <v>155</v>
      </c>
      <c r="BZ395" s="81" t="s">
        <v>155</v>
      </c>
      <c r="CA395" s="81" t="s">
        <v>3934</v>
      </c>
      <c r="CC395" s="167">
        <v>0</v>
      </c>
      <c r="CD395" s="167">
        <v>0</v>
      </c>
      <c r="CE395" s="167">
        <f>$N395/3</f>
        <v>-20.333333333333332</v>
      </c>
      <c r="CF395" s="167">
        <f>$N395/3</f>
        <v>-20.333333333333332</v>
      </c>
      <c r="CG395" s="167">
        <f>$N395/3</f>
        <v>-20.333333333333332</v>
      </c>
      <c r="CH395" s="167">
        <v>0</v>
      </c>
      <c r="CI395" s="167">
        <v>0</v>
      </c>
      <c r="CJ395" s="167">
        <v>0</v>
      </c>
      <c r="CK395" s="167">
        <v>0</v>
      </c>
      <c r="CL395" s="167">
        <v>0</v>
      </c>
      <c r="CM395" s="167">
        <v>0</v>
      </c>
      <c r="CN395" s="167">
        <v>0</v>
      </c>
      <c r="CO395" s="167">
        <v>0</v>
      </c>
      <c r="CP395" s="167">
        <v>0</v>
      </c>
      <c r="CQ395" s="167">
        <v>0</v>
      </c>
      <c r="CR395" s="167">
        <v>0</v>
      </c>
      <c r="CS395" s="167">
        <v>0</v>
      </c>
      <c r="CT395" s="167">
        <v>0</v>
      </c>
      <c r="CU395" s="167">
        <v>0</v>
      </c>
      <c r="CV395" s="167">
        <v>0</v>
      </c>
      <c r="CW395" s="167">
        <v>0</v>
      </c>
      <c r="CX395" s="167">
        <f>SUM(CD395:CH395)</f>
        <v>-61</v>
      </c>
      <c r="CY395" s="167">
        <f>SUM(CD395:CM395)</f>
        <v>-61</v>
      </c>
    </row>
    <row r="396" spans="1:103" ht="12.75" customHeight="1" x14ac:dyDescent="0.2">
      <c r="A396" s="81">
        <v>3521</v>
      </c>
      <c r="B396" s="165" t="s">
        <v>1908</v>
      </c>
      <c r="C396" s="165" t="s">
        <v>103</v>
      </c>
      <c r="E396" s="165" t="s">
        <v>2826</v>
      </c>
      <c r="F396" s="165" t="s">
        <v>262</v>
      </c>
      <c r="G396" s="81">
        <v>527156</v>
      </c>
      <c r="H396" s="81">
        <v>175243</v>
      </c>
      <c r="I396" s="165" t="s">
        <v>255</v>
      </c>
      <c r="J396" s="349">
        <v>41304</v>
      </c>
      <c r="L396" s="166">
        <v>97</v>
      </c>
      <c r="M396" s="166">
        <v>0</v>
      </c>
      <c r="N396" s="166">
        <v>-97</v>
      </c>
      <c r="O396" s="166">
        <v>528</v>
      </c>
      <c r="P396" s="166">
        <v>175</v>
      </c>
      <c r="Q396" s="81" t="s">
        <v>155</v>
      </c>
      <c r="R396" s="165" t="s">
        <v>1084</v>
      </c>
      <c r="S396" s="81" t="s">
        <v>104</v>
      </c>
      <c r="T396" s="349">
        <v>41017</v>
      </c>
      <c r="U396" s="349">
        <v>41200</v>
      </c>
      <c r="W396" s="81" t="s">
        <v>114</v>
      </c>
      <c r="Y396" s="81" t="s">
        <v>115</v>
      </c>
      <c r="Z396" s="81" t="s">
        <v>116</v>
      </c>
      <c r="AA396" s="81" t="s">
        <v>116</v>
      </c>
      <c r="AB396" s="81" t="s">
        <v>117</v>
      </c>
      <c r="AC396" s="166">
        <v>0</v>
      </c>
      <c r="AG396" s="81" t="s">
        <v>154</v>
      </c>
      <c r="AH396" s="81" t="s">
        <v>312</v>
      </c>
      <c r="AI396" s="81" t="s">
        <v>2827</v>
      </c>
      <c r="AK396" s="166">
        <v>0</v>
      </c>
      <c r="AM396" s="166">
        <v>0</v>
      </c>
      <c r="AO396" s="166">
        <v>-2</v>
      </c>
      <c r="AP396" s="166">
        <v>-31</v>
      </c>
      <c r="AQ396" s="166">
        <v>-39</v>
      </c>
      <c r="AR396" s="166">
        <v>-25</v>
      </c>
      <c r="AS396" s="166">
        <v>0</v>
      </c>
      <c r="AT396" s="166">
        <v>0</v>
      </c>
      <c r="AU396" s="166">
        <v>0</v>
      </c>
      <c r="AV396" s="166">
        <v>-2</v>
      </c>
      <c r="AW396" s="166">
        <v>-31</v>
      </c>
      <c r="AX396" s="166">
        <v>-39</v>
      </c>
      <c r="AY396" s="166">
        <v>-25</v>
      </c>
      <c r="AZ396" s="166">
        <v>0</v>
      </c>
      <c r="BA396" s="166">
        <v>0</v>
      </c>
      <c r="BB396" s="166">
        <v>0</v>
      </c>
      <c r="BC396" s="166">
        <v>0</v>
      </c>
      <c r="BD396" s="166">
        <v>0</v>
      </c>
      <c r="BE396" s="166">
        <v>0</v>
      </c>
      <c r="BF396" s="166">
        <v>0</v>
      </c>
      <c r="BG396" s="166">
        <v>0</v>
      </c>
      <c r="BH396" s="166">
        <v>0</v>
      </c>
      <c r="BI396" s="166">
        <v>0</v>
      </c>
      <c r="BJ396" s="166">
        <v>0</v>
      </c>
      <c r="BK396" s="166">
        <v>0</v>
      </c>
      <c r="BL396" s="166">
        <v>0</v>
      </c>
      <c r="BM396" s="166">
        <v>0</v>
      </c>
      <c r="BN396" s="166">
        <v>0</v>
      </c>
      <c r="BO396" s="166">
        <v>0</v>
      </c>
      <c r="BP396" s="166">
        <v>0</v>
      </c>
      <c r="BQ396" s="81" t="s">
        <v>1757</v>
      </c>
      <c r="BU396" s="81" t="s">
        <v>155</v>
      </c>
      <c r="BZ396" s="81" t="s">
        <v>155</v>
      </c>
      <c r="CA396" s="81" t="s">
        <v>3934</v>
      </c>
      <c r="CC396" s="167">
        <v>0</v>
      </c>
      <c r="CD396" s="167">
        <v>0</v>
      </c>
      <c r="CE396" s="167">
        <f>$N396/3</f>
        <v>-32.333333333333336</v>
      </c>
      <c r="CF396" s="167">
        <f>$N396/3</f>
        <v>-32.333333333333336</v>
      </c>
      <c r="CG396" s="167">
        <f>$N396/3</f>
        <v>-32.333333333333336</v>
      </c>
      <c r="CH396" s="167">
        <v>0</v>
      </c>
      <c r="CI396" s="167">
        <v>0</v>
      </c>
      <c r="CJ396" s="167">
        <v>0</v>
      </c>
      <c r="CK396" s="167">
        <v>0</v>
      </c>
      <c r="CL396" s="167">
        <v>0</v>
      </c>
      <c r="CM396" s="167">
        <v>0</v>
      </c>
      <c r="CN396" s="167">
        <v>0</v>
      </c>
      <c r="CO396" s="167">
        <v>0</v>
      </c>
      <c r="CP396" s="167">
        <v>0</v>
      </c>
      <c r="CQ396" s="167">
        <v>0</v>
      </c>
      <c r="CR396" s="167">
        <v>0</v>
      </c>
      <c r="CS396" s="167">
        <v>0</v>
      </c>
      <c r="CT396" s="167">
        <v>0</v>
      </c>
      <c r="CU396" s="167">
        <v>0</v>
      </c>
      <c r="CV396" s="167">
        <v>0</v>
      </c>
      <c r="CW396" s="167">
        <v>0</v>
      </c>
      <c r="CX396" s="167">
        <f>SUM(CD396:CH396)</f>
        <v>-97</v>
      </c>
      <c r="CY396" s="167">
        <f>SUM(CD396:CM396)</f>
        <v>-97</v>
      </c>
    </row>
    <row r="397" spans="1:103" ht="12.75" customHeight="1" x14ac:dyDescent="0.2">
      <c r="A397" s="81">
        <v>3521</v>
      </c>
      <c r="B397" s="165" t="s">
        <v>1908</v>
      </c>
      <c r="C397" s="165" t="s">
        <v>103</v>
      </c>
      <c r="E397" s="165" t="s">
        <v>2826</v>
      </c>
      <c r="F397" s="165" t="s">
        <v>263</v>
      </c>
      <c r="G397" s="81">
        <v>527156</v>
      </c>
      <c r="H397" s="81">
        <v>175243</v>
      </c>
      <c r="I397" s="165" t="s">
        <v>255</v>
      </c>
      <c r="J397" s="349">
        <v>41304</v>
      </c>
      <c r="L397" s="166">
        <v>0</v>
      </c>
      <c r="M397" s="166">
        <v>135</v>
      </c>
      <c r="N397" s="166">
        <v>135</v>
      </c>
      <c r="O397" s="166">
        <v>528</v>
      </c>
      <c r="P397" s="166">
        <v>175</v>
      </c>
      <c r="Q397" s="81" t="s">
        <v>155</v>
      </c>
      <c r="R397" s="165" t="s">
        <v>1084</v>
      </c>
      <c r="S397" s="81" t="s">
        <v>104</v>
      </c>
      <c r="T397" s="349">
        <v>41017</v>
      </c>
      <c r="U397" s="349">
        <v>41200</v>
      </c>
      <c r="W397" s="81" t="s">
        <v>114</v>
      </c>
      <c r="Y397" s="81" t="s">
        <v>115</v>
      </c>
      <c r="Z397" s="81" t="s">
        <v>116</v>
      </c>
      <c r="AA397" s="81" t="s">
        <v>116</v>
      </c>
      <c r="AB397" s="81" t="s">
        <v>117</v>
      </c>
      <c r="AC397" s="166">
        <v>0.48500001430511502</v>
      </c>
      <c r="AG397" s="81" t="s">
        <v>238</v>
      </c>
      <c r="AH397" s="81" t="s">
        <v>118</v>
      </c>
      <c r="AI397" s="81" t="s">
        <v>2827</v>
      </c>
      <c r="AK397" s="166">
        <v>135</v>
      </c>
      <c r="AM397" s="166">
        <v>0</v>
      </c>
      <c r="AO397" s="166">
        <v>0</v>
      </c>
      <c r="AP397" s="166">
        <v>43</v>
      </c>
      <c r="AQ397" s="166">
        <v>77</v>
      </c>
      <c r="AR397" s="166">
        <v>15</v>
      </c>
      <c r="AS397" s="166">
        <v>0</v>
      </c>
      <c r="AT397" s="166">
        <v>0</v>
      </c>
      <c r="AU397" s="166">
        <v>0</v>
      </c>
      <c r="AV397" s="166">
        <v>0</v>
      </c>
      <c r="AW397" s="166">
        <v>43</v>
      </c>
      <c r="AX397" s="166">
        <v>77</v>
      </c>
      <c r="AY397" s="166">
        <v>15</v>
      </c>
      <c r="AZ397" s="166">
        <v>0</v>
      </c>
      <c r="BA397" s="166">
        <v>0</v>
      </c>
      <c r="BB397" s="166">
        <v>0</v>
      </c>
      <c r="BC397" s="166">
        <v>0</v>
      </c>
      <c r="BD397" s="166">
        <v>0</v>
      </c>
      <c r="BE397" s="166">
        <v>0</v>
      </c>
      <c r="BF397" s="166">
        <v>0</v>
      </c>
      <c r="BG397" s="166">
        <v>0</v>
      </c>
      <c r="BH397" s="166">
        <v>0</v>
      </c>
      <c r="BI397" s="166">
        <v>0</v>
      </c>
      <c r="BJ397" s="166">
        <v>0</v>
      </c>
      <c r="BK397" s="166">
        <v>0</v>
      </c>
      <c r="BL397" s="166">
        <v>0</v>
      </c>
      <c r="BM397" s="166">
        <v>0</v>
      </c>
      <c r="BN397" s="166">
        <v>0</v>
      </c>
      <c r="BO397" s="166">
        <v>0</v>
      </c>
      <c r="BP397" s="166">
        <v>0</v>
      </c>
      <c r="BQ397" s="81" t="s">
        <v>1757</v>
      </c>
      <c r="BU397" s="81" t="s">
        <v>155</v>
      </c>
      <c r="BZ397" s="81" t="s">
        <v>155</v>
      </c>
      <c r="CA397" s="81" t="s">
        <v>3934</v>
      </c>
      <c r="CC397" s="167">
        <v>0</v>
      </c>
      <c r="CD397" s="167">
        <v>0</v>
      </c>
      <c r="CE397" s="167">
        <f>$N397/3</f>
        <v>45</v>
      </c>
      <c r="CF397" s="167">
        <f>$N397/3</f>
        <v>45</v>
      </c>
      <c r="CG397" s="167">
        <f>$N397/3</f>
        <v>45</v>
      </c>
      <c r="CH397" s="167">
        <v>0</v>
      </c>
      <c r="CI397" s="167">
        <v>0</v>
      </c>
      <c r="CJ397" s="167">
        <v>0</v>
      </c>
      <c r="CK397" s="167">
        <v>0</v>
      </c>
      <c r="CL397" s="167">
        <v>0</v>
      </c>
      <c r="CM397" s="167">
        <v>0</v>
      </c>
      <c r="CN397" s="167">
        <v>0</v>
      </c>
      <c r="CO397" s="167">
        <v>0</v>
      </c>
      <c r="CP397" s="167">
        <v>0</v>
      </c>
      <c r="CQ397" s="167">
        <v>0</v>
      </c>
      <c r="CR397" s="167">
        <v>0</v>
      </c>
      <c r="CS397" s="167">
        <v>0</v>
      </c>
      <c r="CT397" s="167">
        <v>0</v>
      </c>
      <c r="CU397" s="167">
        <v>0</v>
      </c>
      <c r="CV397" s="167">
        <v>0</v>
      </c>
      <c r="CW397" s="167">
        <v>0</v>
      </c>
      <c r="CX397" s="167">
        <f>SUM(CD397:CH397)</f>
        <v>135</v>
      </c>
      <c r="CY397" s="167">
        <f>SUM(CD397:CM397)</f>
        <v>135</v>
      </c>
    </row>
    <row r="398" spans="1:103" ht="12.75" customHeight="1" x14ac:dyDescent="0.2">
      <c r="A398" s="81">
        <v>3521</v>
      </c>
      <c r="B398" s="165" t="s">
        <v>1908</v>
      </c>
      <c r="C398" s="165" t="s">
        <v>103</v>
      </c>
      <c r="E398" s="165" t="s">
        <v>2826</v>
      </c>
      <c r="F398" s="165" t="s">
        <v>264</v>
      </c>
      <c r="G398" s="81">
        <v>527156</v>
      </c>
      <c r="H398" s="81">
        <v>175243</v>
      </c>
      <c r="I398" s="165" t="s">
        <v>255</v>
      </c>
      <c r="J398" s="349">
        <v>41304</v>
      </c>
      <c r="L398" s="166">
        <v>0</v>
      </c>
      <c r="M398" s="166">
        <v>47</v>
      </c>
      <c r="N398" s="166">
        <v>47</v>
      </c>
      <c r="O398" s="166">
        <v>528</v>
      </c>
      <c r="P398" s="166">
        <v>175</v>
      </c>
      <c r="Q398" s="81" t="s">
        <v>155</v>
      </c>
      <c r="R398" s="165" t="s">
        <v>1084</v>
      </c>
      <c r="S398" s="81" t="s">
        <v>104</v>
      </c>
      <c r="T398" s="349">
        <v>41017</v>
      </c>
      <c r="U398" s="349">
        <v>41200</v>
      </c>
      <c r="W398" s="81" t="s">
        <v>114</v>
      </c>
      <c r="Y398" s="81" t="s">
        <v>115</v>
      </c>
      <c r="Z398" s="81" t="s">
        <v>116</v>
      </c>
      <c r="AA398" s="81" t="s">
        <v>116</v>
      </c>
      <c r="AB398" s="81" t="s">
        <v>117</v>
      </c>
      <c r="AC398" s="166">
        <v>0.15099999308586101</v>
      </c>
      <c r="AG398" s="81" t="s">
        <v>154</v>
      </c>
      <c r="AH398" s="81" t="s">
        <v>312</v>
      </c>
      <c r="AI398" s="81" t="s">
        <v>2827</v>
      </c>
      <c r="AK398" s="166">
        <v>42</v>
      </c>
      <c r="AM398" s="166">
        <v>0</v>
      </c>
      <c r="AO398" s="166">
        <v>0</v>
      </c>
      <c r="AP398" s="166">
        <v>9</v>
      </c>
      <c r="AQ398" s="166">
        <v>38</v>
      </c>
      <c r="AR398" s="166">
        <v>0</v>
      </c>
      <c r="AS398" s="166">
        <v>0</v>
      </c>
      <c r="AT398" s="166">
        <v>0</v>
      </c>
      <c r="AU398" s="166">
        <v>0</v>
      </c>
      <c r="AV398" s="166">
        <v>0</v>
      </c>
      <c r="AW398" s="166">
        <v>9</v>
      </c>
      <c r="AX398" s="166">
        <v>38</v>
      </c>
      <c r="AY398" s="166">
        <v>0</v>
      </c>
      <c r="AZ398" s="166">
        <v>0</v>
      </c>
      <c r="BA398" s="166">
        <v>0</v>
      </c>
      <c r="BB398" s="166">
        <v>0</v>
      </c>
      <c r="BC398" s="166">
        <v>0</v>
      </c>
      <c r="BD398" s="166">
        <v>0</v>
      </c>
      <c r="BE398" s="166">
        <v>0</v>
      </c>
      <c r="BF398" s="166">
        <v>0</v>
      </c>
      <c r="BG398" s="166">
        <v>0</v>
      </c>
      <c r="BH398" s="166">
        <v>0</v>
      </c>
      <c r="BI398" s="166">
        <v>0</v>
      </c>
      <c r="BJ398" s="166">
        <v>0</v>
      </c>
      <c r="BK398" s="166">
        <v>0</v>
      </c>
      <c r="BL398" s="166">
        <v>0</v>
      </c>
      <c r="BM398" s="166">
        <v>0</v>
      </c>
      <c r="BN398" s="166">
        <v>0</v>
      </c>
      <c r="BO398" s="166">
        <v>0</v>
      </c>
      <c r="BP398" s="166">
        <v>0</v>
      </c>
      <c r="BQ398" s="81" t="s">
        <v>1757</v>
      </c>
      <c r="BU398" s="81" t="s">
        <v>155</v>
      </c>
      <c r="BZ398" s="81" t="s">
        <v>155</v>
      </c>
      <c r="CA398" s="81" t="s">
        <v>3934</v>
      </c>
      <c r="CC398" s="167">
        <v>0</v>
      </c>
      <c r="CD398" s="167">
        <v>0</v>
      </c>
      <c r="CE398" s="167">
        <f>$N398/3</f>
        <v>15.666666666666666</v>
      </c>
      <c r="CF398" s="167">
        <f>$N398/3</f>
        <v>15.666666666666666</v>
      </c>
      <c r="CG398" s="167">
        <f>$N398/3</f>
        <v>15.666666666666666</v>
      </c>
      <c r="CH398" s="167">
        <v>0</v>
      </c>
      <c r="CI398" s="167">
        <v>0</v>
      </c>
      <c r="CJ398" s="167">
        <v>0</v>
      </c>
      <c r="CK398" s="167">
        <v>0</v>
      </c>
      <c r="CL398" s="167">
        <v>0</v>
      </c>
      <c r="CM398" s="167">
        <v>0</v>
      </c>
      <c r="CN398" s="167">
        <v>0</v>
      </c>
      <c r="CO398" s="167">
        <v>0</v>
      </c>
      <c r="CP398" s="167">
        <v>0</v>
      </c>
      <c r="CQ398" s="167">
        <v>0</v>
      </c>
      <c r="CR398" s="167">
        <v>0</v>
      </c>
      <c r="CS398" s="167">
        <v>0</v>
      </c>
      <c r="CT398" s="167">
        <v>0</v>
      </c>
      <c r="CU398" s="167">
        <v>0</v>
      </c>
      <c r="CV398" s="167">
        <v>0</v>
      </c>
      <c r="CW398" s="167">
        <v>0</v>
      </c>
      <c r="CX398" s="167">
        <f>SUM(CD398:CH398)</f>
        <v>47</v>
      </c>
      <c r="CY398" s="167">
        <f>SUM(CD398:CM398)</f>
        <v>47</v>
      </c>
    </row>
    <row r="399" spans="1:103" ht="12.75" customHeight="1" x14ac:dyDescent="0.2">
      <c r="A399" s="81">
        <v>3521</v>
      </c>
      <c r="B399" s="165" t="s">
        <v>1908</v>
      </c>
      <c r="C399" s="165" t="s">
        <v>103</v>
      </c>
      <c r="E399" s="165" t="s">
        <v>2826</v>
      </c>
      <c r="F399" s="165" t="s">
        <v>265</v>
      </c>
      <c r="G399" s="81">
        <v>527156</v>
      </c>
      <c r="H399" s="81">
        <v>175243</v>
      </c>
      <c r="I399" s="165" t="s">
        <v>255</v>
      </c>
      <c r="J399" s="349">
        <v>41304</v>
      </c>
      <c r="L399" s="166">
        <v>28</v>
      </c>
      <c r="M399" s="166">
        <v>0</v>
      </c>
      <c r="N399" s="166">
        <v>-28</v>
      </c>
      <c r="O399" s="166">
        <v>528</v>
      </c>
      <c r="P399" s="166">
        <v>175</v>
      </c>
      <c r="Q399" s="81" t="s">
        <v>155</v>
      </c>
      <c r="R399" s="165" t="s">
        <v>1084</v>
      </c>
      <c r="S399" s="81" t="s">
        <v>104</v>
      </c>
      <c r="T399" s="349">
        <v>41017</v>
      </c>
      <c r="U399" s="349">
        <v>41200</v>
      </c>
      <c r="W399" s="81" t="s">
        <v>114</v>
      </c>
      <c r="Y399" s="81" t="s">
        <v>115</v>
      </c>
      <c r="Z399" s="81" t="s">
        <v>116</v>
      </c>
      <c r="AA399" s="81" t="s">
        <v>116</v>
      </c>
      <c r="AB399" s="81" t="s">
        <v>117</v>
      </c>
      <c r="AC399" s="166">
        <v>0</v>
      </c>
      <c r="AG399" s="81" t="s">
        <v>238</v>
      </c>
      <c r="AH399" s="81" t="s">
        <v>118</v>
      </c>
      <c r="AI399" s="81" t="s">
        <v>2827</v>
      </c>
      <c r="AK399" s="166">
        <v>0</v>
      </c>
      <c r="AM399" s="166">
        <v>0</v>
      </c>
      <c r="AO399" s="166">
        <v>-1</v>
      </c>
      <c r="AP399" s="166">
        <v>-12</v>
      </c>
      <c r="AQ399" s="166">
        <v>-12</v>
      </c>
      <c r="AR399" s="166">
        <v>-3</v>
      </c>
      <c r="AS399" s="166">
        <v>0</v>
      </c>
      <c r="AT399" s="166">
        <v>0</v>
      </c>
      <c r="AU399" s="166">
        <v>0</v>
      </c>
      <c r="AV399" s="166">
        <v>-1</v>
      </c>
      <c r="AW399" s="166">
        <v>-12</v>
      </c>
      <c r="AX399" s="166">
        <v>-12</v>
      </c>
      <c r="AY399" s="166">
        <v>-3</v>
      </c>
      <c r="AZ399" s="166">
        <v>0</v>
      </c>
      <c r="BA399" s="166">
        <v>0</v>
      </c>
      <c r="BB399" s="166">
        <v>0</v>
      </c>
      <c r="BC399" s="166">
        <v>0</v>
      </c>
      <c r="BD399" s="166">
        <v>0</v>
      </c>
      <c r="BE399" s="166">
        <v>0</v>
      </c>
      <c r="BF399" s="166">
        <v>0</v>
      </c>
      <c r="BG399" s="166">
        <v>0</v>
      </c>
      <c r="BH399" s="166">
        <v>0</v>
      </c>
      <c r="BI399" s="166">
        <v>0</v>
      </c>
      <c r="BJ399" s="166">
        <v>0</v>
      </c>
      <c r="BK399" s="166">
        <v>0</v>
      </c>
      <c r="BL399" s="166">
        <v>0</v>
      </c>
      <c r="BM399" s="166">
        <v>0</v>
      </c>
      <c r="BN399" s="166">
        <v>0</v>
      </c>
      <c r="BO399" s="166">
        <v>0</v>
      </c>
      <c r="BP399" s="166">
        <v>0</v>
      </c>
      <c r="BQ399" s="81" t="s">
        <v>1757</v>
      </c>
      <c r="BU399" s="81" t="s">
        <v>155</v>
      </c>
      <c r="BZ399" s="81" t="s">
        <v>155</v>
      </c>
      <c r="CA399" s="81" t="s">
        <v>3934</v>
      </c>
      <c r="CC399" s="167">
        <v>0</v>
      </c>
      <c r="CD399" s="167">
        <v>0</v>
      </c>
      <c r="CE399" s="167">
        <f>$N399/3</f>
        <v>-9.3333333333333339</v>
      </c>
      <c r="CF399" s="167">
        <f>$N399/3</f>
        <v>-9.3333333333333339</v>
      </c>
      <c r="CG399" s="167">
        <f>$N399/3</f>
        <v>-9.3333333333333339</v>
      </c>
      <c r="CH399" s="167">
        <v>0</v>
      </c>
      <c r="CI399" s="167">
        <v>0</v>
      </c>
      <c r="CJ399" s="167">
        <v>0</v>
      </c>
      <c r="CK399" s="167">
        <v>0</v>
      </c>
      <c r="CL399" s="167">
        <v>0</v>
      </c>
      <c r="CM399" s="167">
        <v>0</v>
      </c>
      <c r="CN399" s="167">
        <v>0</v>
      </c>
      <c r="CO399" s="167">
        <v>0</v>
      </c>
      <c r="CP399" s="167">
        <v>0</v>
      </c>
      <c r="CQ399" s="167">
        <v>0</v>
      </c>
      <c r="CR399" s="167">
        <v>0</v>
      </c>
      <c r="CS399" s="167">
        <v>0</v>
      </c>
      <c r="CT399" s="167">
        <v>0</v>
      </c>
      <c r="CU399" s="167">
        <v>0</v>
      </c>
      <c r="CV399" s="167">
        <v>0</v>
      </c>
      <c r="CW399" s="167">
        <v>0</v>
      </c>
      <c r="CX399" s="167">
        <f>SUM(CD399:CH399)</f>
        <v>-28</v>
      </c>
      <c r="CY399" s="167">
        <f>SUM(CD399:CM399)</f>
        <v>-28</v>
      </c>
    </row>
    <row r="400" spans="1:103" ht="12.75" customHeight="1" x14ac:dyDescent="0.2">
      <c r="A400" s="81">
        <v>3521</v>
      </c>
      <c r="B400" s="165" t="s">
        <v>1908</v>
      </c>
      <c r="C400" s="165" t="s">
        <v>103</v>
      </c>
      <c r="E400" s="165" t="s">
        <v>2826</v>
      </c>
      <c r="F400" s="165" t="s">
        <v>266</v>
      </c>
      <c r="G400" s="81">
        <v>527156</v>
      </c>
      <c r="H400" s="81">
        <v>175243</v>
      </c>
      <c r="I400" s="165" t="s">
        <v>255</v>
      </c>
      <c r="J400" s="349">
        <v>41304</v>
      </c>
      <c r="L400" s="166">
        <v>56</v>
      </c>
      <c r="M400" s="166">
        <v>0</v>
      </c>
      <c r="N400" s="166">
        <v>-56</v>
      </c>
      <c r="O400" s="166">
        <v>528</v>
      </c>
      <c r="P400" s="166">
        <v>175</v>
      </c>
      <c r="Q400" s="81" t="s">
        <v>155</v>
      </c>
      <c r="R400" s="165" t="s">
        <v>1084</v>
      </c>
      <c r="S400" s="81" t="s">
        <v>104</v>
      </c>
      <c r="T400" s="349">
        <v>41017</v>
      </c>
      <c r="U400" s="349">
        <v>41200</v>
      </c>
      <c r="W400" s="81" t="s">
        <v>114</v>
      </c>
      <c r="Y400" s="81" t="s">
        <v>115</v>
      </c>
      <c r="Z400" s="81" t="s">
        <v>116</v>
      </c>
      <c r="AA400" s="81" t="s">
        <v>116</v>
      </c>
      <c r="AB400" s="81" t="s">
        <v>117</v>
      </c>
      <c r="AC400" s="166">
        <v>0</v>
      </c>
      <c r="AG400" s="81" t="s">
        <v>154</v>
      </c>
      <c r="AH400" s="81" t="s">
        <v>312</v>
      </c>
      <c r="AI400" s="81" t="s">
        <v>2827</v>
      </c>
      <c r="AK400" s="166">
        <v>0</v>
      </c>
      <c r="AM400" s="166">
        <v>0</v>
      </c>
      <c r="AO400" s="166">
        <v>-1</v>
      </c>
      <c r="AP400" s="166">
        <v>-18</v>
      </c>
      <c r="AQ400" s="166">
        <v>-22</v>
      </c>
      <c r="AR400" s="166">
        <v>-15</v>
      </c>
      <c r="AS400" s="166">
        <v>0</v>
      </c>
      <c r="AT400" s="166">
        <v>0</v>
      </c>
      <c r="AU400" s="166">
        <v>0</v>
      </c>
      <c r="AV400" s="166">
        <v>-1</v>
      </c>
      <c r="AW400" s="166">
        <v>-18</v>
      </c>
      <c r="AX400" s="166">
        <v>-22</v>
      </c>
      <c r="AY400" s="166">
        <v>-15</v>
      </c>
      <c r="AZ400" s="166">
        <v>0</v>
      </c>
      <c r="BA400" s="166">
        <v>0</v>
      </c>
      <c r="BB400" s="166">
        <v>0</v>
      </c>
      <c r="BC400" s="166">
        <v>0</v>
      </c>
      <c r="BD400" s="166">
        <v>0</v>
      </c>
      <c r="BE400" s="166">
        <v>0</v>
      </c>
      <c r="BF400" s="166">
        <v>0</v>
      </c>
      <c r="BG400" s="166">
        <v>0</v>
      </c>
      <c r="BH400" s="166">
        <v>0</v>
      </c>
      <c r="BI400" s="166">
        <v>0</v>
      </c>
      <c r="BJ400" s="166">
        <v>0</v>
      </c>
      <c r="BK400" s="166">
        <v>0</v>
      </c>
      <c r="BL400" s="166">
        <v>0</v>
      </c>
      <c r="BM400" s="166">
        <v>0</v>
      </c>
      <c r="BN400" s="166">
        <v>0</v>
      </c>
      <c r="BO400" s="166">
        <v>0</v>
      </c>
      <c r="BP400" s="166">
        <v>0</v>
      </c>
      <c r="BQ400" s="81" t="s">
        <v>1757</v>
      </c>
      <c r="BU400" s="81" t="s">
        <v>155</v>
      </c>
      <c r="BZ400" s="81" t="s">
        <v>155</v>
      </c>
      <c r="CA400" s="81" t="s">
        <v>3934</v>
      </c>
      <c r="CC400" s="167">
        <v>0</v>
      </c>
      <c r="CD400" s="167">
        <v>0</v>
      </c>
      <c r="CE400" s="167">
        <f>$N400/3</f>
        <v>-18.666666666666668</v>
      </c>
      <c r="CF400" s="167">
        <f>$N400/3</f>
        <v>-18.666666666666668</v>
      </c>
      <c r="CG400" s="167">
        <f>$N400/3</f>
        <v>-18.666666666666668</v>
      </c>
      <c r="CH400" s="167">
        <v>0</v>
      </c>
      <c r="CI400" s="167">
        <v>0</v>
      </c>
      <c r="CJ400" s="167">
        <v>0</v>
      </c>
      <c r="CK400" s="167">
        <v>0</v>
      </c>
      <c r="CL400" s="167">
        <v>0</v>
      </c>
      <c r="CM400" s="167">
        <v>0</v>
      </c>
      <c r="CN400" s="167">
        <v>0</v>
      </c>
      <c r="CO400" s="167">
        <v>0</v>
      </c>
      <c r="CP400" s="167">
        <v>0</v>
      </c>
      <c r="CQ400" s="167">
        <v>0</v>
      </c>
      <c r="CR400" s="167">
        <v>0</v>
      </c>
      <c r="CS400" s="167">
        <v>0</v>
      </c>
      <c r="CT400" s="167">
        <v>0</v>
      </c>
      <c r="CU400" s="167">
        <v>0</v>
      </c>
      <c r="CV400" s="167">
        <v>0</v>
      </c>
      <c r="CW400" s="167">
        <v>0</v>
      </c>
      <c r="CX400" s="167">
        <f>SUM(CD400:CH400)</f>
        <v>-56</v>
      </c>
      <c r="CY400" s="167">
        <f>SUM(CD400:CM400)</f>
        <v>-56</v>
      </c>
    </row>
    <row r="401" spans="1:103" ht="12.75" customHeight="1" x14ac:dyDescent="0.2">
      <c r="A401" s="81">
        <v>3521</v>
      </c>
      <c r="B401" s="165" t="s">
        <v>1908</v>
      </c>
      <c r="C401" s="165" t="s">
        <v>103</v>
      </c>
      <c r="E401" s="165" t="s">
        <v>2826</v>
      </c>
      <c r="F401" s="165" t="s">
        <v>267</v>
      </c>
      <c r="G401" s="81">
        <v>527156</v>
      </c>
      <c r="H401" s="81">
        <v>175243</v>
      </c>
      <c r="I401" s="165" t="s">
        <v>255</v>
      </c>
      <c r="J401" s="349">
        <v>41304</v>
      </c>
      <c r="L401" s="166">
        <v>0</v>
      </c>
      <c r="M401" s="166">
        <v>52</v>
      </c>
      <c r="N401" s="166">
        <v>52</v>
      </c>
      <c r="O401" s="166">
        <v>528</v>
      </c>
      <c r="P401" s="166">
        <v>175</v>
      </c>
      <c r="Q401" s="81" t="s">
        <v>155</v>
      </c>
      <c r="R401" s="165" t="s">
        <v>1084</v>
      </c>
      <c r="S401" s="81" t="s">
        <v>104</v>
      </c>
      <c r="T401" s="349">
        <v>41017</v>
      </c>
      <c r="U401" s="349">
        <v>41200</v>
      </c>
      <c r="W401" s="81" t="s">
        <v>114</v>
      </c>
      <c r="Y401" s="81" t="s">
        <v>115</v>
      </c>
      <c r="Z401" s="81" t="s">
        <v>116</v>
      </c>
      <c r="AA401" s="81" t="s">
        <v>116</v>
      </c>
      <c r="AB401" s="81" t="s">
        <v>117</v>
      </c>
      <c r="AC401" s="166">
        <v>0.18299999833107</v>
      </c>
      <c r="AG401" s="81" t="s">
        <v>74</v>
      </c>
      <c r="AH401" s="81" t="s">
        <v>1913</v>
      </c>
      <c r="AI401" s="81" t="s">
        <v>2827</v>
      </c>
      <c r="AK401" s="166">
        <v>51</v>
      </c>
      <c r="AM401" s="166">
        <v>0</v>
      </c>
      <c r="AO401" s="166">
        <v>0</v>
      </c>
      <c r="AP401" s="166">
        <v>18</v>
      </c>
      <c r="AQ401" s="166">
        <v>21</v>
      </c>
      <c r="AR401" s="166">
        <v>13</v>
      </c>
      <c r="AS401" s="166">
        <v>0</v>
      </c>
      <c r="AT401" s="166">
        <v>0</v>
      </c>
      <c r="AU401" s="166">
        <v>0</v>
      </c>
      <c r="AV401" s="166">
        <v>0</v>
      </c>
      <c r="AW401" s="166">
        <v>18</v>
      </c>
      <c r="AX401" s="166">
        <v>21</v>
      </c>
      <c r="AY401" s="166">
        <v>13</v>
      </c>
      <c r="AZ401" s="166">
        <v>0</v>
      </c>
      <c r="BA401" s="166">
        <v>0</v>
      </c>
      <c r="BB401" s="166">
        <v>0</v>
      </c>
      <c r="BC401" s="166">
        <v>0</v>
      </c>
      <c r="BD401" s="166">
        <v>0</v>
      </c>
      <c r="BE401" s="166">
        <v>0</v>
      </c>
      <c r="BF401" s="166">
        <v>0</v>
      </c>
      <c r="BG401" s="166">
        <v>0</v>
      </c>
      <c r="BH401" s="166">
        <v>0</v>
      </c>
      <c r="BI401" s="166">
        <v>0</v>
      </c>
      <c r="BJ401" s="166">
        <v>0</v>
      </c>
      <c r="BK401" s="166">
        <v>0</v>
      </c>
      <c r="BL401" s="166">
        <v>0</v>
      </c>
      <c r="BM401" s="166">
        <v>0</v>
      </c>
      <c r="BN401" s="166">
        <v>0</v>
      </c>
      <c r="BO401" s="166">
        <v>0</v>
      </c>
      <c r="BP401" s="166">
        <v>0</v>
      </c>
      <c r="BQ401" s="81" t="s">
        <v>1757</v>
      </c>
      <c r="BU401" s="81" t="s">
        <v>155</v>
      </c>
      <c r="BZ401" s="81" t="s">
        <v>155</v>
      </c>
      <c r="CA401" s="81" t="s">
        <v>3934</v>
      </c>
      <c r="CC401" s="167">
        <v>0</v>
      </c>
      <c r="CD401" s="167">
        <v>0</v>
      </c>
      <c r="CE401" s="167">
        <f>$N401/3</f>
        <v>17.333333333333332</v>
      </c>
      <c r="CF401" s="167">
        <f>$N401/3</f>
        <v>17.333333333333332</v>
      </c>
      <c r="CG401" s="167">
        <f>$N401/3</f>
        <v>17.333333333333332</v>
      </c>
      <c r="CH401" s="167">
        <v>0</v>
      </c>
      <c r="CI401" s="167">
        <v>0</v>
      </c>
      <c r="CJ401" s="167">
        <v>0</v>
      </c>
      <c r="CK401" s="167">
        <v>0</v>
      </c>
      <c r="CL401" s="167">
        <v>0</v>
      </c>
      <c r="CM401" s="167">
        <v>0</v>
      </c>
      <c r="CN401" s="167">
        <v>0</v>
      </c>
      <c r="CO401" s="167">
        <v>0</v>
      </c>
      <c r="CP401" s="167">
        <v>0</v>
      </c>
      <c r="CQ401" s="167">
        <v>0</v>
      </c>
      <c r="CR401" s="167">
        <v>0</v>
      </c>
      <c r="CS401" s="167">
        <v>0</v>
      </c>
      <c r="CT401" s="167">
        <v>0</v>
      </c>
      <c r="CU401" s="167">
        <v>0</v>
      </c>
      <c r="CV401" s="167">
        <v>0</v>
      </c>
      <c r="CW401" s="167">
        <v>0</v>
      </c>
      <c r="CX401" s="167">
        <f>SUM(CD401:CH401)</f>
        <v>52</v>
      </c>
      <c r="CY401" s="167">
        <f>SUM(CD401:CM401)</f>
        <v>52</v>
      </c>
    </row>
    <row r="402" spans="1:103" ht="12.75" customHeight="1" x14ac:dyDescent="0.2">
      <c r="A402" s="81">
        <v>3526</v>
      </c>
      <c r="B402" s="165" t="s">
        <v>1908</v>
      </c>
      <c r="C402" s="165" t="s">
        <v>3007</v>
      </c>
      <c r="E402" s="165" t="s">
        <v>2998</v>
      </c>
      <c r="F402" s="165" t="s">
        <v>293</v>
      </c>
      <c r="G402" s="81">
        <v>526547</v>
      </c>
      <c r="H402" s="81">
        <v>175744</v>
      </c>
      <c r="I402" s="165" t="s">
        <v>257</v>
      </c>
      <c r="J402" s="349">
        <v>42937</v>
      </c>
      <c r="L402" s="166">
        <v>0</v>
      </c>
      <c r="M402" s="166">
        <v>57</v>
      </c>
      <c r="N402" s="166">
        <v>57</v>
      </c>
      <c r="O402" s="166">
        <v>275</v>
      </c>
      <c r="P402" s="166">
        <v>275</v>
      </c>
      <c r="Q402" s="81" t="s">
        <v>155</v>
      </c>
      <c r="R402" s="165" t="s">
        <v>3008</v>
      </c>
      <c r="S402" s="81" t="s">
        <v>509</v>
      </c>
      <c r="T402" s="349">
        <v>42928</v>
      </c>
      <c r="U402" s="349">
        <v>43160</v>
      </c>
      <c r="V402" s="81" t="s">
        <v>155</v>
      </c>
      <c r="W402" s="81" t="s">
        <v>114</v>
      </c>
      <c r="Y402" s="81" t="s">
        <v>115</v>
      </c>
      <c r="Z402" s="81" t="s">
        <v>116</v>
      </c>
      <c r="AA402" s="81" t="s">
        <v>116</v>
      </c>
      <c r="AB402" s="81" t="s">
        <v>117</v>
      </c>
      <c r="AC402" s="166">
        <v>9.7999997437000302E-2</v>
      </c>
      <c r="AD402" s="349">
        <v>42937</v>
      </c>
      <c r="AE402" s="81" t="s">
        <v>155</v>
      </c>
      <c r="AG402" s="81" t="s">
        <v>238</v>
      </c>
      <c r="AH402" s="81" t="s">
        <v>118</v>
      </c>
      <c r="AI402" s="81" t="s">
        <v>3000</v>
      </c>
      <c r="AK402" s="166">
        <v>0</v>
      </c>
      <c r="AM402" s="166">
        <v>0</v>
      </c>
      <c r="AO402" s="166">
        <v>0</v>
      </c>
      <c r="AP402" s="166">
        <v>7</v>
      </c>
      <c r="AQ402" s="166">
        <v>45</v>
      </c>
      <c r="AR402" s="166">
        <v>5</v>
      </c>
      <c r="AS402" s="166">
        <v>0</v>
      </c>
      <c r="AT402" s="166">
        <v>0</v>
      </c>
      <c r="AU402" s="166">
        <v>0</v>
      </c>
      <c r="AV402" s="166">
        <v>0</v>
      </c>
      <c r="AW402" s="166">
        <v>7</v>
      </c>
      <c r="AX402" s="166">
        <v>45</v>
      </c>
      <c r="AY402" s="166">
        <v>5</v>
      </c>
      <c r="AZ402" s="166">
        <v>0</v>
      </c>
      <c r="BA402" s="166">
        <v>0</v>
      </c>
      <c r="BB402" s="166">
        <v>0</v>
      </c>
      <c r="BC402" s="166">
        <v>0</v>
      </c>
      <c r="BD402" s="166">
        <v>0</v>
      </c>
      <c r="BE402" s="166">
        <v>0</v>
      </c>
      <c r="BF402" s="166">
        <v>0</v>
      </c>
      <c r="BG402" s="166">
        <v>0</v>
      </c>
      <c r="BH402" s="166">
        <v>0</v>
      </c>
      <c r="BI402" s="166">
        <v>0</v>
      </c>
      <c r="BJ402" s="166">
        <v>0</v>
      </c>
      <c r="BK402" s="166">
        <v>0</v>
      </c>
      <c r="BL402" s="166">
        <v>0</v>
      </c>
      <c r="BM402" s="166">
        <v>0</v>
      </c>
      <c r="BN402" s="166">
        <v>0</v>
      </c>
      <c r="BO402" s="166">
        <v>0</v>
      </c>
      <c r="BP402" s="166">
        <v>0</v>
      </c>
      <c r="BQ402" s="81" t="s">
        <v>1757</v>
      </c>
      <c r="BX402" s="81" t="s">
        <v>155</v>
      </c>
      <c r="BZ402" s="81" t="s">
        <v>155</v>
      </c>
      <c r="CA402" s="81" t="s">
        <v>3934</v>
      </c>
      <c r="CC402" s="167">
        <v>0</v>
      </c>
      <c r="CD402" s="167">
        <v>0</v>
      </c>
      <c r="CE402" s="167">
        <v>0</v>
      </c>
      <c r="CF402" s="167">
        <f>N402</f>
        <v>57</v>
      </c>
      <c r="CG402" s="167">
        <v>0</v>
      </c>
      <c r="CH402" s="167">
        <v>0</v>
      </c>
      <c r="CI402" s="167">
        <v>0</v>
      </c>
      <c r="CJ402" s="167">
        <v>0</v>
      </c>
      <c r="CK402" s="167">
        <v>0</v>
      </c>
      <c r="CL402" s="167">
        <v>0</v>
      </c>
      <c r="CM402" s="167">
        <v>0</v>
      </c>
      <c r="CN402" s="167">
        <v>0</v>
      </c>
      <c r="CO402" s="167">
        <v>0</v>
      </c>
      <c r="CP402" s="167">
        <v>0</v>
      </c>
      <c r="CQ402" s="167">
        <v>0</v>
      </c>
      <c r="CR402" s="167">
        <v>0</v>
      </c>
      <c r="CS402" s="167">
        <v>0</v>
      </c>
      <c r="CT402" s="167">
        <v>0</v>
      </c>
      <c r="CU402" s="167">
        <v>0</v>
      </c>
      <c r="CV402" s="167">
        <v>0</v>
      </c>
      <c r="CW402" s="167">
        <v>0</v>
      </c>
      <c r="CX402" s="167">
        <f>SUM(CD402:CH402)</f>
        <v>57</v>
      </c>
      <c r="CY402" s="167">
        <f>SUM(CD402:CM402)</f>
        <v>57</v>
      </c>
    </row>
    <row r="403" spans="1:103" ht="12.75" customHeight="1" x14ac:dyDescent="0.2">
      <c r="A403" s="81">
        <v>3526</v>
      </c>
      <c r="B403" s="165" t="s">
        <v>1908</v>
      </c>
      <c r="C403" s="165" t="s">
        <v>3007</v>
      </c>
      <c r="E403" s="165" t="s">
        <v>2998</v>
      </c>
      <c r="F403" s="165" t="s">
        <v>293</v>
      </c>
      <c r="G403" s="81">
        <v>526547</v>
      </c>
      <c r="H403" s="81">
        <v>175744</v>
      </c>
      <c r="I403" s="165" t="s">
        <v>257</v>
      </c>
      <c r="J403" s="349">
        <v>42937</v>
      </c>
      <c r="L403" s="166">
        <v>0</v>
      </c>
      <c r="M403" s="166">
        <v>16</v>
      </c>
      <c r="N403" s="166">
        <v>16</v>
      </c>
      <c r="O403" s="166">
        <v>275</v>
      </c>
      <c r="P403" s="166">
        <v>275</v>
      </c>
      <c r="Q403" s="81" t="s">
        <v>155</v>
      </c>
      <c r="R403" s="165" t="s">
        <v>3008</v>
      </c>
      <c r="S403" s="81" t="s">
        <v>509</v>
      </c>
      <c r="T403" s="349">
        <v>42928</v>
      </c>
      <c r="U403" s="349">
        <v>43160</v>
      </c>
      <c r="V403" s="81" t="s">
        <v>155</v>
      </c>
      <c r="W403" s="81" t="s">
        <v>114</v>
      </c>
      <c r="Y403" s="81" t="s">
        <v>115</v>
      </c>
      <c r="Z403" s="81" t="s">
        <v>116</v>
      </c>
      <c r="AA403" s="81" t="s">
        <v>116</v>
      </c>
      <c r="AB403" s="81" t="s">
        <v>117</v>
      </c>
      <c r="AC403" s="166">
        <v>2.70000007003546E-2</v>
      </c>
      <c r="AD403" s="349">
        <v>42937</v>
      </c>
      <c r="AE403" s="81" t="s">
        <v>155</v>
      </c>
      <c r="AG403" s="81" t="s">
        <v>74</v>
      </c>
      <c r="AH403" s="81" t="s">
        <v>895</v>
      </c>
      <c r="AI403" s="81" t="s">
        <v>3000</v>
      </c>
      <c r="AK403" s="166">
        <v>0</v>
      </c>
      <c r="AM403" s="166">
        <v>0</v>
      </c>
      <c r="AO403" s="166">
        <v>0</v>
      </c>
      <c r="AP403" s="166">
        <v>12</v>
      </c>
      <c r="AQ403" s="166">
        <v>4</v>
      </c>
      <c r="AR403" s="166">
        <v>0</v>
      </c>
      <c r="AS403" s="166">
        <v>0</v>
      </c>
      <c r="AT403" s="166">
        <v>0</v>
      </c>
      <c r="AU403" s="166">
        <v>0</v>
      </c>
      <c r="AV403" s="166">
        <v>0</v>
      </c>
      <c r="AW403" s="166">
        <v>12</v>
      </c>
      <c r="AX403" s="166">
        <v>4</v>
      </c>
      <c r="AY403" s="166">
        <v>0</v>
      </c>
      <c r="AZ403" s="166">
        <v>0</v>
      </c>
      <c r="BA403" s="166">
        <v>0</v>
      </c>
      <c r="BB403" s="166">
        <v>0</v>
      </c>
      <c r="BC403" s="166">
        <v>0</v>
      </c>
      <c r="BD403" s="166">
        <v>0</v>
      </c>
      <c r="BE403" s="166">
        <v>0</v>
      </c>
      <c r="BF403" s="166">
        <v>0</v>
      </c>
      <c r="BG403" s="166">
        <v>0</v>
      </c>
      <c r="BH403" s="166">
        <v>0</v>
      </c>
      <c r="BI403" s="166">
        <v>0</v>
      </c>
      <c r="BJ403" s="166">
        <v>0</v>
      </c>
      <c r="BK403" s="166">
        <v>0</v>
      </c>
      <c r="BL403" s="166">
        <v>0</v>
      </c>
      <c r="BM403" s="166">
        <v>0</v>
      </c>
      <c r="BN403" s="166">
        <v>0</v>
      </c>
      <c r="BO403" s="166">
        <v>0</v>
      </c>
      <c r="BP403" s="166">
        <v>0</v>
      </c>
      <c r="BQ403" s="81" t="s">
        <v>1757</v>
      </c>
      <c r="BX403" s="81" t="s">
        <v>155</v>
      </c>
      <c r="BZ403" s="81" t="s">
        <v>155</v>
      </c>
      <c r="CA403" s="81" t="s">
        <v>3934</v>
      </c>
      <c r="CC403" s="167">
        <v>0</v>
      </c>
      <c r="CD403" s="167">
        <v>0</v>
      </c>
      <c r="CE403" s="167">
        <v>0</v>
      </c>
      <c r="CF403" s="167">
        <f>N403</f>
        <v>16</v>
      </c>
      <c r="CG403" s="167">
        <v>0</v>
      </c>
      <c r="CH403" s="167">
        <v>0</v>
      </c>
      <c r="CI403" s="167">
        <v>0</v>
      </c>
      <c r="CJ403" s="167">
        <v>0</v>
      </c>
      <c r="CK403" s="167">
        <v>0</v>
      </c>
      <c r="CL403" s="167">
        <v>0</v>
      </c>
      <c r="CM403" s="167">
        <v>0</v>
      </c>
      <c r="CN403" s="167">
        <v>0</v>
      </c>
      <c r="CO403" s="167">
        <v>0</v>
      </c>
      <c r="CP403" s="167">
        <v>0</v>
      </c>
      <c r="CQ403" s="167">
        <v>0</v>
      </c>
      <c r="CR403" s="167">
        <v>0</v>
      </c>
      <c r="CS403" s="167">
        <v>0</v>
      </c>
      <c r="CT403" s="167">
        <v>0</v>
      </c>
      <c r="CU403" s="167">
        <v>0</v>
      </c>
      <c r="CV403" s="167">
        <v>0</v>
      </c>
      <c r="CW403" s="167">
        <v>0</v>
      </c>
      <c r="CX403" s="167">
        <f>SUM(CD403:CH403)</f>
        <v>16</v>
      </c>
      <c r="CY403" s="167">
        <f>SUM(CD403:CM403)</f>
        <v>16</v>
      </c>
    </row>
    <row r="404" spans="1:103" ht="12.75" customHeight="1" x14ac:dyDescent="0.2">
      <c r="A404" s="81">
        <v>3526</v>
      </c>
      <c r="B404" s="165" t="s">
        <v>1908</v>
      </c>
      <c r="C404" s="165" t="s">
        <v>3007</v>
      </c>
      <c r="E404" s="165" t="s">
        <v>2998</v>
      </c>
      <c r="F404" s="165" t="s">
        <v>294</v>
      </c>
      <c r="G404" s="81">
        <v>526547</v>
      </c>
      <c r="H404" s="81">
        <v>175744</v>
      </c>
      <c r="I404" s="165" t="s">
        <v>257</v>
      </c>
      <c r="J404" s="349">
        <v>42937</v>
      </c>
      <c r="L404" s="166">
        <v>0</v>
      </c>
      <c r="M404" s="166">
        <v>71</v>
      </c>
      <c r="N404" s="166">
        <v>71</v>
      </c>
      <c r="O404" s="166">
        <v>275</v>
      </c>
      <c r="P404" s="166">
        <v>275</v>
      </c>
      <c r="Q404" s="81" t="s">
        <v>155</v>
      </c>
      <c r="R404" s="165" t="s">
        <v>3008</v>
      </c>
      <c r="S404" s="81" t="s">
        <v>509</v>
      </c>
      <c r="T404" s="349">
        <v>42928</v>
      </c>
      <c r="U404" s="349">
        <v>43160</v>
      </c>
      <c r="V404" s="81" t="s">
        <v>155</v>
      </c>
      <c r="W404" s="81" t="s">
        <v>114</v>
      </c>
      <c r="Y404" s="81" t="s">
        <v>115</v>
      </c>
      <c r="Z404" s="81" t="s">
        <v>116</v>
      </c>
      <c r="AA404" s="81" t="s">
        <v>116</v>
      </c>
      <c r="AB404" s="81" t="s">
        <v>117</v>
      </c>
      <c r="AC404" s="166">
        <v>0.122000001370907</v>
      </c>
      <c r="AD404" s="349">
        <v>42937</v>
      </c>
      <c r="AE404" s="81" t="s">
        <v>155</v>
      </c>
      <c r="AG404" s="81" t="s">
        <v>238</v>
      </c>
      <c r="AH404" s="81" t="s">
        <v>118</v>
      </c>
      <c r="AI404" s="81" t="s">
        <v>3000</v>
      </c>
      <c r="AK404" s="166">
        <v>0</v>
      </c>
      <c r="AM404" s="166">
        <v>0</v>
      </c>
      <c r="AO404" s="166">
        <v>0</v>
      </c>
      <c r="AP404" s="166">
        <v>8</v>
      </c>
      <c r="AQ404" s="166">
        <v>55</v>
      </c>
      <c r="AR404" s="166">
        <v>8</v>
      </c>
      <c r="AS404" s="166">
        <v>0</v>
      </c>
      <c r="AT404" s="166">
        <v>0</v>
      </c>
      <c r="AU404" s="166">
        <v>0</v>
      </c>
      <c r="AV404" s="166">
        <v>0</v>
      </c>
      <c r="AW404" s="166">
        <v>8</v>
      </c>
      <c r="AX404" s="166">
        <v>55</v>
      </c>
      <c r="AY404" s="166">
        <v>8</v>
      </c>
      <c r="AZ404" s="166">
        <v>0</v>
      </c>
      <c r="BA404" s="166">
        <v>0</v>
      </c>
      <c r="BB404" s="166">
        <v>0</v>
      </c>
      <c r="BC404" s="166">
        <v>0</v>
      </c>
      <c r="BD404" s="166">
        <v>0</v>
      </c>
      <c r="BE404" s="166">
        <v>0</v>
      </c>
      <c r="BF404" s="166">
        <v>0</v>
      </c>
      <c r="BG404" s="166">
        <v>0</v>
      </c>
      <c r="BH404" s="166">
        <v>0</v>
      </c>
      <c r="BI404" s="166">
        <v>0</v>
      </c>
      <c r="BJ404" s="166">
        <v>0</v>
      </c>
      <c r="BK404" s="166">
        <v>0</v>
      </c>
      <c r="BL404" s="166">
        <v>0</v>
      </c>
      <c r="BM404" s="166">
        <v>0</v>
      </c>
      <c r="BN404" s="166">
        <v>0</v>
      </c>
      <c r="BO404" s="166">
        <v>0</v>
      </c>
      <c r="BP404" s="166">
        <v>0</v>
      </c>
      <c r="BQ404" s="81" t="s">
        <v>1757</v>
      </c>
      <c r="BX404" s="81" t="s">
        <v>155</v>
      </c>
      <c r="BZ404" s="81" t="s">
        <v>155</v>
      </c>
      <c r="CA404" s="81" t="s">
        <v>3934</v>
      </c>
      <c r="CC404" s="167">
        <v>0</v>
      </c>
      <c r="CD404" s="167">
        <v>0</v>
      </c>
      <c r="CE404" s="167">
        <v>0</v>
      </c>
      <c r="CF404" s="167">
        <f>N404</f>
        <v>71</v>
      </c>
      <c r="CG404" s="167">
        <v>0</v>
      </c>
      <c r="CH404" s="167">
        <v>0</v>
      </c>
      <c r="CI404" s="167">
        <v>0</v>
      </c>
      <c r="CJ404" s="167">
        <v>0</v>
      </c>
      <c r="CK404" s="167">
        <v>0</v>
      </c>
      <c r="CL404" s="167">
        <v>0</v>
      </c>
      <c r="CM404" s="167">
        <v>0</v>
      </c>
      <c r="CN404" s="167">
        <v>0</v>
      </c>
      <c r="CO404" s="167">
        <v>0</v>
      </c>
      <c r="CP404" s="167">
        <v>0</v>
      </c>
      <c r="CQ404" s="167">
        <v>0</v>
      </c>
      <c r="CR404" s="167">
        <v>0</v>
      </c>
      <c r="CS404" s="167">
        <v>0</v>
      </c>
      <c r="CT404" s="167">
        <v>0</v>
      </c>
      <c r="CU404" s="167">
        <v>0</v>
      </c>
      <c r="CV404" s="167">
        <v>0</v>
      </c>
      <c r="CW404" s="167">
        <v>0</v>
      </c>
      <c r="CX404" s="167">
        <f>SUM(CD404:CH404)</f>
        <v>71</v>
      </c>
      <c r="CY404" s="167">
        <f>SUM(CD404:CM404)</f>
        <v>71</v>
      </c>
    </row>
    <row r="405" spans="1:103" ht="12.75" customHeight="1" x14ac:dyDescent="0.2">
      <c r="A405" s="81">
        <v>3526</v>
      </c>
      <c r="B405" s="165" t="s">
        <v>1908</v>
      </c>
      <c r="C405" s="165" t="s">
        <v>3007</v>
      </c>
      <c r="E405" s="165" t="s">
        <v>2998</v>
      </c>
      <c r="F405" s="165" t="s">
        <v>294</v>
      </c>
      <c r="G405" s="81">
        <v>526547</v>
      </c>
      <c r="H405" s="81">
        <v>175744</v>
      </c>
      <c r="I405" s="165" t="s">
        <v>257</v>
      </c>
      <c r="J405" s="349">
        <v>42937</v>
      </c>
      <c r="L405" s="166">
        <v>0</v>
      </c>
      <c r="M405" s="166">
        <v>25</v>
      </c>
      <c r="N405" s="166">
        <v>25</v>
      </c>
      <c r="O405" s="166">
        <v>275</v>
      </c>
      <c r="P405" s="166">
        <v>275</v>
      </c>
      <c r="Q405" s="81" t="s">
        <v>155</v>
      </c>
      <c r="R405" s="165" t="s">
        <v>3008</v>
      </c>
      <c r="S405" s="81" t="s">
        <v>509</v>
      </c>
      <c r="T405" s="349">
        <v>42928</v>
      </c>
      <c r="U405" s="349">
        <v>43160</v>
      </c>
      <c r="V405" s="81" t="s">
        <v>155</v>
      </c>
      <c r="W405" s="81" t="s">
        <v>114</v>
      </c>
      <c r="Y405" s="81" t="s">
        <v>115</v>
      </c>
      <c r="Z405" s="81" t="s">
        <v>116</v>
      </c>
      <c r="AA405" s="81" t="s">
        <v>116</v>
      </c>
      <c r="AB405" s="81" t="s">
        <v>117</v>
      </c>
      <c r="AC405" s="166">
        <v>4.3000001460313797E-2</v>
      </c>
      <c r="AD405" s="349">
        <v>42937</v>
      </c>
      <c r="AE405" s="81" t="s">
        <v>155</v>
      </c>
      <c r="AG405" s="81" t="s">
        <v>74</v>
      </c>
      <c r="AH405" s="81" t="s">
        <v>895</v>
      </c>
      <c r="AI405" s="81" t="s">
        <v>3000</v>
      </c>
      <c r="AK405" s="166">
        <v>0</v>
      </c>
      <c r="AM405" s="166">
        <v>0</v>
      </c>
      <c r="AO405" s="166">
        <v>0</v>
      </c>
      <c r="AP405" s="166">
        <v>16</v>
      </c>
      <c r="AQ405" s="166">
        <v>9</v>
      </c>
      <c r="AR405" s="166">
        <v>0</v>
      </c>
      <c r="AS405" s="166">
        <v>0</v>
      </c>
      <c r="AT405" s="166">
        <v>0</v>
      </c>
      <c r="AU405" s="166">
        <v>0</v>
      </c>
      <c r="AV405" s="166">
        <v>0</v>
      </c>
      <c r="AW405" s="166">
        <v>16</v>
      </c>
      <c r="AX405" s="166">
        <v>9</v>
      </c>
      <c r="AY405" s="166">
        <v>0</v>
      </c>
      <c r="AZ405" s="166">
        <v>0</v>
      </c>
      <c r="BA405" s="166">
        <v>0</v>
      </c>
      <c r="BB405" s="166">
        <v>0</v>
      </c>
      <c r="BC405" s="166">
        <v>0</v>
      </c>
      <c r="BD405" s="166">
        <v>0</v>
      </c>
      <c r="BE405" s="166">
        <v>0</v>
      </c>
      <c r="BF405" s="166">
        <v>0</v>
      </c>
      <c r="BG405" s="166">
        <v>0</v>
      </c>
      <c r="BH405" s="166">
        <v>0</v>
      </c>
      <c r="BI405" s="166">
        <v>0</v>
      </c>
      <c r="BJ405" s="166">
        <v>0</v>
      </c>
      <c r="BK405" s="166">
        <v>0</v>
      </c>
      <c r="BL405" s="166">
        <v>0</v>
      </c>
      <c r="BM405" s="166">
        <v>0</v>
      </c>
      <c r="BN405" s="166">
        <v>0</v>
      </c>
      <c r="BO405" s="166">
        <v>0</v>
      </c>
      <c r="BP405" s="166">
        <v>0</v>
      </c>
      <c r="BQ405" s="81" t="s">
        <v>1757</v>
      </c>
      <c r="BX405" s="81" t="s">
        <v>155</v>
      </c>
      <c r="BZ405" s="81" t="s">
        <v>155</v>
      </c>
      <c r="CA405" s="81" t="s">
        <v>3934</v>
      </c>
      <c r="CC405" s="167">
        <v>0</v>
      </c>
      <c r="CD405" s="167">
        <v>0</v>
      </c>
      <c r="CE405" s="167">
        <v>0</v>
      </c>
      <c r="CF405" s="167">
        <f>N405</f>
        <v>25</v>
      </c>
      <c r="CG405" s="167">
        <v>0</v>
      </c>
      <c r="CH405" s="167">
        <v>0</v>
      </c>
      <c r="CI405" s="167">
        <v>0</v>
      </c>
      <c r="CJ405" s="167">
        <v>0</v>
      </c>
      <c r="CK405" s="167">
        <v>0</v>
      </c>
      <c r="CL405" s="167">
        <v>0</v>
      </c>
      <c r="CM405" s="167">
        <v>0</v>
      </c>
      <c r="CN405" s="167">
        <v>0</v>
      </c>
      <c r="CO405" s="167">
        <v>0</v>
      </c>
      <c r="CP405" s="167">
        <v>0</v>
      </c>
      <c r="CQ405" s="167">
        <v>0</v>
      </c>
      <c r="CR405" s="167">
        <v>0</v>
      </c>
      <c r="CS405" s="167">
        <v>0</v>
      </c>
      <c r="CT405" s="167">
        <v>0</v>
      </c>
      <c r="CU405" s="167">
        <v>0</v>
      </c>
      <c r="CV405" s="167">
        <v>0</v>
      </c>
      <c r="CW405" s="167">
        <v>0</v>
      </c>
      <c r="CX405" s="167">
        <f>SUM(CD405:CH405)</f>
        <v>25</v>
      </c>
      <c r="CY405" s="167">
        <f>SUM(CD405:CM405)</f>
        <v>25</v>
      </c>
    </row>
    <row r="406" spans="1:103" ht="12.75" customHeight="1" x14ac:dyDescent="0.2">
      <c r="A406" s="81">
        <v>3526</v>
      </c>
      <c r="B406" s="165" t="s">
        <v>1908</v>
      </c>
      <c r="C406" s="165" t="s">
        <v>3007</v>
      </c>
      <c r="E406" s="165" t="s">
        <v>2998</v>
      </c>
      <c r="F406" s="165" t="s">
        <v>25</v>
      </c>
      <c r="G406" s="81">
        <v>526547</v>
      </c>
      <c r="H406" s="81">
        <v>175744</v>
      </c>
      <c r="I406" s="165" t="s">
        <v>257</v>
      </c>
      <c r="J406" s="349">
        <v>42937</v>
      </c>
      <c r="L406" s="166">
        <v>0</v>
      </c>
      <c r="M406" s="166">
        <v>106</v>
      </c>
      <c r="N406" s="166">
        <v>106</v>
      </c>
      <c r="O406" s="166">
        <v>275</v>
      </c>
      <c r="P406" s="166">
        <v>275</v>
      </c>
      <c r="Q406" s="81" t="s">
        <v>155</v>
      </c>
      <c r="R406" s="165" t="s">
        <v>3008</v>
      </c>
      <c r="S406" s="81" t="s">
        <v>509</v>
      </c>
      <c r="T406" s="349">
        <v>42928</v>
      </c>
      <c r="U406" s="349">
        <v>43160</v>
      </c>
      <c r="V406" s="81" t="s">
        <v>155</v>
      </c>
      <c r="W406" s="81" t="s">
        <v>114</v>
      </c>
      <c r="Y406" s="81" t="s">
        <v>115</v>
      </c>
      <c r="Z406" s="81" t="s">
        <v>116</v>
      </c>
      <c r="AA406" s="81" t="s">
        <v>116</v>
      </c>
      <c r="AB406" s="81" t="s">
        <v>117</v>
      </c>
      <c r="AC406" s="166">
        <v>0.18099999427795399</v>
      </c>
      <c r="AD406" s="349">
        <v>42937</v>
      </c>
      <c r="AE406" s="81" t="s">
        <v>155</v>
      </c>
      <c r="AG406" s="81" t="s">
        <v>238</v>
      </c>
      <c r="AH406" s="81" t="s">
        <v>118</v>
      </c>
      <c r="AI406" s="81" t="s">
        <v>3000</v>
      </c>
      <c r="AK406" s="166">
        <v>0</v>
      </c>
      <c r="AM406" s="166">
        <v>0</v>
      </c>
      <c r="AO406" s="166">
        <v>2</v>
      </c>
      <c r="AP406" s="166">
        <v>32</v>
      </c>
      <c r="AQ406" s="166">
        <v>61</v>
      </c>
      <c r="AR406" s="166">
        <v>11</v>
      </c>
      <c r="AS406" s="166">
        <v>0</v>
      </c>
      <c r="AT406" s="166">
        <v>0</v>
      </c>
      <c r="AU406" s="166">
        <v>0</v>
      </c>
      <c r="AV406" s="166">
        <v>2</v>
      </c>
      <c r="AW406" s="166">
        <v>32</v>
      </c>
      <c r="AX406" s="166">
        <v>61</v>
      </c>
      <c r="AY406" s="166">
        <v>11</v>
      </c>
      <c r="AZ406" s="166">
        <v>0</v>
      </c>
      <c r="BA406" s="166">
        <v>0</v>
      </c>
      <c r="BB406" s="166">
        <v>0</v>
      </c>
      <c r="BC406" s="166">
        <v>0</v>
      </c>
      <c r="BD406" s="166">
        <v>0</v>
      </c>
      <c r="BE406" s="166">
        <v>0</v>
      </c>
      <c r="BF406" s="166">
        <v>0</v>
      </c>
      <c r="BG406" s="166">
        <v>0</v>
      </c>
      <c r="BH406" s="166">
        <v>0</v>
      </c>
      <c r="BI406" s="166">
        <v>0</v>
      </c>
      <c r="BJ406" s="166">
        <v>0</v>
      </c>
      <c r="BK406" s="166">
        <v>0</v>
      </c>
      <c r="BL406" s="166">
        <v>0</v>
      </c>
      <c r="BM406" s="166">
        <v>0</v>
      </c>
      <c r="BN406" s="166">
        <v>0</v>
      </c>
      <c r="BO406" s="166">
        <v>0</v>
      </c>
      <c r="BP406" s="166">
        <v>0</v>
      </c>
      <c r="BQ406" s="81" t="s">
        <v>1757</v>
      </c>
      <c r="BX406" s="81" t="s">
        <v>155</v>
      </c>
      <c r="BZ406" s="81" t="s">
        <v>155</v>
      </c>
      <c r="CA406" s="81" t="s">
        <v>3934</v>
      </c>
      <c r="CC406" s="167">
        <v>0</v>
      </c>
      <c r="CD406" s="167">
        <v>0</v>
      </c>
      <c r="CE406" s="167">
        <v>0</v>
      </c>
      <c r="CF406" s="167">
        <f>N406</f>
        <v>106</v>
      </c>
      <c r="CG406" s="167">
        <v>0</v>
      </c>
      <c r="CH406" s="167">
        <v>0</v>
      </c>
      <c r="CI406" s="167">
        <v>0</v>
      </c>
      <c r="CJ406" s="167">
        <v>0</v>
      </c>
      <c r="CK406" s="167">
        <v>0</v>
      </c>
      <c r="CL406" s="167">
        <v>0</v>
      </c>
      <c r="CM406" s="167">
        <v>0</v>
      </c>
      <c r="CN406" s="167">
        <v>0</v>
      </c>
      <c r="CO406" s="167">
        <v>0</v>
      </c>
      <c r="CP406" s="167">
        <v>0</v>
      </c>
      <c r="CQ406" s="167">
        <v>0</v>
      </c>
      <c r="CR406" s="167">
        <v>0</v>
      </c>
      <c r="CS406" s="167">
        <v>0</v>
      </c>
      <c r="CT406" s="167">
        <v>0</v>
      </c>
      <c r="CU406" s="167">
        <v>0</v>
      </c>
      <c r="CV406" s="167">
        <v>0</v>
      </c>
      <c r="CW406" s="167">
        <v>0</v>
      </c>
      <c r="CX406" s="167">
        <f>SUM(CD406:CH406)</f>
        <v>106</v>
      </c>
      <c r="CY406" s="167">
        <f>SUM(CD406:CM406)</f>
        <v>106</v>
      </c>
    </row>
    <row r="407" spans="1:103" ht="12.75" customHeight="1" x14ac:dyDescent="0.2">
      <c r="A407" s="81">
        <v>3568</v>
      </c>
      <c r="B407" s="165" t="s">
        <v>1908</v>
      </c>
      <c r="C407" s="165" t="s">
        <v>3009</v>
      </c>
      <c r="E407" s="165" t="s">
        <v>2072</v>
      </c>
      <c r="G407" s="81">
        <v>521152</v>
      </c>
      <c r="H407" s="81">
        <v>174359</v>
      </c>
      <c r="I407" s="165" t="s">
        <v>877</v>
      </c>
      <c r="J407" s="349">
        <v>43190</v>
      </c>
      <c r="L407" s="166">
        <v>0</v>
      </c>
      <c r="M407" s="166">
        <v>2</v>
      </c>
      <c r="N407" s="166">
        <v>2</v>
      </c>
      <c r="O407" s="166">
        <v>2</v>
      </c>
      <c r="P407" s="166">
        <v>2</v>
      </c>
      <c r="R407" s="165" t="s">
        <v>3010</v>
      </c>
      <c r="S407" s="81" t="s">
        <v>113</v>
      </c>
      <c r="T407" s="349">
        <v>42905</v>
      </c>
      <c r="U407" s="349">
        <v>43027</v>
      </c>
      <c r="V407" s="81" t="s">
        <v>155</v>
      </c>
      <c r="W407" s="81" t="s">
        <v>114</v>
      </c>
      <c r="Y407" s="81" t="s">
        <v>115</v>
      </c>
      <c r="Z407" s="81" t="s">
        <v>116</v>
      </c>
      <c r="AA407" s="81" t="s">
        <v>117</v>
      </c>
      <c r="AB407" s="81" t="s">
        <v>218</v>
      </c>
      <c r="AC407" s="166">
        <v>0.13799999654293099</v>
      </c>
      <c r="AD407" s="349">
        <v>43190</v>
      </c>
      <c r="AE407" s="81" t="s">
        <v>155</v>
      </c>
      <c r="AG407" s="81" t="s">
        <v>238</v>
      </c>
      <c r="AH407" s="81" t="s">
        <v>118</v>
      </c>
      <c r="AK407" s="166">
        <v>0</v>
      </c>
      <c r="AL407" s="166">
        <v>2</v>
      </c>
      <c r="AM407" s="166">
        <v>0</v>
      </c>
      <c r="AO407" s="166">
        <v>0</v>
      </c>
      <c r="AP407" s="166">
        <v>0</v>
      </c>
      <c r="AQ407" s="166">
        <v>0</v>
      </c>
      <c r="AR407" s="166">
        <v>0</v>
      </c>
      <c r="AS407" s="166">
        <v>0</v>
      </c>
      <c r="AT407" s="166">
        <v>2</v>
      </c>
      <c r="AU407" s="166">
        <v>0</v>
      </c>
      <c r="AV407" s="166">
        <v>0</v>
      </c>
      <c r="AW407" s="166">
        <v>0</v>
      </c>
      <c r="AX407" s="166">
        <v>0</v>
      </c>
      <c r="AY407" s="166">
        <v>0</v>
      </c>
      <c r="AZ407" s="166">
        <v>0</v>
      </c>
      <c r="BA407" s="166">
        <v>0</v>
      </c>
      <c r="BB407" s="166">
        <v>0</v>
      </c>
      <c r="BC407" s="166">
        <v>0</v>
      </c>
      <c r="BD407" s="166">
        <v>0</v>
      </c>
      <c r="BE407" s="166">
        <v>0</v>
      </c>
      <c r="BF407" s="166">
        <v>0</v>
      </c>
      <c r="BG407" s="166">
        <v>0</v>
      </c>
      <c r="BH407" s="166">
        <v>2</v>
      </c>
      <c r="BI407" s="166">
        <v>0</v>
      </c>
      <c r="BJ407" s="166">
        <v>0</v>
      </c>
      <c r="BK407" s="166">
        <v>0</v>
      </c>
      <c r="BL407" s="166">
        <v>0</v>
      </c>
      <c r="BM407" s="166">
        <v>0</v>
      </c>
      <c r="BN407" s="166">
        <v>0</v>
      </c>
      <c r="BO407" s="166">
        <v>0</v>
      </c>
      <c r="BP407" s="166">
        <v>0</v>
      </c>
      <c r="BQ407" s="81" t="s">
        <v>1758</v>
      </c>
      <c r="BZ407" s="81" t="s">
        <v>155</v>
      </c>
      <c r="CA407" s="81" t="s">
        <v>3977</v>
      </c>
      <c r="CC407" s="167">
        <v>0</v>
      </c>
      <c r="CD407" s="167">
        <f>$N407/2</f>
        <v>1</v>
      </c>
      <c r="CE407" s="167">
        <f>$N407/2</f>
        <v>1</v>
      </c>
      <c r="CF407" s="167">
        <v>0</v>
      </c>
      <c r="CG407" s="167">
        <v>0</v>
      </c>
      <c r="CH407" s="167">
        <v>0</v>
      </c>
      <c r="CI407" s="167">
        <v>0</v>
      </c>
      <c r="CJ407" s="167">
        <v>0</v>
      </c>
      <c r="CK407" s="167">
        <v>0</v>
      </c>
      <c r="CL407" s="167">
        <v>0</v>
      </c>
      <c r="CM407" s="167">
        <v>0</v>
      </c>
      <c r="CN407" s="167">
        <v>0</v>
      </c>
      <c r="CO407" s="167">
        <v>0</v>
      </c>
      <c r="CP407" s="167">
        <v>0</v>
      </c>
      <c r="CQ407" s="167">
        <v>0</v>
      </c>
      <c r="CR407" s="167">
        <v>0</v>
      </c>
      <c r="CS407" s="167">
        <v>0</v>
      </c>
      <c r="CT407" s="167">
        <v>0</v>
      </c>
      <c r="CU407" s="167">
        <v>0</v>
      </c>
      <c r="CV407" s="167">
        <v>0</v>
      </c>
      <c r="CW407" s="167">
        <v>0</v>
      </c>
      <c r="CX407" s="167">
        <f>SUM(CD407:CH407)</f>
        <v>2</v>
      </c>
      <c r="CY407" s="167">
        <f>SUM(CD407:CM407)</f>
        <v>2</v>
      </c>
    </row>
    <row r="408" spans="1:103" ht="12.75" customHeight="1" x14ac:dyDescent="0.2">
      <c r="A408" s="81">
        <v>3603</v>
      </c>
      <c r="B408" s="165" t="s">
        <v>1908</v>
      </c>
      <c r="C408" s="165" t="s">
        <v>3477</v>
      </c>
      <c r="E408" s="165" t="s">
        <v>3478</v>
      </c>
      <c r="G408" s="81">
        <v>527109</v>
      </c>
      <c r="H408" s="81">
        <v>174953</v>
      </c>
      <c r="I408" s="165" t="s">
        <v>255</v>
      </c>
      <c r="J408" s="349">
        <v>42936</v>
      </c>
      <c r="L408" s="166">
        <v>0</v>
      </c>
      <c r="M408" s="166">
        <v>9</v>
      </c>
      <c r="N408" s="166">
        <v>9</v>
      </c>
      <c r="O408" s="166">
        <v>9</v>
      </c>
      <c r="P408" s="166">
        <v>9</v>
      </c>
      <c r="R408" s="165" t="s">
        <v>3479</v>
      </c>
      <c r="S408" s="81" t="s">
        <v>110</v>
      </c>
      <c r="T408" s="349">
        <v>42863</v>
      </c>
      <c r="U408" s="349">
        <v>42919</v>
      </c>
      <c r="V408" s="81" t="s">
        <v>155</v>
      </c>
      <c r="W408" s="81" t="s">
        <v>114</v>
      </c>
      <c r="Y408" s="81" t="s">
        <v>115</v>
      </c>
      <c r="Z408" s="81" t="s">
        <v>310</v>
      </c>
      <c r="AA408" s="81" t="s">
        <v>117</v>
      </c>
      <c r="AB408" s="81" t="s">
        <v>399</v>
      </c>
      <c r="AC408" s="166">
        <v>1.4000000432133701E-2</v>
      </c>
      <c r="AD408" s="349">
        <v>42936</v>
      </c>
      <c r="AE408" s="81" t="s">
        <v>155</v>
      </c>
      <c r="AG408" s="81" t="s">
        <v>238</v>
      </c>
      <c r="AH408" s="81" t="s">
        <v>118</v>
      </c>
      <c r="AK408" s="166">
        <v>0</v>
      </c>
      <c r="AM408" s="166">
        <v>0</v>
      </c>
      <c r="AO408" s="166">
        <v>9</v>
      </c>
      <c r="AP408" s="166">
        <v>0</v>
      </c>
      <c r="AQ408" s="166">
        <v>0</v>
      </c>
      <c r="AR408" s="166">
        <v>0</v>
      </c>
      <c r="AS408" s="166">
        <v>0</v>
      </c>
      <c r="AT408" s="166">
        <v>0</v>
      </c>
      <c r="AU408" s="166">
        <v>0</v>
      </c>
      <c r="AV408" s="166">
        <v>9</v>
      </c>
      <c r="AW408" s="166">
        <v>0</v>
      </c>
      <c r="AX408" s="166">
        <v>0</v>
      </c>
      <c r="AY408" s="166">
        <v>0</v>
      </c>
      <c r="AZ408" s="166">
        <v>0</v>
      </c>
      <c r="BA408" s="166">
        <v>0</v>
      </c>
      <c r="BB408" s="166">
        <v>0</v>
      </c>
      <c r="BC408" s="166">
        <v>0</v>
      </c>
      <c r="BD408" s="166">
        <v>0</v>
      </c>
      <c r="BE408" s="166">
        <v>0</v>
      </c>
      <c r="BF408" s="166">
        <v>0</v>
      </c>
      <c r="BG408" s="166">
        <v>0</v>
      </c>
      <c r="BH408" s="166">
        <v>0</v>
      </c>
      <c r="BI408" s="166">
        <v>0</v>
      </c>
      <c r="BJ408" s="166">
        <v>0</v>
      </c>
      <c r="BK408" s="166">
        <v>0</v>
      </c>
      <c r="BL408" s="166">
        <v>0</v>
      </c>
      <c r="BM408" s="166">
        <v>0</v>
      </c>
      <c r="BN408" s="166">
        <v>0</v>
      </c>
      <c r="BO408" s="166">
        <v>0</v>
      </c>
      <c r="BP408" s="166">
        <v>0</v>
      </c>
      <c r="BQ408" s="81" t="s">
        <v>1757</v>
      </c>
      <c r="BZ408" s="81" t="s">
        <v>155</v>
      </c>
      <c r="CA408" s="81" t="s">
        <v>3980</v>
      </c>
      <c r="CC408" s="167">
        <v>0</v>
      </c>
      <c r="CD408" s="167">
        <f>N408</f>
        <v>9</v>
      </c>
      <c r="CE408" s="167">
        <v>0</v>
      </c>
      <c r="CF408" s="167">
        <v>0</v>
      </c>
      <c r="CG408" s="167">
        <v>0</v>
      </c>
      <c r="CH408" s="167">
        <v>0</v>
      </c>
      <c r="CI408" s="167">
        <v>0</v>
      </c>
      <c r="CJ408" s="167">
        <v>0</v>
      </c>
      <c r="CK408" s="167">
        <v>0</v>
      </c>
      <c r="CL408" s="167">
        <v>0</v>
      </c>
      <c r="CM408" s="167">
        <v>0</v>
      </c>
      <c r="CN408" s="167">
        <v>0</v>
      </c>
      <c r="CO408" s="167">
        <v>0</v>
      </c>
      <c r="CP408" s="167">
        <v>0</v>
      </c>
      <c r="CQ408" s="167">
        <v>0</v>
      </c>
      <c r="CR408" s="167">
        <v>0</v>
      </c>
      <c r="CS408" s="167">
        <v>0</v>
      </c>
      <c r="CT408" s="167">
        <v>0</v>
      </c>
      <c r="CU408" s="167">
        <v>0</v>
      </c>
      <c r="CV408" s="167">
        <v>0</v>
      </c>
      <c r="CW408" s="167">
        <v>0</v>
      </c>
      <c r="CX408" s="167">
        <f>SUM(CD408:CH408)</f>
        <v>9</v>
      </c>
      <c r="CY408" s="167">
        <f>SUM(CD408:CM408)</f>
        <v>9</v>
      </c>
    </row>
    <row r="409" spans="1:103" ht="12.75" customHeight="1" x14ac:dyDescent="0.2">
      <c r="A409" s="81">
        <v>3603</v>
      </c>
      <c r="B409" s="165" t="s">
        <v>1908</v>
      </c>
      <c r="C409" s="165" t="s">
        <v>3480</v>
      </c>
      <c r="E409" s="165" t="s">
        <v>3478</v>
      </c>
      <c r="G409" s="81">
        <v>527109</v>
      </c>
      <c r="H409" s="81">
        <v>174953</v>
      </c>
      <c r="I409" s="165" t="s">
        <v>255</v>
      </c>
      <c r="J409" s="349">
        <v>42948</v>
      </c>
      <c r="L409" s="166">
        <v>0</v>
      </c>
      <c r="M409" s="166">
        <v>1</v>
      </c>
      <c r="N409" s="166">
        <v>1</v>
      </c>
      <c r="O409" s="166">
        <v>1</v>
      </c>
      <c r="P409" s="166">
        <v>1</v>
      </c>
      <c r="R409" s="165" t="s">
        <v>3481</v>
      </c>
      <c r="S409" s="81" t="s">
        <v>113</v>
      </c>
      <c r="T409" s="349">
        <v>42937</v>
      </c>
      <c r="U409" s="349">
        <v>42993</v>
      </c>
      <c r="V409" s="81" t="s">
        <v>155</v>
      </c>
      <c r="W409" s="81" t="s">
        <v>114</v>
      </c>
      <c r="Y409" s="81" t="s">
        <v>115</v>
      </c>
      <c r="Z409" s="81" t="s">
        <v>219</v>
      </c>
      <c r="AA409" s="81" t="s">
        <v>117</v>
      </c>
      <c r="AB409" s="81" t="s">
        <v>3889</v>
      </c>
      <c r="AC409" s="166">
        <v>4.0000001899898104E-3</v>
      </c>
      <c r="AD409" s="349">
        <v>42948</v>
      </c>
      <c r="AE409" s="81" t="s">
        <v>155</v>
      </c>
      <c r="AG409" s="81" t="s">
        <v>238</v>
      </c>
      <c r="AH409" s="81" t="s">
        <v>118</v>
      </c>
      <c r="AK409" s="166">
        <v>0</v>
      </c>
      <c r="AM409" s="166">
        <v>0</v>
      </c>
      <c r="AO409" s="166">
        <v>0</v>
      </c>
      <c r="AP409" s="166">
        <v>1</v>
      </c>
      <c r="AQ409" s="166">
        <v>0</v>
      </c>
      <c r="AR409" s="166">
        <v>0</v>
      </c>
      <c r="AS409" s="166">
        <v>0</v>
      </c>
      <c r="AT409" s="166">
        <v>0</v>
      </c>
      <c r="AU409" s="166">
        <v>0</v>
      </c>
      <c r="AV409" s="166">
        <v>0</v>
      </c>
      <c r="AW409" s="166">
        <v>1</v>
      </c>
      <c r="AX409" s="166">
        <v>0</v>
      </c>
      <c r="AY409" s="166">
        <v>0</v>
      </c>
      <c r="AZ409" s="166">
        <v>0</v>
      </c>
      <c r="BA409" s="166">
        <v>0</v>
      </c>
      <c r="BB409" s="166">
        <v>0</v>
      </c>
      <c r="BC409" s="166">
        <v>0</v>
      </c>
      <c r="BD409" s="166">
        <v>0</v>
      </c>
      <c r="BE409" s="166">
        <v>0</v>
      </c>
      <c r="BF409" s="166">
        <v>0</v>
      </c>
      <c r="BG409" s="166">
        <v>0</v>
      </c>
      <c r="BH409" s="166">
        <v>0</v>
      </c>
      <c r="BI409" s="166">
        <v>0</v>
      </c>
      <c r="BJ409" s="166">
        <v>0</v>
      </c>
      <c r="BK409" s="166">
        <v>0</v>
      </c>
      <c r="BL409" s="166">
        <v>0</v>
      </c>
      <c r="BM409" s="166">
        <v>0</v>
      </c>
      <c r="BN409" s="166">
        <v>0</v>
      </c>
      <c r="BO409" s="166">
        <v>0</v>
      </c>
      <c r="BP409" s="166">
        <v>0</v>
      </c>
      <c r="BQ409" s="81" t="s">
        <v>1757</v>
      </c>
      <c r="BZ409" s="81" t="s">
        <v>155</v>
      </c>
      <c r="CA409" s="81" t="s">
        <v>3980</v>
      </c>
      <c r="CC409" s="167">
        <v>0</v>
      </c>
      <c r="CD409" s="167">
        <f>N409</f>
        <v>1</v>
      </c>
      <c r="CE409" s="167">
        <v>0</v>
      </c>
      <c r="CF409" s="167">
        <v>0</v>
      </c>
      <c r="CG409" s="167">
        <v>0</v>
      </c>
      <c r="CH409" s="167">
        <v>0</v>
      </c>
      <c r="CI409" s="167">
        <v>0</v>
      </c>
      <c r="CJ409" s="167">
        <v>0</v>
      </c>
      <c r="CK409" s="167">
        <v>0</v>
      </c>
      <c r="CL409" s="167">
        <v>0</v>
      </c>
      <c r="CM409" s="167">
        <v>0</v>
      </c>
      <c r="CN409" s="167">
        <v>0</v>
      </c>
      <c r="CO409" s="167">
        <v>0</v>
      </c>
      <c r="CP409" s="167">
        <v>0</v>
      </c>
      <c r="CQ409" s="167">
        <v>0</v>
      </c>
      <c r="CR409" s="167">
        <v>0</v>
      </c>
      <c r="CS409" s="167">
        <v>0</v>
      </c>
      <c r="CT409" s="167">
        <v>0</v>
      </c>
      <c r="CU409" s="167">
        <v>0</v>
      </c>
      <c r="CV409" s="167">
        <v>0</v>
      </c>
      <c r="CW409" s="167">
        <v>0</v>
      </c>
      <c r="CX409" s="167">
        <f>SUM(CD409:CH409)</f>
        <v>1</v>
      </c>
      <c r="CY409" s="167">
        <f>SUM(CD409:CM409)</f>
        <v>1</v>
      </c>
    </row>
    <row r="410" spans="1:103" ht="12.75" customHeight="1" x14ac:dyDescent="0.2">
      <c r="A410" s="81">
        <v>3745</v>
      </c>
      <c r="B410" s="165" t="s">
        <v>1908</v>
      </c>
      <c r="C410" s="165" t="s">
        <v>800</v>
      </c>
      <c r="D410" s="165" t="s">
        <v>439</v>
      </c>
      <c r="E410" s="165" t="s">
        <v>3003</v>
      </c>
      <c r="G410" s="81">
        <v>529291</v>
      </c>
      <c r="H410" s="81">
        <v>171210</v>
      </c>
      <c r="I410" s="165" t="s">
        <v>252</v>
      </c>
      <c r="J410" s="349">
        <v>42826</v>
      </c>
      <c r="L410" s="166">
        <v>0</v>
      </c>
      <c r="M410" s="166">
        <v>6</v>
      </c>
      <c r="N410" s="166">
        <v>6</v>
      </c>
      <c r="O410" s="166">
        <v>6</v>
      </c>
      <c r="P410" s="166">
        <v>6</v>
      </c>
      <c r="R410" s="165" t="s">
        <v>801</v>
      </c>
      <c r="S410" s="81" t="s">
        <v>113</v>
      </c>
      <c r="T410" s="349">
        <v>42361</v>
      </c>
      <c r="U410" s="349">
        <v>42517</v>
      </c>
      <c r="W410" s="81" t="s">
        <v>114</v>
      </c>
      <c r="Y410" s="81" t="s">
        <v>115</v>
      </c>
      <c r="Z410" s="81" t="s">
        <v>116</v>
      </c>
      <c r="AA410" s="81" t="s">
        <v>117</v>
      </c>
      <c r="AB410" s="81" t="s">
        <v>218</v>
      </c>
      <c r="AC410" s="166">
        <v>0.19799999892711601</v>
      </c>
      <c r="AD410" s="349">
        <v>42826</v>
      </c>
      <c r="AE410" s="81" t="s">
        <v>155</v>
      </c>
      <c r="AG410" s="81" t="s">
        <v>238</v>
      </c>
      <c r="AH410" s="81" t="s">
        <v>118</v>
      </c>
      <c r="AK410" s="166">
        <v>6</v>
      </c>
      <c r="AM410" s="166">
        <v>0</v>
      </c>
      <c r="AO410" s="166">
        <v>0</v>
      </c>
      <c r="AP410" s="166">
        <v>0</v>
      </c>
      <c r="AQ410" s="166">
        <v>0</v>
      </c>
      <c r="AR410" s="166">
        <v>6</v>
      </c>
      <c r="AS410" s="166">
        <v>0</v>
      </c>
      <c r="AT410" s="166">
        <v>0</v>
      </c>
      <c r="AU410" s="166">
        <v>0</v>
      </c>
      <c r="AV410" s="166">
        <v>0</v>
      </c>
      <c r="AW410" s="166">
        <v>0</v>
      </c>
      <c r="AX410" s="166">
        <v>0</v>
      </c>
      <c r="AY410" s="166">
        <v>0</v>
      </c>
      <c r="AZ410" s="166">
        <v>0</v>
      </c>
      <c r="BA410" s="166">
        <v>0</v>
      </c>
      <c r="BB410" s="166">
        <v>0</v>
      </c>
      <c r="BC410" s="166">
        <v>0</v>
      </c>
      <c r="BD410" s="166">
        <v>0</v>
      </c>
      <c r="BE410" s="166">
        <v>0</v>
      </c>
      <c r="BF410" s="166">
        <v>6</v>
      </c>
      <c r="BG410" s="166">
        <v>0</v>
      </c>
      <c r="BH410" s="166">
        <v>0</v>
      </c>
      <c r="BI410" s="166">
        <v>0</v>
      </c>
      <c r="BJ410" s="166">
        <v>0</v>
      </c>
      <c r="BK410" s="166">
        <v>0</v>
      </c>
      <c r="BL410" s="166">
        <v>0</v>
      </c>
      <c r="BM410" s="166">
        <v>0</v>
      </c>
      <c r="BN410" s="166">
        <v>0</v>
      </c>
      <c r="BO410" s="166">
        <v>0</v>
      </c>
      <c r="BP410" s="166">
        <v>0</v>
      </c>
      <c r="BQ410" s="81" t="s">
        <v>1757</v>
      </c>
      <c r="BZ410" s="81" t="s">
        <v>155</v>
      </c>
      <c r="CA410" s="81" t="s">
        <v>3976</v>
      </c>
      <c r="CC410" s="167">
        <v>0</v>
      </c>
      <c r="CD410" s="167">
        <f>N410</f>
        <v>6</v>
      </c>
      <c r="CE410" s="167">
        <v>0</v>
      </c>
      <c r="CF410" s="167">
        <v>0</v>
      </c>
      <c r="CG410" s="167">
        <v>0</v>
      </c>
      <c r="CH410" s="167">
        <v>0</v>
      </c>
      <c r="CI410" s="167">
        <v>0</v>
      </c>
      <c r="CJ410" s="167">
        <v>0</v>
      </c>
      <c r="CK410" s="167">
        <v>0</v>
      </c>
      <c r="CL410" s="167">
        <v>0</v>
      </c>
      <c r="CM410" s="167">
        <v>0</v>
      </c>
      <c r="CN410" s="167">
        <v>0</v>
      </c>
      <c r="CO410" s="167">
        <v>0</v>
      </c>
      <c r="CP410" s="167">
        <v>0</v>
      </c>
      <c r="CQ410" s="167">
        <v>0</v>
      </c>
      <c r="CR410" s="167">
        <v>0</v>
      </c>
      <c r="CS410" s="167">
        <v>0</v>
      </c>
      <c r="CT410" s="167">
        <v>0</v>
      </c>
      <c r="CU410" s="167">
        <v>0</v>
      </c>
      <c r="CV410" s="167">
        <v>0</v>
      </c>
      <c r="CW410" s="167">
        <v>0</v>
      </c>
      <c r="CX410" s="167">
        <f>SUM(CD410:CH410)</f>
        <v>6</v>
      </c>
      <c r="CY410" s="167">
        <f>SUM(CD410:CM410)</f>
        <v>6</v>
      </c>
    </row>
    <row r="411" spans="1:103" ht="12.75" customHeight="1" x14ac:dyDescent="0.2">
      <c r="A411" s="81">
        <v>3805</v>
      </c>
      <c r="B411" s="165" t="s">
        <v>1908</v>
      </c>
      <c r="C411" s="165" t="s">
        <v>402</v>
      </c>
      <c r="E411" s="165" t="s">
        <v>3011</v>
      </c>
      <c r="G411" s="81">
        <v>526104</v>
      </c>
      <c r="H411" s="81">
        <v>174968</v>
      </c>
      <c r="I411" s="165" t="s">
        <v>251</v>
      </c>
      <c r="J411" s="349">
        <v>40908</v>
      </c>
      <c r="L411" s="166">
        <v>2</v>
      </c>
      <c r="M411" s="166">
        <v>4</v>
      </c>
      <c r="N411" s="166">
        <v>2</v>
      </c>
      <c r="O411" s="166">
        <v>4</v>
      </c>
      <c r="P411" s="166">
        <v>2</v>
      </c>
      <c r="R411" s="165" t="s">
        <v>403</v>
      </c>
      <c r="S411" s="81" t="s">
        <v>113</v>
      </c>
      <c r="T411" s="349">
        <v>40786</v>
      </c>
      <c r="U411" s="349">
        <v>40865</v>
      </c>
      <c r="W411" s="81" t="s">
        <v>114</v>
      </c>
      <c r="Y411" s="81" t="s">
        <v>115</v>
      </c>
      <c r="Z411" s="81" t="s">
        <v>116</v>
      </c>
      <c r="AA411" s="81" t="s">
        <v>117</v>
      </c>
      <c r="AB411" s="81" t="s">
        <v>218</v>
      </c>
      <c r="AC411" s="166">
        <v>5.4999999701976797E-2</v>
      </c>
      <c r="AD411" s="349">
        <v>40908</v>
      </c>
      <c r="AG411" s="81" t="s">
        <v>238</v>
      </c>
      <c r="AH411" s="81" t="s">
        <v>118</v>
      </c>
      <c r="AK411" s="166">
        <v>4</v>
      </c>
      <c r="AM411" s="166">
        <v>4</v>
      </c>
      <c r="AO411" s="166">
        <v>0</v>
      </c>
      <c r="AP411" s="166">
        <v>0</v>
      </c>
      <c r="AQ411" s="166">
        <v>0</v>
      </c>
      <c r="AR411" s="166">
        <v>2</v>
      </c>
      <c r="AS411" s="166">
        <v>0</v>
      </c>
      <c r="AT411" s="166">
        <v>0</v>
      </c>
      <c r="AU411" s="166">
        <v>0</v>
      </c>
      <c r="AV411" s="166">
        <v>0</v>
      </c>
      <c r="AW411" s="166">
        <v>0</v>
      </c>
      <c r="AX411" s="166">
        <v>0</v>
      </c>
      <c r="AY411" s="166">
        <v>0</v>
      </c>
      <c r="AZ411" s="166">
        <v>0</v>
      </c>
      <c r="BA411" s="166">
        <v>0</v>
      </c>
      <c r="BB411" s="166">
        <v>0</v>
      </c>
      <c r="BC411" s="166">
        <v>0</v>
      </c>
      <c r="BD411" s="166">
        <v>0</v>
      </c>
      <c r="BE411" s="166">
        <v>0</v>
      </c>
      <c r="BF411" s="166">
        <v>2</v>
      </c>
      <c r="BG411" s="166">
        <v>0</v>
      </c>
      <c r="BH411" s="166">
        <v>0</v>
      </c>
      <c r="BI411" s="166">
        <v>0</v>
      </c>
      <c r="BJ411" s="166">
        <v>0</v>
      </c>
      <c r="BK411" s="166">
        <v>0</v>
      </c>
      <c r="BL411" s="166">
        <v>0</v>
      </c>
      <c r="BM411" s="166">
        <v>0</v>
      </c>
      <c r="BN411" s="166">
        <v>0</v>
      </c>
      <c r="BO411" s="166">
        <v>0</v>
      </c>
      <c r="BP411" s="166">
        <v>0</v>
      </c>
      <c r="BQ411" s="81" t="s">
        <v>1758</v>
      </c>
      <c r="BZ411" s="81" t="s">
        <v>155</v>
      </c>
      <c r="CA411" s="81" t="s">
        <v>3976</v>
      </c>
      <c r="CC411" s="167">
        <v>0</v>
      </c>
      <c r="CD411" s="167">
        <f>N411</f>
        <v>2</v>
      </c>
      <c r="CE411" s="167">
        <v>0</v>
      </c>
      <c r="CF411" s="167">
        <v>0</v>
      </c>
      <c r="CG411" s="167">
        <v>0</v>
      </c>
      <c r="CH411" s="167">
        <v>0</v>
      </c>
      <c r="CI411" s="167">
        <v>0</v>
      </c>
      <c r="CJ411" s="167">
        <v>0</v>
      </c>
      <c r="CK411" s="167">
        <v>0</v>
      </c>
      <c r="CL411" s="167">
        <v>0</v>
      </c>
      <c r="CM411" s="167">
        <v>0</v>
      </c>
      <c r="CN411" s="167">
        <v>0</v>
      </c>
      <c r="CO411" s="167">
        <v>0</v>
      </c>
      <c r="CP411" s="167">
        <v>0</v>
      </c>
      <c r="CQ411" s="167">
        <v>0</v>
      </c>
      <c r="CR411" s="167">
        <v>0</v>
      </c>
      <c r="CS411" s="167">
        <v>0</v>
      </c>
      <c r="CT411" s="167">
        <v>0</v>
      </c>
      <c r="CU411" s="167">
        <v>0</v>
      </c>
      <c r="CV411" s="167">
        <v>0</v>
      </c>
      <c r="CW411" s="167">
        <v>0</v>
      </c>
      <c r="CX411" s="167">
        <f>SUM(CD411:CH411)</f>
        <v>2</v>
      </c>
      <c r="CY411" s="167">
        <f>SUM(CD411:CM411)</f>
        <v>2</v>
      </c>
    </row>
    <row r="412" spans="1:103" ht="12.75" customHeight="1" x14ac:dyDescent="0.2">
      <c r="A412" s="81">
        <v>3943</v>
      </c>
      <c r="B412" s="165" t="s">
        <v>1908</v>
      </c>
      <c r="C412" s="165" t="s">
        <v>1246</v>
      </c>
      <c r="D412" s="165" t="s">
        <v>129</v>
      </c>
      <c r="E412" s="165" t="s">
        <v>3012</v>
      </c>
      <c r="F412" s="165" t="s">
        <v>3013</v>
      </c>
      <c r="G412" s="81">
        <v>529575</v>
      </c>
      <c r="H412" s="81">
        <v>177401</v>
      </c>
      <c r="I412" s="165" t="s">
        <v>240</v>
      </c>
      <c r="J412" s="349">
        <v>41456</v>
      </c>
      <c r="L412" s="166">
        <v>0</v>
      </c>
      <c r="M412" s="166">
        <v>101</v>
      </c>
      <c r="N412" s="166">
        <v>101</v>
      </c>
      <c r="O412" s="166">
        <v>1950</v>
      </c>
      <c r="P412" s="166">
        <v>1950</v>
      </c>
      <c r="Q412" s="81" t="s">
        <v>155</v>
      </c>
      <c r="R412" s="165" t="s">
        <v>1247</v>
      </c>
      <c r="S412" s="81" t="s">
        <v>509</v>
      </c>
      <c r="T412" s="349">
        <v>42481</v>
      </c>
      <c r="U412" s="349">
        <v>42758</v>
      </c>
      <c r="W412" s="81" t="s">
        <v>114</v>
      </c>
      <c r="Y412" s="81" t="s">
        <v>115</v>
      </c>
      <c r="Z412" s="81" t="s">
        <v>116</v>
      </c>
      <c r="AA412" s="81" t="s">
        <v>116</v>
      </c>
      <c r="AB412" s="81" t="s">
        <v>117</v>
      </c>
      <c r="AC412" s="166">
        <v>1.7000000923872001E-2</v>
      </c>
      <c r="AG412" s="81" t="s">
        <v>238</v>
      </c>
      <c r="AH412" s="81" t="s">
        <v>118</v>
      </c>
      <c r="AI412" s="81" t="s">
        <v>3014</v>
      </c>
      <c r="AK412" s="166">
        <v>13</v>
      </c>
      <c r="AL412" s="166">
        <v>91</v>
      </c>
      <c r="AM412" s="166">
        <v>1</v>
      </c>
      <c r="AN412" s="166">
        <v>10</v>
      </c>
      <c r="AO412" s="166">
        <v>6</v>
      </c>
      <c r="AP412" s="166">
        <v>28</v>
      </c>
      <c r="AQ412" s="166">
        <v>44</v>
      </c>
      <c r="AR412" s="166">
        <v>19</v>
      </c>
      <c r="AS412" s="166">
        <v>4</v>
      </c>
      <c r="AT412" s="166">
        <v>0</v>
      </c>
      <c r="AU412" s="166">
        <v>0</v>
      </c>
      <c r="AV412" s="166">
        <v>6</v>
      </c>
      <c r="AW412" s="166">
        <v>28</v>
      </c>
      <c r="AX412" s="166">
        <v>44</v>
      </c>
      <c r="AY412" s="166">
        <v>19</v>
      </c>
      <c r="AZ412" s="166">
        <v>4</v>
      </c>
      <c r="BA412" s="166">
        <v>0</v>
      </c>
      <c r="BB412" s="166">
        <v>0</v>
      </c>
      <c r="BC412" s="166">
        <v>0</v>
      </c>
      <c r="BD412" s="166">
        <v>0</v>
      </c>
      <c r="BE412" s="166">
        <v>0</v>
      </c>
      <c r="BF412" s="166">
        <v>0</v>
      </c>
      <c r="BG412" s="166">
        <v>0</v>
      </c>
      <c r="BH412" s="166">
        <v>0</v>
      </c>
      <c r="BI412" s="166">
        <v>0</v>
      </c>
      <c r="BJ412" s="166">
        <v>0</v>
      </c>
      <c r="BK412" s="166">
        <v>0</v>
      </c>
      <c r="BL412" s="166">
        <v>0</v>
      </c>
      <c r="BM412" s="166">
        <v>0</v>
      </c>
      <c r="BN412" s="166">
        <v>0</v>
      </c>
      <c r="BO412" s="166">
        <v>0</v>
      </c>
      <c r="BP412" s="166">
        <v>0</v>
      </c>
      <c r="BQ412" s="81" t="s">
        <v>1759</v>
      </c>
      <c r="BS412" s="81" t="s">
        <v>155</v>
      </c>
      <c r="BZ412" s="81" t="s">
        <v>155</v>
      </c>
      <c r="CA412" s="81">
        <v>12</v>
      </c>
      <c r="CC412" s="167">
        <v>0</v>
      </c>
      <c r="CD412" s="167">
        <v>0</v>
      </c>
      <c r="CE412" s="167">
        <v>0</v>
      </c>
      <c r="CF412" s="167">
        <v>0</v>
      </c>
      <c r="CG412" s="167">
        <v>0</v>
      </c>
      <c r="CH412" s="167">
        <v>0</v>
      </c>
      <c r="CI412" s="167">
        <v>0</v>
      </c>
      <c r="CJ412" s="167">
        <v>0</v>
      </c>
      <c r="CK412" s="167">
        <v>0</v>
      </c>
      <c r="CL412" s="167">
        <v>0</v>
      </c>
      <c r="CM412" s="167">
        <v>0</v>
      </c>
      <c r="CN412" s="167">
        <f>N412</f>
        <v>101</v>
      </c>
      <c r="CO412" s="167">
        <v>0</v>
      </c>
      <c r="CP412" s="167">
        <v>0</v>
      </c>
      <c r="CQ412" s="167">
        <v>0</v>
      </c>
      <c r="CR412" s="167">
        <v>0</v>
      </c>
      <c r="CS412" s="167">
        <v>0</v>
      </c>
      <c r="CT412" s="167">
        <v>0</v>
      </c>
      <c r="CU412" s="167">
        <v>0</v>
      </c>
      <c r="CV412" s="167">
        <v>0</v>
      </c>
      <c r="CW412" s="167">
        <v>0</v>
      </c>
      <c r="CX412" s="167">
        <f>SUM(CD412:CH412)</f>
        <v>0</v>
      </c>
      <c r="CY412" s="167">
        <f>SUM(CD412:CM412)</f>
        <v>0</v>
      </c>
    </row>
    <row r="413" spans="1:103" ht="12.75" customHeight="1" x14ac:dyDescent="0.2">
      <c r="A413" s="81">
        <v>3943</v>
      </c>
      <c r="B413" s="165" t="s">
        <v>1908</v>
      </c>
      <c r="C413" s="165" t="s">
        <v>1246</v>
      </c>
      <c r="D413" s="165" t="s">
        <v>129</v>
      </c>
      <c r="E413" s="165" t="s">
        <v>3012</v>
      </c>
      <c r="F413" s="165" t="s">
        <v>3013</v>
      </c>
      <c r="G413" s="81">
        <v>529575</v>
      </c>
      <c r="H413" s="81">
        <v>177401</v>
      </c>
      <c r="I413" s="165" t="s">
        <v>240</v>
      </c>
      <c r="J413" s="349">
        <v>41456</v>
      </c>
      <c r="L413" s="166">
        <v>0</v>
      </c>
      <c r="M413" s="166">
        <v>10</v>
      </c>
      <c r="N413" s="166">
        <v>10</v>
      </c>
      <c r="O413" s="166">
        <v>1950</v>
      </c>
      <c r="P413" s="166">
        <v>1950</v>
      </c>
      <c r="Q413" s="81" t="s">
        <v>155</v>
      </c>
      <c r="R413" s="165" t="s">
        <v>1247</v>
      </c>
      <c r="S413" s="81" t="s">
        <v>509</v>
      </c>
      <c r="T413" s="349">
        <v>42481</v>
      </c>
      <c r="U413" s="349">
        <v>42758</v>
      </c>
      <c r="W413" s="81" t="s">
        <v>114</v>
      </c>
      <c r="Y413" s="81" t="s">
        <v>115</v>
      </c>
      <c r="Z413" s="81" t="s">
        <v>116</v>
      </c>
      <c r="AA413" s="81" t="s">
        <v>116</v>
      </c>
      <c r="AB413" s="81" t="s">
        <v>117</v>
      </c>
      <c r="AC413" s="166">
        <v>5.6000001728534698E-2</v>
      </c>
      <c r="AG413" s="81" t="s">
        <v>154</v>
      </c>
      <c r="AH413" s="81" t="s">
        <v>276</v>
      </c>
      <c r="AI413" s="81" t="s">
        <v>3014</v>
      </c>
      <c r="AK413" s="166">
        <v>41</v>
      </c>
      <c r="AL413" s="166">
        <v>9</v>
      </c>
      <c r="AM413" s="166">
        <v>5</v>
      </c>
      <c r="AN413" s="166">
        <v>1</v>
      </c>
      <c r="AO413" s="166">
        <v>0</v>
      </c>
      <c r="AP413" s="166">
        <v>3</v>
      </c>
      <c r="AQ413" s="166">
        <v>4</v>
      </c>
      <c r="AR413" s="166">
        <v>2</v>
      </c>
      <c r="AS413" s="166">
        <v>1</v>
      </c>
      <c r="AT413" s="166">
        <v>0</v>
      </c>
      <c r="AU413" s="166">
        <v>0</v>
      </c>
      <c r="AV413" s="166">
        <v>0</v>
      </c>
      <c r="AW413" s="166">
        <v>3</v>
      </c>
      <c r="AX413" s="166">
        <v>4</v>
      </c>
      <c r="AY413" s="166">
        <v>2</v>
      </c>
      <c r="AZ413" s="166">
        <v>1</v>
      </c>
      <c r="BA413" s="166">
        <v>0</v>
      </c>
      <c r="BB413" s="166">
        <v>0</v>
      </c>
      <c r="BC413" s="166">
        <v>0</v>
      </c>
      <c r="BD413" s="166">
        <v>0</v>
      </c>
      <c r="BE413" s="166">
        <v>0</v>
      </c>
      <c r="BF413" s="166">
        <v>0</v>
      </c>
      <c r="BG413" s="166">
        <v>0</v>
      </c>
      <c r="BH413" s="166">
        <v>0</v>
      </c>
      <c r="BI413" s="166">
        <v>0</v>
      </c>
      <c r="BJ413" s="166">
        <v>0</v>
      </c>
      <c r="BK413" s="166">
        <v>0</v>
      </c>
      <c r="BL413" s="166">
        <v>0</v>
      </c>
      <c r="BM413" s="166">
        <v>0</v>
      </c>
      <c r="BN413" s="166">
        <v>0</v>
      </c>
      <c r="BO413" s="166">
        <v>0</v>
      </c>
      <c r="BP413" s="166">
        <v>0</v>
      </c>
      <c r="BQ413" s="81" t="s">
        <v>1759</v>
      </c>
      <c r="BS413" s="81" t="s">
        <v>155</v>
      </c>
      <c r="BZ413" s="81" t="s">
        <v>155</v>
      </c>
      <c r="CA413" s="81">
        <v>12</v>
      </c>
      <c r="CC413" s="167">
        <v>0</v>
      </c>
      <c r="CD413" s="167">
        <v>0</v>
      </c>
      <c r="CE413" s="167">
        <v>0</v>
      </c>
      <c r="CF413" s="167">
        <v>0</v>
      </c>
      <c r="CG413" s="167">
        <v>0</v>
      </c>
      <c r="CH413" s="167">
        <v>0</v>
      </c>
      <c r="CI413" s="167">
        <v>0</v>
      </c>
      <c r="CJ413" s="167">
        <v>0</v>
      </c>
      <c r="CK413" s="167">
        <v>0</v>
      </c>
      <c r="CL413" s="167">
        <v>0</v>
      </c>
      <c r="CM413" s="167">
        <v>0</v>
      </c>
      <c r="CN413" s="167">
        <f>N413</f>
        <v>10</v>
      </c>
      <c r="CO413" s="167">
        <v>0</v>
      </c>
      <c r="CP413" s="167">
        <v>0</v>
      </c>
      <c r="CQ413" s="167">
        <v>0</v>
      </c>
      <c r="CR413" s="167">
        <v>0</v>
      </c>
      <c r="CS413" s="167">
        <v>0</v>
      </c>
      <c r="CT413" s="167">
        <v>0</v>
      </c>
      <c r="CU413" s="167">
        <v>0</v>
      </c>
      <c r="CV413" s="167">
        <v>0</v>
      </c>
      <c r="CW413" s="167">
        <v>0</v>
      </c>
      <c r="CX413" s="167">
        <f>SUM(CD413:CH413)</f>
        <v>0</v>
      </c>
      <c r="CY413" s="167">
        <f>SUM(CD413:CM413)</f>
        <v>0</v>
      </c>
    </row>
    <row r="414" spans="1:103" ht="12.75" customHeight="1" x14ac:dyDescent="0.2">
      <c r="A414" s="81">
        <v>3943</v>
      </c>
      <c r="B414" s="165" t="s">
        <v>1908</v>
      </c>
      <c r="C414" s="165" t="s">
        <v>1246</v>
      </c>
      <c r="D414" s="165" t="s">
        <v>129</v>
      </c>
      <c r="E414" s="165" t="s">
        <v>3012</v>
      </c>
      <c r="F414" s="165" t="s">
        <v>3013</v>
      </c>
      <c r="G414" s="81">
        <v>529575</v>
      </c>
      <c r="H414" s="81">
        <v>177401</v>
      </c>
      <c r="I414" s="165" t="s">
        <v>240</v>
      </c>
      <c r="J414" s="349">
        <v>41456</v>
      </c>
      <c r="L414" s="166">
        <v>0</v>
      </c>
      <c r="M414" s="166">
        <v>8</v>
      </c>
      <c r="N414" s="166">
        <v>8</v>
      </c>
      <c r="O414" s="166">
        <v>1950</v>
      </c>
      <c r="P414" s="166">
        <v>1950</v>
      </c>
      <c r="Q414" s="81" t="s">
        <v>155</v>
      </c>
      <c r="R414" s="165" t="s">
        <v>1247</v>
      </c>
      <c r="S414" s="81" t="s">
        <v>509</v>
      </c>
      <c r="T414" s="349">
        <v>42481</v>
      </c>
      <c r="U414" s="349">
        <v>42758</v>
      </c>
      <c r="W414" s="81" t="s">
        <v>114</v>
      </c>
      <c r="Y414" s="81" t="s">
        <v>115</v>
      </c>
      <c r="Z414" s="81" t="s">
        <v>116</v>
      </c>
      <c r="AA414" s="81" t="s">
        <v>116</v>
      </c>
      <c r="AB414" s="81" t="s">
        <v>117</v>
      </c>
      <c r="AC414" s="166">
        <v>2.60000005364418E-2</v>
      </c>
      <c r="AG414" s="81" t="s">
        <v>74</v>
      </c>
      <c r="AH414" s="81" t="s">
        <v>880</v>
      </c>
      <c r="AI414" s="81" t="s">
        <v>3014</v>
      </c>
      <c r="AK414" s="166">
        <v>19</v>
      </c>
      <c r="AL414" s="166">
        <v>7</v>
      </c>
      <c r="AM414" s="166">
        <v>2</v>
      </c>
      <c r="AN414" s="166">
        <v>1</v>
      </c>
      <c r="AO414" s="166">
        <v>0</v>
      </c>
      <c r="AP414" s="166">
        <v>3</v>
      </c>
      <c r="AQ414" s="166">
        <v>3</v>
      </c>
      <c r="AR414" s="166">
        <v>1</v>
      </c>
      <c r="AS414" s="166">
        <v>1</v>
      </c>
      <c r="AT414" s="166">
        <v>0</v>
      </c>
      <c r="AU414" s="166">
        <v>0</v>
      </c>
      <c r="AV414" s="166">
        <v>0</v>
      </c>
      <c r="AW414" s="166">
        <v>3</v>
      </c>
      <c r="AX414" s="166">
        <v>3</v>
      </c>
      <c r="AY414" s="166">
        <v>1</v>
      </c>
      <c r="AZ414" s="166">
        <v>1</v>
      </c>
      <c r="BA414" s="166">
        <v>0</v>
      </c>
      <c r="BB414" s="166">
        <v>0</v>
      </c>
      <c r="BC414" s="166">
        <v>0</v>
      </c>
      <c r="BD414" s="166">
        <v>0</v>
      </c>
      <c r="BE414" s="166">
        <v>0</v>
      </c>
      <c r="BF414" s="166">
        <v>0</v>
      </c>
      <c r="BG414" s="166">
        <v>0</v>
      </c>
      <c r="BH414" s="166">
        <v>0</v>
      </c>
      <c r="BI414" s="166">
        <v>0</v>
      </c>
      <c r="BJ414" s="166">
        <v>0</v>
      </c>
      <c r="BK414" s="166">
        <v>0</v>
      </c>
      <c r="BL414" s="166">
        <v>0</v>
      </c>
      <c r="BM414" s="166">
        <v>0</v>
      </c>
      <c r="BN414" s="166">
        <v>0</v>
      </c>
      <c r="BO414" s="166">
        <v>0</v>
      </c>
      <c r="BP414" s="166">
        <v>0</v>
      </c>
      <c r="BQ414" s="81" t="s">
        <v>1759</v>
      </c>
      <c r="BS414" s="81" t="s">
        <v>155</v>
      </c>
      <c r="BZ414" s="81" t="s">
        <v>155</v>
      </c>
      <c r="CA414" s="81">
        <v>12</v>
      </c>
      <c r="CC414" s="167">
        <v>0</v>
      </c>
      <c r="CD414" s="167">
        <v>0</v>
      </c>
      <c r="CE414" s="167">
        <v>0</v>
      </c>
      <c r="CF414" s="167">
        <v>0</v>
      </c>
      <c r="CG414" s="167">
        <v>0</v>
      </c>
      <c r="CH414" s="167">
        <v>0</v>
      </c>
      <c r="CI414" s="167">
        <v>0</v>
      </c>
      <c r="CJ414" s="167">
        <v>0</v>
      </c>
      <c r="CK414" s="167">
        <v>0</v>
      </c>
      <c r="CL414" s="167">
        <v>0</v>
      </c>
      <c r="CM414" s="167">
        <v>0</v>
      </c>
      <c r="CN414" s="167">
        <f>N414</f>
        <v>8</v>
      </c>
      <c r="CO414" s="167">
        <v>0</v>
      </c>
      <c r="CP414" s="167">
        <v>0</v>
      </c>
      <c r="CQ414" s="167">
        <v>0</v>
      </c>
      <c r="CR414" s="167">
        <v>0</v>
      </c>
      <c r="CS414" s="167">
        <v>0</v>
      </c>
      <c r="CT414" s="167">
        <v>0</v>
      </c>
      <c r="CU414" s="167">
        <v>0</v>
      </c>
      <c r="CV414" s="167">
        <v>0</v>
      </c>
      <c r="CW414" s="167">
        <v>0</v>
      </c>
      <c r="CX414" s="167">
        <f>SUM(CD414:CH414)</f>
        <v>0</v>
      </c>
      <c r="CY414" s="167">
        <f>SUM(CD414:CM414)</f>
        <v>0</v>
      </c>
    </row>
    <row r="415" spans="1:103" ht="12.75" customHeight="1" x14ac:dyDescent="0.2">
      <c r="A415" s="81">
        <v>3943</v>
      </c>
      <c r="B415" s="165" t="s">
        <v>1908</v>
      </c>
      <c r="C415" s="165" t="s">
        <v>1246</v>
      </c>
      <c r="D415" s="165" t="s">
        <v>129</v>
      </c>
      <c r="E415" s="165" t="s">
        <v>3012</v>
      </c>
      <c r="F415" s="165" t="s">
        <v>3015</v>
      </c>
      <c r="G415" s="81">
        <v>529575</v>
      </c>
      <c r="H415" s="81">
        <v>177401</v>
      </c>
      <c r="I415" s="165" t="s">
        <v>240</v>
      </c>
      <c r="J415" s="349">
        <v>41456</v>
      </c>
      <c r="L415" s="166">
        <v>0</v>
      </c>
      <c r="M415" s="166">
        <v>330</v>
      </c>
      <c r="N415" s="166">
        <v>330</v>
      </c>
      <c r="O415" s="166">
        <v>1950</v>
      </c>
      <c r="P415" s="166">
        <v>1950</v>
      </c>
      <c r="Q415" s="81" t="s">
        <v>155</v>
      </c>
      <c r="R415" s="165" t="s">
        <v>1247</v>
      </c>
      <c r="S415" s="81" t="s">
        <v>509</v>
      </c>
      <c r="T415" s="349">
        <v>42481</v>
      </c>
      <c r="U415" s="349">
        <v>42758</v>
      </c>
      <c r="W415" s="81" t="s">
        <v>114</v>
      </c>
      <c r="Y415" s="81" t="s">
        <v>115</v>
      </c>
      <c r="Z415" s="81" t="s">
        <v>116</v>
      </c>
      <c r="AA415" s="81" t="s">
        <v>116</v>
      </c>
      <c r="AB415" s="81" t="s">
        <v>117</v>
      </c>
      <c r="AC415" s="166">
        <v>0</v>
      </c>
      <c r="AG415" s="81" t="s">
        <v>238</v>
      </c>
      <c r="AH415" s="81" t="s">
        <v>118</v>
      </c>
      <c r="AI415" s="81" t="s">
        <v>3014</v>
      </c>
      <c r="AK415" s="166">
        <v>0</v>
      </c>
      <c r="AL415" s="166">
        <v>297</v>
      </c>
      <c r="AM415" s="166">
        <v>0</v>
      </c>
      <c r="AN415" s="166">
        <v>33</v>
      </c>
      <c r="AO415" s="166">
        <v>19</v>
      </c>
      <c r="AP415" s="166">
        <v>89</v>
      </c>
      <c r="AQ415" s="166">
        <v>149</v>
      </c>
      <c r="AR415" s="166">
        <v>61</v>
      </c>
      <c r="AS415" s="166">
        <v>12</v>
      </c>
      <c r="AT415" s="166">
        <v>0</v>
      </c>
      <c r="AU415" s="166">
        <v>0</v>
      </c>
      <c r="AV415" s="166">
        <v>19</v>
      </c>
      <c r="AW415" s="166">
        <v>89</v>
      </c>
      <c r="AX415" s="166">
        <v>149</v>
      </c>
      <c r="AY415" s="166">
        <v>61</v>
      </c>
      <c r="AZ415" s="166">
        <v>12</v>
      </c>
      <c r="BA415" s="166">
        <v>0</v>
      </c>
      <c r="BB415" s="166">
        <v>0</v>
      </c>
      <c r="BC415" s="166">
        <v>0</v>
      </c>
      <c r="BD415" s="166">
        <v>0</v>
      </c>
      <c r="BE415" s="166">
        <v>0</v>
      </c>
      <c r="BF415" s="166">
        <v>0</v>
      </c>
      <c r="BG415" s="166">
        <v>0</v>
      </c>
      <c r="BH415" s="166">
        <v>0</v>
      </c>
      <c r="BI415" s="166">
        <v>0</v>
      </c>
      <c r="BJ415" s="166">
        <v>0</v>
      </c>
      <c r="BK415" s="166">
        <v>0</v>
      </c>
      <c r="BL415" s="166">
        <v>0</v>
      </c>
      <c r="BM415" s="166">
        <v>0</v>
      </c>
      <c r="BN415" s="166">
        <v>0</v>
      </c>
      <c r="BO415" s="166">
        <v>0</v>
      </c>
      <c r="BP415" s="166">
        <v>0</v>
      </c>
      <c r="BQ415" s="81" t="s">
        <v>1759</v>
      </c>
      <c r="BS415" s="81" t="s">
        <v>155</v>
      </c>
      <c r="BZ415" s="81" t="s">
        <v>155</v>
      </c>
      <c r="CA415" s="81">
        <v>12</v>
      </c>
      <c r="CC415" s="167">
        <v>0</v>
      </c>
      <c r="CD415" s="167">
        <v>0</v>
      </c>
      <c r="CE415" s="167">
        <v>0</v>
      </c>
      <c r="CF415" s="167">
        <v>0</v>
      </c>
      <c r="CG415" s="167">
        <v>0</v>
      </c>
      <c r="CH415" s="167">
        <v>0</v>
      </c>
      <c r="CI415" s="167">
        <f>N415</f>
        <v>330</v>
      </c>
      <c r="CJ415" s="167">
        <v>0</v>
      </c>
      <c r="CK415" s="167">
        <v>0</v>
      </c>
      <c r="CL415" s="167">
        <v>0</v>
      </c>
      <c r="CM415" s="167">
        <v>0</v>
      </c>
      <c r="CN415" s="167">
        <v>0</v>
      </c>
      <c r="CO415" s="167">
        <v>0</v>
      </c>
      <c r="CP415" s="167">
        <v>0</v>
      </c>
      <c r="CQ415" s="167">
        <v>0</v>
      </c>
      <c r="CR415" s="167">
        <v>0</v>
      </c>
      <c r="CS415" s="167">
        <v>0</v>
      </c>
      <c r="CT415" s="167">
        <v>0</v>
      </c>
      <c r="CU415" s="167">
        <v>0</v>
      </c>
      <c r="CV415" s="167">
        <v>0</v>
      </c>
      <c r="CW415" s="167">
        <v>0</v>
      </c>
      <c r="CX415" s="167">
        <f>SUM(CD415:CH415)</f>
        <v>0</v>
      </c>
      <c r="CY415" s="167">
        <f>SUM(CD415:CM415)</f>
        <v>330</v>
      </c>
    </row>
    <row r="416" spans="1:103" ht="12.75" customHeight="1" x14ac:dyDescent="0.2">
      <c r="A416" s="81">
        <v>3943</v>
      </c>
      <c r="B416" s="165" t="s">
        <v>1908</v>
      </c>
      <c r="C416" s="165" t="s">
        <v>1246</v>
      </c>
      <c r="D416" s="165" t="s">
        <v>129</v>
      </c>
      <c r="E416" s="165" t="s">
        <v>3012</v>
      </c>
      <c r="F416" s="165" t="s">
        <v>3015</v>
      </c>
      <c r="G416" s="81">
        <v>529575</v>
      </c>
      <c r="H416" s="81">
        <v>177401</v>
      </c>
      <c r="I416" s="165" t="s">
        <v>240</v>
      </c>
      <c r="J416" s="349">
        <v>41456</v>
      </c>
      <c r="L416" s="166">
        <v>0</v>
      </c>
      <c r="M416" s="166">
        <v>35</v>
      </c>
      <c r="N416" s="166">
        <v>35</v>
      </c>
      <c r="O416" s="166">
        <v>1950</v>
      </c>
      <c r="P416" s="166">
        <v>1950</v>
      </c>
      <c r="Q416" s="81" t="s">
        <v>155</v>
      </c>
      <c r="R416" s="165" t="s">
        <v>1247</v>
      </c>
      <c r="S416" s="81" t="s">
        <v>509</v>
      </c>
      <c r="T416" s="349">
        <v>42481</v>
      </c>
      <c r="U416" s="349">
        <v>42758</v>
      </c>
      <c r="W416" s="81" t="s">
        <v>114</v>
      </c>
      <c r="Y416" s="81" t="s">
        <v>115</v>
      </c>
      <c r="Z416" s="81" t="s">
        <v>116</v>
      </c>
      <c r="AA416" s="81" t="s">
        <v>116</v>
      </c>
      <c r="AB416" s="81" t="s">
        <v>117</v>
      </c>
      <c r="AC416" s="166">
        <v>0</v>
      </c>
      <c r="AG416" s="81" t="s">
        <v>154</v>
      </c>
      <c r="AH416" s="81" t="s">
        <v>276</v>
      </c>
      <c r="AI416" s="81" t="s">
        <v>3014</v>
      </c>
      <c r="AK416" s="166">
        <v>0</v>
      </c>
      <c r="AL416" s="166">
        <v>31</v>
      </c>
      <c r="AM416" s="166">
        <v>0</v>
      </c>
      <c r="AN416" s="166">
        <v>4</v>
      </c>
      <c r="AO416" s="166">
        <v>0</v>
      </c>
      <c r="AP416" s="166">
        <v>13</v>
      </c>
      <c r="AQ416" s="166">
        <v>12</v>
      </c>
      <c r="AR416" s="166">
        <v>7</v>
      </c>
      <c r="AS416" s="166">
        <v>3</v>
      </c>
      <c r="AT416" s="166">
        <v>0</v>
      </c>
      <c r="AU416" s="166">
        <v>0</v>
      </c>
      <c r="AV416" s="166">
        <v>0</v>
      </c>
      <c r="AW416" s="166">
        <v>13</v>
      </c>
      <c r="AX416" s="166">
        <v>12</v>
      </c>
      <c r="AY416" s="166">
        <v>7</v>
      </c>
      <c r="AZ416" s="166">
        <v>3</v>
      </c>
      <c r="BA416" s="166">
        <v>0</v>
      </c>
      <c r="BB416" s="166">
        <v>0</v>
      </c>
      <c r="BC416" s="166">
        <v>0</v>
      </c>
      <c r="BD416" s="166">
        <v>0</v>
      </c>
      <c r="BE416" s="166">
        <v>0</v>
      </c>
      <c r="BF416" s="166">
        <v>0</v>
      </c>
      <c r="BG416" s="166">
        <v>0</v>
      </c>
      <c r="BH416" s="166">
        <v>0</v>
      </c>
      <c r="BI416" s="166">
        <v>0</v>
      </c>
      <c r="BJ416" s="166">
        <v>0</v>
      </c>
      <c r="BK416" s="166">
        <v>0</v>
      </c>
      <c r="BL416" s="166">
        <v>0</v>
      </c>
      <c r="BM416" s="166">
        <v>0</v>
      </c>
      <c r="BN416" s="166">
        <v>0</v>
      </c>
      <c r="BO416" s="166">
        <v>0</v>
      </c>
      <c r="BP416" s="166">
        <v>0</v>
      </c>
      <c r="BQ416" s="81" t="s">
        <v>1759</v>
      </c>
      <c r="BS416" s="81" t="s">
        <v>155</v>
      </c>
      <c r="BZ416" s="81" t="s">
        <v>155</v>
      </c>
      <c r="CA416" s="81">
        <v>12</v>
      </c>
      <c r="CC416" s="167">
        <v>0</v>
      </c>
      <c r="CD416" s="167">
        <v>0</v>
      </c>
      <c r="CE416" s="167">
        <v>0</v>
      </c>
      <c r="CF416" s="167">
        <v>0</v>
      </c>
      <c r="CG416" s="167">
        <v>0</v>
      </c>
      <c r="CH416" s="167">
        <v>0</v>
      </c>
      <c r="CI416" s="167">
        <f>N416</f>
        <v>35</v>
      </c>
      <c r="CJ416" s="167">
        <v>0</v>
      </c>
      <c r="CK416" s="167">
        <v>0</v>
      </c>
      <c r="CL416" s="167">
        <v>0</v>
      </c>
      <c r="CM416" s="167">
        <v>0</v>
      </c>
      <c r="CN416" s="167">
        <v>0</v>
      </c>
      <c r="CO416" s="167">
        <v>0</v>
      </c>
      <c r="CP416" s="167">
        <v>0</v>
      </c>
      <c r="CQ416" s="167">
        <v>0</v>
      </c>
      <c r="CR416" s="167">
        <v>0</v>
      </c>
      <c r="CS416" s="167">
        <v>0</v>
      </c>
      <c r="CT416" s="167">
        <v>0</v>
      </c>
      <c r="CU416" s="167">
        <v>0</v>
      </c>
      <c r="CV416" s="167">
        <v>0</v>
      </c>
      <c r="CW416" s="167">
        <v>0</v>
      </c>
      <c r="CX416" s="167">
        <f>SUM(CD416:CH416)</f>
        <v>0</v>
      </c>
      <c r="CY416" s="167">
        <f>SUM(CD416:CM416)</f>
        <v>35</v>
      </c>
    </row>
    <row r="417" spans="1:103" ht="12.75" customHeight="1" x14ac:dyDescent="0.2">
      <c r="A417" s="81">
        <v>3943</v>
      </c>
      <c r="B417" s="165" t="s">
        <v>1908</v>
      </c>
      <c r="C417" s="165" t="s">
        <v>1246</v>
      </c>
      <c r="D417" s="165" t="s">
        <v>129</v>
      </c>
      <c r="E417" s="165" t="s">
        <v>3012</v>
      </c>
      <c r="F417" s="165" t="s">
        <v>3015</v>
      </c>
      <c r="G417" s="81">
        <v>529575</v>
      </c>
      <c r="H417" s="81">
        <v>177401</v>
      </c>
      <c r="I417" s="165" t="s">
        <v>240</v>
      </c>
      <c r="J417" s="349">
        <v>41456</v>
      </c>
      <c r="L417" s="166">
        <v>0</v>
      </c>
      <c r="M417" s="166">
        <v>23</v>
      </c>
      <c r="N417" s="166">
        <v>23</v>
      </c>
      <c r="O417" s="166">
        <v>1950</v>
      </c>
      <c r="P417" s="166">
        <v>1950</v>
      </c>
      <c r="Q417" s="81" t="s">
        <v>155</v>
      </c>
      <c r="R417" s="165" t="s">
        <v>1247</v>
      </c>
      <c r="S417" s="81" t="s">
        <v>509</v>
      </c>
      <c r="T417" s="349">
        <v>42481</v>
      </c>
      <c r="U417" s="349">
        <v>42758</v>
      </c>
      <c r="W417" s="81" t="s">
        <v>114</v>
      </c>
      <c r="Y417" s="81" t="s">
        <v>115</v>
      </c>
      <c r="Z417" s="81" t="s">
        <v>116</v>
      </c>
      <c r="AA417" s="81" t="s">
        <v>116</v>
      </c>
      <c r="AB417" s="81" t="s">
        <v>117</v>
      </c>
      <c r="AC417" s="166">
        <v>0</v>
      </c>
      <c r="AG417" s="81" t="s">
        <v>74</v>
      </c>
      <c r="AH417" s="81" t="s">
        <v>880</v>
      </c>
      <c r="AI417" s="81" t="s">
        <v>3014</v>
      </c>
      <c r="AK417" s="166">
        <v>0</v>
      </c>
      <c r="AL417" s="166">
        <v>21</v>
      </c>
      <c r="AM417" s="166">
        <v>0</v>
      </c>
      <c r="AN417" s="166">
        <v>2</v>
      </c>
      <c r="AO417" s="166">
        <v>0</v>
      </c>
      <c r="AP417" s="166">
        <v>9</v>
      </c>
      <c r="AQ417" s="166">
        <v>7</v>
      </c>
      <c r="AR417" s="166">
        <v>5</v>
      </c>
      <c r="AS417" s="166">
        <v>2</v>
      </c>
      <c r="AT417" s="166">
        <v>0</v>
      </c>
      <c r="AU417" s="166">
        <v>0</v>
      </c>
      <c r="AV417" s="166">
        <v>0</v>
      </c>
      <c r="AW417" s="166">
        <v>9</v>
      </c>
      <c r="AX417" s="166">
        <v>7</v>
      </c>
      <c r="AY417" s="166">
        <v>5</v>
      </c>
      <c r="AZ417" s="166">
        <v>2</v>
      </c>
      <c r="BA417" s="166">
        <v>0</v>
      </c>
      <c r="BB417" s="166">
        <v>0</v>
      </c>
      <c r="BC417" s="166">
        <v>0</v>
      </c>
      <c r="BD417" s="166">
        <v>0</v>
      </c>
      <c r="BE417" s="166">
        <v>0</v>
      </c>
      <c r="BF417" s="166">
        <v>0</v>
      </c>
      <c r="BG417" s="166">
        <v>0</v>
      </c>
      <c r="BH417" s="166">
        <v>0</v>
      </c>
      <c r="BI417" s="166">
        <v>0</v>
      </c>
      <c r="BJ417" s="166">
        <v>0</v>
      </c>
      <c r="BK417" s="166">
        <v>0</v>
      </c>
      <c r="BL417" s="166">
        <v>0</v>
      </c>
      <c r="BM417" s="166">
        <v>0</v>
      </c>
      <c r="BN417" s="166">
        <v>0</v>
      </c>
      <c r="BO417" s="166">
        <v>0</v>
      </c>
      <c r="BP417" s="166">
        <v>0</v>
      </c>
      <c r="BQ417" s="81" t="s">
        <v>1759</v>
      </c>
      <c r="BS417" s="81" t="s">
        <v>155</v>
      </c>
      <c r="BZ417" s="81" t="s">
        <v>155</v>
      </c>
      <c r="CA417" s="81">
        <v>12</v>
      </c>
      <c r="CC417" s="167">
        <v>0</v>
      </c>
      <c r="CD417" s="167">
        <v>0</v>
      </c>
      <c r="CE417" s="167">
        <v>0</v>
      </c>
      <c r="CF417" s="167">
        <v>0</v>
      </c>
      <c r="CG417" s="167">
        <v>0</v>
      </c>
      <c r="CH417" s="167">
        <v>0</v>
      </c>
      <c r="CI417" s="167">
        <f>N417</f>
        <v>23</v>
      </c>
      <c r="CJ417" s="167">
        <v>0</v>
      </c>
      <c r="CK417" s="167">
        <v>0</v>
      </c>
      <c r="CL417" s="167">
        <v>0</v>
      </c>
      <c r="CM417" s="167">
        <v>0</v>
      </c>
      <c r="CN417" s="167">
        <v>0</v>
      </c>
      <c r="CO417" s="167">
        <v>0</v>
      </c>
      <c r="CP417" s="167">
        <v>0</v>
      </c>
      <c r="CQ417" s="167">
        <v>0</v>
      </c>
      <c r="CR417" s="167">
        <v>0</v>
      </c>
      <c r="CS417" s="167">
        <v>0</v>
      </c>
      <c r="CT417" s="167">
        <v>0</v>
      </c>
      <c r="CU417" s="167">
        <v>0</v>
      </c>
      <c r="CV417" s="167">
        <v>0</v>
      </c>
      <c r="CW417" s="167">
        <v>0</v>
      </c>
      <c r="CX417" s="167">
        <f>SUM(CD417:CH417)</f>
        <v>0</v>
      </c>
      <c r="CY417" s="167">
        <f>SUM(CD417:CM417)</f>
        <v>23</v>
      </c>
    </row>
    <row r="418" spans="1:103" ht="12.75" customHeight="1" x14ac:dyDescent="0.2">
      <c r="A418" s="81">
        <v>3943</v>
      </c>
      <c r="B418" s="165" t="s">
        <v>1908</v>
      </c>
      <c r="C418" s="165" t="s">
        <v>1246</v>
      </c>
      <c r="D418" s="165" t="s">
        <v>129</v>
      </c>
      <c r="E418" s="165" t="s">
        <v>3012</v>
      </c>
      <c r="F418" s="165" t="s">
        <v>3016</v>
      </c>
      <c r="G418" s="81">
        <v>529575</v>
      </c>
      <c r="H418" s="81">
        <v>177401</v>
      </c>
      <c r="I418" s="165" t="s">
        <v>240</v>
      </c>
      <c r="J418" s="349">
        <v>41456</v>
      </c>
      <c r="L418" s="166">
        <v>0</v>
      </c>
      <c r="M418" s="166">
        <v>197</v>
      </c>
      <c r="N418" s="166">
        <v>197</v>
      </c>
      <c r="O418" s="166">
        <v>1950</v>
      </c>
      <c r="P418" s="166">
        <v>1950</v>
      </c>
      <c r="Q418" s="81" t="s">
        <v>155</v>
      </c>
      <c r="R418" s="165" t="s">
        <v>1247</v>
      </c>
      <c r="S418" s="81" t="s">
        <v>509</v>
      </c>
      <c r="T418" s="349">
        <v>42481</v>
      </c>
      <c r="U418" s="349">
        <v>42758</v>
      </c>
      <c r="W418" s="81" t="s">
        <v>114</v>
      </c>
      <c r="Y418" s="81" t="s">
        <v>115</v>
      </c>
      <c r="Z418" s="81" t="s">
        <v>116</v>
      </c>
      <c r="AA418" s="81" t="s">
        <v>116</v>
      </c>
      <c r="AB418" s="81" t="s">
        <v>117</v>
      </c>
      <c r="AC418" s="166">
        <v>0</v>
      </c>
      <c r="AG418" s="81" t="s">
        <v>238</v>
      </c>
      <c r="AH418" s="81" t="s">
        <v>118</v>
      </c>
      <c r="AI418" s="81" t="s">
        <v>3014</v>
      </c>
      <c r="AK418" s="166">
        <v>0</v>
      </c>
      <c r="AL418" s="166">
        <v>177</v>
      </c>
      <c r="AM418" s="166">
        <v>0</v>
      </c>
      <c r="AN418" s="166">
        <v>20</v>
      </c>
      <c r="AO418" s="166">
        <v>11</v>
      </c>
      <c r="AP418" s="166">
        <v>54</v>
      </c>
      <c r="AQ418" s="166">
        <v>89</v>
      </c>
      <c r="AR418" s="166">
        <v>36</v>
      </c>
      <c r="AS418" s="166">
        <v>7</v>
      </c>
      <c r="AT418" s="166">
        <v>0</v>
      </c>
      <c r="AU418" s="166">
        <v>0</v>
      </c>
      <c r="AV418" s="166">
        <v>11</v>
      </c>
      <c r="AW418" s="166">
        <v>54</v>
      </c>
      <c r="AX418" s="166">
        <v>89</v>
      </c>
      <c r="AY418" s="166">
        <v>36</v>
      </c>
      <c r="AZ418" s="166">
        <v>7</v>
      </c>
      <c r="BA418" s="166">
        <v>0</v>
      </c>
      <c r="BB418" s="166">
        <v>0</v>
      </c>
      <c r="BC418" s="166">
        <v>0</v>
      </c>
      <c r="BD418" s="166">
        <v>0</v>
      </c>
      <c r="BE418" s="166">
        <v>0</v>
      </c>
      <c r="BF418" s="166">
        <v>0</v>
      </c>
      <c r="BG418" s="166">
        <v>0</v>
      </c>
      <c r="BH418" s="166">
        <v>0</v>
      </c>
      <c r="BI418" s="166">
        <v>0</v>
      </c>
      <c r="BJ418" s="166">
        <v>0</v>
      </c>
      <c r="BK418" s="166">
        <v>0</v>
      </c>
      <c r="BL418" s="166">
        <v>0</v>
      </c>
      <c r="BM418" s="166">
        <v>0</v>
      </c>
      <c r="BN418" s="166">
        <v>0</v>
      </c>
      <c r="BO418" s="166">
        <v>0</v>
      </c>
      <c r="BP418" s="166">
        <v>0</v>
      </c>
      <c r="BQ418" s="81" t="s">
        <v>1759</v>
      </c>
      <c r="BS418" s="81" t="s">
        <v>155</v>
      </c>
      <c r="BZ418" s="81" t="s">
        <v>155</v>
      </c>
      <c r="CA418" s="81">
        <v>12</v>
      </c>
      <c r="CC418" s="167">
        <v>0</v>
      </c>
      <c r="CD418" s="167">
        <v>0</v>
      </c>
      <c r="CE418" s="167">
        <v>0</v>
      </c>
      <c r="CF418" s="167">
        <v>0</v>
      </c>
      <c r="CG418" s="167">
        <v>0</v>
      </c>
      <c r="CH418" s="167">
        <v>0</v>
      </c>
      <c r="CI418" s="167">
        <f>N418</f>
        <v>197</v>
      </c>
      <c r="CJ418" s="167">
        <v>0</v>
      </c>
      <c r="CK418" s="167">
        <v>0</v>
      </c>
      <c r="CL418" s="167">
        <v>0</v>
      </c>
      <c r="CM418" s="167">
        <v>0</v>
      </c>
      <c r="CN418" s="167">
        <v>0</v>
      </c>
      <c r="CO418" s="167">
        <v>0</v>
      </c>
      <c r="CP418" s="167">
        <v>0</v>
      </c>
      <c r="CQ418" s="167">
        <v>0</v>
      </c>
      <c r="CR418" s="167">
        <v>0</v>
      </c>
      <c r="CS418" s="167">
        <v>0</v>
      </c>
      <c r="CT418" s="167">
        <v>0</v>
      </c>
      <c r="CU418" s="167">
        <v>0</v>
      </c>
      <c r="CV418" s="167">
        <v>0</v>
      </c>
      <c r="CW418" s="167">
        <v>0</v>
      </c>
      <c r="CX418" s="167">
        <f>SUM(CD418:CH418)</f>
        <v>0</v>
      </c>
      <c r="CY418" s="167">
        <f>SUM(CD418:CM418)</f>
        <v>197</v>
      </c>
    </row>
    <row r="419" spans="1:103" ht="12.75" customHeight="1" x14ac:dyDescent="0.2">
      <c r="A419" s="81">
        <v>3943</v>
      </c>
      <c r="B419" s="165" t="s">
        <v>1908</v>
      </c>
      <c r="C419" s="165" t="s">
        <v>1246</v>
      </c>
      <c r="D419" s="165" t="s">
        <v>129</v>
      </c>
      <c r="E419" s="165" t="s">
        <v>3012</v>
      </c>
      <c r="F419" s="165" t="s">
        <v>3016</v>
      </c>
      <c r="G419" s="81">
        <v>529575</v>
      </c>
      <c r="H419" s="81">
        <v>177401</v>
      </c>
      <c r="I419" s="165" t="s">
        <v>240</v>
      </c>
      <c r="J419" s="349">
        <v>41456</v>
      </c>
      <c r="L419" s="166">
        <v>0</v>
      </c>
      <c r="M419" s="166">
        <v>39</v>
      </c>
      <c r="N419" s="166">
        <v>39</v>
      </c>
      <c r="O419" s="166">
        <v>1950</v>
      </c>
      <c r="P419" s="166">
        <v>1950</v>
      </c>
      <c r="Q419" s="81" t="s">
        <v>155</v>
      </c>
      <c r="R419" s="165" t="s">
        <v>1247</v>
      </c>
      <c r="S419" s="81" t="s">
        <v>509</v>
      </c>
      <c r="T419" s="349">
        <v>42481</v>
      </c>
      <c r="U419" s="349">
        <v>42758</v>
      </c>
      <c r="W419" s="81" t="s">
        <v>114</v>
      </c>
      <c r="Y419" s="81" t="s">
        <v>115</v>
      </c>
      <c r="Z419" s="81" t="s">
        <v>116</v>
      </c>
      <c r="AA419" s="81" t="s">
        <v>116</v>
      </c>
      <c r="AB419" s="81" t="s">
        <v>117</v>
      </c>
      <c r="AC419" s="166">
        <v>0</v>
      </c>
      <c r="AG419" s="81" t="s">
        <v>154</v>
      </c>
      <c r="AH419" s="81" t="s">
        <v>276</v>
      </c>
      <c r="AI419" s="81" t="s">
        <v>3014</v>
      </c>
      <c r="AK419" s="166">
        <v>0</v>
      </c>
      <c r="AL419" s="166">
        <v>35</v>
      </c>
      <c r="AM419" s="166">
        <v>0</v>
      </c>
      <c r="AN419" s="166">
        <v>4</v>
      </c>
      <c r="AO419" s="166">
        <v>0</v>
      </c>
      <c r="AP419" s="166">
        <v>14</v>
      </c>
      <c r="AQ419" s="166">
        <v>14</v>
      </c>
      <c r="AR419" s="166">
        <v>9</v>
      </c>
      <c r="AS419" s="166">
        <v>2</v>
      </c>
      <c r="AT419" s="166">
        <v>0</v>
      </c>
      <c r="AU419" s="166">
        <v>0</v>
      </c>
      <c r="AV419" s="166">
        <v>0</v>
      </c>
      <c r="AW419" s="166">
        <v>14</v>
      </c>
      <c r="AX419" s="166">
        <v>14</v>
      </c>
      <c r="AY419" s="166">
        <v>9</v>
      </c>
      <c r="AZ419" s="166">
        <v>2</v>
      </c>
      <c r="BA419" s="166">
        <v>0</v>
      </c>
      <c r="BB419" s="166">
        <v>0</v>
      </c>
      <c r="BC419" s="166">
        <v>0</v>
      </c>
      <c r="BD419" s="166">
        <v>0</v>
      </c>
      <c r="BE419" s="166">
        <v>0</v>
      </c>
      <c r="BF419" s="166">
        <v>0</v>
      </c>
      <c r="BG419" s="166">
        <v>0</v>
      </c>
      <c r="BH419" s="166">
        <v>0</v>
      </c>
      <c r="BI419" s="166">
        <v>0</v>
      </c>
      <c r="BJ419" s="166">
        <v>0</v>
      </c>
      <c r="BK419" s="166">
        <v>0</v>
      </c>
      <c r="BL419" s="166">
        <v>0</v>
      </c>
      <c r="BM419" s="166">
        <v>0</v>
      </c>
      <c r="BN419" s="166">
        <v>0</v>
      </c>
      <c r="BO419" s="166">
        <v>0</v>
      </c>
      <c r="BP419" s="166">
        <v>0</v>
      </c>
      <c r="BQ419" s="81" t="s">
        <v>1759</v>
      </c>
      <c r="BS419" s="81" t="s">
        <v>155</v>
      </c>
      <c r="BZ419" s="81" t="s">
        <v>155</v>
      </c>
      <c r="CA419" s="81">
        <v>12</v>
      </c>
      <c r="CC419" s="167">
        <v>0</v>
      </c>
      <c r="CD419" s="167">
        <v>0</v>
      </c>
      <c r="CE419" s="167">
        <v>0</v>
      </c>
      <c r="CF419" s="167">
        <v>0</v>
      </c>
      <c r="CG419" s="167">
        <v>0</v>
      </c>
      <c r="CH419" s="167">
        <v>0</v>
      </c>
      <c r="CI419" s="167">
        <f>N419</f>
        <v>39</v>
      </c>
      <c r="CJ419" s="167">
        <v>0</v>
      </c>
      <c r="CK419" s="167">
        <v>0</v>
      </c>
      <c r="CL419" s="167">
        <v>0</v>
      </c>
      <c r="CM419" s="167">
        <v>0</v>
      </c>
      <c r="CN419" s="167">
        <v>0</v>
      </c>
      <c r="CO419" s="167">
        <v>0</v>
      </c>
      <c r="CP419" s="167">
        <v>0</v>
      </c>
      <c r="CQ419" s="167">
        <v>0</v>
      </c>
      <c r="CR419" s="167">
        <v>0</v>
      </c>
      <c r="CS419" s="167">
        <v>0</v>
      </c>
      <c r="CT419" s="167">
        <v>0</v>
      </c>
      <c r="CU419" s="167">
        <v>0</v>
      </c>
      <c r="CV419" s="167">
        <v>0</v>
      </c>
      <c r="CW419" s="167">
        <v>0</v>
      </c>
      <c r="CX419" s="167">
        <f>SUM(CD419:CH419)</f>
        <v>0</v>
      </c>
      <c r="CY419" s="167">
        <f>SUM(CD419:CM419)</f>
        <v>39</v>
      </c>
    </row>
    <row r="420" spans="1:103" ht="12.75" customHeight="1" x14ac:dyDescent="0.2">
      <c r="A420" s="81">
        <v>3943</v>
      </c>
      <c r="B420" s="165" t="s">
        <v>1908</v>
      </c>
      <c r="C420" s="165" t="s">
        <v>1246</v>
      </c>
      <c r="D420" s="165" t="s">
        <v>129</v>
      </c>
      <c r="E420" s="165" t="s">
        <v>3012</v>
      </c>
      <c r="F420" s="165" t="s">
        <v>3016</v>
      </c>
      <c r="G420" s="81">
        <v>529575</v>
      </c>
      <c r="H420" s="81">
        <v>177401</v>
      </c>
      <c r="I420" s="165" t="s">
        <v>240</v>
      </c>
      <c r="J420" s="349">
        <v>41456</v>
      </c>
      <c r="L420" s="166">
        <v>0</v>
      </c>
      <c r="M420" s="166">
        <v>26</v>
      </c>
      <c r="N420" s="166">
        <v>26</v>
      </c>
      <c r="O420" s="166">
        <v>1950</v>
      </c>
      <c r="P420" s="166">
        <v>1950</v>
      </c>
      <c r="Q420" s="81" t="s">
        <v>155</v>
      </c>
      <c r="R420" s="165" t="s">
        <v>1247</v>
      </c>
      <c r="S420" s="81" t="s">
        <v>509</v>
      </c>
      <c r="T420" s="349">
        <v>42481</v>
      </c>
      <c r="U420" s="349">
        <v>42758</v>
      </c>
      <c r="W420" s="81" t="s">
        <v>114</v>
      </c>
      <c r="Y420" s="81" t="s">
        <v>115</v>
      </c>
      <c r="Z420" s="81" t="s">
        <v>116</v>
      </c>
      <c r="AA420" s="81" t="s">
        <v>116</v>
      </c>
      <c r="AB420" s="81" t="s">
        <v>117</v>
      </c>
      <c r="AC420" s="166">
        <v>0</v>
      </c>
      <c r="AG420" s="81" t="s">
        <v>74</v>
      </c>
      <c r="AH420" s="81" t="s">
        <v>880</v>
      </c>
      <c r="AI420" s="81" t="s">
        <v>3014</v>
      </c>
      <c r="AK420" s="166">
        <v>0</v>
      </c>
      <c r="AL420" s="166">
        <v>23</v>
      </c>
      <c r="AM420" s="166">
        <v>0</v>
      </c>
      <c r="AN420" s="166">
        <v>3</v>
      </c>
      <c r="AO420" s="166">
        <v>0</v>
      </c>
      <c r="AP420" s="166">
        <v>10</v>
      </c>
      <c r="AQ420" s="166">
        <v>9</v>
      </c>
      <c r="AR420" s="166">
        <v>5</v>
      </c>
      <c r="AS420" s="166">
        <v>2</v>
      </c>
      <c r="AT420" s="166">
        <v>0</v>
      </c>
      <c r="AU420" s="166">
        <v>0</v>
      </c>
      <c r="AV420" s="166">
        <v>0</v>
      </c>
      <c r="AW420" s="166">
        <v>10</v>
      </c>
      <c r="AX420" s="166">
        <v>9</v>
      </c>
      <c r="AY420" s="166">
        <v>5</v>
      </c>
      <c r="AZ420" s="166">
        <v>2</v>
      </c>
      <c r="BA420" s="166">
        <v>0</v>
      </c>
      <c r="BB420" s="166">
        <v>0</v>
      </c>
      <c r="BC420" s="166">
        <v>0</v>
      </c>
      <c r="BD420" s="166">
        <v>0</v>
      </c>
      <c r="BE420" s="166">
        <v>0</v>
      </c>
      <c r="BF420" s="166">
        <v>0</v>
      </c>
      <c r="BG420" s="166">
        <v>0</v>
      </c>
      <c r="BH420" s="166">
        <v>0</v>
      </c>
      <c r="BI420" s="166">
        <v>0</v>
      </c>
      <c r="BJ420" s="166">
        <v>0</v>
      </c>
      <c r="BK420" s="166">
        <v>0</v>
      </c>
      <c r="BL420" s="166">
        <v>0</v>
      </c>
      <c r="BM420" s="166">
        <v>0</v>
      </c>
      <c r="BN420" s="166">
        <v>0</v>
      </c>
      <c r="BO420" s="166">
        <v>0</v>
      </c>
      <c r="BP420" s="166">
        <v>0</v>
      </c>
      <c r="BQ420" s="81" t="s">
        <v>1759</v>
      </c>
      <c r="BS420" s="81" t="s">
        <v>155</v>
      </c>
      <c r="BZ420" s="81" t="s">
        <v>155</v>
      </c>
      <c r="CA420" s="81">
        <v>12</v>
      </c>
      <c r="CC420" s="167">
        <v>0</v>
      </c>
      <c r="CD420" s="167">
        <v>0</v>
      </c>
      <c r="CE420" s="167">
        <v>0</v>
      </c>
      <c r="CF420" s="167">
        <v>0</v>
      </c>
      <c r="CG420" s="167">
        <v>0</v>
      </c>
      <c r="CH420" s="167">
        <v>0</v>
      </c>
      <c r="CI420" s="167">
        <f>N420</f>
        <v>26</v>
      </c>
      <c r="CJ420" s="167">
        <v>0</v>
      </c>
      <c r="CK420" s="167">
        <v>0</v>
      </c>
      <c r="CL420" s="167">
        <v>0</v>
      </c>
      <c r="CM420" s="167">
        <v>0</v>
      </c>
      <c r="CN420" s="167">
        <v>0</v>
      </c>
      <c r="CO420" s="167">
        <v>0</v>
      </c>
      <c r="CP420" s="167">
        <v>0</v>
      </c>
      <c r="CQ420" s="167">
        <v>0</v>
      </c>
      <c r="CR420" s="167">
        <v>0</v>
      </c>
      <c r="CS420" s="167">
        <v>0</v>
      </c>
      <c r="CT420" s="167">
        <v>0</v>
      </c>
      <c r="CU420" s="167">
        <v>0</v>
      </c>
      <c r="CV420" s="167">
        <v>0</v>
      </c>
      <c r="CW420" s="167">
        <v>0</v>
      </c>
      <c r="CX420" s="167">
        <f>SUM(CD420:CH420)</f>
        <v>0</v>
      </c>
      <c r="CY420" s="167">
        <f>SUM(CD420:CM420)</f>
        <v>26</v>
      </c>
    </row>
    <row r="421" spans="1:103" x14ac:dyDescent="0.2">
      <c r="A421" s="81">
        <v>3943</v>
      </c>
      <c r="B421" s="165" t="s">
        <v>1908</v>
      </c>
      <c r="C421" s="165" t="s">
        <v>1246</v>
      </c>
      <c r="D421" s="165" t="s">
        <v>129</v>
      </c>
      <c r="E421" s="165" t="s">
        <v>3012</v>
      </c>
      <c r="F421" s="165" t="s">
        <v>3017</v>
      </c>
      <c r="G421" s="81">
        <v>529575</v>
      </c>
      <c r="H421" s="81">
        <v>177401</v>
      </c>
      <c r="I421" s="165" t="s">
        <v>240</v>
      </c>
      <c r="J421" s="349">
        <v>41456</v>
      </c>
      <c r="L421" s="166">
        <v>0</v>
      </c>
      <c r="M421" s="166">
        <v>326</v>
      </c>
      <c r="N421" s="166">
        <v>326</v>
      </c>
      <c r="O421" s="166">
        <v>1950</v>
      </c>
      <c r="P421" s="166">
        <v>1950</v>
      </c>
      <c r="Q421" s="81" t="s">
        <v>155</v>
      </c>
      <c r="R421" s="165" t="s">
        <v>1247</v>
      </c>
      <c r="S421" s="81" t="s">
        <v>509</v>
      </c>
      <c r="T421" s="349">
        <v>42481</v>
      </c>
      <c r="U421" s="349">
        <v>42758</v>
      </c>
      <c r="W421" s="81" t="s">
        <v>114</v>
      </c>
      <c r="Y421" s="81" t="s">
        <v>115</v>
      </c>
      <c r="Z421" s="81" t="s">
        <v>116</v>
      </c>
      <c r="AA421" s="81" t="s">
        <v>116</v>
      </c>
      <c r="AB421" s="81" t="s">
        <v>117</v>
      </c>
      <c r="AC421" s="166">
        <v>0</v>
      </c>
      <c r="AG421" s="81" t="s">
        <v>238</v>
      </c>
      <c r="AH421" s="81" t="s">
        <v>118</v>
      </c>
      <c r="AI421" s="81" t="s">
        <v>3014</v>
      </c>
      <c r="AK421" s="166">
        <v>0</v>
      </c>
      <c r="AL421" s="166">
        <v>293</v>
      </c>
      <c r="AM421" s="166">
        <v>0</v>
      </c>
      <c r="AN421" s="166">
        <v>33</v>
      </c>
      <c r="AO421" s="166">
        <v>20</v>
      </c>
      <c r="AP421" s="166">
        <v>89</v>
      </c>
      <c r="AQ421" s="166">
        <v>147</v>
      </c>
      <c r="AR421" s="166">
        <v>59</v>
      </c>
      <c r="AS421" s="166">
        <v>11</v>
      </c>
      <c r="AT421" s="166">
        <v>0</v>
      </c>
      <c r="AU421" s="166">
        <v>0</v>
      </c>
      <c r="AV421" s="166">
        <v>20</v>
      </c>
      <c r="AW421" s="166">
        <v>89</v>
      </c>
      <c r="AX421" s="166">
        <v>147</v>
      </c>
      <c r="AY421" s="166">
        <v>59</v>
      </c>
      <c r="AZ421" s="166">
        <v>11</v>
      </c>
      <c r="BA421" s="166">
        <v>0</v>
      </c>
      <c r="BB421" s="166">
        <v>0</v>
      </c>
      <c r="BC421" s="166">
        <v>0</v>
      </c>
      <c r="BD421" s="166">
        <v>0</v>
      </c>
      <c r="BE421" s="166">
        <v>0</v>
      </c>
      <c r="BF421" s="166">
        <v>0</v>
      </c>
      <c r="BG421" s="166">
        <v>0</v>
      </c>
      <c r="BH421" s="166">
        <v>0</v>
      </c>
      <c r="BI421" s="166">
        <v>0</v>
      </c>
      <c r="BJ421" s="166">
        <v>0</v>
      </c>
      <c r="BK421" s="166">
        <v>0</v>
      </c>
      <c r="BL421" s="166">
        <v>0</v>
      </c>
      <c r="BM421" s="166">
        <v>0</v>
      </c>
      <c r="BN421" s="166">
        <v>0</v>
      </c>
      <c r="BO421" s="166">
        <v>0</v>
      </c>
      <c r="BP421" s="166">
        <v>0</v>
      </c>
      <c r="BQ421" s="81" t="s">
        <v>1759</v>
      </c>
      <c r="BS421" s="81" t="s">
        <v>155</v>
      </c>
      <c r="BZ421" s="81" t="s">
        <v>155</v>
      </c>
      <c r="CA421" s="81">
        <v>12</v>
      </c>
      <c r="CC421" s="167">
        <v>0</v>
      </c>
      <c r="CD421" s="167">
        <v>0</v>
      </c>
      <c r="CE421" s="167">
        <v>0</v>
      </c>
      <c r="CF421" s="167">
        <v>0</v>
      </c>
      <c r="CG421" s="167">
        <v>0</v>
      </c>
      <c r="CH421" s="167">
        <f>N421</f>
        <v>326</v>
      </c>
      <c r="CI421" s="167">
        <v>0</v>
      </c>
      <c r="CJ421" s="167">
        <v>0</v>
      </c>
      <c r="CK421" s="167">
        <v>0</v>
      </c>
      <c r="CL421" s="167">
        <v>0</v>
      </c>
      <c r="CM421" s="167">
        <v>0</v>
      </c>
      <c r="CN421" s="167">
        <v>0</v>
      </c>
      <c r="CO421" s="167">
        <v>0</v>
      </c>
      <c r="CP421" s="167">
        <v>0</v>
      </c>
      <c r="CQ421" s="167">
        <v>0</v>
      </c>
      <c r="CR421" s="167">
        <v>0</v>
      </c>
      <c r="CS421" s="167">
        <v>0</v>
      </c>
      <c r="CT421" s="167">
        <v>0</v>
      </c>
      <c r="CU421" s="167">
        <v>0</v>
      </c>
      <c r="CV421" s="167">
        <v>0</v>
      </c>
      <c r="CW421" s="167">
        <v>0</v>
      </c>
      <c r="CX421" s="167">
        <f>SUM(CD421:CH421)</f>
        <v>326</v>
      </c>
      <c r="CY421" s="167">
        <f>SUM(CD421:CM421)</f>
        <v>326</v>
      </c>
    </row>
    <row r="422" spans="1:103" ht="12.75" customHeight="1" x14ac:dyDescent="0.2">
      <c r="A422" s="81">
        <v>3943</v>
      </c>
      <c r="B422" s="165" t="s">
        <v>1908</v>
      </c>
      <c r="C422" s="165" t="s">
        <v>1246</v>
      </c>
      <c r="D422" s="165" t="s">
        <v>129</v>
      </c>
      <c r="E422" s="165" t="s">
        <v>3012</v>
      </c>
      <c r="F422" s="165" t="s">
        <v>3017</v>
      </c>
      <c r="G422" s="81">
        <v>529575</v>
      </c>
      <c r="H422" s="81">
        <v>177401</v>
      </c>
      <c r="I422" s="165" t="s">
        <v>240</v>
      </c>
      <c r="J422" s="349">
        <v>41456</v>
      </c>
      <c r="L422" s="166">
        <v>0</v>
      </c>
      <c r="M422" s="166">
        <v>34</v>
      </c>
      <c r="N422" s="166">
        <v>34</v>
      </c>
      <c r="O422" s="166">
        <v>1950</v>
      </c>
      <c r="P422" s="166">
        <v>1950</v>
      </c>
      <c r="Q422" s="81" t="s">
        <v>155</v>
      </c>
      <c r="R422" s="165" t="s">
        <v>1247</v>
      </c>
      <c r="S422" s="81" t="s">
        <v>509</v>
      </c>
      <c r="T422" s="349">
        <v>42481</v>
      </c>
      <c r="U422" s="349">
        <v>42758</v>
      </c>
      <c r="W422" s="81" t="s">
        <v>114</v>
      </c>
      <c r="Y422" s="81" t="s">
        <v>115</v>
      </c>
      <c r="Z422" s="81" t="s">
        <v>116</v>
      </c>
      <c r="AA422" s="81" t="s">
        <v>116</v>
      </c>
      <c r="AB422" s="81" t="s">
        <v>117</v>
      </c>
      <c r="AC422" s="166">
        <v>0</v>
      </c>
      <c r="AG422" s="81" t="s">
        <v>154</v>
      </c>
      <c r="AH422" s="81" t="s">
        <v>276</v>
      </c>
      <c r="AI422" s="81" t="s">
        <v>3014</v>
      </c>
      <c r="AK422" s="166">
        <v>0</v>
      </c>
      <c r="AL422" s="166">
        <v>31</v>
      </c>
      <c r="AM422" s="166">
        <v>0</v>
      </c>
      <c r="AN422" s="166">
        <v>3</v>
      </c>
      <c r="AO422" s="166">
        <v>0</v>
      </c>
      <c r="AP422" s="166">
        <v>13</v>
      </c>
      <c r="AQ422" s="166">
        <v>12</v>
      </c>
      <c r="AR422" s="166">
        <v>6</v>
      </c>
      <c r="AS422" s="166">
        <v>3</v>
      </c>
      <c r="AT422" s="166">
        <v>0</v>
      </c>
      <c r="AU422" s="166">
        <v>0</v>
      </c>
      <c r="AV422" s="166">
        <v>0</v>
      </c>
      <c r="AW422" s="166">
        <v>13</v>
      </c>
      <c r="AX422" s="166">
        <v>12</v>
      </c>
      <c r="AY422" s="166">
        <v>6</v>
      </c>
      <c r="AZ422" s="166">
        <v>3</v>
      </c>
      <c r="BA422" s="166">
        <v>0</v>
      </c>
      <c r="BB422" s="166">
        <v>0</v>
      </c>
      <c r="BC422" s="166">
        <v>0</v>
      </c>
      <c r="BD422" s="166">
        <v>0</v>
      </c>
      <c r="BE422" s="166">
        <v>0</v>
      </c>
      <c r="BF422" s="166">
        <v>0</v>
      </c>
      <c r="BG422" s="166">
        <v>0</v>
      </c>
      <c r="BH422" s="166">
        <v>0</v>
      </c>
      <c r="BI422" s="166">
        <v>0</v>
      </c>
      <c r="BJ422" s="166">
        <v>0</v>
      </c>
      <c r="BK422" s="166">
        <v>0</v>
      </c>
      <c r="BL422" s="166">
        <v>0</v>
      </c>
      <c r="BM422" s="166">
        <v>0</v>
      </c>
      <c r="BN422" s="166">
        <v>0</v>
      </c>
      <c r="BO422" s="166">
        <v>0</v>
      </c>
      <c r="BP422" s="166">
        <v>0</v>
      </c>
      <c r="BQ422" s="81" t="s">
        <v>1759</v>
      </c>
      <c r="BS422" s="81" t="s">
        <v>155</v>
      </c>
      <c r="BZ422" s="81" t="s">
        <v>155</v>
      </c>
      <c r="CA422" s="81">
        <v>12</v>
      </c>
      <c r="CC422" s="167">
        <v>0</v>
      </c>
      <c r="CD422" s="167">
        <v>0</v>
      </c>
      <c r="CE422" s="167">
        <v>0</v>
      </c>
      <c r="CF422" s="167">
        <v>0</v>
      </c>
      <c r="CG422" s="167">
        <v>0</v>
      </c>
      <c r="CH422" s="167">
        <f>N422</f>
        <v>34</v>
      </c>
      <c r="CI422" s="167">
        <v>0</v>
      </c>
      <c r="CJ422" s="167">
        <v>0</v>
      </c>
      <c r="CK422" s="167">
        <v>0</v>
      </c>
      <c r="CL422" s="167">
        <v>0</v>
      </c>
      <c r="CM422" s="167">
        <v>0</v>
      </c>
      <c r="CN422" s="167">
        <v>0</v>
      </c>
      <c r="CO422" s="167">
        <v>0</v>
      </c>
      <c r="CP422" s="167">
        <v>0</v>
      </c>
      <c r="CQ422" s="167">
        <v>0</v>
      </c>
      <c r="CR422" s="167">
        <v>0</v>
      </c>
      <c r="CS422" s="167">
        <v>0</v>
      </c>
      <c r="CT422" s="167">
        <v>0</v>
      </c>
      <c r="CU422" s="167">
        <v>0</v>
      </c>
      <c r="CV422" s="167">
        <v>0</v>
      </c>
      <c r="CW422" s="167">
        <v>0</v>
      </c>
      <c r="CX422" s="167">
        <f>SUM(CD422:CH422)</f>
        <v>34</v>
      </c>
      <c r="CY422" s="167">
        <f>SUM(CD422:CM422)</f>
        <v>34</v>
      </c>
    </row>
    <row r="423" spans="1:103" ht="12.75" customHeight="1" x14ac:dyDescent="0.2">
      <c r="A423" s="81">
        <v>3943</v>
      </c>
      <c r="B423" s="165" t="s">
        <v>1908</v>
      </c>
      <c r="C423" s="165" t="s">
        <v>1246</v>
      </c>
      <c r="D423" s="165" t="s">
        <v>129</v>
      </c>
      <c r="E423" s="165" t="s">
        <v>3012</v>
      </c>
      <c r="F423" s="165" t="s">
        <v>3017</v>
      </c>
      <c r="G423" s="81">
        <v>529575</v>
      </c>
      <c r="H423" s="81">
        <v>177401</v>
      </c>
      <c r="I423" s="165" t="s">
        <v>240</v>
      </c>
      <c r="J423" s="349">
        <v>41456</v>
      </c>
      <c r="L423" s="166">
        <v>0</v>
      </c>
      <c r="M423" s="166">
        <v>23</v>
      </c>
      <c r="N423" s="166">
        <v>23</v>
      </c>
      <c r="O423" s="166">
        <v>1950</v>
      </c>
      <c r="P423" s="166">
        <v>1950</v>
      </c>
      <c r="Q423" s="81" t="s">
        <v>155</v>
      </c>
      <c r="R423" s="165" t="s">
        <v>1247</v>
      </c>
      <c r="S423" s="81" t="s">
        <v>509</v>
      </c>
      <c r="T423" s="349">
        <v>42481</v>
      </c>
      <c r="U423" s="349">
        <v>42758</v>
      </c>
      <c r="W423" s="81" t="s">
        <v>114</v>
      </c>
      <c r="Y423" s="81" t="s">
        <v>115</v>
      </c>
      <c r="Z423" s="81" t="s">
        <v>116</v>
      </c>
      <c r="AA423" s="81" t="s">
        <v>116</v>
      </c>
      <c r="AB423" s="81" t="s">
        <v>117</v>
      </c>
      <c r="AC423" s="166">
        <v>0</v>
      </c>
      <c r="AG423" s="81" t="s">
        <v>74</v>
      </c>
      <c r="AH423" s="81" t="s">
        <v>880</v>
      </c>
      <c r="AI423" s="81" t="s">
        <v>3014</v>
      </c>
      <c r="AK423" s="166">
        <v>0</v>
      </c>
      <c r="AL423" s="166">
        <v>21</v>
      </c>
      <c r="AM423" s="166">
        <v>0</v>
      </c>
      <c r="AN423" s="166">
        <v>2</v>
      </c>
      <c r="AO423" s="166">
        <v>0</v>
      </c>
      <c r="AP423" s="166">
        <v>8</v>
      </c>
      <c r="AQ423" s="166">
        <v>8</v>
      </c>
      <c r="AR423" s="166">
        <v>5</v>
      </c>
      <c r="AS423" s="166">
        <v>2</v>
      </c>
      <c r="AT423" s="166">
        <v>0</v>
      </c>
      <c r="AU423" s="166">
        <v>0</v>
      </c>
      <c r="AV423" s="166">
        <v>0</v>
      </c>
      <c r="AW423" s="166">
        <v>8</v>
      </c>
      <c r="AX423" s="166">
        <v>8</v>
      </c>
      <c r="AY423" s="166">
        <v>5</v>
      </c>
      <c r="AZ423" s="166">
        <v>2</v>
      </c>
      <c r="BA423" s="166">
        <v>0</v>
      </c>
      <c r="BB423" s="166">
        <v>0</v>
      </c>
      <c r="BC423" s="166">
        <v>0</v>
      </c>
      <c r="BD423" s="166">
        <v>0</v>
      </c>
      <c r="BE423" s="166">
        <v>0</v>
      </c>
      <c r="BF423" s="166">
        <v>0</v>
      </c>
      <c r="BG423" s="166">
        <v>0</v>
      </c>
      <c r="BH423" s="166">
        <v>0</v>
      </c>
      <c r="BI423" s="166">
        <v>0</v>
      </c>
      <c r="BJ423" s="166">
        <v>0</v>
      </c>
      <c r="BK423" s="166">
        <v>0</v>
      </c>
      <c r="BL423" s="166">
        <v>0</v>
      </c>
      <c r="BM423" s="166">
        <v>0</v>
      </c>
      <c r="BN423" s="166">
        <v>0</v>
      </c>
      <c r="BO423" s="166">
        <v>0</v>
      </c>
      <c r="BP423" s="166">
        <v>0</v>
      </c>
      <c r="BQ423" s="81" t="s">
        <v>1759</v>
      </c>
      <c r="BS423" s="81" t="s">
        <v>155</v>
      </c>
      <c r="BZ423" s="81" t="s">
        <v>155</v>
      </c>
      <c r="CA423" s="81">
        <v>12</v>
      </c>
      <c r="CC423" s="167">
        <v>0</v>
      </c>
      <c r="CD423" s="167">
        <v>0</v>
      </c>
      <c r="CE423" s="167">
        <v>0</v>
      </c>
      <c r="CF423" s="167">
        <v>0</v>
      </c>
      <c r="CG423" s="167">
        <v>0</v>
      </c>
      <c r="CH423" s="167">
        <f>N423</f>
        <v>23</v>
      </c>
      <c r="CI423" s="167">
        <v>0</v>
      </c>
      <c r="CJ423" s="167">
        <v>0</v>
      </c>
      <c r="CK423" s="167">
        <v>0</v>
      </c>
      <c r="CL423" s="167">
        <v>0</v>
      </c>
      <c r="CM423" s="167">
        <v>0</v>
      </c>
      <c r="CN423" s="167">
        <v>0</v>
      </c>
      <c r="CO423" s="167">
        <v>0</v>
      </c>
      <c r="CP423" s="167">
        <v>0</v>
      </c>
      <c r="CQ423" s="167">
        <v>0</v>
      </c>
      <c r="CR423" s="167">
        <v>0</v>
      </c>
      <c r="CS423" s="167">
        <v>0</v>
      </c>
      <c r="CT423" s="167">
        <v>0</v>
      </c>
      <c r="CU423" s="167">
        <v>0</v>
      </c>
      <c r="CV423" s="167">
        <v>0</v>
      </c>
      <c r="CW423" s="167">
        <v>0</v>
      </c>
      <c r="CX423" s="167">
        <f>SUM(CD423:CH423)</f>
        <v>23</v>
      </c>
      <c r="CY423" s="167">
        <f>SUM(CD423:CM423)</f>
        <v>23</v>
      </c>
    </row>
    <row r="424" spans="1:103" x14ac:dyDescent="0.2">
      <c r="A424" s="81">
        <v>3943</v>
      </c>
      <c r="B424" s="165" t="s">
        <v>1908</v>
      </c>
      <c r="C424" s="165" t="s">
        <v>1246</v>
      </c>
      <c r="D424" s="165" t="s">
        <v>129</v>
      </c>
      <c r="E424" s="165" t="s">
        <v>3012</v>
      </c>
      <c r="F424" s="165" t="s">
        <v>3031</v>
      </c>
      <c r="G424" s="81">
        <v>529575</v>
      </c>
      <c r="H424" s="81">
        <v>177401</v>
      </c>
      <c r="I424" s="165" t="s">
        <v>240</v>
      </c>
      <c r="J424" s="349">
        <v>41456</v>
      </c>
      <c r="L424" s="166">
        <v>0</v>
      </c>
      <c r="M424" s="166">
        <v>286</v>
      </c>
      <c r="N424" s="166">
        <v>286</v>
      </c>
      <c r="O424" s="166">
        <v>1950</v>
      </c>
      <c r="P424" s="166">
        <v>1950</v>
      </c>
      <c r="Q424" s="81" t="s">
        <v>155</v>
      </c>
      <c r="R424" s="165" t="s">
        <v>1247</v>
      </c>
      <c r="S424" s="81" t="s">
        <v>509</v>
      </c>
      <c r="T424" s="349">
        <v>42481</v>
      </c>
      <c r="U424" s="349">
        <v>42758</v>
      </c>
      <c r="W424" s="81" t="s">
        <v>114</v>
      </c>
      <c r="Y424" s="81" t="s">
        <v>115</v>
      </c>
      <c r="Z424" s="81" t="s">
        <v>116</v>
      </c>
      <c r="AA424" s="81" t="s">
        <v>116</v>
      </c>
      <c r="AB424" s="81" t="s">
        <v>117</v>
      </c>
      <c r="AC424" s="166">
        <v>0</v>
      </c>
      <c r="AG424" s="81" t="s">
        <v>238</v>
      </c>
      <c r="AH424" s="81" t="s">
        <v>118</v>
      </c>
      <c r="AI424" s="81" t="s">
        <v>3014</v>
      </c>
      <c r="AK424" s="166">
        <v>0</v>
      </c>
      <c r="AL424" s="166">
        <v>257</v>
      </c>
      <c r="AM424" s="166">
        <v>0</v>
      </c>
      <c r="AN424" s="166">
        <v>29</v>
      </c>
      <c r="AO424" s="166">
        <v>16</v>
      </c>
      <c r="AP424" s="166">
        <v>78</v>
      </c>
      <c r="AQ424" s="166">
        <v>129</v>
      </c>
      <c r="AR424" s="166">
        <v>53</v>
      </c>
      <c r="AS424" s="166">
        <v>10</v>
      </c>
      <c r="AT424" s="166">
        <v>0</v>
      </c>
      <c r="AU424" s="166">
        <v>0</v>
      </c>
      <c r="AV424" s="166">
        <v>16</v>
      </c>
      <c r="AW424" s="166">
        <v>78</v>
      </c>
      <c r="AX424" s="166">
        <v>129</v>
      </c>
      <c r="AY424" s="166">
        <v>53</v>
      </c>
      <c r="AZ424" s="166">
        <v>10</v>
      </c>
      <c r="BA424" s="166">
        <v>0</v>
      </c>
      <c r="BB424" s="166">
        <v>0</v>
      </c>
      <c r="BC424" s="166">
        <v>0</v>
      </c>
      <c r="BD424" s="166">
        <v>0</v>
      </c>
      <c r="BE424" s="166">
        <v>0</v>
      </c>
      <c r="BF424" s="166">
        <v>0</v>
      </c>
      <c r="BG424" s="166">
        <v>0</v>
      </c>
      <c r="BH424" s="166">
        <v>0</v>
      </c>
      <c r="BI424" s="166">
        <v>0</v>
      </c>
      <c r="BJ424" s="166">
        <v>0</v>
      </c>
      <c r="BK424" s="166">
        <v>0</v>
      </c>
      <c r="BL424" s="166">
        <v>0</v>
      </c>
      <c r="BM424" s="166">
        <v>0</v>
      </c>
      <c r="BN424" s="166">
        <v>0</v>
      </c>
      <c r="BO424" s="166">
        <v>0</v>
      </c>
      <c r="BP424" s="166">
        <v>0</v>
      </c>
      <c r="BQ424" s="81" t="s">
        <v>1759</v>
      </c>
      <c r="BS424" s="81" t="s">
        <v>155</v>
      </c>
      <c r="BZ424" s="81" t="s">
        <v>155</v>
      </c>
      <c r="CA424" s="81">
        <v>12</v>
      </c>
      <c r="CC424" s="167">
        <v>0</v>
      </c>
      <c r="CD424" s="167">
        <v>0</v>
      </c>
      <c r="CE424" s="167">
        <v>0</v>
      </c>
      <c r="CF424" s="167">
        <v>0</v>
      </c>
      <c r="CG424" s="167">
        <v>0</v>
      </c>
      <c r="CH424" s="167">
        <v>0</v>
      </c>
      <c r="CI424" s="167">
        <v>0</v>
      </c>
      <c r="CJ424" s="167">
        <v>0</v>
      </c>
      <c r="CK424" s="167">
        <f>N424</f>
        <v>286</v>
      </c>
      <c r="CL424" s="167">
        <v>0</v>
      </c>
      <c r="CM424" s="167">
        <v>0</v>
      </c>
      <c r="CN424" s="167">
        <v>0</v>
      </c>
      <c r="CO424" s="167">
        <v>0</v>
      </c>
      <c r="CP424" s="167">
        <v>0</v>
      </c>
      <c r="CQ424" s="167">
        <v>0</v>
      </c>
      <c r="CR424" s="167">
        <v>0</v>
      </c>
      <c r="CS424" s="167">
        <v>0</v>
      </c>
      <c r="CT424" s="167">
        <v>0</v>
      </c>
      <c r="CU424" s="167">
        <v>0</v>
      </c>
      <c r="CV424" s="167">
        <v>0</v>
      </c>
      <c r="CW424" s="167">
        <v>0</v>
      </c>
      <c r="CX424" s="167">
        <f>SUM(CD424:CH424)</f>
        <v>0</v>
      </c>
      <c r="CY424" s="167">
        <f>SUM(CD424:CM424)</f>
        <v>286</v>
      </c>
    </row>
    <row r="425" spans="1:103" ht="12.75" customHeight="1" x14ac:dyDescent="0.2">
      <c r="A425" s="81">
        <v>3943</v>
      </c>
      <c r="B425" s="165" t="s">
        <v>1908</v>
      </c>
      <c r="C425" s="165" t="s">
        <v>1246</v>
      </c>
      <c r="D425" s="165" t="s">
        <v>129</v>
      </c>
      <c r="E425" s="165" t="s">
        <v>3012</v>
      </c>
      <c r="F425" s="165" t="s">
        <v>3031</v>
      </c>
      <c r="G425" s="81">
        <v>529575</v>
      </c>
      <c r="H425" s="81">
        <v>177401</v>
      </c>
      <c r="I425" s="165" t="s">
        <v>240</v>
      </c>
      <c r="J425" s="349">
        <v>41456</v>
      </c>
      <c r="L425" s="166">
        <v>0</v>
      </c>
      <c r="M425" s="166">
        <v>30</v>
      </c>
      <c r="N425" s="166">
        <v>30</v>
      </c>
      <c r="O425" s="166">
        <v>1950</v>
      </c>
      <c r="P425" s="166">
        <v>1950</v>
      </c>
      <c r="Q425" s="81" t="s">
        <v>155</v>
      </c>
      <c r="R425" s="165" t="s">
        <v>1247</v>
      </c>
      <c r="S425" s="81" t="s">
        <v>509</v>
      </c>
      <c r="T425" s="349">
        <v>42481</v>
      </c>
      <c r="U425" s="349">
        <v>42758</v>
      </c>
      <c r="W425" s="81" t="s">
        <v>114</v>
      </c>
      <c r="Y425" s="81" t="s">
        <v>115</v>
      </c>
      <c r="Z425" s="81" t="s">
        <v>116</v>
      </c>
      <c r="AA425" s="81" t="s">
        <v>116</v>
      </c>
      <c r="AB425" s="81" t="s">
        <v>117</v>
      </c>
      <c r="AC425" s="166">
        <v>0</v>
      </c>
      <c r="AG425" s="81" t="s">
        <v>154</v>
      </c>
      <c r="AH425" s="81" t="s">
        <v>276</v>
      </c>
      <c r="AI425" s="81" t="s">
        <v>3014</v>
      </c>
      <c r="AK425" s="166">
        <v>0</v>
      </c>
      <c r="AL425" s="166">
        <v>27</v>
      </c>
      <c r="AM425" s="166">
        <v>0</v>
      </c>
      <c r="AN425" s="166">
        <v>3</v>
      </c>
      <c r="AO425" s="166">
        <v>0</v>
      </c>
      <c r="AP425" s="166">
        <v>11</v>
      </c>
      <c r="AQ425" s="166">
        <v>11</v>
      </c>
      <c r="AR425" s="166">
        <v>6</v>
      </c>
      <c r="AS425" s="166">
        <v>2</v>
      </c>
      <c r="AT425" s="166">
        <v>0</v>
      </c>
      <c r="AU425" s="166">
        <v>0</v>
      </c>
      <c r="AV425" s="166">
        <v>0</v>
      </c>
      <c r="AW425" s="166">
        <v>11</v>
      </c>
      <c r="AX425" s="166">
        <v>11</v>
      </c>
      <c r="AY425" s="166">
        <v>6</v>
      </c>
      <c r="AZ425" s="166">
        <v>2</v>
      </c>
      <c r="BA425" s="166">
        <v>0</v>
      </c>
      <c r="BB425" s="166">
        <v>0</v>
      </c>
      <c r="BC425" s="166">
        <v>0</v>
      </c>
      <c r="BD425" s="166">
        <v>0</v>
      </c>
      <c r="BE425" s="166">
        <v>0</v>
      </c>
      <c r="BF425" s="166">
        <v>0</v>
      </c>
      <c r="BG425" s="166">
        <v>0</v>
      </c>
      <c r="BH425" s="166">
        <v>0</v>
      </c>
      <c r="BI425" s="166">
        <v>0</v>
      </c>
      <c r="BJ425" s="166">
        <v>0</v>
      </c>
      <c r="BK425" s="166">
        <v>0</v>
      </c>
      <c r="BL425" s="166">
        <v>0</v>
      </c>
      <c r="BM425" s="166">
        <v>0</v>
      </c>
      <c r="BN425" s="166">
        <v>0</v>
      </c>
      <c r="BO425" s="166">
        <v>0</v>
      </c>
      <c r="BP425" s="166">
        <v>0</v>
      </c>
      <c r="BQ425" s="81" t="s">
        <v>1759</v>
      </c>
      <c r="BS425" s="81" t="s">
        <v>155</v>
      </c>
      <c r="BZ425" s="81" t="s">
        <v>155</v>
      </c>
      <c r="CA425" s="81">
        <v>12</v>
      </c>
      <c r="CC425" s="167">
        <v>0</v>
      </c>
      <c r="CD425" s="167">
        <v>0</v>
      </c>
      <c r="CE425" s="167">
        <v>0</v>
      </c>
      <c r="CF425" s="167">
        <v>0</v>
      </c>
      <c r="CG425" s="167">
        <v>0</v>
      </c>
      <c r="CH425" s="167">
        <v>0</v>
      </c>
      <c r="CI425" s="167">
        <v>0</v>
      </c>
      <c r="CJ425" s="167">
        <v>0</v>
      </c>
      <c r="CK425" s="167">
        <f>N425</f>
        <v>30</v>
      </c>
      <c r="CL425" s="167">
        <v>0</v>
      </c>
      <c r="CM425" s="167">
        <v>0</v>
      </c>
      <c r="CN425" s="167">
        <v>0</v>
      </c>
      <c r="CO425" s="167">
        <v>0</v>
      </c>
      <c r="CP425" s="167">
        <v>0</v>
      </c>
      <c r="CQ425" s="167">
        <v>0</v>
      </c>
      <c r="CR425" s="167">
        <v>0</v>
      </c>
      <c r="CS425" s="167">
        <v>0</v>
      </c>
      <c r="CT425" s="167">
        <v>0</v>
      </c>
      <c r="CU425" s="167">
        <v>0</v>
      </c>
      <c r="CV425" s="167">
        <v>0</v>
      </c>
      <c r="CW425" s="167">
        <v>0</v>
      </c>
      <c r="CX425" s="167">
        <f>SUM(CD425:CH425)</f>
        <v>0</v>
      </c>
      <c r="CY425" s="167">
        <f>SUM(CD425:CM425)</f>
        <v>30</v>
      </c>
    </row>
    <row r="426" spans="1:103" x14ac:dyDescent="0.2">
      <c r="A426" s="81">
        <v>3943</v>
      </c>
      <c r="B426" s="165" t="s">
        <v>1908</v>
      </c>
      <c r="C426" s="165" t="s">
        <v>1246</v>
      </c>
      <c r="D426" s="165" t="s">
        <v>129</v>
      </c>
      <c r="E426" s="165" t="s">
        <v>3012</v>
      </c>
      <c r="F426" s="165" t="s">
        <v>3031</v>
      </c>
      <c r="G426" s="81">
        <v>529575</v>
      </c>
      <c r="H426" s="81">
        <v>177401</v>
      </c>
      <c r="I426" s="165" t="s">
        <v>240</v>
      </c>
      <c r="J426" s="349">
        <v>41456</v>
      </c>
      <c r="L426" s="166">
        <v>0</v>
      </c>
      <c r="M426" s="166">
        <v>21</v>
      </c>
      <c r="N426" s="166">
        <v>21</v>
      </c>
      <c r="O426" s="166">
        <v>1950</v>
      </c>
      <c r="P426" s="166">
        <v>1950</v>
      </c>
      <c r="Q426" s="81" t="s">
        <v>155</v>
      </c>
      <c r="R426" s="165" t="s">
        <v>1247</v>
      </c>
      <c r="S426" s="81" t="s">
        <v>509</v>
      </c>
      <c r="T426" s="349">
        <v>42481</v>
      </c>
      <c r="U426" s="349">
        <v>42758</v>
      </c>
      <c r="W426" s="81" t="s">
        <v>114</v>
      </c>
      <c r="Y426" s="81" t="s">
        <v>115</v>
      </c>
      <c r="Z426" s="81" t="s">
        <v>116</v>
      </c>
      <c r="AA426" s="81" t="s">
        <v>116</v>
      </c>
      <c r="AB426" s="81" t="s">
        <v>117</v>
      </c>
      <c r="AC426" s="166">
        <v>0</v>
      </c>
      <c r="AG426" s="81" t="s">
        <v>74</v>
      </c>
      <c r="AH426" s="81" t="s">
        <v>880</v>
      </c>
      <c r="AI426" s="81" t="s">
        <v>3014</v>
      </c>
      <c r="AK426" s="166">
        <v>0</v>
      </c>
      <c r="AL426" s="166">
        <v>19</v>
      </c>
      <c r="AM426" s="166">
        <v>0</v>
      </c>
      <c r="AN426" s="166">
        <v>2</v>
      </c>
      <c r="AO426" s="166">
        <v>0</v>
      </c>
      <c r="AP426" s="166">
        <v>8</v>
      </c>
      <c r="AQ426" s="166">
        <v>7</v>
      </c>
      <c r="AR426" s="166">
        <v>4</v>
      </c>
      <c r="AS426" s="166">
        <v>2</v>
      </c>
      <c r="AT426" s="166">
        <v>0</v>
      </c>
      <c r="AU426" s="166">
        <v>0</v>
      </c>
      <c r="AV426" s="166">
        <v>0</v>
      </c>
      <c r="AW426" s="166">
        <v>8</v>
      </c>
      <c r="AX426" s="166">
        <v>7</v>
      </c>
      <c r="AY426" s="166">
        <v>4</v>
      </c>
      <c r="AZ426" s="166">
        <v>2</v>
      </c>
      <c r="BA426" s="166">
        <v>0</v>
      </c>
      <c r="BB426" s="166">
        <v>0</v>
      </c>
      <c r="BC426" s="166">
        <v>0</v>
      </c>
      <c r="BD426" s="166">
        <v>0</v>
      </c>
      <c r="BE426" s="166">
        <v>0</v>
      </c>
      <c r="BF426" s="166">
        <v>0</v>
      </c>
      <c r="BG426" s="166">
        <v>0</v>
      </c>
      <c r="BH426" s="166">
        <v>0</v>
      </c>
      <c r="BI426" s="166">
        <v>0</v>
      </c>
      <c r="BJ426" s="166">
        <v>0</v>
      </c>
      <c r="BK426" s="166">
        <v>0</v>
      </c>
      <c r="BL426" s="166">
        <v>0</v>
      </c>
      <c r="BM426" s="166">
        <v>0</v>
      </c>
      <c r="BN426" s="166">
        <v>0</v>
      </c>
      <c r="BO426" s="166">
        <v>0</v>
      </c>
      <c r="BP426" s="166">
        <v>0</v>
      </c>
      <c r="BQ426" s="81" t="s">
        <v>1759</v>
      </c>
      <c r="BS426" s="81" t="s">
        <v>155</v>
      </c>
      <c r="BZ426" s="81" t="s">
        <v>155</v>
      </c>
      <c r="CA426" s="81">
        <v>12</v>
      </c>
      <c r="CC426" s="167">
        <v>0</v>
      </c>
      <c r="CD426" s="167">
        <v>0</v>
      </c>
      <c r="CE426" s="167">
        <v>0</v>
      </c>
      <c r="CF426" s="167">
        <v>0</v>
      </c>
      <c r="CG426" s="167">
        <v>0</v>
      </c>
      <c r="CH426" s="167">
        <v>0</v>
      </c>
      <c r="CI426" s="167">
        <v>0</v>
      </c>
      <c r="CJ426" s="167">
        <v>0</v>
      </c>
      <c r="CK426" s="167">
        <f>N426</f>
        <v>21</v>
      </c>
      <c r="CL426" s="167">
        <v>0</v>
      </c>
      <c r="CM426" s="167">
        <v>0</v>
      </c>
      <c r="CN426" s="167">
        <v>0</v>
      </c>
      <c r="CO426" s="167">
        <v>0</v>
      </c>
      <c r="CP426" s="167">
        <v>0</v>
      </c>
      <c r="CQ426" s="167">
        <v>0</v>
      </c>
      <c r="CR426" s="167">
        <v>0</v>
      </c>
      <c r="CS426" s="167">
        <v>0</v>
      </c>
      <c r="CT426" s="167">
        <v>0</v>
      </c>
      <c r="CU426" s="167">
        <v>0</v>
      </c>
      <c r="CV426" s="167">
        <v>0</v>
      </c>
      <c r="CW426" s="167">
        <v>0</v>
      </c>
      <c r="CX426" s="167">
        <f>SUM(CD426:CH426)</f>
        <v>0</v>
      </c>
      <c r="CY426" s="167">
        <f>SUM(CD426:CM426)</f>
        <v>21</v>
      </c>
    </row>
    <row r="427" spans="1:103" ht="12.75" customHeight="1" x14ac:dyDescent="0.2">
      <c r="A427" s="81">
        <v>3943</v>
      </c>
      <c r="B427" s="165" t="s">
        <v>1908</v>
      </c>
      <c r="C427" s="165" t="s">
        <v>1246</v>
      </c>
      <c r="D427" s="165" t="s">
        <v>129</v>
      </c>
      <c r="E427" s="165" t="s">
        <v>3012</v>
      </c>
      <c r="F427" s="165" t="s">
        <v>3035</v>
      </c>
      <c r="G427" s="81">
        <v>529575</v>
      </c>
      <c r="H427" s="81">
        <v>177401</v>
      </c>
      <c r="I427" s="165" t="s">
        <v>240</v>
      </c>
      <c r="J427" s="349">
        <v>41456</v>
      </c>
      <c r="L427" s="166">
        <v>0</v>
      </c>
      <c r="M427" s="166">
        <v>233</v>
      </c>
      <c r="N427" s="166">
        <v>233</v>
      </c>
      <c r="O427" s="166">
        <v>1950</v>
      </c>
      <c r="P427" s="166">
        <v>1950</v>
      </c>
      <c r="Q427" s="81" t="s">
        <v>155</v>
      </c>
      <c r="R427" s="165" t="s">
        <v>1247</v>
      </c>
      <c r="S427" s="81" t="s">
        <v>509</v>
      </c>
      <c r="T427" s="349">
        <v>42481</v>
      </c>
      <c r="U427" s="349">
        <v>42758</v>
      </c>
      <c r="W427" s="81" t="s">
        <v>114</v>
      </c>
      <c r="Y427" s="81" t="s">
        <v>115</v>
      </c>
      <c r="Z427" s="81" t="s">
        <v>116</v>
      </c>
      <c r="AA427" s="81" t="s">
        <v>116</v>
      </c>
      <c r="AB427" s="81" t="s">
        <v>117</v>
      </c>
      <c r="AC427" s="166">
        <v>0</v>
      </c>
      <c r="AG427" s="81" t="s">
        <v>238</v>
      </c>
      <c r="AH427" s="81" t="s">
        <v>118</v>
      </c>
      <c r="AI427" s="81" t="s">
        <v>3014</v>
      </c>
      <c r="AK427" s="166">
        <v>0</v>
      </c>
      <c r="AL427" s="166">
        <v>210</v>
      </c>
      <c r="AM427" s="166">
        <v>0</v>
      </c>
      <c r="AN427" s="166">
        <v>23</v>
      </c>
      <c r="AO427" s="166">
        <v>13</v>
      </c>
      <c r="AP427" s="166">
        <v>64</v>
      </c>
      <c r="AQ427" s="166">
        <v>105</v>
      </c>
      <c r="AR427" s="166">
        <v>43</v>
      </c>
      <c r="AS427" s="166">
        <v>8</v>
      </c>
      <c r="AT427" s="166">
        <v>0</v>
      </c>
      <c r="AU427" s="166">
        <v>0</v>
      </c>
      <c r="AV427" s="166">
        <v>13</v>
      </c>
      <c r="AW427" s="166">
        <v>64</v>
      </c>
      <c r="AX427" s="166">
        <v>105</v>
      </c>
      <c r="AY427" s="166">
        <v>43</v>
      </c>
      <c r="AZ427" s="166">
        <v>8</v>
      </c>
      <c r="BA427" s="166">
        <v>0</v>
      </c>
      <c r="BB427" s="166">
        <v>0</v>
      </c>
      <c r="BC427" s="166">
        <v>0</v>
      </c>
      <c r="BD427" s="166">
        <v>0</v>
      </c>
      <c r="BE427" s="166">
        <v>0</v>
      </c>
      <c r="BF427" s="166">
        <v>0</v>
      </c>
      <c r="BG427" s="166">
        <v>0</v>
      </c>
      <c r="BH427" s="166">
        <v>0</v>
      </c>
      <c r="BI427" s="166">
        <v>0</v>
      </c>
      <c r="BJ427" s="166">
        <v>0</v>
      </c>
      <c r="BK427" s="166">
        <v>0</v>
      </c>
      <c r="BL427" s="166">
        <v>0</v>
      </c>
      <c r="BM427" s="166">
        <v>0</v>
      </c>
      <c r="BN427" s="166">
        <v>0</v>
      </c>
      <c r="BO427" s="166">
        <v>0</v>
      </c>
      <c r="BP427" s="166">
        <v>0</v>
      </c>
      <c r="BQ427" s="81" t="s">
        <v>1759</v>
      </c>
      <c r="BS427" s="81" t="s">
        <v>155</v>
      </c>
      <c r="BZ427" s="81" t="s">
        <v>155</v>
      </c>
      <c r="CA427" s="81">
        <v>12</v>
      </c>
      <c r="CC427" s="167">
        <v>0</v>
      </c>
      <c r="CD427" s="167">
        <v>0</v>
      </c>
      <c r="CE427" s="167">
        <v>0</v>
      </c>
      <c r="CF427" s="167">
        <v>0</v>
      </c>
      <c r="CG427" s="167">
        <v>0</v>
      </c>
      <c r="CH427" s="167">
        <v>0</v>
      </c>
      <c r="CI427" s="167">
        <v>0</v>
      </c>
      <c r="CJ427" s="167">
        <v>0</v>
      </c>
      <c r="CK427" s="167">
        <v>0</v>
      </c>
      <c r="CL427" s="167">
        <f>N427</f>
        <v>233</v>
      </c>
      <c r="CM427" s="167">
        <v>0</v>
      </c>
      <c r="CN427" s="167">
        <v>0</v>
      </c>
      <c r="CO427" s="167">
        <v>0</v>
      </c>
      <c r="CP427" s="167">
        <v>0</v>
      </c>
      <c r="CQ427" s="167">
        <v>0</v>
      </c>
      <c r="CR427" s="167">
        <v>0</v>
      </c>
      <c r="CS427" s="167">
        <v>0</v>
      </c>
      <c r="CT427" s="167">
        <v>0</v>
      </c>
      <c r="CU427" s="167">
        <v>0</v>
      </c>
      <c r="CV427" s="167">
        <v>0</v>
      </c>
      <c r="CW427" s="167">
        <v>0</v>
      </c>
      <c r="CX427" s="167">
        <f>SUM(CD427:CH427)</f>
        <v>0</v>
      </c>
      <c r="CY427" s="167">
        <f>SUM(CD427:CM427)</f>
        <v>233</v>
      </c>
    </row>
    <row r="428" spans="1:103" ht="12.75" customHeight="1" x14ac:dyDescent="0.2">
      <c r="A428" s="81">
        <v>3943</v>
      </c>
      <c r="B428" s="165" t="s">
        <v>1908</v>
      </c>
      <c r="C428" s="165" t="s">
        <v>1246</v>
      </c>
      <c r="D428" s="165" t="s">
        <v>129</v>
      </c>
      <c r="E428" s="165" t="s">
        <v>3012</v>
      </c>
      <c r="F428" s="165" t="s">
        <v>3035</v>
      </c>
      <c r="G428" s="81">
        <v>529575</v>
      </c>
      <c r="H428" s="81">
        <v>177401</v>
      </c>
      <c r="I428" s="165" t="s">
        <v>240</v>
      </c>
      <c r="J428" s="349">
        <v>41456</v>
      </c>
      <c r="L428" s="166">
        <v>0</v>
      </c>
      <c r="M428" s="166">
        <v>25</v>
      </c>
      <c r="N428" s="166">
        <v>25</v>
      </c>
      <c r="O428" s="166">
        <v>1950</v>
      </c>
      <c r="P428" s="166">
        <v>1950</v>
      </c>
      <c r="Q428" s="81" t="s">
        <v>155</v>
      </c>
      <c r="R428" s="165" t="s">
        <v>1247</v>
      </c>
      <c r="S428" s="81" t="s">
        <v>509</v>
      </c>
      <c r="T428" s="349">
        <v>42481</v>
      </c>
      <c r="U428" s="349">
        <v>42758</v>
      </c>
      <c r="W428" s="81" t="s">
        <v>114</v>
      </c>
      <c r="Y428" s="81" t="s">
        <v>115</v>
      </c>
      <c r="Z428" s="81" t="s">
        <v>116</v>
      </c>
      <c r="AA428" s="81" t="s">
        <v>116</v>
      </c>
      <c r="AB428" s="81" t="s">
        <v>117</v>
      </c>
      <c r="AC428" s="166">
        <v>0</v>
      </c>
      <c r="AG428" s="81" t="s">
        <v>154</v>
      </c>
      <c r="AH428" s="81" t="s">
        <v>276</v>
      </c>
      <c r="AI428" s="81" t="s">
        <v>3014</v>
      </c>
      <c r="AK428" s="166">
        <v>0</v>
      </c>
      <c r="AL428" s="166">
        <v>22</v>
      </c>
      <c r="AM428" s="166">
        <v>0</v>
      </c>
      <c r="AN428" s="166">
        <v>3</v>
      </c>
      <c r="AO428" s="166">
        <v>0</v>
      </c>
      <c r="AP428" s="166">
        <v>9</v>
      </c>
      <c r="AQ428" s="166">
        <v>9</v>
      </c>
      <c r="AR428" s="166">
        <v>5</v>
      </c>
      <c r="AS428" s="166">
        <v>2</v>
      </c>
      <c r="AT428" s="166">
        <v>0</v>
      </c>
      <c r="AU428" s="166">
        <v>0</v>
      </c>
      <c r="AV428" s="166">
        <v>0</v>
      </c>
      <c r="AW428" s="166">
        <v>9</v>
      </c>
      <c r="AX428" s="166">
        <v>9</v>
      </c>
      <c r="AY428" s="166">
        <v>5</v>
      </c>
      <c r="AZ428" s="166">
        <v>2</v>
      </c>
      <c r="BA428" s="166">
        <v>0</v>
      </c>
      <c r="BB428" s="166">
        <v>0</v>
      </c>
      <c r="BC428" s="166">
        <v>0</v>
      </c>
      <c r="BD428" s="166">
        <v>0</v>
      </c>
      <c r="BE428" s="166">
        <v>0</v>
      </c>
      <c r="BF428" s="166">
        <v>0</v>
      </c>
      <c r="BG428" s="166">
        <v>0</v>
      </c>
      <c r="BH428" s="166">
        <v>0</v>
      </c>
      <c r="BI428" s="166">
        <v>0</v>
      </c>
      <c r="BJ428" s="166">
        <v>0</v>
      </c>
      <c r="BK428" s="166">
        <v>0</v>
      </c>
      <c r="BL428" s="166">
        <v>0</v>
      </c>
      <c r="BM428" s="166">
        <v>0</v>
      </c>
      <c r="BN428" s="166">
        <v>0</v>
      </c>
      <c r="BO428" s="166">
        <v>0</v>
      </c>
      <c r="BP428" s="166">
        <v>0</v>
      </c>
      <c r="BQ428" s="81" t="s">
        <v>1759</v>
      </c>
      <c r="BS428" s="81" t="s">
        <v>155</v>
      </c>
      <c r="BZ428" s="81" t="s">
        <v>155</v>
      </c>
      <c r="CA428" s="81">
        <v>12</v>
      </c>
      <c r="CC428" s="167">
        <v>0</v>
      </c>
      <c r="CD428" s="167">
        <v>0</v>
      </c>
      <c r="CE428" s="167">
        <v>0</v>
      </c>
      <c r="CF428" s="167">
        <v>0</v>
      </c>
      <c r="CG428" s="167">
        <v>0</v>
      </c>
      <c r="CH428" s="167">
        <v>0</v>
      </c>
      <c r="CI428" s="167">
        <v>0</v>
      </c>
      <c r="CJ428" s="167">
        <v>0</v>
      </c>
      <c r="CK428" s="167">
        <v>0</v>
      </c>
      <c r="CL428" s="167">
        <f>N428</f>
        <v>25</v>
      </c>
      <c r="CM428" s="167">
        <v>0</v>
      </c>
      <c r="CN428" s="167">
        <v>0</v>
      </c>
      <c r="CO428" s="167">
        <v>0</v>
      </c>
      <c r="CP428" s="167">
        <v>0</v>
      </c>
      <c r="CQ428" s="167">
        <v>0</v>
      </c>
      <c r="CR428" s="167">
        <v>0</v>
      </c>
      <c r="CS428" s="167">
        <v>0</v>
      </c>
      <c r="CT428" s="167">
        <v>0</v>
      </c>
      <c r="CU428" s="167">
        <v>0</v>
      </c>
      <c r="CV428" s="167">
        <v>0</v>
      </c>
      <c r="CW428" s="167">
        <v>0</v>
      </c>
      <c r="CX428" s="167">
        <f>SUM(CD428:CH428)</f>
        <v>0</v>
      </c>
      <c r="CY428" s="167">
        <f>SUM(CD428:CM428)</f>
        <v>25</v>
      </c>
    </row>
    <row r="429" spans="1:103" ht="12.75" customHeight="1" x14ac:dyDescent="0.2">
      <c r="A429" s="81">
        <v>3943</v>
      </c>
      <c r="B429" s="165" t="s">
        <v>1908</v>
      </c>
      <c r="C429" s="165" t="s">
        <v>1246</v>
      </c>
      <c r="D429" s="165" t="s">
        <v>129</v>
      </c>
      <c r="E429" s="165" t="s">
        <v>3012</v>
      </c>
      <c r="F429" s="165" t="s">
        <v>3035</v>
      </c>
      <c r="G429" s="81">
        <v>529575</v>
      </c>
      <c r="H429" s="81">
        <v>177401</v>
      </c>
      <c r="I429" s="165" t="s">
        <v>240</v>
      </c>
      <c r="J429" s="349">
        <v>41456</v>
      </c>
      <c r="L429" s="166">
        <v>0</v>
      </c>
      <c r="M429" s="166">
        <v>16</v>
      </c>
      <c r="N429" s="166">
        <v>16</v>
      </c>
      <c r="O429" s="166">
        <v>1950</v>
      </c>
      <c r="P429" s="166">
        <v>1950</v>
      </c>
      <c r="Q429" s="81" t="s">
        <v>155</v>
      </c>
      <c r="R429" s="165" t="s">
        <v>1247</v>
      </c>
      <c r="S429" s="81" t="s">
        <v>509</v>
      </c>
      <c r="T429" s="349">
        <v>42481</v>
      </c>
      <c r="U429" s="349">
        <v>42758</v>
      </c>
      <c r="W429" s="81" t="s">
        <v>114</v>
      </c>
      <c r="Y429" s="81" t="s">
        <v>115</v>
      </c>
      <c r="Z429" s="81" t="s">
        <v>116</v>
      </c>
      <c r="AA429" s="81" t="s">
        <v>116</v>
      </c>
      <c r="AB429" s="81" t="s">
        <v>117</v>
      </c>
      <c r="AC429" s="166">
        <v>0</v>
      </c>
      <c r="AG429" s="81" t="s">
        <v>74</v>
      </c>
      <c r="AH429" s="81" t="s">
        <v>880</v>
      </c>
      <c r="AI429" s="81" t="s">
        <v>3014</v>
      </c>
      <c r="AK429" s="166">
        <v>0</v>
      </c>
      <c r="AL429" s="166">
        <v>14</v>
      </c>
      <c r="AM429" s="166">
        <v>0</v>
      </c>
      <c r="AN429" s="166">
        <v>2</v>
      </c>
      <c r="AO429" s="166">
        <v>0</v>
      </c>
      <c r="AP429" s="166">
        <v>6</v>
      </c>
      <c r="AQ429" s="166">
        <v>6</v>
      </c>
      <c r="AR429" s="166">
        <v>3</v>
      </c>
      <c r="AS429" s="166">
        <v>1</v>
      </c>
      <c r="AT429" s="166">
        <v>0</v>
      </c>
      <c r="AU429" s="166">
        <v>0</v>
      </c>
      <c r="AV429" s="166">
        <v>0</v>
      </c>
      <c r="AW429" s="166">
        <v>6</v>
      </c>
      <c r="AX429" s="166">
        <v>6</v>
      </c>
      <c r="AY429" s="166">
        <v>3</v>
      </c>
      <c r="AZ429" s="166">
        <v>1</v>
      </c>
      <c r="BA429" s="166">
        <v>0</v>
      </c>
      <c r="BB429" s="166">
        <v>0</v>
      </c>
      <c r="BC429" s="166">
        <v>0</v>
      </c>
      <c r="BD429" s="166">
        <v>0</v>
      </c>
      <c r="BE429" s="166">
        <v>0</v>
      </c>
      <c r="BF429" s="166">
        <v>0</v>
      </c>
      <c r="BG429" s="166">
        <v>0</v>
      </c>
      <c r="BH429" s="166">
        <v>0</v>
      </c>
      <c r="BI429" s="166">
        <v>0</v>
      </c>
      <c r="BJ429" s="166">
        <v>0</v>
      </c>
      <c r="BK429" s="166">
        <v>0</v>
      </c>
      <c r="BL429" s="166">
        <v>0</v>
      </c>
      <c r="BM429" s="166">
        <v>0</v>
      </c>
      <c r="BN429" s="166">
        <v>0</v>
      </c>
      <c r="BO429" s="166">
        <v>0</v>
      </c>
      <c r="BP429" s="166">
        <v>0</v>
      </c>
      <c r="BQ429" s="81" t="s">
        <v>1759</v>
      </c>
      <c r="BS429" s="81" t="s">
        <v>155</v>
      </c>
      <c r="BZ429" s="81" t="s">
        <v>155</v>
      </c>
      <c r="CA429" s="81">
        <v>12</v>
      </c>
      <c r="CC429" s="167">
        <v>0</v>
      </c>
      <c r="CD429" s="167">
        <v>0</v>
      </c>
      <c r="CE429" s="167">
        <v>0</v>
      </c>
      <c r="CF429" s="167">
        <v>0</v>
      </c>
      <c r="CG429" s="167">
        <v>0</v>
      </c>
      <c r="CH429" s="167">
        <v>0</v>
      </c>
      <c r="CI429" s="167">
        <v>0</v>
      </c>
      <c r="CJ429" s="167">
        <v>0</v>
      </c>
      <c r="CK429" s="167">
        <v>0</v>
      </c>
      <c r="CL429" s="167">
        <f>N429</f>
        <v>16</v>
      </c>
      <c r="CM429" s="167">
        <v>0</v>
      </c>
      <c r="CN429" s="167">
        <v>0</v>
      </c>
      <c r="CO429" s="167">
        <v>0</v>
      </c>
      <c r="CP429" s="167">
        <v>0</v>
      </c>
      <c r="CQ429" s="167">
        <v>0</v>
      </c>
      <c r="CR429" s="167">
        <v>0</v>
      </c>
      <c r="CS429" s="167">
        <v>0</v>
      </c>
      <c r="CT429" s="167">
        <v>0</v>
      </c>
      <c r="CU429" s="167">
        <v>0</v>
      </c>
      <c r="CV429" s="167">
        <v>0</v>
      </c>
      <c r="CW429" s="167">
        <v>0</v>
      </c>
      <c r="CX429" s="167">
        <f>SUM(CD429:CH429)</f>
        <v>0</v>
      </c>
      <c r="CY429" s="167">
        <f>SUM(CD429:CM429)</f>
        <v>16</v>
      </c>
    </row>
    <row r="430" spans="1:103" ht="12.75" customHeight="1" x14ac:dyDescent="0.2">
      <c r="A430" s="81">
        <v>3943</v>
      </c>
      <c r="B430" s="165" t="s">
        <v>1908</v>
      </c>
      <c r="C430" s="165" t="s">
        <v>1246</v>
      </c>
      <c r="D430" s="165" t="s">
        <v>129</v>
      </c>
      <c r="E430" s="165" t="s">
        <v>3012</v>
      </c>
      <c r="F430" s="165" t="s">
        <v>3065</v>
      </c>
      <c r="G430" s="81">
        <v>529575</v>
      </c>
      <c r="H430" s="81">
        <v>177401</v>
      </c>
      <c r="I430" s="165" t="s">
        <v>240</v>
      </c>
      <c r="J430" s="349">
        <v>41456</v>
      </c>
      <c r="L430" s="166">
        <v>0</v>
      </c>
      <c r="M430" s="166">
        <v>159</v>
      </c>
      <c r="N430" s="166">
        <v>159</v>
      </c>
      <c r="O430" s="166">
        <v>1950</v>
      </c>
      <c r="P430" s="166">
        <v>1950</v>
      </c>
      <c r="Q430" s="81" t="s">
        <v>155</v>
      </c>
      <c r="R430" s="165" t="s">
        <v>1247</v>
      </c>
      <c r="S430" s="81" t="s">
        <v>509</v>
      </c>
      <c r="T430" s="349">
        <v>42481</v>
      </c>
      <c r="U430" s="349">
        <v>42758</v>
      </c>
      <c r="W430" s="81" t="s">
        <v>114</v>
      </c>
      <c r="Y430" s="81" t="s">
        <v>115</v>
      </c>
      <c r="Z430" s="81" t="s">
        <v>116</v>
      </c>
      <c r="AA430" s="81" t="s">
        <v>116</v>
      </c>
      <c r="AB430" s="81" t="s">
        <v>117</v>
      </c>
      <c r="AC430" s="166">
        <v>0</v>
      </c>
      <c r="AG430" s="81" t="s">
        <v>238</v>
      </c>
      <c r="AH430" s="81" t="s">
        <v>118</v>
      </c>
      <c r="AI430" s="81" t="s">
        <v>3014</v>
      </c>
      <c r="AK430" s="166">
        <v>0</v>
      </c>
      <c r="AL430" s="166">
        <v>143</v>
      </c>
      <c r="AM430" s="166">
        <v>0</v>
      </c>
      <c r="AN430" s="166">
        <v>16</v>
      </c>
      <c r="AO430" s="166">
        <v>9</v>
      </c>
      <c r="AP430" s="166">
        <v>43</v>
      </c>
      <c r="AQ430" s="166">
        <v>72</v>
      </c>
      <c r="AR430" s="166">
        <v>29</v>
      </c>
      <c r="AS430" s="166">
        <v>6</v>
      </c>
      <c r="AT430" s="166">
        <v>0</v>
      </c>
      <c r="AU430" s="166">
        <v>0</v>
      </c>
      <c r="AV430" s="166">
        <v>9</v>
      </c>
      <c r="AW430" s="166">
        <v>43</v>
      </c>
      <c r="AX430" s="166">
        <v>72</v>
      </c>
      <c r="AY430" s="166">
        <v>29</v>
      </c>
      <c r="AZ430" s="166">
        <v>6</v>
      </c>
      <c r="BA430" s="166">
        <v>0</v>
      </c>
      <c r="BB430" s="166">
        <v>0</v>
      </c>
      <c r="BC430" s="166">
        <v>0</v>
      </c>
      <c r="BD430" s="166">
        <v>0</v>
      </c>
      <c r="BE430" s="166">
        <v>0</v>
      </c>
      <c r="BF430" s="166">
        <v>0</v>
      </c>
      <c r="BG430" s="166">
        <v>0</v>
      </c>
      <c r="BH430" s="166">
        <v>0</v>
      </c>
      <c r="BI430" s="166">
        <v>0</v>
      </c>
      <c r="BJ430" s="166">
        <v>0</v>
      </c>
      <c r="BK430" s="166">
        <v>0</v>
      </c>
      <c r="BL430" s="166">
        <v>0</v>
      </c>
      <c r="BM430" s="166">
        <v>0</v>
      </c>
      <c r="BN430" s="166">
        <v>0</v>
      </c>
      <c r="BO430" s="166">
        <v>0</v>
      </c>
      <c r="BP430" s="166">
        <v>0</v>
      </c>
      <c r="BQ430" s="81" t="s">
        <v>1759</v>
      </c>
      <c r="BS430" s="81" t="s">
        <v>155</v>
      </c>
      <c r="BZ430" s="81" t="s">
        <v>155</v>
      </c>
      <c r="CA430" s="81">
        <v>12</v>
      </c>
      <c r="CC430" s="167">
        <v>0</v>
      </c>
      <c r="CD430" s="167">
        <v>0</v>
      </c>
      <c r="CE430" s="167">
        <v>0</v>
      </c>
      <c r="CF430" s="167">
        <v>0</v>
      </c>
      <c r="CG430" s="167">
        <v>0</v>
      </c>
      <c r="CH430" s="167">
        <v>0</v>
      </c>
      <c r="CI430" s="167">
        <v>0</v>
      </c>
      <c r="CJ430" s="167">
        <v>0</v>
      </c>
      <c r="CK430" s="167">
        <v>0</v>
      </c>
      <c r="CL430" s="167">
        <v>0</v>
      </c>
      <c r="CM430" s="167">
        <f>N430</f>
        <v>159</v>
      </c>
      <c r="CN430" s="167">
        <v>0</v>
      </c>
      <c r="CO430" s="167">
        <v>0</v>
      </c>
      <c r="CP430" s="167">
        <v>0</v>
      </c>
      <c r="CQ430" s="167">
        <v>0</v>
      </c>
      <c r="CR430" s="167">
        <v>0</v>
      </c>
      <c r="CS430" s="167">
        <v>0</v>
      </c>
      <c r="CT430" s="167">
        <v>0</v>
      </c>
      <c r="CU430" s="167">
        <v>0</v>
      </c>
      <c r="CV430" s="167">
        <v>0</v>
      </c>
      <c r="CW430" s="167">
        <v>0</v>
      </c>
      <c r="CX430" s="167">
        <f>SUM(CD430:CH430)</f>
        <v>0</v>
      </c>
      <c r="CY430" s="167">
        <f>SUM(CD430:CM430)</f>
        <v>159</v>
      </c>
    </row>
    <row r="431" spans="1:103" x14ac:dyDescent="0.2">
      <c r="A431" s="81">
        <v>3943</v>
      </c>
      <c r="B431" s="165" t="s">
        <v>1908</v>
      </c>
      <c r="C431" s="165" t="s">
        <v>1246</v>
      </c>
      <c r="D431" s="165" t="s">
        <v>129</v>
      </c>
      <c r="E431" s="165" t="s">
        <v>3012</v>
      </c>
      <c r="F431" s="165" t="s">
        <v>3065</v>
      </c>
      <c r="G431" s="81">
        <v>529575</v>
      </c>
      <c r="H431" s="81">
        <v>177401</v>
      </c>
      <c r="I431" s="165" t="s">
        <v>240</v>
      </c>
      <c r="J431" s="349">
        <v>41456</v>
      </c>
      <c r="L431" s="166">
        <v>0</v>
      </c>
      <c r="M431" s="166">
        <v>16</v>
      </c>
      <c r="N431" s="166">
        <v>16</v>
      </c>
      <c r="O431" s="166">
        <v>1950</v>
      </c>
      <c r="P431" s="166">
        <v>1950</v>
      </c>
      <c r="Q431" s="81" t="s">
        <v>155</v>
      </c>
      <c r="R431" s="165" t="s">
        <v>1247</v>
      </c>
      <c r="S431" s="81" t="s">
        <v>509</v>
      </c>
      <c r="T431" s="349">
        <v>42481</v>
      </c>
      <c r="U431" s="349">
        <v>42758</v>
      </c>
      <c r="W431" s="81" t="s">
        <v>114</v>
      </c>
      <c r="Y431" s="81" t="s">
        <v>115</v>
      </c>
      <c r="Z431" s="81" t="s">
        <v>116</v>
      </c>
      <c r="AA431" s="81" t="s">
        <v>116</v>
      </c>
      <c r="AB431" s="81" t="s">
        <v>117</v>
      </c>
      <c r="AC431" s="166">
        <v>0</v>
      </c>
      <c r="AG431" s="81" t="s">
        <v>154</v>
      </c>
      <c r="AH431" s="81" t="s">
        <v>276</v>
      </c>
      <c r="AI431" s="81" t="s">
        <v>3014</v>
      </c>
      <c r="AK431" s="166">
        <v>0</v>
      </c>
      <c r="AL431" s="166">
        <v>14</v>
      </c>
      <c r="AM431" s="166">
        <v>0</v>
      </c>
      <c r="AN431" s="166">
        <v>2</v>
      </c>
      <c r="AO431" s="166">
        <v>0</v>
      </c>
      <c r="AP431" s="166">
        <v>6</v>
      </c>
      <c r="AQ431" s="166">
        <v>6</v>
      </c>
      <c r="AR431" s="166">
        <v>3</v>
      </c>
      <c r="AS431" s="166">
        <v>1</v>
      </c>
      <c r="AT431" s="166">
        <v>0</v>
      </c>
      <c r="AU431" s="166">
        <v>0</v>
      </c>
      <c r="AV431" s="166">
        <v>0</v>
      </c>
      <c r="AW431" s="166">
        <v>6</v>
      </c>
      <c r="AX431" s="166">
        <v>6</v>
      </c>
      <c r="AY431" s="166">
        <v>3</v>
      </c>
      <c r="AZ431" s="166">
        <v>1</v>
      </c>
      <c r="BA431" s="166">
        <v>0</v>
      </c>
      <c r="BB431" s="166">
        <v>0</v>
      </c>
      <c r="BC431" s="166">
        <v>0</v>
      </c>
      <c r="BD431" s="166">
        <v>0</v>
      </c>
      <c r="BE431" s="166">
        <v>0</v>
      </c>
      <c r="BF431" s="166">
        <v>0</v>
      </c>
      <c r="BG431" s="166">
        <v>0</v>
      </c>
      <c r="BH431" s="166">
        <v>0</v>
      </c>
      <c r="BI431" s="166">
        <v>0</v>
      </c>
      <c r="BJ431" s="166">
        <v>0</v>
      </c>
      <c r="BK431" s="166">
        <v>0</v>
      </c>
      <c r="BL431" s="166">
        <v>0</v>
      </c>
      <c r="BM431" s="166">
        <v>0</v>
      </c>
      <c r="BN431" s="166">
        <v>0</v>
      </c>
      <c r="BO431" s="166">
        <v>0</v>
      </c>
      <c r="BP431" s="166">
        <v>0</v>
      </c>
      <c r="BQ431" s="81" t="s">
        <v>1759</v>
      </c>
      <c r="BS431" s="81" t="s">
        <v>155</v>
      </c>
      <c r="BZ431" s="81" t="s">
        <v>155</v>
      </c>
      <c r="CA431" s="81">
        <v>12</v>
      </c>
      <c r="CC431" s="167">
        <v>0</v>
      </c>
      <c r="CD431" s="167">
        <v>0</v>
      </c>
      <c r="CE431" s="167">
        <v>0</v>
      </c>
      <c r="CF431" s="167">
        <v>0</v>
      </c>
      <c r="CG431" s="167">
        <v>0</v>
      </c>
      <c r="CH431" s="167">
        <v>0</v>
      </c>
      <c r="CI431" s="167">
        <v>0</v>
      </c>
      <c r="CJ431" s="167">
        <v>0</v>
      </c>
      <c r="CK431" s="167">
        <v>0</v>
      </c>
      <c r="CL431" s="167">
        <v>0</v>
      </c>
      <c r="CM431" s="167">
        <f>N431</f>
        <v>16</v>
      </c>
      <c r="CN431" s="167">
        <v>0</v>
      </c>
      <c r="CO431" s="167">
        <v>0</v>
      </c>
      <c r="CP431" s="167">
        <v>0</v>
      </c>
      <c r="CQ431" s="167">
        <v>0</v>
      </c>
      <c r="CR431" s="167">
        <v>0</v>
      </c>
      <c r="CS431" s="167">
        <v>0</v>
      </c>
      <c r="CT431" s="167">
        <v>0</v>
      </c>
      <c r="CU431" s="167">
        <v>0</v>
      </c>
      <c r="CV431" s="167">
        <v>0</v>
      </c>
      <c r="CW431" s="167">
        <v>0</v>
      </c>
      <c r="CX431" s="167">
        <f>SUM(CD431:CH431)</f>
        <v>0</v>
      </c>
      <c r="CY431" s="167">
        <f>SUM(CD431:CM431)</f>
        <v>16</v>
      </c>
    </row>
    <row r="432" spans="1:103" ht="12.75" customHeight="1" x14ac:dyDescent="0.2">
      <c r="A432" s="81">
        <v>3943</v>
      </c>
      <c r="B432" s="165" t="s">
        <v>1908</v>
      </c>
      <c r="C432" s="165" t="s">
        <v>1246</v>
      </c>
      <c r="D432" s="165" t="s">
        <v>129</v>
      </c>
      <c r="E432" s="165" t="s">
        <v>3012</v>
      </c>
      <c r="F432" s="165" t="s">
        <v>3065</v>
      </c>
      <c r="G432" s="81">
        <v>529575</v>
      </c>
      <c r="H432" s="81">
        <v>177401</v>
      </c>
      <c r="I432" s="165" t="s">
        <v>240</v>
      </c>
      <c r="J432" s="349">
        <v>41456</v>
      </c>
      <c r="L432" s="166">
        <v>0</v>
      </c>
      <c r="M432" s="166">
        <v>12</v>
      </c>
      <c r="N432" s="166">
        <v>12</v>
      </c>
      <c r="O432" s="166">
        <v>1950</v>
      </c>
      <c r="P432" s="166">
        <v>1950</v>
      </c>
      <c r="Q432" s="81" t="s">
        <v>155</v>
      </c>
      <c r="R432" s="165" t="s">
        <v>1247</v>
      </c>
      <c r="S432" s="81" t="s">
        <v>509</v>
      </c>
      <c r="T432" s="349">
        <v>42481</v>
      </c>
      <c r="U432" s="349">
        <v>42758</v>
      </c>
      <c r="W432" s="81" t="s">
        <v>114</v>
      </c>
      <c r="Y432" s="81" t="s">
        <v>115</v>
      </c>
      <c r="Z432" s="81" t="s">
        <v>116</v>
      </c>
      <c r="AA432" s="81" t="s">
        <v>116</v>
      </c>
      <c r="AB432" s="81" t="s">
        <v>117</v>
      </c>
      <c r="AC432" s="166">
        <v>0</v>
      </c>
      <c r="AG432" s="81" t="s">
        <v>74</v>
      </c>
      <c r="AH432" s="81" t="s">
        <v>880</v>
      </c>
      <c r="AI432" s="81" t="s">
        <v>3014</v>
      </c>
      <c r="AK432" s="166">
        <v>0</v>
      </c>
      <c r="AL432" s="166">
        <v>11</v>
      </c>
      <c r="AM432" s="166">
        <v>0</v>
      </c>
      <c r="AN432" s="166">
        <v>1</v>
      </c>
      <c r="AO432" s="166">
        <v>0</v>
      </c>
      <c r="AP432" s="166">
        <v>4</v>
      </c>
      <c r="AQ432" s="166">
        <v>5</v>
      </c>
      <c r="AR432" s="166">
        <v>2</v>
      </c>
      <c r="AS432" s="166">
        <v>1</v>
      </c>
      <c r="AT432" s="166">
        <v>0</v>
      </c>
      <c r="AU432" s="166">
        <v>0</v>
      </c>
      <c r="AV432" s="166">
        <v>0</v>
      </c>
      <c r="AW432" s="166">
        <v>4</v>
      </c>
      <c r="AX432" s="166">
        <v>5</v>
      </c>
      <c r="AY432" s="166">
        <v>2</v>
      </c>
      <c r="AZ432" s="166">
        <v>1</v>
      </c>
      <c r="BA432" s="166">
        <v>0</v>
      </c>
      <c r="BB432" s="166">
        <v>0</v>
      </c>
      <c r="BC432" s="166">
        <v>0</v>
      </c>
      <c r="BD432" s="166">
        <v>0</v>
      </c>
      <c r="BE432" s="166">
        <v>0</v>
      </c>
      <c r="BF432" s="166">
        <v>0</v>
      </c>
      <c r="BG432" s="166">
        <v>0</v>
      </c>
      <c r="BH432" s="166">
        <v>0</v>
      </c>
      <c r="BI432" s="166">
        <v>0</v>
      </c>
      <c r="BJ432" s="166">
        <v>0</v>
      </c>
      <c r="BK432" s="166">
        <v>0</v>
      </c>
      <c r="BL432" s="166">
        <v>0</v>
      </c>
      <c r="BM432" s="166">
        <v>0</v>
      </c>
      <c r="BN432" s="166">
        <v>0</v>
      </c>
      <c r="BO432" s="166">
        <v>0</v>
      </c>
      <c r="BP432" s="166">
        <v>0</v>
      </c>
      <c r="BQ432" s="81" t="s">
        <v>1759</v>
      </c>
      <c r="BS432" s="81" t="s">
        <v>155</v>
      </c>
      <c r="BZ432" s="81" t="s">
        <v>155</v>
      </c>
      <c r="CA432" s="81">
        <v>12</v>
      </c>
      <c r="CC432" s="167">
        <v>0</v>
      </c>
      <c r="CD432" s="167">
        <v>0</v>
      </c>
      <c r="CE432" s="167">
        <v>0</v>
      </c>
      <c r="CF432" s="167">
        <v>0</v>
      </c>
      <c r="CG432" s="167">
        <v>0</v>
      </c>
      <c r="CH432" s="167">
        <v>0</v>
      </c>
      <c r="CI432" s="167">
        <v>0</v>
      </c>
      <c r="CJ432" s="167">
        <v>0</v>
      </c>
      <c r="CK432" s="167">
        <v>0</v>
      </c>
      <c r="CL432" s="167">
        <v>0</v>
      </c>
      <c r="CM432" s="167">
        <f>N432</f>
        <v>12</v>
      </c>
      <c r="CN432" s="167">
        <v>0</v>
      </c>
      <c r="CO432" s="167">
        <v>0</v>
      </c>
      <c r="CP432" s="167">
        <v>0</v>
      </c>
      <c r="CQ432" s="167">
        <v>0</v>
      </c>
      <c r="CR432" s="167">
        <v>0</v>
      </c>
      <c r="CS432" s="167">
        <v>0</v>
      </c>
      <c r="CT432" s="167">
        <v>0</v>
      </c>
      <c r="CU432" s="167">
        <v>0</v>
      </c>
      <c r="CV432" s="167">
        <v>0</v>
      </c>
      <c r="CW432" s="167">
        <v>0</v>
      </c>
      <c r="CX432" s="167">
        <f>SUM(CD432:CH432)</f>
        <v>0</v>
      </c>
      <c r="CY432" s="167">
        <f>SUM(CD432:CM432)</f>
        <v>12</v>
      </c>
    </row>
    <row r="433" spans="1:103" ht="12.75" customHeight="1" x14ac:dyDescent="0.2">
      <c r="A433" s="81">
        <v>3944</v>
      </c>
      <c r="B433" s="165" t="s">
        <v>1908</v>
      </c>
      <c r="C433" s="165" t="s">
        <v>1045</v>
      </c>
      <c r="D433" s="165" t="s">
        <v>512</v>
      </c>
      <c r="E433" s="165" t="s">
        <v>3091</v>
      </c>
      <c r="F433" s="165" t="s">
        <v>3937</v>
      </c>
      <c r="G433" s="81">
        <v>529725</v>
      </c>
      <c r="H433" s="81">
        <v>177404</v>
      </c>
      <c r="I433" s="165" t="s">
        <v>240</v>
      </c>
      <c r="J433" s="349">
        <v>42095</v>
      </c>
      <c r="L433" s="166">
        <v>0</v>
      </c>
      <c r="M433" s="166">
        <v>118</v>
      </c>
      <c r="N433" s="166">
        <v>118</v>
      </c>
      <c r="O433" s="166">
        <v>514</v>
      </c>
      <c r="P433" s="166">
        <v>514</v>
      </c>
      <c r="Q433" s="81" t="s">
        <v>155</v>
      </c>
      <c r="R433" s="81" t="s">
        <v>1046</v>
      </c>
      <c r="S433" s="165" t="s">
        <v>509</v>
      </c>
      <c r="T433" s="350">
        <v>42669</v>
      </c>
      <c r="U433" s="349">
        <v>42810</v>
      </c>
      <c r="V433" s="349"/>
      <c r="W433" s="81" t="s">
        <v>114</v>
      </c>
      <c r="Y433" s="81" t="s">
        <v>115</v>
      </c>
      <c r="Z433" s="81" t="s">
        <v>116</v>
      </c>
      <c r="AA433" s="81" t="s">
        <v>116</v>
      </c>
      <c r="AB433" s="81" t="s">
        <v>117</v>
      </c>
      <c r="AC433" s="81">
        <v>0.19799999892711601</v>
      </c>
      <c r="AD433" s="351">
        <v>42095</v>
      </c>
      <c r="AE433" s="349"/>
      <c r="AG433" s="81" t="s">
        <v>238</v>
      </c>
      <c r="AH433" s="81" t="s">
        <v>118</v>
      </c>
      <c r="AI433" s="81" t="s">
        <v>3092</v>
      </c>
      <c r="AK433" s="81">
        <v>0</v>
      </c>
      <c r="AM433" s="166">
        <v>0</v>
      </c>
      <c r="AO433" s="166">
        <v>0</v>
      </c>
      <c r="AP433" s="166">
        <v>33</v>
      </c>
      <c r="AQ433" s="166">
        <v>68</v>
      </c>
      <c r="AR433" s="166">
        <v>17</v>
      </c>
      <c r="AS433" s="166">
        <v>0</v>
      </c>
      <c r="AT433" s="166">
        <v>0</v>
      </c>
      <c r="AU433" s="166">
        <v>0</v>
      </c>
      <c r="AV433" s="166">
        <v>0</v>
      </c>
      <c r="AW433" s="166">
        <v>33</v>
      </c>
      <c r="AX433" s="166">
        <v>68</v>
      </c>
      <c r="AY433" s="166">
        <v>17</v>
      </c>
      <c r="AZ433" s="166">
        <v>0</v>
      </c>
      <c r="BA433" s="166">
        <v>0</v>
      </c>
      <c r="BB433" s="166">
        <v>0</v>
      </c>
      <c r="BC433" s="166">
        <v>0</v>
      </c>
      <c r="BD433" s="166">
        <v>0</v>
      </c>
      <c r="BE433" s="166">
        <v>0</v>
      </c>
      <c r="BF433" s="166">
        <v>0</v>
      </c>
      <c r="BG433" s="166">
        <v>0</v>
      </c>
      <c r="BH433" s="166">
        <v>0</v>
      </c>
      <c r="BI433" s="166">
        <v>0</v>
      </c>
      <c r="BJ433" s="166">
        <v>0</v>
      </c>
      <c r="BK433" s="166">
        <v>0</v>
      </c>
      <c r="BL433" s="166">
        <v>0</v>
      </c>
      <c r="BM433" s="166">
        <v>0</v>
      </c>
      <c r="BN433" s="166">
        <v>0</v>
      </c>
      <c r="BO433" s="166">
        <v>0</v>
      </c>
      <c r="BP433" s="166">
        <v>0</v>
      </c>
      <c r="BQ433" s="81" t="s">
        <v>1759</v>
      </c>
      <c r="BS433" s="81" t="s">
        <v>155</v>
      </c>
      <c r="BZ433" s="81" t="s">
        <v>155</v>
      </c>
      <c r="CA433" s="81">
        <v>12</v>
      </c>
      <c r="CC433" s="167">
        <v>0</v>
      </c>
      <c r="CD433" s="167">
        <v>0</v>
      </c>
      <c r="CE433" s="167">
        <f>N433</f>
        <v>118</v>
      </c>
      <c r="CF433" s="167">
        <v>0</v>
      </c>
      <c r="CG433" s="167">
        <v>0</v>
      </c>
      <c r="CH433" s="167">
        <v>0</v>
      </c>
      <c r="CI433" s="167">
        <v>0</v>
      </c>
      <c r="CJ433" s="167">
        <v>0</v>
      </c>
      <c r="CK433" s="167">
        <v>0</v>
      </c>
      <c r="CL433" s="167">
        <v>0</v>
      </c>
      <c r="CM433" s="167">
        <v>0</v>
      </c>
      <c r="CN433" s="167">
        <v>0</v>
      </c>
      <c r="CO433" s="167">
        <v>0</v>
      </c>
      <c r="CP433" s="167">
        <v>0</v>
      </c>
      <c r="CQ433" s="167">
        <v>0</v>
      </c>
      <c r="CR433" s="167">
        <v>0</v>
      </c>
      <c r="CS433" s="167">
        <v>0</v>
      </c>
      <c r="CT433" s="167">
        <v>0</v>
      </c>
      <c r="CU433" s="167">
        <v>0</v>
      </c>
      <c r="CV433" s="167">
        <v>0</v>
      </c>
      <c r="CW433" s="167">
        <v>0</v>
      </c>
      <c r="CX433" s="167">
        <f>SUM(CD433:CH433)</f>
        <v>118</v>
      </c>
      <c r="CY433" s="167">
        <f>SUM(CD433:CM433)</f>
        <v>118</v>
      </c>
    </row>
    <row r="434" spans="1:103" ht="12.75" customHeight="1" x14ac:dyDescent="0.2">
      <c r="A434" s="81">
        <v>3944</v>
      </c>
      <c r="B434" s="165" t="s">
        <v>1908</v>
      </c>
      <c r="C434" s="165" t="s">
        <v>1045</v>
      </c>
      <c r="D434" s="165" t="s">
        <v>512</v>
      </c>
      <c r="E434" s="165" t="s">
        <v>3091</v>
      </c>
      <c r="F434" s="165" t="s">
        <v>3938</v>
      </c>
      <c r="G434" s="81">
        <v>529725</v>
      </c>
      <c r="H434" s="81">
        <v>177404</v>
      </c>
      <c r="I434" s="165" t="s">
        <v>240</v>
      </c>
      <c r="J434" s="349">
        <v>42095</v>
      </c>
      <c r="L434" s="166">
        <v>0</v>
      </c>
      <c r="M434" s="166">
        <v>67</v>
      </c>
      <c r="N434" s="166">
        <v>67</v>
      </c>
      <c r="O434" s="166">
        <v>514</v>
      </c>
      <c r="P434" s="166">
        <v>514</v>
      </c>
      <c r="Q434" s="81" t="s">
        <v>155</v>
      </c>
      <c r="R434" s="81" t="s">
        <v>1046</v>
      </c>
      <c r="S434" s="165" t="s">
        <v>509</v>
      </c>
      <c r="T434" s="350">
        <v>42669</v>
      </c>
      <c r="U434" s="349">
        <v>42810</v>
      </c>
      <c r="V434" s="349"/>
      <c r="W434" s="81" t="s">
        <v>114</v>
      </c>
      <c r="Y434" s="81" t="s">
        <v>115</v>
      </c>
      <c r="Z434" s="81" t="s">
        <v>116</v>
      </c>
      <c r="AA434" s="81" t="s">
        <v>116</v>
      </c>
      <c r="AB434" s="81" t="s">
        <v>117</v>
      </c>
      <c r="AC434" s="81">
        <v>0.11200000345706899</v>
      </c>
      <c r="AD434" s="351">
        <v>42095</v>
      </c>
      <c r="AE434" s="349"/>
      <c r="AG434" s="81" t="s">
        <v>238</v>
      </c>
      <c r="AH434" s="81" t="s">
        <v>118</v>
      </c>
      <c r="AI434" s="81" t="s">
        <v>3092</v>
      </c>
      <c r="AK434" s="81">
        <v>0</v>
      </c>
      <c r="AM434" s="166">
        <v>0</v>
      </c>
      <c r="AO434" s="166">
        <v>0</v>
      </c>
      <c r="AP434" s="166">
        <v>20</v>
      </c>
      <c r="AQ434" s="166">
        <v>34</v>
      </c>
      <c r="AR434" s="166">
        <v>13</v>
      </c>
      <c r="AS434" s="166">
        <v>0</v>
      </c>
      <c r="AT434" s="166">
        <v>0</v>
      </c>
      <c r="AU434" s="166">
        <v>0</v>
      </c>
      <c r="AV434" s="166">
        <v>0</v>
      </c>
      <c r="AW434" s="166">
        <v>20</v>
      </c>
      <c r="AX434" s="166">
        <v>34</v>
      </c>
      <c r="AY434" s="166">
        <v>13</v>
      </c>
      <c r="AZ434" s="166">
        <v>0</v>
      </c>
      <c r="BA434" s="166">
        <v>0</v>
      </c>
      <c r="BB434" s="166">
        <v>0</v>
      </c>
      <c r="BC434" s="166">
        <v>0</v>
      </c>
      <c r="BD434" s="166">
        <v>0</v>
      </c>
      <c r="BE434" s="166">
        <v>0</v>
      </c>
      <c r="BF434" s="166">
        <v>0</v>
      </c>
      <c r="BG434" s="166">
        <v>0</v>
      </c>
      <c r="BH434" s="166">
        <v>0</v>
      </c>
      <c r="BI434" s="166">
        <v>0</v>
      </c>
      <c r="BJ434" s="166">
        <v>0</v>
      </c>
      <c r="BK434" s="166">
        <v>0</v>
      </c>
      <c r="BL434" s="166">
        <v>0</v>
      </c>
      <c r="BM434" s="166">
        <v>0</v>
      </c>
      <c r="BN434" s="166">
        <v>0</v>
      </c>
      <c r="BO434" s="166">
        <v>0</v>
      </c>
      <c r="BP434" s="166">
        <v>0</v>
      </c>
      <c r="BQ434" s="81" t="s">
        <v>1759</v>
      </c>
      <c r="BS434" s="81" t="s">
        <v>155</v>
      </c>
      <c r="BZ434" s="81" t="s">
        <v>155</v>
      </c>
      <c r="CA434" s="81">
        <v>12</v>
      </c>
      <c r="CC434" s="167">
        <v>0</v>
      </c>
      <c r="CD434" s="167">
        <f>N434</f>
        <v>67</v>
      </c>
      <c r="CE434" s="167">
        <v>0</v>
      </c>
      <c r="CF434" s="167">
        <v>0</v>
      </c>
      <c r="CG434" s="167">
        <v>0</v>
      </c>
      <c r="CH434" s="167">
        <v>0</v>
      </c>
      <c r="CI434" s="167">
        <v>0</v>
      </c>
      <c r="CJ434" s="167">
        <v>0</v>
      </c>
      <c r="CK434" s="167">
        <v>0</v>
      </c>
      <c r="CL434" s="167">
        <v>0</v>
      </c>
      <c r="CM434" s="167">
        <v>0</v>
      </c>
      <c r="CN434" s="167">
        <v>0</v>
      </c>
      <c r="CO434" s="167">
        <v>0</v>
      </c>
      <c r="CP434" s="167">
        <v>0</v>
      </c>
      <c r="CQ434" s="167">
        <v>0</v>
      </c>
      <c r="CR434" s="167">
        <v>0</v>
      </c>
      <c r="CS434" s="167">
        <v>0</v>
      </c>
      <c r="CT434" s="167">
        <v>0</v>
      </c>
      <c r="CU434" s="167">
        <v>0</v>
      </c>
      <c r="CV434" s="167">
        <v>0</v>
      </c>
      <c r="CW434" s="167">
        <v>0</v>
      </c>
      <c r="CX434" s="167">
        <f>SUM(CD434:CH434)</f>
        <v>67</v>
      </c>
      <c r="CY434" s="167">
        <f>SUM(CD434:CM434)</f>
        <v>67</v>
      </c>
    </row>
    <row r="435" spans="1:103" ht="12.75" customHeight="1" x14ac:dyDescent="0.2">
      <c r="A435" s="81">
        <v>3944</v>
      </c>
      <c r="B435" s="165" t="s">
        <v>1908</v>
      </c>
      <c r="C435" s="165" t="s">
        <v>1045</v>
      </c>
      <c r="D435" s="165" t="s">
        <v>512</v>
      </c>
      <c r="E435" s="165" t="s">
        <v>3091</v>
      </c>
      <c r="F435" s="165" t="s">
        <v>3939</v>
      </c>
      <c r="G435" s="81">
        <v>529725</v>
      </c>
      <c r="H435" s="81">
        <v>177404</v>
      </c>
      <c r="I435" s="165" t="s">
        <v>240</v>
      </c>
      <c r="J435" s="349">
        <v>42095</v>
      </c>
      <c r="L435" s="166">
        <v>0</v>
      </c>
      <c r="M435" s="166">
        <v>88</v>
      </c>
      <c r="N435" s="166">
        <v>88</v>
      </c>
      <c r="O435" s="166">
        <v>514</v>
      </c>
      <c r="P435" s="166">
        <v>514</v>
      </c>
      <c r="Q435" s="81" t="s">
        <v>155</v>
      </c>
      <c r="R435" s="81" t="s">
        <v>1046</v>
      </c>
      <c r="S435" s="165" t="s">
        <v>509</v>
      </c>
      <c r="T435" s="350">
        <v>42669</v>
      </c>
      <c r="U435" s="349">
        <v>42810</v>
      </c>
      <c r="V435" s="349"/>
      <c r="W435" s="81" t="s">
        <v>114</v>
      </c>
      <c r="Y435" s="81" t="s">
        <v>115</v>
      </c>
      <c r="Z435" s="81" t="s">
        <v>116</v>
      </c>
      <c r="AA435" s="81" t="s">
        <v>116</v>
      </c>
      <c r="AB435" s="81" t="s">
        <v>117</v>
      </c>
      <c r="AC435" s="81">
        <v>0.14699999988079099</v>
      </c>
      <c r="AD435" s="351">
        <v>42095</v>
      </c>
      <c r="AE435" s="349"/>
      <c r="AG435" s="81" t="s">
        <v>238</v>
      </c>
      <c r="AH435" s="81" t="s">
        <v>118</v>
      </c>
      <c r="AI435" s="81" t="s">
        <v>3092</v>
      </c>
      <c r="AK435" s="81">
        <v>0</v>
      </c>
      <c r="AM435" s="166">
        <v>0</v>
      </c>
      <c r="AO435" s="166">
        <v>0</v>
      </c>
      <c r="AP435" s="166">
        <v>18</v>
      </c>
      <c r="AQ435" s="166">
        <v>58</v>
      </c>
      <c r="AR435" s="166">
        <v>12</v>
      </c>
      <c r="AS435" s="166">
        <v>0</v>
      </c>
      <c r="AT435" s="166">
        <v>0</v>
      </c>
      <c r="AU435" s="166">
        <v>0</v>
      </c>
      <c r="AV435" s="166">
        <v>0</v>
      </c>
      <c r="AW435" s="166">
        <v>18</v>
      </c>
      <c r="AX435" s="166">
        <v>58</v>
      </c>
      <c r="AY435" s="166">
        <v>12</v>
      </c>
      <c r="AZ435" s="166">
        <v>0</v>
      </c>
      <c r="BA435" s="166">
        <v>0</v>
      </c>
      <c r="BB435" s="166">
        <v>0</v>
      </c>
      <c r="BC435" s="166">
        <v>0</v>
      </c>
      <c r="BD435" s="166">
        <v>0</v>
      </c>
      <c r="BE435" s="166">
        <v>0</v>
      </c>
      <c r="BF435" s="166">
        <v>0</v>
      </c>
      <c r="BG435" s="166">
        <v>0</v>
      </c>
      <c r="BH435" s="166">
        <v>0</v>
      </c>
      <c r="BI435" s="166">
        <v>0</v>
      </c>
      <c r="BJ435" s="166">
        <v>0</v>
      </c>
      <c r="BK435" s="166">
        <v>0</v>
      </c>
      <c r="BL435" s="166">
        <v>0</v>
      </c>
      <c r="BM435" s="166">
        <v>0</v>
      </c>
      <c r="BN435" s="166">
        <v>0</v>
      </c>
      <c r="BO435" s="166">
        <v>0</v>
      </c>
      <c r="BP435" s="166">
        <v>0</v>
      </c>
      <c r="BQ435" s="81" t="s">
        <v>1759</v>
      </c>
      <c r="BS435" s="81" t="s">
        <v>155</v>
      </c>
      <c r="BZ435" s="81" t="s">
        <v>155</v>
      </c>
      <c r="CA435" s="81">
        <v>12</v>
      </c>
      <c r="CC435" s="167">
        <v>0</v>
      </c>
      <c r="CD435" s="167">
        <f>N435</f>
        <v>88</v>
      </c>
      <c r="CE435" s="167">
        <v>0</v>
      </c>
      <c r="CF435" s="167">
        <v>0</v>
      </c>
      <c r="CG435" s="167">
        <v>0</v>
      </c>
      <c r="CH435" s="167">
        <v>0</v>
      </c>
      <c r="CI435" s="167">
        <v>0</v>
      </c>
      <c r="CJ435" s="167">
        <v>0</v>
      </c>
      <c r="CK435" s="167">
        <v>0</v>
      </c>
      <c r="CL435" s="167">
        <v>0</v>
      </c>
      <c r="CM435" s="167">
        <v>0</v>
      </c>
      <c r="CN435" s="167">
        <v>0</v>
      </c>
      <c r="CO435" s="167">
        <v>0</v>
      </c>
      <c r="CP435" s="167">
        <v>0</v>
      </c>
      <c r="CQ435" s="167">
        <v>0</v>
      </c>
      <c r="CR435" s="167">
        <v>0</v>
      </c>
      <c r="CS435" s="167">
        <v>0</v>
      </c>
      <c r="CT435" s="167">
        <v>0</v>
      </c>
      <c r="CU435" s="167">
        <v>0</v>
      </c>
      <c r="CV435" s="167">
        <v>0</v>
      </c>
      <c r="CW435" s="167">
        <v>0</v>
      </c>
      <c r="CX435" s="167">
        <f>SUM(CD435:CH435)</f>
        <v>88</v>
      </c>
      <c r="CY435" s="167">
        <f>SUM(CD435:CM435)</f>
        <v>88</v>
      </c>
    </row>
    <row r="436" spans="1:103" ht="12.75" customHeight="1" x14ac:dyDescent="0.2">
      <c r="A436" s="81">
        <v>3944</v>
      </c>
      <c r="B436" s="165" t="s">
        <v>1908</v>
      </c>
      <c r="C436" s="165" t="s">
        <v>1045</v>
      </c>
      <c r="D436" s="165" t="s">
        <v>512</v>
      </c>
      <c r="E436" s="165" t="s">
        <v>3091</v>
      </c>
      <c r="F436" s="165" t="s">
        <v>3940</v>
      </c>
      <c r="G436" s="81">
        <v>529725</v>
      </c>
      <c r="H436" s="81">
        <v>177404</v>
      </c>
      <c r="I436" s="165" t="s">
        <v>240</v>
      </c>
      <c r="J436" s="349">
        <v>42095</v>
      </c>
      <c r="L436" s="166">
        <v>0</v>
      </c>
      <c r="M436" s="166">
        <v>51</v>
      </c>
      <c r="N436" s="166">
        <v>51</v>
      </c>
      <c r="O436" s="166">
        <v>514</v>
      </c>
      <c r="P436" s="166">
        <v>514</v>
      </c>
      <c r="Q436" s="81" t="s">
        <v>155</v>
      </c>
      <c r="R436" s="81" t="s">
        <v>1046</v>
      </c>
      <c r="S436" s="165" t="s">
        <v>509</v>
      </c>
      <c r="T436" s="350">
        <v>42669</v>
      </c>
      <c r="U436" s="349">
        <v>42810</v>
      </c>
      <c r="V436" s="349"/>
      <c r="W436" s="81" t="s">
        <v>114</v>
      </c>
      <c r="Y436" s="81" t="s">
        <v>115</v>
      </c>
      <c r="Z436" s="81" t="s">
        <v>116</v>
      </c>
      <c r="AA436" s="81" t="s">
        <v>116</v>
      </c>
      <c r="AB436" s="81" t="s">
        <v>117</v>
      </c>
      <c r="AC436" s="81">
        <v>8.5000000894069699E-2</v>
      </c>
      <c r="AD436" s="351">
        <v>42095</v>
      </c>
      <c r="AE436" s="349"/>
      <c r="AG436" s="81" t="s">
        <v>238</v>
      </c>
      <c r="AH436" s="81" t="s">
        <v>118</v>
      </c>
      <c r="AI436" s="81" t="s">
        <v>3092</v>
      </c>
      <c r="AK436" s="81">
        <v>0</v>
      </c>
      <c r="AM436" s="166">
        <v>0</v>
      </c>
      <c r="AO436" s="166">
        <v>0</v>
      </c>
      <c r="AP436" s="166">
        <v>10</v>
      </c>
      <c r="AQ436" s="166">
        <v>34</v>
      </c>
      <c r="AR436" s="166">
        <v>7</v>
      </c>
      <c r="AS436" s="166">
        <v>0</v>
      </c>
      <c r="AT436" s="166">
        <v>0</v>
      </c>
      <c r="AU436" s="166">
        <v>0</v>
      </c>
      <c r="AV436" s="166">
        <v>0</v>
      </c>
      <c r="AW436" s="166">
        <v>10</v>
      </c>
      <c r="AX436" s="166">
        <v>34</v>
      </c>
      <c r="AY436" s="166">
        <v>7</v>
      </c>
      <c r="AZ436" s="166">
        <v>0</v>
      </c>
      <c r="BA436" s="166">
        <v>0</v>
      </c>
      <c r="BB436" s="166">
        <v>0</v>
      </c>
      <c r="BC436" s="166">
        <v>0</v>
      </c>
      <c r="BD436" s="166">
        <v>0</v>
      </c>
      <c r="BE436" s="166">
        <v>0</v>
      </c>
      <c r="BF436" s="166">
        <v>0</v>
      </c>
      <c r="BG436" s="166">
        <v>0</v>
      </c>
      <c r="BH436" s="166">
        <v>0</v>
      </c>
      <c r="BI436" s="166">
        <v>0</v>
      </c>
      <c r="BJ436" s="166">
        <v>0</v>
      </c>
      <c r="BK436" s="166">
        <v>0</v>
      </c>
      <c r="BL436" s="166">
        <v>0</v>
      </c>
      <c r="BM436" s="166">
        <v>0</v>
      </c>
      <c r="BN436" s="166">
        <v>0</v>
      </c>
      <c r="BO436" s="166">
        <v>0</v>
      </c>
      <c r="BP436" s="166">
        <v>0</v>
      </c>
      <c r="BQ436" s="81" t="s">
        <v>1759</v>
      </c>
      <c r="BS436" s="81" t="s">
        <v>155</v>
      </c>
      <c r="BZ436" s="81" t="s">
        <v>155</v>
      </c>
      <c r="CA436" s="81">
        <v>12</v>
      </c>
      <c r="CC436" s="167">
        <v>0</v>
      </c>
      <c r="CD436" s="167">
        <f>N436</f>
        <v>51</v>
      </c>
      <c r="CE436" s="167">
        <v>0</v>
      </c>
      <c r="CF436" s="167">
        <v>0</v>
      </c>
      <c r="CG436" s="167">
        <v>0</v>
      </c>
      <c r="CH436" s="167">
        <v>0</v>
      </c>
      <c r="CI436" s="167">
        <v>0</v>
      </c>
      <c r="CJ436" s="167">
        <v>0</v>
      </c>
      <c r="CK436" s="167">
        <v>0</v>
      </c>
      <c r="CL436" s="167">
        <v>0</v>
      </c>
      <c r="CM436" s="167">
        <v>0</v>
      </c>
      <c r="CN436" s="167">
        <v>0</v>
      </c>
      <c r="CO436" s="167">
        <v>0</v>
      </c>
      <c r="CP436" s="167">
        <v>0</v>
      </c>
      <c r="CQ436" s="167">
        <v>0</v>
      </c>
      <c r="CR436" s="167">
        <v>0</v>
      </c>
      <c r="CS436" s="167">
        <v>0</v>
      </c>
      <c r="CT436" s="167">
        <v>0</v>
      </c>
      <c r="CU436" s="167">
        <v>0</v>
      </c>
      <c r="CV436" s="167">
        <v>0</v>
      </c>
      <c r="CW436" s="167">
        <v>0</v>
      </c>
      <c r="CX436" s="167">
        <f>SUM(CD436:CH436)</f>
        <v>51</v>
      </c>
      <c r="CY436" s="167">
        <f>SUM(CD436:CM436)</f>
        <v>51</v>
      </c>
    </row>
    <row r="437" spans="1:103" ht="12.75" customHeight="1" x14ac:dyDescent="0.2">
      <c r="A437" s="81">
        <v>3991</v>
      </c>
      <c r="B437" s="165" t="s">
        <v>1908</v>
      </c>
      <c r="C437" s="165" t="s">
        <v>3505</v>
      </c>
      <c r="E437" s="165" t="s">
        <v>3506</v>
      </c>
      <c r="G437" s="81">
        <v>524343</v>
      </c>
      <c r="H437" s="81">
        <v>175170</v>
      </c>
      <c r="I437" s="165" t="s">
        <v>259</v>
      </c>
      <c r="J437" s="349">
        <v>43190</v>
      </c>
      <c r="L437" s="166">
        <v>2</v>
      </c>
      <c r="M437" s="166">
        <v>2</v>
      </c>
      <c r="N437" s="166">
        <v>0</v>
      </c>
      <c r="O437" s="166">
        <v>2</v>
      </c>
      <c r="P437" s="166">
        <v>0</v>
      </c>
      <c r="R437" s="165" t="s">
        <v>3507</v>
      </c>
      <c r="S437" s="81" t="s">
        <v>113</v>
      </c>
      <c r="T437" s="349">
        <v>42867</v>
      </c>
      <c r="U437" s="349">
        <v>42923</v>
      </c>
      <c r="V437" s="81" t="s">
        <v>155</v>
      </c>
      <c r="W437" s="81" t="s">
        <v>114</v>
      </c>
      <c r="Y437" s="81" t="s">
        <v>115</v>
      </c>
      <c r="Z437" s="81" t="s">
        <v>398</v>
      </c>
      <c r="AA437" s="81" t="s">
        <v>117</v>
      </c>
      <c r="AB437" s="81" t="s">
        <v>220</v>
      </c>
      <c r="AC437" s="166">
        <v>5.7000000029802302E-2</v>
      </c>
      <c r="AD437" s="349">
        <v>43190</v>
      </c>
      <c r="AE437" s="81" t="s">
        <v>155</v>
      </c>
      <c r="AG437" s="81" t="s">
        <v>238</v>
      </c>
      <c r="AH437" s="81" t="s">
        <v>118</v>
      </c>
      <c r="AK437" s="166">
        <v>0</v>
      </c>
      <c r="AM437" s="166">
        <v>0</v>
      </c>
      <c r="AO437" s="166">
        <v>0</v>
      </c>
      <c r="AP437" s="166">
        <v>1</v>
      </c>
      <c r="AQ437" s="166">
        <v>0</v>
      </c>
      <c r="AR437" s="166">
        <v>-1</v>
      </c>
      <c r="AS437" s="166">
        <v>0</v>
      </c>
      <c r="AT437" s="166">
        <v>0</v>
      </c>
      <c r="AU437" s="166">
        <v>0</v>
      </c>
      <c r="AV437" s="166">
        <v>0</v>
      </c>
      <c r="AW437" s="166">
        <v>1</v>
      </c>
      <c r="AX437" s="166">
        <v>0</v>
      </c>
      <c r="AY437" s="166">
        <v>-1</v>
      </c>
      <c r="AZ437" s="166">
        <v>0</v>
      </c>
      <c r="BA437" s="166">
        <v>0</v>
      </c>
      <c r="BB437" s="166">
        <v>0</v>
      </c>
      <c r="BC437" s="166">
        <v>0</v>
      </c>
      <c r="BD437" s="166">
        <v>0</v>
      </c>
      <c r="BE437" s="166">
        <v>0</v>
      </c>
      <c r="BF437" s="166">
        <v>0</v>
      </c>
      <c r="BG437" s="166">
        <v>0</v>
      </c>
      <c r="BH437" s="166">
        <v>0</v>
      </c>
      <c r="BI437" s="166">
        <v>0</v>
      </c>
      <c r="BJ437" s="166">
        <v>0</v>
      </c>
      <c r="BK437" s="166">
        <v>0</v>
      </c>
      <c r="BL437" s="166">
        <v>0</v>
      </c>
      <c r="BM437" s="166">
        <v>0</v>
      </c>
      <c r="BN437" s="166">
        <v>0</v>
      </c>
      <c r="BO437" s="166">
        <v>0</v>
      </c>
      <c r="BP437" s="166">
        <v>0</v>
      </c>
      <c r="BQ437" s="81" t="s">
        <v>1758</v>
      </c>
      <c r="BZ437" s="81" t="s">
        <v>155</v>
      </c>
      <c r="CA437" s="81" t="s">
        <v>3981</v>
      </c>
      <c r="CC437" s="167">
        <v>0</v>
      </c>
      <c r="CD437" s="167">
        <f>$N437/2</f>
        <v>0</v>
      </c>
      <c r="CE437" s="167">
        <f>$N437/2</f>
        <v>0</v>
      </c>
      <c r="CF437" s="167">
        <v>0</v>
      </c>
      <c r="CG437" s="167">
        <v>0</v>
      </c>
      <c r="CH437" s="167">
        <v>0</v>
      </c>
      <c r="CI437" s="167">
        <v>0</v>
      </c>
      <c r="CJ437" s="167">
        <v>0</v>
      </c>
      <c r="CK437" s="167">
        <v>0</v>
      </c>
      <c r="CL437" s="167">
        <v>0</v>
      </c>
      <c r="CM437" s="167">
        <v>0</v>
      </c>
      <c r="CN437" s="167">
        <v>0</v>
      </c>
      <c r="CO437" s="167">
        <v>0</v>
      </c>
      <c r="CP437" s="167">
        <v>0</v>
      </c>
      <c r="CQ437" s="167">
        <v>0</v>
      </c>
      <c r="CR437" s="167">
        <v>0</v>
      </c>
      <c r="CS437" s="167">
        <v>0</v>
      </c>
      <c r="CT437" s="167">
        <v>0</v>
      </c>
      <c r="CU437" s="167">
        <v>0</v>
      </c>
      <c r="CV437" s="167">
        <v>0</v>
      </c>
      <c r="CW437" s="167">
        <v>0</v>
      </c>
      <c r="CX437" s="167">
        <f>SUM(CD437:CH437)</f>
        <v>0</v>
      </c>
      <c r="CY437" s="167">
        <f>SUM(CD437:CM437)</f>
        <v>0</v>
      </c>
    </row>
    <row r="438" spans="1:103" ht="12.75" customHeight="1" x14ac:dyDescent="0.2">
      <c r="A438" s="81">
        <v>4167</v>
      </c>
      <c r="B438" s="165" t="s">
        <v>1908</v>
      </c>
      <c r="C438" s="165" t="s">
        <v>1460</v>
      </c>
      <c r="E438" s="165" t="s">
        <v>2088</v>
      </c>
      <c r="G438" s="81">
        <v>522501</v>
      </c>
      <c r="H438" s="81">
        <v>173758</v>
      </c>
      <c r="I438" s="165" t="s">
        <v>877</v>
      </c>
      <c r="J438" s="349">
        <v>43190</v>
      </c>
      <c r="L438" s="166">
        <v>0</v>
      </c>
      <c r="M438" s="166">
        <v>2</v>
      </c>
      <c r="N438" s="166">
        <v>2</v>
      </c>
      <c r="O438" s="166">
        <v>2</v>
      </c>
      <c r="P438" s="166">
        <v>2</v>
      </c>
      <c r="R438" s="165" t="s">
        <v>1461</v>
      </c>
      <c r="S438" s="81" t="s">
        <v>270</v>
      </c>
      <c r="T438" s="349">
        <v>42668</v>
      </c>
      <c r="U438" s="349">
        <v>42723</v>
      </c>
      <c r="W438" s="81" t="s">
        <v>114</v>
      </c>
      <c r="Y438" s="81" t="s">
        <v>115</v>
      </c>
      <c r="Z438" s="81" t="s">
        <v>310</v>
      </c>
      <c r="AA438" s="81" t="s">
        <v>117</v>
      </c>
      <c r="AB438" s="81" t="s">
        <v>399</v>
      </c>
      <c r="AC438" s="166">
        <v>1.2000000104308101E-2</v>
      </c>
      <c r="AD438" s="349">
        <v>43190</v>
      </c>
      <c r="AE438" s="81" t="s">
        <v>155</v>
      </c>
      <c r="AG438" s="81" t="s">
        <v>238</v>
      </c>
      <c r="AH438" s="81" t="s">
        <v>118</v>
      </c>
      <c r="AK438" s="166">
        <v>0</v>
      </c>
      <c r="AM438" s="166">
        <v>0</v>
      </c>
      <c r="AO438" s="166">
        <v>0</v>
      </c>
      <c r="AP438" s="166">
        <v>1</v>
      </c>
      <c r="AQ438" s="166">
        <v>1</v>
      </c>
      <c r="AR438" s="166">
        <v>0</v>
      </c>
      <c r="AS438" s="166">
        <v>0</v>
      </c>
      <c r="AT438" s="166">
        <v>0</v>
      </c>
      <c r="AU438" s="166">
        <v>0</v>
      </c>
      <c r="AV438" s="166">
        <v>0</v>
      </c>
      <c r="AW438" s="166">
        <v>1</v>
      </c>
      <c r="AX438" s="166">
        <v>1</v>
      </c>
      <c r="AY438" s="166">
        <v>0</v>
      </c>
      <c r="AZ438" s="166">
        <v>0</v>
      </c>
      <c r="BA438" s="166">
        <v>0</v>
      </c>
      <c r="BB438" s="166">
        <v>0</v>
      </c>
      <c r="BC438" s="166">
        <v>0</v>
      </c>
      <c r="BD438" s="166">
        <v>0</v>
      </c>
      <c r="BE438" s="166">
        <v>0</v>
      </c>
      <c r="BF438" s="166">
        <v>0</v>
      </c>
      <c r="BG438" s="166">
        <v>0</v>
      </c>
      <c r="BH438" s="166">
        <v>0</v>
      </c>
      <c r="BI438" s="166">
        <v>0</v>
      </c>
      <c r="BJ438" s="166">
        <v>0</v>
      </c>
      <c r="BK438" s="166">
        <v>0</v>
      </c>
      <c r="BL438" s="166">
        <v>0</v>
      </c>
      <c r="BM438" s="166">
        <v>0</v>
      </c>
      <c r="BN438" s="166">
        <v>0</v>
      </c>
      <c r="BO438" s="166">
        <v>0</v>
      </c>
      <c r="BP438" s="166">
        <v>0</v>
      </c>
      <c r="BQ438" s="81" t="s">
        <v>1758</v>
      </c>
      <c r="BZ438" s="81" t="s">
        <v>155</v>
      </c>
      <c r="CA438" s="81" t="s">
        <v>3981</v>
      </c>
      <c r="CC438" s="167">
        <v>0</v>
      </c>
      <c r="CD438" s="167">
        <f>$N438/2</f>
        <v>1</v>
      </c>
      <c r="CE438" s="167">
        <f>$N438/2</f>
        <v>1</v>
      </c>
      <c r="CF438" s="167">
        <v>0</v>
      </c>
      <c r="CG438" s="167">
        <v>0</v>
      </c>
      <c r="CH438" s="167">
        <v>0</v>
      </c>
      <c r="CI438" s="167">
        <v>0</v>
      </c>
      <c r="CJ438" s="167">
        <v>0</v>
      </c>
      <c r="CK438" s="167">
        <v>0</v>
      </c>
      <c r="CL438" s="167">
        <v>0</v>
      </c>
      <c r="CM438" s="167">
        <v>0</v>
      </c>
      <c r="CN438" s="167">
        <v>0</v>
      </c>
      <c r="CO438" s="167">
        <v>0</v>
      </c>
      <c r="CP438" s="167">
        <v>0</v>
      </c>
      <c r="CQ438" s="167">
        <v>0</v>
      </c>
      <c r="CR438" s="167">
        <v>0</v>
      </c>
      <c r="CS438" s="167">
        <v>0</v>
      </c>
      <c r="CT438" s="167">
        <v>0</v>
      </c>
      <c r="CU438" s="167">
        <v>0</v>
      </c>
      <c r="CV438" s="167">
        <v>0</v>
      </c>
      <c r="CW438" s="167">
        <v>0</v>
      </c>
      <c r="CX438" s="167">
        <f>SUM(CD438:CH438)</f>
        <v>2</v>
      </c>
      <c r="CY438" s="167">
        <f>SUM(CD438:CM438)</f>
        <v>2</v>
      </c>
    </row>
    <row r="439" spans="1:103" ht="12.75" customHeight="1" x14ac:dyDescent="0.2">
      <c r="A439" s="81">
        <v>4167</v>
      </c>
      <c r="B439" s="165" t="s">
        <v>1908</v>
      </c>
      <c r="C439" s="165" t="s">
        <v>1523</v>
      </c>
      <c r="E439" s="165" t="s">
        <v>2088</v>
      </c>
      <c r="G439" s="81">
        <v>522501</v>
      </c>
      <c r="H439" s="81">
        <v>173758</v>
      </c>
      <c r="I439" s="165" t="s">
        <v>877</v>
      </c>
      <c r="J439" s="349">
        <v>43190</v>
      </c>
      <c r="L439" s="166">
        <v>0</v>
      </c>
      <c r="M439" s="166">
        <v>2</v>
      </c>
      <c r="N439" s="166">
        <v>2</v>
      </c>
      <c r="O439" s="166">
        <v>2</v>
      </c>
      <c r="P439" s="166">
        <v>2</v>
      </c>
      <c r="R439" s="165" t="s">
        <v>1524</v>
      </c>
      <c r="S439" s="81" t="s">
        <v>113</v>
      </c>
      <c r="T439" s="349">
        <v>42748</v>
      </c>
      <c r="U439" s="349">
        <v>42804</v>
      </c>
      <c r="W439" s="81" t="s">
        <v>114</v>
      </c>
      <c r="Y439" s="81" t="s">
        <v>115</v>
      </c>
      <c r="Z439" s="81" t="s">
        <v>398</v>
      </c>
      <c r="AA439" s="81" t="s">
        <v>117</v>
      </c>
      <c r="AB439" s="81" t="s">
        <v>311</v>
      </c>
      <c r="AC439" s="166">
        <v>1.8999999389052401E-2</v>
      </c>
      <c r="AD439" s="349">
        <v>43190</v>
      </c>
      <c r="AE439" s="81" t="s">
        <v>155</v>
      </c>
      <c r="AG439" s="81" t="s">
        <v>238</v>
      </c>
      <c r="AH439" s="81" t="s">
        <v>118</v>
      </c>
      <c r="AK439" s="166">
        <v>0</v>
      </c>
      <c r="AM439" s="166">
        <v>0</v>
      </c>
      <c r="AO439" s="166">
        <v>0</v>
      </c>
      <c r="AP439" s="166">
        <v>0</v>
      </c>
      <c r="AQ439" s="166">
        <v>2</v>
      </c>
      <c r="AR439" s="166">
        <v>0</v>
      </c>
      <c r="AS439" s="166">
        <v>0</v>
      </c>
      <c r="AT439" s="166">
        <v>0</v>
      </c>
      <c r="AU439" s="166">
        <v>0</v>
      </c>
      <c r="AV439" s="166">
        <v>0</v>
      </c>
      <c r="AW439" s="166">
        <v>0</v>
      </c>
      <c r="AX439" s="166">
        <v>2</v>
      </c>
      <c r="AY439" s="166">
        <v>0</v>
      </c>
      <c r="AZ439" s="166">
        <v>0</v>
      </c>
      <c r="BA439" s="166">
        <v>0</v>
      </c>
      <c r="BB439" s="166">
        <v>0</v>
      </c>
      <c r="BC439" s="166">
        <v>0</v>
      </c>
      <c r="BD439" s="166">
        <v>0</v>
      </c>
      <c r="BE439" s="166">
        <v>0</v>
      </c>
      <c r="BF439" s="166">
        <v>0</v>
      </c>
      <c r="BG439" s="166">
        <v>0</v>
      </c>
      <c r="BH439" s="166">
        <v>0</v>
      </c>
      <c r="BI439" s="166">
        <v>0</v>
      </c>
      <c r="BJ439" s="166">
        <v>0</v>
      </c>
      <c r="BK439" s="166">
        <v>0</v>
      </c>
      <c r="BL439" s="166">
        <v>0</v>
      </c>
      <c r="BM439" s="166">
        <v>0</v>
      </c>
      <c r="BN439" s="166">
        <v>0</v>
      </c>
      <c r="BO439" s="166">
        <v>0</v>
      </c>
      <c r="BP439" s="166">
        <v>0</v>
      </c>
      <c r="BQ439" s="81" t="s">
        <v>1758</v>
      </c>
      <c r="BZ439" s="81" t="s">
        <v>155</v>
      </c>
      <c r="CA439" s="81" t="s">
        <v>3981</v>
      </c>
      <c r="CC439" s="167">
        <v>0</v>
      </c>
      <c r="CD439" s="167">
        <f>$N439/2</f>
        <v>1</v>
      </c>
      <c r="CE439" s="167">
        <f>$N439/2</f>
        <v>1</v>
      </c>
      <c r="CF439" s="167">
        <v>0</v>
      </c>
      <c r="CG439" s="167">
        <v>0</v>
      </c>
      <c r="CH439" s="167">
        <v>0</v>
      </c>
      <c r="CI439" s="167">
        <v>0</v>
      </c>
      <c r="CJ439" s="167">
        <v>0</v>
      </c>
      <c r="CK439" s="167">
        <v>0</v>
      </c>
      <c r="CL439" s="167">
        <v>0</v>
      </c>
      <c r="CM439" s="167">
        <v>0</v>
      </c>
      <c r="CN439" s="167">
        <v>0</v>
      </c>
      <c r="CO439" s="167">
        <v>0</v>
      </c>
      <c r="CP439" s="167">
        <v>0</v>
      </c>
      <c r="CQ439" s="167">
        <v>0</v>
      </c>
      <c r="CR439" s="167">
        <v>0</v>
      </c>
      <c r="CS439" s="167">
        <v>0</v>
      </c>
      <c r="CT439" s="167">
        <v>0</v>
      </c>
      <c r="CU439" s="167">
        <v>0</v>
      </c>
      <c r="CV439" s="167">
        <v>0</v>
      </c>
      <c r="CW439" s="167">
        <v>0</v>
      </c>
      <c r="CX439" s="167">
        <f>SUM(CD439:CH439)</f>
        <v>2</v>
      </c>
      <c r="CY439" s="167">
        <f>SUM(CD439:CM439)</f>
        <v>2</v>
      </c>
    </row>
    <row r="440" spans="1:103" ht="12.75" customHeight="1" x14ac:dyDescent="0.2">
      <c r="A440" s="81">
        <v>4260</v>
      </c>
      <c r="B440" s="165" t="s">
        <v>1908</v>
      </c>
      <c r="C440" s="165" t="s">
        <v>410</v>
      </c>
      <c r="E440" s="165" t="s">
        <v>3508</v>
      </c>
      <c r="G440" s="81">
        <v>526461</v>
      </c>
      <c r="H440" s="81">
        <v>172543</v>
      </c>
      <c r="I440" s="165" t="s">
        <v>249</v>
      </c>
      <c r="J440" s="349">
        <v>43190</v>
      </c>
      <c r="L440" s="166">
        <v>0</v>
      </c>
      <c r="M440" s="166">
        <v>4</v>
      </c>
      <c r="N440" s="166">
        <v>4</v>
      </c>
      <c r="O440" s="166">
        <v>4</v>
      </c>
      <c r="P440" s="166">
        <v>4</v>
      </c>
      <c r="R440" s="165" t="s">
        <v>1087</v>
      </c>
      <c r="S440" s="81" t="s">
        <v>113</v>
      </c>
      <c r="T440" s="349">
        <v>41568</v>
      </c>
      <c r="U440" s="349">
        <v>41568</v>
      </c>
      <c r="W440" s="81" t="s">
        <v>114</v>
      </c>
      <c r="Y440" s="81" t="s">
        <v>115</v>
      </c>
      <c r="Z440" s="81" t="s">
        <v>398</v>
      </c>
      <c r="AA440" s="81" t="s">
        <v>117</v>
      </c>
      <c r="AB440" s="81" t="s">
        <v>102</v>
      </c>
      <c r="AC440" s="166">
        <v>3.4000001847744002E-2</v>
      </c>
      <c r="AD440" s="349">
        <v>43190</v>
      </c>
      <c r="AE440" s="81" t="s">
        <v>155</v>
      </c>
      <c r="AG440" s="81" t="s">
        <v>238</v>
      </c>
      <c r="AH440" s="81" t="s">
        <v>118</v>
      </c>
      <c r="AK440" s="166">
        <v>0</v>
      </c>
      <c r="AM440" s="166">
        <v>0</v>
      </c>
      <c r="AO440" s="166">
        <v>0</v>
      </c>
      <c r="AP440" s="166">
        <v>1</v>
      </c>
      <c r="AQ440" s="166">
        <v>2</v>
      </c>
      <c r="AR440" s="166">
        <v>1</v>
      </c>
      <c r="AS440" s="166">
        <v>0</v>
      </c>
      <c r="AT440" s="166">
        <v>0</v>
      </c>
      <c r="AU440" s="166">
        <v>0</v>
      </c>
      <c r="AV440" s="166">
        <v>0</v>
      </c>
      <c r="AW440" s="166">
        <v>1</v>
      </c>
      <c r="AX440" s="166">
        <v>2</v>
      </c>
      <c r="AY440" s="166">
        <v>1</v>
      </c>
      <c r="AZ440" s="166">
        <v>0</v>
      </c>
      <c r="BA440" s="166">
        <v>0</v>
      </c>
      <c r="BB440" s="166">
        <v>0</v>
      </c>
      <c r="BC440" s="166">
        <v>0</v>
      </c>
      <c r="BD440" s="166">
        <v>0</v>
      </c>
      <c r="BE440" s="166">
        <v>0</v>
      </c>
      <c r="BF440" s="166">
        <v>0</v>
      </c>
      <c r="BG440" s="166">
        <v>0</v>
      </c>
      <c r="BH440" s="166">
        <v>0</v>
      </c>
      <c r="BI440" s="166">
        <v>0</v>
      </c>
      <c r="BJ440" s="166">
        <v>0</v>
      </c>
      <c r="BK440" s="166">
        <v>0</v>
      </c>
      <c r="BL440" s="166">
        <v>0</v>
      </c>
      <c r="BM440" s="166">
        <v>0</v>
      </c>
      <c r="BN440" s="166">
        <v>0</v>
      </c>
      <c r="BO440" s="166">
        <v>0</v>
      </c>
      <c r="BP440" s="166">
        <v>0</v>
      </c>
      <c r="BQ440" s="81" t="s">
        <v>1758</v>
      </c>
      <c r="BZ440" s="81" t="s">
        <v>155</v>
      </c>
      <c r="CA440" s="81" t="s">
        <v>3981</v>
      </c>
      <c r="CC440" s="167">
        <v>0</v>
      </c>
      <c r="CD440" s="167">
        <f>$N440/2</f>
        <v>2</v>
      </c>
      <c r="CE440" s="167">
        <f>$N440/2</f>
        <v>2</v>
      </c>
      <c r="CF440" s="167">
        <v>0</v>
      </c>
      <c r="CG440" s="167">
        <v>0</v>
      </c>
      <c r="CH440" s="167">
        <v>0</v>
      </c>
      <c r="CI440" s="167">
        <v>0</v>
      </c>
      <c r="CJ440" s="167">
        <v>0</v>
      </c>
      <c r="CK440" s="167">
        <v>0</v>
      </c>
      <c r="CL440" s="167">
        <v>0</v>
      </c>
      <c r="CM440" s="167">
        <v>0</v>
      </c>
      <c r="CN440" s="167">
        <v>0</v>
      </c>
      <c r="CO440" s="167">
        <v>0</v>
      </c>
      <c r="CP440" s="167">
        <v>0</v>
      </c>
      <c r="CQ440" s="167">
        <v>0</v>
      </c>
      <c r="CR440" s="167">
        <v>0</v>
      </c>
      <c r="CS440" s="167">
        <v>0</v>
      </c>
      <c r="CT440" s="167">
        <v>0</v>
      </c>
      <c r="CU440" s="167">
        <v>0</v>
      </c>
      <c r="CV440" s="167">
        <v>0</v>
      </c>
      <c r="CW440" s="167">
        <v>0</v>
      </c>
      <c r="CX440" s="167">
        <f>SUM(CD440:CH440)</f>
        <v>4</v>
      </c>
      <c r="CY440" s="167">
        <f>SUM(CD440:CM440)</f>
        <v>4</v>
      </c>
    </row>
    <row r="441" spans="1:103" ht="12.75" customHeight="1" x14ac:dyDescent="0.2">
      <c r="A441" s="81">
        <v>4281</v>
      </c>
      <c r="B441" s="165" t="s">
        <v>1908</v>
      </c>
      <c r="C441" s="165" t="s">
        <v>28</v>
      </c>
      <c r="E441" s="165" t="s">
        <v>3093</v>
      </c>
      <c r="G441" s="81">
        <v>529104</v>
      </c>
      <c r="H441" s="81">
        <v>177095</v>
      </c>
      <c r="I441" s="165" t="s">
        <v>240</v>
      </c>
      <c r="J441" s="349">
        <v>42852</v>
      </c>
      <c r="L441" s="166">
        <v>12</v>
      </c>
      <c r="M441" s="166">
        <v>22</v>
      </c>
      <c r="N441" s="166">
        <v>10</v>
      </c>
      <c r="O441" s="166">
        <v>22</v>
      </c>
      <c r="P441" s="166">
        <v>10</v>
      </c>
      <c r="Q441" s="81" t="s">
        <v>155</v>
      </c>
      <c r="R441" s="165" t="s">
        <v>29</v>
      </c>
      <c r="S441" s="81" t="s">
        <v>113</v>
      </c>
      <c r="T441" s="349">
        <v>41872</v>
      </c>
      <c r="U441" s="349">
        <v>41953</v>
      </c>
      <c r="W441" s="81" t="s">
        <v>114</v>
      </c>
      <c r="Y441" s="81" t="s">
        <v>115</v>
      </c>
      <c r="Z441" s="81" t="s">
        <v>116</v>
      </c>
      <c r="AA441" s="81" t="s">
        <v>116</v>
      </c>
      <c r="AB441" s="81" t="s">
        <v>117</v>
      </c>
      <c r="AC441" s="166">
        <v>0.259999990463257</v>
      </c>
      <c r="AD441" s="349">
        <v>42852</v>
      </c>
      <c r="AE441" s="81" t="s">
        <v>155</v>
      </c>
      <c r="AG441" s="81" t="s">
        <v>154</v>
      </c>
      <c r="AH441" s="81" t="s">
        <v>38</v>
      </c>
      <c r="AI441" s="81" t="s">
        <v>3094</v>
      </c>
      <c r="AK441" s="166">
        <v>22</v>
      </c>
      <c r="AM441" s="166">
        <v>2</v>
      </c>
      <c r="AO441" s="166">
        <v>0</v>
      </c>
      <c r="AP441" s="166">
        <v>-2</v>
      </c>
      <c r="AQ441" s="166">
        <v>11</v>
      </c>
      <c r="AR441" s="166">
        <v>1</v>
      </c>
      <c r="AS441" s="166">
        <v>0</v>
      </c>
      <c r="AT441" s="166">
        <v>0</v>
      </c>
      <c r="AU441" s="166">
        <v>0</v>
      </c>
      <c r="AV441" s="166">
        <v>0</v>
      </c>
      <c r="AW441" s="166">
        <v>-2</v>
      </c>
      <c r="AX441" s="166">
        <v>11</v>
      </c>
      <c r="AY441" s="166">
        <v>1</v>
      </c>
      <c r="AZ441" s="166">
        <v>0</v>
      </c>
      <c r="BA441" s="166">
        <v>0</v>
      </c>
      <c r="BB441" s="166">
        <v>0</v>
      </c>
      <c r="BC441" s="166">
        <v>0</v>
      </c>
      <c r="BD441" s="166">
        <v>0</v>
      </c>
      <c r="BE441" s="166">
        <v>0</v>
      </c>
      <c r="BF441" s="166">
        <v>0</v>
      </c>
      <c r="BG441" s="166">
        <v>0</v>
      </c>
      <c r="BH441" s="166">
        <v>0</v>
      </c>
      <c r="BI441" s="166">
        <v>0</v>
      </c>
      <c r="BJ441" s="166">
        <v>0</v>
      </c>
      <c r="BK441" s="166">
        <v>0</v>
      </c>
      <c r="BL441" s="166">
        <v>0</v>
      </c>
      <c r="BM441" s="166">
        <v>0</v>
      </c>
      <c r="BN441" s="166">
        <v>0</v>
      </c>
      <c r="BO441" s="166">
        <v>0</v>
      </c>
      <c r="BP441" s="166">
        <v>0</v>
      </c>
      <c r="BQ441" s="81" t="s">
        <v>1759</v>
      </c>
      <c r="BS441" s="81" t="s">
        <v>155</v>
      </c>
      <c r="BZ441" s="81" t="s">
        <v>155</v>
      </c>
      <c r="CA441" s="81">
        <v>12</v>
      </c>
      <c r="CC441" s="167">
        <v>0</v>
      </c>
      <c r="CD441" s="167">
        <f>N441</f>
        <v>10</v>
      </c>
      <c r="CE441" s="167">
        <v>0</v>
      </c>
      <c r="CF441" s="167">
        <v>0</v>
      </c>
      <c r="CG441" s="167">
        <v>0</v>
      </c>
      <c r="CH441" s="167">
        <v>0</v>
      </c>
      <c r="CI441" s="167">
        <v>0</v>
      </c>
      <c r="CJ441" s="167">
        <v>0</v>
      </c>
      <c r="CK441" s="167">
        <v>0</v>
      </c>
      <c r="CL441" s="167">
        <v>0</v>
      </c>
      <c r="CM441" s="167">
        <v>0</v>
      </c>
      <c r="CN441" s="167">
        <v>0</v>
      </c>
      <c r="CO441" s="167">
        <v>0</v>
      </c>
      <c r="CP441" s="167">
        <v>0</v>
      </c>
      <c r="CQ441" s="167">
        <v>0</v>
      </c>
      <c r="CR441" s="167">
        <v>0</v>
      </c>
      <c r="CS441" s="167">
        <v>0</v>
      </c>
      <c r="CT441" s="167">
        <v>0</v>
      </c>
      <c r="CU441" s="167">
        <v>0</v>
      </c>
      <c r="CV441" s="167">
        <v>0</v>
      </c>
      <c r="CW441" s="167">
        <v>0</v>
      </c>
      <c r="CX441" s="167">
        <f>SUM(CD441:CH441)</f>
        <v>10</v>
      </c>
      <c r="CY441" s="167">
        <f>SUM(CD441:CM441)</f>
        <v>10</v>
      </c>
    </row>
    <row r="442" spans="1:103" x14ac:dyDescent="0.2">
      <c r="A442" s="81">
        <v>4308</v>
      </c>
      <c r="B442" s="165" t="s">
        <v>1908</v>
      </c>
      <c r="C442" s="165" t="s">
        <v>213</v>
      </c>
      <c r="E442" s="165" t="s">
        <v>3095</v>
      </c>
      <c r="G442" s="81">
        <v>528260</v>
      </c>
      <c r="H442" s="81">
        <v>174215</v>
      </c>
      <c r="I442" s="165" t="s">
        <v>247</v>
      </c>
      <c r="J442" s="349">
        <v>42643</v>
      </c>
      <c r="L442" s="166">
        <v>0</v>
      </c>
      <c r="M442" s="166">
        <v>8</v>
      </c>
      <c r="N442" s="166">
        <v>8</v>
      </c>
      <c r="O442" s="166">
        <v>8</v>
      </c>
      <c r="P442" s="166">
        <v>8</v>
      </c>
      <c r="R442" s="165" t="s">
        <v>214</v>
      </c>
      <c r="S442" s="81" t="s">
        <v>113</v>
      </c>
      <c r="T442" s="349">
        <v>41788</v>
      </c>
      <c r="U442" s="349">
        <v>41906</v>
      </c>
      <c r="W442" s="81" t="s">
        <v>114</v>
      </c>
      <c r="Y442" s="81" t="s">
        <v>115</v>
      </c>
      <c r="Z442" s="81" t="s">
        <v>116</v>
      </c>
      <c r="AA442" s="81" t="s">
        <v>117</v>
      </c>
      <c r="AB442" s="81" t="s">
        <v>218</v>
      </c>
      <c r="AC442" s="166">
        <v>0.21799999475479101</v>
      </c>
      <c r="AD442" s="349">
        <v>42643</v>
      </c>
      <c r="AG442" s="81" t="s">
        <v>238</v>
      </c>
      <c r="AH442" s="81" t="s">
        <v>118</v>
      </c>
      <c r="AK442" s="166">
        <v>8</v>
      </c>
      <c r="AM442" s="166">
        <v>1</v>
      </c>
      <c r="AO442" s="166">
        <v>0</v>
      </c>
      <c r="AP442" s="166">
        <v>0</v>
      </c>
      <c r="AQ442" s="166">
        <v>0</v>
      </c>
      <c r="AR442" s="166">
        <v>0</v>
      </c>
      <c r="AS442" s="166">
        <v>8</v>
      </c>
      <c r="AT442" s="166">
        <v>0</v>
      </c>
      <c r="AU442" s="166">
        <v>0</v>
      </c>
      <c r="AV442" s="166">
        <v>0</v>
      </c>
      <c r="AW442" s="166">
        <v>0</v>
      </c>
      <c r="AX442" s="166">
        <v>0</v>
      </c>
      <c r="AY442" s="166">
        <v>0</v>
      </c>
      <c r="AZ442" s="166">
        <v>0</v>
      </c>
      <c r="BA442" s="166">
        <v>0</v>
      </c>
      <c r="BB442" s="166">
        <v>0</v>
      </c>
      <c r="BC442" s="166">
        <v>0</v>
      </c>
      <c r="BD442" s="166">
        <v>0</v>
      </c>
      <c r="BE442" s="166">
        <v>0</v>
      </c>
      <c r="BF442" s="166">
        <v>0</v>
      </c>
      <c r="BG442" s="166">
        <v>8</v>
      </c>
      <c r="BH442" s="166">
        <v>0</v>
      </c>
      <c r="BI442" s="166">
        <v>0</v>
      </c>
      <c r="BJ442" s="166">
        <v>0</v>
      </c>
      <c r="BK442" s="166">
        <v>0</v>
      </c>
      <c r="BL442" s="166">
        <v>0</v>
      </c>
      <c r="BM442" s="166">
        <v>0</v>
      </c>
      <c r="BN442" s="166">
        <v>0</v>
      </c>
      <c r="BO442" s="166">
        <v>0</v>
      </c>
      <c r="BP442" s="166">
        <v>0</v>
      </c>
      <c r="BQ442" s="81" t="s">
        <v>1757</v>
      </c>
      <c r="BZ442" s="81" t="s">
        <v>155</v>
      </c>
      <c r="CA442" s="81" t="s">
        <v>3976</v>
      </c>
      <c r="CC442" s="167">
        <v>0</v>
      </c>
      <c r="CD442" s="167">
        <f>N442</f>
        <v>8</v>
      </c>
      <c r="CE442" s="167">
        <v>0</v>
      </c>
      <c r="CF442" s="167">
        <v>0</v>
      </c>
      <c r="CG442" s="167">
        <v>0</v>
      </c>
      <c r="CH442" s="167">
        <v>0</v>
      </c>
      <c r="CI442" s="167">
        <v>0</v>
      </c>
      <c r="CJ442" s="167">
        <v>0</v>
      </c>
      <c r="CK442" s="167">
        <v>0</v>
      </c>
      <c r="CL442" s="167">
        <v>0</v>
      </c>
      <c r="CM442" s="167">
        <v>0</v>
      </c>
      <c r="CN442" s="167">
        <v>0</v>
      </c>
      <c r="CO442" s="167">
        <v>0</v>
      </c>
      <c r="CP442" s="167">
        <v>0</v>
      </c>
      <c r="CQ442" s="167">
        <v>0</v>
      </c>
      <c r="CR442" s="167">
        <v>0</v>
      </c>
      <c r="CS442" s="167">
        <v>0</v>
      </c>
      <c r="CT442" s="167">
        <v>0</v>
      </c>
      <c r="CU442" s="167">
        <v>0</v>
      </c>
      <c r="CV442" s="167">
        <v>0</v>
      </c>
      <c r="CW442" s="167">
        <v>0</v>
      </c>
      <c r="CX442" s="167">
        <f>SUM(CD442:CH442)</f>
        <v>8</v>
      </c>
      <c r="CY442" s="167">
        <f>SUM(CD442:CM442)</f>
        <v>8</v>
      </c>
    </row>
    <row r="443" spans="1:103" ht="12.75" customHeight="1" x14ac:dyDescent="0.2">
      <c r="A443" s="81">
        <v>4359</v>
      </c>
      <c r="B443" s="165" t="s">
        <v>1908</v>
      </c>
      <c r="C443" s="165" t="s">
        <v>976</v>
      </c>
      <c r="E443" s="165" t="s">
        <v>3096</v>
      </c>
      <c r="G443" s="81">
        <v>526586</v>
      </c>
      <c r="H443" s="81">
        <v>174964</v>
      </c>
      <c r="I443" s="165" t="s">
        <v>251</v>
      </c>
      <c r="J443" s="349">
        <v>42459</v>
      </c>
      <c r="L443" s="166">
        <v>1</v>
      </c>
      <c r="M443" s="166">
        <v>6</v>
      </c>
      <c r="N443" s="166">
        <v>5</v>
      </c>
      <c r="O443" s="166">
        <v>6</v>
      </c>
      <c r="P443" s="166">
        <v>5</v>
      </c>
      <c r="R443" s="165" t="s">
        <v>977</v>
      </c>
      <c r="S443" s="81" t="s">
        <v>113</v>
      </c>
      <c r="T443" s="349">
        <v>42451</v>
      </c>
      <c r="U443" s="349">
        <v>42628</v>
      </c>
      <c r="W443" s="81" t="s">
        <v>114</v>
      </c>
      <c r="Y443" s="81" t="s">
        <v>115</v>
      </c>
      <c r="Z443" s="81" t="s">
        <v>116</v>
      </c>
      <c r="AA443" s="81" t="s">
        <v>117</v>
      </c>
      <c r="AB443" s="81" t="s">
        <v>218</v>
      </c>
      <c r="AC443" s="166">
        <v>3.20000015199184E-2</v>
      </c>
      <c r="AD443" s="349">
        <v>42459</v>
      </c>
      <c r="AG443" s="81" t="s">
        <v>238</v>
      </c>
      <c r="AH443" s="81" t="s">
        <v>118</v>
      </c>
      <c r="AK443" s="166">
        <v>0</v>
      </c>
      <c r="AM443" s="166">
        <v>0</v>
      </c>
      <c r="AO443" s="166">
        <v>1</v>
      </c>
      <c r="AP443" s="166">
        <v>0</v>
      </c>
      <c r="AQ443" s="166">
        <v>5</v>
      </c>
      <c r="AR443" s="166">
        <v>0</v>
      </c>
      <c r="AS443" s="166">
        <v>0</v>
      </c>
      <c r="AT443" s="166">
        <v>-1</v>
      </c>
      <c r="AU443" s="166">
        <v>0</v>
      </c>
      <c r="AV443" s="166">
        <v>1</v>
      </c>
      <c r="AW443" s="166">
        <v>0</v>
      </c>
      <c r="AX443" s="166">
        <v>5</v>
      </c>
      <c r="AY443" s="166">
        <v>0</v>
      </c>
      <c r="AZ443" s="166">
        <v>0</v>
      </c>
      <c r="BA443" s="166">
        <v>-1</v>
      </c>
      <c r="BB443" s="166">
        <v>0</v>
      </c>
      <c r="BC443" s="166">
        <v>0</v>
      </c>
      <c r="BD443" s="166">
        <v>0</v>
      </c>
      <c r="BE443" s="166">
        <v>0</v>
      </c>
      <c r="BF443" s="166">
        <v>0</v>
      </c>
      <c r="BG443" s="166">
        <v>0</v>
      </c>
      <c r="BH443" s="166">
        <v>0</v>
      </c>
      <c r="BI443" s="166">
        <v>0</v>
      </c>
      <c r="BJ443" s="166">
        <v>0</v>
      </c>
      <c r="BK443" s="166">
        <v>0</v>
      </c>
      <c r="BL443" s="166">
        <v>0</v>
      </c>
      <c r="BM443" s="166">
        <v>0</v>
      </c>
      <c r="BN443" s="166">
        <v>0</v>
      </c>
      <c r="BO443" s="166">
        <v>0</v>
      </c>
      <c r="BP443" s="166">
        <v>0</v>
      </c>
      <c r="BQ443" s="81" t="s">
        <v>1758</v>
      </c>
      <c r="BZ443" s="81" t="s">
        <v>155</v>
      </c>
      <c r="CA443" s="81" t="s">
        <v>3976</v>
      </c>
      <c r="CC443" s="167">
        <v>0</v>
      </c>
      <c r="CD443" s="167">
        <f>N443</f>
        <v>5</v>
      </c>
      <c r="CE443" s="167">
        <v>0</v>
      </c>
      <c r="CF443" s="167">
        <v>0</v>
      </c>
      <c r="CG443" s="167">
        <v>0</v>
      </c>
      <c r="CH443" s="167">
        <v>0</v>
      </c>
      <c r="CI443" s="167">
        <v>0</v>
      </c>
      <c r="CJ443" s="167">
        <v>0</v>
      </c>
      <c r="CK443" s="167">
        <v>0</v>
      </c>
      <c r="CL443" s="167">
        <v>0</v>
      </c>
      <c r="CM443" s="167">
        <v>0</v>
      </c>
      <c r="CN443" s="167">
        <v>0</v>
      </c>
      <c r="CO443" s="167">
        <v>0</v>
      </c>
      <c r="CP443" s="167">
        <v>0</v>
      </c>
      <c r="CQ443" s="167">
        <v>0</v>
      </c>
      <c r="CR443" s="167">
        <v>0</v>
      </c>
      <c r="CS443" s="167">
        <v>0</v>
      </c>
      <c r="CT443" s="167">
        <v>0</v>
      </c>
      <c r="CU443" s="167">
        <v>0</v>
      </c>
      <c r="CV443" s="167">
        <v>0</v>
      </c>
      <c r="CW443" s="167">
        <v>0</v>
      </c>
      <c r="CX443" s="167">
        <f>SUM(CD443:CH443)</f>
        <v>5</v>
      </c>
      <c r="CY443" s="167">
        <f>SUM(CD443:CM443)</f>
        <v>5</v>
      </c>
    </row>
    <row r="444" spans="1:103" ht="12.75" customHeight="1" x14ac:dyDescent="0.2">
      <c r="A444" s="81">
        <v>4368</v>
      </c>
      <c r="B444" s="165" t="s">
        <v>1908</v>
      </c>
      <c r="C444" s="165" t="s">
        <v>657</v>
      </c>
      <c r="E444" s="165" t="s">
        <v>3509</v>
      </c>
      <c r="G444" s="81">
        <v>528539</v>
      </c>
      <c r="H444" s="81">
        <v>175783</v>
      </c>
      <c r="I444" s="165" t="s">
        <v>256</v>
      </c>
      <c r="J444" s="349">
        <v>42445</v>
      </c>
      <c r="L444" s="166">
        <v>0</v>
      </c>
      <c r="M444" s="166">
        <v>2</v>
      </c>
      <c r="N444" s="166">
        <v>2</v>
      </c>
      <c r="O444" s="166">
        <v>2</v>
      </c>
      <c r="P444" s="166">
        <v>2</v>
      </c>
      <c r="R444" s="165" t="s">
        <v>658</v>
      </c>
      <c r="S444" s="81" t="s">
        <v>113</v>
      </c>
      <c r="T444" s="349">
        <v>42293</v>
      </c>
      <c r="U444" s="349">
        <v>42445</v>
      </c>
      <c r="W444" s="81" t="s">
        <v>114</v>
      </c>
      <c r="Y444" s="81" t="s">
        <v>115</v>
      </c>
      <c r="Z444" s="81" t="s">
        <v>398</v>
      </c>
      <c r="AA444" s="81" t="s">
        <v>117</v>
      </c>
      <c r="AB444" s="81" t="s">
        <v>218</v>
      </c>
      <c r="AC444" s="166">
        <v>7.0000002160668399E-3</v>
      </c>
      <c r="AD444" s="349">
        <v>42445</v>
      </c>
      <c r="AG444" s="81" t="s">
        <v>238</v>
      </c>
      <c r="AH444" s="81" t="s">
        <v>118</v>
      </c>
      <c r="AK444" s="166">
        <v>0</v>
      </c>
      <c r="AM444" s="166">
        <v>0</v>
      </c>
      <c r="AO444" s="166">
        <v>0</v>
      </c>
      <c r="AP444" s="166">
        <v>1</v>
      </c>
      <c r="AQ444" s="166">
        <v>0</v>
      </c>
      <c r="AR444" s="166">
        <v>1</v>
      </c>
      <c r="AS444" s="166">
        <v>0</v>
      </c>
      <c r="AT444" s="166">
        <v>0</v>
      </c>
      <c r="AU444" s="166">
        <v>0</v>
      </c>
      <c r="AV444" s="166">
        <v>0</v>
      </c>
      <c r="AW444" s="166">
        <v>1</v>
      </c>
      <c r="AX444" s="166">
        <v>0</v>
      </c>
      <c r="AY444" s="166">
        <v>1</v>
      </c>
      <c r="AZ444" s="166">
        <v>0</v>
      </c>
      <c r="BA444" s="166">
        <v>0</v>
      </c>
      <c r="BB444" s="166">
        <v>0</v>
      </c>
      <c r="BC444" s="166">
        <v>0</v>
      </c>
      <c r="BD444" s="166">
        <v>0</v>
      </c>
      <c r="BE444" s="166">
        <v>0</v>
      </c>
      <c r="BF444" s="166">
        <v>0</v>
      </c>
      <c r="BG444" s="166">
        <v>0</v>
      </c>
      <c r="BH444" s="166">
        <v>0</v>
      </c>
      <c r="BI444" s="166">
        <v>0</v>
      </c>
      <c r="BJ444" s="166">
        <v>0</v>
      </c>
      <c r="BK444" s="166">
        <v>0</v>
      </c>
      <c r="BL444" s="166">
        <v>0</v>
      </c>
      <c r="BM444" s="166">
        <v>0</v>
      </c>
      <c r="BN444" s="166">
        <v>0</v>
      </c>
      <c r="BO444" s="166">
        <v>0</v>
      </c>
      <c r="BP444" s="166">
        <v>0</v>
      </c>
      <c r="BQ444" s="81" t="s">
        <v>1757</v>
      </c>
      <c r="BZ444" s="81" t="s">
        <v>155</v>
      </c>
      <c r="CA444" s="81" t="s">
        <v>3980</v>
      </c>
      <c r="CC444" s="167">
        <v>0</v>
      </c>
      <c r="CD444" s="167">
        <f>N444</f>
        <v>2</v>
      </c>
      <c r="CE444" s="167">
        <v>0</v>
      </c>
      <c r="CF444" s="167">
        <v>0</v>
      </c>
      <c r="CG444" s="167">
        <v>0</v>
      </c>
      <c r="CH444" s="167">
        <v>0</v>
      </c>
      <c r="CI444" s="167">
        <v>0</v>
      </c>
      <c r="CJ444" s="167">
        <v>0</v>
      </c>
      <c r="CK444" s="167">
        <v>0</v>
      </c>
      <c r="CL444" s="167">
        <v>0</v>
      </c>
      <c r="CM444" s="167">
        <v>0</v>
      </c>
      <c r="CN444" s="167">
        <v>0</v>
      </c>
      <c r="CO444" s="167">
        <v>0</v>
      </c>
      <c r="CP444" s="167">
        <v>0</v>
      </c>
      <c r="CQ444" s="167">
        <v>0</v>
      </c>
      <c r="CR444" s="167">
        <v>0</v>
      </c>
      <c r="CS444" s="167">
        <v>0</v>
      </c>
      <c r="CT444" s="167">
        <v>0</v>
      </c>
      <c r="CU444" s="167">
        <v>0</v>
      </c>
      <c r="CV444" s="167">
        <v>0</v>
      </c>
      <c r="CW444" s="167">
        <v>0</v>
      </c>
      <c r="CX444" s="167">
        <f>SUM(CD444:CH444)</f>
        <v>2</v>
      </c>
      <c r="CY444" s="167">
        <f>SUM(CD444:CM444)</f>
        <v>2</v>
      </c>
    </row>
    <row r="445" spans="1:103" x14ac:dyDescent="0.2">
      <c r="A445" s="81">
        <v>4432</v>
      </c>
      <c r="B445" s="165" t="s">
        <v>1908</v>
      </c>
      <c r="C445" s="165" t="s">
        <v>306</v>
      </c>
      <c r="E445" s="165" t="s">
        <v>3097</v>
      </c>
      <c r="F445" s="165" t="s">
        <v>307</v>
      </c>
      <c r="G445" s="81">
        <v>525103</v>
      </c>
      <c r="H445" s="81">
        <v>175205</v>
      </c>
      <c r="I445" s="165" t="s">
        <v>259</v>
      </c>
      <c r="J445" s="349">
        <v>41347</v>
      </c>
      <c r="L445" s="166">
        <v>0</v>
      </c>
      <c r="M445" s="166">
        <v>8</v>
      </c>
      <c r="N445" s="166">
        <v>8</v>
      </c>
      <c r="O445" s="166">
        <v>29</v>
      </c>
      <c r="P445" s="166">
        <v>29</v>
      </c>
      <c r="Q445" s="81" t="s">
        <v>155</v>
      </c>
      <c r="R445" s="165" t="s">
        <v>737</v>
      </c>
      <c r="S445" s="81" t="s">
        <v>104</v>
      </c>
      <c r="T445" s="349">
        <v>40200</v>
      </c>
      <c r="U445" s="349">
        <v>40882</v>
      </c>
      <c r="W445" s="81" t="s">
        <v>114</v>
      </c>
      <c r="Y445" s="81" t="s">
        <v>115</v>
      </c>
      <c r="Z445" s="81" t="s">
        <v>116</v>
      </c>
      <c r="AA445" s="81" t="s">
        <v>116</v>
      </c>
      <c r="AB445" s="81" t="s">
        <v>117</v>
      </c>
      <c r="AC445" s="166">
        <v>3.0999999493360499E-2</v>
      </c>
      <c r="AD445" s="349">
        <v>41347</v>
      </c>
      <c r="AG445" s="81" t="s">
        <v>74</v>
      </c>
      <c r="AH445" s="81" t="s">
        <v>1913</v>
      </c>
      <c r="AK445" s="166">
        <v>8</v>
      </c>
      <c r="AM445" s="166">
        <v>2</v>
      </c>
      <c r="AO445" s="166">
        <v>0</v>
      </c>
      <c r="AP445" s="166">
        <v>3</v>
      </c>
      <c r="AQ445" s="166">
        <v>4</v>
      </c>
      <c r="AR445" s="166">
        <v>1</v>
      </c>
      <c r="AS445" s="166">
        <v>0</v>
      </c>
      <c r="AT445" s="166">
        <v>0</v>
      </c>
      <c r="AU445" s="166">
        <v>0</v>
      </c>
      <c r="AV445" s="166">
        <v>0</v>
      </c>
      <c r="AW445" s="166">
        <v>3</v>
      </c>
      <c r="AX445" s="166">
        <v>4</v>
      </c>
      <c r="AY445" s="166">
        <v>1</v>
      </c>
      <c r="AZ445" s="166">
        <v>0</v>
      </c>
      <c r="BA445" s="166">
        <v>0</v>
      </c>
      <c r="BB445" s="166">
        <v>0</v>
      </c>
      <c r="BC445" s="166">
        <v>0</v>
      </c>
      <c r="BD445" s="166">
        <v>0</v>
      </c>
      <c r="BE445" s="166">
        <v>0</v>
      </c>
      <c r="BF445" s="166">
        <v>0</v>
      </c>
      <c r="BG445" s="166">
        <v>0</v>
      </c>
      <c r="BH445" s="166">
        <v>0</v>
      </c>
      <c r="BI445" s="166">
        <v>0</v>
      </c>
      <c r="BJ445" s="166">
        <v>0</v>
      </c>
      <c r="BK445" s="166">
        <v>0</v>
      </c>
      <c r="BL445" s="166">
        <v>0</v>
      </c>
      <c r="BM445" s="166">
        <v>0</v>
      </c>
      <c r="BN445" s="166">
        <v>0</v>
      </c>
      <c r="BO445" s="166">
        <v>0</v>
      </c>
      <c r="BP445" s="166">
        <v>0</v>
      </c>
      <c r="BQ445" s="81" t="s">
        <v>1758</v>
      </c>
      <c r="BT445" s="81" t="s">
        <v>155</v>
      </c>
      <c r="BZ445" s="81" t="s">
        <v>155</v>
      </c>
      <c r="CA445" s="81" t="s">
        <v>3934</v>
      </c>
      <c r="CC445" s="167">
        <v>0</v>
      </c>
      <c r="CD445" s="167">
        <v>0</v>
      </c>
      <c r="CE445" s="167">
        <v>0</v>
      </c>
      <c r="CF445" s="167">
        <v>0</v>
      </c>
      <c r="CG445" s="167">
        <v>0</v>
      </c>
      <c r="CH445" s="167">
        <v>0</v>
      </c>
      <c r="CI445" s="167">
        <f>$N445/5</f>
        <v>1.6</v>
      </c>
      <c r="CJ445" s="167">
        <f>$N445/5</f>
        <v>1.6</v>
      </c>
      <c r="CK445" s="167">
        <f>$N445/5</f>
        <v>1.6</v>
      </c>
      <c r="CL445" s="167">
        <f>$N445/5</f>
        <v>1.6</v>
      </c>
      <c r="CM445" s="167">
        <f>$N445/5</f>
        <v>1.6</v>
      </c>
      <c r="CN445" s="167">
        <v>0</v>
      </c>
      <c r="CO445" s="167">
        <v>0</v>
      </c>
      <c r="CP445" s="167">
        <v>0</v>
      </c>
      <c r="CQ445" s="167">
        <v>0</v>
      </c>
      <c r="CR445" s="167">
        <v>0</v>
      </c>
      <c r="CS445" s="167">
        <v>0</v>
      </c>
      <c r="CT445" s="167">
        <v>0</v>
      </c>
      <c r="CU445" s="167">
        <v>0</v>
      </c>
      <c r="CV445" s="167">
        <v>0</v>
      </c>
      <c r="CW445" s="167">
        <v>0</v>
      </c>
      <c r="CX445" s="167">
        <f>SUM(CD445:CH445)</f>
        <v>0</v>
      </c>
      <c r="CY445" s="167">
        <f>SUM(CD445:CM445)</f>
        <v>8</v>
      </c>
    </row>
    <row r="446" spans="1:103" ht="12.75" customHeight="1" x14ac:dyDescent="0.2">
      <c r="A446" s="81">
        <v>4432</v>
      </c>
      <c r="B446" s="165" t="s">
        <v>1908</v>
      </c>
      <c r="C446" s="165" t="s">
        <v>306</v>
      </c>
      <c r="E446" s="165" t="s">
        <v>3097</v>
      </c>
      <c r="G446" s="81">
        <v>525103</v>
      </c>
      <c r="H446" s="81">
        <v>175205</v>
      </c>
      <c r="I446" s="165" t="s">
        <v>259</v>
      </c>
      <c r="J446" s="349">
        <v>41347</v>
      </c>
      <c r="L446" s="166">
        <v>0</v>
      </c>
      <c r="M446" s="166">
        <v>21</v>
      </c>
      <c r="N446" s="166">
        <v>21</v>
      </c>
      <c r="O446" s="166">
        <v>29</v>
      </c>
      <c r="P446" s="166">
        <v>29</v>
      </c>
      <c r="Q446" s="81" t="s">
        <v>155</v>
      </c>
      <c r="R446" s="165" t="s">
        <v>737</v>
      </c>
      <c r="S446" s="81" t="s">
        <v>104</v>
      </c>
      <c r="T446" s="349">
        <v>40200</v>
      </c>
      <c r="U446" s="349">
        <v>40882</v>
      </c>
      <c r="W446" s="81" t="s">
        <v>114</v>
      </c>
      <c r="Y446" s="81" t="s">
        <v>115</v>
      </c>
      <c r="Z446" s="81" t="s">
        <v>116</v>
      </c>
      <c r="AA446" s="81" t="s">
        <v>116</v>
      </c>
      <c r="AB446" s="81" t="s">
        <v>117</v>
      </c>
      <c r="AC446" s="166">
        <v>7.9000003635883304E-2</v>
      </c>
      <c r="AD446" s="349">
        <v>41347</v>
      </c>
      <c r="AG446" s="81" t="s">
        <v>238</v>
      </c>
      <c r="AH446" s="81" t="s">
        <v>118</v>
      </c>
      <c r="AK446" s="166">
        <v>21</v>
      </c>
      <c r="AM446" s="166">
        <v>1</v>
      </c>
      <c r="AO446" s="166">
        <v>0</v>
      </c>
      <c r="AP446" s="166">
        <v>0</v>
      </c>
      <c r="AQ446" s="166">
        <v>19</v>
      </c>
      <c r="AR446" s="166">
        <v>2</v>
      </c>
      <c r="AS446" s="166">
        <v>0</v>
      </c>
      <c r="AT446" s="166">
        <v>0</v>
      </c>
      <c r="AU446" s="166">
        <v>0</v>
      </c>
      <c r="AV446" s="166">
        <v>0</v>
      </c>
      <c r="AW446" s="166">
        <v>0</v>
      </c>
      <c r="AX446" s="166">
        <v>19</v>
      </c>
      <c r="AY446" s="166">
        <v>2</v>
      </c>
      <c r="AZ446" s="166">
        <v>0</v>
      </c>
      <c r="BA446" s="166">
        <v>0</v>
      </c>
      <c r="BB446" s="166">
        <v>0</v>
      </c>
      <c r="BC446" s="166">
        <v>0</v>
      </c>
      <c r="BD446" s="166">
        <v>0</v>
      </c>
      <c r="BE446" s="166">
        <v>0</v>
      </c>
      <c r="BF446" s="166">
        <v>0</v>
      </c>
      <c r="BG446" s="166">
        <v>0</v>
      </c>
      <c r="BH446" s="166">
        <v>0</v>
      </c>
      <c r="BI446" s="166">
        <v>0</v>
      </c>
      <c r="BJ446" s="166">
        <v>0</v>
      </c>
      <c r="BK446" s="166">
        <v>0</v>
      </c>
      <c r="BL446" s="166">
        <v>0</v>
      </c>
      <c r="BM446" s="166">
        <v>0</v>
      </c>
      <c r="BN446" s="166">
        <v>0</v>
      </c>
      <c r="BO446" s="166">
        <v>0</v>
      </c>
      <c r="BP446" s="166">
        <v>0</v>
      </c>
      <c r="BQ446" s="81" t="s">
        <v>1758</v>
      </c>
      <c r="BT446" s="81" t="s">
        <v>155</v>
      </c>
      <c r="BZ446" s="81" t="s">
        <v>155</v>
      </c>
      <c r="CA446" s="81" t="s">
        <v>3934</v>
      </c>
      <c r="CC446" s="167">
        <v>0</v>
      </c>
      <c r="CD446" s="167">
        <v>0</v>
      </c>
      <c r="CE446" s="167">
        <v>0</v>
      </c>
      <c r="CF446" s="167">
        <v>0</v>
      </c>
      <c r="CG446" s="167">
        <v>0</v>
      </c>
      <c r="CH446" s="167">
        <v>0</v>
      </c>
      <c r="CI446" s="167">
        <f>$N446/5</f>
        <v>4.2</v>
      </c>
      <c r="CJ446" s="167">
        <f>$N446/5</f>
        <v>4.2</v>
      </c>
      <c r="CK446" s="167">
        <f>$N446/5</f>
        <v>4.2</v>
      </c>
      <c r="CL446" s="167">
        <f>$N446/5</f>
        <v>4.2</v>
      </c>
      <c r="CM446" s="167">
        <f>$N446/5</f>
        <v>4.2</v>
      </c>
      <c r="CN446" s="167">
        <v>0</v>
      </c>
      <c r="CO446" s="167">
        <v>0</v>
      </c>
      <c r="CP446" s="167">
        <v>0</v>
      </c>
      <c r="CQ446" s="167">
        <v>0</v>
      </c>
      <c r="CR446" s="167">
        <v>0</v>
      </c>
      <c r="CS446" s="167">
        <v>0</v>
      </c>
      <c r="CT446" s="167">
        <v>0</v>
      </c>
      <c r="CU446" s="167">
        <v>0</v>
      </c>
      <c r="CV446" s="167">
        <v>0</v>
      </c>
      <c r="CW446" s="167">
        <v>0</v>
      </c>
      <c r="CX446" s="167">
        <f>SUM(CD446:CH446)</f>
        <v>0</v>
      </c>
      <c r="CY446" s="167">
        <f>SUM(CD446:CM446)</f>
        <v>21</v>
      </c>
    </row>
    <row r="447" spans="1:103" ht="12.75" customHeight="1" x14ac:dyDescent="0.2">
      <c r="A447" s="81">
        <v>4482</v>
      </c>
      <c r="B447" s="165" t="s">
        <v>1908</v>
      </c>
      <c r="C447" s="165" t="s">
        <v>1727</v>
      </c>
      <c r="D447" s="165" t="s">
        <v>1728</v>
      </c>
      <c r="E447" s="165" t="s">
        <v>3111</v>
      </c>
      <c r="G447" s="81">
        <v>525443</v>
      </c>
      <c r="H447" s="81">
        <v>175090</v>
      </c>
      <c r="I447" s="165" t="s">
        <v>259</v>
      </c>
      <c r="J447" s="349">
        <v>43009</v>
      </c>
      <c r="L447" s="166">
        <v>0</v>
      </c>
      <c r="M447" s="166">
        <v>80</v>
      </c>
      <c r="N447" s="166">
        <v>80</v>
      </c>
      <c r="O447" s="166">
        <v>109</v>
      </c>
      <c r="P447" s="166">
        <v>109</v>
      </c>
      <c r="Q447" s="81" t="s">
        <v>155</v>
      </c>
      <c r="R447" s="165" t="s">
        <v>1729</v>
      </c>
      <c r="S447" s="81" t="s">
        <v>104</v>
      </c>
      <c r="T447" s="349">
        <v>42668</v>
      </c>
      <c r="U447" s="349">
        <v>42985</v>
      </c>
      <c r="V447" s="81" t="s">
        <v>155</v>
      </c>
      <c r="W447" s="81" t="s">
        <v>114</v>
      </c>
      <c r="Y447" s="81" t="s">
        <v>115</v>
      </c>
      <c r="Z447" s="81" t="s">
        <v>116</v>
      </c>
      <c r="AA447" s="81" t="s">
        <v>116</v>
      </c>
      <c r="AB447" s="81" t="s">
        <v>117</v>
      </c>
      <c r="AC447" s="166">
        <v>0.14200000464916199</v>
      </c>
      <c r="AD447" s="349">
        <v>43009</v>
      </c>
      <c r="AE447" s="81" t="s">
        <v>155</v>
      </c>
      <c r="AG447" s="81" t="s">
        <v>238</v>
      </c>
      <c r="AH447" s="81" t="s">
        <v>118</v>
      </c>
      <c r="AI447" s="81" t="s">
        <v>3112</v>
      </c>
      <c r="AK447" s="166">
        <v>80</v>
      </c>
      <c r="AL447" s="166">
        <v>75</v>
      </c>
      <c r="AM447" s="166">
        <v>0</v>
      </c>
      <c r="AN447" s="166">
        <v>5</v>
      </c>
      <c r="AO447" s="166">
        <v>0</v>
      </c>
      <c r="AP447" s="166">
        <v>6</v>
      </c>
      <c r="AQ447" s="166">
        <v>64</v>
      </c>
      <c r="AR447" s="166">
        <v>10</v>
      </c>
      <c r="AS447" s="166">
        <v>0</v>
      </c>
      <c r="AT447" s="166">
        <v>0</v>
      </c>
      <c r="AU447" s="166">
        <v>0</v>
      </c>
      <c r="AV447" s="166">
        <v>0</v>
      </c>
      <c r="AW447" s="166">
        <v>6</v>
      </c>
      <c r="AX447" s="166">
        <v>64</v>
      </c>
      <c r="AY447" s="166">
        <v>10</v>
      </c>
      <c r="AZ447" s="166">
        <v>0</v>
      </c>
      <c r="BA447" s="166">
        <v>0</v>
      </c>
      <c r="BB447" s="166">
        <v>0</v>
      </c>
      <c r="BC447" s="166">
        <v>0</v>
      </c>
      <c r="BD447" s="166">
        <v>0</v>
      </c>
      <c r="BE447" s="166">
        <v>0</v>
      </c>
      <c r="BF447" s="166">
        <v>0</v>
      </c>
      <c r="BG447" s="166">
        <v>0</v>
      </c>
      <c r="BH447" s="166">
        <v>0</v>
      </c>
      <c r="BI447" s="166">
        <v>0</v>
      </c>
      <c r="BJ447" s="166">
        <v>0</v>
      </c>
      <c r="BK447" s="166">
        <v>0</v>
      </c>
      <c r="BL447" s="166">
        <v>0</v>
      </c>
      <c r="BM447" s="166">
        <v>0</v>
      </c>
      <c r="BN447" s="166">
        <v>0</v>
      </c>
      <c r="BO447" s="166">
        <v>0</v>
      </c>
      <c r="BP447" s="166">
        <v>0</v>
      </c>
      <c r="BQ447" s="81" t="s">
        <v>1758</v>
      </c>
      <c r="BT447" s="81" t="s">
        <v>155</v>
      </c>
      <c r="BZ447" s="81" t="s">
        <v>155</v>
      </c>
      <c r="CA447" s="81" t="s">
        <v>3934</v>
      </c>
      <c r="CC447" s="167">
        <v>0</v>
      </c>
      <c r="CD447" s="167">
        <v>0</v>
      </c>
      <c r="CE447" s="167">
        <v>0</v>
      </c>
      <c r="CF447" s="167">
        <v>0</v>
      </c>
      <c r="CG447" s="167">
        <f>N447</f>
        <v>80</v>
      </c>
      <c r="CH447" s="167">
        <v>0</v>
      </c>
      <c r="CI447" s="167">
        <v>0</v>
      </c>
      <c r="CJ447" s="167">
        <v>0</v>
      </c>
      <c r="CK447" s="167">
        <v>0</v>
      </c>
      <c r="CL447" s="167">
        <v>0</v>
      </c>
      <c r="CM447" s="167">
        <v>0</v>
      </c>
      <c r="CN447" s="167">
        <v>0</v>
      </c>
      <c r="CO447" s="167">
        <v>0</v>
      </c>
      <c r="CP447" s="167">
        <v>0</v>
      </c>
      <c r="CQ447" s="167">
        <v>0</v>
      </c>
      <c r="CR447" s="167">
        <v>0</v>
      </c>
      <c r="CS447" s="167">
        <v>0</v>
      </c>
      <c r="CT447" s="167">
        <v>0</v>
      </c>
      <c r="CU447" s="167">
        <v>0</v>
      </c>
      <c r="CV447" s="167">
        <v>0</v>
      </c>
      <c r="CW447" s="167">
        <v>0</v>
      </c>
      <c r="CX447" s="167">
        <f>SUM(CD447:CH447)</f>
        <v>80</v>
      </c>
      <c r="CY447" s="167">
        <f>SUM(CD447:CM447)</f>
        <v>80</v>
      </c>
    </row>
    <row r="448" spans="1:103" ht="12.75" customHeight="1" x14ac:dyDescent="0.2">
      <c r="A448" s="81">
        <v>4482</v>
      </c>
      <c r="B448" s="165" t="s">
        <v>1908</v>
      </c>
      <c r="C448" s="165" t="s">
        <v>1727</v>
      </c>
      <c r="D448" s="165" t="s">
        <v>1728</v>
      </c>
      <c r="E448" s="165" t="s">
        <v>3111</v>
      </c>
      <c r="G448" s="81">
        <v>525443</v>
      </c>
      <c r="H448" s="81">
        <v>175090</v>
      </c>
      <c r="I448" s="165" t="s">
        <v>259</v>
      </c>
      <c r="J448" s="349">
        <v>43009</v>
      </c>
      <c r="L448" s="166">
        <v>0</v>
      </c>
      <c r="M448" s="166">
        <v>29</v>
      </c>
      <c r="N448" s="166">
        <v>29</v>
      </c>
      <c r="O448" s="166">
        <v>109</v>
      </c>
      <c r="P448" s="166">
        <v>109</v>
      </c>
      <c r="Q448" s="81" t="s">
        <v>155</v>
      </c>
      <c r="R448" s="165" t="s">
        <v>1729</v>
      </c>
      <c r="S448" s="81" t="s">
        <v>104</v>
      </c>
      <c r="T448" s="349">
        <v>42668</v>
      </c>
      <c r="U448" s="349">
        <v>42985</v>
      </c>
      <c r="V448" s="81" t="s">
        <v>155</v>
      </c>
      <c r="W448" s="81" t="s">
        <v>114</v>
      </c>
      <c r="Y448" s="81" t="s">
        <v>115</v>
      </c>
      <c r="Z448" s="81" t="s">
        <v>116</v>
      </c>
      <c r="AA448" s="81" t="s">
        <v>116</v>
      </c>
      <c r="AB448" s="81" t="s">
        <v>117</v>
      </c>
      <c r="AC448" s="166">
        <v>9.4999998807907104E-2</v>
      </c>
      <c r="AD448" s="349">
        <v>43009</v>
      </c>
      <c r="AE448" s="81" t="s">
        <v>155</v>
      </c>
      <c r="AG448" s="81" t="s">
        <v>74</v>
      </c>
      <c r="AH448" s="81" t="s">
        <v>990</v>
      </c>
      <c r="AI448" s="81" t="s">
        <v>3112</v>
      </c>
      <c r="AK448" s="166">
        <v>29</v>
      </c>
      <c r="AL448" s="166">
        <v>23</v>
      </c>
      <c r="AM448" s="166">
        <v>0</v>
      </c>
      <c r="AN448" s="166">
        <v>6</v>
      </c>
      <c r="AO448" s="166">
        <v>0</v>
      </c>
      <c r="AP448" s="166">
        <v>16</v>
      </c>
      <c r="AQ448" s="166">
        <v>13</v>
      </c>
      <c r="AR448" s="166">
        <v>0</v>
      </c>
      <c r="AS448" s="166">
        <v>0</v>
      </c>
      <c r="AT448" s="166">
        <v>0</v>
      </c>
      <c r="AU448" s="166">
        <v>0</v>
      </c>
      <c r="AV448" s="166">
        <v>0</v>
      </c>
      <c r="AW448" s="166">
        <v>16</v>
      </c>
      <c r="AX448" s="166">
        <v>13</v>
      </c>
      <c r="AY448" s="166">
        <v>0</v>
      </c>
      <c r="AZ448" s="166">
        <v>0</v>
      </c>
      <c r="BA448" s="166">
        <v>0</v>
      </c>
      <c r="BB448" s="166">
        <v>0</v>
      </c>
      <c r="BC448" s="166">
        <v>0</v>
      </c>
      <c r="BD448" s="166">
        <v>0</v>
      </c>
      <c r="BE448" s="166">
        <v>0</v>
      </c>
      <c r="BF448" s="166">
        <v>0</v>
      </c>
      <c r="BG448" s="166">
        <v>0</v>
      </c>
      <c r="BH448" s="166">
        <v>0</v>
      </c>
      <c r="BI448" s="166">
        <v>0</v>
      </c>
      <c r="BJ448" s="166">
        <v>0</v>
      </c>
      <c r="BK448" s="166">
        <v>0</v>
      </c>
      <c r="BL448" s="166">
        <v>0</v>
      </c>
      <c r="BM448" s="166">
        <v>0</v>
      </c>
      <c r="BN448" s="166">
        <v>0</v>
      </c>
      <c r="BO448" s="166">
        <v>0</v>
      </c>
      <c r="BP448" s="166">
        <v>0</v>
      </c>
      <c r="BQ448" s="81" t="s">
        <v>1758</v>
      </c>
      <c r="BT448" s="81" t="s">
        <v>155</v>
      </c>
      <c r="BZ448" s="81" t="s">
        <v>155</v>
      </c>
      <c r="CA448" s="81" t="s">
        <v>3934</v>
      </c>
      <c r="CC448" s="167">
        <v>0</v>
      </c>
      <c r="CD448" s="167">
        <v>0</v>
      </c>
      <c r="CE448" s="167">
        <v>0</v>
      </c>
      <c r="CF448" s="167">
        <v>0</v>
      </c>
      <c r="CG448" s="167">
        <f>N448</f>
        <v>29</v>
      </c>
      <c r="CH448" s="167">
        <v>0</v>
      </c>
      <c r="CI448" s="167">
        <v>0</v>
      </c>
      <c r="CJ448" s="167">
        <v>0</v>
      </c>
      <c r="CK448" s="167">
        <v>0</v>
      </c>
      <c r="CL448" s="167">
        <v>0</v>
      </c>
      <c r="CM448" s="167">
        <v>0</v>
      </c>
      <c r="CN448" s="167">
        <v>0</v>
      </c>
      <c r="CO448" s="167">
        <v>0</v>
      </c>
      <c r="CP448" s="167">
        <v>0</v>
      </c>
      <c r="CQ448" s="167">
        <v>0</v>
      </c>
      <c r="CR448" s="167">
        <v>0</v>
      </c>
      <c r="CS448" s="167">
        <v>0</v>
      </c>
      <c r="CT448" s="167">
        <v>0</v>
      </c>
      <c r="CU448" s="167">
        <v>0</v>
      </c>
      <c r="CV448" s="167">
        <v>0</v>
      </c>
      <c r="CW448" s="167">
        <v>0</v>
      </c>
      <c r="CX448" s="167">
        <f>SUM(CD448:CH448)</f>
        <v>29</v>
      </c>
      <c r="CY448" s="167">
        <f>SUM(CD448:CM448)</f>
        <v>29</v>
      </c>
    </row>
    <row r="449" spans="1:103" ht="12.75" customHeight="1" x14ac:dyDescent="0.2">
      <c r="A449" s="81">
        <v>4592</v>
      </c>
      <c r="B449" s="165" t="s">
        <v>1908</v>
      </c>
      <c r="C449" s="165" t="s">
        <v>1225</v>
      </c>
      <c r="E449" s="165" t="s">
        <v>3037</v>
      </c>
      <c r="G449" s="81">
        <v>525349</v>
      </c>
      <c r="H449" s="81">
        <v>174610</v>
      </c>
      <c r="I449" s="165" t="s">
        <v>258</v>
      </c>
      <c r="J449" s="349">
        <v>43190</v>
      </c>
      <c r="L449" s="166">
        <v>0</v>
      </c>
      <c r="M449" s="166">
        <v>61</v>
      </c>
      <c r="N449" s="166">
        <v>61</v>
      </c>
      <c r="O449" s="166">
        <v>61</v>
      </c>
      <c r="P449" s="166">
        <v>61</v>
      </c>
      <c r="Q449" s="81" t="s">
        <v>155</v>
      </c>
      <c r="R449" s="165" t="s">
        <v>1226</v>
      </c>
      <c r="S449" s="81" t="s">
        <v>270</v>
      </c>
      <c r="T449" s="349">
        <v>42493</v>
      </c>
      <c r="U449" s="349">
        <v>42543</v>
      </c>
      <c r="W449" s="81" t="s">
        <v>114</v>
      </c>
      <c r="Y449" s="81" t="s">
        <v>115</v>
      </c>
      <c r="Z449" s="81" t="s">
        <v>310</v>
      </c>
      <c r="AA449" s="81" t="s">
        <v>1764</v>
      </c>
      <c r="AB449" s="81" t="s">
        <v>117</v>
      </c>
      <c r="AC449" s="166">
        <v>9.4999998807907104E-2</v>
      </c>
      <c r="AD449" s="349">
        <v>43190</v>
      </c>
      <c r="AE449" s="81" t="s">
        <v>155</v>
      </c>
      <c r="AG449" s="81" t="s">
        <v>238</v>
      </c>
      <c r="AH449" s="81" t="s">
        <v>118</v>
      </c>
      <c r="AK449" s="166">
        <v>0</v>
      </c>
      <c r="AM449" s="166">
        <v>0</v>
      </c>
      <c r="AO449" s="166">
        <v>30</v>
      </c>
      <c r="AP449" s="166">
        <v>19</v>
      </c>
      <c r="AQ449" s="166">
        <v>12</v>
      </c>
      <c r="AR449" s="166">
        <v>0</v>
      </c>
      <c r="AS449" s="166">
        <v>0</v>
      </c>
      <c r="AT449" s="166">
        <v>0</v>
      </c>
      <c r="AU449" s="166">
        <v>0</v>
      </c>
      <c r="AV449" s="166">
        <v>30</v>
      </c>
      <c r="AW449" s="166">
        <v>19</v>
      </c>
      <c r="AX449" s="166">
        <v>12</v>
      </c>
      <c r="AY449" s="166">
        <v>0</v>
      </c>
      <c r="AZ449" s="166">
        <v>0</v>
      </c>
      <c r="BA449" s="166">
        <v>0</v>
      </c>
      <c r="BB449" s="166">
        <v>0</v>
      </c>
      <c r="BC449" s="166">
        <v>0</v>
      </c>
      <c r="BD449" s="166">
        <v>0</v>
      </c>
      <c r="BE449" s="166">
        <v>0</v>
      </c>
      <c r="BF449" s="166">
        <v>0</v>
      </c>
      <c r="BG449" s="166">
        <v>0</v>
      </c>
      <c r="BH449" s="166">
        <v>0</v>
      </c>
      <c r="BI449" s="166">
        <v>0</v>
      </c>
      <c r="BJ449" s="166">
        <v>0</v>
      </c>
      <c r="BK449" s="166">
        <v>0</v>
      </c>
      <c r="BL449" s="166">
        <v>0</v>
      </c>
      <c r="BM449" s="166">
        <v>0</v>
      </c>
      <c r="BN449" s="166">
        <v>0</v>
      </c>
      <c r="BO449" s="166">
        <v>0</v>
      </c>
      <c r="BP449" s="166">
        <v>0</v>
      </c>
      <c r="BQ449" s="81" t="s">
        <v>1758</v>
      </c>
      <c r="BR449" s="81" t="s">
        <v>202</v>
      </c>
      <c r="BT449" s="81" t="s">
        <v>155</v>
      </c>
      <c r="BZ449" s="81" t="s">
        <v>155</v>
      </c>
      <c r="CA449" s="81" t="s">
        <v>3981</v>
      </c>
      <c r="CC449" s="167">
        <v>0</v>
      </c>
      <c r="CD449" s="167">
        <f>$N449/2</f>
        <v>30.5</v>
      </c>
      <c r="CE449" s="167">
        <f>$N449/2</f>
        <v>30.5</v>
      </c>
      <c r="CF449" s="167">
        <v>0</v>
      </c>
      <c r="CG449" s="167">
        <v>0</v>
      </c>
      <c r="CH449" s="167">
        <v>0</v>
      </c>
      <c r="CI449" s="167">
        <v>0</v>
      </c>
      <c r="CJ449" s="167">
        <v>0</v>
      </c>
      <c r="CK449" s="167">
        <v>0</v>
      </c>
      <c r="CL449" s="167">
        <v>0</v>
      </c>
      <c r="CM449" s="167">
        <v>0</v>
      </c>
      <c r="CN449" s="167">
        <v>0</v>
      </c>
      <c r="CO449" s="167">
        <v>0</v>
      </c>
      <c r="CP449" s="167">
        <v>0</v>
      </c>
      <c r="CQ449" s="167">
        <v>0</v>
      </c>
      <c r="CR449" s="167">
        <v>0</v>
      </c>
      <c r="CS449" s="167">
        <v>0</v>
      </c>
      <c r="CT449" s="167">
        <v>0</v>
      </c>
      <c r="CU449" s="167">
        <v>0</v>
      </c>
      <c r="CV449" s="167">
        <v>0</v>
      </c>
      <c r="CW449" s="167">
        <v>0</v>
      </c>
      <c r="CX449" s="167">
        <f>SUM(CD449:CH449)</f>
        <v>61</v>
      </c>
      <c r="CY449" s="167">
        <f>SUM(CD449:CM449)</f>
        <v>61</v>
      </c>
    </row>
    <row r="450" spans="1:103" ht="12.75" customHeight="1" x14ac:dyDescent="0.2">
      <c r="A450" s="81">
        <v>4640</v>
      </c>
      <c r="B450" s="165" t="s">
        <v>1908</v>
      </c>
      <c r="C450" s="165" t="s">
        <v>50</v>
      </c>
      <c r="E450" s="165" t="s">
        <v>3515</v>
      </c>
      <c r="G450" s="81">
        <v>524103</v>
      </c>
      <c r="H450" s="81">
        <v>175546</v>
      </c>
      <c r="I450" s="165" t="s">
        <v>259</v>
      </c>
      <c r="J450" s="349">
        <v>42852</v>
      </c>
      <c r="L450" s="166">
        <v>0</v>
      </c>
      <c r="M450" s="166">
        <v>5</v>
      </c>
      <c r="N450" s="166">
        <v>5</v>
      </c>
      <c r="O450" s="166">
        <v>5</v>
      </c>
      <c r="P450" s="166">
        <v>5</v>
      </c>
      <c r="R450" s="165" t="s">
        <v>758</v>
      </c>
      <c r="S450" s="81" t="s">
        <v>113</v>
      </c>
      <c r="T450" s="349">
        <v>42030</v>
      </c>
      <c r="U450" s="349">
        <v>42230</v>
      </c>
      <c r="W450" s="81" t="s">
        <v>114</v>
      </c>
      <c r="Y450" s="81" t="s">
        <v>115</v>
      </c>
      <c r="Z450" s="81" t="s">
        <v>398</v>
      </c>
      <c r="AA450" s="81" t="s">
        <v>117</v>
      </c>
      <c r="AB450" s="81" t="s">
        <v>399</v>
      </c>
      <c r="AC450" s="166">
        <v>1.09999999403954E-2</v>
      </c>
      <c r="AD450" s="349">
        <v>42852</v>
      </c>
      <c r="AE450" s="81" t="s">
        <v>155</v>
      </c>
      <c r="AG450" s="81" t="s">
        <v>238</v>
      </c>
      <c r="AH450" s="81" t="s">
        <v>118</v>
      </c>
      <c r="AK450" s="166">
        <v>0</v>
      </c>
      <c r="AM450" s="166">
        <v>0</v>
      </c>
      <c r="AO450" s="166">
        <v>0</v>
      </c>
      <c r="AP450" s="166">
        <v>3</v>
      </c>
      <c r="AQ450" s="166">
        <v>2</v>
      </c>
      <c r="AR450" s="166">
        <v>0</v>
      </c>
      <c r="AS450" s="166">
        <v>0</v>
      </c>
      <c r="AT450" s="166">
        <v>0</v>
      </c>
      <c r="AU450" s="166">
        <v>0</v>
      </c>
      <c r="AV450" s="166">
        <v>0</v>
      </c>
      <c r="AW450" s="166">
        <v>3</v>
      </c>
      <c r="AX450" s="166">
        <v>2</v>
      </c>
      <c r="AY450" s="166">
        <v>0</v>
      </c>
      <c r="AZ450" s="166">
        <v>0</v>
      </c>
      <c r="BA450" s="166">
        <v>0</v>
      </c>
      <c r="BB450" s="166">
        <v>0</v>
      </c>
      <c r="BC450" s="166">
        <v>0</v>
      </c>
      <c r="BD450" s="166">
        <v>0</v>
      </c>
      <c r="BE450" s="166">
        <v>0</v>
      </c>
      <c r="BF450" s="166">
        <v>0</v>
      </c>
      <c r="BG450" s="166">
        <v>0</v>
      </c>
      <c r="BH450" s="166">
        <v>0</v>
      </c>
      <c r="BI450" s="166">
        <v>0</v>
      </c>
      <c r="BJ450" s="166">
        <v>0</v>
      </c>
      <c r="BK450" s="166">
        <v>0</v>
      </c>
      <c r="BL450" s="166">
        <v>0</v>
      </c>
      <c r="BM450" s="166">
        <v>0</v>
      </c>
      <c r="BN450" s="166">
        <v>0</v>
      </c>
      <c r="BO450" s="166">
        <v>0</v>
      </c>
      <c r="BP450" s="166">
        <v>0</v>
      </c>
      <c r="BQ450" s="81" t="s">
        <v>1758</v>
      </c>
      <c r="BR450" s="81" t="s">
        <v>161</v>
      </c>
      <c r="BZ450" s="81" t="s">
        <v>155</v>
      </c>
      <c r="CA450" s="81" t="s">
        <v>3980</v>
      </c>
      <c r="CC450" s="167">
        <v>0</v>
      </c>
      <c r="CD450" s="167">
        <f>N450</f>
        <v>5</v>
      </c>
      <c r="CE450" s="167">
        <v>0</v>
      </c>
      <c r="CF450" s="167">
        <v>0</v>
      </c>
      <c r="CG450" s="167">
        <v>0</v>
      </c>
      <c r="CH450" s="167">
        <v>0</v>
      </c>
      <c r="CI450" s="167">
        <v>0</v>
      </c>
      <c r="CJ450" s="167">
        <v>0</v>
      </c>
      <c r="CK450" s="167">
        <v>0</v>
      </c>
      <c r="CL450" s="167">
        <v>0</v>
      </c>
      <c r="CM450" s="167">
        <v>0</v>
      </c>
      <c r="CN450" s="167">
        <v>0</v>
      </c>
      <c r="CO450" s="167">
        <v>0</v>
      </c>
      <c r="CP450" s="167">
        <v>0</v>
      </c>
      <c r="CQ450" s="167">
        <v>0</v>
      </c>
      <c r="CR450" s="167">
        <v>0</v>
      </c>
      <c r="CS450" s="167">
        <v>0</v>
      </c>
      <c r="CT450" s="167">
        <v>0</v>
      </c>
      <c r="CU450" s="167">
        <v>0</v>
      </c>
      <c r="CV450" s="167">
        <v>0</v>
      </c>
      <c r="CW450" s="167">
        <v>0</v>
      </c>
      <c r="CX450" s="167">
        <f>SUM(CD450:CH450)</f>
        <v>5</v>
      </c>
      <c r="CY450" s="167">
        <f>SUM(CD450:CM450)</f>
        <v>5</v>
      </c>
    </row>
    <row r="451" spans="1:103" ht="12.75" customHeight="1" x14ac:dyDescent="0.2">
      <c r="A451" s="81">
        <v>4682</v>
      </c>
      <c r="B451" s="165" t="s">
        <v>1908</v>
      </c>
      <c r="C451" s="165" t="s">
        <v>1596</v>
      </c>
      <c r="E451" s="165" t="s">
        <v>3516</v>
      </c>
      <c r="G451" s="81">
        <v>522102</v>
      </c>
      <c r="H451" s="81">
        <v>175464</v>
      </c>
      <c r="I451" s="165" t="s">
        <v>59</v>
      </c>
      <c r="J451" s="349">
        <v>43032</v>
      </c>
      <c r="L451" s="166">
        <v>1</v>
      </c>
      <c r="M451" s="166">
        <v>4</v>
      </c>
      <c r="N451" s="166">
        <v>3</v>
      </c>
      <c r="O451" s="166">
        <v>4</v>
      </c>
      <c r="P451" s="166">
        <v>3</v>
      </c>
      <c r="R451" s="165" t="s">
        <v>1597</v>
      </c>
      <c r="S451" s="81" t="s">
        <v>296</v>
      </c>
      <c r="T451" s="349">
        <v>42754</v>
      </c>
      <c r="U451" s="349">
        <v>42810</v>
      </c>
      <c r="V451" s="81" t="s">
        <v>155</v>
      </c>
      <c r="W451" s="81" t="s">
        <v>297</v>
      </c>
      <c r="X451" s="349">
        <v>42983</v>
      </c>
      <c r="Y451" s="81" t="s">
        <v>115</v>
      </c>
      <c r="Z451" s="81" t="s">
        <v>398</v>
      </c>
      <c r="AA451" s="81" t="s">
        <v>117</v>
      </c>
      <c r="AB451" s="81" t="s">
        <v>336</v>
      </c>
      <c r="AC451" s="166">
        <v>2.70000007003546E-2</v>
      </c>
      <c r="AD451" s="349">
        <v>43032</v>
      </c>
      <c r="AE451" s="81" t="s">
        <v>155</v>
      </c>
      <c r="AG451" s="81" t="s">
        <v>238</v>
      </c>
      <c r="AH451" s="81" t="s">
        <v>118</v>
      </c>
      <c r="AK451" s="166">
        <v>0</v>
      </c>
      <c r="AM451" s="166">
        <v>0</v>
      </c>
      <c r="AO451" s="166">
        <v>0</v>
      </c>
      <c r="AP451" s="166">
        <v>0</v>
      </c>
      <c r="AQ451" s="166">
        <v>2</v>
      </c>
      <c r="AR451" s="166">
        <v>1</v>
      </c>
      <c r="AS451" s="166">
        <v>0</v>
      </c>
      <c r="AT451" s="166">
        <v>0</v>
      </c>
      <c r="AU451" s="166">
        <v>0</v>
      </c>
      <c r="AV451" s="166">
        <v>0</v>
      </c>
      <c r="AW451" s="166">
        <v>0</v>
      </c>
      <c r="AX451" s="166">
        <v>2</v>
      </c>
      <c r="AY451" s="166">
        <v>2</v>
      </c>
      <c r="AZ451" s="166">
        <v>0</v>
      </c>
      <c r="BA451" s="166">
        <v>0</v>
      </c>
      <c r="BB451" s="166">
        <v>0</v>
      </c>
      <c r="BC451" s="166">
        <v>0</v>
      </c>
      <c r="BD451" s="166">
        <v>0</v>
      </c>
      <c r="BE451" s="166">
        <v>0</v>
      </c>
      <c r="BF451" s="166">
        <v>-1</v>
      </c>
      <c r="BG451" s="166">
        <v>0</v>
      </c>
      <c r="BH451" s="166">
        <v>0</v>
      </c>
      <c r="BI451" s="166">
        <v>0</v>
      </c>
      <c r="BJ451" s="166">
        <v>0</v>
      </c>
      <c r="BK451" s="166">
        <v>0</v>
      </c>
      <c r="BL451" s="166">
        <v>0</v>
      </c>
      <c r="BM451" s="166">
        <v>0</v>
      </c>
      <c r="BN451" s="166">
        <v>0</v>
      </c>
      <c r="BO451" s="166">
        <v>0</v>
      </c>
      <c r="BP451" s="166">
        <v>0</v>
      </c>
      <c r="BQ451" s="81" t="s">
        <v>1758</v>
      </c>
      <c r="BZ451" s="81" t="s">
        <v>155</v>
      </c>
      <c r="CA451" s="81" t="s">
        <v>3981</v>
      </c>
      <c r="CC451" s="167">
        <v>0</v>
      </c>
      <c r="CD451" s="167">
        <f>$N451/2</f>
        <v>1.5</v>
      </c>
      <c r="CE451" s="167">
        <f>$N451/2</f>
        <v>1.5</v>
      </c>
      <c r="CF451" s="167">
        <v>0</v>
      </c>
      <c r="CG451" s="167">
        <v>0</v>
      </c>
      <c r="CH451" s="167">
        <v>0</v>
      </c>
      <c r="CI451" s="167">
        <v>0</v>
      </c>
      <c r="CJ451" s="167">
        <v>0</v>
      </c>
      <c r="CK451" s="167">
        <v>0</v>
      </c>
      <c r="CL451" s="167">
        <v>0</v>
      </c>
      <c r="CM451" s="167">
        <v>0</v>
      </c>
      <c r="CN451" s="167">
        <v>0</v>
      </c>
      <c r="CO451" s="167">
        <v>0</v>
      </c>
      <c r="CP451" s="167">
        <v>0</v>
      </c>
      <c r="CQ451" s="167">
        <v>0</v>
      </c>
      <c r="CR451" s="167">
        <v>0</v>
      </c>
      <c r="CS451" s="167">
        <v>0</v>
      </c>
      <c r="CT451" s="167">
        <v>0</v>
      </c>
      <c r="CU451" s="167">
        <v>0</v>
      </c>
      <c r="CV451" s="167">
        <v>0</v>
      </c>
      <c r="CW451" s="167">
        <v>0</v>
      </c>
      <c r="CX451" s="167">
        <f>SUM(CD451:CH451)</f>
        <v>3</v>
      </c>
      <c r="CY451" s="167">
        <f>SUM(CD451:CM451)</f>
        <v>3</v>
      </c>
    </row>
    <row r="452" spans="1:103" ht="12.75" customHeight="1" x14ac:dyDescent="0.2">
      <c r="A452" s="81">
        <v>4707</v>
      </c>
      <c r="B452" s="165" t="s">
        <v>1908</v>
      </c>
      <c r="C452" s="165" t="s">
        <v>1262</v>
      </c>
      <c r="E452" s="165" t="s">
        <v>3517</v>
      </c>
      <c r="G452" s="81">
        <v>525177</v>
      </c>
      <c r="H452" s="81">
        <v>173402</v>
      </c>
      <c r="I452" s="165" t="s">
        <v>258</v>
      </c>
      <c r="J452" s="349">
        <v>43039</v>
      </c>
      <c r="L452" s="166">
        <v>0</v>
      </c>
      <c r="M452" s="166">
        <v>1</v>
      </c>
      <c r="N452" s="166">
        <v>1</v>
      </c>
      <c r="O452" s="166">
        <v>1</v>
      </c>
      <c r="P452" s="166">
        <v>1</v>
      </c>
      <c r="R452" s="165" t="s">
        <v>1263</v>
      </c>
      <c r="S452" s="81" t="s">
        <v>110</v>
      </c>
      <c r="T452" s="349">
        <v>42506</v>
      </c>
      <c r="U452" s="349">
        <v>42559</v>
      </c>
      <c r="W452" s="81" t="s">
        <v>114</v>
      </c>
      <c r="Y452" s="81" t="s">
        <v>115</v>
      </c>
      <c r="Z452" s="81" t="s">
        <v>310</v>
      </c>
      <c r="AA452" s="81" t="s">
        <v>117</v>
      </c>
      <c r="AB452" s="81" t="s">
        <v>399</v>
      </c>
      <c r="AC452" s="166">
        <v>2.0000000949949E-3</v>
      </c>
      <c r="AD452" s="349">
        <v>43039</v>
      </c>
      <c r="AE452" s="81" t="s">
        <v>155</v>
      </c>
      <c r="AG452" s="81" t="s">
        <v>238</v>
      </c>
      <c r="AH452" s="81" t="s">
        <v>118</v>
      </c>
      <c r="AK452" s="166">
        <v>0</v>
      </c>
      <c r="AM452" s="166">
        <v>0</v>
      </c>
      <c r="AO452" s="166">
        <v>0</v>
      </c>
      <c r="AP452" s="166">
        <v>1</v>
      </c>
      <c r="AQ452" s="166">
        <v>0</v>
      </c>
      <c r="AR452" s="166">
        <v>0</v>
      </c>
      <c r="AS452" s="166">
        <v>0</v>
      </c>
      <c r="AT452" s="166">
        <v>0</v>
      </c>
      <c r="AU452" s="166">
        <v>0</v>
      </c>
      <c r="AV452" s="166">
        <v>0</v>
      </c>
      <c r="AW452" s="166">
        <v>1</v>
      </c>
      <c r="AX452" s="166">
        <v>0</v>
      </c>
      <c r="AY452" s="166">
        <v>0</v>
      </c>
      <c r="AZ452" s="166">
        <v>0</v>
      </c>
      <c r="BA452" s="166">
        <v>0</v>
      </c>
      <c r="BB452" s="166">
        <v>0</v>
      </c>
      <c r="BC452" s="166">
        <v>0</v>
      </c>
      <c r="BD452" s="166">
        <v>0</v>
      </c>
      <c r="BE452" s="166">
        <v>0</v>
      </c>
      <c r="BF452" s="166">
        <v>0</v>
      </c>
      <c r="BG452" s="166">
        <v>0</v>
      </c>
      <c r="BH452" s="166">
        <v>0</v>
      </c>
      <c r="BI452" s="166">
        <v>0</v>
      </c>
      <c r="BJ452" s="166">
        <v>0</v>
      </c>
      <c r="BK452" s="166">
        <v>0</v>
      </c>
      <c r="BL452" s="166">
        <v>0</v>
      </c>
      <c r="BM452" s="166">
        <v>0</v>
      </c>
      <c r="BN452" s="166">
        <v>0</v>
      </c>
      <c r="BO452" s="166">
        <v>0</v>
      </c>
      <c r="BP452" s="166">
        <v>0</v>
      </c>
      <c r="BQ452" s="81" t="s">
        <v>1758</v>
      </c>
      <c r="BZ452" s="81" t="s">
        <v>155</v>
      </c>
      <c r="CA452" s="81" t="s">
        <v>3981</v>
      </c>
      <c r="CC452" s="167">
        <v>0</v>
      </c>
      <c r="CD452" s="167">
        <f>$N452/2</f>
        <v>0.5</v>
      </c>
      <c r="CE452" s="167">
        <f>$N452/2</f>
        <v>0.5</v>
      </c>
      <c r="CF452" s="167">
        <v>0</v>
      </c>
      <c r="CG452" s="167">
        <v>0</v>
      </c>
      <c r="CH452" s="167">
        <v>0</v>
      </c>
      <c r="CI452" s="167">
        <v>0</v>
      </c>
      <c r="CJ452" s="167">
        <v>0</v>
      </c>
      <c r="CK452" s="167">
        <v>0</v>
      </c>
      <c r="CL452" s="167">
        <v>0</v>
      </c>
      <c r="CM452" s="167">
        <v>0</v>
      </c>
      <c r="CN452" s="167">
        <v>0</v>
      </c>
      <c r="CO452" s="167">
        <v>0</v>
      </c>
      <c r="CP452" s="167">
        <v>0</v>
      </c>
      <c r="CQ452" s="167">
        <v>0</v>
      </c>
      <c r="CR452" s="167">
        <v>0</v>
      </c>
      <c r="CS452" s="167">
        <v>0</v>
      </c>
      <c r="CT452" s="167">
        <v>0</v>
      </c>
      <c r="CU452" s="167">
        <v>0</v>
      </c>
      <c r="CV452" s="167">
        <v>0</v>
      </c>
      <c r="CW452" s="167">
        <v>0</v>
      </c>
      <c r="CX452" s="167">
        <f>SUM(CD452:CH452)</f>
        <v>1</v>
      </c>
      <c r="CY452" s="167">
        <f>SUM(CD452:CM452)</f>
        <v>1</v>
      </c>
    </row>
    <row r="453" spans="1:103" ht="12.75" customHeight="1" x14ac:dyDescent="0.2">
      <c r="A453" s="81">
        <v>4717</v>
      </c>
      <c r="B453" s="165" t="s">
        <v>1908</v>
      </c>
      <c r="C453" s="165" t="s">
        <v>445</v>
      </c>
      <c r="D453" s="165" t="s">
        <v>446</v>
      </c>
      <c r="E453" s="165" t="s">
        <v>3127</v>
      </c>
      <c r="F453" s="165" t="s">
        <v>897</v>
      </c>
      <c r="G453" s="81">
        <v>525735</v>
      </c>
      <c r="H453" s="81">
        <v>174565</v>
      </c>
      <c r="I453" s="165" t="s">
        <v>251</v>
      </c>
      <c r="J453" s="349">
        <v>42522</v>
      </c>
      <c r="L453" s="166">
        <v>0</v>
      </c>
      <c r="M453" s="166">
        <v>21</v>
      </c>
      <c r="N453" s="166">
        <v>21</v>
      </c>
      <c r="O453" s="166">
        <v>201</v>
      </c>
      <c r="P453" s="166">
        <v>201</v>
      </c>
      <c r="Q453" s="81" t="s">
        <v>155</v>
      </c>
      <c r="R453" s="165" t="s">
        <v>898</v>
      </c>
      <c r="S453" s="81" t="s">
        <v>104</v>
      </c>
      <c r="T453" s="349">
        <v>41920</v>
      </c>
      <c r="U453" s="349">
        <v>42193</v>
      </c>
      <c r="W453" s="81" t="s">
        <v>114</v>
      </c>
      <c r="Y453" s="81" t="s">
        <v>115</v>
      </c>
      <c r="Z453" s="81" t="s">
        <v>116</v>
      </c>
      <c r="AA453" s="81" t="s">
        <v>116</v>
      </c>
      <c r="AB453" s="81" t="s">
        <v>117</v>
      </c>
      <c r="AC453" s="166">
        <v>0</v>
      </c>
      <c r="AD453" s="349">
        <v>42522</v>
      </c>
      <c r="AG453" s="81" t="s">
        <v>74</v>
      </c>
      <c r="AH453" s="81" t="s">
        <v>1913</v>
      </c>
      <c r="AI453" s="81" t="s">
        <v>3128</v>
      </c>
      <c r="AK453" s="166">
        <v>21</v>
      </c>
      <c r="AM453" s="166">
        <v>3</v>
      </c>
      <c r="AO453" s="166">
        <v>0</v>
      </c>
      <c r="AP453" s="166">
        <v>10</v>
      </c>
      <c r="AQ453" s="166">
        <v>11</v>
      </c>
      <c r="AR453" s="166">
        <v>0</v>
      </c>
      <c r="AS453" s="166">
        <v>0</v>
      </c>
      <c r="AT453" s="166">
        <v>0</v>
      </c>
      <c r="AU453" s="166">
        <v>0</v>
      </c>
      <c r="AV453" s="166">
        <v>0</v>
      </c>
      <c r="AW453" s="166">
        <v>10</v>
      </c>
      <c r="AX453" s="166">
        <v>11</v>
      </c>
      <c r="AY453" s="166">
        <v>0</v>
      </c>
      <c r="AZ453" s="166">
        <v>0</v>
      </c>
      <c r="BA453" s="166">
        <v>0</v>
      </c>
      <c r="BB453" s="166">
        <v>0</v>
      </c>
      <c r="BC453" s="166">
        <v>0</v>
      </c>
      <c r="BD453" s="166">
        <v>0</v>
      </c>
      <c r="BE453" s="166">
        <v>0</v>
      </c>
      <c r="BF453" s="166">
        <v>0</v>
      </c>
      <c r="BG453" s="166">
        <v>0</v>
      </c>
      <c r="BH453" s="166">
        <v>0</v>
      </c>
      <c r="BI453" s="166">
        <v>0</v>
      </c>
      <c r="BJ453" s="166">
        <v>0</v>
      </c>
      <c r="BK453" s="166">
        <v>0</v>
      </c>
      <c r="BL453" s="166">
        <v>0</v>
      </c>
      <c r="BM453" s="166">
        <v>0</v>
      </c>
      <c r="BN453" s="166">
        <v>0</v>
      </c>
      <c r="BO453" s="166">
        <v>0</v>
      </c>
      <c r="BP453" s="166">
        <v>0</v>
      </c>
      <c r="BQ453" s="81" t="s">
        <v>1758</v>
      </c>
      <c r="BR453" s="81" t="s">
        <v>202</v>
      </c>
      <c r="BT453" s="81" t="s">
        <v>155</v>
      </c>
      <c r="BZ453" s="81" t="s">
        <v>155</v>
      </c>
      <c r="CA453" s="81" t="s">
        <v>3934</v>
      </c>
      <c r="CC453" s="167">
        <v>0</v>
      </c>
      <c r="CD453" s="167">
        <v>0</v>
      </c>
      <c r="CE453" s="167">
        <f>N453</f>
        <v>21</v>
      </c>
      <c r="CF453" s="167">
        <v>0</v>
      </c>
      <c r="CG453" s="167">
        <v>0</v>
      </c>
      <c r="CH453" s="167">
        <v>0</v>
      </c>
      <c r="CI453" s="167">
        <v>0</v>
      </c>
      <c r="CJ453" s="167">
        <v>0</v>
      </c>
      <c r="CK453" s="167">
        <v>0</v>
      </c>
      <c r="CL453" s="167">
        <v>0</v>
      </c>
      <c r="CM453" s="167">
        <v>0</v>
      </c>
      <c r="CN453" s="167">
        <v>0</v>
      </c>
      <c r="CO453" s="167">
        <v>0</v>
      </c>
      <c r="CP453" s="167">
        <v>0</v>
      </c>
      <c r="CQ453" s="167">
        <v>0</v>
      </c>
      <c r="CR453" s="167">
        <v>0</v>
      </c>
      <c r="CS453" s="167">
        <v>0</v>
      </c>
      <c r="CT453" s="167">
        <v>0</v>
      </c>
      <c r="CU453" s="167">
        <v>0</v>
      </c>
      <c r="CV453" s="167">
        <v>0</v>
      </c>
      <c r="CW453" s="167">
        <v>0</v>
      </c>
      <c r="CX453" s="167">
        <f>SUM(CD453:CH453)</f>
        <v>21</v>
      </c>
      <c r="CY453" s="167">
        <f>SUM(CD453:CM453)</f>
        <v>21</v>
      </c>
    </row>
    <row r="454" spans="1:103" ht="12.75" customHeight="1" x14ac:dyDescent="0.2">
      <c r="A454" s="81">
        <v>4717</v>
      </c>
      <c r="B454" s="165" t="s">
        <v>1908</v>
      </c>
      <c r="C454" s="165" t="s">
        <v>445</v>
      </c>
      <c r="D454" s="165" t="s">
        <v>446</v>
      </c>
      <c r="E454" s="165" t="s">
        <v>3127</v>
      </c>
      <c r="F454" s="165" t="s">
        <v>443</v>
      </c>
      <c r="G454" s="81">
        <v>525735</v>
      </c>
      <c r="H454" s="81">
        <v>174565</v>
      </c>
      <c r="I454" s="165" t="s">
        <v>251</v>
      </c>
      <c r="J454" s="349">
        <v>42522</v>
      </c>
      <c r="L454" s="166">
        <v>0</v>
      </c>
      <c r="M454" s="166">
        <v>106</v>
      </c>
      <c r="N454" s="166">
        <v>106</v>
      </c>
      <c r="O454" s="166">
        <v>201</v>
      </c>
      <c r="P454" s="166">
        <v>201</v>
      </c>
      <c r="Q454" s="81" t="s">
        <v>155</v>
      </c>
      <c r="R454" s="165" t="s">
        <v>898</v>
      </c>
      <c r="S454" s="81" t="s">
        <v>104</v>
      </c>
      <c r="T454" s="349">
        <v>41920</v>
      </c>
      <c r="U454" s="349">
        <v>42193</v>
      </c>
      <c r="W454" s="81" t="s">
        <v>114</v>
      </c>
      <c r="Y454" s="81" t="s">
        <v>115</v>
      </c>
      <c r="Z454" s="81" t="s">
        <v>116</v>
      </c>
      <c r="AA454" s="81" t="s">
        <v>116</v>
      </c>
      <c r="AB454" s="81" t="s">
        <v>117</v>
      </c>
      <c r="AC454" s="166">
        <v>0</v>
      </c>
      <c r="AD454" s="349">
        <v>42522</v>
      </c>
      <c r="AG454" s="81" t="s">
        <v>238</v>
      </c>
      <c r="AH454" s="81" t="s">
        <v>118</v>
      </c>
      <c r="AI454" s="81" t="s">
        <v>3128</v>
      </c>
      <c r="AK454" s="166">
        <v>106</v>
      </c>
      <c r="AM454" s="166">
        <v>12</v>
      </c>
      <c r="AO454" s="166">
        <v>0</v>
      </c>
      <c r="AP454" s="166">
        <v>15</v>
      </c>
      <c r="AQ454" s="166">
        <v>84</v>
      </c>
      <c r="AR454" s="166">
        <v>7</v>
      </c>
      <c r="AS454" s="166">
        <v>0</v>
      </c>
      <c r="AT454" s="166">
        <v>0</v>
      </c>
      <c r="AU454" s="166">
        <v>0</v>
      </c>
      <c r="AV454" s="166">
        <v>0</v>
      </c>
      <c r="AW454" s="166">
        <v>15</v>
      </c>
      <c r="AX454" s="166">
        <v>84</v>
      </c>
      <c r="AY454" s="166">
        <v>7</v>
      </c>
      <c r="AZ454" s="166">
        <v>0</v>
      </c>
      <c r="BA454" s="166">
        <v>0</v>
      </c>
      <c r="BB454" s="166">
        <v>0</v>
      </c>
      <c r="BC454" s="166">
        <v>0</v>
      </c>
      <c r="BD454" s="166">
        <v>0</v>
      </c>
      <c r="BE454" s="166">
        <v>0</v>
      </c>
      <c r="BF454" s="166">
        <v>0</v>
      </c>
      <c r="BG454" s="166">
        <v>0</v>
      </c>
      <c r="BH454" s="166">
        <v>0</v>
      </c>
      <c r="BI454" s="166">
        <v>0</v>
      </c>
      <c r="BJ454" s="166">
        <v>0</v>
      </c>
      <c r="BK454" s="166">
        <v>0</v>
      </c>
      <c r="BL454" s="166">
        <v>0</v>
      </c>
      <c r="BM454" s="166">
        <v>0</v>
      </c>
      <c r="BN454" s="166">
        <v>0</v>
      </c>
      <c r="BO454" s="166">
        <v>0</v>
      </c>
      <c r="BP454" s="166">
        <v>0</v>
      </c>
      <c r="BQ454" s="81" t="s">
        <v>1758</v>
      </c>
      <c r="BR454" s="81" t="s">
        <v>202</v>
      </c>
      <c r="BT454" s="81" t="s">
        <v>155</v>
      </c>
      <c r="BZ454" s="81" t="s">
        <v>155</v>
      </c>
      <c r="CA454" s="81" t="s">
        <v>3934</v>
      </c>
      <c r="CC454" s="167">
        <v>0</v>
      </c>
      <c r="CD454" s="167">
        <v>0</v>
      </c>
      <c r="CE454" s="167">
        <f>N454</f>
        <v>106</v>
      </c>
      <c r="CF454" s="167">
        <v>0</v>
      </c>
      <c r="CG454" s="167">
        <v>0</v>
      </c>
      <c r="CH454" s="167">
        <v>0</v>
      </c>
      <c r="CI454" s="167">
        <v>0</v>
      </c>
      <c r="CJ454" s="167">
        <v>0</v>
      </c>
      <c r="CK454" s="167">
        <v>0</v>
      </c>
      <c r="CL454" s="167">
        <v>0</v>
      </c>
      <c r="CM454" s="167">
        <v>0</v>
      </c>
      <c r="CN454" s="167">
        <v>0</v>
      </c>
      <c r="CO454" s="167">
        <v>0</v>
      </c>
      <c r="CP454" s="167">
        <v>0</v>
      </c>
      <c r="CQ454" s="167">
        <v>0</v>
      </c>
      <c r="CR454" s="167">
        <v>0</v>
      </c>
      <c r="CS454" s="167">
        <v>0</v>
      </c>
      <c r="CT454" s="167">
        <v>0</v>
      </c>
      <c r="CU454" s="167">
        <v>0</v>
      </c>
      <c r="CV454" s="167">
        <v>0</v>
      </c>
      <c r="CW454" s="167">
        <v>0</v>
      </c>
      <c r="CX454" s="167">
        <f>SUM(CD454:CH454)</f>
        <v>106</v>
      </c>
      <c r="CY454" s="167">
        <f>SUM(CD454:CM454)</f>
        <v>106</v>
      </c>
    </row>
    <row r="455" spans="1:103" ht="12.75" customHeight="1" x14ac:dyDescent="0.2">
      <c r="A455" s="81">
        <v>4717</v>
      </c>
      <c r="B455" s="165" t="s">
        <v>1908</v>
      </c>
      <c r="C455" s="165" t="s">
        <v>445</v>
      </c>
      <c r="D455" s="165" t="s">
        <v>446</v>
      </c>
      <c r="E455" s="165" t="s">
        <v>3127</v>
      </c>
      <c r="F455" s="165" t="s">
        <v>444</v>
      </c>
      <c r="G455" s="81">
        <v>525735</v>
      </c>
      <c r="H455" s="81">
        <v>174565</v>
      </c>
      <c r="I455" s="165" t="s">
        <v>251</v>
      </c>
      <c r="J455" s="349">
        <v>42522</v>
      </c>
      <c r="L455" s="166">
        <v>0</v>
      </c>
      <c r="M455" s="166">
        <v>45</v>
      </c>
      <c r="N455" s="166">
        <v>45</v>
      </c>
      <c r="O455" s="166">
        <v>201</v>
      </c>
      <c r="P455" s="166">
        <v>201</v>
      </c>
      <c r="Q455" s="81" t="s">
        <v>155</v>
      </c>
      <c r="R455" s="165" t="s">
        <v>898</v>
      </c>
      <c r="S455" s="81" t="s">
        <v>104</v>
      </c>
      <c r="T455" s="349">
        <v>41920</v>
      </c>
      <c r="U455" s="349">
        <v>42193</v>
      </c>
      <c r="W455" s="81" t="s">
        <v>114</v>
      </c>
      <c r="Y455" s="81" t="s">
        <v>115</v>
      </c>
      <c r="Z455" s="81" t="s">
        <v>116</v>
      </c>
      <c r="AA455" s="81" t="s">
        <v>116</v>
      </c>
      <c r="AB455" s="81" t="s">
        <v>117</v>
      </c>
      <c r="AC455" s="166">
        <v>0.67000001668930098</v>
      </c>
      <c r="AD455" s="349">
        <v>42522</v>
      </c>
      <c r="AG455" s="81" t="s">
        <v>238</v>
      </c>
      <c r="AH455" s="81" t="s">
        <v>118</v>
      </c>
      <c r="AI455" s="81" t="s">
        <v>3128</v>
      </c>
      <c r="AK455" s="166">
        <v>45</v>
      </c>
      <c r="AM455" s="166">
        <v>6</v>
      </c>
      <c r="AO455" s="166">
        <v>0</v>
      </c>
      <c r="AP455" s="166">
        <v>0</v>
      </c>
      <c r="AQ455" s="166">
        <v>45</v>
      </c>
      <c r="AR455" s="166">
        <v>0</v>
      </c>
      <c r="AS455" s="166">
        <v>0</v>
      </c>
      <c r="AT455" s="166">
        <v>0</v>
      </c>
      <c r="AU455" s="166">
        <v>0</v>
      </c>
      <c r="AV455" s="166">
        <v>0</v>
      </c>
      <c r="AW455" s="166">
        <v>0</v>
      </c>
      <c r="AX455" s="166">
        <v>45</v>
      </c>
      <c r="AY455" s="166">
        <v>0</v>
      </c>
      <c r="AZ455" s="166">
        <v>0</v>
      </c>
      <c r="BA455" s="166">
        <v>0</v>
      </c>
      <c r="BB455" s="166">
        <v>0</v>
      </c>
      <c r="BC455" s="166">
        <v>0</v>
      </c>
      <c r="BD455" s="166">
        <v>0</v>
      </c>
      <c r="BE455" s="166">
        <v>0</v>
      </c>
      <c r="BF455" s="166">
        <v>0</v>
      </c>
      <c r="BG455" s="166">
        <v>0</v>
      </c>
      <c r="BH455" s="166">
        <v>0</v>
      </c>
      <c r="BI455" s="166">
        <v>0</v>
      </c>
      <c r="BJ455" s="166">
        <v>0</v>
      </c>
      <c r="BK455" s="166">
        <v>0</v>
      </c>
      <c r="BL455" s="166">
        <v>0</v>
      </c>
      <c r="BM455" s="166">
        <v>0</v>
      </c>
      <c r="BN455" s="166">
        <v>0</v>
      </c>
      <c r="BO455" s="166">
        <v>0</v>
      </c>
      <c r="BP455" s="166">
        <v>0</v>
      </c>
      <c r="BQ455" s="81" t="s">
        <v>1758</v>
      </c>
      <c r="BR455" s="81" t="s">
        <v>202</v>
      </c>
      <c r="BT455" s="81" t="s">
        <v>155</v>
      </c>
      <c r="BZ455" s="81" t="s">
        <v>155</v>
      </c>
      <c r="CA455" s="81" t="s">
        <v>3934</v>
      </c>
      <c r="CC455" s="167">
        <v>0</v>
      </c>
      <c r="CD455" s="167">
        <v>0</v>
      </c>
      <c r="CE455" s="167">
        <f>N455</f>
        <v>45</v>
      </c>
      <c r="CF455" s="167">
        <v>0</v>
      </c>
      <c r="CG455" s="167">
        <v>0</v>
      </c>
      <c r="CH455" s="167">
        <v>0</v>
      </c>
      <c r="CI455" s="167">
        <v>0</v>
      </c>
      <c r="CJ455" s="167">
        <v>0</v>
      </c>
      <c r="CK455" s="167">
        <v>0</v>
      </c>
      <c r="CL455" s="167">
        <v>0</v>
      </c>
      <c r="CM455" s="167">
        <v>0</v>
      </c>
      <c r="CN455" s="167">
        <v>0</v>
      </c>
      <c r="CO455" s="167">
        <v>0</v>
      </c>
      <c r="CP455" s="167">
        <v>0</v>
      </c>
      <c r="CQ455" s="167">
        <v>0</v>
      </c>
      <c r="CR455" s="167">
        <v>0</v>
      </c>
      <c r="CS455" s="167">
        <v>0</v>
      </c>
      <c r="CT455" s="167">
        <v>0</v>
      </c>
      <c r="CU455" s="167">
        <v>0</v>
      </c>
      <c r="CV455" s="167">
        <v>0</v>
      </c>
      <c r="CW455" s="167">
        <v>0</v>
      </c>
      <c r="CX455" s="167">
        <f>SUM(CD455:CH455)</f>
        <v>45</v>
      </c>
      <c r="CY455" s="167">
        <f>SUM(CD455:CM455)</f>
        <v>45</v>
      </c>
    </row>
    <row r="456" spans="1:103" x14ac:dyDescent="0.2">
      <c r="A456" s="81">
        <v>4717</v>
      </c>
      <c r="B456" s="165" t="s">
        <v>1908</v>
      </c>
      <c r="C456" s="165" t="s">
        <v>445</v>
      </c>
      <c r="D456" s="165" t="s">
        <v>446</v>
      </c>
      <c r="E456" s="165" t="s">
        <v>3127</v>
      </c>
      <c r="F456" s="165" t="s">
        <v>899</v>
      </c>
      <c r="G456" s="81">
        <v>525735</v>
      </c>
      <c r="H456" s="81">
        <v>174565</v>
      </c>
      <c r="I456" s="165" t="s">
        <v>251</v>
      </c>
      <c r="J456" s="349">
        <v>42522</v>
      </c>
      <c r="L456" s="166">
        <v>0</v>
      </c>
      <c r="M456" s="166">
        <v>29</v>
      </c>
      <c r="N456" s="166">
        <v>29</v>
      </c>
      <c r="O456" s="166">
        <v>201</v>
      </c>
      <c r="P456" s="166">
        <v>201</v>
      </c>
      <c r="Q456" s="81" t="s">
        <v>155</v>
      </c>
      <c r="R456" s="165" t="s">
        <v>898</v>
      </c>
      <c r="S456" s="81" t="s">
        <v>104</v>
      </c>
      <c r="T456" s="349">
        <v>41920</v>
      </c>
      <c r="U456" s="349">
        <v>42193</v>
      </c>
      <c r="W456" s="81" t="s">
        <v>114</v>
      </c>
      <c r="Y456" s="81" t="s">
        <v>115</v>
      </c>
      <c r="Z456" s="81" t="s">
        <v>116</v>
      </c>
      <c r="AA456" s="81" t="s">
        <v>116</v>
      </c>
      <c r="AB456" s="81" t="s">
        <v>117</v>
      </c>
      <c r="AC456" s="166">
        <v>0</v>
      </c>
      <c r="AD456" s="349">
        <v>42522</v>
      </c>
      <c r="AG456" s="81" t="s">
        <v>154</v>
      </c>
      <c r="AH456" s="81" t="s">
        <v>276</v>
      </c>
      <c r="AI456" s="81" t="s">
        <v>3128</v>
      </c>
      <c r="AK456" s="166">
        <v>29</v>
      </c>
      <c r="AM456" s="166">
        <v>4</v>
      </c>
      <c r="AO456" s="166">
        <v>0</v>
      </c>
      <c r="AP456" s="166">
        <v>8</v>
      </c>
      <c r="AQ456" s="166">
        <v>13</v>
      </c>
      <c r="AR456" s="166">
        <v>8</v>
      </c>
      <c r="AS456" s="166">
        <v>0</v>
      </c>
      <c r="AT456" s="166">
        <v>0</v>
      </c>
      <c r="AU456" s="166">
        <v>0</v>
      </c>
      <c r="AV456" s="166">
        <v>0</v>
      </c>
      <c r="AW456" s="166">
        <v>8</v>
      </c>
      <c r="AX456" s="166">
        <v>13</v>
      </c>
      <c r="AY456" s="166">
        <v>8</v>
      </c>
      <c r="AZ456" s="166">
        <v>0</v>
      </c>
      <c r="BA456" s="166">
        <v>0</v>
      </c>
      <c r="BB456" s="166">
        <v>0</v>
      </c>
      <c r="BC456" s="166">
        <v>0</v>
      </c>
      <c r="BD456" s="166">
        <v>0</v>
      </c>
      <c r="BE456" s="166">
        <v>0</v>
      </c>
      <c r="BF456" s="166">
        <v>0</v>
      </c>
      <c r="BG456" s="166">
        <v>0</v>
      </c>
      <c r="BH456" s="166">
        <v>0</v>
      </c>
      <c r="BI456" s="166">
        <v>0</v>
      </c>
      <c r="BJ456" s="166">
        <v>0</v>
      </c>
      <c r="BK456" s="166">
        <v>0</v>
      </c>
      <c r="BL456" s="166">
        <v>0</v>
      </c>
      <c r="BM456" s="166">
        <v>0</v>
      </c>
      <c r="BN456" s="166">
        <v>0</v>
      </c>
      <c r="BO456" s="166">
        <v>0</v>
      </c>
      <c r="BP456" s="166">
        <v>0</v>
      </c>
      <c r="BQ456" s="81" t="s">
        <v>1758</v>
      </c>
      <c r="BR456" s="81" t="s">
        <v>202</v>
      </c>
      <c r="BT456" s="81" t="s">
        <v>155</v>
      </c>
      <c r="BZ456" s="81" t="s">
        <v>155</v>
      </c>
      <c r="CA456" s="81" t="s">
        <v>3934</v>
      </c>
      <c r="CC456" s="167">
        <v>0</v>
      </c>
      <c r="CD456" s="167">
        <v>0</v>
      </c>
      <c r="CE456" s="167">
        <f>N456</f>
        <v>29</v>
      </c>
      <c r="CF456" s="167">
        <v>0</v>
      </c>
      <c r="CG456" s="167">
        <v>0</v>
      </c>
      <c r="CH456" s="167">
        <v>0</v>
      </c>
      <c r="CI456" s="167">
        <v>0</v>
      </c>
      <c r="CJ456" s="167">
        <v>0</v>
      </c>
      <c r="CK456" s="167">
        <v>0</v>
      </c>
      <c r="CL456" s="167">
        <v>0</v>
      </c>
      <c r="CM456" s="167">
        <v>0</v>
      </c>
      <c r="CN456" s="167">
        <v>0</v>
      </c>
      <c r="CO456" s="167">
        <v>0</v>
      </c>
      <c r="CP456" s="167">
        <v>0</v>
      </c>
      <c r="CQ456" s="167">
        <v>0</v>
      </c>
      <c r="CR456" s="167">
        <v>0</v>
      </c>
      <c r="CS456" s="167">
        <v>0</v>
      </c>
      <c r="CT456" s="167">
        <v>0</v>
      </c>
      <c r="CU456" s="167">
        <v>0</v>
      </c>
      <c r="CV456" s="167">
        <v>0</v>
      </c>
      <c r="CW456" s="167">
        <v>0</v>
      </c>
      <c r="CX456" s="167">
        <f>SUM(CD456:CH456)</f>
        <v>29</v>
      </c>
      <c r="CY456" s="167">
        <f>SUM(CD456:CM456)</f>
        <v>29</v>
      </c>
    </row>
    <row r="457" spans="1:103" ht="12.75" customHeight="1" x14ac:dyDescent="0.2">
      <c r="A457" s="81">
        <v>4718</v>
      </c>
      <c r="B457" s="165" t="s">
        <v>1908</v>
      </c>
      <c r="C457" s="165" t="s">
        <v>887</v>
      </c>
      <c r="D457" s="165" t="s">
        <v>406</v>
      </c>
      <c r="E457" s="165" t="s">
        <v>3089</v>
      </c>
      <c r="F457" s="165" t="s">
        <v>888</v>
      </c>
      <c r="G457" s="81">
        <v>529643</v>
      </c>
      <c r="H457" s="81">
        <v>177593</v>
      </c>
      <c r="I457" s="165" t="s">
        <v>240</v>
      </c>
      <c r="J457" s="349">
        <v>42614</v>
      </c>
      <c r="L457" s="166">
        <v>0</v>
      </c>
      <c r="M457" s="166">
        <v>179</v>
      </c>
      <c r="N457" s="166">
        <v>179</v>
      </c>
      <c r="O457" s="166">
        <v>1339</v>
      </c>
      <c r="P457" s="166">
        <v>1339</v>
      </c>
      <c r="Q457" s="81" t="s">
        <v>155</v>
      </c>
      <c r="R457" s="165" t="s">
        <v>889</v>
      </c>
      <c r="S457" s="81" t="s">
        <v>509</v>
      </c>
      <c r="T457" s="349">
        <v>41568</v>
      </c>
      <c r="U457" s="349">
        <v>41894</v>
      </c>
      <c r="W457" s="81" t="s">
        <v>114</v>
      </c>
      <c r="Y457" s="81" t="s">
        <v>115</v>
      </c>
      <c r="Z457" s="81" t="s">
        <v>116</v>
      </c>
      <c r="AA457" s="81" t="s">
        <v>116</v>
      </c>
      <c r="AB457" s="81" t="s">
        <v>117</v>
      </c>
      <c r="AC457" s="166">
        <v>0.24099999666214</v>
      </c>
      <c r="AD457" s="349">
        <v>42614</v>
      </c>
      <c r="AG457" s="81" t="s">
        <v>238</v>
      </c>
      <c r="AH457" s="81" t="s">
        <v>118</v>
      </c>
      <c r="AI457" s="81" t="s">
        <v>3090</v>
      </c>
      <c r="AK457" s="166">
        <v>179</v>
      </c>
      <c r="AM457" s="166">
        <v>18</v>
      </c>
      <c r="AO457" s="166">
        <v>3</v>
      </c>
      <c r="AP457" s="166">
        <v>33</v>
      </c>
      <c r="AQ457" s="166">
        <v>133</v>
      </c>
      <c r="AR457" s="166">
        <v>9</v>
      </c>
      <c r="AS457" s="166">
        <v>1</v>
      </c>
      <c r="AT457" s="166">
        <v>0</v>
      </c>
      <c r="AU457" s="166">
        <v>0</v>
      </c>
      <c r="AV457" s="166">
        <v>3</v>
      </c>
      <c r="AW457" s="166">
        <v>33</v>
      </c>
      <c r="AX457" s="166">
        <v>133</v>
      </c>
      <c r="AY457" s="166">
        <v>9</v>
      </c>
      <c r="AZ457" s="166">
        <v>1</v>
      </c>
      <c r="BA457" s="166">
        <v>0</v>
      </c>
      <c r="BB457" s="166">
        <v>0</v>
      </c>
      <c r="BC457" s="166">
        <v>0</v>
      </c>
      <c r="BD457" s="166">
        <v>0</v>
      </c>
      <c r="BE457" s="166">
        <v>0</v>
      </c>
      <c r="BF457" s="166">
        <v>0</v>
      </c>
      <c r="BG457" s="166">
        <v>0</v>
      </c>
      <c r="BH457" s="166">
        <v>0</v>
      </c>
      <c r="BI457" s="166">
        <v>0</v>
      </c>
      <c r="BJ457" s="166">
        <v>0</v>
      </c>
      <c r="BK457" s="166">
        <v>0</v>
      </c>
      <c r="BL457" s="166">
        <v>0</v>
      </c>
      <c r="BM457" s="166">
        <v>0</v>
      </c>
      <c r="BN457" s="166">
        <v>0</v>
      </c>
      <c r="BO457" s="166">
        <v>0</v>
      </c>
      <c r="BP457" s="166">
        <v>0</v>
      </c>
      <c r="BQ457" s="81" t="s">
        <v>1759</v>
      </c>
      <c r="BS457" s="81" t="s">
        <v>155</v>
      </c>
      <c r="BZ457" s="81" t="s">
        <v>155</v>
      </c>
      <c r="CA457" s="81">
        <v>12</v>
      </c>
      <c r="CC457" s="167">
        <v>0</v>
      </c>
      <c r="CD457" s="167">
        <f>N457</f>
        <v>179</v>
      </c>
      <c r="CE457" s="167">
        <v>0</v>
      </c>
      <c r="CF457" s="167">
        <v>0</v>
      </c>
      <c r="CG457" s="167">
        <v>0</v>
      </c>
      <c r="CH457" s="167">
        <v>0</v>
      </c>
      <c r="CI457" s="167">
        <v>0</v>
      </c>
      <c r="CJ457" s="167">
        <v>0</v>
      </c>
      <c r="CK457" s="167">
        <v>0</v>
      </c>
      <c r="CL457" s="167">
        <v>0</v>
      </c>
      <c r="CM457" s="167">
        <v>0</v>
      </c>
      <c r="CN457" s="167">
        <v>0</v>
      </c>
      <c r="CO457" s="167">
        <v>0</v>
      </c>
      <c r="CP457" s="167">
        <v>0</v>
      </c>
      <c r="CQ457" s="167">
        <v>0</v>
      </c>
      <c r="CR457" s="167">
        <v>0</v>
      </c>
      <c r="CS457" s="167">
        <v>0</v>
      </c>
      <c r="CT457" s="167">
        <v>0</v>
      </c>
      <c r="CU457" s="167">
        <v>0</v>
      </c>
      <c r="CV457" s="167">
        <v>0</v>
      </c>
      <c r="CW457" s="167">
        <v>0</v>
      </c>
      <c r="CX457" s="167">
        <f>SUM(CD457:CH457)</f>
        <v>179</v>
      </c>
      <c r="CY457" s="167">
        <f>SUM(CD457:CM457)</f>
        <v>179</v>
      </c>
    </row>
    <row r="458" spans="1:103" ht="12.75" customHeight="1" x14ac:dyDescent="0.2">
      <c r="A458" s="81">
        <v>4718</v>
      </c>
      <c r="B458" s="165" t="s">
        <v>1908</v>
      </c>
      <c r="C458" s="165" t="s">
        <v>887</v>
      </c>
      <c r="D458" s="165" t="s">
        <v>406</v>
      </c>
      <c r="E458" s="165" t="s">
        <v>3089</v>
      </c>
      <c r="F458" s="165" t="s">
        <v>888</v>
      </c>
      <c r="G458" s="81">
        <v>529643</v>
      </c>
      <c r="H458" s="81">
        <v>177593</v>
      </c>
      <c r="I458" s="165" t="s">
        <v>240</v>
      </c>
      <c r="J458" s="349">
        <v>42614</v>
      </c>
      <c r="L458" s="166">
        <v>0</v>
      </c>
      <c r="M458" s="166">
        <v>42</v>
      </c>
      <c r="N458" s="166">
        <v>42</v>
      </c>
      <c r="O458" s="166">
        <v>1339</v>
      </c>
      <c r="P458" s="166">
        <v>1339</v>
      </c>
      <c r="Q458" s="81" t="s">
        <v>155</v>
      </c>
      <c r="R458" s="165" t="s">
        <v>889</v>
      </c>
      <c r="S458" s="81" t="s">
        <v>509</v>
      </c>
      <c r="T458" s="349">
        <v>41568</v>
      </c>
      <c r="U458" s="349">
        <v>41894</v>
      </c>
      <c r="W458" s="81" t="s">
        <v>114</v>
      </c>
      <c r="Y458" s="81" t="s">
        <v>115</v>
      </c>
      <c r="Z458" s="81" t="s">
        <v>116</v>
      </c>
      <c r="AA458" s="81" t="s">
        <v>116</v>
      </c>
      <c r="AB458" s="81" t="s">
        <v>117</v>
      </c>
      <c r="AC458" s="166">
        <v>5.6000001728534698E-2</v>
      </c>
      <c r="AD458" s="349">
        <v>42614</v>
      </c>
      <c r="AG458" s="81" t="s">
        <v>154</v>
      </c>
      <c r="AH458" s="81" t="s">
        <v>276</v>
      </c>
      <c r="AI458" s="81" t="s">
        <v>3090</v>
      </c>
      <c r="AK458" s="166">
        <v>42</v>
      </c>
      <c r="AM458" s="166">
        <v>4</v>
      </c>
      <c r="AO458" s="166">
        <v>0</v>
      </c>
      <c r="AP458" s="166">
        <v>7</v>
      </c>
      <c r="AQ458" s="166">
        <v>17</v>
      </c>
      <c r="AR458" s="166">
        <v>14</v>
      </c>
      <c r="AS458" s="166">
        <v>4</v>
      </c>
      <c r="AT458" s="166">
        <v>0</v>
      </c>
      <c r="AU458" s="166">
        <v>0</v>
      </c>
      <c r="AV458" s="166">
        <v>0</v>
      </c>
      <c r="AW458" s="166">
        <v>7</v>
      </c>
      <c r="AX458" s="166">
        <v>17</v>
      </c>
      <c r="AY458" s="166">
        <v>14</v>
      </c>
      <c r="AZ458" s="166">
        <v>4</v>
      </c>
      <c r="BA458" s="166">
        <v>0</v>
      </c>
      <c r="BB458" s="166">
        <v>0</v>
      </c>
      <c r="BC458" s="166">
        <v>0</v>
      </c>
      <c r="BD458" s="166">
        <v>0</v>
      </c>
      <c r="BE458" s="166">
        <v>0</v>
      </c>
      <c r="BF458" s="166">
        <v>0</v>
      </c>
      <c r="BG458" s="166">
        <v>0</v>
      </c>
      <c r="BH458" s="166">
        <v>0</v>
      </c>
      <c r="BI458" s="166">
        <v>0</v>
      </c>
      <c r="BJ458" s="166">
        <v>0</v>
      </c>
      <c r="BK458" s="166">
        <v>0</v>
      </c>
      <c r="BL458" s="166">
        <v>0</v>
      </c>
      <c r="BM458" s="166">
        <v>0</v>
      </c>
      <c r="BN458" s="166">
        <v>0</v>
      </c>
      <c r="BO458" s="166">
        <v>0</v>
      </c>
      <c r="BP458" s="166">
        <v>0</v>
      </c>
      <c r="BQ458" s="81" t="s">
        <v>1759</v>
      </c>
      <c r="BS458" s="81" t="s">
        <v>155</v>
      </c>
      <c r="BZ458" s="81" t="s">
        <v>155</v>
      </c>
      <c r="CA458" s="81">
        <v>12</v>
      </c>
      <c r="CC458" s="167">
        <v>0</v>
      </c>
      <c r="CD458" s="167">
        <v>0</v>
      </c>
      <c r="CE458" s="167">
        <f>N458</f>
        <v>42</v>
      </c>
      <c r="CF458" s="167">
        <v>0</v>
      </c>
      <c r="CG458" s="167">
        <v>0</v>
      </c>
      <c r="CH458" s="167">
        <v>0</v>
      </c>
      <c r="CI458" s="167">
        <v>0</v>
      </c>
      <c r="CJ458" s="167">
        <v>0</v>
      </c>
      <c r="CK458" s="167">
        <v>0</v>
      </c>
      <c r="CL458" s="167">
        <v>0</v>
      </c>
      <c r="CM458" s="167">
        <v>0</v>
      </c>
      <c r="CN458" s="167">
        <v>0</v>
      </c>
      <c r="CO458" s="167">
        <v>0</v>
      </c>
      <c r="CP458" s="167">
        <v>0</v>
      </c>
      <c r="CQ458" s="167">
        <v>0</v>
      </c>
      <c r="CR458" s="167">
        <v>0</v>
      </c>
      <c r="CS458" s="167">
        <v>0</v>
      </c>
      <c r="CT458" s="167">
        <v>0</v>
      </c>
      <c r="CU458" s="167">
        <v>0</v>
      </c>
      <c r="CV458" s="167">
        <v>0</v>
      </c>
      <c r="CW458" s="167">
        <v>0</v>
      </c>
      <c r="CX458" s="167">
        <f>SUM(CD458:CH458)</f>
        <v>42</v>
      </c>
      <c r="CY458" s="167">
        <f>SUM(CD458:CM458)</f>
        <v>42</v>
      </c>
    </row>
    <row r="459" spans="1:103" ht="12.75" customHeight="1" x14ac:dyDescent="0.2">
      <c r="A459" s="81">
        <v>4718</v>
      </c>
      <c r="B459" s="165" t="s">
        <v>1908</v>
      </c>
      <c r="C459" s="165" t="s">
        <v>887</v>
      </c>
      <c r="D459" s="165" t="s">
        <v>406</v>
      </c>
      <c r="E459" s="165" t="s">
        <v>3089</v>
      </c>
      <c r="F459" s="165" t="s">
        <v>888</v>
      </c>
      <c r="G459" s="81">
        <v>529643</v>
      </c>
      <c r="H459" s="81">
        <v>177593</v>
      </c>
      <c r="I459" s="165" t="s">
        <v>240</v>
      </c>
      <c r="J459" s="349">
        <v>42614</v>
      </c>
      <c r="L459" s="166">
        <v>0</v>
      </c>
      <c r="M459" s="166">
        <v>38</v>
      </c>
      <c r="N459" s="166">
        <v>38</v>
      </c>
      <c r="O459" s="166">
        <v>1339</v>
      </c>
      <c r="P459" s="166">
        <v>1339</v>
      </c>
      <c r="Q459" s="81" t="s">
        <v>155</v>
      </c>
      <c r="R459" s="165" t="s">
        <v>889</v>
      </c>
      <c r="S459" s="81" t="s">
        <v>509</v>
      </c>
      <c r="T459" s="349">
        <v>41568</v>
      </c>
      <c r="U459" s="349">
        <v>41894</v>
      </c>
      <c r="W459" s="81" t="s">
        <v>114</v>
      </c>
      <c r="Y459" s="81" t="s">
        <v>115</v>
      </c>
      <c r="Z459" s="81" t="s">
        <v>116</v>
      </c>
      <c r="AA459" s="81" t="s">
        <v>116</v>
      </c>
      <c r="AB459" s="81" t="s">
        <v>117</v>
      </c>
      <c r="AC459" s="166">
        <v>5.0999999046325697E-2</v>
      </c>
      <c r="AD459" s="349">
        <v>42614</v>
      </c>
      <c r="AG459" s="81" t="s">
        <v>74</v>
      </c>
      <c r="AH459" s="81" t="s">
        <v>880</v>
      </c>
      <c r="AI459" s="81" t="s">
        <v>3090</v>
      </c>
      <c r="AK459" s="166">
        <v>38</v>
      </c>
      <c r="AM459" s="166">
        <v>4</v>
      </c>
      <c r="AO459" s="166">
        <v>0</v>
      </c>
      <c r="AP459" s="166">
        <v>14</v>
      </c>
      <c r="AQ459" s="166">
        <v>24</v>
      </c>
      <c r="AR459" s="166">
        <v>0</v>
      </c>
      <c r="AS459" s="166">
        <v>0</v>
      </c>
      <c r="AT459" s="166">
        <v>0</v>
      </c>
      <c r="AU459" s="166">
        <v>0</v>
      </c>
      <c r="AV459" s="166">
        <v>0</v>
      </c>
      <c r="AW459" s="166">
        <v>14</v>
      </c>
      <c r="AX459" s="166">
        <v>24</v>
      </c>
      <c r="AY459" s="166">
        <v>0</v>
      </c>
      <c r="AZ459" s="166">
        <v>0</v>
      </c>
      <c r="BA459" s="166">
        <v>0</v>
      </c>
      <c r="BB459" s="166">
        <v>0</v>
      </c>
      <c r="BC459" s="166">
        <v>0</v>
      </c>
      <c r="BD459" s="166">
        <v>0</v>
      </c>
      <c r="BE459" s="166">
        <v>0</v>
      </c>
      <c r="BF459" s="166">
        <v>0</v>
      </c>
      <c r="BG459" s="166">
        <v>0</v>
      </c>
      <c r="BH459" s="166">
        <v>0</v>
      </c>
      <c r="BI459" s="166">
        <v>0</v>
      </c>
      <c r="BJ459" s="166">
        <v>0</v>
      </c>
      <c r="BK459" s="166">
        <v>0</v>
      </c>
      <c r="BL459" s="166">
        <v>0</v>
      </c>
      <c r="BM459" s="166">
        <v>0</v>
      </c>
      <c r="BN459" s="166">
        <v>0</v>
      </c>
      <c r="BO459" s="166">
        <v>0</v>
      </c>
      <c r="BP459" s="166">
        <v>0</v>
      </c>
      <c r="BQ459" s="81" t="s">
        <v>1759</v>
      </c>
      <c r="BS459" s="81" t="s">
        <v>155</v>
      </c>
      <c r="BZ459" s="81" t="s">
        <v>155</v>
      </c>
      <c r="CA459" s="81">
        <v>12</v>
      </c>
      <c r="CC459" s="167">
        <v>0</v>
      </c>
      <c r="CD459" s="167">
        <v>0</v>
      </c>
      <c r="CE459" s="167">
        <f>N459</f>
        <v>38</v>
      </c>
      <c r="CF459" s="167">
        <v>0</v>
      </c>
      <c r="CG459" s="167">
        <v>0</v>
      </c>
      <c r="CH459" s="167">
        <v>0</v>
      </c>
      <c r="CI459" s="167">
        <v>0</v>
      </c>
      <c r="CJ459" s="167">
        <v>0</v>
      </c>
      <c r="CK459" s="167">
        <v>0</v>
      </c>
      <c r="CL459" s="167">
        <v>0</v>
      </c>
      <c r="CM459" s="167">
        <v>0</v>
      </c>
      <c r="CN459" s="167">
        <v>0</v>
      </c>
      <c r="CO459" s="167">
        <v>0</v>
      </c>
      <c r="CP459" s="167">
        <v>0</v>
      </c>
      <c r="CQ459" s="167">
        <v>0</v>
      </c>
      <c r="CR459" s="167">
        <v>0</v>
      </c>
      <c r="CS459" s="167">
        <v>0</v>
      </c>
      <c r="CT459" s="167">
        <v>0</v>
      </c>
      <c r="CU459" s="167">
        <v>0</v>
      </c>
      <c r="CV459" s="167">
        <v>0</v>
      </c>
      <c r="CW459" s="167">
        <v>0</v>
      </c>
      <c r="CX459" s="167">
        <f>SUM(CD459:CH459)</f>
        <v>38</v>
      </c>
      <c r="CY459" s="167">
        <f>SUM(CD459:CM459)</f>
        <v>38</v>
      </c>
    </row>
    <row r="460" spans="1:103" ht="12.75" customHeight="1" x14ac:dyDescent="0.2">
      <c r="A460" s="81">
        <v>4718</v>
      </c>
      <c r="B460" s="165" t="s">
        <v>1908</v>
      </c>
      <c r="C460" s="165" t="s">
        <v>887</v>
      </c>
      <c r="D460" s="165" t="s">
        <v>406</v>
      </c>
      <c r="E460" s="165" t="s">
        <v>3089</v>
      </c>
      <c r="F460" s="165" t="s">
        <v>890</v>
      </c>
      <c r="G460" s="81">
        <v>529643</v>
      </c>
      <c r="H460" s="81">
        <v>177593</v>
      </c>
      <c r="I460" s="165" t="s">
        <v>240</v>
      </c>
      <c r="J460" s="349">
        <v>42614</v>
      </c>
      <c r="L460" s="166">
        <v>0</v>
      </c>
      <c r="M460" s="166">
        <v>83</v>
      </c>
      <c r="N460" s="166">
        <v>83</v>
      </c>
      <c r="O460" s="166">
        <v>1339</v>
      </c>
      <c r="P460" s="166">
        <v>1339</v>
      </c>
      <c r="Q460" s="81" t="s">
        <v>155</v>
      </c>
      <c r="R460" s="165" t="s">
        <v>889</v>
      </c>
      <c r="S460" s="81" t="s">
        <v>509</v>
      </c>
      <c r="T460" s="349">
        <v>41568</v>
      </c>
      <c r="U460" s="349">
        <v>41894</v>
      </c>
      <c r="W460" s="81" t="s">
        <v>114</v>
      </c>
      <c r="Y460" s="81" t="s">
        <v>115</v>
      </c>
      <c r="Z460" s="81" t="s">
        <v>116</v>
      </c>
      <c r="AA460" s="81" t="s">
        <v>116</v>
      </c>
      <c r="AB460" s="81" t="s">
        <v>117</v>
      </c>
      <c r="AC460" s="166">
        <v>0.11200000345706899</v>
      </c>
      <c r="AD460" s="349">
        <v>42614</v>
      </c>
      <c r="AG460" s="81" t="s">
        <v>154</v>
      </c>
      <c r="AH460" s="81" t="s">
        <v>276</v>
      </c>
      <c r="AI460" s="81" t="s">
        <v>3090</v>
      </c>
      <c r="AK460" s="166">
        <v>83</v>
      </c>
      <c r="AM460" s="166">
        <v>8</v>
      </c>
      <c r="AO460" s="166">
        <v>0</v>
      </c>
      <c r="AP460" s="166">
        <v>11</v>
      </c>
      <c r="AQ460" s="166">
        <v>24</v>
      </c>
      <c r="AR460" s="166">
        <v>31</v>
      </c>
      <c r="AS460" s="166">
        <v>17</v>
      </c>
      <c r="AT460" s="166">
        <v>0</v>
      </c>
      <c r="AU460" s="166">
        <v>0</v>
      </c>
      <c r="AV460" s="166">
        <v>0</v>
      </c>
      <c r="AW460" s="166">
        <v>11</v>
      </c>
      <c r="AX460" s="166">
        <v>24</v>
      </c>
      <c r="AY460" s="166">
        <v>31</v>
      </c>
      <c r="AZ460" s="166">
        <v>17</v>
      </c>
      <c r="BA460" s="166">
        <v>0</v>
      </c>
      <c r="BB460" s="166">
        <v>0</v>
      </c>
      <c r="BC460" s="166">
        <v>0</v>
      </c>
      <c r="BD460" s="166">
        <v>0</v>
      </c>
      <c r="BE460" s="166">
        <v>0</v>
      </c>
      <c r="BF460" s="166">
        <v>0</v>
      </c>
      <c r="BG460" s="166">
        <v>0</v>
      </c>
      <c r="BH460" s="166">
        <v>0</v>
      </c>
      <c r="BI460" s="166">
        <v>0</v>
      </c>
      <c r="BJ460" s="166">
        <v>0</v>
      </c>
      <c r="BK460" s="166">
        <v>0</v>
      </c>
      <c r="BL460" s="166">
        <v>0</v>
      </c>
      <c r="BM460" s="166">
        <v>0</v>
      </c>
      <c r="BN460" s="166">
        <v>0</v>
      </c>
      <c r="BO460" s="166">
        <v>0</v>
      </c>
      <c r="BP460" s="166">
        <v>0</v>
      </c>
      <c r="BQ460" s="81" t="s">
        <v>1759</v>
      </c>
      <c r="BS460" s="81" t="s">
        <v>155</v>
      </c>
      <c r="BZ460" s="81" t="s">
        <v>155</v>
      </c>
      <c r="CA460" s="81">
        <v>12</v>
      </c>
      <c r="CC460" s="167">
        <v>0</v>
      </c>
      <c r="CD460" s="167">
        <f>N460</f>
        <v>83</v>
      </c>
      <c r="CE460" s="167">
        <v>0</v>
      </c>
      <c r="CF460" s="167">
        <v>0</v>
      </c>
      <c r="CG460" s="167">
        <v>0</v>
      </c>
      <c r="CH460" s="167">
        <v>0</v>
      </c>
      <c r="CI460" s="167">
        <v>0</v>
      </c>
      <c r="CJ460" s="167">
        <v>0</v>
      </c>
      <c r="CK460" s="167">
        <v>0</v>
      </c>
      <c r="CL460" s="167">
        <v>0</v>
      </c>
      <c r="CM460" s="167">
        <v>0</v>
      </c>
      <c r="CN460" s="167">
        <v>0</v>
      </c>
      <c r="CO460" s="167">
        <v>0</v>
      </c>
      <c r="CP460" s="167">
        <v>0</v>
      </c>
      <c r="CQ460" s="167">
        <v>0</v>
      </c>
      <c r="CR460" s="167">
        <v>0</v>
      </c>
      <c r="CS460" s="167">
        <v>0</v>
      </c>
      <c r="CT460" s="167">
        <v>0</v>
      </c>
      <c r="CU460" s="167">
        <v>0</v>
      </c>
      <c r="CV460" s="167">
        <v>0</v>
      </c>
      <c r="CW460" s="167">
        <v>0</v>
      </c>
      <c r="CX460" s="167">
        <f>SUM(CD460:CH460)</f>
        <v>83</v>
      </c>
      <c r="CY460" s="167">
        <f>SUM(CD460:CM460)</f>
        <v>83</v>
      </c>
    </row>
    <row r="461" spans="1:103" ht="12.75" customHeight="1" x14ac:dyDescent="0.2">
      <c r="A461" s="81">
        <v>4718</v>
      </c>
      <c r="B461" s="165" t="s">
        <v>1908</v>
      </c>
      <c r="C461" s="165" t="s">
        <v>916</v>
      </c>
      <c r="D461" s="165" t="s">
        <v>406</v>
      </c>
      <c r="E461" s="165" t="s">
        <v>3089</v>
      </c>
      <c r="F461" s="165" t="s">
        <v>917</v>
      </c>
      <c r="G461" s="81">
        <v>529643</v>
      </c>
      <c r="H461" s="81">
        <v>177593</v>
      </c>
      <c r="I461" s="165" t="s">
        <v>240</v>
      </c>
      <c r="J461" s="349">
        <v>42614</v>
      </c>
      <c r="L461" s="166">
        <v>0</v>
      </c>
      <c r="M461" s="166">
        <v>279</v>
      </c>
      <c r="N461" s="166">
        <v>279</v>
      </c>
      <c r="O461" s="166">
        <v>530</v>
      </c>
      <c r="P461" s="166">
        <v>530</v>
      </c>
      <c r="Q461" s="81" t="s">
        <v>155</v>
      </c>
      <c r="R461" s="165" t="s">
        <v>918</v>
      </c>
      <c r="S461" s="81" t="s">
        <v>1998</v>
      </c>
      <c r="T461" s="349">
        <v>42229</v>
      </c>
      <c r="U461" s="349">
        <v>42880</v>
      </c>
      <c r="V461" s="81" t="s">
        <v>155</v>
      </c>
      <c r="W461" s="81" t="s">
        <v>114</v>
      </c>
      <c r="Y461" s="81" t="s">
        <v>115</v>
      </c>
      <c r="Z461" s="81" t="s">
        <v>116</v>
      </c>
      <c r="AA461" s="81" t="s">
        <v>116</v>
      </c>
      <c r="AB461" s="81" t="s">
        <v>117</v>
      </c>
      <c r="AC461" s="166">
        <v>0.375</v>
      </c>
      <c r="AD461" s="349">
        <v>42614</v>
      </c>
      <c r="AG461" s="81" t="s">
        <v>238</v>
      </c>
      <c r="AH461" s="81" t="s">
        <v>118</v>
      </c>
      <c r="AI461" s="81" t="s">
        <v>3090</v>
      </c>
      <c r="AK461" s="166">
        <v>279</v>
      </c>
      <c r="AM461" s="166">
        <v>28</v>
      </c>
      <c r="AO461" s="166">
        <v>12</v>
      </c>
      <c r="AP461" s="166">
        <v>26</v>
      </c>
      <c r="AQ461" s="166">
        <v>213</v>
      </c>
      <c r="AR461" s="166">
        <v>26</v>
      </c>
      <c r="AS461" s="166">
        <v>2</v>
      </c>
      <c r="AT461" s="166">
        <v>0</v>
      </c>
      <c r="AU461" s="166">
        <v>0</v>
      </c>
      <c r="AV461" s="166">
        <v>12</v>
      </c>
      <c r="AW461" s="166">
        <v>26</v>
      </c>
      <c r="AX461" s="166">
        <v>213</v>
      </c>
      <c r="AY461" s="166">
        <v>26</v>
      </c>
      <c r="AZ461" s="166">
        <v>2</v>
      </c>
      <c r="BA461" s="166">
        <v>0</v>
      </c>
      <c r="BB461" s="166">
        <v>0</v>
      </c>
      <c r="BC461" s="166">
        <v>0</v>
      </c>
      <c r="BD461" s="166">
        <v>0</v>
      </c>
      <c r="BE461" s="166">
        <v>0</v>
      </c>
      <c r="BF461" s="166">
        <v>0</v>
      </c>
      <c r="BG461" s="166">
        <v>0</v>
      </c>
      <c r="BH461" s="166">
        <v>0</v>
      </c>
      <c r="BI461" s="166">
        <v>0</v>
      </c>
      <c r="BJ461" s="166">
        <v>0</v>
      </c>
      <c r="BK461" s="166">
        <v>0</v>
      </c>
      <c r="BL461" s="166">
        <v>0</v>
      </c>
      <c r="BM461" s="166">
        <v>0</v>
      </c>
      <c r="BN461" s="166">
        <v>0</v>
      </c>
      <c r="BO461" s="166">
        <v>0</v>
      </c>
      <c r="BP461" s="166">
        <v>0</v>
      </c>
      <c r="BQ461" s="81" t="s">
        <v>1759</v>
      </c>
      <c r="BS461" s="81" t="s">
        <v>155</v>
      </c>
      <c r="BZ461" s="81" t="s">
        <v>155</v>
      </c>
      <c r="CA461" s="81">
        <v>12</v>
      </c>
      <c r="CC461" s="167">
        <v>0</v>
      </c>
      <c r="CD461" s="167">
        <f>N461</f>
        <v>279</v>
      </c>
      <c r="CE461" s="167">
        <v>0</v>
      </c>
      <c r="CF461" s="167">
        <v>0</v>
      </c>
      <c r="CG461" s="167">
        <v>0</v>
      </c>
      <c r="CH461" s="167">
        <v>0</v>
      </c>
      <c r="CI461" s="167">
        <v>0</v>
      </c>
      <c r="CJ461" s="167">
        <v>0</v>
      </c>
      <c r="CK461" s="167">
        <v>0</v>
      </c>
      <c r="CL461" s="167">
        <v>0</v>
      </c>
      <c r="CM461" s="167">
        <v>0</v>
      </c>
      <c r="CN461" s="167">
        <v>0</v>
      </c>
      <c r="CO461" s="167">
        <v>0</v>
      </c>
      <c r="CP461" s="167">
        <v>0</v>
      </c>
      <c r="CQ461" s="167">
        <v>0</v>
      </c>
      <c r="CR461" s="167">
        <v>0</v>
      </c>
      <c r="CS461" s="167">
        <v>0</v>
      </c>
      <c r="CT461" s="167">
        <v>0</v>
      </c>
      <c r="CU461" s="167">
        <v>0</v>
      </c>
      <c r="CV461" s="167">
        <v>0</v>
      </c>
      <c r="CW461" s="167">
        <v>0</v>
      </c>
      <c r="CX461" s="167">
        <f>SUM(CD461:CH461)</f>
        <v>279</v>
      </c>
      <c r="CY461" s="167">
        <f>SUM(CD461:CM461)</f>
        <v>279</v>
      </c>
    </row>
    <row r="462" spans="1:103" x14ac:dyDescent="0.2">
      <c r="A462" s="81">
        <v>4718</v>
      </c>
      <c r="B462" s="165" t="s">
        <v>1908</v>
      </c>
      <c r="C462" s="165" t="s">
        <v>916</v>
      </c>
      <c r="D462" s="165" t="s">
        <v>406</v>
      </c>
      <c r="E462" s="165" t="s">
        <v>3089</v>
      </c>
      <c r="F462" s="165" t="s">
        <v>890</v>
      </c>
      <c r="G462" s="81">
        <v>529643</v>
      </c>
      <c r="H462" s="81">
        <v>177593</v>
      </c>
      <c r="I462" s="165" t="s">
        <v>240</v>
      </c>
      <c r="J462" s="349">
        <v>42614</v>
      </c>
      <c r="L462" s="166">
        <v>0</v>
      </c>
      <c r="M462" s="166">
        <v>251</v>
      </c>
      <c r="N462" s="166">
        <v>251</v>
      </c>
      <c r="O462" s="166">
        <v>530</v>
      </c>
      <c r="P462" s="166">
        <v>530</v>
      </c>
      <c r="Q462" s="81" t="s">
        <v>155</v>
      </c>
      <c r="R462" s="165" t="s">
        <v>918</v>
      </c>
      <c r="S462" s="81" t="s">
        <v>509</v>
      </c>
      <c r="T462" s="349">
        <v>42229</v>
      </c>
      <c r="U462" s="349">
        <v>42880</v>
      </c>
      <c r="V462" s="81" t="s">
        <v>155</v>
      </c>
      <c r="W462" s="81" t="s">
        <v>114</v>
      </c>
      <c r="Y462" s="81" t="s">
        <v>115</v>
      </c>
      <c r="Z462" s="81" t="s">
        <v>116</v>
      </c>
      <c r="AA462" s="81" t="s">
        <v>116</v>
      </c>
      <c r="AB462" s="81" t="s">
        <v>117</v>
      </c>
      <c r="AC462" s="166">
        <v>0</v>
      </c>
      <c r="AD462" s="349">
        <v>42614</v>
      </c>
      <c r="AG462" s="81" t="s">
        <v>238</v>
      </c>
      <c r="AH462" s="81" t="s">
        <v>118</v>
      </c>
      <c r="AI462" s="81" t="s">
        <v>3090</v>
      </c>
      <c r="AK462" s="166">
        <v>251</v>
      </c>
      <c r="AM462" s="166">
        <v>25</v>
      </c>
      <c r="AO462" s="166">
        <v>0</v>
      </c>
      <c r="AP462" s="166">
        <v>20</v>
      </c>
      <c r="AQ462" s="166">
        <v>47</v>
      </c>
      <c r="AR462" s="166">
        <v>160</v>
      </c>
      <c r="AS462" s="166">
        <v>23</v>
      </c>
      <c r="AT462" s="166">
        <v>1</v>
      </c>
      <c r="AU462" s="166">
        <v>0</v>
      </c>
      <c r="AV462" s="166">
        <v>0</v>
      </c>
      <c r="AW462" s="166">
        <v>20</v>
      </c>
      <c r="AX462" s="166">
        <v>47</v>
      </c>
      <c r="AY462" s="166">
        <v>160</v>
      </c>
      <c r="AZ462" s="166">
        <v>23</v>
      </c>
      <c r="BA462" s="166">
        <v>1</v>
      </c>
      <c r="BB462" s="166">
        <v>0</v>
      </c>
      <c r="BC462" s="166">
        <v>0</v>
      </c>
      <c r="BD462" s="166">
        <v>0</v>
      </c>
      <c r="BE462" s="166">
        <v>0</v>
      </c>
      <c r="BF462" s="166">
        <v>0</v>
      </c>
      <c r="BG462" s="166">
        <v>0</v>
      </c>
      <c r="BH462" s="166">
        <v>0</v>
      </c>
      <c r="BI462" s="166">
        <v>0</v>
      </c>
      <c r="BJ462" s="166">
        <v>0</v>
      </c>
      <c r="BK462" s="166">
        <v>0</v>
      </c>
      <c r="BL462" s="166">
        <v>0</v>
      </c>
      <c r="BM462" s="166">
        <v>0</v>
      </c>
      <c r="BN462" s="166">
        <v>0</v>
      </c>
      <c r="BO462" s="166">
        <v>0</v>
      </c>
      <c r="BP462" s="166">
        <v>0</v>
      </c>
      <c r="BQ462" s="81" t="s">
        <v>1759</v>
      </c>
      <c r="BS462" s="81" t="s">
        <v>155</v>
      </c>
      <c r="BZ462" s="81" t="s">
        <v>155</v>
      </c>
      <c r="CA462" s="81">
        <v>12</v>
      </c>
      <c r="CC462" s="167">
        <v>0</v>
      </c>
      <c r="CD462" s="167">
        <f>N462</f>
        <v>251</v>
      </c>
      <c r="CE462" s="167">
        <v>0</v>
      </c>
      <c r="CF462" s="167">
        <v>0</v>
      </c>
      <c r="CG462" s="167">
        <v>0</v>
      </c>
      <c r="CH462" s="167">
        <v>0</v>
      </c>
      <c r="CI462" s="167">
        <v>0</v>
      </c>
      <c r="CJ462" s="167">
        <v>0</v>
      </c>
      <c r="CK462" s="167">
        <v>0</v>
      </c>
      <c r="CL462" s="167">
        <v>0</v>
      </c>
      <c r="CM462" s="167">
        <v>0</v>
      </c>
      <c r="CN462" s="167">
        <v>0</v>
      </c>
      <c r="CO462" s="167">
        <v>0</v>
      </c>
      <c r="CP462" s="167">
        <v>0</v>
      </c>
      <c r="CQ462" s="167">
        <v>0</v>
      </c>
      <c r="CR462" s="167">
        <v>0</v>
      </c>
      <c r="CS462" s="167">
        <v>0</v>
      </c>
      <c r="CT462" s="167">
        <v>0</v>
      </c>
      <c r="CU462" s="167">
        <v>0</v>
      </c>
      <c r="CV462" s="167">
        <v>0</v>
      </c>
      <c r="CW462" s="167">
        <v>0</v>
      </c>
      <c r="CX462" s="167">
        <f>SUM(CD462:CH462)</f>
        <v>251</v>
      </c>
      <c r="CY462" s="167">
        <f>SUM(CD462:CM462)</f>
        <v>251</v>
      </c>
    </row>
    <row r="463" spans="1:103" ht="12.75" customHeight="1" x14ac:dyDescent="0.2">
      <c r="A463" s="81">
        <v>4718</v>
      </c>
      <c r="B463" s="165" t="s">
        <v>1908</v>
      </c>
      <c r="C463" s="165" t="s">
        <v>1542</v>
      </c>
      <c r="D463" s="165" t="s">
        <v>406</v>
      </c>
      <c r="E463" s="165" t="s">
        <v>3089</v>
      </c>
      <c r="F463" s="165" t="s">
        <v>1543</v>
      </c>
      <c r="G463" s="81">
        <v>529643</v>
      </c>
      <c r="H463" s="81">
        <v>177593</v>
      </c>
      <c r="I463" s="165" t="s">
        <v>240</v>
      </c>
      <c r="J463" s="349">
        <v>42961</v>
      </c>
      <c r="L463" s="166">
        <v>0</v>
      </c>
      <c r="M463" s="166">
        <v>207</v>
      </c>
      <c r="N463" s="166">
        <v>207</v>
      </c>
      <c r="O463" s="166">
        <v>468</v>
      </c>
      <c r="P463" s="166">
        <v>468</v>
      </c>
      <c r="Q463" s="81" t="s">
        <v>155</v>
      </c>
      <c r="R463" s="165" t="s">
        <v>1544</v>
      </c>
      <c r="S463" s="81" t="s">
        <v>509</v>
      </c>
      <c r="T463" s="349">
        <v>42283</v>
      </c>
      <c r="U463" s="349">
        <v>42865</v>
      </c>
      <c r="V463" s="81" t="s">
        <v>155</v>
      </c>
      <c r="W463" s="81" t="s">
        <v>114</v>
      </c>
      <c r="Y463" s="81" t="s">
        <v>115</v>
      </c>
      <c r="Z463" s="81" t="s">
        <v>116</v>
      </c>
      <c r="AA463" s="81" t="s">
        <v>116</v>
      </c>
      <c r="AB463" s="81" t="s">
        <v>117</v>
      </c>
      <c r="AC463" s="166">
        <v>0.277999997138977</v>
      </c>
      <c r="AD463" s="349">
        <v>42961</v>
      </c>
      <c r="AE463" s="81" t="s">
        <v>155</v>
      </c>
      <c r="AG463" s="81" t="s">
        <v>238</v>
      </c>
      <c r="AH463" s="81" t="s">
        <v>118</v>
      </c>
      <c r="AI463" s="81" t="s">
        <v>3090</v>
      </c>
      <c r="AK463" s="166">
        <v>207</v>
      </c>
      <c r="AM463" s="166">
        <v>21</v>
      </c>
      <c r="AO463" s="166">
        <v>18</v>
      </c>
      <c r="AP463" s="166">
        <v>49</v>
      </c>
      <c r="AQ463" s="166">
        <v>124</v>
      </c>
      <c r="AR463" s="166">
        <v>16</v>
      </c>
      <c r="AS463" s="166">
        <v>0</v>
      </c>
      <c r="AT463" s="166">
        <v>0</v>
      </c>
      <c r="AU463" s="166">
        <v>0</v>
      </c>
      <c r="AV463" s="166">
        <v>18</v>
      </c>
      <c r="AW463" s="166">
        <v>49</v>
      </c>
      <c r="AX463" s="166">
        <v>124</v>
      </c>
      <c r="AY463" s="166">
        <v>16</v>
      </c>
      <c r="AZ463" s="166">
        <v>0</v>
      </c>
      <c r="BA463" s="166">
        <v>0</v>
      </c>
      <c r="BB463" s="166">
        <v>0</v>
      </c>
      <c r="BC463" s="166">
        <v>0</v>
      </c>
      <c r="BD463" s="166">
        <v>0</v>
      </c>
      <c r="BE463" s="166">
        <v>0</v>
      </c>
      <c r="BF463" s="166">
        <v>0</v>
      </c>
      <c r="BG463" s="166">
        <v>0</v>
      </c>
      <c r="BH463" s="166">
        <v>0</v>
      </c>
      <c r="BI463" s="166">
        <v>0</v>
      </c>
      <c r="BJ463" s="166">
        <v>0</v>
      </c>
      <c r="BK463" s="166">
        <v>0</v>
      </c>
      <c r="BL463" s="166">
        <v>0</v>
      </c>
      <c r="BM463" s="166">
        <v>0</v>
      </c>
      <c r="BN463" s="166">
        <v>0</v>
      </c>
      <c r="BO463" s="166">
        <v>0</v>
      </c>
      <c r="BP463" s="166">
        <v>0</v>
      </c>
      <c r="BQ463" s="81" t="s">
        <v>1759</v>
      </c>
      <c r="BS463" s="81" t="s">
        <v>155</v>
      </c>
      <c r="BZ463" s="81" t="s">
        <v>155</v>
      </c>
      <c r="CA463" s="81">
        <v>12</v>
      </c>
      <c r="CC463" s="167">
        <v>0</v>
      </c>
      <c r="CD463" s="167">
        <v>0</v>
      </c>
      <c r="CE463" s="167">
        <v>0</v>
      </c>
      <c r="CF463" s="167">
        <v>0</v>
      </c>
      <c r="CG463" s="167">
        <v>0</v>
      </c>
      <c r="CH463" s="167">
        <v>0</v>
      </c>
      <c r="CI463" s="167">
        <v>0</v>
      </c>
      <c r="CJ463" s="167">
        <f>N463</f>
        <v>207</v>
      </c>
      <c r="CK463" s="167">
        <v>0</v>
      </c>
      <c r="CL463" s="167">
        <v>0</v>
      </c>
      <c r="CM463" s="167">
        <v>0</v>
      </c>
      <c r="CN463" s="167">
        <v>0</v>
      </c>
      <c r="CO463" s="167">
        <v>0</v>
      </c>
      <c r="CP463" s="167">
        <v>0</v>
      </c>
      <c r="CQ463" s="167">
        <v>0</v>
      </c>
      <c r="CR463" s="167">
        <v>0</v>
      </c>
      <c r="CS463" s="167">
        <v>0</v>
      </c>
      <c r="CT463" s="167">
        <v>0</v>
      </c>
      <c r="CU463" s="167">
        <v>0</v>
      </c>
      <c r="CV463" s="167">
        <v>0</v>
      </c>
      <c r="CW463" s="167">
        <v>0</v>
      </c>
      <c r="CX463" s="167">
        <f>SUM(CD463:CH463)</f>
        <v>0</v>
      </c>
      <c r="CY463" s="167">
        <f>SUM(CD463:CM463)</f>
        <v>207</v>
      </c>
    </row>
    <row r="464" spans="1:103" x14ac:dyDescent="0.2">
      <c r="A464" s="81">
        <v>4718</v>
      </c>
      <c r="B464" s="165" t="s">
        <v>1908</v>
      </c>
      <c r="C464" s="165" t="s">
        <v>1542</v>
      </c>
      <c r="D464" s="165" t="s">
        <v>406</v>
      </c>
      <c r="E464" s="165" t="s">
        <v>3089</v>
      </c>
      <c r="F464" s="165" t="s">
        <v>1545</v>
      </c>
      <c r="G464" s="81">
        <v>529643</v>
      </c>
      <c r="H464" s="81">
        <v>177593</v>
      </c>
      <c r="I464" s="165" t="s">
        <v>240</v>
      </c>
      <c r="J464" s="349">
        <v>42961</v>
      </c>
      <c r="L464" s="166">
        <v>0</v>
      </c>
      <c r="M464" s="166">
        <v>222</v>
      </c>
      <c r="N464" s="166">
        <v>222</v>
      </c>
      <c r="O464" s="166">
        <v>468</v>
      </c>
      <c r="P464" s="166">
        <v>468</v>
      </c>
      <c r="Q464" s="81" t="s">
        <v>155</v>
      </c>
      <c r="R464" s="165" t="s">
        <v>1544</v>
      </c>
      <c r="S464" s="81" t="s">
        <v>509</v>
      </c>
      <c r="T464" s="349">
        <v>42283</v>
      </c>
      <c r="U464" s="349">
        <v>42865</v>
      </c>
      <c r="V464" s="81" t="s">
        <v>155</v>
      </c>
      <c r="W464" s="81" t="s">
        <v>114</v>
      </c>
      <c r="Y464" s="81" t="s">
        <v>115</v>
      </c>
      <c r="Z464" s="81" t="s">
        <v>116</v>
      </c>
      <c r="AA464" s="81" t="s">
        <v>116</v>
      </c>
      <c r="AB464" s="81" t="s">
        <v>117</v>
      </c>
      <c r="AC464" s="166">
        <v>0.29699999094009399</v>
      </c>
      <c r="AG464" s="81" t="s">
        <v>238</v>
      </c>
      <c r="AH464" s="81" t="s">
        <v>118</v>
      </c>
      <c r="AI464" s="81" t="s">
        <v>3090</v>
      </c>
      <c r="AK464" s="166">
        <v>222</v>
      </c>
      <c r="AM464" s="166">
        <v>22</v>
      </c>
      <c r="AO464" s="166">
        <v>8</v>
      </c>
      <c r="AP464" s="166">
        <v>27</v>
      </c>
      <c r="AQ464" s="166">
        <v>159</v>
      </c>
      <c r="AR464" s="166">
        <v>14</v>
      </c>
      <c r="AS464" s="166">
        <v>14</v>
      </c>
      <c r="AT464" s="166">
        <v>0</v>
      </c>
      <c r="AU464" s="166">
        <v>0</v>
      </c>
      <c r="AV464" s="166">
        <v>8</v>
      </c>
      <c r="AW464" s="166">
        <v>27</v>
      </c>
      <c r="AX464" s="166">
        <v>159</v>
      </c>
      <c r="AY464" s="166">
        <v>14</v>
      </c>
      <c r="AZ464" s="166">
        <v>14</v>
      </c>
      <c r="BA464" s="166">
        <v>0</v>
      </c>
      <c r="BB464" s="166">
        <v>0</v>
      </c>
      <c r="BC464" s="166">
        <v>0</v>
      </c>
      <c r="BD464" s="166">
        <v>0</v>
      </c>
      <c r="BE464" s="166">
        <v>0</v>
      </c>
      <c r="BF464" s="166">
        <v>0</v>
      </c>
      <c r="BG464" s="166">
        <v>0</v>
      </c>
      <c r="BH464" s="166">
        <v>0</v>
      </c>
      <c r="BI464" s="166">
        <v>0</v>
      </c>
      <c r="BJ464" s="166">
        <v>0</v>
      </c>
      <c r="BK464" s="166">
        <v>0</v>
      </c>
      <c r="BL464" s="166">
        <v>0</v>
      </c>
      <c r="BM464" s="166">
        <v>0</v>
      </c>
      <c r="BN464" s="166">
        <v>0</v>
      </c>
      <c r="BO464" s="166">
        <v>0</v>
      </c>
      <c r="BP464" s="166">
        <v>0</v>
      </c>
      <c r="BQ464" s="81" t="s">
        <v>1759</v>
      </c>
      <c r="BS464" s="81" t="s">
        <v>155</v>
      </c>
      <c r="BZ464" s="81" t="s">
        <v>155</v>
      </c>
      <c r="CA464" s="81">
        <v>12</v>
      </c>
      <c r="CC464" s="167">
        <v>0</v>
      </c>
      <c r="CD464" s="167">
        <v>0</v>
      </c>
      <c r="CE464" s="167">
        <v>0</v>
      </c>
      <c r="CF464" s="167">
        <v>0</v>
      </c>
      <c r="CG464" s="167">
        <v>0</v>
      </c>
      <c r="CH464" s="167">
        <v>0</v>
      </c>
      <c r="CI464" s="167">
        <v>0</v>
      </c>
      <c r="CJ464" s="167">
        <f>N464</f>
        <v>222</v>
      </c>
      <c r="CK464" s="167">
        <v>0</v>
      </c>
      <c r="CL464" s="167">
        <v>0</v>
      </c>
      <c r="CM464" s="167">
        <v>0</v>
      </c>
      <c r="CN464" s="167">
        <v>0</v>
      </c>
      <c r="CO464" s="167">
        <v>0</v>
      </c>
      <c r="CP464" s="167">
        <v>0</v>
      </c>
      <c r="CQ464" s="167">
        <v>0</v>
      </c>
      <c r="CR464" s="167">
        <v>0</v>
      </c>
      <c r="CS464" s="167">
        <v>0</v>
      </c>
      <c r="CT464" s="167">
        <v>0</v>
      </c>
      <c r="CU464" s="167">
        <v>0</v>
      </c>
      <c r="CV464" s="167">
        <v>0</v>
      </c>
      <c r="CW464" s="167">
        <v>0</v>
      </c>
      <c r="CX464" s="167">
        <f>SUM(CD464:CH464)</f>
        <v>0</v>
      </c>
      <c r="CY464" s="167">
        <f>SUM(CD464:CM464)</f>
        <v>222</v>
      </c>
    </row>
    <row r="465" spans="1:103" ht="12.75" customHeight="1" x14ac:dyDescent="0.2">
      <c r="A465" s="81">
        <v>4718</v>
      </c>
      <c r="B465" s="165" t="s">
        <v>1908</v>
      </c>
      <c r="C465" s="165" t="s">
        <v>1542</v>
      </c>
      <c r="D465" s="165" t="s">
        <v>406</v>
      </c>
      <c r="E465" s="165" t="s">
        <v>3089</v>
      </c>
      <c r="F465" s="165" t="s">
        <v>1545</v>
      </c>
      <c r="G465" s="81">
        <v>529643</v>
      </c>
      <c r="H465" s="81">
        <v>177593</v>
      </c>
      <c r="I465" s="165" t="s">
        <v>240</v>
      </c>
      <c r="J465" s="349">
        <v>42961</v>
      </c>
      <c r="L465" s="166">
        <v>0</v>
      </c>
      <c r="M465" s="166">
        <v>20</v>
      </c>
      <c r="N465" s="166">
        <v>20</v>
      </c>
      <c r="O465" s="166">
        <v>468</v>
      </c>
      <c r="P465" s="166">
        <v>468</v>
      </c>
      <c r="Q465" s="81" t="s">
        <v>155</v>
      </c>
      <c r="R465" s="165" t="s">
        <v>1544</v>
      </c>
      <c r="S465" s="81" t="s">
        <v>509</v>
      </c>
      <c r="T465" s="349">
        <v>42283</v>
      </c>
      <c r="U465" s="349">
        <v>42865</v>
      </c>
      <c r="V465" s="81" t="s">
        <v>155</v>
      </c>
      <c r="W465" s="81" t="s">
        <v>114</v>
      </c>
      <c r="Y465" s="81" t="s">
        <v>115</v>
      </c>
      <c r="Z465" s="81" t="s">
        <v>116</v>
      </c>
      <c r="AA465" s="81" t="s">
        <v>116</v>
      </c>
      <c r="AB465" s="81" t="s">
        <v>117</v>
      </c>
      <c r="AC465" s="166">
        <v>2.70000007003546E-2</v>
      </c>
      <c r="AD465" s="349">
        <v>43190</v>
      </c>
      <c r="AE465" s="81" t="s">
        <v>155</v>
      </c>
      <c r="AG465" s="81" t="s">
        <v>74</v>
      </c>
      <c r="AH465" s="81" t="s">
        <v>880</v>
      </c>
      <c r="AI465" s="81" t="s">
        <v>3090</v>
      </c>
      <c r="AK465" s="166">
        <v>20</v>
      </c>
      <c r="AM465" s="166">
        <v>2</v>
      </c>
      <c r="AO465" s="166">
        <v>0</v>
      </c>
      <c r="AP465" s="166">
        <v>7</v>
      </c>
      <c r="AQ465" s="166">
        <v>9</v>
      </c>
      <c r="AR465" s="166">
        <v>4</v>
      </c>
      <c r="AS465" s="166">
        <v>0</v>
      </c>
      <c r="AT465" s="166">
        <v>0</v>
      </c>
      <c r="AU465" s="166">
        <v>0</v>
      </c>
      <c r="AV465" s="166">
        <v>0</v>
      </c>
      <c r="AW465" s="166">
        <v>7</v>
      </c>
      <c r="AX465" s="166">
        <v>9</v>
      </c>
      <c r="AY465" s="166">
        <v>4</v>
      </c>
      <c r="AZ465" s="166">
        <v>0</v>
      </c>
      <c r="BA465" s="166">
        <v>0</v>
      </c>
      <c r="BB465" s="166">
        <v>0</v>
      </c>
      <c r="BC465" s="166">
        <v>0</v>
      </c>
      <c r="BD465" s="166">
        <v>0</v>
      </c>
      <c r="BE465" s="166">
        <v>0</v>
      </c>
      <c r="BF465" s="166">
        <v>0</v>
      </c>
      <c r="BG465" s="166">
        <v>0</v>
      </c>
      <c r="BH465" s="166">
        <v>0</v>
      </c>
      <c r="BI465" s="166">
        <v>0</v>
      </c>
      <c r="BJ465" s="166">
        <v>0</v>
      </c>
      <c r="BK465" s="166">
        <v>0</v>
      </c>
      <c r="BL465" s="166">
        <v>0</v>
      </c>
      <c r="BM465" s="166">
        <v>0</v>
      </c>
      <c r="BN465" s="166">
        <v>0</v>
      </c>
      <c r="BO465" s="166">
        <v>0</v>
      </c>
      <c r="BP465" s="166">
        <v>0</v>
      </c>
      <c r="BQ465" s="81" t="s">
        <v>1759</v>
      </c>
      <c r="BS465" s="81" t="s">
        <v>155</v>
      </c>
      <c r="BZ465" s="81" t="s">
        <v>155</v>
      </c>
      <c r="CA465" s="81">
        <v>12</v>
      </c>
      <c r="CC465" s="167">
        <v>0</v>
      </c>
      <c r="CD465" s="167">
        <v>0</v>
      </c>
      <c r="CE465" s="167">
        <v>0</v>
      </c>
      <c r="CF465" s="167">
        <v>0</v>
      </c>
      <c r="CG465" s="167">
        <v>0</v>
      </c>
      <c r="CH465" s="167">
        <v>0</v>
      </c>
      <c r="CI465" s="167">
        <v>0</v>
      </c>
      <c r="CJ465" s="167">
        <f>N465</f>
        <v>20</v>
      </c>
      <c r="CK465" s="167">
        <v>0</v>
      </c>
      <c r="CL465" s="167">
        <v>0</v>
      </c>
      <c r="CM465" s="167">
        <v>0</v>
      </c>
      <c r="CN465" s="167">
        <v>0</v>
      </c>
      <c r="CO465" s="167">
        <v>0</v>
      </c>
      <c r="CP465" s="167">
        <v>0</v>
      </c>
      <c r="CQ465" s="167">
        <v>0</v>
      </c>
      <c r="CR465" s="167">
        <v>0</v>
      </c>
      <c r="CS465" s="167">
        <v>0</v>
      </c>
      <c r="CT465" s="167">
        <v>0</v>
      </c>
      <c r="CU465" s="167">
        <v>0</v>
      </c>
      <c r="CV465" s="167">
        <v>0</v>
      </c>
      <c r="CW465" s="167">
        <v>0</v>
      </c>
      <c r="CX465" s="167">
        <f>SUM(CD465:CH465)</f>
        <v>0</v>
      </c>
      <c r="CY465" s="167">
        <f>SUM(CD465:CM465)</f>
        <v>20</v>
      </c>
    </row>
    <row r="466" spans="1:103" ht="12.75" customHeight="1" x14ac:dyDescent="0.2">
      <c r="A466" s="81">
        <v>4718</v>
      </c>
      <c r="B466" s="165" t="s">
        <v>1908</v>
      </c>
      <c r="C466" s="165" t="s">
        <v>1542</v>
      </c>
      <c r="D466" s="165" t="s">
        <v>406</v>
      </c>
      <c r="E466" s="165" t="s">
        <v>3089</v>
      </c>
      <c r="F466" s="165" t="s">
        <v>1545</v>
      </c>
      <c r="G466" s="81">
        <v>529643</v>
      </c>
      <c r="H466" s="81">
        <v>177593</v>
      </c>
      <c r="I466" s="165" t="s">
        <v>240</v>
      </c>
      <c r="J466" s="349">
        <v>42961</v>
      </c>
      <c r="L466" s="166">
        <v>0</v>
      </c>
      <c r="M466" s="166">
        <v>19</v>
      </c>
      <c r="N466" s="166">
        <v>19</v>
      </c>
      <c r="O466" s="166">
        <v>468</v>
      </c>
      <c r="P466" s="166">
        <v>468</v>
      </c>
      <c r="Q466" s="81" t="s">
        <v>155</v>
      </c>
      <c r="R466" s="165" t="s">
        <v>1544</v>
      </c>
      <c r="S466" s="81" t="s">
        <v>509</v>
      </c>
      <c r="T466" s="349">
        <v>42283</v>
      </c>
      <c r="U466" s="349">
        <v>42865</v>
      </c>
      <c r="V466" s="81" t="s">
        <v>155</v>
      </c>
      <c r="W466" s="81" t="s">
        <v>114</v>
      </c>
      <c r="Y466" s="81" t="s">
        <v>115</v>
      </c>
      <c r="Z466" s="81" t="s">
        <v>116</v>
      </c>
      <c r="AA466" s="81" t="s">
        <v>116</v>
      </c>
      <c r="AB466" s="81" t="s">
        <v>117</v>
      </c>
      <c r="AC466" s="166">
        <v>2.60000005364418E-2</v>
      </c>
      <c r="AG466" s="81" t="s">
        <v>154</v>
      </c>
      <c r="AH466" s="81" t="s">
        <v>276</v>
      </c>
      <c r="AI466" s="81" t="s">
        <v>3090</v>
      </c>
      <c r="AK466" s="166">
        <v>19</v>
      </c>
      <c r="AM466" s="166">
        <v>2</v>
      </c>
      <c r="AO466" s="166">
        <v>0</v>
      </c>
      <c r="AP466" s="166">
        <v>3</v>
      </c>
      <c r="AQ466" s="166">
        <v>6</v>
      </c>
      <c r="AR466" s="166">
        <v>7</v>
      </c>
      <c r="AS466" s="166">
        <v>3</v>
      </c>
      <c r="AT466" s="166">
        <v>0</v>
      </c>
      <c r="AU466" s="166">
        <v>0</v>
      </c>
      <c r="AV466" s="166">
        <v>0</v>
      </c>
      <c r="AW466" s="166">
        <v>3</v>
      </c>
      <c r="AX466" s="166">
        <v>6</v>
      </c>
      <c r="AY466" s="166">
        <v>7</v>
      </c>
      <c r="AZ466" s="166">
        <v>3</v>
      </c>
      <c r="BA466" s="166">
        <v>0</v>
      </c>
      <c r="BB466" s="166">
        <v>0</v>
      </c>
      <c r="BC466" s="166">
        <v>0</v>
      </c>
      <c r="BD466" s="166">
        <v>0</v>
      </c>
      <c r="BE466" s="166">
        <v>0</v>
      </c>
      <c r="BF466" s="166">
        <v>0</v>
      </c>
      <c r="BG466" s="166">
        <v>0</v>
      </c>
      <c r="BH466" s="166">
        <v>0</v>
      </c>
      <c r="BI466" s="166">
        <v>0</v>
      </c>
      <c r="BJ466" s="166">
        <v>0</v>
      </c>
      <c r="BK466" s="166">
        <v>0</v>
      </c>
      <c r="BL466" s="166">
        <v>0</v>
      </c>
      <c r="BM466" s="166">
        <v>0</v>
      </c>
      <c r="BN466" s="166">
        <v>0</v>
      </c>
      <c r="BO466" s="166">
        <v>0</v>
      </c>
      <c r="BP466" s="166">
        <v>0</v>
      </c>
      <c r="BQ466" s="81" t="s">
        <v>1759</v>
      </c>
      <c r="BS466" s="81" t="s">
        <v>155</v>
      </c>
      <c r="BZ466" s="81" t="s">
        <v>155</v>
      </c>
      <c r="CA466" s="81">
        <v>12</v>
      </c>
      <c r="CC466" s="167">
        <v>0</v>
      </c>
      <c r="CD466" s="167">
        <v>0</v>
      </c>
      <c r="CE466" s="167">
        <v>0</v>
      </c>
      <c r="CF466" s="167">
        <v>0</v>
      </c>
      <c r="CG466" s="167">
        <v>0</v>
      </c>
      <c r="CH466" s="167">
        <v>0</v>
      </c>
      <c r="CI466" s="167">
        <v>0</v>
      </c>
      <c r="CJ466" s="167">
        <f>N466</f>
        <v>19</v>
      </c>
      <c r="CK466" s="167">
        <v>0</v>
      </c>
      <c r="CL466" s="167">
        <v>0</v>
      </c>
      <c r="CM466" s="167">
        <v>0</v>
      </c>
      <c r="CN466" s="167">
        <v>0</v>
      </c>
      <c r="CO466" s="167">
        <v>0</v>
      </c>
      <c r="CP466" s="167">
        <v>0</v>
      </c>
      <c r="CQ466" s="167">
        <v>0</v>
      </c>
      <c r="CR466" s="167">
        <v>0</v>
      </c>
      <c r="CS466" s="167">
        <v>0</v>
      </c>
      <c r="CT466" s="167">
        <v>0</v>
      </c>
      <c r="CU466" s="167">
        <v>0</v>
      </c>
      <c r="CV466" s="167">
        <v>0</v>
      </c>
      <c r="CW466" s="167">
        <v>0</v>
      </c>
      <c r="CX466" s="167">
        <f>SUM(CD466:CH466)</f>
        <v>0</v>
      </c>
      <c r="CY466" s="167">
        <f>SUM(CD466:CM466)</f>
        <v>19</v>
      </c>
    </row>
    <row r="467" spans="1:103" ht="12.75" customHeight="1" x14ac:dyDescent="0.2">
      <c r="A467" s="81">
        <v>4722</v>
      </c>
      <c r="B467" s="165" t="s">
        <v>1908</v>
      </c>
      <c r="C467" s="165" t="s">
        <v>327</v>
      </c>
      <c r="E467" s="165" t="s">
        <v>3334</v>
      </c>
      <c r="G467" s="81">
        <v>528478</v>
      </c>
      <c r="H467" s="81">
        <v>173353</v>
      </c>
      <c r="I467" s="165" t="s">
        <v>254</v>
      </c>
      <c r="J467" s="349">
        <v>42825</v>
      </c>
      <c r="L467" s="166">
        <v>0</v>
      </c>
      <c r="M467" s="166">
        <v>8</v>
      </c>
      <c r="N467" s="166">
        <v>8</v>
      </c>
      <c r="O467" s="166">
        <v>8</v>
      </c>
      <c r="P467" s="166">
        <v>8</v>
      </c>
      <c r="R467" s="165" t="s">
        <v>892</v>
      </c>
      <c r="S467" s="81" t="s">
        <v>113</v>
      </c>
      <c r="T467" s="349">
        <v>41668</v>
      </c>
      <c r="U467" s="349">
        <v>42114</v>
      </c>
      <c r="W467" s="81" t="s">
        <v>114</v>
      </c>
      <c r="Y467" s="81" t="s">
        <v>115</v>
      </c>
      <c r="Z467" s="81" t="s">
        <v>116</v>
      </c>
      <c r="AA467" s="81" t="s">
        <v>117</v>
      </c>
      <c r="AB467" s="81" t="s">
        <v>218</v>
      </c>
      <c r="AC467" s="166">
        <v>0.112999998033047</v>
      </c>
      <c r="AD467" s="349">
        <v>42825</v>
      </c>
      <c r="AG467" s="81" t="s">
        <v>238</v>
      </c>
      <c r="AH467" s="81" t="s">
        <v>118</v>
      </c>
      <c r="AK467" s="166">
        <v>8</v>
      </c>
      <c r="AM467" s="166">
        <v>6</v>
      </c>
      <c r="AO467" s="166">
        <v>0</v>
      </c>
      <c r="AP467" s="166">
        <v>3</v>
      </c>
      <c r="AQ467" s="166">
        <v>5</v>
      </c>
      <c r="AR467" s="166">
        <v>0</v>
      </c>
      <c r="AS467" s="166">
        <v>0</v>
      </c>
      <c r="AT467" s="166">
        <v>0</v>
      </c>
      <c r="AU467" s="166">
        <v>0</v>
      </c>
      <c r="AV467" s="166">
        <v>0</v>
      </c>
      <c r="AW467" s="166">
        <v>3</v>
      </c>
      <c r="AX467" s="166">
        <v>5</v>
      </c>
      <c r="AY467" s="166">
        <v>0</v>
      </c>
      <c r="AZ467" s="166">
        <v>0</v>
      </c>
      <c r="BA467" s="166">
        <v>0</v>
      </c>
      <c r="BB467" s="166">
        <v>0</v>
      </c>
      <c r="BC467" s="166">
        <v>0</v>
      </c>
      <c r="BD467" s="166">
        <v>0</v>
      </c>
      <c r="BE467" s="166">
        <v>0</v>
      </c>
      <c r="BF467" s="166">
        <v>0</v>
      </c>
      <c r="BG467" s="166">
        <v>0</v>
      </c>
      <c r="BH467" s="166">
        <v>0</v>
      </c>
      <c r="BI467" s="166">
        <v>0</v>
      </c>
      <c r="BJ467" s="166">
        <v>0</v>
      </c>
      <c r="BK467" s="166">
        <v>0</v>
      </c>
      <c r="BL467" s="166">
        <v>0</v>
      </c>
      <c r="BM467" s="166">
        <v>0</v>
      </c>
      <c r="BN467" s="166">
        <v>0</v>
      </c>
      <c r="BO467" s="166">
        <v>0</v>
      </c>
      <c r="BP467" s="166">
        <v>0</v>
      </c>
      <c r="BQ467" s="81" t="s">
        <v>1757</v>
      </c>
      <c r="BR467" s="81" t="s">
        <v>247</v>
      </c>
      <c r="BZ467" s="81" t="s">
        <v>155</v>
      </c>
      <c r="CA467" s="81" t="s">
        <v>3976</v>
      </c>
      <c r="CC467" s="167">
        <v>0</v>
      </c>
      <c r="CD467" s="167">
        <f>N467</f>
        <v>8</v>
      </c>
      <c r="CE467" s="167">
        <v>0</v>
      </c>
      <c r="CF467" s="167">
        <v>0</v>
      </c>
      <c r="CG467" s="167">
        <v>0</v>
      </c>
      <c r="CH467" s="167">
        <v>0</v>
      </c>
      <c r="CI467" s="167">
        <v>0</v>
      </c>
      <c r="CJ467" s="167">
        <v>0</v>
      </c>
      <c r="CK467" s="167">
        <v>0</v>
      </c>
      <c r="CL467" s="167">
        <v>0</v>
      </c>
      <c r="CM467" s="167">
        <v>0</v>
      </c>
      <c r="CN467" s="167">
        <v>0</v>
      </c>
      <c r="CO467" s="167">
        <v>0</v>
      </c>
      <c r="CP467" s="167">
        <v>0</v>
      </c>
      <c r="CQ467" s="167">
        <v>0</v>
      </c>
      <c r="CR467" s="167">
        <v>0</v>
      </c>
      <c r="CS467" s="167">
        <v>0</v>
      </c>
      <c r="CT467" s="167">
        <v>0</v>
      </c>
      <c r="CU467" s="167">
        <v>0</v>
      </c>
      <c r="CV467" s="167">
        <v>0</v>
      </c>
      <c r="CW467" s="167">
        <v>0</v>
      </c>
      <c r="CX467" s="167">
        <f>SUM(CD467:CH467)</f>
        <v>8</v>
      </c>
      <c r="CY467" s="167">
        <f>SUM(CD467:CM467)</f>
        <v>8</v>
      </c>
    </row>
    <row r="468" spans="1:103" ht="12.75" customHeight="1" x14ac:dyDescent="0.2">
      <c r="A468" s="81">
        <v>4746</v>
      </c>
      <c r="B468" s="165" t="s">
        <v>1908</v>
      </c>
      <c r="C468" s="165" t="s">
        <v>348</v>
      </c>
      <c r="E468" s="165" t="s">
        <v>3335</v>
      </c>
      <c r="G468" s="81">
        <v>528869</v>
      </c>
      <c r="H468" s="81">
        <v>170872</v>
      </c>
      <c r="I468" s="165" t="s">
        <v>252</v>
      </c>
      <c r="J468" s="349">
        <v>42825</v>
      </c>
      <c r="L468" s="166">
        <v>0</v>
      </c>
      <c r="M468" s="166">
        <v>2</v>
      </c>
      <c r="N468" s="166">
        <v>2</v>
      </c>
      <c r="O468" s="166">
        <v>2</v>
      </c>
      <c r="P468" s="166">
        <v>2</v>
      </c>
      <c r="R468" s="165" t="s">
        <v>349</v>
      </c>
      <c r="S468" s="81" t="s">
        <v>113</v>
      </c>
      <c r="T468" s="349">
        <v>41430</v>
      </c>
      <c r="U468" s="349">
        <v>41745</v>
      </c>
      <c r="W468" s="81" t="s">
        <v>114</v>
      </c>
      <c r="Y468" s="81" t="s">
        <v>115</v>
      </c>
      <c r="Z468" s="81" t="s">
        <v>116</v>
      </c>
      <c r="AA468" s="81" t="s">
        <v>117</v>
      </c>
      <c r="AB468" s="81" t="s">
        <v>218</v>
      </c>
      <c r="AC468" s="166">
        <v>3.29999998211861E-2</v>
      </c>
      <c r="AD468" s="349">
        <v>42825</v>
      </c>
      <c r="AG468" s="81" t="s">
        <v>238</v>
      </c>
      <c r="AH468" s="81" t="s">
        <v>118</v>
      </c>
      <c r="AK468" s="166">
        <v>0</v>
      </c>
      <c r="AM468" s="166">
        <v>0</v>
      </c>
      <c r="AO468" s="166">
        <v>0</v>
      </c>
      <c r="AP468" s="166">
        <v>0</v>
      </c>
      <c r="AQ468" s="166">
        <v>0</v>
      </c>
      <c r="AR468" s="166">
        <v>0</v>
      </c>
      <c r="AS468" s="166">
        <v>0</v>
      </c>
      <c r="AT468" s="166">
        <v>2</v>
      </c>
      <c r="AU468" s="166">
        <v>0</v>
      </c>
      <c r="AV468" s="166">
        <v>0</v>
      </c>
      <c r="AW468" s="166">
        <v>0</v>
      </c>
      <c r="AX468" s="166">
        <v>0</v>
      </c>
      <c r="AY468" s="166">
        <v>0</v>
      </c>
      <c r="AZ468" s="166">
        <v>0</v>
      </c>
      <c r="BA468" s="166">
        <v>0</v>
      </c>
      <c r="BB468" s="166">
        <v>0</v>
      </c>
      <c r="BC468" s="166">
        <v>0</v>
      </c>
      <c r="BD468" s="166">
        <v>0</v>
      </c>
      <c r="BE468" s="166">
        <v>0</v>
      </c>
      <c r="BF468" s="166">
        <v>0</v>
      </c>
      <c r="BG468" s="166">
        <v>0</v>
      </c>
      <c r="BH468" s="166">
        <v>2</v>
      </c>
      <c r="BI468" s="166">
        <v>0</v>
      </c>
      <c r="BJ468" s="166">
        <v>0</v>
      </c>
      <c r="BK468" s="166">
        <v>0</v>
      </c>
      <c r="BL468" s="166">
        <v>0</v>
      </c>
      <c r="BM468" s="166">
        <v>0</v>
      </c>
      <c r="BN468" s="166">
        <v>0</v>
      </c>
      <c r="BO468" s="166">
        <v>0</v>
      </c>
      <c r="BP468" s="166">
        <v>0</v>
      </c>
      <c r="BQ468" s="81" t="s">
        <v>1757</v>
      </c>
      <c r="BZ468" s="81" t="s">
        <v>155</v>
      </c>
      <c r="CA468" s="81" t="s">
        <v>3976</v>
      </c>
      <c r="CC468" s="167">
        <v>0</v>
      </c>
      <c r="CD468" s="167">
        <f>N468</f>
        <v>2</v>
      </c>
      <c r="CE468" s="167">
        <v>0</v>
      </c>
      <c r="CF468" s="167">
        <v>0</v>
      </c>
      <c r="CG468" s="167">
        <v>0</v>
      </c>
      <c r="CH468" s="167">
        <v>0</v>
      </c>
      <c r="CI468" s="167">
        <v>0</v>
      </c>
      <c r="CJ468" s="167">
        <v>0</v>
      </c>
      <c r="CK468" s="167">
        <v>0</v>
      </c>
      <c r="CL468" s="167">
        <v>0</v>
      </c>
      <c r="CM468" s="167">
        <v>0</v>
      </c>
      <c r="CN468" s="167">
        <v>0</v>
      </c>
      <c r="CO468" s="167">
        <v>0</v>
      </c>
      <c r="CP468" s="167">
        <v>0</v>
      </c>
      <c r="CQ468" s="167">
        <v>0</v>
      </c>
      <c r="CR468" s="167">
        <v>0</v>
      </c>
      <c r="CS468" s="167">
        <v>0</v>
      </c>
      <c r="CT468" s="167">
        <v>0</v>
      </c>
      <c r="CU468" s="167">
        <v>0</v>
      </c>
      <c r="CV468" s="167">
        <v>0</v>
      </c>
      <c r="CW468" s="167">
        <v>0</v>
      </c>
      <c r="CX468" s="167">
        <f>SUM(CD468:CH468)</f>
        <v>2</v>
      </c>
      <c r="CY468" s="167">
        <f>SUM(CD468:CM468)</f>
        <v>2</v>
      </c>
    </row>
    <row r="469" spans="1:103" ht="12.75" customHeight="1" x14ac:dyDescent="0.2">
      <c r="A469" s="81">
        <v>4751</v>
      </c>
      <c r="B469" s="165" t="s">
        <v>1908</v>
      </c>
      <c r="C469" s="165" t="s">
        <v>688</v>
      </c>
      <c r="E469" s="165" t="s">
        <v>3337</v>
      </c>
      <c r="G469" s="81">
        <v>524675</v>
      </c>
      <c r="H469" s="81">
        <v>173310</v>
      </c>
      <c r="I469" s="165" t="s">
        <v>111</v>
      </c>
      <c r="J469" s="349">
        <v>42825</v>
      </c>
      <c r="L469" s="166">
        <v>0</v>
      </c>
      <c r="M469" s="166">
        <v>1</v>
      </c>
      <c r="N469" s="166">
        <v>1</v>
      </c>
      <c r="O469" s="166">
        <v>1</v>
      </c>
      <c r="P469" s="166">
        <v>1</v>
      </c>
      <c r="R469" s="165" t="s">
        <v>689</v>
      </c>
      <c r="S469" s="81" t="s">
        <v>113</v>
      </c>
      <c r="T469" s="349">
        <v>42339</v>
      </c>
      <c r="U469" s="349">
        <v>42429</v>
      </c>
      <c r="W469" s="81" t="s">
        <v>114</v>
      </c>
      <c r="Y469" s="81" t="s">
        <v>115</v>
      </c>
      <c r="Z469" s="81" t="s">
        <v>116</v>
      </c>
      <c r="AA469" s="81" t="s">
        <v>117</v>
      </c>
      <c r="AB469" s="81" t="s">
        <v>218</v>
      </c>
      <c r="AC469" s="166">
        <v>7.0000002160668399E-3</v>
      </c>
      <c r="AD469" s="349">
        <v>42825</v>
      </c>
      <c r="AG469" s="81" t="s">
        <v>238</v>
      </c>
      <c r="AH469" s="81" t="s">
        <v>118</v>
      </c>
      <c r="AK469" s="166">
        <v>1</v>
      </c>
      <c r="AM469" s="166">
        <v>0</v>
      </c>
      <c r="AO469" s="166">
        <v>0</v>
      </c>
      <c r="AP469" s="166">
        <v>0</v>
      </c>
      <c r="AQ469" s="166">
        <v>1</v>
      </c>
      <c r="AR469" s="166">
        <v>0</v>
      </c>
      <c r="AS469" s="166">
        <v>0</v>
      </c>
      <c r="AT469" s="166">
        <v>0</v>
      </c>
      <c r="AU469" s="166">
        <v>0</v>
      </c>
      <c r="AV469" s="166">
        <v>0</v>
      </c>
      <c r="AW469" s="166">
        <v>0</v>
      </c>
      <c r="AX469" s="166">
        <v>0</v>
      </c>
      <c r="AY469" s="166">
        <v>0</v>
      </c>
      <c r="AZ469" s="166">
        <v>0</v>
      </c>
      <c r="BA469" s="166">
        <v>0</v>
      </c>
      <c r="BB469" s="166">
        <v>0</v>
      </c>
      <c r="BC469" s="166">
        <v>0</v>
      </c>
      <c r="BD469" s="166">
        <v>0</v>
      </c>
      <c r="BE469" s="166">
        <v>1</v>
      </c>
      <c r="BF469" s="166">
        <v>0</v>
      </c>
      <c r="BG469" s="166">
        <v>0</v>
      </c>
      <c r="BH469" s="166">
        <v>0</v>
      </c>
      <c r="BI469" s="166">
        <v>0</v>
      </c>
      <c r="BJ469" s="166">
        <v>0</v>
      </c>
      <c r="BK469" s="166">
        <v>0</v>
      </c>
      <c r="BL469" s="166">
        <v>0</v>
      </c>
      <c r="BM469" s="166">
        <v>0</v>
      </c>
      <c r="BN469" s="166">
        <v>0</v>
      </c>
      <c r="BO469" s="166">
        <v>0</v>
      </c>
      <c r="BP469" s="166">
        <v>0</v>
      </c>
      <c r="BQ469" s="81" t="s">
        <v>1758</v>
      </c>
      <c r="BZ469" s="81" t="s">
        <v>155</v>
      </c>
      <c r="CA469" s="81" t="s">
        <v>3976</v>
      </c>
      <c r="CC469" s="167">
        <v>0</v>
      </c>
      <c r="CD469" s="167">
        <f>N469</f>
        <v>1</v>
      </c>
      <c r="CE469" s="167">
        <v>0</v>
      </c>
      <c r="CF469" s="167">
        <v>0</v>
      </c>
      <c r="CG469" s="167">
        <v>0</v>
      </c>
      <c r="CH469" s="167">
        <v>0</v>
      </c>
      <c r="CI469" s="167">
        <v>0</v>
      </c>
      <c r="CJ469" s="167">
        <v>0</v>
      </c>
      <c r="CK469" s="167">
        <v>0</v>
      </c>
      <c r="CL469" s="167">
        <v>0</v>
      </c>
      <c r="CM469" s="167">
        <v>0</v>
      </c>
      <c r="CN469" s="167">
        <v>0</v>
      </c>
      <c r="CO469" s="167">
        <v>0</v>
      </c>
      <c r="CP469" s="167">
        <v>0</v>
      </c>
      <c r="CQ469" s="167">
        <v>0</v>
      </c>
      <c r="CR469" s="167">
        <v>0</v>
      </c>
      <c r="CS469" s="167">
        <v>0</v>
      </c>
      <c r="CT469" s="167">
        <v>0</v>
      </c>
      <c r="CU469" s="167">
        <v>0</v>
      </c>
      <c r="CV469" s="167">
        <v>0</v>
      </c>
      <c r="CW469" s="167">
        <v>0</v>
      </c>
      <c r="CX469" s="167">
        <f>SUM(CD469:CH469)</f>
        <v>1</v>
      </c>
      <c r="CY469" s="167">
        <f>SUM(CD469:CM469)</f>
        <v>1</v>
      </c>
    </row>
    <row r="470" spans="1:103" ht="12.75" customHeight="1" x14ac:dyDescent="0.2">
      <c r="A470" s="81">
        <v>4757</v>
      </c>
      <c r="B470" s="165" t="s">
        <v>1908</v>
      </c>
      <c r="C470" s="165" t="s">
        <v>152</v>
      </c>
      <c r="E470" s="165" t="s">
        <v>3352</v>
      </c>
      <c r="G470" s="81">
        <v>527783</v>
      </c>
      <c r="H470" s="81">
        <v>174496</v>
      </c>
      <c r="I470" s="165" t="s">
        <v>255</v>
      </c>
      <c r="J470" s="349">
        <v>41666</v>
      </c>
      <c r="L470" s="166">
        <v>1</v>
      </c>
      <c r="M470" s="166">
        <v>1</v>
      </c>
      <c r="N470" s="166">
        <v>0</v>
      </c>
      <c r="O470" s="166">
        <v>1</v>
      </c>
      <c r="P470" s="166">
        <v>0</v>
      </c>
      <c r="R470" s="165" t="s">
        <v>153</v>
      </c>
      <c r="S470" s="81" t="s">
        <v>113</v>
      </c>
      <c r="T470" s="349">
        <v>40882</v>
      </c>
      <c r="U470" s="349">
        <v>40961</v>
      </c>
      <c r="W470" s="81" t="s">
        <v>114</v>
      </c>
      <c r="Y470" s="81" t="s">
        <v>115</v>
      </c>
      <c r="Z470" s="81" t="s">
        <v>116</v>
      </c>
      <c r="AA470" s="81" t="s">
        <v>117</v>
      </c>
      <c r="AB470" s="81" t="s">
        <v>218</v>
      </c>
      <c r="AC470" s="166">
        <v>9.9999997764825804E-3</v>
      </c>
      <c r="AD470" s="349">
        <v>41666</v>
      </c>
      <c r="AG470" s="81" t="s">
        <v>238</v>
      </c>
      <c r="AH470" s="81" t="s">
        <v>118</v>
      </c>
      <c r="AK470" s="166">
        <v>0</v>
      </c>
      <c r="AM470" s="166">
        <v>0</v>
      </c>
      <c r="AO470" s="166">
        <v>0</v>
      </c>
      <c r="AP470" s="166">
        <v>0</v>
      </c>
      <c r="AQ470" s="166">
        <v>-1</v>
      </c>
      <c r="AR470" s="166">
        <v>0</v>
      </c>
      <c r="AS470" s="166">
        <v>1</v>
      </c>
      <c r="AT470" s="166">
        <v>0</v>
      </c>
      <c r="AU470" s="166">
        <v>0</v>
      </c>
      <c r="AV470" s="166">
        <v>0</v>
      </c>
      <c r="AW470" s="166">
        <v>0</v>
      </c>
      <c r="AX470" s="166">
        <v>0</v>
      </c>
      <c r="AY470" s="166">
        <v>0</v>
      </c>
      <c r="AZ470" s="166">
        <v>0</v>
      </c>
      <c r="BA470" s="166">
        <v>0</v>
      </c>
      <c r="BB470" s="166">
        <v>0</v>
      </c>
      <c r="BC470" s="166">
        <v>0</v>
      </c>
      <c r="BD470" s="166">
        <v>0</v>
      </c>
      <c r="BE470" s="166">
        <v>-1</v>
      </c>
      <c r="BF470" s="166">
        <v>0</v>
      </c>
      <c r="BG470" s="166">
        <v>1</v>
      </c>
      <c r="BH470" s="166">
        <v>0</v>
      </c>
      <c r="BI470" s="166">
        <v>0</v>
      </c>
      <c r="BJ470" s="166">
        <v>0</v>
      </c>
      <c r="BK470" s="166">
        <v>0</v>
      </c>
      <c r="BL470" s="166">
        <v>0</v>
      </c>
      <c r="BM470" s="166">
        <v>0</v>
      </c>
      <c r="BN470" s="166">
        <v>0</v>
      </c>
      <c r="BO470" s="166">
        <v>0</v>
      </c>
      <c r="BP470" s="166">
        <v>0</v>
      </c>
      <c r="BQ470" s="81" t="s">
        <v>1757</v>
      </c>
      <c r="BZ470" s="81" t="s">
        <v>155</v>
      </c>
      <c r="CA470" s="81" t="s">
        <v>3976</v>
      </c>
      <c r="CC470" s="167">
        <v>0</v>
      </c>
      <c r="CD470" s="167">
        <f>N470</f>
        <v>0</v>
      </c>
      <c r="CE470" s="167">
        <v>0</v>
      </c>
      <c r="CF470" s="167">
        <v>0</v>
      </c>
      <c r="CG470" s="167">
        <v>0</v>
      </c>
      <c r="CH470" s="167">
        <v>0</v>
      </c>
      <c r="CI470" s="167">
        <v>0</v>
      </c>
      <c r="CJ470" s="167">
        <v>0</v>
      </c>
      <c r="CK470" s="167">
        <v>0</v>
      </c>
      <c r="CL470" s="167">
        <v>0</v>
      </c>
      <c r="CM470" s="167">
        <v>0</v>
      </c>
      <c r="CN470" s="167">
        <v>0</v>
      </c>
      <c r="CO470" s="167">
        <v>0</v>
      </c>
      <c r="CP470" s="167">
        <v>0</v>
      </c>
      <c r="CQ470" s="167">
        <v>0</v>
      </c>
      <c r="CR470" s="167">
        <v>0</v>
      </c>
      <c r="CS470" s="167">
        <v>0</v>
      </c>
      <c r="CT470" s="167">
        <v>0</v>
      </c>
      <c r="CU470" s="167">
        <v>0</v>
      </c>
      <c r="CV470" s="167">
        <v>0</v>
      </c>
      <c r="CW470" s="167">
        <v>0</v>
      </c>
      <c r="CX470" s="167">
        <f>SUM(CD470:CH470)</f>
        <v>0</v>
      </c>
      <c r="CY470" s="167">
        <f>SUM(CD470:CM470)</f>
        <v>0</v>
      </c>
    </row>
    <row r="471" spans="1:103" ht="12.75" customHeight="1" x14ac:dyDescent="0.2">
      <c r="A471" s="81">
        <v>4801</v>
      </c>
      <c r="B471" s="165" t="s">
        <v>1908</v>
      </c>
      <c r="C471" s="165" t="s">
        <v>91</v>
      </c>
      <c r="E471" s="165" t="s">
        <v>3098</v>
      </c>
      <c r="G471" s="81">
        <v>529529</v>
      </c>
      <c r="H471" s="81">
        <v>176787</v>
      </c>
      <c r="I471" s="165" t="s">
        <v>240</v>
      </c>
      <c r="J471" s="349">
        <v>42094</v>
      </c>
      <c r="L471" s="166">
        <v>0</v>
      </c>
      <c r="M471" s="166">
        <v>15</v>
      </c>
      <c r="N471" s="166">
        <v>15</v>
      </c>
      <c r="O471" s="166">
        <v>15</v>
      </c>
      <c r="P471" s="166">
        <v>15</v>
      </c>
      <c r="Q471" s="81" t="s">
        <v>155</v>
      </c>
      <c r="R471" s="165" t="s">
        <v>753</v>
      </c>
      <c r="S471" s="81" t="s">
        <v>113</v>
      </c>
      <c r="T471" s="349">
        <v>41872</v>
      </c>
      <c r="U471" s="349">
        <v>41953</v>
      </c>
      <c r="W471" s="81" t="s">
        <v>114</v>
      </c>
      <c r="Y471" s="81" t="s">
        <v>115</v>
      </c>
      <c r="Z471" s="81" t="s">
        <v>310</v>
      </c>
      <c r="AA471" s="81" t="s">
        <v>92</v>
      </c>
      <c r="AB471" s="81" t="s">
        <v>117</v>
      </c>
      <c r="AC471" s="166">
        <v>0.15099999308586101</v>
      </c>
      <c r="AD471" s="349">
        <v>42094</v>
      </c>
      <c r="AG471" s="81" t="s">
        <v>154</v>
      </c>
      <c r="AH471" s="81" t="s">
        <v>38</v>
      </c>
      <c r="AK471" s="166">
        <v>15</v>
      </c>
      <c r="AM471" s="166">
        <v>2</v>
      </c>
      <c r="AO471" s="166">
        <v>0</v>
      </c>
      <c r="AP471" s="166">
        <v>1</v>
      </c>
      <c r="AQ471" s="166">
        <v>7</v>
      </c>
      <c r="AR471" s="166">
        <v>3</v>
      </c>
      <c r="AS471" s="166">
        <v>4</v>
      </c>
      <c r="AT471" s="166">
        <v>0</v>
      </c>
      <c r="AU471" s="166">
        <v>0</v>
      </c>
      <c r="AV471" s="166">
        <v>0</v>
      </c>
      <c r="AW471" s="166">
        <v>1</v>
      </c>
      <c r="AX471" s="166">
        <v>7</v>
      </c>
      <c r="AY471" s="166">
        <v>0</v>
      </c>
      <c r="AZ471" s="166">
        <v>0</v>
      </c>
      <c r="BA471" s="166">
        <v>0</v>
      </c>
      <c r="BB471" s="166">
        <v>0</v>
      </c>
      <c r="BC471" s="166">
        <v>0</v>
      </c>
      <c r="BD471" s="166">
        <v>0</v>
      </c>
      <c r="BE471" s="166">
        <v>0</v>
      </c>
      <c r="BF471" s="166">
        <v>3</v>
      </c>
      <c r="BG471" s="166">
        <v>4</v>
      </c>
      <c r="BH471" s="166">
        <v>0</v>
      </c>
      <c r="BI471" s="166">
        <v>0</v>
      </c>
      <c r="BJ471" s="166">
        <v>0</v>
      </c>
      <c r="BK471" s="166">
        <v>0</v>
      </c>
      <c r="BL471" s="166">
        <v>0</v>
      </c>
      <c r="BM471" s="166">
        <v>0</v>
      </c>
      <c r="BN471" s="166">
        <v>0</v>
      </c>
      <c r="BO471" s="166">
        <v>0</v>
      </c>
      <c r="BP471" s="166">
        <v>0</v>
      </c>
      <c r="BQ471" s="81" t="s">
        <v>1759</v>
      </c>
      <c r="BS471" s="81" t="s">
        <v>155</v>
      </c>
      <c r="BZ471" s="81" t="s">
        <v>155</v>
      </c>
      <c r="CA471" s="81">
        <v>12</v>
      </c>
      <c r="CC471" s="167">
        <v>0</v>
      </c>
      <c r="CD471" s="167">
        <f>N471</f>
        <v>15</v>
      </c>
      <c r="CE471" s="167">
        <v>0</v>
      </c>
      <c r="CF471" s="167">
        <v>0</v>
      </c>
      <c r="CG471" s="167">
        <v>0</v>
      </c>
      <c r="CH471" s="167">
        <v>0</v>
      </c>
      <c r="CI471" s="167">
        <v>0</v>
      </c>
      <c r="CJ471" s="167">
        <v>0</v>
      </c>
      <c r="CK471" s="167">
        <v>0</v>
      </c>
      <c r="CL471" s="167">
        <v>0</v>
      </c>
      <c r="CM471" s="167">
        <v>0</v>
      </c>
      <c r="CN471" s="167">
        <v>0</v>
      </c>
      <c r="CO471" s="167">
        <v>0</v>
      </c>
      <c r="CP471" s="167">
        <v>0</v>
      </c>
      <c r="CQ471" s="167">
        <v>0</v>
      </c>
      <c r="CR471" s="167">
        <v>0</v>
      </c>
      <c r="CS471" s="167">
        <v>0</v>
      </c>
      <c r="CT471" s="167">
        <v>0</v>
      </c>
      <c r="CU471" s="167">
        <v>0</v>
      </c>
      <c r="CV471" s="167">
        <v>0</v>
      </c>
      <c r="CW471" s="167">
        <v>0</v>
      </c>
      <c r="CX471" s="167">
        <f>SUM(CD471:CH471)</f>
        <v>15</v>
      </c>
      <c r="CY471" s="167">
        <f>SUM(CD471:CM471)</f>
        <v>15</v>
      </c>
    </row>
    <row r="472" spans="1:103" ht="12.75" customHeight="1" x14ac:dyDescent="0.2">
      <c r="A472" s="81">
        <v>4877</v>
      </c>
      <c r="B472" s="165" t="s">
        <v>1908</v>
      </c>
      <c r="C472" s="165" t="s">
        <v>168</v>
      </c>
      <c r="E472" s="165" t="s">
        <v>3356</v>
      </c>
      <c r="G472" s="81">
        <v>527228</v>
      </c>
      <c r="H472" s="81">
        <v>175145</v>
      </c>
      <c r="I472" s="165" t="s">
        <v>255</v>
      </c>
      <c r="J472" s="349">
        <v>42228</v>
      </c>
      <c r="L472" s="166">
        <v>0</v>
      </c>
      <c r="M472" s="166">
        <v>1</v>
      </c>
      <c r="N472" s="166">
        <v>1</v>
      </c>
      <c r="O472" s="166">
        <v>1</v>
      </c>
      <c r="P472" s="166">
        <v>1</v>
      </c>
      <c r="R472" s="165" t="s">
        <v>169</v>
      </c>
      <c r="S472" s="81" t="s">
        <v>113</v>
      </c>
      <c r="T472" s="349">
        <v>41808</v>
      </c>
      <c r="U472" s="349">
        <v>41920</v>
      </c>
      <c r="W472" s="81" t="s">
        <v>114</v>
      </c>
      <c r="Y472" s="81" t="s">
        <v>115</v>
      </c>
      <c r="Z472" s="81" t="s">
        <v>116</v>
      </c>
      <c r="AA472" s="81" t="s">
        <v>117</v>
      </c>
      <c r="AB472" s="81" t="s">
        <v>218</v>
      </c>
      <c r="AC472" s="166">
        <v>1.7999999225139601E-2</v>
      </c>
      <c r="AD472" s="349">
        <v>42228</v>
      </c>
      <c r="AG472" s="81" t="s">
        <v>238</v>
      </c>
      <c r="AH472" s="81" t="s">
        <v>118</v>
      </c>
      <c r="AK472" s="166">
        <v>0</v>
      </c>
      <c r="AM472" s="166">
        <v>0</v>
      </c>
      <c r="AO472" s="166">
        <v>0</v>
      </c>
      <c r="AP472" s="166">
        <v>0</v>
      </c>
      <c r="AQ472" s="166">
        <v>0</v>
      </c>
      <c r="AR472" s="166">
        <v>1</v>
      </c>
      <c r="AS472" s="166">
        <v>0</v>
      </c>
      <c r="AT472" s="166">
        <v>0</v>
      </c>
      <c r="AU472" s="166">
        <v>0</v>
      </c>
      <c r="AV472" s="166">
        <v>0</v>
      </c>
      <c r="AW472" s="166">
        <v>0</v>
      </c>
      <c r="AX472" s="166">
        <v>0</v>
      </c>
      <c r="AY472" s="166">
        <v>0</v>
      </c>
      <c r="AZ472" s="166">
        <v>0</v>
      </c>
      <c r="BA472" s="166">
        <v>0</v>
      </c>
      <c r="BB472" s="166">
        <v>0</v>
      </c>
      <c r="BC472" s="166">
        <v>0</v>
      </c>
      <c r="BD472" s="166">
        <v>0</v>
      </c>
      <c r="BE472" s="166">
        <v>0</v>
      </c>
      <c r="BF472" s="166">
        <v>0</v>
      </c>
      <c r="BG472" s="166">
        <v>0</v>
      </c>
      <c r="BH472" s="166">
        <v>0</v>
      </c>
      <c r="BI472" s="166">
        <v>0</v>
      </c>
      <c r="BJ472" s="166">
        <v>0</v>
      </c>
      <c r="BK472" s="166">
        <v>0</v>
      </c>
      <c r="BL472" s="166">
        <v>0</v>
      </c>
      <c r="BM472" s="166">
        <v>1</v>
      </c>
      <c r="BN472" s="166">
        <v>0</v>
      </c>
      <c r="BO472" s="166">
        <v>0</v>
      </c>
      <c r="BP472" s="166">
        <v>0</v>
      </c>
      <c r="BQ472" s="81" t="s">
        <v>1757</v>
      </c>
      <c r="BZ472" s="81" t="s">
        <v>155</v>
      </c>
      <c r="CA472" s="81" t="s">
        <v>3976</v>
      </c>
      <c r="CC472" s="167">
        <v>0</v>
      </c>
      <c r="CD472" s="167">
        <f>N472</f>
        <v>1</v>
      </c>
      <c r="CE472" s="167">
        <v>0</v>
      </c>
      <c r="CF472" s="167">
        <v>0</v>
      </c>
      <c r="CG472" s="167">
        <v>0</v>
      </c>
      <c r="CH472" s="167">
        <v>0</v>
      </c>
      <c r="CI472" s="167">
        <v>0</v>
      </c>
      <c r="CJ472" s="167">
        <v>0</v>
      </c>
      <c r="CK472" s="167">
        <v>0</v>
      </c>
      <c r="CL472" s="167">
        <v>0</v>
      </c>
      <c r="CM472" s="167">
        <v>0</v>
      </c>
      <c r="CN472" s="167">
        <v>0</v>
      </c>
      <c r="CO472" s="167">
        <v>0</v>
      </c>
      <c r="CP472" s="167">
        <v>0</v>
      </c>
      <c r="CQ472" s="167">
        <v>0</v>
      </c>
      <c r="CR472" s="167">
        <v>0</v>
      </c>
      <c r="CS472" s="167">
        <v>0</v>
      </c>
      <c r="CT472" s="167">
        <v>0</v>
      </c>
      <c r="CU472" s="167">
        <v>0</v>
      </c>
      <c r="CV472" s="167">
        <v>0</v>
      </c>
      <c r="CW472" s="167">
        <v>0</v>
      </c>
      <c r="CX472" s="167">
        <f>SUM(CD472:CH472)</f>
        <v>1</v>
      </c>
      <c r="CY472" s="167">
        <f>SUM(CD472:CM472)</f>
        <v>1</v>
      </c>
    </row>
    <row r="473" spans="1:103" x14ac:dyDescent="0.2">
      <c r="A473" s="81">
        <v>4945</v>
      </c>
      <c r="B473" s="165" t="s">
        <v>1908</v>
      </c>
      <c r="C473" s="165" t="s">
        <v>599</v>
      </c>
      <c r="E473" s="165" t="s">
        <v>2541</v>
      </c>
      <c r="G473" s="81">
        <v>528361</v>
      </c>
      <c r="H473" s="81">
        <v>172945</v>
      </c>
      <c r="I473" s="165" t="s">
        <v>248</v>
      </c>
      <c r="J473" s="349">
        <v>43190</v>
      </c>
      <c r="L473" s="166">
        <v>1</v>
      </c>
      <c r="M473" s="166">
        <v>2</v>
      </c>
      <c r="N473" s="166">
        <v>1</v>
      </c>
      <c r="O473" s="166">
        <v>2</v>
      </c>
      <c r="P473" s="166">
        <v>1</v>
      </c>
      <c r="R473" s="165" t="s">
        <v>600</v>
      </c>
      <c r="S473" s="81" t="s">
        <v>113</v>
      </c>
      <c r="T473" s="349">
        <v>42254</v>
      </c>
      <c r="U473" s="349">
        <v>42377</v>
      </c>
      <c r="W473" s="81" t="s">
        <v>114</v>
      </c>
      <c r="Y473" s="81" t="s">
        <v>115</v>
      </c>
      <c r="Z473" s="81" t="s">
        <v>219</v>
      </c>
      <c r="AA473" s="81" t="s">
        <v>117</v>
      </c>
      <c r="AB473" s="81" t="s">
        <v>3889</v>
      </c>
      <c r="AC473" s="166">
        <v>1.7999999225139601E-2</v>
      </c>
      <c r="AD473" s="349">
        <v>43190</v>
      </c>
      <c r="AE473" s="81" t="s">
        <v>155</v>
      </c>
      <c r="AG473" s="81" t="s">
        <v>238</v>
      </c>
      <c r="AH473" s="81" t="s">
        <v>118</v>
      </c>
      <c r="AK473" s="166">
        <v>0</v>
      </c>
      <c r="AM473" s="166">
        <v>0</v>
      </c>
      <c r="AO473" s="166">
        <v>-1</v>
      </c>
      <c r="AP473" s="166">
        <v>2</v>
      </c>
      <c r="AQ473" s="166">
        <v>0</v>
      </c>
      <c r="AR473" s="166">
        <v>0</v>
      </c>
      <c r="AS473" s="166">
        <v>0</v>
      </c>
      <c r="AT473" s="166">
        <v>0</v>
      </c>
      <c r="AU473" s="166">
        <v>0</v>
      </c>
      <c r="AV473" s="166">
        <v>-1</v>
      </c>
      <c r="AW473" s="166">
        <v>2</v>
      </c>
      <c r="AX473" s="166">
        <v>0</v>
      </c>
      <c r="AY473" s="166">
        <v>0</v>
      </c>
      <c r="AZ473" s="166">
        <v>0</v>
      </c>
      <c r="BA473" s="166">
        <v>0</v>
      </c>
      <c r="BB473" s="166">
        <v>0</v>
      </c>
      <c r="BC473" s="166">
        <v>0</v>
      </c>
      <c r="BD473" s="166">
        <v>0</v>
      </c>
      <c r="BE473" s="166">
        <v>0</v>
      </c>
      <c r="BF473" s="166">
        <v>0</v>
      </c>
      <c r="BG473" s="166">
        <v>0</v>
      </c>
      <c r="BH473" s="166">
        <v>0</v>
      </c>
      <c r="BI473" s="166">
        <v>0</v>
      </c>
      <c r="BJ473" s="166">
        <v>0</v>
      </c>
      <c r="BK473" s="166">
        <v>0</v>
      </c>
      <c r="BL473" s="166">
        <v>0</v>
      </c>
      <c r="BM473" s="166">
        <v>0</v>
      </c>
      <c r="BN473" s="166">
        <v>0</v>
      </c>
      <c r="BO473" s="166">
        <v>0</v>
      </c>
      <c r="BP473" s="166">
        <v>0</v>
      </c>
      <c r="BQ473" s="81" t="s">
        <v>1757</v>
      </c>
      <c r="BZ473" s="81" t="s">
        <v>155</v>
      </c>
      <c r="CA473" s="81" t="s">
        <v>3981</v>
      </c>
      <c r="CC473" s="167">
        <v>0</v>
      </c>
      <c r="CD473" s="167">
        <f>$N473/2</f>
        <v>0.5</v>
      </c>
      <c r="CE473" s="167">
        <f>$N473/2</f>
        <v>0.5</v>
      </c>
      <c r="CF473" s="167">
        <v>0</v>
      </c>
      <c r="CG473" s="167">
        <v>0</v>
      </c>
      <c r="CH473" s="167">
        <v>0</v>
      </c>
      <c r="CI473" s="167">
        <v>0</v>
      </c>
      <c r="CJ473" s="167">
        <v>0</v>
      </c>
      <c r="CK473" s="167">
        <v>0</v>
      </c>
      <c r="CL473" s="167">
        <v>0</v>
      </c>
      <c r="CM473" s="167">
        <v>0</v>
      </c>
      <c r="CN473" s="167">
        <v>0</v>
      </c>
      <c r="CO473" s="167">
        <v>0</v>
      </c>
      <c r="CP473" s="167">
        <v>0</v>
      </c>
      <c r="CQ473" s="167">
        <v>0</v>
      </c>
      <c r="CR473" s="167">
        <v>0</v>
      </c>
      <c r="CS473" s="167">
        <v>0</v>
      </c>
      <c r="CT473" s="167">
        <v>0</v>
      </c>
      <c r="CU473" s="167">
        <v>0</v>
      </c>
      <c r="CV473" s="167">
        <v>0</v>
      </c>
      <c r="CW473" s="167">
        <v>0</v>
      </c>
      <c r="CX473" s="167">
        <f>SUM(CD473:CH473)</f>
        <v>1</v>
      </c>
      <c r="CY473" s="167">
        <f>SUM(CD473:CM473)</f>
        <v>1</v>
      </c>
    </row>
    <row r="474" spans="1:103" ht="12.75" customHeight="1" x14ac:dyDescent="0.2">
      <c r="A474" s="81">
        <v>4978</v>
      </c>
      <c r="B474" s="165" t="s">
        <v>1908</v>
      </c>
      <c r="C474" s="165" t="s">
        <v>1011</v>
      </c>
      <c r="E474" s="165" t="s">
        <v>3359</v>
      </c>
      <c r="G474" s="81">
        <v>523988</v>
      </c>
      <c r="H474" s="81">
        <v>175472</v>
      </c>
      <c r="I474" s="165" t="s">
        <v>259</v>
      </c>
      <c r="J474" s="349">
        <v>42825</v>
      </c>
      <c r="L474" s="166">
        <v>0</v>
      </c>
      <c r="M474" s="166">
        <v>6</v>
      </c>
      <c r="N474" s="166">
        <v>6</v>
      </c>
      <c r="O474" s="166">
        <v>6</v>
      </c>
      <c r="P474" s="166">
        <v>6</v>
      </c>
      <c r="R474" s="165" t="s">
        <v>1012</v>
      </c>
      <c r="S474" s="81" t="s">
        <v>113</v>
      </c>
      <c r="T474" s="349">
        <v>42529</v>
      </c>
      <c r="U474" s="349">
        <v>42628</v>
      </c>
      <c r="W474" s="81" t="s">
        <v>114</v>
      </c>
      <c r="Y474" s="81" t="s">
        <v>115</v>
      </c>
      <c r="Z474" s="81" t="s">
        <v>116</v>
      </c>
      <c r="AA474" s="81" t="s">
        <v>117</v>
      </c>
      <c r="AB474" s="81" t="s">
        <v>218</v>
      </c>
      <c r="AC474" s="166">
        <v>6.1000000685453401E-2</v>
      </c>
      <c r="AD474" s="349">
        <v>42825</v>
      </c>
      <c r="AG474" s="81" t="s">
        <v>238</v>
      </c>
      <c r="AH474" s="81" t="s">
        <v>118</v>
      </c>
      <c r="AK474" s="166">
        <v>6</v>
      </c>
      <c r="AM474" s="166">
        <v>2</v>
      </c>
      <c r="AO474" s="166">
        <v>0</v>
      </c>
      <c r="AP474" s="166">
        <v>0</v>
      </c>
      <c r="AQ474" s="166">
        <v>6</v>
      </c>
      <c r="AR474" s="166">
        <v>0</v>
      </c>
      <c r="AS474" s="166">
        <v>0</v>
      </c>
      <c r="AT474" s="166">
        <v>0</v>
      </c>
      <c r="AU474" s="166">
        <v>0</v>
      </c>
      <c r="AV474" s="166">
        <v>0</v>
      </c>
      <c r="AW474" s="166">
        <v>0</v>
      </c>
      <c r="AX474" s="166">
        <v>6</v>
      </c>
      <c r="AY474" s="166">
        <v>0</v>
      </c>
      <c r="AZ474" s="166">
        <v>0</v>
      </c>
      <c r="BA474" s="166">
        <v>0</v>
      </c>
      <c r="BB474" s="166">
        <v>0</v>
      </c>
      <c r="BC474" s="166">
        <v>0</v>
      </c>
      <c r="BD474" s="166">
        <v>0</v>
      </c>
      <c r="BE474" s="166">
        <v>0</v>
      </c>
      <c r="BF474" s="166">
        <v>0</v>
      </c>
      <c r="BG474" s="166">
        <v>0</v>
      </c>
      <c r="BH474" s="166">
        <v>0</v>
      </c>
      <c r="BI474" s="166">
        <v>0</v>
      </c>
      <c r="BJ474" s="166">
        <v>0</v>
      </c>
      <c r="BK474" s="166">
        <v>0</v>
      </c>
      <c r="BL474" s="166">
        <v>0</v>
      </c>
      <c r="BM474" s="166">
        <v>0</v>
      </c>
      <c r="BN474" s="166">
        <v>0</v>
      </c>
      <c r="BO474" s="166">
        <v>0</v>
      </c>
      <c r="BP474" s="166">
        <v>0</v>
      </c>
      <c r="BQ474" s="81" t="s">
        <v>1758</v>
      </c>
      <c r="BR474" s="81" t="s">
        <v>161</v>
      </c>
      <c r="BZ474" s="81" t="s">
        <v>155</v>
      </c>
      <c r="CA474" s="81" t="s">
        <v>3976</v>
      </c>
      <c r="CC474" s="167">
        <v>0</v>
      </c>
      <c r="CD474" s="167">
        <f>N474</f>
        <v>6</v>
      </c>
      <c r="CE474" s="167">
        <v>0</v>
      </c>
      <c r="CF474" s="167">
        <v>0</v>
      </c>
      <c r="CG474" s="167">
        <v>0</v>
      </c>
      <c r="CH474" s="167">
        <v>0</v>
      </c>
      <c r="CI474" s="167">
        <v>0</v>
      </c>
      <c r="CJ474" s="167">
        <v>0</v>
      </c>
      <c r="CK474" s="167">
        <v>0</v>
      </c>
      <c r="CL474" s="167">
        <v>0</v>
      </c>
      <c r="CM474" s="167">
        <v>0</v>
      </c>
      <c r="CN474" s="167">
        <v>0</v>
      </c>
      <c r="CO474" s="167">
        <v>0</v>
      </c>
      <c r="CP474" s="167">
        <v>0</v>
      </c>
      <c r="CQ474" s="167">
        <v>0</v>
      </c>
      <c r="CR474" s="167">
        <v>0</v>
      </c>
      <c r="CS474" s="167">
        <v>0</v>
      </c>
      <c r="CT474" s="167">
        <v>0</v>
      </c>
      <c r="CU474" s="167">
        <v>0</v>
      </c>
      <c r="CV474" s="167">
        <v>0</v>
      </c>
      <c r="CW474" s="167">
        <v>0</v>
      </c>
      <c r="CX474" s="167">
        <f>SUM(CD474:CH474)</f>
        <v>6</v>
      </c>
      <c r="CY474" s="167">
        <f>SUM(CD474:CM474)</f>
        <v>6</v>
      </c>
    </row>
    <row r="475" spans="1:103" x14ac:dyDescent="0.2">
      <c r="A475" s="81">
        <v>5109</v>
      </c>
      <c r="B475" s="165" t="s">
        <v>1908</v>
      </c>
      <c r="C475" s="165" t="s">
        <v>1439</v>
      </c>
      <c r="E475" s="165" t="s">
        <v>3360</v>
      </c>
      <c r="G475" s="81">
        <v>527405</v>
      </c>
      <c r="H475" s="81">
        <v>171440</v>
      </c>
      <c r="I475" s="165" t="s">
        <v>242</v>
      </c>
      <c r="J475" s="349">
        <v>43190</v>
      </c>
      <c r="L475" s="166">
        <v>0</v>
      </c>
      <c r="M475" s="166">
        <v>1</v>
      </c>
      <c r="N475" s="166">
        <v>1</v>
      </c>
      <c r="O475" s="166">
        <v>1</v>
      </c>
      <c r="P475" s="166">
        <v>1</v>
      </c>
      <c r="R475" s="165" t="s">
        <v>1440</v>
      </c>
      <c r="S475" s="81" t="s">
        <v>113</v>
      </c>
      <c r="T475" s="349">
        <v>42646</v>
      </c>
      <c r="U475" s="349">
        <v>42702</v>
      </c>
      <c r="W475" s="81" t="s">
        <v>114</v>
      </c>
      <c r="Y475" s="81" t="s">
        <v>115</v>
      </c>
      <c r="Z475" s="81" t="s">
        <v>116</v>
      </c>
      <c r="AA475" s="81" t="s">
        <v>117</v>
      </c>
      <c r="AB475" s="81" t="s">
        <v>218</v>
      </c>
      <c r="AC475" s="166">
        <v>2.5000000372528999E-2</v>
      </c>
      <c r="AD475" s="349">
        <v>43190</v>
      </c>
      <c r="AE475" s="81" t="s">
        <v>155</v>
      </c>
      <c r="AG475" s="81" t="s">
        <v>238</v>
      </c>
      <c r="AH475" s="81" t="s">
        <v>118</v>
      </c>
      <c r="AK475" s="166">
        <v>1</v>
      </c>
      <c r="AM475" s="166">
        <v>0</v>
      </c>
      <c r="AO475" s="166">
        <v>0</v>
      </c>
      <c r="AP475" s="166">
        <v>1</v>
      </c>
      <c r="AQ475" s="166">
        <v>0</v>
      </c>
      <c r="AR475" s="166">
        <v>0</v>
      </c>
      <c r="AS475" s="166">
        <v>0</v>
      </c>
      <c r="AT475" s="166">
        <v>0</v>
      </c>
      <c r="AU475" s="166">
        <v>0</v>
      </c>
      <c r="AV475" s="166">
        <v>0</v>
      </c>
      <c r="AW475" s="166">
        <v>0</v>
      </c>
      <c r="AX475" s="166">
        <v>0</v>
      </c>
      <c r="AY475" s="166">
        <v>0</v>
      </c>
      <c r="AZ475" s="166">
        <v>0</v>
      </c>
      <c r="BA475" s="166">
        <v>0</v>
      </c>
      <c r="BB475" s="166">
        <v>0</v>
      </c>
      <c r="BC475" s="166">
        <v>0</v>
      </c>
      <c r="BD475" s="166">
        <v>1</v>
      </c>
      <c r="BE475" s="166">
        <v>0</v>
      </c>
      <c r="BF475" s="166">
        <v>0</v>
      </c>
      <c r="BG475" s="166">
        <v>0</v>
      </c>
      <c r="BH475" s="166">
        <v>0</v>
      </c>
      <c r="BI475" s="166">
        <v>0</v>
      </c>
      <c r="BJ475" s="166">
        <v>0</v>
      </c>
      <c r="BK475" s="166">
        <v>0</v>
      </c>
      <c r="BL475" s="166">
        <v>0</v>
      </c>
      <c r="BM475" s="166">
        <v>0</v>
      </c>
      <c r="BN475" s="166">
        <v>0</v>
      </c>
      <c r="BO475" s="166">
        <v>0</v>
      </c>
      <c r="BP475" s="166">
        <v>0</v>
      </c>
      <c r="BQ475" s="81" t="s">
        <v>1757</v>
      </c>
      <c r="BR475" s="81" t="s">
        <v>242</v>
      </c>
      <c r="BZ475" s="81" t="s">
        <v>155</v>
      </c>
      <c r="CA475" s="81" t="s">
        <v>3977</v>
      </c>
      <c r="CC475" s="167">
        <v>0</v>
      </c>
      <c r="CD475" s="167">
        <f>$N475/2</f>
        <v>0.5</v>
      </c>
      <c r="CE475" s="167">
        <f>$N475/2</f>
        <v>0.5</v>
      </c>
      <c r="CF475" s="167">
        <v>0</v>
      </c>
      <c r="CG475" s="167">
        <v>0</v>
      </c>
      <c r="CH475" s="167">
        <v>0</v>
      </c>
      <c r="CI475" s="167">
        <v>0</v>
      </c>
      <c r="CJ475" s="167">
        <v>0</v>
      </c>
      <c r="CK475" s="167">
        <v>0</v>
      </c>
      <c r="CL475" s="167">
        <v>0</v>
      </c>
      <c r="CM475" s="167">
        <v>0</v>
      </c>
      <c r="CN475" s="167">
        <v>0</v>
      </c>
      <c r="CO475" s="167">
        <v>0</v>
      </c>
      <c r="CP475" s="167">
        <v>0</v>
      </c>
      <c r="CQ475" s="167">
        <v>0</v>
      </c>
      <c r="CR475" s="167">
        <v>0</v>
      </c>
      <c r="CS475" s="167">
        <v>0</v>
      </c>
      <c r="CT475" s="167">
        <v>0</v>
      </c>
      <c r="CU475" s="167">
        <v>0</v>
      </c>
      <c r="CV475" s="167">
        <v>0</v>
      </c>
      <c r="CW475" s="167">
        <v>0</v>
      </c>
      <c r="CX475" s="167">
        <f>SUM(CD475:CH475)</f>
        <v>1</v>
      </c>
      <c r="CY475" s="167">
        <f>SUM(CD475:CM475)</f>
        <v>1</v>
      </c>
    </row>
    <row r="476" spans="1:103" ht="12.75" customHeight="1" x14ac:dyDescent="0.2">
      <c r="A476" s="81">
        <v>5113</v>
      </c>
      <c r="B476" s="165" t="s">
        <v>1908</v>
      </c>
      <c r="C476" s="165" t="s">
        <v>124</v>
      </c>
      <c r="E476" s="165" t="s">
        <v>3361</v>
      </c>
      <c r="G476" s="81">
        <v>527175</v>
      </c>
      <c r="H476" s="81">
        <v>173907</v>
      </c>
      <c r="I476" s="165" t="s">
        <v>260</v>
      </c>
      <c r="J476" s="349">
        <v>42339</v>
      </c>
      <c r="L476" s="166">
        <v>6</v>
      </c>
      <c r="M476" s="166">
        <v>3</v>
      </c>
      <c r="N476" s="166">
        <v>-3</v>
      </c>
      <c r="O476" s="166">
        <v>3</v>
      </c>
      <c r="P476" s="166">
        <v>-3</v>
      </c>
      <c r="R476" s="165" t="s">
        <v>125</v>
      </c>
      <c r="S476" s="81" t="s">
        <v>113</v>
      </c>
      <c r="T476" s="349">
        <v>41162</v>
      </c>
      <c r="U476" s="349">
        <v>41318</v>
      </c>
      <c r="W476" s="81" t="s">
        <v>114</v>
      </c>
      <c r="Y476" s="81" t="s">
        <v>115</v>
      </c>
      <c r="Z476" s="81" t="s">
        <v>116</v>
      </c>
      <c r="AA476" s="81" t="s">
        <v>117</v>
      </c>
      <c r="AB476" s="81" t="s">
        <v>218</v>
      </c>
      <c r="AC476" s="166">
        <v>7.9000003635883304E-2</v>
      </c>
      <c r="AD476" s="349">
        <v>42339</v>
      </c>
      <c r="AG476" s="81" t="s">
        <v>238</v>
      </c>
      <c r="AH476" s="81" t="s">
        <v>118</v>
      </c>
      <c r="AK476" s="166">
        <v>3</v>
      </c>
      <c r="AM476" s="166">
        <v>0</v>
      </c>
      <c r="AO476" s="166">
        <v>0</v>
      </c>
      <c r="AP476" s="166">
        <v>0</v>
      </c>
      <c r="AQ476" s="166">
        <v>-6</v>
      </c>
      <c r="AR476" s="166">
        <v>0</v>
      </c>
      <c r="AS476" s="166">
        <v>0</v>
      </c>
      <c r="AT476" s="166">
        <v>3</v>
      </c>
      <c r="AU476" s="166">
        <v>0</v>
      </c>
      <c r="AV476" s="166">
        <v>0</v>
      </c>
      <c r="AW476" s="166">
        <v>0</v>
      </c>
      <c r="AX476" s="166">
        <v>-6</v>
      </c>
      <c r="AY476" s="166">
        <v>0</v>
      </c>
      <c r="AZ476" s="166">
        <v>0</v>
      </c>
      <c r="BA476" s="166">
        <v>0</v>
      </c>
      <c r="BB476" s="166">
        <v>0</v>
      </c>
      <c r="BC476" s="166">
        <v>0</v>
      </c>
      <c r="BD476" s="166">
        <v>0</v>
      </c>
      <c r="BE476" s="166">
        <v>0</v>
      </c>
      <c r="BF476" s="166">
        <v>0</v>
      </c>
      <c r="BG476" s="166">
        <v>0</v>
      </c>
      <c r="BH476" s="166">
        <v>3</v>
      </c>
      <c r="BI476" s="166">
        <v>0</v>
      </c>
      <c r="BJ476" s="166">
        <v>0</v>
      </c>
      <c r="BK476" s="166">
        <v>0</v>
      </c>
      <c r="BL476" s="166">
        <v>0</v>
      </c>
      <c r="BM476" s="166">
        <v>0</v>
      </c>
      <c r="BN476" s="166">
        <v>0</v>
      </c>
      <c r="BO476" s="166">
        <v>0</v>
      </c>
      <c r="BP476" s="166">
        <v>0</v>
      </c>
      <c r="BQ476" s="81" t="s">
        <v>1758</v>
      </c>
      <c r="BZ476" s="81" t="s">
        <v>155</v>
      </c>
      <c r="CA476" s="81" t="s">
        <v>3976</v>
      </c>
      <c r="CC476" s="167">
        <v>0</v>
      </c>
      <c r="CD476" s="167">
        <f>N476</f>
        <v>-3</v>
      </c>
      <c r="CE476" s="167">
        <v>0</v>
      </c>
      <c r="CF476" s="167">
        <v>0</v>
      </c>
      <c r="CG476" s="167">
        <v>0</v>
      </c>
      <c r="CH476" s="167">
        <v>0</v>
      </c>
      <c r="CI476" s="167">
        <v>0</v>
      </c>
      <c r="CJ476" s="167">
        <v>0</v>
      </c>
      <c r="CK476" s="167">
        <v>0</v>
      </c>
      <c r="CL476" s="167">
        <v>0</v>
      </c>
      <c r="CM476" s="167">
        <v>0</v>
      </c>
      <c r="CN476" s="167">
        <v>0</v>
      </c>
      <c r="CO476" s="167">
        <v>0</v>
      </c>
      <c r="CP476" s="167">
        <v>0</v>
      </c>
      <c r="CQ476" s="167">
        <v>0</v>
      </c>
      <c r="CR476" s="167">
        <v>0</v>
      </c>
      <c r="CS476" s="167">
        <v>0</v>
      </c>
      <c r="CT476" s="167">
        <v>0</v>
      </c>
      <c r="CU476" s="167">
        <v>0</v>
      </c>
      <c r="CV476" s="167">
        <v>0</v>
      </c>
      <c r="CW476" s="167">
        <v>0</v>
      </c>
      <c r="CX476" s="167">
        <f>SUM(CD476:CH476)</f>
        <v>-3</v>
      </c>
      <c r="CY476" s="167">
        <f>SUM(CD476:CM476)</f>
        <v>-3</v>
      </c>
    </row>
    <row r="477" spans="1:103" ht="12.75" customHeight="1" x14ac:dyDescent="0.2">
      <c r="A477" s="81">
        <v>5114</v>
      </c>
      <c r="B477" s="165" t="s">
        <v>1908</v>
      </c>
      <c r="C477" s="165" t="s">
        <v>995</v>
      </c>
      <c r="D477" s="165" t="s">
        <v>289</v>
      </c>
      <c r="E477" s="165" t="s">
        <v>3362</v>
      </c>
      <c r="G477" s="81">
        <v>527786</v>
      </c>
      <c r="H477" s="81">
        <v>171065</v>
      </c>
      <c r="I477" s="165" t="s">
        <v>253</v>
      </c>
      <c r="J477" s="349">
        <v>42825</v>
      </c>
      <c r="L477" s="166">
        <v>0</v>
      </c>
      <c r="M477" s="166">
        <v>9</v>
      </c>
      <c r="N477" s="166">
        <v>9</v>
      </c>
      <c r="O477" s="166">
        <v>9</v>
      </c>
      <c r="P477" s="166">
        <v>9</v>
      </c>
      <c r="R477" s="165" t="s">
        <v>996</v>
      </c>
      <c r="S477" s="81" t="s">
        <v>113</v>
      </c>
      <c r="T477" s="349">
        <v>42474</v>
      </c>
      <c r="U477" s="349">
        <v>42599</v>
      </c>
      <c r="W477" s="81" t="s">
        <v>114</v>
      </c>
      <c r="Y477" s="81" t="s">
        <v>115</v>
      </c>
      <c r="Z477" s="81" t="s">
        <v>116</v>
      </c>
      <c r="AA477" s="81" t="s">
        <v>117</v>
      </c>
      <c r="AB477" s="81" t="s">
        <v>218</v>
      </c>
      <c r="AC477" s="166">
        <v>4.3000001460313797E-2</v>
      </c>
      <c r="AD477" s="349">
        <v>42825</v>
      </c>
      <c r="AG477" s="81" t="s">
        <v>238</v>
      </c>
      <c r="AH477" s="81" t="s">
        <v>118</v>
      </c>
      <c r="AK477" s="166">
        <v>9</v>
      </c>
      <c r="AM477" s="166">
        <v>0</v>
      </c>
      <c r="AO477" s="166">
        <v>0</v>
      </c>
      <c r="AP477" s="166">
        <v>2</v>
      </c>
      <c r="AQ477" s="166">
        <v>5</v>
      </c>
      <c r="AR477" s="166">
        <v>2</v>
      </c>
      <c r="AS477" s="166">
        <v>0</v>
      </c>
      <c r="AT477" s="166">
        <v>0</v>
      </c>
      <c r="AU477" s="166">
        <v>0</v>
      </c>
      <c r="AV477" s="166">
        <v>0</v>
      </c>
      <c r="AW477" s="166">
        <v>2</v>
      </c>
      <c r="AX477" s="166">
        <v>5</v>
      </c>
      <c r="AY477" s="166">
        <v>2</v>
      </c>
      <c r="AZ477" s="166">
        <v>0</v>
      </c>
      <c r="BA477" s="166">
        <v>0</v>
      </c>
      <c r="BB477" s="166">
        <v>0</v>
      </c>
      <c r="BC477" s="166">
        <v>0</v>
      </c>
      <c r="BD477" s="166">
        <v>0</v>
      </c>
      <c r="BE477" s="166">
        <v>0</v>
      </c>
      <c r="BF477" s="166">
        <v>0</v>
      </c>
      <c r="BG477" s="166">
        <v>0</v>
      </c>
      <c r="BH477" s="166">
        <v>0</v>
      </c>
      <c r="BI477" s="166">
        <v>0</v>
      </c>
      <c r="BJ477" s="166">
        <v>0</v>
      </c>
      <c r="BK477" s="166">
        <v>0</v>
      </c>
      <c r="BL477" s="166">
        <v>0</v>
      </c>
      <c r="BM477" s="166">
        <v>0</v>
      </c>
      <c r="BN477" s="166">
        <v>0</v>
      </c>
      <c r="BO477" s="166">
        <v>0</v>
      </c>
      <c r="BP477" s="166">
        <v>0</v>
      </c>
      <c r="BQ477" s="81" t="s">
        <v>1757</v>
      </c>
      <c r="BR477" s="81" t="s">
        <v>242</v>
      </c>
      <c r="BZ477" s="81" t="s">
        <v>155</v>
      </c>
      <c r="CA477" s="81" t="s">
        <v>3976</v>
      </c>
      <c r="CC477" s="167">
        <v>0</v>
      </c>
      <c r="CD477" s="167">
        <f>N477</f>
        <v>9</v>
      </c>
      <c r="CE477" s="167">
        <v>0</v>
      </c>
      <c r="CF477" s="167">
        <v>0</v>
      </c>
      <c r="CG477" s="167">
        <v>0</v>
      </c>
      <c r="CH477" s="167">
        <v>0</v>
      </c>
      <c r="CI477" s="167">
        <v>0</v>
      </c>
      <c r="CJ477" s="167">
        <v>0</v>
      </c>
      <c r="CK477" s="167">
        <v>0</v>
      </c>
      <c r="CL477" s="167">
        <v>0</v>
      </c>
      <c r="CM477" s="167">
        <v>0</v>
      </c>
      <c r="CN477" s="167">
        <v>0</v>
      </c>
      <c r="CO477" s="167">
        <v>0</v>
      </c>
      <c r="CP477" s="167">
        <v>0</v>
      </c>
      <c r="CQ477" s="167">
        <v>0</v>
      </c>
      <c r="CR477" s="167">
        <v>0</v>
      </c>
      <c r="CS477" s="167">
        <v>0</v>
      </c>
      <c r="CT477" s="167">
        <v>0</v>
      </c>
      <c r="CU477" s="167">
        <v>0</v>
      </c>
      <c r="CV477" s="167">
        <v>0</v>
      </c>
      <c r="CW477" s="167">
        <v>0</v>
      </c>
      <c r="CX477" s="167">
        <f>SUM(CD477:CH477)</f>
        <v>9</v>
      </c>
      <c r="CY477" s="167">
        <f>SUM(CD477:CM477)</f>
        <v>9</v>
      </c>
    </row>
    <row r="478" spans="1:103" ht="12.75" customHeight="1" x14ac:dyDescent="0.2">
      <c r="A478" s="81">
        <v>5181</v>
      </c>
      <c r="B478" s="165" t="s">
        <v>1908</v>
      </c>
      <c r="C478" s="165" t="s">
        <v>301</v>
      </c>
      <c r="E478" s="165" t="s">
        <v>3529</v>
      </c>
      <c r="G478" s="81">
        <v>524012</v>
      </c>
      <c r="H478" s="81">
        <v>175048</v>
      </c>
      <c r="I478" s="165" t="s">
        <v>259</v>
      </c>
      <c r="J478" s="349">
        <v>41612</v>
      </c>
      <c r="L478" s="166">
        <v>0</v>
      </c>
      <c r="M478" s="166">
        <v>4</v>
      </c>
      <c r="N478" s="166">
        <v>4</v>
      </c>
      <c r="O478" s="166">
        <v>4</v>
      </c>
      <c r="P478" s="166">
        <v>4</v>
      </c>
      <c r="R478" s="165" t="s">
        <v>742</v>
      </c>
      <c r="S478" s="81" t="s">
        <v>113</v>
      </c>
      <c r="T478" s="349">
        <v>41323</v>
      </c>
      <c r="U478" s="349">
        <v>41404</v>
      </c>
      <c r="W478" s="81" t="s">
        <v>114</v>
      </c>
      <c r="Y478" s="81" t="s">
        <v>115</v>
      </c>
      <c r="Z478" s="81" t="s">
        <v>398</v>
      </c>
      <c r="AA478" s="81" t="s">
        <v>117</v>
      </c>
      <c r="AB478" s="81" t="s">
        <v>399</v>
      </c>
      <c r="AC478" s="166">
        <v>8.0000003799796104E-3</v>
      </c>
      <c r="AD478" s="349">
        <v>41612</v>
      </c>
      <c r="AG478" s="81" t="s">
        <v>238</v>
      </c>
      <c r="AH478" s="81" t="s">
        <v>118</v>
      </c>
      <c r="AK478" s="166">
        <v>0</v>
      </c>
      <c r="AM478" s="166">
        <v>0</v>
      </c>
      <c r="AO478" s="166">
        <v>1</v>
      </c>
      <c r="AP478" s="166">
        <v>3</v>
      </c>
      <c r="AQ478" s="166">
        <v>0</v>
      </c>
      <c r="AR478" s="166">
        <v>0</v>
      </c>
      <c r="AS478" s="166">
        <v>0</v>
      </c>
      <c r="AT478" s="166">
        <v>0</v>
      </c>
      <c r="AU478" s="166">
        <v>0</v>
      </c>
      <c r="AV478" s="166">
        <v>1</v>
      </c>
      <c r="AW478" s="166">
        <v>3</v>
      </c>
      <c r="AX478" s="166">
        <v>0</v>
      </c>
      <c r="AY478" s="166">
        <v>0</v>
      </c>
      <c r="AZ478" s="166">
        <v>0</v>
      </c>
      <c r="BA478" s="166">
        <v>0</v>
      </c>
      <c r="BB478" s="166">
        <v>0</v>
      </c>
      <c r="BC478" s="166">
        <v>0</v>
      </c>
      <c r="BD478" s="166">
        <v>0</v>
      </c>
      <c r="BE478" s="166">
        <v>0</v>
      </c>
      <c r="BF478" s="166">
        <v>0</v>
      </c>
      <c r="BG478" s="166">
        <v>0</v>
      </c>
      <c r="BH478" s="166">
        <v>0</v>
      </c>
      <c r="BI478" s="166">
        <v>0</v>
      </c>
      <c r="BJ478" s="166">
        <v>0</v>
      </c>
      <c r="BK478" s="166">
        <v>0</v>
      </c>
      <c r="BL478" s="166">
        <v>0</v>
      </c>
      <c r="BM478" s="166">
        <v>0</v>
      </c>
      <c r="BN478" s="166">
        <v>0</v>
      </c>
      <c r="BO478" s="166">
        <v>0</v>
      </c>
      <c r="BP478" s="166">
        <v>0</v>
      </c>
      <c r="BQ478" s="81" t="s">
        <v>1758</v>
      </c>
      <c r="BR478" s="81" t="s">
        <v>161</v>
      </c>
      <c r="BV478" s="81" t="s">
        <v>155</v>
      </c>
      <c r="BZ478" s="81" t="s">
        <v>155</v>
      </c>
      <c r="CA478" s="81" t="s">
        <v>3980</v>
      </c>
      <c r="CC478" s="167">
        <v>0</v>
      </c>
      <c r="CD478" s="167">
        <f>N478</f>
        <v>4</v>
      </c>
      <c r="CE478" s="167">
        <v>0</v>
      </c>
      <c r="CF478" s="167">
        <v>0</v>
      </c>
      <c r="CG478" s="167">
        <v>0</v>
      </c>
      <c r="CH478" s="167">
        <v>0</v>
      </c>
      <c r="CI478" s="167">
        <v>0</v>
      </c>
      <c r="CJ478" s="167">
        <v>0</v>
      </c>
      <c r="CK478" s="167">
        <v>0</v>
      </c>
      <c r="CL478" s="167">
        <v>0</v>
      </c>
      <c r="CM478" s="167">
        <v>0</v>
      </c>
      <c r="CN478" s="167">
        <v>0</v>
      </c>
      <c r="CO478" s="167">
        <v>0</v>
      </c>
      <c r="CP478" s="167">
        <v>0</v>
      </c>
      <c r="CQ478" s="167">
        <v>0</v>
      </c>
      <c r="CR478" s="167">
        <v>0</v>
      </c>
      <c r="CS478" s="167">
        <v>0</v>
      </c>
      <c r="CT478" s="167">
        <v>0</v>
      </c>
      <c r="CU478" s="167">
        <v>0</v>
      </c>
      <c r="CV478" s="167">
        <v>0</v>
      </c>
      <c r="CW478" s="167">
        <v>0</v>
      </c>
      <c r="CX478" s="167">
        <f>SUM(CD478:CH478)</f>
        <v>4</v>
      </c>
      <c r="CY478" s="167">
        <f>SUM(CD478:CM478)</f>
        <v>4</v>
      </c>
    </row>
    <row r="479" spans="1:103" ht="12.75" customHeight="1" x14ac:dyDescent="0.2">
      <c r="A479" s="81">
        <v>5195</v>
      </c>
      <c r="B479" s="165" t="s">
        <v>1908</v>
      </c>
      <c r="C479" s="165" t="s">
        <v>223</v>
      </c>
      <c r="D479" s="165" t="s">
        <v>64</v>
      </c>
      <c r="E479" s="165" t="s">
        <v>3363</v>
      </c>
      <c r="G479" s="81">
        <v>523820</v>
      </c>
      <c r="H479" s="81">
        <v>173605</v>
      </c>
      <c r="I479" s="165" t="s">
        <v>111</v>
      </c>
      <c r="J479" s="349">
        <v>42522</v>
      </c>
      <c r="L479" s="166">
        <v>0</v>
      </c>
      <c r="M479" s="166">
        <v>110</v>
      </c>
      <c r="N479" s="166">
        <v>110</v>
      </c>
      <c r="O479" s="166">
        <v>110</v>
      </c>
      <c r="P479" s="166">
        <v>110</v>
      </c>
      <c r="Q479" s="81" t="s">
        <v>155</v>
      </c>
      <c r="R479" s="165" t="s">
        <v>882</v>
      </c>
      <c r="S479" s="81" t="s">
        <v>104</v>
      </c>
      <c r="T479" s="349">
        <v>41423</v>
      </c>
      <c r="U479" s="349">
        <v>41569</v>
      </c>
      <c r="W479" s="81" t="s">
        <v>114</v>
      </c>
      <c r="Y479" s="81" t="s">
        <v>115</v>
      </c>
      <c r="Z479" s="81" t="s">
        <v>116</v>
      </c>
      <c r="AA479" s="81" t="s">
        <v>116</v>
      </c>
      <c r="AB479" s="81" t="s">
        <v>117</v>
      </c>
      <c r="AC479" s="166">
        <v>1.2489999532699601</v>
      </c>
      <c r="AD479" s="349">
        <v>42522</v>
      </c>
      <c r="AG479" s="81" t="s">
        <v>238</v>
      </c>
      <c r="AH479" s="81" t="s">
        <v>118</v>
      </c>
      <c r="AK479" s="166">
        <v>110</v>
      </c>
      <c r="AL479" s="166">
        <v>99</v>
      </c>
      <c r="AM479" s="166">
        <v>11</v>
      </c>
      <c r="AN479" s="166">
        <v>11</v>
      </c>
      <c r="AO479" s="166">
        <v>0</v>
      </c>
      <c r="AP479" s="166">
        <v>19</v>
      </c>
      <c r="AQ479" s="166">
        <v>30</v>
      </c>
      <c r="AR479" s="166">
        <v>26</v>
      </c>
      <c r="AS479" s="166">
        <v>35</v>
      </c>
      <c r="AT479" s="166">
        <v>0</v>
      </c>
      <c r="AU479" s="166">
        <v>0</v>
      </c>
      <c r="AV479" s="166">
        <v>0</v>
      </c>
      <c r="AW479" s="166">
        <v>19</v>
      </c>
      <c r="AX479" s="166">
        <v>30</v>
      </c>
      <c r="AY479" s="166">
        <v>6</v>
      </c>
      <c r="AZ479" s="166">
        <v>0</v>
      </c>
      <c r="BA479" s="166">
        <v>0</v>
      </c>
      <c r="BB479" s="166">
        <v>0</v>
      </c>
      <c r="BC479" s="166">
        <v>0</v>
      </c>
      <c r="BD479" s="166">
        <v>0</v>
      </c>
      <c r="BE479" s="166">
        <v>0</v>
      </c>
      <c r="BF479" s="166">
        <v>20</v>
      </c>
      <c r="BG479" s="166">
        <v>35</v>
      </c>
      <c r="BH479" s="166">
        <v>0</v>
      </c>
      <c r="BI479" s="166">
        <v>0</v>
      </c>
      <c r="BJ479" s="166">
        <v>0</v>
      </c>
      <c r="BK479" s="166">
        <v>0</v>
      </c>
      <c r="BL479" s="166">
        <v>0</v>
      </c>
      <c r="BM479" s="166">
        <v>0</v>
      </c>
      <c r="BN479" s="166">
        <v>0</v>
      </c>
      <c r="BO479" s="166">
        <v>0</v>
      </c>
      <c r="BP479" s="166">
        <v>0</v>
      </c>
      <c r="BQ479" s="81" t="s">
        <v>1758</v>
      </c>
      <c r="BZ479" s="81" t="s">
        <v>155</v>
      </c>
      <c r="CA479" s="81" t="s">
        <v>3934</v>
      </c>
      <c r="CC479" s="167">
        <v>0</v>
      </c>
      <c r="CD479" s="167">
        <v>0</v>
      </c>
      <c r="CE479" s="167">
        <f>N479</f>
        <v>110</v>
      </c>
      <c r="CF479" s="167">
        <v>0</v>
      </c>
      <c r="CG479" s="167">
        <v>0</v>
      </c>
      <c r="CH479" s="167">
        <v>0</v>
      </c>
      <c r="CI479" s="167">
        <v>0</v>
      </c>
      <c r="CJ479" s="167">
        <v>0</v>
      </c>
      <c r="CK479" s="167">
        <v>0</v>
      </c>
      <c r="CL479" s="167">
        <v>0</v>
      </c>
      <c r="CM479" s="167">
        <v>0</v>
      </c>
      <c r="CN479" s="167">
        <v>0</v>
      </c>
      <c r="CO479" s="167">
        <v>0</v>
      </c>
      <c r="CP479" s="167">
        <v>0</v>
      </c>
      <c r="CQ479" s="167">
        <v>0</v>
      </c>
      <c r="CR479" s="167">
        <v>0</v>
      </c>
      <c r="CS479" s="167">
        <v>0</v>
      </c>
      <c r="CT479" s="167">
        <v>0</v>
      </c>
      <c r="CU479" s="167">
        <v>0</v>
      </c>
      <c r="CV479" s="167">
        <v>0</v>
      </c>
      <c r="CW479" s="167">
        <v>0</v>
      </c>
      <c r="CX479" s="167">
        <f>SUM(CD479:CH479)</f>
        <v>110</v>
      </c>
      <c r="CY479" s="167">
        <f>SUM(CD479:CM479)</f>
        <v>110</v>
      </c>
    </row>
    <row r="480" spans="1:103" ht="12.75" customHeight="1" x14ac:dyDescent="0.2">
      <c r="A480" s="81">
        <v>5215</v>
      </c>
      <c r="B480" s="165" t="s">
        <v>1908</v>
      </c>
      <c r="C480" s="165" t="s">
        <v>3365</v>
      </c>
      <c r="E480" s="165" t="s">
        <v>3366</v>
      </c>
      <c r="G480" s="81">
        <v>528754</v>
      </c>
      <c r="H480" s="81">
        <v>173676</v>
      </c>
      <c r="I480" s="165" t="s">
        <v>247</v>
      </c>
      <c r="J480" s="349">
        <v>43190</v>
      </c>
      <c r="L480" s="166">
        <v>0</v>
      </c>
      <c r="M480" s="166">
        <v>1</v>
      </c>
      <c r="N480" s="166">
        <v>1</v>
      </c>
      <c r="O480" s="166">
        <v>1</v>
      </c>
      <c r="P480" s="166">
        <v>1</v>
      </c>
      <c r="R480" s="165" t="s">
        <v>3367</v>
      </c>
      <c r="S480" s="81" t="s">
        <v>113</v>
      </c>
      <c r="T480" s="349">
        <v>42944</v>
      </c>
      <c r="U480" s="349">
        <v>43000</v>
      </c>
      <c r="V480" s="81" t="s">
        <v>155</v>
      </c>
      <c r="W480" s="81" t="s">
        <v>114</v>
      </c>
      <c r="Y480" s="81" t="s">
        <v>115</v>
      </c>
      <c r="Z480" s="81" t="s">
        <v>116</v>
      </c>
      <c r="AA480" s="81" t="s">
        <v>117</v>
      </c>
      <c r="AB480" s="81" t="s">
        <v>218</v>
      </c>
      <c r="AC480" s="166">
        <v>4.0000001899898104E-3</v>
      </c>
      <c r="AD480" s="349">
        <v>43190</v>
      </c>
      <c r="AE480" s="81" t="s">
        <v>155</v>
      </c>
      <c r="AG480" s="81" t="s">
        <v>238</v>
      </c>
      <c r="AH480" s="81" t="s">
        <v>118</v>
      </c>
      <c r="AK480" s="166">
        <v>0</v>
      </c>
      <c r="AM480" s="166">
        <v>0</v>
      </c>
      <c r="AO480" s="166">
        <v>0</v>
      </c>
      <c r="AP480" s="166">
        <v>1</v>
      </c>
      <c r="AQ480" s="166">
        <v>0</v>
      </c>
      <c r="AR480" s="166">
        <v>0</v>
      </c>
      <c r="AS480" s="166">
        <v>0</v>
      </c>
      <c r="AT480" s="166">
        <v>0</v>
      </c>
      <c r="AU480" s="166">
        <v>0</v>
      </c>
      <c r="AV480" s="166">
        <v>0</v>
      </c>
      <c r="AW480" s="166">
        <v>1</v>
      </c>
      <c r="AX480" s="166">
        <v>0</v>
      </c>
      <c r="AY480" s="166">
        <v>0</v>
      </c>
      <c r="AZ480" s="166">
        <v>0</v>
      </c>
      <c r="BA480" s="166">
        <v>0</v>
      </c>
      <c r="BB480" s="166">
        <v>0</v>
      </c>
      <c r="BC480" s="166">
        <v>0</v>
      </c>
      <c r="BD480" s="166">
        <v>0</v>
      </c>
      <c r="BE480" s="166">
        <v>0</v>
      </c>
      <c r="BF480" s="166">
        <v>0</v>
      </c>
      <c r="BG480" s="166">
        <v>0</v>
      </c>
      <c r="BH480" s="166">
        <v>0</v>
      </c>
      <c r="BI480" s="166">
        <v>0</v>
      </c>
      <c r="BJ480" s="166">
        <v>0</v>
      </c>
      <c r="BK480" s="166">
        <v>0</v>
      </c>
      <c r="BL480" s="166">
        <v>0</v>
      </c>
      <c r="BM480" s="166">
        <v>0</v>
      </c>
      <c r="BN480" s="166">
        <v>0</v>
      </c>
      <c r="BO480" s="166">
        <v>0</v>
      </c>
      <c r="BP480" s="166">
        <v>0</v>
      </c>
      <c r="BQ480" s="81" t="s">
        <v>1757</v>
      </c>
      <c r="BR480" s="81" t="s">
        <v>247</v>
      </c>
      <c r="BZ480" s="81" t="s">
        <v>155</v>
      </c>
      <c r="CA480" s="81" t="s">
        <v>3977</v>
      </c>
      <c r="CC480" s="167">
        <v>0</v>
      </c>
      <c r="CD480" s="167">
        <f>$N480/2</f>
        <v>0.5</v>
      </c>
      <c r="CE480" s="167">
        <f>$N480/2</f>
        <v>0.5</v>
      </c>
      <c r="CF480" s="167">
        <v>0</v>
      </c>
      <c r="CG480" s="167">
        <v>0</v>
      </c>
      <c r="CH480" s="167">
        <v>0</v>
      </c>
      <c r="CI480" s="167">
        <v>0</v>
      </c>
      <c r="CJ480" s="167">
        <v>0</v>
      </c>
      <c r="CK480" s="167">
        <v>0</v>
      </c>
      <c r="CL480" s="167">
        <v>0</v>
      </c>
      <c r="CM480" s="167">
        <v>0</v>
      </c>
      <c r="CN480" s="167">
        <v>0</v>
      </c>
      <c r="CO480" s="167">
        <v>0</v>
      </c>
      <c r="CP480" s="167">
        <v>0</v>
      </c>
      <c r="CQ480" s="167">
        <v>0</v>
      </c>
      <c r="CR480" s="167">
        <v>0</v>
      </c>
      <c r="CS480" s="167">
        <v>0</v>
      </c>
      <c r="CT480" s="167">
        <v>0</v>
      </c>
      <c r="CU480" s="167">
        <v>0</v>
      </c>
      <c r="CV480" s="167">
        <v>0</v>
      </c>
      <c r="CW480" s="167">
        <v>0</v>
      </c>
      <c r="CX480" s="167">
        <f>SUM(CD480:CH480)</f>
        <v>1</v>
      </c>
      <c r="CY480" s="167">
        <f>SUM(CD480:CM480)</f>
        <v>1</v>
      </c>
    </row>
    <row r="481" spans="1:103" ht="12.75" customHeight="1" x14ac:dyDescent="0.2">
      <c r="A481" s="81">
        <v>5235</v>
      </c>
      <c r="B481" s="165" t="s">
        <v>1908</v>
      </c>
      <c r="C481" s="165" t="s">
        <v>1154</v>
      </c>
      <c r="E481" s="165" t="s">
        <v>3530</v>
      </c>
      <c r="G481" s="81">
        <v>528062</v>
      </c>
      <c r="H481" s="81">
        <v>175605</v>
      </c>
      <c r="I481" s="165" t="s">
        <v>256</v>
      </c>
      <c r="J481" s="349">
        <v>43190</v>
      </c>
      <c r="L481" s="166">
        <v>0</v>
      </c>
      <c r="M481" s="166">
        <v>1</v>
      </c>
      <c r="N481" s="166">
        <v>1</v>
      </c>
      <c r="O481" s="166">
        <v>1</v>
      </c>
      <c r="P481" s="166">
        <v>1</v>
      </c>
      <c r="R481" s="165" t="s">
        <v>1155</v>
      </c>
      <c r="S481" s="81" t="s">
        <v>296</v>
      </c>
      <c r="T481" s="349">
        <v>42317</v>
      </c>
      <c r="U481" s="349">
        <v>42447</v>
      </c>
      <c r="W481" s="81" t="s">
        <v>297</v>
      </c>
      <c r="X481" s="349">
        <v>42768</v>
      </c>
      <c r="Y481" s="81" t="s">
        <v>115</v>
      </c>
      <c r="Z481" s="81" t="s">
        <v>398</v>
      </c>
      <c r="AA481" s="81" t="s">
        <v>117</v>
      </c>
      <c r="AB481" s="81" t="s">
        <v>218</v>
      </c>
      <c r="AC481" s="166">
        <v>4.0000001899898104E-3</v>
      </c>
      <c r="AD481" s="349">
        <v>43190</v>
      </c>
      <c r="AE481" s="81" t="s">
        <v>155</v>
      </c>
      <c r="AG481" s="81" t="s">
        <v>238</v>
      </c>
      <c r="AH481" s="81" t="s">
        <v>118</v>
      </c>
      <c r="AK481" s="166">
        <v>0</v>
      </c>
      <c r="AM481" s="166">
        <v>0</v>
      </c>
      <c r="AO481" s="166">
        <v>0</v>
      </c>
      <c r="AP481" s="166">
        <v>1</v>
      </c>
      <c r="AQ481" s="166">
        <v>0</v>
      </c>
      <c r="AR481" s="166">
        <v>0</v>
      </c>
      <c r="AS481" s="166">
        <v>0</v>
      </c>
      <c r="AT481" s="166">
        <v>0</v>
      </c>
      <c r="AU481" s="166">
        <v>0</v>
      </c>
      <c r="AV481" s="166">
        <v>0</v>
      </c>
      <c r="AW481" s="166">
        <v>1</v>
      </c>
      <c r="AX481" s="166">
        <v>0</v>
      </c>
      <c r="AY481" s="166">
        <v>0</v>
      </c>
      <c r="AZ481" s="166">
        <v>0</v>
      </c>
      <c r="BA481" s="166">
        <v>0</v>
      </c>
      <c r="BB481" s="166">
        <v>0</v>
      </c>
      <c r="BC481" s="166">
        <v>0</v>
      </c>
      <c r="BD481" s="166">
        <v>0</v>
      </c>
      <c r="BE481" s="166">
        <v>0</v>
      </c>
      <c r="BF481" s="166">
        <v>0</v>
      </c>
      <c r="BG481" s="166">
        <v>0</v>
      </c>
      <c r="BH481" s="166">
        <v>0</v>
      </c>
      <c r="BI481" s="166">
        <v>0</v>
      </c>
      <c r="BJ481" s="166">
        <v>0</v>
      </c>
      <c r="BK481" s="166">
        <v>0</v>
      </c>
      <c r="BL481" s="166">
        <v>0</v>
      </c>
      <c r="BM481" s="166">
        <v>0</v>
      </c>
      <c r="BN481" s="166">
        <v>0</v>
      </c>
      <c r="BO481" s="166">
        <v>0</v>
      </c>
      <c r="BP481" s="166">
        <v>0</v>
      </c>
      <c r="BQ481" s="81" t="s">
        <v>1757</v>
      </c>
      <c r="BZ481" s="81" t="s">
        <v>155</v>
      </c>
      <c r="CA481" s="81" t="s">
        <v>3981</v>
      </c>
      <c r="CC481" s="167">
        <v>0</v>
      </c>
      <c r="CD481" s="167">
        <f>$N481/2</f>
        <v>0.5</v>
      </c>
      <c r="CE481" s="167">
        <f>$N481/2</f>
        <v>0.5</v>
      </c>
      <c r="CF481" s="167">
        <v>0</v>
      </c>
      <c r="CG481" s="167">
        <v>0</v>
      </c>
      <c r="CH481" s="167">
        <v>0</v>
      </c>
      <c r="CI481" s="167">
        <v>0</v>
      </c>
      <c r="CJ481" s="167">
        <v>0</v>
      </c>
      <c r="CK481" s="167">
        <v>0</v>
      </c>
      <c r="CL481" s="167">
        <v>0</v>
      </c>
      <c r="CM481" s="167">
        <v>0</v>
      </c>
      <c r="CN481" s="167">
        <v>0</v>
      </c>
      <c r="CO481" s="167">
        <v>0</v>
      </c>
      <c r="CP481" s="167">
        <v>0</v>
      </c>
      <c r="CQ481" s="167">
        <v>0</v>
      </c>
      <c r="CR481" s="167">
        <v>0</v>
      </c>
      <c r="CS481" s="167">
        <v>0</v>
      </c>
      <c r="CT481" s="167">
        <v>0</v>
      </c>
      <c r="CU481" s="167">
        <v>0</v>
      </c>
      <c r="CV481" s="167">
        <v>0</v>
      </c>
      <c r="CW481" s="167">
        <v>0</v>
      </c>
      <c r="CX481" s="167">
        <f>SUM(CD481:CH481)</f>
        <v>1</v>
      </c>
      <c r="CY481" s="167">
        <f>SUM(CD481:CM481)</f>
        <v>1</v>
      </c>
    </row>
    <row r="482" spans="1:103" ht="12.75" customHeight="1" x14ac:dyDescent="0.2">
      <c r="A482" s="81">
        <v>5245</v>
      </c>
      <c r="B482" s="165" t="s">
        <v>1908</v>
      </c>
      <c r="C482" s="165" t="s">
        <v>309</v>
      </c>
      <c r="E482" s="165" t="s">
        <v>3373</v>
      </c>
      <c r="G482" s="81">
        <v>529554</v>
      </c>
      <c r="H482" s="81">
        <v>176699</v>
      </c>
      <c r="I482" s="165" t="s">
        <v>240</v>
      </c>
      <c r="J482" s="349">
        <v>42461</v>
      </c>
      <c r="L482" s="166">
        <v>0</v>
      </c>
      <c r="M482" s="166">
        <v>16</v>
      </c>
      <c r="N482" s="166">
        <v>16</v>
      </c>
      <c r="O482" s="166">
        <v>16</v>
      </c>
      <c r="P482" s="166">
        <v>16</v>
      </c>
      <c r="Q482" s="81" t="s">
        <v>155</v>
      </c>
      <c r="R482" s="165" t="s">
        <v>1085</v>
      </c>
      <c r="S482" s="81" t="s">
        <v>104</v>
      </c>
      <c r="T482" s="349">
        <v>41354</v>
      </c>
      <c r="U482" s="349">
        <v>41555</v>
      </c>
      <c r="W482" s="81" t="s">
        <v>114</v>
      </c>
      <c r="Y482" s="81" t="s">
        <v>115</v>
      </c>
      <c r="Z482" s="81" t="s">
        <v>116</v>
      </c>
      <c r="AA482" s="81" t="s">
        <v>116</v>
      </c>
      <c r="AB482" s="81" t="s">
        <v>117</v>
      </c>
      <c r="AC482" s="166">
        <v>2.0999999716877899E-2</v>
      </c>
      <c r="AD482" s="349">
        <v>42461</v>
      </c>
      <c r="AG482" s="81" t="s">
        <v>238</v>
      </c>
      <c r="AH482" s="81" t="s">
        <v>118</v>
      </c>
      <c r="AK482" s="166">
        <v>16</v>
      </c>
      <c r="AM482" s="166">
        <v>16</v>
      </c>
      <c r="AO482" s="166">
        <v>0</v>
      </c>
      <c r="AP482" s="166">
        <v>3</v>
      </c>
      <c r="AQ482" s="166">
        <v>8</v>
      </c>
      <c r="AR482" s="166">
        <v>5</v>
      </c>
      <c r="AS482" s="166">
        <v>0</v>
      </c>
      <c r="AT482" s="166">
        <v>0</v>
      </c>
      <c r="AU482" s="166">
        <v>0</v>
      </c>
      <c r="AV482" s="166">
        <v>0</v>
      </c>
      <c r="AW482" s="166">
        <v>3</v>
      </c>
      <c r="AX482" s="166">
        <v>8</v>
      </c>
      <c r="AY482" s="166">
        <v>5</v>
      </c>
      <c r="AZ482" s="166">
        <v>0</v>
      </c>
      <c r="BA482" s="166">
        <v>0</v>
      </c>
      <c r="BB482" s="166">
        <v>0</v>
      </c>
      <c r="BC482" s="166">
        <v>0</v>
      </c>
      <c r="BD482" s="166">
        <v>0</v>
      </c>
      <c r="BE482" s="166">
        <v>0</v>
      </c>
      <c r="BF482" s="166">
        <v>0</v>
      </c>
      <c r="BG482" s="166">
        <v>0</v>
      </c>
      <c r="BH482" s="166">
        <v>0</v>
      </c>
      <c r="BI482" s="166">
        <v>0</v>
      </c>
      <c r="BJ482" s="166">
        <v>0</v>
      </c>
      <c r="BK482" s="166">
        <v>0</v>
      </c>
      <c r="BL482" s="166">
        <v>0</v>
      </c>
      <c r="BM482" s="166">
        <v>0</v>
      </c>
      <c r="BN482" s="166">
        <v>0</v>
      </c>
      <c r="BO482" s="166">
        <v>0</v>
      </c>
      <c r="BP482" s="166">
        <v>0</v>
      </c>
      <c r="BQ482" s="81" t="s">
        <v>1759</v>
      </c>
      <c r="BS482" s="81" t="s">
        <v>155</v>
      </c>
      <c r="BZ482" s="81" t="s">
        <v>155</v>
      </c>
      <c r="CA482" s="81" t="s">
        <v>3976</v>
      </c>
      <c r="CC482" s="167">
        <v>0</v>
      </c>
      <c r="CD482" s="167">
        <f>N482</f>
        <v>16</v>
      </c>
      <c r="CE482" s="167">
        <v>0</v>
      </c>
      <c r="CF482" s="167">
        <v>0</v>
      </c>
      <c r="CG482" s="167">
        <v>0</v>
      </c>
      <c r="CH482" s="167">
        <v>0</v>
      </c>
      <c r="CI482" s="167">
        <v>0</v>
      </c>
      <c r="CJ482" s="167">
        <v>0</v>
      </c>
      <c r="CK482" s="167">
        <v>0</v>
      </c>
      <c r="CL482" s="167">
        <v>0</v>
      </c>
      <c r="CM482" s="167">
        <v>0</v>
      </c>
      <c r="CN482" s="167">
        <v>0</v>
      </c>
      <c r="CO482" s="167">
        <v>0</v>
      </c>
      <c r="CP482" s="167">
        <v>0</v>
      </c>
      <c r="CQ482" s="167">
        <v>0</v>
      </c>
      <c r="CR482" s="167">
        <v>0</v>
      </c>
      <c r="CS482" s="167">
        <v>0</v>
      </c>
      <c r="CT482" s="167">
        <v>0</v>
      </c>
      <c r="CU482" s="167">
        <v>0</v>
      </c>
      <c r="CV482" s="167">
        <v>0</v>
      </c>
      <c r="CW482" s="167">
        <v>0</v>
      </c>
      <c r="CX482" s="167">
        <f>SUM(CD482:CH482)</f>
        <v>16</v>
      </c>
      <c r="CY482" s="167">
        <f>SUM(CD482:CM482)</f>
        <v>16</v>
      </c>
    </row>
    <row r="483" spans="1:103" ht="12.75" customHeight="1" x14ac:dyDescent="0.2">
      <c r="A483" s="81">
        <v>5292</v>
      </c>
      <c r="B483" s="165" t="s">
        <v>1908</v>
      </c>
      <c r="C483" s="165" t="s">
        <v>604</v>
      </c>
      <c r="E483" s="165" t="s">
        <v>3374</v>
      </c>
      <c r="F483" s="165" t="s">
        <v>605</v>
      </c>
      <c r="G483" s="81">
        <v>524279</v>
      </c>
      <c r="H483" s="81">
        <v>174909</v>
      </c>
      <c r="I483" s="165" t="s">
        <v>250</v>
      </c>
      <c r="J483" s="349">
        <v>42825</v>
      </c>
      <c r="L483" s="166">
        <v>0</v>
      </c>
      <c r="M483" s="166">
        <v>2</v>
      </c>
      <c r="N483" s="166">
        <v>2</v>
      </c>
      <c r="O483" s="166">
        <v>73</v>
      </c>
      <c r="P483" s="166">
        <v>73</v>
      </c>
      <c r="Q483" s="81" t="s">
        <v>155</v>
      </c>
      <c r="R483" s="165" t="s">
        <v>1138</v>
      </c>
      <c r="S483" s="81" t="s">
        <v>104</v>
      </c>
      <c r="T483" s="349">
        <v>42188</v>
      </c>
      <c r="U483" s="349">
        <v>42335</v>
      </c>
      <c r="W483" s="81" t="s">
        <v>114</v>
      </c>
      <c r="Y483" s="81" t="s">
        <v>115</v>
      </c>
      <c r="Z483" s="81" t="s">
        <v>116</v>
      </c>
      <c r="AA483" s="81" t="s">
        <v>116</v>
      </c>
      <c r="AB483" s="81" t="s">
        <v>117</v>
      </c>
      <c r="AC483" s="166">
        <v>0</v>
      </c>
      <c r="AD483" s="349">
        <v>42825</v>
      </c>
      <c r="AG483" s="81" t="s">
        <v>238</v>
      </c>
      <c r="AH483" s="81" t="s">
        <v>118</v>
      </c>
      <c r="AI483" s="81" t="s">
        <v>3375</v>
      </c>
      <c r="AK483" s="166">
        <v>2</v>
      </c>
      <c r="AM483" s="166">
        <v>0</v>
      </c>
      <c r="AO483" s="166">
        <v>0</v>
      </c>
      <c r="AP483" s="166">
        <v>0</v>
      </c>
      <c r="AQ483" s="166">
        <v>2</v>
      </c>
      <c r="AR483" s="166">
        <v>0</v>
      </c>
      <c r="AS483" s="166">
        <v>0</v>
      </c>
      <c r="AT483" s="166">
        <v>0</v>
      </c>
      <c r="AU483" s="166">
        <v>0</v>
      </c>
      <c r="AV483" s="166">
        <v>0</v>
      </c>
      <c r="AW483" s="166">
        <v>0</v>
      </c>
      <c r="AX483" s="166">
        <v>2</v>
      </c>
      <c r="AY483" s="166">
        <v>0</v>
      </c>
      <c r="AZ483" s="166">
        <v>0</v>
      </c>
      <c r="BA483" s="166">
        <v>0</v>
      </c>
      <c r="BB483" s="166">
        <v>0</v>
      </c>
      <c r="BC483" s="166">
        <v>0</v>
      </c>
      <c r="BD483" s="166">
        <v>0</v>
      </c>
      <c r="BE483" s="166">
        <v>0</v>
      </c>
      <c r="BF483" s="166">
        <v>0</v>
      </c>
      <c r="BG483" s="166">
        <v>0</v>
      </c>
      <c r="BH483" s="166">
        <v>0</v>
      </c>
      <c r="BI483" s="166">
        <v>0</v>
      </c>
      <c r="BJ483" s="166">
        <v>0</v>
      </c>
      <c r="BK483" s="166">
        <v>0</v>
      </c>
      <c r="BL483" s="166">
        <v>0</v>
      </c>
      <c r="BM483" s="166">
        <v>0</v>
      </c>
      <c r="BN483" s="166">
        <v>0</v>
      </c>
      <c r="BO483" s="166">
        <v>0</v>
      </c>
      <c r="BP483" s="166">
        <v>0</v>
      </c>
      <c r="BQ483" s="81" t="s">
        <v>1758</v>
      </c>
      <c r="BR483" s="81" t="s">
        <v>161</v>
      </c>
      <c r="BV483" s="81" t="s">
        <v>155</v>
      </c>
      <c r="BZ483" s="81" t="s">
        <v>155</v>
      </c>
      <c r="CA483" s="81" t="s">
        <v>3934</v>
      </c>
      <c r="CC483" s="167">
        <v>0</v>
      </c>
      <c r="CD483" s="167">
        <v>0</v>
      </c>
      <c r="CE483" s="167">
        <f>N483</f>
        <v>2</v>
      </c>
      <c r="CF483" s="167">
        <v>0</v>
      </c>
      <c r="CG483" s="167">
        <v>0</v>
      </c>
      <c r="CH483" s="167">
        <v>0</v>
      </c>
      <c r="CI483" s="167">
        <v>0</v>
      </c>
      <c r="CJ483" s="167">
        <v>0</v>
      </c>
      <c r="CK483" s="167">
        <v>0</v>
      </c>
      <c r="CL483" s="167">
        <v>0</v>
      </c>
      <c r="CM483" s="167">
        <v>0</v>
      </c>
      <c r="CN483" s="167">
        <v>0</v>
      </c>
      <c r="CO483" s="167">
        <v>0</v>
      </c>
      <c r="CP483" s="167">
        <v>0</v>
      </c>
      <c r="CQ483" s="167">
        <v>0</v>
      </c>
      <c r="CR483" s="167">
        <v>0</v>
      </c>
      <c r="CS483" s="167">
        <v>0</v>
      </c>
      <c r="CT483" s="167">
        <v>0</v>
      </c>
      <c r="CU483" s="167">
        <v>0</v>
      </c>
      <c r="CV483" s="167">
        <v>0</v>
      </c>
      <c r="CW483" s="167">
        <v>0</v>
      </c>
      <c r="CX483" s="167">
        <f>SUM(CD483:CH483)</f>
        <v>2</v>
      </c>
      <c r="CY483" s="167">
        <f>SUM(CD483:CM483)</f>
        <v>2</v>
      </c>
    </row>
    <row r="484" spans="1:103" ht="12.75" customHeight="1" x14ac:dyDescent="0.2">
      <c r="A484" s="81">
        <v>5292</v>
      </c>
      <c r="B484" s="165" t="s">
        <v>1908</v>
      </c>
      <c r="C484" s="165" t="s">
        <v>604</v>
      </c>
      <c r="E484" s="165" t="s">
        <v>3374</v>
      </c>
      <c r="F484" s="165" t="s">
        <v>606</v>
      </c>
      <c r="G484" s="81">
        <v>524279</v>
      </c>
      <c r="H484" s="81">
        <v>174909</v>
      </c>
      <c r="I484" s="165" t="s">
        <v>250</v>
      </c>
      <c r="J484" s="349">
        <v>42825</v>
      </c>
      <c r="L484" s="166">
        <v>0</v>
      </c>
      <c r="M484" s="166">
        <v>1</v>
      </c>
      <c r="N484" s="166">
        <v>1</v>
      </c>
      <c r="O484" s="166">
        <v>73</v>
      </c>
      <c r="P484" s="166">
        <v>73</v>
      </c>
      <c r="Q484" s="81" t="s">
        <v>155</v>
      </c>
      <c r="R484" s="165" t="s">
        <v>1138</v>
      </c>
      <c r="S484" s="81" t="s">
        <v>104</v>
      </c>
      <c r="T484" s="349">
        <v>42188</v>
      </c>
      <c r="U484" s="349">
        <v>42335</v>
      </c>
      <c r="W484" s="81" t="s">
        <v>114</v>
      </c>
      <c r="Y484" s="81" t="s">
        <v>115</v>
      </c>
      <c r="Z484" s="81" t="s">
        <v>116</v>
      </c>
      <c r="AA484" s="81" t="s">
        <v>116</v>
      </c>
      <c r="AB484" s="81" t="s">
        <v>117</v>
      </c>
      <c r="AC484" s="166">
        <v>0</v>
      </c>
      <c r="AD484" s="349">
        <v>42825</v>
      </c>
      <c r="AG484" s="81" t="s">
        <v>238</v>
      </c>
      <c r="AH484" s="81" t="s">
        <v>118</v>
      </c>
      <c r="AI484" s="81" t="s">
        <v>3375</v>
      </c>
      <c r="AK484" s="166">
        <v>1</v>
      </c>
      <c r="AM484" s="166">
        <v>0</v>
      </c>
      <c r="AO484" s="166">
        <v>0</v>
      </c>
      <c r="AP484" s="166">
        <v>0</v>
      </c>
      <c r="AQ484" s="166">
        <v>0</v>
      </c>
      <c r="AR484" s="166">
        <v>1</v>
      </c>
      <c r="AS484" s="166">
        <v>0</v>
      </c>
      <c r="AT484" s="166">
        <v>0</v>
      </c>
      <c r="AU484" s="166">
        <v>0</v>
      </c>
      <c r="AV484" s="166">
        <v>0</v>
      </c>
      <c r="AW484" s="166">
        <v>0</v>
      </c>
      <c r="AX484" s="166">
        <v>0</v>
      </c>
      <c r="AY484" s="166">
        <v>1</v>
      </c>
      <c r="AZ484" s="166">
        <v>0</v>
      </c>
      <c r="BA484" s="166">
        <v>0</v>
      </c>
      <c r="BB484" s="166">
        <v>0</v>
      </c>
      <c r="BC484" s="166">
        <v>0</v>
      </c>
      <c r="BD484" s="166">
        <v>0</v>
      </c>
      <c r="BE484" s="166">
        <v>0</v>
      </c>
      <c r="BF484" s="166">
        <v>0</v>
      </c>
      <c r="BG484" s="166">
        <v>0</v>
      </c>
      <c r="BH484" s="166">
        <v>0</v>
      </c>
      <c r="BI484" s="166">
        <v>0</v>
      </c>
      <c r="BJ484" s="166">
        <v>0</v>
      </c>
      <c r="BK484" s="166">
        <v>0</v>
      </c>
      <c r="BL484" s="166">
        <v>0</v>
      </c>
      <c r="BM484" s="166">
        <v>0</v>
      </c>
      <c r="BN484" s="166">
        <v>0</v>
      </c>
      <c r="BO484" s="166">
        <v>0</v>
      </c>
      <c r="BP484" s="166">
        <v>0</v>
      </c>
      <c r="BQ484" s="81" t="s">
        <v>1758</v>
      </c>
      <c r="BR484" s="81" t="s">
        <v>161</v>
      </c>
      <c r="BV484" s="81" t="s">
        <v>155</v>
      </c>
      <c r="BZ484" s="81" t="s">
        <v>155</v>
      </c>
      <c r="CA484" s="81" t="s">
        <v>3934</v>
      </c>
      <c r="CC484" s="167">
        <v>0</v>
      </c>
      <c r="CD484" s="167">
        <v>0</v>
      </c>
      <c r="CE484" s="167">
        <f>N484</f>
        <v>1</v>
      </c>
      <c r="CF484" s="167">
        <v>0</v>
      </c>
      <c r="CG484" s="167">
        <v>0</v>
      </c>
      <c r="CH484" s="167">
        <v>0</v>
      </c>
      <c r="CI484" s="167">
        <v>0</v>
      </c>
      <c r="CJ484" s="167">
        <v>0</v>
      </c>
      <c r="CK484" s="167">
        <v>0</v>
      </c>
      <c r="CL484" s="167">
        <v>0</v>
      </c>
      <c r="CM484" s="167">
        <v>0</v>
      </c>
      <c r="CN484" s="167">
        <v>0</v>
      </c>
      <c r="CO484" s="167">
        <v>0</v>
      </c>
      <c r="CP484" s="167">
        <v>0</v>
      </c>
      <c r="CQ484" s="167">
        <v>0</v>
      </c>
      <c r="CR484" s="167">
        <v>0</v>
      </c>
      <c r="CS484" s="167">
        <v>0</v>
      </c>
      <c r="CT484" s="167">
        <v>0</v>
      </c>
      <c r="CU484" s="167">
        <v>0</v>
      </c>
      <c r="CV484" s="167">
        <v>0</v>
      </c>
      <c r="CW484" s="167">
        <v>0</v>
      </c>
      <c r="CX484" s="167">
        <f>SUM(CD484:CH484)</f>
        <v>1</v>
      </c>
      <c r="CY484" s="167">
        <f>SUM(CD484:CM484)</f>
        <v>1</v>
      </c>
    </row>
    <row r="485" spans="1:103" ht="12.75" customHeight="1" x14ac:dyDescent="0.2">
      <c r="A485" s="81">
        <v>5292</v>
      </c>
      <c r="B485" s="165" t="s">
        <v>1908</v>
      </c>
      <c r="C485" s="165" t="s">
        <v>604</v>
      </c>
      <c r="E485" s="165" t="s">
        <v>3374</v>
      </c>
      <c r="F485" s="165" t="s">
        <v>607</v>
      </c>
      <c r="G485" s="81">
        <v>524279</v>
      </c>
      <c r="H485" s="81">
        <v>174909</v>
      </c>
      <c r="I485" s="165" t="s">
        <v>250</v>
      </c>
      <c r="J485" s="349">
        <v>42825</v>
      </c>
      <c r="L485" s="166">
        <v>0</v>
      </c>
      <c r="M485" s="166">
        <v>1</v>
      </c>
      <c r="N485" s="166">
        <v>1</v>
      </c>
      <c r="O485" s="166">
        <v>73</v>
      </c>
      <c r="P485" s="166">
        <v>73</v>
      </c>
      <c r="Q485" s="81" t="s">
        <v>155</v>
      </c>
      <c r="R485" s="165" t="s">
        <v>1138</v>
      </c>
      <c r="S485" s="81" t="s">
        <v>104</v>
      </c>
      <c r="T485" s="349">
        <v>42188</v>
      </c>
      <c r="U485" s="349">
        <v>42335</v>
      </c>
      <c r="W485" s="81" t="s">
        <v>114</v>
      </c>
      <c r="Y485" s="81" t="s">
        <v>115</v>
      </c>
      <c r="Z485" s="81" t="s">
        <v>116</v>
      </c>
      <c r="AA485" s="81" t="s">
        <v>116</v>
      </c>
      <c r="AB485" s="81" t="s">
        <v>117</v>
      </c>
      <c r="AC485" s="166">
        <v>0</v>
      </c>
      <c r="AD485" s="349">
        <v>42825</v>
      </c>
      <c r="AG485" s="81" t="s">
        <v>238</v>
      </c>
      <c r="AH485" s="81" t="s">
        <v>118</v>
      </c>
      <c r="AI485" s="81" t="s">
        <v>3375</v>
      </c>
      <c r="AK485" s="166">
        <v>1</v>
      </c>
      <c r="AM485" s="166">
        <v>0</v>
      </c>
      <c r="AO485" s="166">
        <v>0</v>
      </c>
      <c r="AP485" s="166">
        <v>0</v>
      </c>
      <c r="AQ485" s="166">
        <v>0</v>
      </c>
      <c r="AR485" s="166">
        <v>1</v>
      </c>
      <c r="AS485" s="166">
        <v>0</v>
      </c>
      <c r="AT485" s="166">
        <v>0</v>
      </c>
      <c r="AU485" s="166">
        <v>0</v>
      </c>
      <c r="AV485" s="166">
        <v>0</v>
      </c>
      <c r="AW485" s="166">
        <v>0</v>
      </c>
      <c r="AX485" s="166">
        <v>0</v>
      </c>
      <c r="AY485" s="166">
        <v>1</v>
      </c>
      <c r="AZ485" s="166">
        <v>0</v>
      </c>
      <c r="BA485" s="166">
        <v>0</v>
      </c>
      <c r="BB485" s="166">
        <v>0</v>
      </c>
      <c r="BC485" s="166">
        <v>0</v>
      </c>
      <c r="BD485" s="166">
        <v>0</v>
      </c>
      <c r="BE485" s="166">
        <v>0</v>
      </c>
      <c r="BF485" s="166">
        <v>0</v>
      </c>
      <c r="BG485" s="166">
        <v>0</v>
      </c>
      <c r="BH485" s="166">
        <v>0</v>
      </c>
      <c r="BI485" s="166">
        <v>0</v>
      </c>
      <c r="BJ485" s="166">
        <v>0</v>
      </c>
      <c r="BK485" s="166">
        <v>0</v>
      </c>
      <c r="BL485" s="166">
        <v>0</v>
      </c>
      <c r="BM485" s="166">
        <v>0</v>
      </c>
      <c r="BN485" s="166">
        <v>0</v>
      </c>
      <c r="BO485" s="166">
        <v>0</v>
      </c>
      <c r="BP485" s="166">
        <v>0</v>
      </c>
      <c r="BQ485" s="81" t="s">
        <v>1758</v>
      </c>
      <c r="BR485" s="81" t="s">
        <v>161</v>
      </c>
      <c r="BV485" s="81" t="s">
        <v>155</v>
      </c>
      <c r="BZ485" s="81" t="s">
        <v>155</v>
      </c>
      <c r="CA485" s="81" t="s">
        <v>3934</v>
      </c>
      <c r="CC485" s="167">
        <v>0</v>
      </c>
      <c r="CD485" s="167">
        <v>0</v>
      </c>
      <c r="CE485" s="167">
        <f>N485</f>
        <v>1</v>
      </c>
      <c r="CF485" s="167">
        <v>0</v>
      </c>
      <c r="CG485" s="167">
        <v>0</v>
      </c>
      <c r="CH485" s="167">
        <v>0</v>
      </c>
      <c r="CI485" s="167">
        <v>0</v>
      </c>
      <c r="CJ485" s="167">
        <v>0</v>
      </c>
      <c r="CK485" s="167">
        <v>0</v>
      </c>
      <c r="CL485" s="167">
        <v>0</v>
      </c>
      <c r="CM485" s="167">
        <v>0</v>
      </c>
      <c r="CN485" s="167">
        <v>0</v>
      </c>
      <c r="CO485" s="167">
        <v>0</v>
      </c>
      <c r="CP485" s="167">
        <v>0</v>
      </c>
      <c r="CQ485" s="167">
        <v>0</v>
      </c>
      <c r="CR485" s="167">
        <v>0</v>
      </c>
      <c r="CS485" s="167">
        <v>0</v>
      </c>
      <c r="CT485" s="167">
        <v>0</v>
      </c>
      <c r="CU485" s="167">
        <v>0</v>
      </c>
      <c r="CV485" s="167">
        <v>0</v>
      </c>
      <c r="CW485" s="167">
        <v>0</v>
      </c>
      <c r="CX485" s="167">
        <f>SUM(CD485:CH485)</f>
        <v>1</v>
      </c>
      <c r="CY485" s="167">
        <f>SUM(CD485:CM485)</f>
        <v>1</v>
      </c>
    </row>
    <row r="486" spans="1:103" ht="12.75" customHeight="1" x14ac:dyDescent="0.2">
      <c r="A486" s="81">
        <v>5292</v>
      </c>
      <c r="B486" s="165" t="s">
        <v>1908</v>
      </c>
      <c r="C486" s="165" t="s">
        <v>604</v>
      </c>
      <c r="E486" s="165" t="s">
        <v>3374</v>
      </c>
      <c r="F486" s="165" t="s">
        <v>608</v>
      </c>
      <c r="G486" s="81">
        <v>524279</v>
      </c>
      <c r="H486" s="81">
        <v>174909</v>
      </c>
      <c r="I486" s="165" t="s">
        <v>250</v>
      </c>
      <c r="J486" s="349">
        <v>42825</v>
      </c>
      <c r="L486" s="166">
        <v>0</v>
      </c>
      <c r="M486" s="166">
        <v>5</v>
      </c>
      <c r="N486" s="166">
        <v>5</v>
      </c>
      <c r="O486" s="166">
        <v>73</v>
      </c>
      <c r="P486" s="166">
        <v>73</v>
      </c>
      <c r="Q486" s="81" t="s">
        <v>155</v>
      </c>
      <c r="R486" s="165" t="s">
        <v>1138</v>
      </c>
      <c r="S486" s="81" t="s">
        <v>104</v>
      </c>
      <c r="T486" s="349">
        <v>42188</v>
      </c>
      <c r="U486" s="349">
        <v>42335</v>
      </c>
      <c r="W486" s="81" t="s">
        <v>114</v>
      </c>
      <c r="Y486" s="81" t="s">
        <v>115</v>
      </c>
      <c r="Z486" s="81" t="s">
        <v>116</v>
      </c>
      <c r="AA486" s="81" t="s">
        <v>116</v>
      </c>
      <c r="AB486" s="81" t="s">
        <v>117</v>
      </c>
      <c r="AC486" s="166">
        <v>0</v>
      </c>
      <c r="AD486" s="349">
        <v>42825</v>
      </c>
      <c r="AG486" s="81" t="s">
        <v>238</v>
      </c>
      <c r="AH486" s="81" t="s">
        <v>118</v>
      </c>
      <c r="AI486" s="81" t="s">
        <v>3375</v>
      </c>
      <c r="AK486" s="166">
        <v>5</v>
      </c>
      <c r="AM486" s="166">
        <v>1</v>
      </c>
      <c r="AO486" s="166">
        <v>0</v>
      </c>
      <c r="AP486" s="166">
        <v>2</v>
      </c>
      <c r="AQ486" s="166">
        <v>3</v>
      </c>
      <c r="AR486" s="166">
        <v>0</v>
      </c>
      <c r="AS486" s="166">
        <v>0</v>
      </c>
      <c r="AT486" s="166">
        <v>0</v>
      </c>
      <c r="AU486" s="166">
        <v>0</v>
      </c>
      <c r="AV486" s="166">
        <v>0</v>
      </c>
      <c r="AW486" s="166">
        <v>2</v>
      </c>
      <c r="AX486" s="166">
        <v>3</v>
      </c>
      <c r="AY486" s="166">
        <v>0</v>
      </c>
      <c r="AZ486" s="166">
        <v>0</v>
      </c>
      <c r="BA486" s="166">
        <v>0</v>
      </c>
      <c r="BB486" s="166">
        <v>0</v>
      </c>
      <c r="BC486" s="166">
        <v>0</v>
      </c>
      <c r="BD486" s="166">
        <v>0</v>
      </c>
      <c r="BE486" s="166">
        <v>0</v>
      </c>
      <c r="BF486" s="166">
        <v>0</v>
      </c>
      <c r="BG486" s="166">
        <v>0</v>
      </c>
      <c r="BH486" s="166">
        <v>0</v>
      </c>
      <c r="BI486" s="166">
        <v>0</v>
      </c>
      <c r="BJ486" s="166">
        <v>0</v>
      </c>
      <c r="BK486" s="166">
        <v>0</v>
      </c>
      <c r="BL486" s="166">
        <v>0</v>
      </c>
      <c r="BM486" s="166">
        <v>0</v>
      </c>
      <c r="BN486" s="166">
        <v>0</v>
      </c>
      <c r="BO486" s="166">
        <v>0</v>
      </c>
      <c r="BP486" s="166">
        <v>0</v>
      </c>
      <c r="BQ486" s="81" t="s">
        <v>1758</v>
      </c>
      <c r="BR486" s="81" t="s">
        <v>161</v>
      </c>
      <c r="BV486" s="81" t="s">
        <v>155</v>
      </c>
      <c r="BZ486" s="81" t="s">
        <v>155</v>
      </c>
      <c r="CA486" s="81" t="s">
        <v>3934</v>
      </c>
      <c r="CC486" s="167">
        <v>0</v>
      </c>
      <c r="CD486" s="167">
        <v>0</v>
      </c>
      <c r="CE486" s="167">
        <f>N486</f>
        <v>5</v>
      </c>
      <c r="CF486" s="167">
        <v>0</v>
      </c>
      <c r="CG486" s="167">
        <v>0</v>
      </c>
      <c r="CH486" s="167">
        <v>0</v>
      </c>
      <c r="CI486" s="167">
        <v>0</v>
      </c>
      <c r="CJ486" s="167">
        <v>0</v>
      </c>
      <c r="CK486" s="167">
        <v>0</v>
      </c>
      <c r="CL486" s="167">
        <v>0</v>
      </c>
      <c r="CM486" s="167">
        <v>0</v>
      </c>
      <c r="CN486" s="167">
        <v>0</v>
      </c>
      <c r="CO486" s="167">
        <v>0</v>
      </c>
      <c r="CP486" s="167">
        <v>0</v>
      </c>
      <c r="CQ486" s="167">
        <v>0</v>
      </c>
      <c r="CR486" s="167">
        <v>0</v>
      </c>
      <c r="CS486" s="167">
        <v>0</v>
      </c>
      <c r="CT486" s="167">
        <v>0</v>
      </c>
      <c r="CU486" s="167">
        <v>0</v>
      </c>
      <c r="CV486" s="167">
        <v>0</v>
      </c>
      <c r="CW486" s="167">
        <v>0</v>
      </c>
      <c r="CX486" s="167">
        <f>SUM(CD486:CH486)</f>
        <v>5</v>
      </c>
      <c r="CY486" s="167">
        <f>SUM(CD486:CM486)</f>
        <v>5</v>
      </c>
    </row>
    <row r="487" spans="1:103" ht="12.75" customHeight="1" x14ac:dyDescent="0.2">
      <c r="A487" s="81">
        <v>5292</v>
      </c>
      <c r="B487" s="165" t="s">
        <v>1908</v>
      </c>
      <c r="C487" s="165" t="s">
        <v>604</v>
      </c>
      <c r="E487" s="165" t="s">
        <v>3374</v>
      </c>
      <c r="F487" s="165" t="s">
        <v>608</v>
      </c>
      <c r="G487" s="81">
        <v>524279</v>
      </c>
      <c r="H487" s="81">
        <v>174909</v>
      </c>
      <c r="I487" s="165" t="s">
        <v>250</v>
      </c>
      <c r="J487" s="349">
        <v>42825</v>
      </c>
      <c r="L487" s="166">
        <v>0</v>
      </c>
      <c r="M487" s="166">
        <v>2</v>
      </c>
      <c r="N487" s="166">
        <v>2</v>
      </c>
      <c r="O487" s="166">
        <v>73</v>
      </c>
      <c r="P487" s="166">
        <v>73</v>
      </c>
      <c r="Q487" s="81" t="s">
        <v>155</v>
      </c>
      <c r="R487" s="165" t="s">
        <v>1138</v>
      </c>
      <c r="S487" s="81" t="s">
        <v>104</v>
      </c>
      <c r="T487" s="349">
        <v>42188</v>
      </c>
      <c r="U487" s="349">
        <v>42335</v>
      </c>
      <c r="W487" s="81" t="s">
        <v>114</v>
      </c>
      <c r="Y487" s="81" t="s">
        <v>115</v>
      </c>
      <c r="Z487" s="81" t="s">
        <v>116</v>
      </c>
      <c r="AA487" s="81" t="s">
        <v>116</v>
      </c>
      <c r="AB487" s="81" t="s">
        <v>117</v>
      </c>
      <c r="AC487" s="166">
        <v>0</v>
      </c>
      <c r="AD487" s="349">
        <v>42825</v>
      </c>
      <c r="AG487" s="81" t="s">
        <v>154</v>
      </c>
      <c r="AH487" s="81" t="s">
        <v>276</v>
      </c>
      <c r="AI487" s="81" t="s">
        <v>3375</v>
      </c>
      <c r="AK487" s="166">
        <v>2</v>
      </c>
      <c r="AM487" s="166">
        <v>1</v>
      </c>
      <c r="AO487" s="166">
        <v>0</v>
      </c>
      <c r="AP487" s="166">
        <v>2</v>
      </c>
      <c r="AQ487" s="166">
        <v>0</v>
      </c>
      <c r="AR487" s="166">
        <v>0</v>
      </c>
      <c r="AS487" s="166">
        <v>0</v>
      </c>
      <c r="AT487" s="166">
        <v>0</v>
      </c>
      <c r="AU487" s="166">
        <v>0</v>
      </c>
      <c r="AV487" s="166">
        <v>0</v>
      </c>
      <c r="AW487" s="166">
        <v>2</v>
      </c>
      <c r="AX487" s="166">
        <v>0</v>
      </c>
      <c r="AY487" s="166">
        <v>0</v>
      </c>
      <c r="AZ487" s="166">
        <v>0</v>
      </c>
      <c r="BA487" s="166">
        <v>0</v>
      </c>
      <c r="BB487" s="166">
        <v>0</v>
      </c>
      <c r="BC487" s="166">
        <v>0</v>
      </c>
      <c r="BD487" s="166">
        <v>0</v>
      </c>
      <c r="BE487" s="166">
        <v>0</v>
      </c>
      <c r="BF487" s="166">
        <v>0</v>
      </c>
      <c r="BG487" s="166">
        <v>0</v>
      </c>
      <c r="BH487" s="166">
        <v>0</v>
      </c>
      <c r="BI487" s="166">
        <v>0</v>
      </c>
      <c r="BJ487" s="166">
        <v>0</v>
      </c>
      <c r="BK487" s="166">
        <v>0</v>
      </c>
      <c r="BL487" s="166">
        <v>0</v>
      </c>
      <c r="BM487" s="166">
        <v>0</v>
      </c>
      <c r="BN487" s="166">
        <v>0</v>
      </c>
      <c r="BO487" s="166">
        <v>0</v>
      </c>
      <c r="BP487" s="166">
        <v>0</v>
      </c>
      <c r="BQ487" s="81" t="s">
        <v>1758</v>
      </c>
      <c r="BR487" s="81" t="s">
        <v>161</v>
      </c>
      <c r="BV487" s="81" t="s">
        <v>155</v>
      </c>
      <c r="BZ487" s="81" t="s">
        <v>155</v>
      </c>
      <c r="CA487" s="81" t="s">
        <v>3934</v>
      </c>
      <c r="CC487" s="167">
        <v>0</v>
      </c>
      <c r="CD487" s="167">
        <v>0</v>
      </c>
      <c r="CE487" s="167">
        <f>N487</f>
        <v>2</v>
      </c>
      <c r="CF487" s="167">
        <v>0</v>
      </c>
      <c r="CG487" s="167">
        <v>0</v>
      </c>
      <c r="CH487" s="167">
        <v>0</v>
      </c>
      <c r="CI487" s="167">
        <v>0</v>
      </c>
      <c r="CJ487" s="167">
        <v>0</v>
      </c>
      <c r="CK487" s="167">
        <v>0</v>
      </c>
      <c r="CL487" s="167">
        <v>0</v>
      </c>
      <c r="CM487" s="167">
        <v>0</v>
      </c>
      <c r="CN487" s="167">
        <v>0</v>
      </c>
      <c r="CO487" s="167">
        <v>0</v>
      </c>
      <c r="CP487" s="167">
        <v>0</v>
      </c>
      <c r="CQ487" s="167">
        <v>0</v>
      </c>
      <c r="CR487" s="167">
        <v>0</v>
      </c>
      <c r="CS487" s="167">
        <v>0</v>
      </c>
      <c r="CT487" s="167">
        <v>0</v>
      </c>
      <c r="CU487" s="167">
        <v>0</v>
      </c>
      <c r="CV487" s="167">
        <v>0</v>
      </c>
      <c r="CW487" s="167">
        <v>0</v>
      </c>
      <c r="CX487" s="167">
        <f>SUM(CD487:CH487)</f>
        <v>2</v>
      </c>
      <c r="CY487" s="167">
        <f>SUM(CD487:CM487)</f>
        <v>2</v>
      </c>
    </row>
    <row r="488" spans="1:103" ht="12.75" customHeight="1" x14ac:dyDescent="0.2">
      <c r="A488" s="81">
        <v>5292</v>
      </c>
      <c r="B488" s="165" t="s">
        <v>1908</v>
      </c>
      <c r="C488" s="165" t="s">
        <v>604</v>
      </c>
      <c r="E488" s="165" t="s">
        <v>3374</v>
      </c>
      <c r="F488" s="165" t="s">
        <v>609</v>
      </c>
      <c r="G488" s="81">
        <v>524279</v>
      </c>
      <c r="H488" s="81">
        <v>174909</v>
      </c>
      <c r="I488" s="165" t="s">
        <v>250</v>
      </c>
      <c r="J488" s="349">
        <v>42825</v>
      </c>
      <c r="L488" s="166">
        <v>0</v>
      </c>
      <c r="M488" s="166">
        <v>2</v>
      </c>
      <c r="N488" s="166">
        <v>2</v>
      </c>
      <c r="O488" s="166">
        <v>73</v>
      </c>
      <c r="P488" s="166">
        <v>73</v>
      </c>
      <c r="Q488" s="81" t="s">
        <v>155</v>
      </c>
      <c r="R488" s="165" t="s">
        <v>1138</v>
      </c>
      <c r="S488" s="81" t="s">
        <v>104</v>
      </c>
      <c r="T488" s="349">
        <v>42188</v>
      </c>
      <c r="U488" s="349">
        <v>42335</v>
      </c>
      <c r="W488" s="81" t="s">
        <v>114</v>
      </c>
      <c r="Y488" s="81" t="s">
        <v>115</v>
      </c>
      <c r="Z488" s="81" t="s">
        <v>116</v>
      </c>
      <c r="AA488" s="81" t="s">
        <v>116</v>
      </c>
      <c r="AB488" s="81" t="s">
        <v>117</v>
      </c>
      <c r="AC488" s="166">
        <v>0</v>
      </c>
      <c r="AD488" s="349">
        <v>42825</v>
      </c>
      <c r="AG488" s="81" t="s">
        <v>238</v>
      </c>
      <c r="AH488" s="81" t="s">
        <v>118</v>
      </c>
      <c r="AI488" s="81" t="s">
        <v>3375</v>
      </c>
      <c r="AK488" s="166">
        <v>2</v>
      </c>
      <c r="AM488" s="166">
        <v>0</v>
      </c>
      <c r="AO488" s="166">
        <v>0</v>
      </c>
      <c r="AP488" s="166">
        <v>0</v>
      </c>
      <c r="AQ488" s="166">
        <v>2</v>
      </c>
      <c r="AR488" s="166">
        <v>0</v>
      </c>
      <c r="AS488" s="166">
        <v>0</v>
      </c>
      <c r="AT488" s="166">
        <v>0</v>
      </c>
      <c r="AU488" s="166">
        <v>0</v>
      </c>
      <c r="AV488" s="166">
        <v>0</v>
      </c>
      <c r="AW488" s="166">
        <v>0</v>
      </c>
      <c r="AX488" s="166">
        <v>2</v>
      </c>
      <c r="AY488" s="166">
        <v>0</v>
      </c>
      <c r="AZ488" s="166">
        <v>0</v>
      </c>
      <c r="BA488" s="166">
        <v>0</v>
      </c>
      <c r="BB488" s="166">
        <v>0</v>
      </c>
      <c r="BC488" s="166">
        <v>0</v>
      </c>
      <c r="BD488" s="166">
        <v>0</v>
      </c>
      <c r="BE488" s="166">
        <v>0</v>
      </c>
      <c r="BF488" s="166">
        <v>0</v>
      </c>
      <c r="BG488" s="166">
        <v>0</v>
      </c>
      <c r="BH488" s="166">
        <v>0</v>
      </c>
      <c r="BI488" s="166">
        <v>0</v>
      </c>
      <c r="BJ488" s="166">
        <v>0</v>
      </c>
      <c r="BK488" s="166">
        <v>0</v>
      </c>
      <c r="BL488" s="166">
        <v>0</v>
      </c>
      <c r="BM488" s="166">
        <v>0</v>
      </c>
      <c r="BN488" s="166">
        <v>0</v>
      </c>
      <c r="BO488" s="166">
        <v>0</v>
      </c>
      <c r="BP488" s="166">
        <v>0</v>
      </c>
      <c r="BQ488" s="81" t="s">
        <v>1758</v>
      </c>
      <c r="BR488" s="81" t="s">
        <v>161</v>
      </c>
      <c r="BV488" s="81" t="s">
        <v>155</v>
      </c>
      <c r="BZ488" s="81" t="s">
        <v>155</v>
      </c>
      <c r="CA488" s="81" t="s">
        <v>3934</v>
      </c>
      <c r="CC488" s="167">
        <v>0</v>
      </c>
      <c r="CD488" s="167">
        <v>0</v>
      </c>
      <c r="CE488" s="167">
        <f>N488</f>
        <v>2</v>
      </c>
      <c r="CF488" s="167">
        <v>0</v>
      </c>
      <c r="CG488" s="167">
        <v>0</v>
      </c>
      <c r="CH488" s="167">
        <v>0</v>
      </c>
      <c r="CI488" s="167">
        <v>0</v>
      </c>
      <c r="CJ488" s="167">
        <v>0</v>
      </c>
      <c r="CK488" s="167">
        <v>0</v>
      </c>
      <c r="CL488" s="167">
        <v>0</v>
      </c>
      <c r="CM488" s="167">
        <v>0</v>
      </c>
      <c r="CN488" s="167">
        <v>0</v>
      </c>
      <c r="CO488" s="167">
        <v>0</v>
      </c>
      <c r="CP488" s="167">
        <v>0</v>
      </c>
      <c r="CQ488" s="167">
        <v>0</v>
      </c>
      <c r="CR488" s="167">
        <v>0</v>
      </c>
      <c r="CS488" s="167">
        <v>0</v>
      </c>
      <c r="CT488" s="167">
        <v>0</v>
      </c>
      <c r="CU488" s="167">
        <v>0</v>
      </c>
      <c r="CV488" s="167">
        <v>0</v>
      </c>
      <c r="CW488" s="167">
        <v>0</v>
      </c>
      <c r="CX488" s="167">
        <f>SUM(CD488:CH488)</f>
        <v>2</v>
      </c>
      <c r="CY488" s="167">
        <f>SUM(CD488:CM488)</f>
        <v>2</v>
      </c>
    </row>
    <row r="489" spans="1:103" ht="12.75" customHeight="1" x14ac:dyDescent="0.2">
      <c r="A489" s="81">
        <v>5292</v>
      </c>
      <c r="B489" s="165" t="s">
        <v>1908</v>
      </c>
      <c r="C489" s="165" t="s">
        <v>604</v>
      </c>
      <c r="E489" s="165" t="s">
        <v>3374</v>
      </c>
      <c r="F489" s="165" t="s">
        <v>610</v>
      </c>
      <c r="G489" s="81">
        <v>524279</v>
      </c>
      <c r="H489" s="81">
        <v>174909</v>
      </c>
      <c r="I489" s="165" t="s">
        <v>250</v>
      </c>
      <c r="J489" s="349">
        <v>42825</v>
      </c>
      <c r="L489" s="166">
        <v>0</v>
      </c>
      <c r="M489" s="166">
        <v>8</v>
      </c>
      <c r="N489" s="166">
        <v>8</v>
      </c>
      <c r="O489" s="166">
        <v>73</v>
      </c>
      <c r="P489" s="166">
        <v>73</v>
      </c>
      <c r="Q489" s="81" t="s">
        <v>155</v>
      </c>
      <c r="R489" s="165" t="s">
        <v>1138</v>
      </c>
      <c r="S489" s="81" t="s">
        <v>104</v>
      </c>
      <c r="T489" s="349">
        <v>42188</v>
      </c>
      <c r="U489" s="349">
        <v>42335</v>
      </c>
      <c r="W489" s="81" t="s">
        <v>114</v>
      </c>
      <c r="Y489" s="81" t="s">
        <v>115</v>
      </c>
      <c r="Z489" s="81" t="s">
        <v>116</v>
      </c>
      <c r="AA489" s="81" t="s">
        <v>116</v>
      </c>
      <c r="AB489" s="81" t="s">
        <v>117</v>
      </c>
      <c r="AC489" s="166">
        <v>0</v>
      </c>
      <c r="AD489" s="349">
        <v>42825</v>
      </c>
      <c r="AG489" s="81" t="s">
        <v>238</v>
      </c>
      <c r="AH489" s="81" t="s">
        <v>118</v>
      </c>
      <c r="AI489" s="81" t="s">
        <v>3375</v>
      </c>
      <c r="AK489" s="166">
        <v>8</v>
      </c>
      <c r="AM489" s="166">
        <v>1</v>
      </c>
      <c r="AO489" s="166">
        <v>0</v>
      </c>
      <c r="AP489" s="166">
        <v>3</v>
      </c>
      <c r="AQ489" s="166">
        <v>5</v>
      </c>
      <c r="AR489" s="166">
        <v>0</v>
      </c>
      <c r="AS489" s="166">
        <v>0</v>
      </c>
      <c r="AT489" s="166">
        <v>0</v>
      </c>
      <c r="AU489" s="166">
        <v>0</v>
      </c>
      <c r="AV489" s="166">
        <v>0</v>
      </c>
      <c r="AW489" s="166">
        <v>3</v>
      </c>
      <c r="AX489" s="166">
        <v>5</v>
      </c>
      <c r="AY489" s="166">
        <v>0</v>
      </c>
      <c r="AZ489" s="166">
        <v>0</v>
      </c>
      <c r="BA489" s="166">
        <v>0</v>
      </c>
      <c r="BB489" s="166">
        <v>0</v>
      </c>
      <c r="BC489" s="166">
        <v>0</v>
      </c>
      <c r="BD489" s="166">
        <v>0</v>
      </c>
      <c r="BE489" s="166">
        <v>0</v>
      </c>
      <c r="BF489" s="166">
        <v>0</v>
      </c>
      <c r="BG489" s="166">
        <v>0</v>
      </c>
      <c r="BH489" s="166">
        <v>0</v>
      </c>
      <c r="BI489" s="166">
        <v>0</v>
      </c>
      <c r="BJ489" s="166">
        <v>0</v>
      </c>
      <c r="BK489" s="166">
        <v>0</v>
      </c>
      <c r="BL489" s="166">
        <v>0</v>
      </c>
      <c r="BM489" s="166">
        <v>0</v>
      </c>
      <c r="BN489" s="166">
        <v>0</v>
      </c>
      <c r="BO489" s="166">
        <v>0</v>
      </c>
      <c r="BP489" s="166">
        <v>0</v>
      </c>
      <c r="BQ489" s="81" t="s">
        <v>1758</v>
      </c>
      <c r="BR489" s="81" t="s">
        <v>161</v>
      </c>
      <c r="BV489" s="81" t="s">
        <v>155</v>
      </c>
      <c r="BZ489" s="81" t="s">
        <v>155</v>
      </c>
      <c r="CA489" s="81" t="s">
        <v>3934</v>
      </c>
      <c r="CC489" s="167">
        <v>0</v>
      </c>
      <c r="CD489" s="167">
        <v>0</v>
      </c>
      <c r="CE489" s="167">
        <f>N489</f>
        <v>8</v>
      </c>
      <c r="CF489" s="167">
        <v>0</v>
      </c>
      <c r="CG489" s="167">
        <v>0</v>
      </c>
      <c r="CH489" s="167">
        <v>0</v>
      </c>
      <c r="CI489" s="167">
        <v>0</v>
      </c>
      <c r="CJ489" s="167">
        <v>0</v>
      </c>
      <c r="CK489" s="167">
        <v>0</v>
      </c>
      <c r="CL489" s="167">
        <v>0</v>
      </c>
      <c r="CM489" s="167">
        <v>0</v>
      </c>
      <c r="CN489" s="167">
        <v>0</v>
      </c>
      <c r="CO489" s="167">
        <v>0</v>
      </c>
      <c r="CP489" s="167">
        <v>0</v>
      </c>
      <c r="CQ489" s="167">
        <v>0</v>
      </c>
      <c r="CR489" s="167">
        <v>0</v>
      </c>
      <c r="CS489" s="167">
        <v>0</v>
      </c>
      <c r="CT489" s="167">
        <v>0</v>
      </c>
      <c r="CU489" s="167">
        <v>0</v>
      </c>
      <c r="CV489" s="167">
        <v>0</v>
      </c>
      <c r="CW489" s="167">
        <v>0</v>
      </c>
      <c r="CX489" s="167">
        <f>SUM(CD489:CH489)</f>
        <v>8</v>
      </c>
      <c r="CY489" s="167">
        <f>SUM(CD489:CM489)</f>
        <v>8</v>
      </c>
    </row>
    <row r="490" spans="1:103" ht="12.75" customHeight="1" x14ac:dyDescent="0.2">
      <c r="A490" s="81">
        <v>5292</v>
      </c>
      <c r="B490" s="165" t="s">
        <v>1908</v>
      </c>
      <c r="C490" s="165" t="s">
        <v>604</v>
      </c>
      <c r="E490" s="165" t="s">
        <v>3374</v>
      </c>
      <c r="F490" s="165" t="s">
        <v>611</v>
      </c>
      <c r="G490" s="81">
        <v>524279</v>
      </c>
      <c r="H490" s="81">
        <v>174909</v>
      </c>
      <c r="I490" s="165" t="s">
        <v>250</v>
      </c>
      <c r="J490" s="349">
        <v>42825</v>
      </c>
      <c r="L490" s="166">
        <v>0</v>
      </c>
      <c r="M490" s="166">
        <v>8</v>
      </c>
      <c r="N490" s="166">
        <v>8</v>
      </c>
      <c r="O490" s="166">
        <v>73</v>
      </c>
      <c r="P490" s="166">
        <v>73</v>
      </c>
      <c r="Q490" s="81" t="s">
        <v>155</v>
      </c>
      <c r="R490" s="165" t="s">
        <v>1138</v>
      </c>
      <c r="S490" s="81" t="s">
        <v>104</v>
      </c>
      <c r="T490" s="349">
        <v>42188</v>
      </c>
      <c r="U490" s="349">
        <v>42335</v>
      </c>
      <c r="W490" s="81" t="s">
        <v>114</v>
      </c>
      <c r="Y490" s="81" t="s">
        <v>115</v>
      </c>
      <c r="Z490" s="81" t="s">
        <v>116</v>
      </c>
      <c r="AA490" s="81" t="s">
        <v>116</v>
      </c>
      <c r="AB490" s="81" t="s">
        <v>117</v>
      </c>
      <c r="AC490" s="166">
        <v>0</v>
      </c>
      <c r="AD490" s="349">
        <v>42825</v>
      </c>
      <c r="AG490" s="81" t="s">
        <v>238</v>
      </c>
      <c r="AH490" s="81" t="s">
        <v>118</v>
      </c>
      <c r="AI490" s="81" t="s">
        <v>3375</v>
      </c>
      <c r="AK490" s="166">
        <v>8</v>
      </c>
      <c r="AM490" s="166">
        <v>1</v>
      </c>
      <c r="AO490" s="166">
        <v>0</v>
      </c>
      <c r="AP490" s="166">
        <v>2</v>
      </c>
      <c r="AQ490" s="166">
        <v>6</v>
      </c>
      <c r="AR490" s="166">
        <v>0</v>
      </c>
      <c r="AS490" s="166">
        <v>0</v>
      </c>
      <c r="AT490" s="166">
        <v>0</v>
      </c>
      <c r="AU490" s="166">
        <v>0</v>
      </c>
      <c r="AV490" s="166">
        <v>0</v>
      </c>
      <c r="AW490" s="166">
        <v>2</v>
      </c>
      <c r="AX490" s="166">
        <v>6</v>
      </c>
      <c r="AY490" s="166">
        <v>0</v>
      </c>
      <c r="AZ490" s="166">
        <v>0</v>
      </c>
      <c r="BA490" s="166">
        <v>0</v>
      </c>
      <c r="BB490" s="166">
        <v>0</v>
      </c>
      <c r="BC490" s="166">
        <v>0</v>
      </c>
      <c r="BD490" s="166">
        <v>0</v>
      </c>
      <c r="BE490" s="166">
        <v>0</v>
      </c>
      <c r="BF490" s="166">
        <v>0</v>
      </c>
      <c r="BG490" s="166">
        <v>0</v>
      </c>
      <c r="BH490" s="166">
        <v>0</v>
      </c>
      <c r="BI490" s="166">
        <v>0</v>
      </c>
      <c r="BJ490" s="166">
        <v>0</v>
      </c>
      <c r="BK490" s="166">
        <v>0</v>
      </c>
      <c r="BL490" s="166">
        <v>0</v>
      </c>
      <c r="BM490" s="166">
        <v>0</v>
      </c>
      <c r="BN490" s="166">
        <v>0</v>
      </c>
      <c r="BO490" s="166">
        <v>0</v>
      </c>
      <c r="BP490" s="166">
        <v>0</v>
      </c>
      <c r="BQ490" s="81" t="s">
        <v>1758</v>
      </c>
      <c r="BR490" s="81" t="s">
        <v>161</v>
      </c>
      <c r="BV490" s="81" t="s">
        <v>155</v>
      </c>
      <c r="BZ490" s="81" t="s">
        <v>155</v>
      </c>
      <c r="CA490" s="81" t="s">
        <v>3934</v>
      </c>
      <c r="CC490" s="167">
        <v>0</v>
      </c>
      <c r="CD490" s="167">
        <v>0</v>
      </c>
      <c r="CE490" s="167">
        <f>N490</f>
        <v>8</v>
      </c>
      <c r="CF490" s="167">
        <v>0</v>
      </c>
      <c r="CG490" s="167">
        <v>0</v>
      </c>
      <c r="CH490" s="167">
        <v>0</v>
      </c>
      <c r="CI490" s="167">
        <v>0</v>
      </c>
      <c r="CJ490" s="167">
        <v>0</v>
      </c>
      <c r="CK490" s="167">
        <v>0</v>
      </c>
      <c r="CL490" s="167">
        <v>0</v>
      </c>
      <c r="CM490" s="167">
        <v>0</v>
      </c>
      <c r="CN490" s="167">
        <v>0</v>
      </c>
      <c r="CO490" s="167">
        <v>0</v>
      </c>
      <c r="CP490" s="167">
        <v>0</v>
      </c>
      <c r="CQ490" s="167">
        <v>0</v>
      </c>
      <c r="CR490" s="167">
        <v>0</v>
      </c>
      <c r="CS490" s="167">
        <v>0</v>
      </c>
      <c r="CT490" s="167">
        <v>0</v>
      </c>
      <c r="CU490" s="167">
        <v>0</v>
      </c>
      <c r="CV490" s="167">
        <v>0</v>
      </c>
      <c r="CW490" s="167">
        <v>0</v>
      </c>
      <c r="CX490" s="167">
        <f>SUM(CD490:CH490)</f>
        <v>8</v>
      </c>
      <c r="CY490" s="167">
        <f>SUM(CD490:CM490)</f>
        <v>8</v>
      </c>
    </row>
    <row r="491" spans="1:103" ht="12.75" customHeight="1" x14ac:dyDescent="0.2">
      <c r="A491" s="81">
        <v>5292</v>
      </c>
      <c r="B491" s="165" t="s">
        <v>1908</v>
      </c>
      <c r="C491" s="165" t="s">
        <v>604</v>
      </c>
      <c r="E491" s="165" t="s">
        <v>3374</v>
      </c>
      <c r="F491" s="165" t="s">
        <v>612</v>
      </c>
      <c r="G491" s="81">
        <v>524279</v>
      </c>
      <c r="H491" s="81">
        <v>174909</v>
      </c>
      <c r="I491" s="165" t="s">
        <v>250</v>
      </c>
      <c r="J491" s="349">
        <v>42825</v>
      </c>
      <c r="L491" s="166">
        <v>0</v>
      </c>
      <c r="M491" s="166">
        <v>8</v>
      </c>
      <c r="N491" s="166">
        <v>8</v>
      </c>
      <c r="O491" s="166">
        <v>73</v>
      </c>
      <c r="P491" s="166">
        <v>73</v>
      </c>
      <c r="Q491" s="81" t="s">
        <v>155</v>
      </c>
      <c r="R491" s="165" t="s">
        <v>1138</v>
      </c>
      <c r="S491" s="81" t="s">
        <v>104</v>
      </c>
      <c r="T491" s="349">
        <v>42188</v>
      </c>
      <c r="U491" s="349">
        <v>42335</v>
      </c>
      <c r="W491" s="81" t="s">
        <v>114</v>
      </c>
      <c r="Y491" s="81" t="s">
        <v>115</v>
      </c>
      <c r="Z491" s="81" t="s">
        <v>116</v>
      </c>
      <c r="AA491" s="81" t="s">
        <v>116</v>
      </c>
      <c r="AB491" s="81" t="s">
        <v>117</v>
      </c>
      <c r="AC491" s="166">
        <v>0</v>
      </c>
      <c r="AD491" s="349">
        <v>42825</v>
      </c>
      <c r="AG491" s="81" t="s">
        <v>238</v>
      </c>
      <c r="AH491" s="81" t="s">
        <v>118</v>
      </c>
      <c r="AI491" s="81" t="s">
        <v>3375</v>
      </c>
      <c r="AK491" s="166">
        <v>8</v>
      </c>
      <c r="AM491" s="166">
        <v>1</v>
      </c>
      <c r="AO491" s="166">
        <v>0</v>
      </c>
      <c r="AP491" s="166">
        <v>2</v>
      </c>
      <c r="AQ491" s="166">
        <v>6</v>
      </c>
      <c r="AR491" s="166">
        <v>0</v>
      </c>
      <c r="AS491" s="166">
        <v>0</v>
      </c>
      <c r="AT491" s="166">
        <v>0</v>
      </c>
      <c r="AU491" s="166">
        <v>0</v>
      </c>
      <c r="AV491" s="166">
        <v>0</v>
      </c>
      <c r="AW491" s="166">
        <v>2</v>
      </c>
      <c r="AX491" s="166">
        <v>6</v>
      </c>
      <c r="AY491" s="166">
        <v>0</v>
      </c>
      <c r="AZ491" s="166">
        <v>0</v>
      </c>
      <c r="BA491" s="166">
        <v>0</v>
      </c>
      <c r="BB491" s="166">
        <v>0</v>
      </c>
      <c r="BC491" s="166">
        <v>0</v>
      </c>
      <c r="BD491" s="166">
        <v>0</v>
      </c>
      <c r="BE491" s="166">
        <v>0</v>
      </c>
      <c r="BF491" s="166">
        <v>0</v>
      </c>
      <c r="BG491" s="166">
        <v>0</v>
      </c>
      <c r="BH491" s="166">
        <v>0</v>
      </c>
      <c r="BI491" s="166">
        <v>0</v>
      </c>
      <c r="BJ491" s="166">
        <v>0</v>
      </c>
      <c r="BK491" s="166">
        <v>0</v>
      </c>
      <c r="BL491" s="166">
        <v>0</v>
      </c>
      <c r="BM491" s="166">
        <v>0</v>
      </c>
      <c r="BN491" s="166">
        <v>0</v>
      </c>
      <c r="BO491" s="166">
        <v>0</v>
      </c>
      <c r="BP491" s="166">
        <v>0</v>
      </c>
      <c r="BQ491" s="81" t="s">
        <v>1758</v>
      </c>
      <c r="BR491" s="81" t="s">
        <v>161</v>
      </c>
      <c r="BV491" s="81" t="s">
        <v>155</v>
      </c>
      <c r="BZ491" s="81" t="s">
        <v>155</v>
      </c>
      <c r="CA491" s="81" t="s">
        <v>3934</v>
      </c>
      <c r="CC491" s="167">
        <v>0</v>
      </c>
      <c r="CD491" s="167">
        <v>0</v>
      </c>
      <c r="CE491" s="167">
        <f>N491</f>
        <v>8</v>
      </c>
      <c r="CF491" s="167">
        <v>0</v>
      </c>
      <c r="CG491" s="167">
        <v>0</v>
      </c>
      <c r="CH491" s="167">
        <v>0</v>
      </c>
      <c r="CI491" s="167">
        <v>0</v>
      </c>
      <c r="CJ491" s="167">
        <v>0</v>
      </c>
      <c r="CK491" s="167">
        <v>0</v>
      </c>
      <c r="CL491" s="167">
        <v>0</v>
      </c>
      <c r="CM491" s="167">
        <v>0</v>
      </c>
      <c r="CN491" s="167">
        <v>0</v>
      </c>
      <c r="CO491" s="167">
        <v>0</v>
      </c>
      <c r="CP491" s="167">
        <v>0</v>
      </c>
      <c r="CQ491" s="167">
        <v>0</v>
      </c>
      <c r="CR491" s="167">
        <v>0</v>
      </c>
      <c r="CS491" s="167">
        <v>0</v>
      </c>
      <c r="CT491" s="167">
        <v>0</v>
      </c>
      <c r="CU491" s="167">
        <v>0</v>
      </c>
      <c r="CV491" s="167">
        <v>0</v>
      </c>
      <c r="CW491" s="167">
        <v>0</v>
      </c>
      <c r="CX491" s="167">
        <f>SUM(CD491:CH491)</f>
        <v>8</v>
      </c>
      <c r="CY491" s="167">
        <f>SUM(CD491:CM491)</f>
        <v>8</v>
      </c>
    </row>
    <row r="492" spans="1:103" ht="12.75" customHeight="1" x14ac:dyDescent="0.2">
      <c r="A492" s="81">
        <v>5292</v>
      </c>
      <c r="B492" s="165" t="s">
        <v>1908</v>
      </c>
      <c r="C492" s="165" t="s">
        <v>604</v>
      </c>
      <c r="E492" s="165" t="s">
        <v>3374</v>
      </c>
      <c r="F492" s="165" t="s">
        <v>613</v>
      </c>
      <c r="G492" s="81">
        <v>524279</v>
      </c>
      <c r="H492" s="81">
        <v>174909</v>
      </c>
      <c r="I492" s="165" t="s">
        <v>250</v>
      </c>
      <c r="J492" s="349">
        <v>42825</v>
      </c>
      <c r="L492" s="166">
        <v>0</v>
      </c>
      <c r="M492" s="166">
        <v>8</v>
      </c>
      <c r="N492" s="166">
        <v>8</v>
      </c>
      <c r="O492" s="166">
        <v>73</v>
      </c>
      <c r="P492" s="166">
        <v>73</v>
      </c>
      <c r="Q492" s="81" t="s">
        <v>155</v>
      </c>
      <c r="R492" s="165" t="s">
        <v>1138</v>
      </c>
      <c r="S492" s="81" t="s">
        <v>104</v>
      </c>
      <c r="T492" s="349">
        <v>42188</v>
      </c>
      <c r="U492" s="349">
        <v>42335</v>
      </c>
      <c r="W492" s="81" t="s">
        <v>114</v>
      </c>
      <c r="Y492" s="81" t="s">
        <v>115</v>
      </c>
      <c r="Z492" s="81" t="s">
        <v>116</v>
      </c>
      <c r="AA492" s="81" t="s">
        <v>116</v>
      </c>
      <c r="AB492" s="81" t="s">
        <v>117</v>
      </c>
      <c r="AC492" s="166">
        <v>0</v>
      </c>
      <c r="AD492" s="349">
        <v>42825</v>
      </c>
      <c r="AG492" s="81" t="s">
        <v>238</v>
      </c>
      <c r="AH492" s="81" t="s">
        <v>118</v>
      </c>
      <c r="AI492" s="81" t="s">
        <v>3375</v>
      </c>
      <c r="AK492" s="166">
        <v>8</v>
      </c>
      <c r="AM492" s="166">
        <v>1</v>
      </c>
      <c r="AO492" s="166">
        <v>0</v>
      </c>
      <c r="AP492" s="166">
        <v>2</v>
      </c>
      <c r="AQ492" s="166">
        <v>6</v>
      </c>
      <c r="AR492" s="166">
        <v>0</v>
      </c>
      <c r="AS492" s="166">
        <v>0</v>
      </c>
      <c r="AT492" s="166">
        <v>0</v>
      </c>
      <c r="AU492" s="166">
        <v>0</v>
      </c>
      <c r="AV492" s="166">
        <v>0</v>
      </c>
      <c r="AW492" s="166">
        <v>2</v>
      </c>
      <c r="AX492" s="166">
        <v>6</v>
      </c>
      <c r="AY492" s="166">
        <v>0</v>
      </c>
      <c r="AZ492" s="166">
        <v>0</v>
      </c>
      <c r="BA492" s="166">
        <v>0</v>
      </c>
      <c r="BB492" s="166">
        <v>0</v>
      </c>
      <c r="BC492" s="166">
        <v>0</v>
      </c>
      <c r="BD492" s="166">
        <v>0</v>
      </c>
      <c r="BE492" s="166">
        <v>0</v>
      </c>
      <c r="BF492" s="166">
        <v>0</v>
      </c>
      <c r="BG492" s="166">
        <v>0</v>
      </c>
      <c r="BH492" s="166">
        <v>0</v>
      </c>
      <c r="BI492" s="166">
        <v>0</v>
      </c>
      <c r="BJ492" s="166">
        <v>0</v>
      </c>
      <c r="BK492" s="166">
        <v>0</v>
      </c>
      <c r="BL492" s="166">
        <v>0</v>
      </c>
      <c r="BM492" s="166">
        <v>0</v>
      </c>
      <c r="BN492" s="166">
        <v>0</v>
      </c>
      <c r="BO492" s="166">
        <v>0</v>
      </c>
      <c r="BP492" s="166">
        <v>0</v>
      </c>
      <c r="BQ492" s="81" t="s">
        <v>1758</v>
      </c>
      <c r="BR492" s="81" t="s">
        <v>161</v>
      </c>
      <c r="BV492" s="81" t="s">
        <v>155</v>
      </c>
      <c r="BZ492" s="81" t="s">
        <v>155</v>
      </c>
      <c r="CA492" s="81" t="s">
        <v>3934</v>
      </c>
      <c r="CC492" s="167">
        <v>0</v>
      </c>
      <c r="CD492" s="167">
        <v>0</v>
      </c>
      <c r="CE492" s="167">
        <f>N492</f>
        <v>8</v>
      </c>
      <c r="CF492" s="167">
        <v>0</v>
      </c>
      <c r="CG492" s="167">
        <v>0</v>
      </c>
      <c r="CH492" s="167">
        <v>0</v>
      </c>
      <c r="CI492" s="167">
        <v>0</v>
      </c>
      <c r="CJ492" s="167">
        <v>0</v>
      </c>
      <c r="CK492" s="167">
        <v>0</v>
      </c>
      <c r="CL492" s="167">
        <v>0</v>
      </c>
      <c r="CM492" s="167">
        <v>0</v>
      </c>
      <c r="CN492" s="167">
        <v>0</v>
      </c>
      <c r="CO492" s="167">
        <v>0</v>
      </c>
      <c r="CP492" s="167">
        <v>0</v>
      </c>
      <c r="CQ492" s="167">
        <v>0</v>
      </c>
      <c r="CR492" s="167">
        <v>0</v>
      </c>
      <c r="CS492" s="167">
        <v>0</v>
      </c>
      <c r="CT492" s="167">
        <v>0</v>
      </c>
      <c r="CU492" s="167">
        <v>0</v>
      </c>
      <c r="CV492" s="167">
        <v>0</v>
      </c>
      <c r="CW492" s="167">
        <v>0</v>
      </c>
      <c r="CX492" s="167">
        <f>SUM(CD492:CH492)</f>
        <v>8</v>
      </c>
      <c r="CY492" s="167">
        <f>SUM(CD492:CM492)</f>
        <v>8</v>
      </c>
    </row>
    <row r="493" spans="1:103" x14ac:dyDescent="0.2">
      <c r="A493" s="81">
        <v>5292</v>
      </c>
      <c r="B493" s="165" t="s">
        <v>1908</v>
      </c>
      <c r="C493" s="165" t="s">
        <v>604</v>
      </c>
      <c r="E493" s="165" t="s">
        <v>3374</v>
      </c>
      <c r="F493" s="165" t="s">
        <v>614</v>
      </c>
      <c r="G493" s="81">
        <v>524279</v>
      </c>
      <c r="H493" s="81">
        <v>174909</v>
      </c>
      <c r="I493" s="165" t="s">
        <v>250</v>
      </c>
      <c r="J493" s="349">
        <v>42825</v>
      </c>
      <c r="L493" s="166">
        <v>0</v>
      </c>
      <c r="M493" s="166">
        <v>7</v>
      </c>
      <c r="N493" s="166">
        <v>7</v>
      </c>
      <c r="O493" s="166">
        <v>73</v>
      </c>
      <c r="P493" s="166">
        <v>73</v>
      </c>
      <c r="Q493" s="81" t="s">
        <v>155</v>
      </c>
      <c r="R493" s="165" t="s">
        <v>1138</v>
      </c>
      <c r="S493" s="81" t="s">
        <v>104</v>
      </c>
      <c r="T493" s="349">
        <v>42188</v>
      </c>
      <c r="U493" s="349">
        <v>42335</v>
      </c>
      <c r="W493" s="81" t="s">
        <v>114</v>
      </c>
      <c r="Y493" s="81" t="s">
        <v>115</v>
      </c>
      <c r="Z493" s="81" t="s">
        <v>116</v>
      </c>
      <c r="AA493" s="81" t="s">
        <v>116</v>
      </c>
      <c r="AB493" s="81" t="s">
        <v>117</v>
      </c>
      <c r="AC493" s="166">
        <v>0</v>
      </c>
      <c r="AD493" s="349">
        <v>42825</v>
      </c>
      <c r="AG493" s="81" t="s">
        <v>238</v>
      </c>
      <c r="AH493" s="81" t="s">
        <v>118</v>
      </c>
      <c r="AI493" s="81" t="s">
        <v>3375</v>
      </c>
      <c r="AK493" s="166">
        <v>7</v>
      </c>
      <c r="AM493" s="166">
        <v>1</v>
      </c>
      <c r="AO493" s="166">
        <v>0</v>
      </c>
      <c r="AP493" s="166">
        <v>0</v>
      </c>
      <c r="AQ493" s="166">
        <v>6</v>
      </c>
      <c r="AR493" s="166">
        <v>1</v>
      </c>
      <c r="AS493" s="166">
        <v>0</v>
      </c>
      <c r="AT493" s="166">
        <v>0</v>
      </c>
      <c r="AU493" s="166">
        <v>0</v>
      </c>
      <c r="AV493" s="166">
        <v>0</v>
      </c>
      <c r="AW493" s="166">
        <v>0</v>
      </c>
      <c r="AX493" s="166">
        <v>6</v>
      </c>
      <c r="AY493" s="166">
        <v>1</v>
      </c>
      <c r="AZ493" s="166">
        <v>0</v>
      </c>
      <c r="BA493" s="166">
        <v>0</v>
      </c>
      <c r="BB493" s="166">
        <v>0</v>
      </c>
      <c r="BC493" s="166">
        <v>0</v>
      </c>
      <c r="BD493" s="166">
        <v>0</v>
      </c>
      <c r="BE493" s="166">
        <v>0</v>
      </c>
      <c r="BF493" s="166">
        <v>0</v>
      </c>
      <c r="BG493" s="166">
        <v>0</v>
      </c>
      <c r="BH493" s="166">
        <v>0</v>
      </c>
      <c r="BI493" s="166">
        <v>0</v>
      </c>
      <c r="BJ493" s="166">
        <v>0</v>
      </c>
      <c r="BK493" s="166">
        <v>0</v>
      </c>
      <c r="BL493" s="166">
        <v>0</v>
      </c>
      <c r="BM493" s="166">
        <v>0</v>
      </c>
      <c r="BN493" s="166">
        <v>0</v>
      </c>
      <c r="BO493" s="166">
        <v>0</v>
      </c>
      <c r="BP493" s="166">
        <v>0</v>
      </c>
      <c r="BQ493" s="81" t="s">
        <v>1758</v>
      </c>
      <c r="BR493" s="81" t="s">
        <v>161</v>
      </c>
      <c r="BV493" s="81" t="s">
        <v>155</v>
      </c>
      <c r="BZ493" s="81" t="s">
        <v>155</v>
      </c>
      <c r="CA493" s="81" t="s">
        <v>3934</v>
      </c>
      <c r="CC493" s="167">
        <v>0</v>
      </c>
      <c r="CD493" s="167">
        <v>0</v>
      </c>
      <c r="CE493" s="167">
        <f>N493</f>
        <v>7</v>
      </c>
      <c r="CF493" s="167">
        <v>0</v>
      </c>
      <c r="CG493" s="167">
        <v>0</v>
      </c>
      <c r="CH493" s="167">
        <v>0</v>
      </c>
      <c r="CI493" s="167">
        <v>0</v>
      </c>
      <c r="CJ493" s="167">
        <v>0</v>
      </c>
      <c r="CK493" s="167">
        <v>0</v>
      </c>
      <c r="CL493" s="167">
        <v>0</v>
      </c>
      <c r="CM493" s="167">
        <v>0</v>
      </c>
      <c r="CN493" s="167">
        <v>0</v>
      </c>
      <c r="CO493" s="167">
        <v>0</v>
      </c>
      <c r="CP493" s="167">
        <v>0</v>
      </c>
      <c r="CQ493" s="167">
        <v>0</v>
      </c>
      <c r="CR493" s="167">
        <v>0</v>
      </c>
      <c r="CS493" s="167">
        <v>0</v>
      </c>
      <c r="CT493" s="167">
        <v>0</v>
      </c>
      <c r="CU493" s="167">
        <v>0</v>
      </c>
      <c r="CV493" s="167">
        <v>0</v>
      </c>
      <c r="CW493" s="167">
        <v>0</v>
      </c>
      <c r="CX493" s="167">
        <f>SUM(CD493:CH493)</f>
        <v>7</v>
      </c>
      <c r="CY493" s="167">
        <f>SUM(CD493:CM493)</f>
        <v>7</v>
      </c>
    </row>
    <row r="494" spans="1:103" ht="12.75" customHeight="1" x14ac:dyDescent="0.2">
      <c r="A494" s="81">
        <v>5292</v>
      </c>
      <c r="B494" s="165" t="s">
        <v>1908</v>
      </c>
      <c r="C494" s="165" t="s">
        <v>604</v>
      </c>
      <c r="E494" s="165" t="s">
        <v>3374</v>
      </c>
      <c r="F494" s="165" t="s">
        <v>615</v>
      </c>
      <c r="G494" s="81">
        <v>524279</v>
      </c>
      <c r="H494" s="81">
        <v>174909</v>
      </c>
      <c r="I494" s="165" t="s">
        <v>250</v>
      </c>
      <c r="J494" s="349">
        <v>42825</v>
      </c>
      <c r="L494" s="166">
        <v>0</v>
      </c>
      <c r="M494" s="166">
        <v>4</v>
      </c>
      <c r="N494" s="166">
        <v>4</v>
      </c>
      <c r="O494" s="166">
        <v>73</v>
      </c>
      <c r="P494" s="166">
        <v>73</v>
      </c>
      <c r="Q494" s="81" t="s">
        <v>155</v>
      </c>
      <c r="R494" s="165" t="s">
        <v>1138</v>
      </c>
      <c r="S494" s="81" t="s">
        <v>104</v>
      </c>
      <c r="T494" s="349">
        <v>42188</v>
      </c>
      <c r="U494" s="349">
        <v>42335</v>
      </c>
      <c r="W494" s="81" t="s">
        <v>114</v>
      </c>
      <c r="Y494" s="81" t="s">
        <v>115</v>
      </c>
      <c r="Z494" s="81" t="s">
        <v>116</v>
      </c>
      <c r="AA494" s="81" t="s">
        <v>116</v>
      </c>
      <c r="AB494" s="81" t="s">
        <v>117</v>
      </c>
      <c r="AC494" s="166">
        <v>0</v>
      </c>
      <c r="AD494" s="349">
        <v>42825</v>
      </c>
      <c r="AG494" s="81" t="s">
        <v>238</v>
      </c>
      <c r="AH494" s="81" t="s">
        <v>118</v>
      </c>
      <c r="AI494" s="81" t="s">
        <v>3375</v>
      </c>
      <c r="AK494" s="166">
        <v>4</v>
      </c>
      <c r="AM494" s="166">
        <v>0</v>
      </c>
      <c r="AO494" s="166">
        <v>0</v>
      </c>
      <c r="AP494" s="166">
        <v>0</v>
      </c>
      <c r="AQ494" s="166">
        <v>2</v>
      </c>
      <c r="AR494" s="166">
        <v>2</v>
      </c>
      <c r="AS494" s="166">
        <v>0</v>
      </c>
      <c r="AT494" s="166">
        <v>0</v>
      </c>
      <c r="AU494" s="166">
        <v>0</v>
      </c>
      <c r="AV494" s="166">
        <v>0</v>
      </c>
      <c r="AW494" s="166">
        <v>0</v>
      </c>
      <c r="AX494" s="166">
        <v>2</v>
      </c>
      <c r="AY494" s="166">
        <v>2</v>
      </c>
      <c r="AZ494" s="166">
        <v>0</v>
      </c>
      <c r="BA494" s="166">
        <v>0</v>
      </c>
      <c r="BB494" s="166">
        <v>0</v>
      </c>
      <c r="BC494" s="166">
        <v>0</v>
      </c>
      <c r="BD494" s="166">
        <v>0</v>
      </c>
      <c r="BE494" s="166">
        <v>0</v>
      </c>
      <c r="BF494" s="166">
        <v>0</v>
      </c>
      <c r="BG494" s="166">
        <v>0</v>
      </c>
      <c r="BH494" s="166">
        <v>0</v>
      </c>
      <c r="BI494" s="166">
        <v>0</v>
      </c>
      <c r="BJ494" s="166">
        <v>0</v>
      </c>
      <c r="BK494" s="166">
        <v>0</v>
      </c>
      <c r="BL494" s="166">
        <v>0</v>
      </c>
      <c r="BM494" s="166">
        <v>0</v>
      </c>
      <c r="BN494" s="166">
        <v>0</v>
      </c>
      <c r="BO494" s="166">
        <v>0</v>
      </c>
      <c r="BP494" s="166">
        <v>0</v>
      </c>
      <c r="BQ494" s="81" t="s">
        <v>1758</v>
      </c>
      <c r="BR494" s="81" t="s">
        <v>161</v>
      </c>
      <c r="BV494" s="81" t="s">
        <v>155</v>
      </c>
      <c r="BZ494" s="81" t="s">
        <v>155</v>
      </c>
      <c r="CA494" s="81" t="s">
        <v>3934</v>
      </c>
      <c r="CC494" s="167">
        <v>0</v>
      </c>
      <c r="CD494" s="167">
        <v>0</v>
      </c>
      <c r="CE494" s="167">
        <f>N494</f>
        <v>4</v>
      </c>
      <c r="CF494" s="167">
        <v>0</v>
      </c>
      <c r="CG494" s="167">
        <v>0</v>
      </c>
      <c r="CH494" s="167">
        <v>0</v>
      </c>
      <c r="CI494" s="167">
        <v>0</v>
      </c>
      <c r="CJ494" s="167">
        <v>0</v>
      </c>
      <c r="CK494" s="167">
        <v>0</v>
      </c>
      <c r="CL494" s="167">
        <v>0</v>
      </c>
      <c r="CM494" s="167">
        <v>0</v>
      </c>
      <c r="CN494" s="167">
        <v>0</v>
      </c>
      <c r="CO494" s="167">
        <v>0</v>
      </c>
      <c r="CP494" s="167">
        <v>0</v>
      </c>
      <c r="CQ494" s="167">
        <v>0</v>
      </c>
      <c r="CR494" s="167">
        <v>0</v>
      </c>
      <c r="CS494" s="167">
        <v>0</v>
      </c>
      <c r="CT494" s="167">
        <v>0</v>
      </c>
      <c r="CU494" s="167">
        <v>0</v>
      </c>
      <c r="CV494" s="167">
        <v>0</v>
      </c>
      <c r="CW494" s="167">
        <v>0</v>
      </c>
      <c r="CX494" s="167">
        <f>SUM(CD494:CH494)</f>
        <v>4</v>
      </c>
      <c r="CY494" s="167">
        <f>SUM(CD494:CM494)</f>
        <v>4</v>
      </c>
    </row>
    <row r="495" spans="1:103" ht="12.75" customHeight="1" x14ac:dyDescent="0.2">
      <c r="A495" s="81">
        <v>5292</v>
      </c>
      <c r="B495" s="165" t="s">
        <v>1908</v>
      </c>
      <c r="C495" s="165" t="s">
        <v>604</v>
      </c>
      <c r="E495" s="165" t="s">
        <v>3374</v>
      </c>
      <c r="F495" s="165" t="s">
        <v>616</v>
      </c>
      <c r="G495" s="81">
        <v>524279</v>
      </c>
      <c r="H495" s="81">
        <v>174909</v>
      </c>
      <c r="I495" s="165" t="s">
        <v>250</v>
      </c>
      <c r="J495" s="349">
        <v>42825</v>
      </c>
      <c r="L495" s="166">
        <v>0</v>
      </c>
      <c r="M495" s="166">
        <v>4</v>
      </c>
      <c r="N495" s="166">
        <v>4</v>
      </c>
      <c r="O495" s="166">
        <v>73</v>
      </c>
      <c r="P495" s="166">
        <v>73</v>
      </c>
      <c r="Q495" s="81" t="s">
        <v>155</v>
      </c>
      <c r="R495" s="165" t="s">
        <v>1138</v>
      </c>
      <c r="S495" s="81" t="s">
        <v>104</v>
      </c>
      <c r="T495" s="349">
        <v>42188</v>
      </c>
      <c r="U495" s="349">
        <v>42335</v>
      </c>
      <c r="W495" s="81" t="s">
        <v>114</v>
      </c>
      <c r="Y495" s="81" t="s">
        <v>115</v>
      </c>
      <c r="Z495" s="81" t="s">
        <v>116</v>
      </c>
      <c r="AA495" s="81" t="s">
        <v>116</v>
      </c>
      <c r="AB495" s="81" t="s">
        <v>117</v>
      </c>
      <c r="AC495" s="166">
        <v>0</v>
      </c>
      <c r="AD495" s="349">
        <v>42825</v>
      </c>
      <c r="AG495" s="81" t="s">
        <v>238</v>
      </c>
      <c r="AH495" s="81" t="s">
        <v>118</v>
      </c>
      <c r="AI495" s="81" t="s">
        <v>3375</v>
      </c>
      <c r="AK495" s="166">
        <v>4</v>
      </c>
      <c r="AM495" s="166">
        <v>0</v>
      </c>
      <c r="AO495" s="166">
        <v>0</v>
      </c>
      <c r="AP495" s="166">
        <v>0</v>
      </c>
      <c r="AQ495" s="166">
        <v>2</v>
      </c>
      <c r="AR495" s="166">
        <v>2</v>
      </c>
      <c r="AS495" s="166">
        <v>0</v>
      </c>
      <c r="AT495" s="166">
        <v>0</v>
      </c>
      <c r="AU495" s="166">
        <v>0</v>
      </c>
      <c r="AV495" s="166">
        <v>0</v>
      </c>
      <c r="AW495" s="166">
        <v>0</v>
      </c>
      <c r="AX495" s="166">
        <v>2</v>
      </c>
      <c r="AY495" s="166">
        <v>2</v>
      </c>
      <c r="AZ495" s="166">
        <v>0</v>
      </c>
      <c r="BA495" s="166">
        <v>0</v>
      </c>
      <c r="BB495" s="166">
        <v>0</v>
      </c>
      <c r="BC495" s="166">
        <v>0</v>
      </c>
      <c r="BD495" s="166">
        <v>0</v>
      </c>
      <c r="BE495" s="166">
        <v>0</v>
      </c>
      <c r="BF495" s="166">
        <v>0</v>
      </c>
      <c r="BG495" s="166">
        <v>0</v>
      </c>
      <c r="BH495" s="166">
        <v>0</v>
      </c>
      <c r="BI495" s="166">
        <v>0</v>
      </c>
      <c r="BJ495" s="166">
        <v>0</v>
      </c>
      <c r="BK495" s="166">
        <v>0</v>
      </c>
      <c r="BL495" s="166">
        <v>0</v>
      </c>
      <c r="BM495" s="166">
        <v>0</v>
      </c>
      <c r="BN495" s="166">
        <v>0</v>
      </c>
      <c r="BO495" s="166">
        <v>0</v>
      </c>
      <c r="BP495" s="166">
        <v>0</v>
      </c>
      <c r="BQ495" s="81" t="s">
        <v>1758</v>
      </c>
      <c r="BR495" s="81" t="s">
        <v>161</v>
      </c>
      <c r="BV495" s="81" t="s">
        <v>155</v>
      </c>
      <c r="BZ495" s="81" t="s">
        <v>155</v>
      </c>
      <c r="CA495" s="81" t="s">
        <v>3934</v>
      </c>
      <c r="CC495" s="167">
        <v>0</v>
      </c>
      <c r="CD495" s="167">
        <v>0</v>
      </c>
      <c r="CE495" s="167">
        <f>N495</f>
        <v>4</v>
      </c>
      <c r="CF495" s="167">
        <v>0</v>
      </c>
      <c r="CG495" s="167">
        <v>0</v>
      </c>
      <c r="CH495" s="167">
        <v>0</v>
      </c>
      <c r="CI495" s="167">
        <v>0</v>
      </c>
      <c r="CJ495" s="167">
        <v>0</v>
      </c>
      <c r="CK495" s="167">
        <v>0</v>
      </c>
      <c r="CL495" s="167">
        <v>0</v>
      </c>
      <c r="CM495" s="167">
        <v>0</v>
      </c>
      <c r="CN495" s="167">
        <v>0</v>
      </c>
      <c r="CO495" s="167">
        <v>0</v>
      </c>
      <c r="CP495" s="167">
        <v>0</v>
      </c>
      <c r="CQ495" s="167">
        <v>0</v>
      </c>
      <c r="CR495" s="167">
        <v>0</v>
      </c>
      <c r="CS495" s="167">
        <v>0</v>
      </c>
      <c r="CT495" s="167">
        <v>0</v>
      </c>
      <c r="CU495" s="167">
        <v>0</v>
      </c>
      <c r="CV495" s="167">
        <v>0</v>
      </c>
      <c r="CW495" s="167">
        <v>0</v>
      </c>
      <c r="CX495" s="167">
        <f>SUM(CD495:CH495)</f>
        <v>4</v>
      </c>
      <c r="CY495" s="167">
        <f>SUM(CD495:CM495)</f>
        <v>4</v>
      </c>
    </row>
    <row r="496" spans="1:103" ht="12.75" customHeight="1" x14ac:dyDescent="0.2">
      <c r="A496" s="81">
        <v>5292</v>
      </c>
      <c r="B496" s="165" t="s">
        <v>1908</v>
      </c>
      <c r="C496" s="165" t="s">
        <v>604</v>
      </c>
      <c r="E496" s="165" t="s">
        <v>3374</v>
      </c>
      <c r="F496" s="165" t="s">
        <v>617</v>
      </c>
      <c r="G496" s="81">
        <v>524279</v>
      </c>
      <c r="H496" s="81">
        <v>174909</v>
      </c>
      <c r="I496" s="165" t="s">
        <v>250</v>
      </c>
      <c r="J496" s="349">
        <v>42825</v>
      </c>
      <c r="L496" s="166">
        <v>0</v>
      </c>
      <c r="M496" s="166">
        <v>4</v>
      </c>
      <c r="N496" s="166">
        <v>4</v>
      </c>
      <c r="O496" s="166">
        <v>73</v>
      </c>
      <c r="P496" s="166">
        <v>73</v>
      </c>
      <c r="Q496" s="81" t="s">
        <v>155</v>
      </c>
      <c r="R496" s="165" t="s">
        <v>1138</v>
      </c>
      <c r="S496" s="81" t="s">
        <v>104</v>
      </c>
      <c r="T496" s="349">
        <v>42188</v>
      </c>
      <c r="U496" s="349">
        <v>42335</v>
      </c>
      <c r="W496" s="81" t="s">
        <v>114</v>
      </c>
      <c r="Y496" s="81" t="s">
        <v>115</v>
      </c>
      <c r="Z496" s="81" t="s">
        <v>116</v>
      </c>
      <c r="AA496" s="81" t="s">
        <v>116</v>
      </c>
      <c r="AB496" s="81" t="s">
        <v>117</v>
      </c>
      <c r="AC496" s="166">
        <v>0.21400000154972099</v>
      </c>
      <c r="AD496" s="349">
        <v>42825</v>
      </c>
      <c r="AG496" s="81" t="s">
        <v>154</v>
      </c>
      <c r="AH496" s="81" t="s">
        <v>276</v>
      </c>
      <c r="AI496" s="81" t="s">
        <v>3375</v>
      </c>
      <c r="AK496" s="166">
        <v>4</v>
      </c>
      <c r="AM496" s="166">
        <v>1</v>
      </c>
      <c r="AO496" s="166">
        <v>0</v>
      </c>
      <c r="AP496" s="166">
        <v>2</v>
      </c>
      <c r="AQ496" s="166">
        <v>1</v>
      </c>
      <c r="AR496" s="166">
        <v>1</v>
      </c>
      <c r="AS496" s="166">
        <v>0</v>
      </c>
      <c r="AT496" s="166">
        <v>0</v>
      </c>
      <c r="AU496" s="166">
        <v>0</v>
      </c>
      <c r="AV496" s="166">
        <v>0</v>
      </c>
      <c r="AW496" s="166">
        <v>2</v>
      </c>
      <c r="AX496" s="166">
        <v>1</v>
      </c>
      <c r="AY496" s="166">
        <v>1</v>
      </c>
      <c r="AZ496" s="166">
        <v>0</v>
      </c>
      <c r="BA496" s="166">
        <v>0</v>
      </c>
      <c r="BB496" s="166">
        <v>0</v>
      </c>
      <c r="BC496" s="166">
        <v>0</v>
      </c>
      <c r="BD496" s="166">
        <v>0</v>
      </c>
      <c r="BE496" s="166">
        <v>0</v>
      </c>
      <c r="BF496" s="166">
        <v>0</v>
      </c>
      <c r="BG496" s="166">
        <v>0</v>
      </c>
      <c r="BH496" s="166">
        <v>0</v>
      </c>
      <c r="BI496" s="166">
        <v>0</v>
      </c>
      <c r="BJ496" s="166">
        <v>0</v>
      </c>
      <c r="BK496" s="166">
        <v>0</v>
      </c>
      <c r="BL496" s="166">
        <v>0</v>
      </c>
      <c r="BM496" s="166">
        <v>0</v>
      </c>
      <c r="BN496" s="166">
        <v>0</v>
      </c>
      <c r="BO496" s="166">
        <v>0</v>
      </c>
      <c r="BP496" s="166">
        <v>0</v>
      </c>
      <c r="BQ496" s="81" t="s">
        <v>1758</v>
      </c>
      <c r="BR496" s="81" t="s">
        <v>161</v>
      </c>
      <c r="BV496" s="81" t="s">
        <v>155</v>
      </c>
      <c r="BZ496" s="81" t="s">
        <v>155</v>
      </c>
      <c r="CA496" s="81" t="s">
        <v>3934</v>
      </c>
      <c r="CC496" s="167">
        <v>0</v>
      </c>
      <c r="CD496" s="167">
        <v>0</v>
      </c>
      <c r="CE496" s="167">
        <f>N496</f>
        <v>4</v>
      </c>
      <c r="CF496" s="167">
        <v>0</v>
      </c>
      <c r="CG496" s="167">
        <v>0</v>
      </c>
      <c r="CH496" s="167">
        <v>0</v>
      </c>
      <c r="CI496" s="167">
        <v>0</v>
      </c>
      <c r="CJ496" s="167">
        <v>0</v>
      </c>
      <c r="CK496" s="167">
        <v>0</v>
      </c>
      <c r="CL496" s="167">
        <v>0</v>
      </c>
      <c r="CM496" s="167">
        <v>0</v>
      </c>
      <c r="CN496" s="167">
        <v>0</v>
      </c>
      <c r="CO496" s="167">
        <v>0</v>
      </c>
      <c r="CP496" s="167">
        <v>0</v>
      </c>
      <c r="CQ496" s="167">
        <v>0</v>
      </c>
      <c r="CR496" s="167">
        <v>0</v>
      </c>
      <c r="CS496" s="167">
        <v>0</v>
      </c>
      <c r="CT496" s="167">
        <v>0</v>
      </c>
      <c r="CU496" s="167">
        <v>0</v>
      </c>
      <c r="CV496" s="167">
        <v>0</v>
      </c>
      <c r="CW496" s="167">
        <v>0</v>
      </c>
      <c r="CX496" s="167">
        <f>SUM(CD496:CH496)</f>
        <v>4</v>
      </c>
      <c r="CY496" s="167">
        <f>SUM(CD496:CM496)</f>
        <v>4</v>
      </c>
    </row>
    <row r="497" spans="1:103" ht="12.75" customHeight="1" x14ac:dyDescent="0.2">
      <c r="A497" s="81">
        <v>5292</v>
      </c>
      <c r="B497" s="165" t="s">
        <v>1908</v>
      </c>
      <c r="C497" s="165" t="s">
        <v>604</v>
      </c>
      <c r="E497" s="165" t="s">
        <v>3374</v>
      </c>
      <c r="F497" s="165" t="s">
        <v>618</v>
      </c>
      <c r="G497" s="81">
        <v>524279</v>
      </c>
      <c r="H497" s="81">
        <v>174909</v>
      </c>
      <c r="I497" s="165" t="s">
        <v>250</v>
      </c>
      <c r="J497" s="349">
        <v>42825</v>
      </c>
      <c r="L497" s="166">
        <v>0</v>
      </c>
      <c r="M497" s="166">
        <v>5</v>
      </c>
      <c r="N497" s="166">
        <v>5</v>
      </c>
      <c r="O497" s="166">
        <v>73</v>
      </c>
      <c r="P497" s="166">
        <v>73</v>
      </c>
      <c r="Q497" s="81" t="s">
        <v>155</v>
      </c>
      <c r="R497" s="165" t="s">
        <v>1138</v>
      </c>
      <c r="S497" s="81" t="s">
        <v>104</v>
      </c>
      <c r="T497" s="349">
        <v>42188</v>
      </c>
      <c r="U497" s="349">
        <v>42335</v>
      </c>
      <c r="W497" s="81" t="s">
        <v>114</v>
      </c>
      <c r="Y497" s="81" t="s">
        <v>115</v>
      </c>
      <c r="Z497" s="81" t="s">
        <v>116</v>
      </c>
      <c r="AA497" s="81" t="s">
        <v>116</v>
      </c>
      <c r="AB497" s="81" t="s">
        <v>117</v>
      </c>
      <c r="AC497" s="166">
        <v>0</v>
      </c>
      <c r="AD497" s="349">
        <v>42825</v>
      </c>
      <c r="AG497" s="81" t="s">
        <v>154</v>
      </c>
      <c r="AH497" s="81" t="s">
        <v>276</v>
      </c>
      <c r="AI497" s="81" t="s">
        <v>3375</v>
      </c>
      <c r="AK497" s="166">
        <v>5</v>
      </c>
      <c r="AM497" s="166">
        <v>0</v>
      </c>
      <c r="AO497" s="166">
        <v>0</v>
      </c>
      <c r="AP497" s="166">
        <v>3</v>
      </c>
      <c r="AQ497" s="166">
        <v>1</v>
      </c>
      <c r="AR497" s="166">
        <v>1</v>
      </c>
      <c r="AS497" s="166">
        <v>0</v>
      </c>
      <c r="AT497" s="166">
        <v>0</v>
      </c>
      <c r="AU497" s="166">
        <v>0</v>
      </c>
      <c r="AV497" s="166">
        <v>0</v>
      </c>
      <c r="AW497" s="166">
        <v>3</v>
      </c>
      <c r="AX497" s="166">
        <v>1</v>
      </c>
      <c r="AY497" s="166">
        <v>1</v>
      </c>
      <c r="AZ497" s="166">
        <v>0</v>
      </c>
      <c r="BA497" s="166">
        <v>0</v>
      </c>
      <c r="BB497" s="166">
        <v>0</v>
      </c>
      <c r="BC497" s="166">
        <v>0</v>
      </c>
      <c r="BD497" s="166">
        <v>0</v>
      </c>
      <c r="BE497" s="166">
        <v>0</v>
      </c>
      <c r="BF497" s="166">
        <v>0</v>
      </c>
      <c r="BG497" s="166">
        <v>0</v>
      </c>
      <c r="BH497" s="166">
        <v>0</v>
      </c>
      <c r="BI497" s="166">
        <v>0</v>
      </c>
      <c r="BJ497" s="166">
        <v>0</v>
      </c>
      <c r="BK497" s="166">
        <v>0</v>
      </c>
      <c r="BL497" s="166">
        <v>0</v>
      </c>
      <c r="BM497" s="166">
        <v>0</v>
      </c>
      <c r="BN497" s="166">
        <v>0</v>
      </c>
      <c r="BO497" s="166">
        <v>0</v>
      </c>
      <c r="BP497" s="166">
        <v>0</v>
      </c>
      <c r="BQ497" s="81" t="s">
        <v>1758</v>
      </c>
      <c r="BR497" s="81" t="s">
        <v>161</v>
      </c>
      <c r="BV497" s="81" t="s">
        <v>155</v>
      </c>
      <c r="BZ497" s="81" t="s">
        <v>155</v>
      </c>
      <c r="CA497" s="81" t="s">
        <v>3934</v>
      </c>
      <c r="CC497" s="167">
        <v>0</v>
      </c>
      <c r="CD497" s="167">
        <v>0</v>
      </c>
      <c r="CE497" s="167">
        <f>N497</f>
        <v>5</v>
      </c>
      <c r="CF497" s="167">
        <v>0</v>
      </c>
      <c r="CG497" s="167">
        <v>0</v>
      </c>
      <c r="CH497" s="167">
        <v>0</v>
      </c>
      <c r="CI497" s="167">
        <v>0</v>
      </c>
      <c r="CJ497" s="167">
        <v>0</v>
      </c>
      <c r="CK497" s="167">
        <v>0</v>
      </c>
      <c r="CL497" s="167">
        <v>0</v>
      </c>
      <c r="CM497" s="167">
        <v>0</v>
      </c>
      <c r="CN497" s="167">
        <v>0</v>
      </c>
      <c r="CO497" s="167">
        <v>0</v>
      </c>
      <c r="CP497" s="167">
        <v>0</v>
      </c>
      <c r="CQ497" s="167">
        <v>0</v>
      </c>
      <c r="CR497" s="167">
        <v>0</v>
      </c>
      <c r="CS497" s="167">
        <v>0</v>
      </c>
      <c r="CT497" s="167">
        <v>0</v>
      </c>
      <c r="CU497" s="167">
        <v>0</v>
      </c>
      <c r="CV497" s="167">
        <v>0</v>
      </c>
      <c r="CW497" s="167">
        <v>0</v>
      </c>
      <c r="CX497" s="167">
        <f>SUM(CD497:CH497)</f>
        <v>5</v>
      </c>
      <c r="CY497" s="167">
        <f>SUM(CD497:CM497)</f>
        <v>5</v>
      </c>
    </row>
    <row r="498" spans="1:103" ht="12.75" customHeight="1" x14ac:dyDescent="0.2">
      <c r="A498" s="81">
        <v>5292</v>
      </c>
      <c r="B498" s="165" t="s">
        <v>1908</v>
      </c>
      <c r="C498" s="165" t="s">
        <v>604</v>
      </c>
      <c r="E498" s="165" t="s">
        <v>3374</v>
      </c>
      <c r="F498" s="165" t="s">
        <v>619</v>
      </c>
      <c r="G498" s="81">
        <v>524279</v>
      </c>
      <c r="H498" s="81">
        <v>174909</v>
      </c>
      <c r="I498" s="165" t="s">
        <v>250</v>
      </c>
      <c r="J498" s="349">
        <v>42825</v>
      </c>
      <c r="L498" s="166">
        <v>0</v>
      </c>
      <c r="M498" s="166">
        <v>4</v>
      </c>
      <c r="N498" s="166">
        <v>4</v>
      </c>
      <c r="O498" s="166">
        <v>73</v>
      </c>
      <c r="P498" s="166">
        <v>73</v>
      </c>
      <c r="Q498" s="81" t="s">
        <v>155</v>
      </c>
      <c r="R498" s="165" t="s">
        <v>1138</v>
      </c>
      <c r="S498" s="81" t="s">
        <v>104</v>
      </c>
      <c r="T498" s="349">
        <v>42188</v>
      </c>
      <c r="U498" s="349">
        <v>42335</v>
      </c>
      <c r="W498" s="81" t="s">
        <v>114</v>
      </c>
      <c r="Y498" s="81" t="s">
        <v>115</v>
      </c>
      <c r="Z498" s="81" t="s">
        <v>116</v>
      </c>
      <c r="AA498" s="81" t="s">
        <v>116</v>
      </c>
      <c r="AB498" s="81" t="s">
        <v>117</v>
      </c>
      <c r="AC498" s="166">
        <v>0</v>
      </c>
      <c r="AD498" s="349">
        <v>42825</v>
      </c>
      <c r="AG498" s="81" t="s">
        <v>154</v>
      </c>
      <c r="AH498" s="81" t="s">
        <v>276</v>
      </c>
      <c r="AI498" s="81" t="s">
        <v>3375</v>
      </c>
      <c r="AK498" s="166">
        <v>4</v>
      </c>
      <c r="AM498" s="166">
        <v>0</v>
      </c>
      <c r="AO498" s="166">
        <v>0</v>
      </c>
      <c r="AP498" s="166">
        <v>2</v>
      </c>
      <c r="AQ498" s="166">
        <v>1</v>
      </c>
      <c r="AR498" s="166">
        <v>1</v>
      </c>
      <c r="AS498" s="166">
        <v>0</v>
      </c>
      <c r="AT498" s="166">
        <v>0</v>
      </c>
      <c r="AU498" s="166">
        <v>0</v>
      </c>
      <c r="AV498" s="166">
        <v>0</v>
      </c>
      <c r="AW498" s="166">
        <v>2</v>
      </c>
      <c r="AX498" s="166">
        <v>1</v>
      </c>
      <c r="AY498" s="166">
        <v>1</v>
      </c>
      <c r="AZ498" s="166">
        <v>0</v>
      </c>
      <c r="BA498" s="166">
        <v>0</v>
      </c>
      <c r="BB498" s="166">
        <v>0</v>
      </c>
      <c r="BC498" s="166">
        <v>0</v>
      </c>
      <c r="BD498" s="166">
        <v>0</v>
      </c>
      <c r="BE498" s="166">
        <v>0</v>
      </c>
      <c r="BF498" s="166">
        <v>0</v>
      </c>
      <c r="BG498" s="166">
        <v>0</v>
      </c>
      <c r="BH498" s="166">
        <v>0</v>
      </c>
      <c r="BI498" s="166">
        <v>0</v>
      </c>
      <c r="BJ498" s="166">
        <v>0</v>
      </c>
      <c r="BK498" s="166">
        <v>0</v>
      </c>
      <c r="BL498" s="166">
        <v>0</v>
      </c>
      <c r="BM498" s="166">
        <v>0</v>
      </c>
      <c r="BN498" s="166">
        <v>0</v>
      </c>
      <c r="BO498" s="166">
        <v>0</v>
      </c>
      <c r="BP498" s="166">
        <v>0</v>
      </c>
      <c r="BQ498" s="81" t="s">
        <v>1758</v>
      </c>
      <c r="BR498" s="81" t="s">
        <v>161</v>
      </c>
      <c r="BV498" s="81" t="s">
        <v>155</v>
      </c>
      <c r="BZ498" s="81" t="s">
        <v>155</v>
      </c>
      <c r="CA498" s="81" t="s">
        <v>3934</v>
      </c>
      <c r="CC498" s="167">
        <v>0</v>
      </c>
      <c r="CD498" s="167">
        <v>0</v>
      </c>
      <c r="CE498" s="167">
        <f>N498</f>
        <v>4</v>
      </c>
      <c r="CF498" s="167">
        <v>0</v>
      </c>
      <c r="CG498" s="167">
        <v>0</v>
      </c>
      <c r="CH498" s="167">
        <v>0</v>
      </c>
      <c r="CI498" s="167">
        <v>0</v>
      </c>
      <c r="CJ498" s="167">
        <v>0</v>
      </c>
      <c r="CK498" s="167">
        <v>0</v>
      </c>
      <c r="CL498" s="167">
        <v>0</v>
      </c>
      <c r="CM498" s="167">
        <v>0</v>
      </c>
      <c r="CN498" s="167">
        <v>0</v>
      </c>
      <c r="CO498" s="167">
        <v>0</v>
      </c>
      <c r="CP498" s="167">
        <v>0</v>
      </c>
      <c r="CQ498" s="167">
        <v>0</v>
      </c>
      <c r="CR498" s="167">
        <v>0</v>
      </c>
      <c r="CS498" s="167">
        <v>0</v>
      </c>
      <c r="CT498" s="167">
        <v>0</v>
      </c>
      <c r="CU498" s="167">
        <v>0</v>
      </c>
      <c r="CV498" s="167">
        <v>0</v>
      </c>
      <c r="CW498" s="167">
        <v>0</v>
      </c>
      <c r="CX498" s="167">
        <f>SUM(CD498:CH498)</f>
        <v>4</v>
      </c>
      <c r="CY498" s="167">
        <f>SUM(CD498:CM498)</f>
        <v>4</v>
      </c>
    </row>
    <row r="499" spans="1:103" ht="12.75" customHeight="1" x14ac:dyDescent="0.2">
      <c r="A499" s="81">
        <v>5348</v>
      </c>
      <c r="B499" s="165" t="s">
        <v>1908</v>
      </c>
      <c r="C499" s="165" t="s">
        <v>534</v>
      </c>
      <c r="E499" s="165" t="s">
        <v>3547</v>
      </c>
      <c r="G499" s="81">
        <v>527772</v>
      </c>
      <c r="H499" s="81">
        <v>173569</v>
      </c>
      <c r="I499" s="165" t="s">
        <v>254</v>
      </c>
      <c r="J499" s="349">
        <v>43190</v>
      </c>
      <c r="L499" s="166">
        <v>0</v>
      </c>
      <c r="M499" s="166">
        <v>5</v>
      </c>
      <c r="N499" s="166">
        <v>5</v>
      </c>
      <c r="O499" s="166">
        <v>5</v>
      </c>
      <c r="P499" s="166">
        <v>5</v>
      </c>
      <c r="R499" s="165" t="s">
        <v>1086</v>
      </c>
      <c r="S499" s="81" t="s">
        <v>296</v>
      </c>
      <c r="T499" s="349">
        <v>41457</v>
      </c>
      <c r="U499" s="349">
        <v>41936</v>
      </c>
      <c r="W499" s="81" t="s">
        <v>297</v>
      </c>
      <c r="X499" s="349">
        <v>42269</v>
      </c>
      <c r="Y499" s="81" t="s">
        <v>115</v>
      </c>
      <c r="Z499" s="81" t="s">
        <v>398</v>
      </c>
      <c r="AA499" s="81" t="s">
        <v>117</v>
      </c>
      <c r="AB499" s="81" t="s">
        <v>311</v>
      </c>
      <c r="AC499" s="166">
        <v>3.20000015199184E-2</v>
      </c>
      <c r="AD499" s="349">
        <v>43190</v>
      </c>
      <c r="AE499" s="81" t="s">
        <v>155</v>
      </c>
      <c r="AG499" s="81" t="s">
        <v>238</v>
      </c>
      <c r="AH499" s="81" t="s">
        <v>118</v>
      </c>
      <c r="AK499" s="166">
        <v>0</v>
      </c>
      <c r="AM499" s="166">
        <v>0</v>
      </c>
      <c r="AO499" s="166">
        <v>1</v>
      </c>
      <c r="AP499" s="166">
        <v>2</v>
      </c>
      <c r="AQ499" s="166">
        <v>0</v>
      </c>
      <c r="AR499" s="166">
        <v>2</v>
      </c>
      <c r="AS499" s="166">
        <v>0</v>
      </c>
      <c r="AT499" s="166">
        <v>0</v>
      </c>
      <c r="AU499" s="166">
        <v>0</v>
      </c>
      <c r="AV499" s="166">
        <v>1</v>
      </c>
      <c r="AW499" s="166">
        <v>2</v>
      </c>
      <c r="AX499" s="166">
        <v>0</v>
      </c>
      <c r="AY499" s="166">
        <v>2</v>
      </c>
      <c r="AZ499" s="166">
        <v>0</v>
      </c>
      <c r="BA499" s="166">
        <v>0</v>
      </c>
      <c r="BB499" s="166">
        <v>0</v>
      </c>
      <c r="BC499" s="166">
        <v>0</v>
      </c>
      <c r="BD499" s="166">
        <v>0</v>
      </c>
      <c r="BE499" s="166">
        <v>0</v>
      </c>
      <c r="BF499" s="166">
        <v>0</v>
      </c>
      <c r="BG499" s="166">
        <v>0</v>
      </c>
      <c r="BH499" s="166">
        <v>0</v>
      </c>
      <c r="BI499" s="166">
        <v>0</v>
      </c>
      <c r="BJ499" s="166">
        <v>0</v>
      </c>
      <c r="BK499" s="166">
        <v>0</v>
      </c>
      <c r="BL499" s="166">
        <v>0</v>
      </c>
      <c r="BM499" s="166">
        <v>0</v>
      </c>
      <c r="BN499" s="166">
        <v>0</v>
      </c>
      <c r="BO499" s="166">
        <v>0</v>
      </c>
      <c r="BP499" s="166">
        <v>0</v>
      </c>
      <c r="BQ499" s="81" t="s">
        <v>1757</v>
      </c>
      <c r="BZ499" s="81" t="s">
        <v>155</v>
      </c>
      <c r="CA499" s="81" t="s">
        <v>3981</v>
      </c>
      <c r="CC499" s="167">
        <v>0</v>
      </c>
      <c r="CD499" s="167">
        <f>$N499/2</f>
        <v>2.5</v>
      </c>
      <c r="CE499" s="167">
        <f>$N499/2</f>
        <v>2.5</v>
      </c>
      <c r="CF499" s="167">
        <v>0</v>
      </c>
      <c r="CG499" s="167">
        <v>0</v>
      </c>
      <c r="CH499" s="167">
        <v>0</v>
      </c>
      <c r="CI499" s="167">
        <v>0</v>
      </c>
      <c r="CJ499" s="167">
        <v>0</v>
      </c>
      <c r="CK499" s="167">
        <v>0</v>
      </c>
      <c r="CL499" s="167">
        <v>0</v>
      </c>
      <c r="CM499" s="167">
        <v>0</v>
      </c>
      <c r="CN499" s="167">
        <v>0</v>
      </c>
      <c r="CO499" s="167">
        <v>0</v>
      </c>
      <c r="CP499" s="167">
        <v>0</v>
      </c>
      <c r="CQ499" s="167">
        <v>0</v>
      </c>
      <c r="CR499" s="167">
        <v>0</v>
      </c>
      <c r="CS499" s="167">
        <v>0</v>
      </c>
      <c r="CT499" s="167">
        <v>0</v>
      </c>
      <c r="CU499" s="167">
        <v>0</v>
      </c>
      <c r="CV499" s="167">
        <v>0</v>
      </c>
      <c r="CW499" s="167">
        <v>0</v>
      </c>
      <c r="CX499" s="167">
        <f>SUM(CD499:CH499)</f>
        <v>5</v>
      </c>
      <c r="CY499" s="167">
        <f>SUM(CD499:CM499)</f>
        <v>5</v>
      </c>
    </row>
    <row r="500" spans="1:103" ht="12.75" customHeight="1" x14ac:dyDescent="0.2">
      <c r="A500" s="81">
        <v>5363</v>
      </c>
      <c r="B500" s="165" t="s">
        <v>1908</v>
      </c>
      <c r="C500" s="165" t="s">
        <v>591</v>
      </c>
      <c r="E500" s="165" t="s">
        <v>2563</v>
      </c>
      <c r="G500" s="81">
        <v>525417</v>
      </c>
      <c r="H500" s="81">
        <v>174604</v>
      </c>
      <c r="I500" s="165" t="s">
        <v>258</v>
      </c>
      <c r="J500" s="349">
        <v>42825</v>
      </c>
      <c r="L500" s="166">
        <v>0</v>
      </c>
      <c r="M500" s="166">
        <v>3</v>
      </c>
      <c r="N500" s="166">
        <v>3</v>
      </c>
      <c r="O500" s="166">
        <v>3</v>
      </c>
      <c r="P500" s="166">
        <v>3</v>
      </c>
      <c r="R500" s="165" t="s">
        <v>546</v>
      </c>
      <c r="S500" s="81" t="s">
        <v>110</v>
      </c>
      <c r="T500" s="349">
        <v>42173</v>
      </c>
      <c r="U500" s="349">
        <v>42263</v>
      </c>
      <c r="W500" s="81" t="s">
        <v>114</v>
      </c>
      <c r="Y500" s="81" t="s">
        <v>115</v>
      </c>
      <c r="Z500" s="81" t="s">
        <v>310</v>
      </c>
      <c r="AA500" s="81" t="s">
        <v>117</v>
      </c>
      <c r="AB500" s="81" t="s">
        <v>399</v>
      </c>
      <c r="AC500" s="166">
        <v>4.1999999433755902E-2</v>
      </c>
      <c r="AD500" s="349">
        <v>42825</v>
      </c>
      <c r="AG500" s="81" t="s">
        <v>238</v>
      </c>
      <c r="AH500" s="81" t="s">
        <v>118</v>
      </c>
      <c r="AK500" s="166">
        <v>0</v>
      </c>
      <c r="AM500" s="166">
        <v>0</v>
      </c>
      <c r="AO500" s="166">
        <v>0</v>
      </c>
      <c r="AP500" s="166">
        <v>0</v>
      </c>
      <c r="AQ500" s="166">
        <v>3</v>
      </c>
      <c r="AR500" s="166">
        <v>0</v>
      </c>
      <c r="AS500" s="166">
        <v>0</v>
      </c>
      <c r="AT500" s="166">
        <v>0</v>
      </c>
      <c r="AU500" s="166">
        <v>0</v>
      </c>
      <c r="AV500" s="166">
        <v>0</v>
      </c>
      <c r="AW500" s="166">
        <v>0</v>
      </c>
      <c r="AX500" s="166">
        <v>3</v>
      </c>
      <c r="AY500" s="166">
        <v>0</v>
      </c>
      <c r="AZ500" s="166">
        <v>0</v>
      </c>
      <c r="BA500" s="166">
        <v>0</v>
      </c>
      <c r="BB500" s="166">
        <v>0</v>
      </c>
      <c r="BC500" s="166">
        <v>0</v>
      </c>
      <c r="BD500" s="166">
        <v>0</v>
      </c>
      <c r="BE500" s="166">
        <v>0</v>
      </c>
      <c r="BF500" s="166">
        <v>0</v>
      </c>
      <c r="BG500" s="166">
        <v>0</v>
      </c>
      <c r="BH500" s="166">
        <v>0</v>
      </c>
      <c r="BI500" s="166">
        <v>0</v>
      </c>
      <c r="BJ500" s="166">
        <v>0</v>
      </c>
      <c r="BK500" s="166">
        <v>0</v>
      </c>
      <c r="BL500" s="166">
        <v>0</v>
      </c>
      <c r="BM500" s="166">
        <v>0</v>
      </c>
      <c r="BN500" s="166">
        <v>0</v>
      </c>
      <c r="BO500" s="166">
        <v>0</v>
      </c>
      <c r="BP500" s="166">
        <v>0</v>
      </c>
      <c r="BQ500" s="81" t="s">
        <v>1758</v>
      </c>
      <c r="BR500" s="81" t="s">
        <v>202</v>
      </c>
      <c r="BT500" s="81" t="s">
        <v>155</v>
      </c>
      <c r="BZ500" s="81" t="s">
        <v>155</v>
      </c>
      <c r="CA500" s="81" t="s">
        <v>3980</v>
      </c>
      <c r="CC500" s="167">
        <v>0</v>
      </c>
      <c r="CD500" s="167">
        <f>N500</f>
        <v>3</v>
      </c>
      <c r="CE500" s="167">
        <v>0</v>
      </c>
      <c r="CF500" s="167">
        <v>0</v>
      </c>
      <c r="CG500" s="167">
        <v>0</v>
      </c>
      <c r="CH500" s="167">
        <v>0</v>
      </c>
      <c r="CI500" s="167">
        <v>0</v>
      </c>
      <c r="CJ500" s="167">
        <v>0</v>
      </c>
      <c r="CK500" s="167">
        <v>0</v>
      </c>
      <c r="CL500" s="167">
        <v>0</v>
      </c>
      <c r="CM500" s="167">
        <v>0</v>
      </c>
      <c r="CN500" s="167">
        <v>0</v>
      </c>
      <c r="CO500" s="167">
        <v>0</v>
      </c>
      <c r="CP500" s="167">
        <v>0</v>
      </c>
      <c r="CQ500" s="167">
        <v>0</v>
      </c>
      <c r="CR500" s="167">
        <v>0</v>
      </c>
      <c r="CS500" s="167">
        <v>0</v>
      </c>
      <c r="CT500" s="167">
        <v>0</v>
      </c>
      <c r="CU500" s="167">
        <v>0</v>
      </c>
      <c r="CV500" s="167">
        <v>0</v>
      </c>
      <c r="CW500" s="167">
        <v>0</v>
      </c>
      <c r="CX500" s="167">
        <f>SUM(CD500:CH500)</f>
        <v>3</v>
      </c>
      <c r="CY500" s="167">
        <f>SUM(CD500:CM500)</f>
        <v>3</v>
      </c>
    </row>
    <row r="501" spans="1:103" ht="12.75" customHeight="1" x14ac:dyDescent="0.2">
      <c r="A501" s="81">
        <v>5376</v>
      </c>
      <c r="B501" s="165" t="s">
        <v>1908</v>
      </c>
      <c r="C501" s="165" t="s">
        <v>401</v>
      </c>
      <c r="E501" s="165" t="s">
        <v>3385</v>
      </c>
      <c r="G501" s="81">
        <v>528703</v>
      </c>
      <c r="H501" s="81">
        <v>173099</v>
      </c>
      <c r="I501" s="165" t="s">
        <v>254</v>
      </c>
      <c r="J501" s="349">
        <v>42552</v>
      </c>
      <c r="L501" s="166">
        <v>0</v>
      </c>
      <c r="M501" s="166">
        <v>1</v>
      </c>
      <c r="N501" s="166">
        <v>1</v>
      </c>
      <c r="O501" s="166">
        <v>1</v>
      </c>
      <c r="P501" s="166">
        <v>1</v>
      </c>
      <c r="R501" s="165" t="s">
        <v>885</v>
      </c>
      <c r="S501" s="81" t="s">
        <v>113</v>
      </c>
      <c r="T501" s="349">
        <v>41509</v>
      </c>
      <c r="U501" s="349">
        <v>41843</v>
      </c>
      <c r="W501" s="81" t="s">
        <v>114</v>
      </c>
      <c r="Y501" s="81" t="s">
        <v>115</v>
      </c>
      <c r="Z501" s="81" t="s">
        <v>116</v>
      </c>
      <c r="AA501" s="81" t="s">
        <v>117</v>
      </c>
      <c r="AB501" s="81" t="s">
        <v>218</v>
      </c>
      <c r="AC501" s="166">
        <v>8.9999996125698107E-3</v>
      </c>
      <c r="AD501" s="349">
        <v>42552</v>
      </c>
      <c r="AG501" s="81" t="s">
        <v>238</v>
      </c>
      <c r="AH501" s="81" t="s">
        <v>118</v>
      </c>
      <c r="AK501" s="166">
        <v>0</v>
      </c>
      <c r="AM501" s="166">
        <v>0</v>
      </c>
      <c r="AO501" s="166">
        <v>0</v>
      </c>
      <c r="AP501" s="166">
        <v>0</v>
      </c>
      <c r="AQ501" s="166">
        <v>1</v>
      </c>
      <c r="AR501" s="166">
        <v>0</v>
      </c>
      <c r="AS501" s="166">
        <v>0</v>
      </c>
      <c r="AT501" s="166">
        <v>0</v>
      </c>
      <c r="AU501" s="166">
        <v>0</v>
      </c>
      <c r="AV501" s="166">
        <v>0</v>
      </c>
      <c r="AW501" s="166">
        <v>0</v>
      </c>
      <c r="AX501" s="166">
        <v>1</v>
      </c>
      <c r="AY501" s="166">
        <v>0</v>
      </c>
      <c r="AZ501" s="166">
        <v>0</v>
      </c>
      <c r="BA501" s="166">
        <v>0</v>
      </c>
      <c r="BB501" s="166">
        <v>0</v>
      </c>
      <c r="BC501" s="166">
        <v>0</v>
      </c>
      <c r="BD501" s="166">
        <v>0</v>
      </c>
      <c r="BE501" s="166">
        <v>0</v>
      </c>
      <c r="BF501" s="166">
        <v>0</v>
      </c>
      <c r="BG501" s="166">
        <v>0</v>
      </c>
      <c r="BH501" s="166">
        <v>0</v>
      </c>
      <c r="BI501" s="166">
        <v>0</v>
      </c>
      <c r="BJ501" s="166">
        <v>0</v>
      </c>
      <c r="BK501" s="166">
        <v>0</v>
      </c>
      <c r="BL501" s="166">
        <v>0</v>
      </c>
      <c r="BM501" s="166">
        <v>0</v>
      </c>
      <c r="BN501" s="166">
        <v>0</v>
      </c>
      <c r="BO501" s="166">
        <v>0</v>
      </c>
      <c r="BP501" s="166">
        <v>0</v>
      </c>
      <c r="BQ501" s="81" t="s">
        <v>1757</v>
      </c>
      <c r="BZ501" s="81" t="s">
        <v>155</v>
      </c>
      <c r="CA501" s="81" t="s">
        <v>3976</v>
      </c>
      <c r="CC501" s="167">
        <v>0</v>
      </c>
      <c r="CD501" s="167">
        <f>N501</f>
        <v>1</v>
      </c>
      <c r="CE501" s="167">
        <v>0</v>
      </c>
      <c r="CF501" s="167">
        <v>0</v>
      </c>
      <c r="CG501" s="167">
        <v>0</v>
      </c>
      <c r="CH501" s="167">
        <v>0</v>
      </c>
      <c r="CI501" s="167">
        <v>0</v>
      </c>
      <c r="CJ501" s="167">
        <v>0</v>
      </c>
      <c r="CK501" s="167">
        <v>0</v>
      </c>
      <c r="CL501" s="167">
        <v>0</v>
      </c>
      <c r="CM501" s="167">
        <v>0</v>
      </c>
      <c r="CN501" s="167">
        <v>0</v>
      </c>
      <c r="CO501" s="167">
        <v>0</v>
      </c>
      <c r="CP501" s="167">
        <v>0</v>
      </c>
      <c r="CQ501" s="167">
        <v>0</v>
      </c>
      <c r="CR501" s="167">
        <v>0</v>
      </c>
      <c r="CS501" s="167">
        <v>0</v>
      </c>
      <c r="CT501" s="167">
        <v>0</v>
      </c>
      <c r="CU501" s="167">
        <v>0</v>
      </c>
      <c r="CV501" s="167">
        <v>0</v>
      </c>
      <c r="CW501" s="167">
        <v>0</v>
      </c>
      <c r="CX501" s="167">
        <f>SUM(CD501:CH501)</f>
        <v>1</v>
      </c>
      <c r="CY501" s="167">
        <f>SUM(CD501:CM501)</f>
        <v>1</v>
      </c>
    </row>
    <row r="502" spans="1:103" ht="12.75" customHeight="1" x14ac:dyDescent="0.2">
      <c r="A502" s="81">
        <v>5376</v>
      </c>
      <c r="B502" s="165" t="s">
        <v>1908</v>
      </c>
      <c r="C502" s="165" t="s">
        <v>3548</v>
      </c>
      <c r="E502" s="165" t="s">
        <v>3385</v>
      </c>
      <c r="G502" s="81">
        <v>528703</v>
      </c>
      <c r="H502" s="81">
        <v>173099</v>
      </c>
      <c r="I502" s="165" t="s">
        <v>254</v>
      </c>
      <c r="J502" s="349">
        <v>43045</v>
      </c>
      <c r="L502" s="166">
        <v>0</v>
      </c>
      <c r="M502" s="166">
        <v>1</v>
      </c>
      <c r="N502" s="166">
        <v>1</v>
      </c>
      <c r="O502" s="166">
        <v>1</v>
      </c>
      <c r="P502" s="166">
        <v>1</v>
      </c>
      <c r="R502" s="165" t="s">
        <v>3549</v>
      </c>
      <c r="S502" s="81" t="s">
        <v>113</v>
      </c>
      <c r="T502" s="349">
        <v>42990</v>
      </c>
      <c r="U502" s="349">
        <v>43045</v>
      </c>
      <c r="V502" s="81" t="s">
        <v>155</v>
      </c>
      <c r="W502" s="81" t="s">
        <v>114</v>
      </c>
      <c r="Y502" s="81" t="s">
        <v>115</v>
      </c>
      <c r="Z502" s="81" t="s">
        <v>219</v>
      </c>
      <c r="AA502" s="81" t="s">
        <v>117</v>
      </c>
      <c r="AB502" s="81" t="s">
        <v>3889</v>
      </c>
      <c r="AC502" s="166">
        <v>4.0000001899898104E-3</v>
      </c>
      <c r="AD502" s="349">
        <v>43045</v>
      </c>
      <c r="AE502" s="81" t="s">
        <v>155</v>
      </c>
      <c r="AG502" s="81" t="s">
        <v>238</v>
      </c>
      <c r="AH502" s="81" t="s">
        <v>118</v>
      </c>
      <c r="AK502" s="166">
        <v>0</v>
      </c>
      <c r="AM502" s="166">
        <v>0</v>
      </c>
      <c r="AO502" s="166">
        <v>1</v>
      </c>
      <c r="AP502" s="166">
        <v>0</v>
      </c>
      <c r="AQ502" s="166">
        <v>0</v>
      </c>
      <c r="AR502" s="166">
        <v>0</v>
      </c>
      <c r="AS502" s="166">
        <v>0</v>
      </c>
      <c r="AT502" s="166">
        <v>0</v>
      </c>
      <c r="AU502" s="166">
        <v>0</v>
      </c>
      <c r="AV502" s="166">
        <v>1</v>
      </c>
      <c r="AW502" s="166">
        <v>0</v>
      </c>
      <c r="AX502" s="166">
        <v>0</v>
      </c>
      <c r="AY502" s="166">
        <v>0</v>
      </c>
      <c r="AZ502" s="166">
        <v>0</v>
      </c>
      <c r="BA502" s="166">
        <v>0</v>
      </c>
      <c r="BB502" s="166">
        <v>0</v>
      </c>
      <c r="BC502" s="166">
        <v>0</v>
      </c>
      <c r="BD502" s="166">
        <v>0</v>
      </c>
      <c r="BE502" s="166">
        <v>0</v>
      </c>
      <c r="BF502" s="166">
        <v>0</v>
      </c>
      <c r="BG502" s="166">
        <v>0</v>
      </c>
      <c r="BH502" s="166">
        <v>0</v>
      </c>
      <c r="BI502" s="166">
        <v>0</v>
      </c>
      <c r="BJ502" s="166">
        <v>0</v>
      </c>
      <c r="BK502" s="166">
        <v>0</v>
      </c>
      <c r="BL502" s="166">
        <v>0</v>
      </c>
      <c r="BM502" s="166">
        <v>0</v>
      </c>
      <c r="BN502" s="166">
        <v>0</v>
      </c>
      <c r="BO502" s="166">
        <v>0</v>
      </c>
      <c r="BP502" s="166">
        <v>0</v>
      </c>
      <c r="BQ502" s="81" t="s">
        <v>1757</v>
      </c>
      <c r="BZ502" s="81" t="s">
        <v>155</v>
      </c>
      <c r="CA502" s="81" t="s">
        <v>3981</v>
      </c>
      <c r="CC502" s="167">
        <v>0</v>
      </c>
      <c r="CD502" s="167">
        <f>$N502/2</f>
        <v>0.5</v>
      </c>
      <c r="CE502" s="167">
        <f>$N502/2</f>
        <v>0.5</v>
      </c>
      <c r="CF502" s="167">
        <v>0</v>
      </c>
      <c r="CG502" s="167">
        <v>0</v>
      </c>
      <c r="CH502" s="167">
        <v>0</v>
      </c>
      <c r="CI502" s="167">
        <v>0</v>
      </c>
      <c r="CJ502" s="167">
        <v>0</v>
      </c>
      <c r="CK502" s="167">
        <v>0</v>
      </c>
      <c r="CL502" s="167">
        <v>0</v>
      </c>
      <c r="CM502" s="167">
        <v>0</v>
      </c>
      <c r="CN502" s="167">
        <v>0</v>
      </c>
      <c r="CO502" s="167">
        <v>0</v>
      </c>
      <c r="CP502" s="167">
        <v>0</v>
      </c>
      <c r="CQ502" s="167">
        <v>0</v>
      </c>
      <c r="CR502" s="167">
        <v>0</v>
      </c>
      <c r="CS502" s="167">
        <v>0</v>
      </c>
      <c r="CT502" s="167">
        <v>0</v>
      </c>
      <c r="CU502" s="167">
        <v>0</v>
      </c>
      <c r="CV502" s="167">
        <v>0</v>
      </c>
      <c r="CW502" s="167">
        <v>0</v>
      </c>
      <c r="CX502" s="167">
        <f>SUM(CD502:CH502)</f>
        <v>1</v>
      </c>
      <c r="CY502" s="167">
        <f>SUM(CD502:CM502)</f>
        <v>1</v>
      </c>
    </row>
    <row r="503" spans="1:103" ht="12.75" customHeight="1" x14ac:dyDescent="0.2">
      <c r="A503" s="81">
        <v>5377</v>
      </c>
      <c r="B503" s="165" t="s">
        <v>1908</v>
      </c>
      <c r="C503" s="165" t="s">
        <v>1358</v>
      </c>
      <c r="E503" s="165" t="s">
        <v>3550</v>
      </c>
      <c r="G503" s="81">
        <v>528146</v>
      </c>
      <c r="H503" s="81">
        <v>172290</v>
      </c>
      <c r="I503" s="165" t="s">
        <v>248</v>
      </c>
      <c r="J503" s="349">
        <v>43190</v>
      </c>
      <c r="L503" s="166">
        <v>1</v>
      </c>
      <c r="M503" s="166">
        <v>3</v>
      </c>
      <c r="N503" s="166">
        <v>2</v>
      </c>
      <c r="O503" s="166">
        <v>3</v>
      </c>
      <c r="P503" s="166">
        <v>2</v>
      </c>
      <c r="R503" s="165" t="s">
        <v>1359</v>
      </c>
      <c r="S503" s="81" t="s">
        <v>113</v>
      </c>
      <c r="T503" s="349">
        <v>42587</v>
      </c>
      <c r="U503" s="349">
        <v>42667</v>
      </c>
      <c r="W503" s="81" t="s">
        <v>114</v>
      </c>
      <c r="Y503" s="81" t="s">
        <v>115</v>
      </c>
      <c r="Z503" s="81" t="s">
        <v>398</v>
      </c>
      <c r="AA503" s="81" t="s">
        <v>117</v>
      </c>
      <c r="AB503" s="81" t="s">
        <v>220</v>
      </c>
      <c r="AC503" s="166">
        <v>7.0000002160668399E-3</v>
      </c>
      <c r="AD503" s="349">
        <v>43190</v>
      </c>
      <c r="AE503" s="81" t="s">
        <v>155</v>
      </c>
      <c r="AG503" s="81" t="s">
        <v>238</v>
      </c>
      <c r="AH503" s="81" t="s">
        <v>118</v>
      </c>
      <c r="AK503" s="166">
        <v>0</v>
      </c>
      <c r="AM503" s="166">
        <v>0</v>
      </c>
      <c r="AO503" s="166">
        <v>0</v>
      </c>
      <c r="AP503" s="166">
        <v>2</v>
      </c>
      <c r="AQ503" s="166">
        <v>1</v>
      </c>
      <c r="AR503" s="166">
        <v>-1</v>
      </c>
      <c r="AS503" s="166">
        <v>0</v>
      </c>
      <c r="AT503" s="166">
        <v>0</v>
      </c>
      <c r="AU503" s="166">
        <v>0</v>
      </c>
      <c r="AV503" s="166">
        <v>0</v>
      </c>
      <c r="AW503" s="166">
        <v>2</v>
      </c>
      <c r="AX503" s="166">
        <v>1</v>
      </c>
      <c r="AY503" s="166">
        <v>-1</v>
      </c>
      <c r="AZ503" s="166">
        <v>0</v>
      </c>
      <c r="BA503" s="166">
        <v>0</v>
      </c>
      <c r="BB503" s="166">
        <v>0</v>
      </c>
      <c r="BC503" s="166">
        <v>0</v>
      </c>
      <c r="BD503" s="166">
        <v>0</v>
      </c>
      <c r="BE503" s="166">
        <v>0</v>
      </c>
      <c r="BF503" s="166">
        <v>0</v>
      </c>
      <c r="BG503" s="166">
        <v>0</v>
      </c>
      <c r="BH503" s="166">
        <v>0</v>
      </c>
      <c r="BI503" s="166">
        <v>0</v>
      </c>
      <c r="BJ503" s="166">
        <v>0</v>
      </c>
      <c r="BK503" s="166">
        <v>0</v>
      </c>
      <c r="BL503" s="166">
        <v>0</v>
      </c>
      <c r="BM503" s="166">
        <v>0</v>
      </c>
      <c r="BN503" s="166">
        <v>0</v>
      </c>
      <c r="BO503" s="166">
        <v>0</v>
      </c>
      <c r="BP503" s="166">
        <v>0</v>
      </c>
      <c r="BQ503" s="81" t="s">
        <v>1757</v>
      </c>
      <c r="BZ503" s="81" t="s">
        <v>155</v>
      </c>
      <c r="CA503" s="81" t="s">
        <v>3981</v>
      </c>
      <c r="CC503" s="167">
        <v>0</v>
      </c>
      <c r="CD503" s="167">
        <f>$N503/2</f>
        <v>1</v>
      </c>
      <c r="CE503" s="167">
        <f>$N503/2</f>
        <v>1</v>
      </c>
      <c r="CF503" s="167">
        <v>0</v>
      </c>
      <c r="CG503" s="167">
        <v>0</v>
      </c>
      <c r="CH503" s="167">
        <v>0</v>
      </c>
      <c r="CI503" s="167">
        <v>0</v>
      </c>
      <c r="CJ503" s="167">
        <v>0</v>
      </c>
      <c r="CK503" s="167">
        <v>0</v>
      </c>
      <c r="CL503" s="167">
        <v>0</v>
      </c>
      <c r="CM503" s="167">
        <v>0</v>
      </c>
      <c r="CN503" s="167">
        <v>0</v>
      </c>
      <c r="CO503" s="167">
        <v>0</v>
      </c>
      <c r="CP503" s="167">
        <v>0</v>
      </c>
      <c r="CQ503" s="167">
        <v>0</v>
      </c>
      <c r="CR503" s="167">
        <v>0</v>
      </c>
      <c r="CS503" s="167">
        <v>0</v>
      </c>
      <c r="CT503" s="167">
        <v>0</v>
      </c>
      <c r="CU503" s="167">
        <v>0</v>
      </c>
      <c r="CV503" s="167">
        <v>0</v>
      </c>
      <c r="CW503" s="167">
        <v>0</v>
      </c>
      <c r="CX503" s="167">
        <f>SUM(CD503:CH503)</f>
        <v>2</v>
      </c>
      <c r="CY503" s="167">
        <f>SUM(CD503:CM503)</f>
        <v>2</v>
      </c>
    </row>
    <row r="504" spans="1:103" ht="12.75" customHeight="1" x14ac:dyDescent="0.2">
      <c r="A504" s="81">
        <v>5410</v>
      </c>
      <c r="B504" s="165" t="s">
        <v>1908</v>
      </c>
      <c r="C504" s="165" t="s">
        <v>3386</v>
      </c>
      <c r="E504" s="165" t="s">
        <v>3387</v>
      </c>
      <c r="G504" s="81">
        <v>524095</v>
      </c>
      <c r="H504" s="81">
        <v>173645</v>
      </c>
      <c r="I504" s="165" t="s">
        <v>111</v>
      </c>
      <c r="J504" s="349">
        <v>43126</v>
      </c>
      <c r="L504" s="166">
        <v>0</v>
      </c>
      <c r="M504" s="166">
        <v>28</v>
      </c>
      <c r="N504" s="166">
        <v>28</v>
      </c>
      <c r="O504" s="166">
        <v>28</v>
      </c>
      <c r="P504" s="166">
        <v>28</v>
      </c>
      <c r="Q504" s="81" t="s">
        <v>155</v>
      </c>
      <c r="R504" s="165" t="s">
        <v>3388</v>
      </c>
      <c r="S504" s="81" t="s">
        <v>104</v>
      </c>
      <c r="T504" s="349">
        <v>42852</v>
      </c>
      <c r="U504" s="349">
        <v>43126</v>
      </c>
      <c r="V504" s="81" t="s">
        <v>155</v>
      </c>
      <c r="W504" s="81" t="s">
        <v>114</v>
      </c>
      <c r="Y504" s="81" t="s">
        <v>115</v>
      </c>
      <c r="Z504" s="81" t="s">
        <v>116</v>
      </c>
      <c r="AA504" s="81" t="s">
        <v>116</v>
      </c>
      <c r="AB504" s="81" t="s">
        <v>117</v>
      </c>
      <c r="AC504" s="166">
        <v>4.6999998390674598E-2</v>
      </c>
      <c r="AD504" s="349">
        <v>43126</v>
      </c>
      <c r="AE504" s="81" t="s">
        <v>155</v>
      </c>
      <c r="AG504" s="81" t="s">
        <v>238</v>
      </c>
      <c r="AH504" s="81" t="s">
        <v>118</v>
      </c>
      <c r="AK504" s="166">
        <v>0</v>
      </c>
      <c r="AM504" s="166">
        <v>0</v>
      </c>
      <c r="AN504" s="166">
        <v>3</v>
      </c>
      <c r="AO504" s="166">
        <v>0</v>
      </c>
      <c r="AP504" s="166">
        <v>13</v>
      </c>
      <c r="AQ504" s="166">
        <v>11</v>
      </c>
      <c r="AR504" s="166">
        <v>4</v>
      </c>
      <c r="AS504" s="166">
        <v>0</v>
      </c>
      <c r="AT504" s="166">
        <v>0</v>
      </c>
      <c r="AU504" s="166">
        <v>0</v>
      </c>
      <c r="AV504" s="166">
        <v>0</v>
      </c>
      <c r="AW504" s="166">
        <v>13</v>
      </c>
      <c r="AX504" s="166">
        <v>11</v>
      </c>
      <c r="AY504" s="166">
        <v>4</v>
      </c>
      <c r="AZ504" s="166">
        <v>0</v>
      </c>
      <c r="BA504" s="166">
        <v>0</v>
      </c>
      <c r="BB504" s="166">
        <v>0</v>
      </c>
      <c r="BC504" s="166">
        <v>0</v>
      </c>
      <c r="BD504" s="166">
        <v>0</v>
      </c>
      <c r="BE504" s="166">
        <v>0</v>
      </c>
      <c r="BF504" s="166">
        <v>0</v>
      </c>
      <c r="BG504" s="166">
        <v>0</v>
      </c>
      <c r="BH504" s="166">
        <v>0</v>
      </c>
      <c r="BI504" s="166">
        <v>0</v>
      </c>
      <c r="BJ504" s="166">
        <v>0</v>
      </c>
      <c r="BK504" s="166">
        <v>0</v>
      </c>
      <c r="BL504" s="166">
        <v>0</v>
      </c>
      <c r="BM504" s="166">
        <v>0</v>
      </c>
      <c r="BN504" s="166">
        <v>0</v>
      </c>
      <c r="BO504" s="166">
        <v>0</v>
      </c>
      <c r="BP504" s="166">
        <v>0</v>
      </c>
      <c r="BQ504" s="81" t="s">
        <v>1758</v>
      </c>
      <c r="BZ504" s="81" t="s">
        <v>155</v>
      </c>
      <c r="CA504" s="81" t="s">
        <v>3935</v>
      </c>
      <c r="CC504" s="167">
        <v>0</v>
      </c>
      <c r="CD504" s="167">
        <v>0</v>
      </c>
      <c r="CE504" s="167">
        <f>$N504/4</f>
        <v>7</v>
      </c>
      <c r="CF504" s="167">
        <f>$N504/4</f>
        <v>7</v>
      </c>
      <c r="CG504" s="167">
        <f>$N504/4</f>
        <v>7</v>
      </c>
      <c r="CH504" s="167">
        <f>$N504/4</f>
        <v>7</v>
      </c>
      <c r="CI504" s="167">
        <v>0</v>
      </c>
      <c r="CJ504" s="167">
        <v>0</v>
      </c>
      <c r="CK504" s="167">
        <v>0</v>
      </c>
      <c r="CL504" s="167">
        <v>0</v>
      </c>
      <c r="CM504" s="167">
        <v>0</v>
      </c>
      <c r="CN504" s="167">
        <v>0</v>
      </c>
      <c r="CO504" s="167">
        <v>0</v>
      </c>
      <c r="CP504" s="167">
        <v>0</v>
      </c>
      <c r="CQ504" s="167">
        <v>0</v>
      </c>
      <c r="CR504" s="167">
        <v>0</v>
      </c>
      <c r="CS504" s="167">
        <v>0</v>
      </c>
      <c r="CT504" s="167">
        <v>0</v>
      </c>
      <c r="CU504" s="167">
        <v>0</v>
      </c>
      <c r="CV504" s="167">
        <v>0</v>
      </c>
      <c r="CW504" s="167">
        <v>0</v>
      </c>
      <c r="CX504" s="167">
        <f>SUM(CD504:CH504)</f>
        <v>28</v>
      </c>
      <c r="CY504" s="167">
        <f>SUM(CD504:CM504)</f>
        <v>28</v>
      </c>
    </row>
    <row r="505" spans="1:103" ht="12.75" customHeight="1" x14ac:dyDescent="0.2">
      <c r="A505" s="81">
        <v>5442</v>
      </c>
      <c r="B505" s="165" t="s">
        <v>1908</v>
      </c>
      <c r="C505" s="165" t="s">
        <v>184</v>
      </c>
      <c r="E505" s="165" t="s">
        <v>3389</v>
      </c>
      <c r="G505" s="81">
        <v>525614</v>
      </c>
      <c r="H505" s="81">
        <v>172864</v>
      </c>
      <c r="I505" s="165" t="s">
        <v>258</v>
      </c>
      <c r="J505" s="349">
        <v>41729</v>
      </c>
      <c r="L505" s="166">
        <v>0</v>
      </c>
      <c r="M505" s="166">
        <v>1</v>
      </c>
      <c r="N505" s="166">
        <v>1</v>
      </c>
      <c r="O505" s="166">
        <v>1</v>
      </c>
      <c r="P505" s="166">
        <v>1</v>
      </c>
      <c r="R505" s="165" t="s">
        <v>185</v>
      </c>
      <c r="S505" s="81" t="s">
        <v>113</v>
      </c>
      <c r="T505" s="349">
        <v>41470</v>
      </c>
      <c r="U505" s="349">
        <v>41558</v>
      </c>
      <c r="W505" s="81" t="s">
        <v>114</v>
      </c>
      <c r="Y505" s="81" t="s">
        <v>115</v>
      </c>
      <c r="Z505" s="81" t="s">
        <v>116</v>
      </c>
      <c r="AA505" s="81" t="s">
        <v>117</v>
      </c>
      <c r="AB505" s="81" t="s">
        <v>218</v>
      </c>
      <c r="AC505" s="166">
        <v>4.0000001899898104E-3</v>
      </c>
      <c r="AG505" s="81" t="s">
        <v>238</v>
      </c>
      <c r="AH505" s="81" t="s">
        <v>118</v>
      </c>
      <c r="AK505" s="166">
        <v>0</v>
      </c>
      <c r="AM505" s="166">
        <v>0</v>
      </c>
      <c r="AO505" s="166">
        <v>0</v>
      </c>
      <c r="AP505" s="166">
        <v>1</v>
      </c>
      <c r="AQ505" s="166">
        <v>0</v>
      </c>
      <c r="AR505" s="166">
        <v>0</v>
      </c>
      <c r="AS505" s="166">
        <v>0</v>
      </c>
      <c r="AT505" s="166">
        <v>0</v>
      </c>
      <c r="AU505" s="166">
        <v>0</v>
      </c>
      <c r="AV505" s="166">
        <v>0</v>
      </c>
      <c r="AW505" s="166">
        <v>0</v>
      </c>
      <c r="AX505" s="166">
        <v>0</v>
      </c>
      <c r="AY505" s="166">
        <v>0</v>
      </c>
      <c r="AZ505" s="166">
        <v>0</v>
      </c>
      <c r="BA505" s="166">
        <v>0</v>
      </c>
      <c r="BB505" s="166">
        <v>0</v>
      </c>
      <c r="BC505" s="166">
        <v>0</v>
      </c>
      <c r="BD505" s="166">
        <v>1</v>
      </c>
      <c r="BE505" s="166">
        <v>0</v>
      </c>
      <c r="BF505" s="166">
        <v>0</v>
      </c>
      <c r="BG505" s="166">
        <v>0</v>
      </c>
      <c r="BH505" s="166">
        <v>0</v>
      </c>
      <c r="BI505" s="166">
        <v>0</v>
      </c>
      <c r="BJ505" s="166">
        <v>0</v>
      </c>
      <c r="BK505" s="166">
        <v>0</v>
      </c>
      <c r="BL505" s="166">
        <v>0</v>
      </c>
      <c r="BM505" s="166">
        <v>0</v>
      </c>
      <c r="BN505" s="166">
        <v>0</v>
      </c>
      <c r="BO505" s="166">
        <v>0</v>
      </c>
      <c r="BP505" s="166">
        <v>0</v>
      </c>
      <c r="BQ505" s="81" t="s">
        <v>1758</v>
      </c>
      <c r="BY505" s="81" t="s">
        <v>155</v>
      </c>
      <c r="BZ505" s="81" t="s">
        <v>155</v>
      </c>
      <c r="CA505" s="81" t="s">
        <v>3976</v>
      </c>
      <c r="CC505" s="167">
        <v>0</v>
      </c>
      <c r="CD505" s="167">
        <f>N505</f>
        <v>1</v>
      </c>
      <c r="CE505" s="167">
        <v>0</v>
      </c>
      <c r="CF505" s="167">
        <v>0</v>
      </c>
      <c r="CG505" s="167">
        <v>0</v>
      </c>
      <c r="CH505" s="167">
        <v>0</v>
      </c>
      <c r="CI505" s="167">
        <v>0</v>
      </c>
      <c r="CJ505" s="167">
        <v>0</v>
      </c>
      <c r="CK505" s="167">
        <v>0</v>
      </c>
      <c r="CL505" s="167">
        <v>0</v>
      </c>
      <c r="CM505" s="167">
        <v>0</v>
      </c>
      <c r="CN505" s="167">
        <v>0</v>
      </c>
      <c r="CO505" s="167">
        <v>0</v>
      </c>
      <c r="CP505" s="167">
        <v>0</v>
      </c>
      <c r="CQ505" s="167">
        <v>0</v>
      </c>
      <c r="CR505" s="167">
        <v>0</v>
      </c>
      <c r="CS505" s="167">
        <v>0</v>
      </c>
      <c r="CT505" s="167">
        <v>0</v>
      </c>
      <c r="CU505" s="167">
        <v>0</v>
      </c>
      <c r="CV505" s="167">
        <v>0</v>
      </c>
      <c r="CW505" s="167">
        <v>0</v>
      </c>
      <c r="CX505" s="167">
        <f>SUM(CD505:CH505)</f>
        <v>1</v>
      </c>
      <c r="CY505" s="167">
        <f>SUM(CD505:CM505)</f>
        <v>1</v>
      </c>
    </row>
    <row r="506" spans="1:103" ht="12.75" customHeight="1" x14ac:dyDescent="0.2">
      <c r="A506" s="81">
        <v>5445</v>
      </c>
      <c r="B506" s="165" t="s">
        <v>1908</v>
      </c>
      <c r="C506" s="165" t="s">
        <v>335</v>
      </c>
      <c r="E506" s="165" t="s">
        <v>3551</v>
      </c>
      <c r="F506" s="165" t="s">
        <v>400</v>
      </c>
      <c r="G506" s="81">
        <v>527585</v>
      </c>
      <c r="H506" s="81">
        <v>176783</v>
      </c>
      <c r="I506" s="165" t="s">
        <v>257</v>
      </c>
      <c r="J506" s="349">
        <v>42825</v>
      </c>
      <c r="L506" s="166">
        <v>3</v>
      </c>
      <c r="M506" s="166">
        <v>1</v>
      </c>
      <c r="N506" s="166">
        <v>-2</v>
      </c>
      <c r="O506" s="166">
        <v>1</v>
      </c>
      <c r="P506" s="166">
        <v>-2</v>
      </c>
      <c r="R506" s="165" t="s">
        <v>884</v>
      </c>
      <c r="S506" s="81" t="s">
        <v>113</v>
      </c>
      <c r="T506" s="349">
        <v>41457</v>
      </c>
      <c r="U506" s="349">
        <v>41582</v>
      </c>
      <c r="W506" s="81" t="s">
        <v>114</v>
      </c>
      <c r="Y506" s="81" t="s">
        <v>115</v>
      </c>
      <c r="Z506" s="81" t="s">
        <v>398</v>
      </c>
      <c r="AA506" s="81" t="s">
        <v>117</v>
      </c>
      <c r="AB506" s="81" t="s">
        <v>336</v>
      </c>
      <c r="AC506" s="166">
        <v>2.4000000208616298E-2</v>
      </c>
      <c r="AD506" s="349">
        <v>42825</v>
      </c>
      <c r="AG506" s="81" t="s">
        <v>238</v>
      </c>
      <c r="AH506" s="81" t="s">
        <v>118</v>
      </c>
      <c r="AK506" s="166">
        <v>0</v>
      </c>
      <c r="AM506" s="166">
        <v>0</v>
      </c>
      <c r="AO506" s="166">
        <v>0</v>
      </c>
      <c r="AP506" s="166">
        <v>-1</v>
      </c>
      <c r="AQ506" s="166">
        <v>-2</v>
      </c>
      <c r="AR506" s="166">
        <v>0</v>
      </c>
      <c r="AS506" s="166">
        <v>1</v>
      </c>
      <c r="AT506" s="166">
        <v>0</v>
      </c>
      <c r="AU506" s="166">
        <v>0</v>
      </c>
      <c r="AV506" s="166">
        <v>0</v>
      </c>
      <c r="AW506" s="166">
        <v>-1</v>
      </c>
      <c r="AX506" s="166">
        <v>-2</v>
      </c>
      <c r="AY506" s="166">
        <v>0</v>
      </c>
      <c r="AZ506" s="166">
        <v>0</v>
      </c>
      <c r="BA506" s="166">
        <v>0</v>
      </c>
      <c r="BB506" s="166">
        <v>0</v>
      </c>
      <c r="BC506" s="166">
        <v>0</v>
      </c>
      <c r="BD506" s="166">
        <v>0</v>
      </c>
      <c r="BE506" s="166">
        <v>0</v>
      </c>
      <c r="BF506" s="166">
        <v>0</v>
      </c>
      <c r="BG506" s="166">
        <v>1</v>
      </c>
      <c r="BH506" s="166">
        <v>0</v>
      </c>
      <c r="BI506" s="166">
        <v>0</v>
      </c>
      <c r="BJ506" s="166">
        <v>0</v>
      </c>
      <c r="BK506" s="166">
        <v>0</v>
      </c>
      <c r="BL506" s="166">
        <v>0</v>
      </c>
      <c r="BM506" s="166">
        <v>0</v>
      </c>
      <c r="BN506" s="166">
        <v>0</v>
      </c>
      <c r="BO506" s="166">
        <v>0</v>
      </c>
      <c r="BP506" s="166">
        <v>0</v>
      </c>
      <c r="BQ506" s="81" t="s">
        <v>1757</v>
      </c>
      <c r="BZ506" s="81" t="s">
        <v>155</v>
      </c>
      <c r="CA506" s="81" t="s">
        <v>3980</v>
      </c>
      <c r="CC506" s="167">
        <v>0</v>
      </c>
      <c r="CD506" s="167">
        <f>N506</f>
        <v>-2</v>
      </c>
      <c r="CE506" s="167">
        <v>0</v>
      </c>
      <c r="CF506" s="167">
        <v>0</v>
      </c>
      <c r="CG506" s="167">
        <v>0</v>
      </c>
      <c r="CH506" s="167">
        <v>0</v>
      </c>
      <c r="CI506" s="167">
        <v>0</v>
      </c>
      <c r="CJ506" s="167">
        <v>0</v>
      </c>
      <c r="CK506" s="167">
        <v>0</v>
      </c>
      <c r="CL506" s="167">
        <v>0</v>
      </c>
      <c r="CM506" s="167">
        <v>0</v>
      </c>
      <c r="CN506" s="167">
        <v>0</v>
      </c>
      <c r="CO506" s="167">
        <v>0</v>
      </c>
      <c r="CP506" s="167">
        <v>0</v>
      </c>
      <c r="CQ506" s="167">
        <v>0</v>
      </c>
      <c r="CR506" s="167">
        <v>0</v>
      </c>
      <c r="CS506" s="167">
        <v>0</v>
      </c>
      <c r="CT506" s="167">
        <v>0</v>
      </c>
      <c r="CU506" s="167">
        <v>0</v>
      </c>
      <c r="CV506" s="167">
        <v>0</v>
      </c>
      <c r="CW506" s="167">
        <v>0</v>
      </c>
      <c r="CX506" s="167">
        <f>SUM(CD506:CH506)</f>
        <v>-2</v>
      </c>
      <c r="CY506" s="167">
        <f>SUM(CD506:CM506)</f>
        <v>-2</v>
      </c>
    </row>
    <row r="507" spans="1:103" ht="12.75" customHeight="1" x14ac:dyDescent="0.2">
      <c r="A507" s="81">
        <v>5447</v>
      </c>
      <c r="B507" s="165" t="s">
        <v>1908</v>
      </c>
      <c r="C507" s="165" t="s">
        <v>284</v>
      </c>
      <c r="E507" s="165" t="s">
        <v>3390</v>
      </c>
      <c r="G507" s="81">
        <v>528513</v>
      </c>
      <c r="H507" s="81">
        <v>175788</v>
      </c>
      <c r="I507" s="165" t="s">
        <v>256</v>
      </c>
      <c r="J507" s="349">
        <v>43011</v>
      </c>
      <c r="L507" s="166">
        <v>0</v>
      </c>
      <c r="M507" s="166">
        <v>1</v>
      </c>
      <c r="N507" s="166">
        <v>1</v>
      </c>
      <c r="O507" s="166">
        <v>1</v>
      </c>
      <c r="P507" s="166">
        <v>1</v>
      </c>
      <c r="R507" s="165" t="s">
        <v>285</v>
      </c>
      <c r="S507" s="81" t="s">
        <v>113</v>
      </c>
      <c r="T507" s="349">
        <v>41647</v>
      </c>
      <c r="U507" s="349">
        <v>41808</v>
      </c>
      <c r="W507" s="81" t="s">
        <v>114</v>
      </c>
      <c r="Y507" s="81" t="s">
        <v>115</v>
      </c>
      <c r="Z507" s="81" t="s">
        <v>116</v>
      </c>
      <c r="AA507" s="81" t="s">
        <v>117</v>
      </c>
      <c r="AB507" s="81" t="s">
        <v>218</v>
      </c>
      <c r="AC507" s="166">
        <v>2.3000000044703501E-2</v>
      </c>
      <c r="AD507" s="349">
        <v>43011</v>
      </c>
      <c r="AE507" s="81" t="s">
        <v>155</v>
      </c>
      <c r="AG507" s="81" t="s">
        <v>238</v>
      </c>
      <c r="AH507" s="81" t="s">
        <v>118</v>
      </c>
      <c r="AK507" s="166">
        <v>0</v>
      </c>
      <c r="AM507" s="166">
        <v>0</v>
      </c>
      <c r="AO507" s="166">
        <v>0</v>
      </c>
      <c r="AP507" s="166">
        <v>1</v>
      </c>
      <c r="AQ507" s="166">
        <v>0</v>
      </c>
      <c r="AR507" s="166">
        <v>0</v>
      </c>
      <c r="AS507" s="166">
        <v>0</v>
      </c>
      <c r="AT507" s="166">
        <v>0</v>
      </c>
      <c r="AU507" s="166">
        <v>0</v>
      </c>
      <c r="AV507" s="166">
        <v>0</v>
      </c>
      <c r="AW507" s="166">
        <v>0</v>
      </c>
      <c r="AX507" s="166">
        <v>0</v>
      </c>
      <c r="AY507" s="166">
        <v>0</v>
      </c>
      <c r="AZ507" s="166">
        <v>0</v>
      </c>
      <c r="BA507" s="166">
        <v>0</v>
      </c>
      <c r="BB507" s="166">
        <v>0</v>
      </c>
      <c r="BC507" s="166">
        <v>0</v>
      </c>
      <c r="BD507" s="166">
        <v>1</v>
      </c>
      <c r="BE507" s="166">
        <v>0</v>
      </c>
      <c r="BF507" s="166">
        <v>0</v>
      </c>
      <c r="BG507" s="166">
        <v>0</v>
      </c>
      <c r="BH507" s="166">
        <v>0</v>
      </c>
      <c r="BI507" s="166">
        <v>0</v>
      </c>
      <c r="BJ507" s="166">
        <v>0</v>
      </c>
      <c r="BK507" s="166">
        <v>0</v>
      </c>
      <c r="BL507" s="166">
        <v>0</v>
      </c>
      <c r="BM507" s="166">
        <v>0</v>
      </c>
      <c r="BN507" s="166">
        <v>0</v>
      </c>
      <c r="BO507" s="166">
        <v>0</v>
      </c>
      <c r="BP507" s="166">
        <v>0</v>
      </c>
      <c r="BQ507" s="81" t="s">
        <v>1757</v>
      </c>
      <c r="BZ507" s="81" t="s">
        <v>155</v>
      </c>
      <c r="CA507" s="81" t="s">
        <v>3977</v>
      </c>
      <c r="CC507" s="167">
        <v>0</v>
      </c>
      <c r="CD507" s="167">
        <f>$N507/2</f>
        <v>0.5</v>
      </c>
      <c r="CE507" s="167">
        <f>$N507/2</f>
        <v>0.5</v>
      </c>
      <c r="CF507" s="167">
        <v>0</v>
      </c>
      <c r="CG507" s="167">
        <v>0</v>
      </c>
      <c r="CH507" s="167">
        <v>0</v>
      </c>
      <c r="CI507" s="167">
        <v>0</v>
      </c>
      <c r="CJ507" s="167">
        <v>0</v>
      </c>
      <c r="CK507" s="167">
        <v>0</v>
      </c>
      <c r="CL507" s="167">
        <v>0</v>
      </c>
      <c r="CM507" s="167">
        <v>0</v>
      </c>
      <c r="CN507" s="167">
        <v>0</v>
      </c>
      <c r="CO507" s="167">
        <v>0</v>
      </c>
      <c r="CP507" s="167">
        <v>0</v>
      </c>
      <c r="CQ507" s="167">
        <v>0</v>
      </c>
      <c r="CR507" s="167">
        <v>0</v>
      </c>
      <c r="CS507" s="167">
        <v>0</v>
      </c>
      <c r="CT507" s="167">
        <v>0</v>
      </c>
      <c r="CU507" s="167">
        <v>0</v>
      </c>
      <c r="CV507" s="167">
        <v>0</v>
      </c>
      <c r="CW507" s="167">
        <v>0</v>
      </c>
      <c r="CX507" s="167">
        <f>SUM(CD507:CH507)</f>
        <v>1</v>
      </c>
      <c r="CY507" s="167">
        <f>SUM(CD507:CM507)</f>
        <v>1</v>
      </c>
    </row>
    <row r="508" spans="1:103" ht="12.75" customHeight="1" x14ac:dyDescent="0.2">
      <c r="A508" s="81">
        <v>5453</v>
      </c>
      <c r="B508" s="165" t="s">
        <v>1908</v>
      </c>
      <c r="C508" s="165" t="s">
        <v>3391</v>
      </c>
      <c r="E508" s="165" t="s">
        <v>3392</v>
      </c>
      <c r="G508" s="81">
        <v>527274</v>
      </c>
      <c r="H508" s="81">
        <v>174710</v>
      </c>
      <c r="I508" s="165" t="s">
        <v>255</v>
      </c>
      <c r="J508" s="349">
        <v>43190</v>
      </c>
      <c r="L508" s="166">
        <v>0</v>
      </c>
      <c r="M508" s="166">
        <v>1</v>
      </c>
      <c r="N508" s="166">
        <v>1</v>
      </c>
      <c r="O508" s="166">
        <v>1</v>
      </c>
      <c r="P508" s="166">
        <v>1</v>
      </c>
      <c r="R508" s="165" t="s">
        <v>3393</v>
      </c>
      <c r="S508" s="81" t="s">
        <v>113</v>
      </c>
      <c r="T508" s="349">
        <v>42989</v>
      </c>
      <c r="U508" s="349">
        <v>43075</v>
      </c>
      <c r="V508" s="81" t="s">
        <v>155</v>
      </c>
      <c r="W508" s="81" t="s">
        <v>114</v>
      </c>
      <c r="Y508" s="81" t="s">
        <v>397</v>
      </c>
      <c r="Z508" s="81" t="s">
        <v>116</v>
      </c>
      <c r="AA508" s="81" t="s">
        <v>117</v>
      </c>
      <c r="AB508" s="81" t="s">
        <v>218</v>
      </c>
      <c r="AC508" s="166">
        <v>9.00000035762787E-2</v>
      </c>
      <c r="AD508" s="349">
        <v>43190</v>
      </c>
      <c r="AE508" s="81" t="s">
        <v>155</v>
      </c>
      <c r="AG508" s="81" t="s">
        <v>238</v>
      </c>
      <c r="AH508" s="81" t="s">
        <v>118</v>
      </c>
      <c r="AK508" s="166">
        <v>0</v>
      </c>
      <c r="AM508" s="166">
        <v>0</v>
      </c>
      <c r="AO508" s="166">
        <v>0</v>
      </c>
      <c r="AP508" s="166">
        <v>0</v>
      </c>
      <c r="AQ508" s="166">
        <v>0</v>
      </c>
      <c r="AR508" s="166">
        <v>0</v>
      </c>
      <c r="AS508" s="166">
        <v>0</v>
      </c>
      <c r="AT508" s="166">
        <v>1</v>
      </c>
      <c r="AU508" s="166">
        <v>0</v>
      </c>
      <c r="AV508" s="166">
        <v>0</v>
      </c>
      <c r="AW508" s="166">
        <v>0</v>
      </c>
      <c r="AX508" s="166">
        <v>0</v>
      </c>
      <c r="AY508" s="166">
        <v>0</v>
      </c>
      <c r="AZ508" s="166">
        <v>0</v>
      </c>
      <c r="BA508" s="166">
        <v>0</v>
      </c>
      <c r="BB508" s="166">
        <v>0</v>
      </c>
      <c r="BC508" s="166">
        <v>0</v>
      </c>
      <c r="BD508" s="166">
        <v>0</v>
      </c>
      <c r="BE508" s="166">
        <v>0</v>
      </c>
      <c r="BF508" s="166">
        <v>0</v>
      </c>
      <c r="BG508" s="166">
        <v>0</v>
      </c>
      <c r="BH508" s="166">
        <v>1</v>
      </c>
      <c r="BI508" s="166">
        <v>0</v>
      </c>
      <c r="BJ508" s="166">
        <v>0</v>
      </c>
      <c r="BK508" s="166">
        <v>0</v>
      </c>
      <c r="BL508" s="166">
        <v>0</v>
      </c>
      <c r="BM508" s="166">
        <v>0</v>
      </c>
      <c r="BN508" s="166">
        <v>0</v>
      </c>
      <c r="BO508" s="166">
        <v>0</v>
      </c>
      <c r="BP508" s="166">
        <v>0</v>
      </c>
      <c r="BQ508" s="81" t="s">
        <v>1757</v>
      </c>
      <c r="BZ508" s="81" t="s">
        <v>155</v>
      </c>
      <c r="CA508" s="81" t="s">
        <v>3977</v>
      </c>
      <c r="CC508" s="167">
        <v>0</v>
      </c>
      <c r="CD508" s="167">
        <f>$N508/2</f>
        <v>0.5</v>
      </c>
      <c r="CE508" s="167">
        <f>$N508/2</f>
        <v>0.5</v>
      </c>
      <c r="CF508" s="167">
        <v>0</v>
      </c>
      <c r="CG508" s="167">
        <v>0</v>
      </c>
      <c r="CH508" s="167">
        <v>0</v>
      </c>
      <c r="CI508" s="167">
        <v>0</v>
      </c>
      <c r="CJ508" s="167">
        <v>0</v>
      </c>
      <c r="CK508" s="167">
        <v>0</v>
      </c>
      <c r="CL508" s="167">
        <v>0</v>
      </c>
      <c r="CM508" s="167">
        <v>0</v>
      </c>
      <c r="CN508" s="167">
        <v>0</v>
      </c>
      <c r="CO508" s="167">
        <v>0</v>
      </c>
      <c r="CP508" s="167">
        <v>0</v>
      </c>
      <c r="CQ508" s="167">
        <v>0</v>
      </c>
      <c r="CR508" s="167">
        <v>0</v>
      </c>
      <c r="CS508" s="167">
        <v>0</v>
      </c>
      <c r="CT508" s="167">
        <v>0</v>
      </c>
      <c r="CU508" s="167">
        <v>0</v>
      </c>
      <c r="CV508" s="167">
        <v>0</v>
      </c>
      <c r="CW508" s="167">
        <v>0</v>
      </c>
      <c r="CX508" s="167">
        <f>SUM(CD508:CH508)</f>
        <v>1</v>
      </c>
      <c r="CY508" s="167">
        <f>SUM(CD508:CM508)</f>
        <v>1</v>
      </c>
    </row>
    <row r="509" spans="1:103" ht="12.75" customHeight="1" x14ac:dyDescent="0.2">
      <c r="A509" s="81">
        <v>5475</v>
      </c>
      <c r="B509" s="165" t="s">
        <v>1908</v>
      </c>
      <c r="C509" s="165" t="s">
        <v>18</v>
      </c>
      <c r="E509" s="165" t="s">
        <v>3394</v>
      </c>
      <c r="G509" s="81">
        <v>527437</v>
      </c>
      <c r="H509" s="81">
        <v>176713</v>
      </c>
      <c r="I509" s="165" t="s">
        <v>257</v>
      </c>
      <c r="J509" s="349">
        <v>42094</v>
      </c>
      <c r="L509" s="166">
        <v>1</v>
      </c>
      <c r="M509" s="166">
        <v>1</v>
      </c>
      <c r="N509" s="166">
        <v>0</v>
      </c>
      <c r="O509" s="166">
        <v>1</v>
      </c>
      <c r="P509" s="166">
        <v>0</v>
      </c>
      <c r="R509" s="165" t="s">
        <v>746</v>
      </c>
      <c r="S509" s="81" t="s">
        <v>113</v>
      </c>
      <c r="T509" s="349">
        <v>41605</v>
      </c>
      <c r="U509" s="349">
        <v>41810</v>
      </c>
      <c r="W509" s="81" t="s">
        <v>114</v>
      </c>
      <c r="Y509" s="81" t="s">
        <v>115</v>
      </c>
      <c r="Z509" s="81" t="s">
        <v>116</v>
      </c>
      <c r="AA509" s="81" t="s">
        <v>117</v>
      </c>
      <c r="AB509" s="81" t="s">
        <v>218</v>
      </c>
      <c r="AC509" s="166">
        <v>3.9000000804662698E-2</v>
      </c>
      <c r="AD509" s="349">
        <v>42094</v>
      </c>
      <c r="AG509" s="81" t="s">
        <v>238</v>
      </c>
      <c r="AH509" s="81" t="s">
        <v>118</v>
      </c>
      <c r="AK509" s="166">
        <v>0</v>
      </c>
      <c r="AM509" s="166">
        <v>0</v>
      </c>
      <c r="AO509" s="166">
        <v>0</v>
      </c>
      <c r="AP509" s="166">
        <v>0</v>
      </c>
      <c r="AQ509" s="166">
        <v>0</v>
      </c>
      <c r="AR509" s="166">
        <v>0</v>
      </c>
      <c r="AS509" s="166">
        <v>-1</v>
      </c>
      <c r="AT509" s="166">
        <v>1</v>
      </c>
      <c r="AU509" s="166">
        <v>0</v>
      </c>
      <c r="AV509" s="166">
        <v>0</v>
      </c>
      <c r="AW509" s="166">
        <v>0</v>
      </c>
      <c r="AX509" s="166">
        <v>0</v>
      </c>
      <c r="AY509" s="166">
        <v>0</v>
      </c>
      <c r="AZ509" s="166">
        <v>0</v>
      </c>
      <c r="BA509" s="166">
        <v>0</v>
      </c>
      <c r="BB509" s="166">
        <v>0</v>
      </c>
      <c r="BC509" s="166">
        <v>0</v>
      </c>
      <c r="BD509" s="166">
        <v>0</v>
      </c>
      <c r="BE509" s="166">
        <v>0</v>
      </c>
      <c r="BF509" s="166">
        <v>0</v>
      </c>
      <c r="BG509" s="166">
        <v>-1</v>
      </c>
      <c r="BH509" s="166">
        <v>1</v>
      </c>
      <c r="BI509" s="166">
        <v>0</v>
      </c>
      <c r="BJ509" s="166">
        <v>0</v>
      </c>
      <c r="BK509" s="166">
        <v>0</v>
      </c>
      <c r="BL509" s="166">
        <v>0</v>
      </c>
      <c r="BM509" s="166">
        <v>0</v>
      </c>
      <c r="BN509" s="166">
        <v>0</v>
      </c>
      <c r="BO509" s="166">
        <v>0</v>
      </c>
      <c r="BP509" s="166">
        <v>0</v>
      </c>
      <c r="BQ509" s="81" t="s">
        <v>1757</v>
      </c>
      <c r="BZ509" s="81" t="s">
        <v>155</v>
      </c>
      <c r="CA509" s="81" t="s">
        <v>3976</v>
      </c>
      <c r="CC509" s="167">
        <v>0</v>
      </c>
      <c r="CD509" s="167">
        <f>N509</f>
        <v>0</v>
      </c>
      <c r="CE509" s="167">
        <v>0</v>
      </c>
      <c r="CF509" s="167">
        <v>0</v>
      </c>
      <c r="CG509" s="167">
        <v>0</v>
      </c>
      <c r="CH509" s="167">
        <v>0</v>
      </c>
      <c r="CI509" s="167">
        <v>0</v>
      </c>
      <c r="CJ509" s="167">
        <v>0</v>
      </c>
      <c r="CK509" s="167">
        <v>0</v>
      </c>
      <c r="CL509" s="167">
        <v>0</v>
      </c>
      <c r="CM509" s="167">
        <v>0</v>
      </c>
      <c r="CN509" s="167">
        <v>0</v>
      </c>
      <c r="CO509" s="167">
        <v>0</v>
      </c>
      <c r="CP509" s="167">
        <v>0</v>
      </c>
      <c r="CQ509" s="167">
        <v>0</v>
      </c>
      <c r="CR509" s="167">
        <v>0</v>
      </c>
      <c r="CS509" s="167">
        <v>0</v>
      </c>
      <c r="CT509" s="167">
        <v>0</v>
      </c>
      <c r="CU509" s="167">
        <v>0</v>
      </c>
      <c r="CV509" s="167">
        <v>0</v>
      </c>
      <c r="CW509" s="167">
        <v>0</v>
      </c>
      <c r="CX509" s="167">
        <f>SUM(CD509:CH509)</f>
        <v>0</v>
      </c>
      <c r="CY509" s="167">
        <f>SUM(CD509:CM509)</f>
        <v>0</v>
      </c>
    </row>
    <row r="510" spans="1:103" ht="12.75" customHeight="1" x14ac:dyDescent="0.2">
      <c r="A510" s="81">
        <v>5514</v>
      </c>
      <c r="B510" s="165" t="s">
        <v>1908</v>
      </c>
      <c r="C510" s="165" t="s">
        <v>325</v>
      </c>
      <c r="E510" s="165" t="s">
        <v>3552</v>
      </c>
      <c r="G510" s="81">
        <v>529246</v>
      </c>
      <c r="H510" s="81">
        <v>170855</v>
      </c>
      <c r="I510" s="165" t="s">
        <v>252</v>
      </c>
      <c r="J510" s="349">
        <v>42826</v>
      </c>
      <c r="L510" s="166">
        <v>0</v>
      </c>
      <c r="M510" s="166">
        <v>1</v>
      </c>
      <c r="N510" s="166">
        <v>1</v>
      </c>
      <c r="O510" s="166">
        <v>1</v>
      </c>
      <c r="P510" s="166">
        <v>1</v>
      </c>
      <c r="R510" s="165" t="s">
        <v>326</v>
      </c>
      <c r="S510" s="81" t="s">
        <v>113</v>
      </c>
      <c r="T510" s="349">
        <v>41647</v>
      </c>
      <c r="U510" s="349">
        <v>42107</v>
      </c>
      <c r="W510" s="81" t="s">
        <v>114</v>
      </c>
      <c r="Y510" s="81" t="s">
        <v>115</v>
      </c>
      <c r="Z510" s="81" t="s">
        <v>398</v>
      </c>
      <c r="AA510" s="81" t="s">
        <v>117</v>
      </c>
      <c r="AB510" s="81" t="s">
        <v>218</v>
      </c>
      <c r="AC510" s="166">
        <v>7.0000002160668399E-3</v>
      </c>
      <c r="AD510" s="349">
        <v>42826</v>
      </c>
      <c r="AE510" s="81" t="s">
        <v>155</v>
      </c>
      <c r="AG510" s="81" t="s">
        <v>238</v>
      </c>
      <c r="AH510" s="81" t="s">
        <v>118</v>
      </c>
      <c r="AK510" s="166">
        <v>1</v>
      </c>
      <c r="AM510" s="166">
        <v>0</v>
      </c>
      <c r="AO510" s="166">
        <v>0</v>
      </c>
      <c r="AP510" s="166">
        <v>0</v>
      </c>
      <c r="AQ510" s="166">
        <v>1</v>
      </c>
      <c r="AR510" s="166">
        <v>0</v>
      </c>
      <c r="AS510" s="166">
        <v>0</v>
      </c>
      <c r="AT510" s="166">
        <v>0</v>
      </c>
      <c r="AU510" s="166">
        <v>0</v>
      </c>
      <c r="AV510" s="166">
        <v>0</v>
      </c>
      <c r="AW510" s="166">
        <v>0</v>
      </c>
      <c r="AX510" s="166">
        <v>0</v>
      </c>
      <c r="AY510" s="166">
        <v>0</v>
      </c>
      <c r="AZ510" s="166">
        <v>0</v>
      </c>
      <c r="BA510" s="166">
        <v>0</v>
      </c>
      <c r="BB510" s="166">
        <v>0</v>
      </c>
      <c r="BC510" s="166">
        <v>0</v>
      </c>
      <c r="BD510" s="166">
        <v>0</v>
      </c>
      <c r="BE510" s="166">
        <v>1</v>
      </c>
      <c r="BF510" s="166">
        <v>0</v>
      </c>
      <c r="BG510" s="166">
        <v>0</v>
      </c>
      <c r="BH510" s="166">
        <v>0</v>
      </c>
      <c r="BI510" s="166">
        <v>0</v>
      </c>
      <c r="BJ510" s="166">
        <v>0</v>
      </c>
      <c r="BK510" s="166">
        <v>0</v>
      </c>
      <c r="BL510" s="166">
        <v>0</v>
      </c>
      <c r="BM510" s="166">
        <v>0</v>
      </c>
      <c r="BN510" s="166">
        <v>0</v>
      </c>
      <c r="BO510" s="166">
        <v>0</v>
      </c>
      <c r="BP510" s="166">
        <v>0</v>
      </c>
      <c r="BQ510" s="81" t="s">
        <v>1757</v>
      </c>
      <c r="BZ510" s="81" t="s">
        <v>155</v>
      </c>
      <c r="CA510" s="81" t="s">
        <v>3980</v>
      </c>
      <c r="CC510" s="167">
        <v>0</v>
      </c>
      <c r="CD510" s="167">
        <f>N510</f>
        <v>1</v>
      </c>
      <c r="CE510" s="167">
        <v>0</v>
      </c>
      <c r="CF510" s="167">
        <v>0</v>
      </c>
      <c r="CG510" s="167">
        <v>0</v>
      </c>
      <c r="CH510" s="167">
        <v>0</v>
      </c>
      <c r="CI510" s="167">
        <v>0</v>
      </c>
      <c r="CJ510" s="167">
        <v>0</v>
      </c>
      <c r="CK510" s="167">
        <v>0</v>
      </c>
      <c r="CL510" s="167">
        <v>0</v>
      </c>
      <c r="CM510" s="167">
        <v>0</v>
      </c>
      <c r="CN510" s="167">
        <v>0</v>
      </c>
      <c r="CO510" s="167">
        <v>0</v>
      </c>
      <c r="CP510" s="167">
        <v>0</v>
      </c>
      <c r="CQ510" s="167">
        <v>0</v>
      </c>
      <c r="CR510" s="167">
        <v>0</v>
      </c>
      <c r="CS510" s="167">
        <v>0</v>
      </c>
      <c r="CT510" s="167">
        <v>0</v>
      </c>
      <c r="CU510" s="167">
        <v>0</v>
      </c>
      <c r="CV510" s="167">
        <v>0</v>
      </c>
      <c r="CW510" s="167">
        <v>0</v>
      </c>
      <c r="CX510" s="167">
        <f>SUM(CD510:CH510)</f>
        <v>1</v>
      </c>
      <c r="CY510" s="167">
        <f>SUM(CD510:CM510)</f>
        <v>1</v>
      </c>
    </row>
    <row r="511" spans="1:103" ht="12.75" customHeight="1" x14ac:dyDescent="0.2">
      <c r="A511" s="81">
        <v>5532</v>
      </c>
      <c r="B511" s="165" t="s">
        <v>1908</v>
      </c>
      <c r="C511" s="165" t="s">
        <v>282</v>
      </c>
      <c r="E511" s="165" t="s">
        <v>3395</v>
      </c>
      <c r="G511" s="81">
        <v>526348</v>
      </c>
      <c r="H511" s="81">
        <v>174401</v>
      </c>
      <c r="I511" s="165" t="s">
        <v>260</v>
      </c>
      <c r="J511" s="349">
        <v>42846</v>
      </c>
      <c r="L511" s="166">
        <v>0</v>
      </c>
      <c r="M511" s="166">
        <v>9</v>
      </c>
      <c r="N511" s="166">
        <v>9</v>
      </c>
      <c r="O511" s="166">
        <v>9</v>
      </c>
      <c r="P511" s="166">
        <v>9</v>
      </c>
      <c r="R511" s="165" t="s">
        <v>283</v>
      </c>
      <c r="S511" s="81" t="s">
        <v>113</v>
      </c>
      <c r="T511" s="349">
        <v>41646</v>
      </c>
      <c r="U511" s="349">
        <v>41719</v>
      </c>
      <c r="W511" s="81" t="s">
        <v>114</v>
      </c>
      <c r="Y511" s="81" t="s">
        <v>115</v>
      </c>
      <c r="Z511" s="81" t="s">
        <v>116</v>
      </c>
      <c r="AA511" s="81" t="s">
        <v>117</v>
      </c>
      <c r="AB511" s="81" t="s">
        <v>218</v>
      </c>
      <c r="AC511" s="166">
        <v>6.7000001668930095E-2</v>
      </c>
      <c r="AD511" s="349">
        <v>42846</v>
      </c>
      <c r="AE511" s="81" t="s">
        <v>155</v>
      </c>
      <c r="AG511" s="81" t="s">
        <v>154</v>
      </c>
      <c r="AH511" s="81" t="s">
        <v>312</v>
      </c>
      <c r="AK511" s="166">
        <v>9</v>
      </c>
      <c r="AM511" s="166">
        <v>2</v>
      </c>
      <c r="AO511" s="166">
        <v>0</v>
      </c>
      <c r="AP511" s="166">
        <v>9</v>
      </c>
      <c r="AQ511" s="166">
        <v>0</v>
      </c>
      <c r="AR511" s="166">
        <v>0</v>
      </c>
      <c r="AS511" s="166">
        <v>0</v>
      </c>
      <c r="AT511" s="166">
        <v>0</v>
      </c>
      <c r="AU511" s="166">
        <v>0</v>
      </c>
      <c r="AV511" s="166">
        <v>0</v>
      </c>
      <c r="AW511" s="166">
        <v>9</v>
      </c>
      <c r="AX511" s="166">
        <v>0</v>
      </c>
      <c r="AY511" s="166">
        <v>0</v>
      </c>
      <c r="AZ511" s="166">
        <v>0</v>
      </c>
      <c r="BA511" s="166">
        <v>0</v>
      </c>
      <c r="BB511" s="166">
        <v>0</v>
      </c>
      <c r="BC511" s="166">
        <v>0</v>
      </c>
      <c r="BD511" s="166">
        <v>0</v>
      </c>
      <c r="BE511" s="166">
        <v>0</v>
      </c>
      <c r="BF511" s="166">
        <v>0</v>
      </c>
      <c r="BG511" s="166">
        <v>0</v>
      </c>
      <c r="BH511" s="166">
        <v>0</v>
      </c>
      <c r="BI511" s="166">
        <v>0</v>
      </c>
      <c r="BJ511" s="166">
        <v>0</v>
      </c>
      <c r="BK511" s="166">
        <v>0</v>
      </c>
      <c r="BL511" s="166">
        <v>0</v>
      </c>
      <c r="BM511" s="166">
        <v>0</v>
      </c>
      <c r="BN511" s="166">
        <v>0</v>
      </c>
      <c r="BO511" s="166">
        <v>0</v>
      </c>
      <c r="BP511" s="166">
        <v>0</v>
      </c>
      <c r="BQ511" s="81" t="s">
        <v>1758</v>
      </c>
      <c r="BZ511" s="81" t="s">
        <v>155</v>
      </c>
      <c r="CA511" s="81" t="s">
        <v>3976</v>
      </c>
      <c r="CC511" s="167">
        <v>0</v>
      </c>
      <c r="CD511" s="167">
        <f>N511</f>
        <v>9</v>
      </c>
      <c r="CE511" s="167">
        <v>0</v>
      </c>
      <c r="CF511" s="167">
        <v>0</v>
      </c>
      <c r="CG511" s="167">
        <v>0</v>
      </c>
      <c r="CH511" s="167">
        <v>0</v>
      </c>
      <c r="CI511" s="167">
        <v>0</v>
      </c>
      <c r="CJ511" s="167">
        <v>0</v>
      </c>
      <c r="CK511" s="167">
        <v>0</v>
      </c>
      <c r="CL511" s="167">
        <v>0</v>
      </c>
      <c r="CM511" s="167">
        <v>0</v>
      </c>
      <c r="CN511" s="167">
        <v>0</v>
      </c>
      <c r="CO511" s="167">
        <v>0</v>
      </c>
      <c r="CP511" s="167">
        <v>0</v>
      </c>
      <c r="CQ511" s="167">
        <v>0</v>
      </c>
      <c r="CR511" s="167">
        <v>0</v>
      </c>
      <c r="CS511" s="167">
        <v>0</v>
      </c>
      <c r="CT511" s="167">
        <v>0</v>
      </c>
      <c r="CU511" s="167">
        <v>0</v>
      </c>
      <c r="CV511" s="167">
        <v>0</v>
      </c>
      <c r="CW511" s="167">
        <v>0</v>
      </c>
      <c r="CX511" s="167">
        <f>SUM(CD511:CH511)</f>
        <v>9</v>
      </c>
      <c r="CY511" s="167">
        <f>SUM(CD511:CM511)</f>
        <v>9</v>
      </c>
    </row>
    <row r="512" spans="1:103" ht="12.75" customHeight="1" x14ac:dyDescent="0.2">
      <c r="A512" s="81">
        <v>5554</v>
      </c>
      <c r="B512" s="165" t="s">
        <v>1908</v>
      </c>
      <c r="C512" s="165" t="s">
        <v>304</v>
      </c>
      <c r="E512" s="165" t="s">
        <v>3396</v>
      </c>
      <c r="G512" s="81">
        <v>523841</v>
      </c>
      <c r="H512" s="81">
        <v>174804</v>
      </c>
      <c r="I512" s="165" t="s">
        <v>250</v>
      </c>
      <c r="J512" s="349">
        <v>42937</v>
      </c>
      <c r="L512" s="166">
        <v>1</v>
      </c>
      <c r="M512" s="166">
        <v>1</v>
      </c>
      <c r="N512" s="166">
        <v>0</v>
      </c>
      <c r="O512" s="166">
        <v>1</v>
      </c>
      <c r="P512" s="166">
        <v>0</v>
      </c>
      <c r="R512" s="165" t="s">
        <v>305</v>
      </c>
      <c r="S512" s="81" t="s">
        <v>113</v>
      </c>
      <c r="T512" s="349">
        <v>42024</v>
      </c>
      <c r="U512" s="349">
        <v>42080</v>
      </c>
      <c r="W512" s="81" t="s">
        <v>114</v>
      </c>
      <c r="Y512" s="81" t="s">
        <v>115</v>
      </c>
      <c r="Z512" s="81" t="s">
        <v>116</v>
      </c>
      <c r="AA512" s="81" t="s">
        <v>117</v>
      </c>
      <c r="AB512" s="81" t="s">
        <v>218</v>
      </c>
      <c r="AC512" s="166">
        <v>2.3000000044703501E-2</v>
      </c>
      <c r="AD512" s="349">
        <v>42937</v>
      </c>
      <c r="AE512" s="81" t="s">
        <v>155</v>
      </c>
      <c r="AG512" s="81" t="s">
        <v>238</v>
      </c>
      <c r="AH512" s="81" t="s">
        <v>118</v>
      </c>
      <c r="AK512" s="166">
        <v>0</v>
      </c>
      <c r="AM512" s="166">
        <v>0</v>
      </c>
      <c r="AO512" s="166">
        <v>0</v>
      </c>
      <c r="AP512" s="166">
        <v>0</v>
      </c>
      <c r="AQ512" s="166">
        <v>0</v>
      </c>
      <c r="AR512" s="166">
        <v>-1</v>
      </c>
      <c r="AS512" s="166">
        <v>1</v>
      </c>
      <c r="AT512" s="166">
        <v>0</v>
      </c>
      <c r="AU512" s="166">
        <v>0</v>
      </c>
      <c r="AV512" s="166">
        <v>0</v>
      </c>
      <c r="AW512" s="166">
        <v>0</v>
      </c>
      <c r="AX512" s="166">
        <v>0</v>
      </c>
      <c r="AY512" s="166">
        <v>0</v>
      </c>
      <c r="AZ512" s="166">
        <v>0</v>
      </c>
      <c r="BA512" s="166">
        <v>0</v>
      </c>
      <c r="BB512" s="166">
        <v>0</v>
      </c>
      <c r="BC512" s="166">
        <v>0</v>
      </c>
      <c r="BD512" s="166">
        <v>0</v>
      </c>
      <c r="BE512" s="166">
        <v>0</v>
      </c>
      <c r="BF512" s="166">
        <v>-1</v>
      </c>
      <c r="BG512" s="166">
        <v>1</v>
      </c>
      <c r="BH512" s="166">
        <v>0</v>
      </c>
      <c r="BI512" s="166">
        <v>0</v>
      </c>
      <c r="BJ512" s="166">
        <v>0</v>
      </c>
      <c r="BK512" s="166">
        <v>0</v>
      </c>
      <c r="BL512" s="166">
        <v>0</v>
      </c>
      <c r="BM512" s="166">
        <v>0</v>
      </c>
      <c r="BN512" s="166">
        <v>0</v>
      </c>
      <c r="BO512" s="166">
        <v>0</v>
      </c>
      <c r="BP512" s="166">
        <v>0</v>
      </c>
      <c r="BQ512" s="81" t="s">
        <v>1758</v>
      </c>
      <c r="BZ512" s="81" t="s">
        <v>155</v>
      </c>
      <c r="CA512" s="81" t="s">
        <v>3976</v>
      </c>
      <c r="CC512" s="167">
        <v>0</v>
      </c>
      <c r="CD512" s="167">
        <f>N512</f>
        <v>0</v>
      </c>
      <c r="CE512" s="167">
        <v>0</v>
      </c>
      <c r="CF512" s="167">
        <v>0</v>
      </c>
      <c r="CG512" s="167">
        <v>0</v>
      </c>
      <c r="CH512" s="167">
        <v>0</v>
      </c>
      <c r="CI512" s="167">
        <v>0</v>
      </c>
      <c r="CJ512" s="167">
        <v>0</v>
      </c>
      <c r="CK512" s="167">
        <v>0</v>
      </c>
      <c r="CL512" s="167">
        <v>0</v>
      </c>
      <c r="CM512" s="167">
        <v>0</v>
      </c>
      <c r="CN512" s="167">
        <v>0</v>
      </c>
      <c r="CO512" s="167">
        <v>0</v>
      </c>
      <c r="CP512" s="167">
        <v>0</v>
      </c>
      <c r="CQ512" s="167">
        <v>0</v>
      </c>
      <c r="CR512" s="167">
        <v>0</v>
      </c>
      <c r="CS512" s="167">
        <v>0</v>
      </c>
      <c r="CT512" s="167">
        <v>0</v>
      </c>
      <c r="CU512" s="167">
        <v>0</v>
      </c>
      <c r="CV512" s="167">
        <v>0</v>
      </c>
      <c r="CW512" s="167">
        <v>0</v>
      </c>
      <c r="CX512" s="167">
        <f>SUM(CD512:CH512)</f>
        <v>0</v>
      </c>
      <c r="CY512" s="167">
        <f>SUM(CD512:CM512)</f>
        <v>0</v>
      </c>
    </row>
    <row r="513" spans="1:103" ht="12.75" customHeight="1" x14ac:dyDescent="0.2">
      <c r="A513" s="81">
        <v>5555</v>
      </c>
      <c r="B513" s="165" t="s">
        <v>1908</v>
      </c>
      <c r="C513" s="165" t="s">
        <v>535</v>
      </c>
      <c r="E513" s="165" t="s">
        <v>3397</v>
      </c>
      <c r="G513" s="81">
        <v>527992</v>
      </c>
      <c r="H513" s="81">
        <v>176642</v>
      </c>
      <c r="I513" s="165" t="s">
        <v>240</v>
      </c>
      <c r="J513" s="349">
        <v>42825</v>
      </c>
      <c r="L513" s="166">
        <v>0</v>
      </c>
      <c r="M513" s="166">
        <v>9</v>
      </c>
      <c r="N513" s="166">
        <v>9</v>
      </c>
      <c r="O513" s="166">
        <v>9</v>
      </c>
      <c r="P513" s="166">
        <v>9</v>
      </c>
      <c r="R513" s="165" t="s">
        <v>891</v>
      </c>
      <c r="S513" s="81" t="s">
        <v>113</v>
      </c>
      <c r="T513" s="349">
        <v>41696</v>
      </c>
      <c r="U513" s="349">
        <v>42025</v>
      </c>
      <c r="W513" s="81" t="s">
        <v>114</v>
      </c>
      <c r="Y513" s="81" t="s">
        <v>115</v>
      </c>
      <c r="Z513" s="81" t="s">
        <v>116</v>
      </c>
      <c r="AA513" s="81" t="s">
        <v>117</v>
      </c>
      <c r="AB513" s="81" t="s">
        <v>218</v>
      </c>
      <c r="AC513" s="166">
        <v>0.25600001215934798</v>
      </c>
      <c r="AD513" s="349">
        <v>42825</v>
      </c>
      <c r="AG513" s="81" t="s">
        <v>238</v>
      </c>
      <c r="AH513" s="81" t="s">
        <v>118</v>
      </c>
      <c r="AK513" s="166">
        <v>9</v>
      </c>
      <c r="AM513" s="166">
        <v>0</v>
      </c>
      <c r="AO513" s="166">
        <v>0</v>
      </c>
      <c r="AP513" s="166">
        <v>0</v>
      </c>
      <c r="AQ513" s="166">
        <v>0</v>
      </c>
      <c r="AR513" s="166">
        <v>0</v>
      </c>
      <c r="AS513" s="166">
        <v>0</v>
      </c>
      <c r="AT513" s="166">
        <v>9</v>
      </c>
      <c r="AU513" s="166">
        <v>0</v>
      </c>
      <c r="AV513" s="166">
        <v>0</v>
      </c>
      <c r="AW513" s="166">
        <v>0</v>
      </c>
      <c r="AX513" s="166">
        <v>0</v>
      </c>
      <c r="AY513" s="166">
        <v>0</v>
      </c>
      <c r="AZ513" s="166">
        <v>0</v>
      </c>
      <c r="BA513" s="166">
        <v>0</v>
      </c>
      <c r="BB513" s="166">
        <v>0</v>
      </c>
      <c r="BC513" s="166">
        <v>0</v>
      </c>
      <c r="BD513" s="166">
        <v>0</v>
      </c>
      <c r="BE513" s="166">
        <v>0</v>
      </c>
      <c r="BF513" s="166">
        <v>0</v>
      </c>
      <c r="BG513" s="166">
        <v>0</v>
      </c>
      <c r="BH513" s="166">
        <v>9</v>
      </c>
      <c r="BI513" s="166">
        <v>0</v>
      </c>
      <c r="BJ513" s="166">
        <v>0</v>
      </c>
      <c r="BK513" s="166">
        <v>0</v>
      </c>
      <c r="BL513" s="166">
        <v>0</v>
      </c>
      <c r="BM513" s="166">
        <v>0</v>
      </c>
      <c r="BN513" s="166">
        <v>0</v>
      </c>
      <c r="BO513" s="166">
        <v>0</v>
      </c>
      <c r="BP513" s="166">
        <v>0</v>
      </c>
      <c r="BQ513" s="81" t="s">
        <v>1757</v>
      </c>
      <c r="BZ513" s="81" t="s">
        <v>155</v>
      </c>
      <c r="CA513" s="81" t="s">
        <v>3976</v>
      </c>
      <c r="CC513" s="167">
        <v>0</v>
      </c>
      <c r="CD513" s="167">
        <f>N513</f>
        <v>9</v>
      </c>
      <c r="CE513" s="167">
        <v>0</v>
      </c>
      <c r="CF513" s="167">
        <v>0</v>
      </c>
      <c r="CG513" s="167">
        <v>0</v>
      </c>
      <c r="CH513" s="167">
        <v>0</v>
      </c>
      <c r="CI513" s="167">
        <v>0</v>
      </c>
      <c r="CJ513" s="167">
        <v>0</v>
      </c>
      <c r="CK513" s="167">
        <v>0</v>
      </c>
      <c r="CL513" s="167">
        <v>0</v>
      </c>
      <c r="CM513" s="167">
        <v>0</v>
      </c>
      <c r="CN513" s="167">
        <v>0</v>
      </c>
      <c r="CO513" s="167">
        <v>0</v>
      </c>
      <c r="CP513" s="167">
        <v>0</v>
      </c>
      <c r="CQ513" s="167">
        <v>0</v>
      </c>
      <c r="CR513" s="167">
        <v>0</v>
      </c>
      <c r="CS513" s="167">
        <v>0</v>
      </c>
      <c r="CT513" s="167">
        <v>0</v>
      </c>
      <c r="CU513" s="167">
        <v>0</v>
      </c>
      <c r="CV513" s="167">
        <v>0</v>
      </c>
      <c r="CW513" s="167">
        <v>0</v>
      </c>
      <c r="CX513" s="167">
        <f>SUM(CD513:CH513)</f>
        <v>9</v>
      </c>
      <c r="CY513" s="167">
        <f>SUM(CD513:CM513)</f>
        <v>9</v>
      </c>
    </row>
    <row r="514" spans="1:103" ht="12.75" customHeight="1" x14ac:dyDescent="0.2">
      <c r="A514" s="81">
        <v>5585</v>
      </c>
      <c r="B514" s="165" t="s">
        <v>1908</v>
      </c>
      <c r="C514" s="165" t="s">
        <v>538</v>
      </c>
      <c r="E514" s="165" t="s">
        <v>3398</v>
      </c>
      <c r="G514" s="81">
        <v>528205</v>
      </c>
      <c r="H514" s="81">
        <v>174157</v>
      </c>
      <c r="I514" s="165" t="s">
        <v>247</v>
      </c>
      <c r="J514" s="349">
        <v>42663</v>
      </c>
      <c r="L514" s="166">
        <v>0</v>
      </c>
      <c r="M514" s="166">
        <v>1</v>
      </c>
      <c r="N514" s="166">
        <v>1</v>
      </c>
      <c r="O514" s="166">
        <v>1</v>
      </c>
      <c r="P514" s="166">
        <v>1</v>
      </c>
      <c r="R514" s="165" t="s">
        <v>894</v>
      </c>
      <c r="S514" s="81" t="s">
        <v>113</v>
      </c>
      <c r="T514" s="349">
        <v>41725</v>
      </c>
      <c r="U514" s="349">
        <v>42087</v>
      </c>
      <c r="W514" s="81" t="s">
        <v>114</v>
      </c>
      <c r="Y514" s="81" t="s">
        <v>115</v>
      </c>
      <c r="Z514" s="81" t="s">
        <v>116</v>
      </c>
      <c r="AA514" s="81" t="s">
        <v>117</v>
      </c>
      <c r="AB514" s="81" t="s">
        <v>218</v>
      </c>
      <c r="AC514" s="166">
        <v>8.0000003799796104E-3</v>
      </c>
      <c r="AD514" s="349">
        <v>42663</v>
      </c>
      <c r="AG514" s="81" t="s">
        <v>238</v>
      </c>
      <c r="AH514" s="81" t="s">
        <v>118</v>
      </c>
      <c r="AK514" s="166">
        <v>0</v>
      </c>
      <c r="AM514" s="166">
        <v>0</v>
      </c>
      <c r="AO514" s="166">
        <v>0</v>
      </c>
      <c r="AP514" s="166">
        <v>0</v>
      </c>
      <c r="AQ514" s="166">
        <v>1</v>
      </c>
      <c r="AR514" s="166">
        <v>0</v>
      </c>
      <c r="AS514" s="166">
        <v>0</v>
      </c>
      <c r="AT514" s="166">
        <v>0</v>
      </c>
      <c r="AU514" s="166">
        <v>0</v>
      </c>
      <c r="AV514" s="166">
        <v>0</v>
      </c>
      <c r="AW514" s="166">
        <v>0</v>
      </c>
      <c r="AX514" s="166">
        <v>1</v>
      </c>
      <c r="AY514" s="166">
        <v>0</v>
      </c>
      <c r="AZ514" s="166">
        <v>0</v>
      </c>
      <c r="BA514" s="166">
        <v>0</v>
      </c>
      <c r="BB514" s="166">
        <v>0</v>
      </c>
      <c r="BC514" s="166">
        <v>0</v>
      </c>
      <c r="BD514" s="166">
        <v>0</v>
      </c>
      <c r="BE514" s="166">
        <v>0</v>
      </c>
      <c r="BF514" s="166">
        <v>0</v>
      </c>
      <c r="BG514" s="166">
        <v>0</v>
      </c>
      <c r="BH514" s="166">
        <v>0</v>
      </c>
      <c r="BI514" s="166">
        <v>0</v>
      </c>
      <c r="BJ514" s="166">
        <v>0</v>
      </c>
      <c r="BK514" s="166">
        <v>0</v>
      </c>
      <c r="BL514" s="166">
        <v>0</v>
      </c>
      <c r="BM514" s="166">
        <v>0</v>
      </c>
      <c r="BN514" s="166">
        <v>0</v>
      </c>
      <c r="BO514" s="166">
        <v>0</v>
      </c>
      <c r="BP514" s="166">
        <v>0</v>
      </c>
      <c r="BQ514" s="81" t="s">
        <v>1757</v>
      </c>
      <c r="BZ514" s="81" t="s">
        <v>155</v>
      </c>
      <c r="CA514" s="81" t="s">
        <v>3976</v>
      </c>
      <c r="CC514" s="167">
        <v>0</v>
      </c>
      <c r="CD514" s="167">
        <f>N514</f>
        <v>1</v>
      </c>
      <c r="CE514" s="167">
        <v>0</v>
      </c>
      <c r="CF514" s="167">
        <v>0</v>
      </c>
      <c r="CG514" s="167">
        <v>0</v>
      </c>
      <c r="CH514" s="167">
        <v>0</v>
      </c>
      <c r="CI514" s="167">
        <v>0</v>
      </c>
      <c r="CJ514" s="167">
        <v>0</v>
      </c>
      <c r="CK514" s="167">
        <v>0</v>
      </c>
      <c r="CL514" s="167">
        <v>0</v>
      </c>
      <c r="CM514" s="167">
        <v>0</v>
      </c>
      <c r="CN514" s="167">
        <v>0</v>
      </c>
      <c r="CO514" s="167">
        <v>0</v>
      </c>
      <c r="CP514" s="167">
        <v>0</v>
      </c>
      <c r="CQ514" s="167">
        <v>0</v>
      </c>
      <c r="CR514" s="167">
        <v>0</v>
      </c>
      <c r="CS514" s="167">
        <v>0</v>
      </c>
      <c r="CT514" s="167">
        <v>0</v>
      </c>
      <c r="CU514" s="167">
        <v>0</v>
      </c>
      <c r="CV514" s="167">
        <v>0</v>
      </c>
      <c r="CW514" s="167">
        <v>0</v>
      </c>
      <c r="CX514" s="167">
        <f>SUM(CD514:CH514)</f>
        <v>1</v>
      </c>
      <c r="CY514" s="167">
        <f>SUM(CD514:CM514)</f>
        <v>1</v>
      </c>
    </row>
    <row r="515" spans="1:103" ht="12.75" customHeight="1" x14ac:dyDescent="0.2">
      <c r="A515" s="81">
        <v>5592</v>
      </c>
      <c r="B515" s="165" t="s">
        <v>1908</v>
      </c>
      <c r="C515" s="165" t="s">
        <v>180</v>
      </c>
      <c r="E515" s="165" t="s">
        <v>3399</v>
      </c>
      <c r="G515" s="81">
        <v>526732</v>
      </c>
      <c r="H515" s="81">
        <v>175022</v>
      </c>
      <c r="I515" s="165" t="s">
        <v>251</v>
      </c>
      <c r="J515" s="349">
        <v>42094</v>
      </c>
      <c r="L515" s="166">
        <v>1</v>
      </c>
      <c r="M515" s="166">
        <v>3</v>
      </c>
      <c r="N515" s="166">
        <v>2</v>
      </c>
      <c r="O515" s="166">
        <v>3</v>
      </c>
      <c r="P515" s="166">
        <v>2</v>
      </c>
      <c r="R515" s="165" t="s">
        <v>181</v>
      </c>
      <c r="S515" s="81" t="s">
        <v>113</v>
      </c>
      <c r="T515" s="349">
        <v>41663</v>
      </c>
      <c r="U515" s="349">
        <v>41744</v>
      </c>
      <c r="W515" s="81" t="s">
        <v>114</v>
      </c>
      <c r="Y515" s="81" t="s">
        <v>115</v>
      </c>
      <c r="Z515" s="81" t="s">
        <v>116</v>
      </c>
      <c r="AA515" s="81" t="s">
        <v>117</v>
      </c>
      <c r="AB515" s="81" t="s">
        <v>218</v>
      </c>
      <c r="AC515" s="166">
        <v>3.9999999105930301E-2</v>
      </c>
      <c r="AD515" s="349">
        <v>42094</v>
      </c>
      <c r="AG515" s="81" t="s">
        <v>238</v>
      </c>
      <c r="AH515" s="81" t="s">
        <v>118</v>
      </c>
      <c r="AK515" s="166">
        <v>0</v>
      </c>
      <c r="AM515" s="166">
        <v>0</v>
      </c>
      <c r="AO515" s="166">
        <v>0</v>
      </c>
      <c r="AP515" s="166">
        <v>0</v>
      </c>
      <c r="AQ515" s="166">
        <v>2</v>
      </c>
      <c r="AR515" s="166">
        <v>0</v>
      </c>
      <c r="AS515" s="166">
        <v>0</v>
      </c>
      <c r="AT515" s="166">
        <v>0</v>
      </c>
      <c r="AU515" s="166">
        <v>0</v>
      </c>
      <c r="AV515" s="166">
        <v>0</v>
      </c>
      <c r="AW515" s="166">
        <v>0</v>
      </c>
      <c r="AX515" s="166">
        <v>2</v>
      </c>
      <c r="AY515" s="166">
        <v>0</v>
      </c>
      <c r="AZ515" s="166">
        <v>0</v>
      </c>
      <c r="BA515" s="166">
        <v>0</v>
      </c>
      <c r="BB515" s="166">
        <v>0</v>
      </c>
      <c r="BC515" s="166">
        <v>0</v>
      </c>
      <c r="BD515" s="166">
        <v>0</v>
      </c>
      <c r="BE515" s="166">
        <v>0</v>
      </c>
      <c r="BF515" s="166">
        <v>0</v>
      </c>
      <c r="BG515" s="166">
        <v>0</v>
      </c>
      <c r="BH515" s="166">
        <v>0</v>
      </c>
      <c r="BI515" s="166">
        <v>0</v>
      </c>
      <c r="BJ515" s="166">
        <v>0</v>
      </c>
      <c r="BK515" s="166">
        <v>0</v>
      </c>
      <c r="BL515" s="166">
        <v>0</v>
      </c>
      <c r="BM515" s="166">
        <v>0</v>
      </c>
      <c r="BN515" s="166">
        <v>0</v>
      </c>
      <c r="BO515" s="166">
        <v>0</v>
      </c>
      <c r="BP515" s="166">
        <v>0</v>
      </c>
      <c r="BQ515" s="81" t="s">
        <v>1758</v>
      </c>
      <c r="BZ515" s="81" t="s">
        <v>155</v>
      </c>
      <c r="CA515" s="81" t="s">
        <v>3976</v>
      </c>
      <c r="CC515" s="167">
        <v>0</v>
      </c>
      <c r="CD515" s="167">
        <f>N515</f>
        <v>2</v>
      </c>
      <c r="CE515" s="167">
        <v>0</v>
      </c>
      <c r="CF515" s="167">
        <v>0</v>
      </c>
      <c r="CG515" s="167">
        <v>0</v>
      </c>
      <c r="CH515" s="167">
        <v>0</v>
      </c>
      <c r="CI515" s="167">
        <v>0</v>
      </c>
      <c r="CJ515" s="167">
        <v>0</v>
      </c>
      <c r="CK515" s="167">
        <v>0</v>
      </c>
      <c r="CL515" s="167">
        <v>0</v>
      </c>
      <c r="CM515" s="167">
        <v>0</v>
      </c>
      <c r="CN515" s="167">
        <v>0</v>
      </c>
      <c r="CO515" s="167">
        <v>0</v>
      </c>
      <c r="CP515" s="167">
        <v>0</v>
      </c>
      <c r="CQ515" s="167">
        <v>0</v>
      </c>
      <c r="CR515" s="167">
        <v>0</v>
      </c>
      <c r="CS515" s="167">
        <v>0</v>
      </c>
      <c r="CT515" s="167">
        <v>0</v>
      </c>
      <c r="CU515" s="167">
        <v>0</v>
      </c>
      <c r="CV515" s="167">
        <v>0</v>
      </c>
      <c r="CW515" s="167">
        <v>0</v>
      </c>
      <c r="CX515" s="167">
        <f>SUM(CD515:CH515)</f>
        <v>2</v>
      </c>
      <c r="CY515" s="167">
        <f>SUM(CD515:CM515)</f>
        <v>2</v>
      </c>
    </row>
    <row r="516" spans="1:103" ht="12.75" customHeight="1" x14ac:dyDescent="0.2">
      <c r="A516" s="81">
        <v>5598</v>
      </c>
      <c r="B516" s="165" t="s">
        <v>1908</v>
      </c>
      <c r="C516" s="165" t="s">
        <v>681</v>
      </c>
      <c r="E516" s="165" t="s">
        <v>3400</v>
      </c>
      <c r="G516" s="81">
        <v>529349</v>
      </c>
      <c r="H516" s="81">
        <v>171212</v>
      </c>
      <c r="I516" s="165" t="s">
        <v>252</v>
      </c>
      <c r="J516" s="349">
        <v>42537</v>
      </c>
      <c r="L516" s="166">
        <v>0</v>
      </c>
      <c r="M516" s="166">
        <v>3</v>
      </c>
      <c r="N516" s="166">
        <v>3</v>
      </c>
      <c r="O516" s="166">
        <v>3</v>
      </c>
      <c r="P516" s="166">
        <v>3</v>
      </c>
      <c r="R516" s="165" t="s">
        <v>682</v>
      </c>
      <c r="S516" s="81" t="s">
        <v>113</v>
      </c>
      <c r="T516" s="349">
        <v>42338</v>
      </c>
      <c r="U516" s="349">
        <v>42394</v>
      </c>
      <c r="W516" s="81" t="s">
        <v>114</v>
      </c>
      <c r="Y516" s="81" t="s">
        <v>115</v>
      </c>
      <c r="Z516" s="81" t="s">
        <v>116</v>
      </c>
      <c r="AA516" s="81" t="s">
        <v>117</v>
      </c>
      <c r="AB516" s="81" t="s">
        <v>218</v>
      </c>
      <c r="AC516" s="166">
        <v>8.0000003799796104E-3</v>
      </c>
      <c r="AD516" s="349">
        <v>42537</v>
      </c>
      <c r="AG516" s="81" t="s">
        <v>238</v>
      </c>
      <c r="AH516" s="81" t="s">
        <v>118</v>
      </c>
      <c r="AK516" s="166">
        <v>3</v>
      </c>
      <c r="AM516" s="166">
        <v>0</v>
      </c>
      <c r="AO516" s="166">
        <v>0</v>
      </c>
      <c r="AP516" s="166">
        <v>1</v>
      </c>
      <c r="AQ516" s="166">
        <v>2</v>
      </c>
      <c r="AR516" s="166">
        <v>0</v>
      </c>
      <c r="AS516" s="166">
        <v>0</v>
      </c>
      <c r="AT516" s="166">
        <v>0</v>
      </c>
      <c r="AU516" s="166">
        <v>0</v>
      </c>
      <c r="AV516" s="166">
        <v>0</v>
      </c>
      <c r="AW516" s="166">
        <v>1</v>
      </c>
      <c r="AX516" s="166">
        <v>2</v>
      </c>
      <c r="AY516" s="166">
        <v>0</v>
      </c>
      <c r="AZ516" s="166">
        <v>0</v>
      </c>
      <c r="BA516" s="166">
        <v>0</v>
      </c>
      <c r="BB516" s="166">
        <v>0</v>
      </c>
      <c r="BC516" s="166">
        <v>0</v>
      </c>
      <c r="BD516" s="166">
        <v>0</v>
      </c>
      <c r="BE516" s="166">
        <v>0</v>
      </c>
      <c r="BF516" s="166">
        <v>0</v>
      </c>
      <c r="BG516" s="166">
        <v>0</v>
      </c>
      <c r="BH516" s="166">
        <v>0</v>
      </c>
      <c r="BI516" s="166">
        <v>0</v>
      </c>
      <c r="BJ516" s="166">
        <v>0</v>
      </c>
      <c r="BK516" s="166">
        <v>0</v>
      </c>
      <c r="BL516" s="166">
        <v>0</v>
      </c>
      <c r="BM516" s="166">
        <v>0</v>
      </c>
      <c r="BN516" s="166">
        <v>0</v>
      </c>
      <c r="BO516" s="166">
        <v>0</v>
      </c>
      <c r="BP516" s="166">
        <v>0</v>
      </c>
      <c r="BQ516" s="81" t="s">
        <v>1757</v>
      </c>
      <c r="BZ516" s="81" t="s">
        <v>155</v>
      </c>
      <c r="CA516" s="81" t="s">
        <v>3976</v>
      </c>
      <c r="CC516" s="167">
        <v>0</v>
      </c>
      <c r="CD516" s="167">
        <f>N516</f>
        <v>3</v>
      </c>
      <c r="CE516" s="167">
        <v>0</v>
      </c>
      <c r="CF516" s="167">
        <v>0</v>
      </c>
      <c r="CG516" s="167">
        <v>0</v>
      </c>
      <c r="CH516" s="167">
        <v>0</v>
      </c>
      <c r="CI516" s="167">
        <v>0</v>
      </c>
      <c r="CJ516" s="167">
        <v>0</v>
      </c>
      <c r="CK516" s="167">
        <v>0</v>
      </c>
      <c r="CL516" s="167">
        <v>0</v>
      </c>
      <c r="CM516" s="167">
        <v>0</v>
      </c>
      <c r="CN516" s="167">
        <v>0</v>
      </c>
      <c r="CO516" s="167">
        <v>0</v>
      </c>
      <c r="CP516" s="167">
        <v>0</v>
      </c>
      <c r="CQ516" s="167">
        <v>0</v>
      </c>
      <c r="CR516" s="167">
        <v>0</v>
      </c>
      <c r="CS516" s="167">
        <v>0</v>
      </c>
      <c r="CT516" s="167">
        <v>0</v>
      </c>
      <c r="CU516" s="167">
        <v>0</v>
      </c>
      <c r="CV516" s="167">
        <v>0</v>
      </c>
      <c r="CW516" s="167">
        <v>0</v>
      </c>
      <c r="CX516" s="167">
        <f>SUM(CD516:CH516)</f>
        <v>3</v>
      </c>
      <c r="CY516" s="167">
        <f>SUM(CD516:CM516)</f>
        <v>3</v>
      </c>
    </row>
    <row r="517" spans="1:103" ht="12.75" customHeight="1" x14ac:dyDescent="0.2">
      <c r="A517" s="81">
        <v>5621</v>
      </c>
      <c r="B517" s="165" t="s">
        <v>1908</v>
      </c>
      <c r="C517" s="165" t="s">
        <v>286</v>
      </c>
      <c r="E517" s="165" t="s">
        <v>3557</v>
      </c>
      <c r="G517" s="81">
        <v>527083</v>
      </c>
      <c r="H517" s="81">
        <v>171544</v>
      </c>
      <c r="I517" s="165" t="s">
        <v>242</v>
      </c>
      <c r="J517" s="349">
        <v>42361</v>
      </c>
      <c r="L517" s="166">
        <v>1</v>
      </c>
      <c r="M517" s="166">
        <v>3</v>
      </c>
      <c r="N517" s="166">
        <v>2</v>
      </c>
      <c r="O517" s="166">
        <v>3</v>
      </c>
      <c r="P517" s="166">
        <v>2</v>
      </c>
      <c r="R517" s="165" t="s">
        <v>287</v>
      </c>
      <c r="S517" s="81" t="s">
        <v>113</v>
      </c>
      <c r="T517" s="349">
        <v>41654</v>
      </c>
      <c r="U517" s="349">
        <v>41803</v>
      </c>
      <c r="W517" s="81" t="s">
        <v>114</v>
      </c>
      <c r="Y517" s="81" t="s">
        <v>115</v>
      </c>
      <c r="Z517" s="81" t="s">
        <v>119</v>
      </c>
      <c r="AA517" s="81" t="s">
        <v>117</v>
      </c>
      <c r="AB517" s="81" t="s">
        <v>120</v>
      </c>
      <c r="AC517" s="166">
        <v>1.60000007599592E-2</v>
      </c>
      <c r="AD517" s="349">
        <v>42361</v>
      </c>
      <c r="AG517" s="81" t="s">
        <v>238</v>
      </c>
      <c r="AH517" s="81" t="s">
        <v>118</v>
      </c>
      <c r="AK517" s="166">
        <v>0</v>
      </c>
      <c r="AM517" s="166">
        <v>0</v>
      </c>
      <c r="AO517" s="166">
        <v>0</v>
      </c>
      <c r="AP517" s="166">
        <v>1</v>
      </c>
      <c r="AQ517" s="166">
        <v>1</v>
      </c>
      <c r="AR517" s="166">
        <v>1</v>
      </c>
      <c r="AS517" s="166">
        <v>-1</v>
      </c>
      <c r="AT517" s="166">
        <v>0</v>
      </c>
      <c r="AU517" s="166">
        <v>0</v>
      </c>
      <c r="AV517" s="166">
        <v>0</v>
      </c>
      <c r="AW517" s="166">
        <v>1</v>
      </c>
      <c r="AX517" s="166">
        <v>1</v>
      </c>
      <c r="AY517" s="166">
        <v>1</v>
      </c>
      <c r="AZ517" s="166">
        <v>0</v>
      </c>
      <c r="BA517" s="166">
        <v>0</v>
      </c>
      <c r="BB517" s="166">
        <v>0</v>
      </c>
      <c r="BC517" s="166">
        <v>0</v>
      </c>
      <c r="BD517" s="166">
        <v>0</v>
      </c>
      <c r="BE517" s="166">
        <v>0</v>
      </c>
      <c r="BF517" s="166">
        <v>0</v>
      </c>
      <c r="BG517" s="166">
        <v>-1</v>
      </c>
      <c r="BH517" s="166">
        <v>0</v>
      </c>
      <c r="BI517" s="166">
        <v>0</v>
      </c>
      <c r="BJ517" s="166">
        <v>0</v>
      </c>
      <c r="BK517" s="166">
        <v>0</v>
      </c>
      <c r="BL517" s="166">
        <v>0</v>
      </c>
      <c r="BM517" s="166">
        <v>0</v>
      </c>
      <c r="BN517" s="166">
        <v>0</v>
      </c>
      <c r="BO517" s="166">
        <v>0</v>
      </c>
      <c r="BP517" s="166">
        <v>0</v>
      </c>
      <c r="BQ517" s="81" t="s">
        <v>1757</v>
      </c>
      <c r="BZ517" s="81" t="s">
        <v>155</v>
      </c>
      <c r="CA517" s="81" t="s">
        <v>3980</v>
      </c>
      <c r="CC517" s="167">
        <v>0</v>
      </c>
      <c r="CD517" s="167">
        <f>N517</f>
        <v>2</v>
      </c>
      <c r="CE517" s="167">
        <v>0</v>
      </c>
      <c r="CF517" s="167">
        <v>0</v>
      </c>
      <c r="CG517" s="167">
        <v>0</v>
      </c>
      <c r="CH517" s="167">
        <v>0</v>
      </c>
      <c r="CI517" s="167">
        <v>0</v>
      </c>
      <c r="CJ517" s="167">
        <v>0</v>
      </c>
      <c r="CK517" s="167">
        <v>0</v>
      </c>
      <c r="CL517" s="167">
        <v>0</v>
      </c>
      <c r="CM517" s="167">
        <v>0</v>
      </c>
      <c r="CN517" s="167">
        <v>0</v>
      </c>
      <c r="CO517" s="167">
        <v>0</v>
      </c>
      <c r="CP517" s="167">
        <v>0</v>
      </c>
      <c r="CQ517" s="167">
        <v>0</v>
      </c>
      <c r="CR517" s="167">
        <v>0</v>
      </c>
      <c r="CS517" s="167">
        <v>0</v>
      </c>
      <c r="CT517" s="167">
        <v>0</v>
      </c>
      <c r="CU517" s="167">
        <v>0</v>
      </c>
      <c r="CV517" s="167">
        <v>0</v>
      </c>
      <c r="CW517" s="167">
        <v>0</v>
      </c>
      <c r="CX517" s="167">
        <f>SUM(CD517:CH517)</f>
        <v>2</v>
      </c>
      <c r="CY517" s="167">
        <f>SUM(CD517:CM517)</f>
        <v>2</v>
      </c>
    </row>
    <row r="518" spans="1:103" ht="12.75" customHeight="1" x14ac:dyDescent="0.2">
      <c r="A518" s="81">
        <v>5625</v>
      </c>
      <c r="B518" s="165" t="s">
        <v>1908</v>
      </c>
      <c r="C518" s="165" t="s">
        <v>288</v>
      </c>
      <c r="E518" s="165" t="s">
        <v>3401</v>
      </c>
      <c r="G518" s="81">
        <v>529202</v>
      </c>
      <c r="H518" s="81">
        <v>172619</v>
      </c>
      <c r="I518" s="165" t="s">
        <v>248</v>
      </c>
      <c r="J518" s="349">
        <v>42927</v>
      </c>
      <c r="L518" s="166">
        <v>0</v>
      </c>
      <c r="M518" s="166">
        <v>2</v>
      </c>
      <c r="N518" s="166">
        <v>2</v>
      </c>
      <c r="O518" s="166">
        <v>2</v>
      </c>
      <c r="P518" s="166">
        <v>2</v>
      </c>
      <c r="R518" s="165" t="s">
        <v>1088</v>
      </c>
      <c r="S518" s="81" t="s">
        <v>113</v>
      </c>
      <c r="T518" s="349">
        <v>41680</v>
      </c>
      <c r="U518" s="349">
        <v>41816</v>
      </c>
      <c r="W518" s="81" t="s">
        <v>114</v>
      </c>
      <c r="Y518" s="81" t="s">
        <v>115</v>
      </c>
      <c r="Z518" s="81" t="s">
        <v>116</v>
      </c>
      <c r="AA518" s="81" t="s">
        <v>117</v>
      </c>
      <c r="AB518" s="81" t="s">
        <v>218</v>
      </c>
      <c r="AC518" s="166">
        <v>2.0999999716877899E-2</v>
      </c>
      <c r="AD518" s="349">
        <v>42927</v>
      </c>
      <c r="AE518" s="81" t="s">
        <v>155</v>
      </c>
      <c r="AG518" s="81" t="s">
        <v>238</v>
      </c>
      <c r="AH518" s="81" t="s">
        <v>118</v>
      </c>
      <c r="AK518" s="166">
        <v>0</v>
      </c>
      <c r="AM518" s="166">
        <v>0</v>
      </c>
      <c r="AO518" s="166">
        <v>0</v>
      </c>
      <c r="AP518" s="166">
        <v>0</v>
      </c>
      <c r="AQ518" s="166">
        <v>2</v>
      </c>
      <c r="AR518" s="166">
        <v>0</v>
      </c>
      <c r="AS518" s="166">
        <v>0</v>
      </c>
      <c r="AT518" s="166">
        <v>0</v>
      </c>
      <c r="AU518" s="166">
        <v>0</v>
      </c>
      <c r="AV518" s="166">
        <v>0</v>
      </c>
      <c r="AW518" s="166">
        <v>0</v>
      </c>
      <c r="AX518" s="166">
        <v>2</v>
      </c>
      <c r="AY518" s="166">
        <v>0</v>
      </c>
      <c r="AZ518" s="166">
        <v>0</v>
      </c>
      <c r="BA518" s="166">
        <v>0</v>
      </c>
      <c r="BB518" s="166">
        <v>0</v>
      </c>
      <c r="BC518" s="166">
        <v>0</v>
      </c>
      <c r="BD518" s="166">
        <v>0</v>
      </c>
      <c r="BE518" s="166">
        <v>0</v>
      </c>
      <c r="BF518" s="166">
        <v>0</v>
      </c>
      <c r="BG518" s="166">
        <v>0</v>
      </c>
      <c r="BH518" s="166">
        <v>0</v>
      </c>
      <c r="BI518" s="166">
        <v>0</v>
      </c>
      <c r="BJ518" s="166">
        <v>0</v>
      </c>
      <c r="BK518" s="166">
        <v>0</v>
      </c>
      <c r="BL518" s="166">
        <v>0</v>
      </c>
      <c r="BM518" s="166">
        <v>0</v>
      </c>
      <c r="BN518" s="166">
        <v>0</v>
      </c>
      <c r="BO518" s="166">
        <v>0</v>
      </c>
      <c r="BP518" s="166">
        <v>0</v>
      </c>
      <c r="BQ518" s="81" t="s">
        <v>1757</v>
      </c>
      <c r="BZ518" s="81" t="s">
        <v>155</v>
      </c>
      <c r="CA518" s="81" t="s">
        <v>3976</v>
      </c>
      <c r="CC518" s="167">
        <v>0</v>
      </c>
      <c r="CD518" s="167">
        <f>N518</f>
        <v>2</v>
      </c>
      <c r="CE518" s="167">
        <v>0</v>
      </c>
      <c r="CF518" s="167">
        <v>0</v>
      </c>
      <c r="CG518" s="167">
        <v>0</v>
      </c>
      <c r="CH518" s="167">
        <v>0</v>
      </c>
      <c r="CI518" s="167">
        <v>0</v>
      </c>
      <c r="CJ518" s="167">
        <v>0</v>
      </c>
      <c r="CK518" s="167">
        <v>0</v>
      </c>
      <c r="CL518" s="167">
        <v>0</v>
      </c>
      <c r="CM518" s="167">
        <v>0</v>
      </c>
      <c r="CN518" s="167">
        <v>0</v>
      </c>
      <c r="CO518" s="167">
        <v>0</v>
      </c>
      <c r="CP518" s="167">
        <v>0</v>
      </c>
      <c r="CQ518" s="167">
        <v>0</v>
      </c>
      <c r="CR518" s="167">
        <v>0</v>
      </c>
      <c r="CS518" s="167">
        <v>0</v>
      </c>
      <c r="CT518" s="167">
        <v>0</v>
      </c>
      <c r="CU518" s="167">
        <v>0</v>
      </c>
      <c r="CV518" s="167">
        <v>0</v>
      </c>
      <c r="CW518" s="167">
        <v>0</v>
      </c>
      <c r="CX518" s="167">
        <f>SUM(CD518:CH518)</f>
        <v>2</v>
      </c>
      <c r="CY518" s="167">
        <f>SUM(CD518:CM518)</f>
        <v>2</v>
      </c>
    </row>
    <row r="519" spans="1:103" ht="12.75" customHeight="1" x14ac:dyDescent="0.2">
      <c r="A519" s="81">
        <v>5626</v>
      </c>
      <c r="B519" s="165" t="s">
        <v>1908</v>
      </c>
      <c r="C519" s="165" t="s">
        <v>395</v>
      </c>
      <c r="E519" s="165" t="s">
        <v>3402</v>
      </c>
      <c r="G519" s="81">
        <v>528298</v>
      </c>
      <c r="H519" s="81">
        <v>172753</v>
      </c>
      <c r="I519" s="165" t="s">
        <v>248</v>
      </c>
      <c r="J519" s="349">
        <v>42825</v>
      </c>
      <c r="L519" s="166">
        <v>0</v>
      </c>
      <c r="M519" s="166">
        <v>41</v>
      </c>
      <c r="N519" s="166">
        <v>41</v>
      </c>
      <c r="O519" s="166">
        <v>52</v>
      </c>
      <c r="P519" s="166">
        <v>52</v>
      </c>
      <c r="Q519" s="81" t="s">
        <v>155</v>
      </c>
      <c r="R519" s="165" t="s">
        <v>893</v>
      </c>
      <c r="S519" s="81" t="s">
        <v>104</v>
      </c>
      <c r="T519" s="349">
        <v>41680</v>
      </c>
      <c r="U519" s="349">
        <v>41817</v>
      </c>
      <c r="W519" s="81" t="s">
        <v>114</v>
      </c>
      <c r="Y519" s="81" t="s">
        <v>115</v>
      </c>
      <c r="Z519" s="81" t="s">
        <v>116</v>
      </c>
      <c r="AA519" s="81" t="s">
        <v>116</v>
      </c>
      <c r="AB519" s="81" t="s">
        <v>117</v>
      </c>
      <c r="AC519" s="166">
        <v>8.5000000894069699E-2</v>
      </c>
      <c r="AD519" s="349">
        <v>42825</v>
      </c>
      <c r="AG519" s="81" t="s">
        <v>238</v>
      </c>
      <c r="AH519" s="81" t="s">
        <v>118</v>
      </c>
      <c r="AK519" s="166">
        <v>32</v>
      </c>
      <c r="AM519" s="166">
        <v>4</v>
      </c>
      <c r="AO519" s="166">
        <v>0</v>
      </c>
      <c r="AP519" s="166">
        <v>7</v>
      </c>
      <c r="AQ519" s="166">
        <v>32</v>
      </c>
      <c r="AR519" s="166">
        <v>2</v>
      </c>
      <c r="AS519" s="166">
        <v>0</v>
      </c>
      <c r="AT519" s="166">
        <v>0</v>
      </c>
      <c r="AU519" s="166">
        <v>0</v>
      </c>
      <c r="AV519" s="166">
        <v>0</v>
      </c>
      <c r="AW519" s="166">
        <v>7</v>
      </c>
      <c r="AX519" s="166">
        <v>32</v>
      </c>
      <c r="AY519" s="166">
        <v>2</v>
      </c>
      <c r="AZ519" s="166">
        <v>0</v>
      </c>
      <c r="BA519" s="166">
        <v>0</v>
      </c>
      <c r="BB519" s="166">
        <v>0</v>
      </c>
      <c r="BC519" s="166">
        <v>0</v>
      </c>
      <c r="BD519" s="166">
        <v>0</v>
      </c>
      <c r="BE519" s="166">
        <v>0</v>
      </c>
      <c r="BF519" s="166">
        <v>0</v>
      </c>
      <c r="BG519" s="166">
        <v>0</v>
      </c>
      <c r="BH519" s="166">
        <v>0</v>
      </c>
      <c r="BI519" s="166">
        <v>0</v>
      </c>
      <c r="BJ519" s="166">
        <v>0</v>
      </c>
      <c r="BK519" s="166">
        <v>0</v>
      </c>
      <c r="BL519" s="166">
        <v>0</v>
      </c>
      <c r="BM519" s="166">
        <v>0</v>
      </c>
      <c r="BN519" s="166">
        <v>0</v>
      </c>
      <c r="BO519" s="166">
        <v>0</v>
      </c>
      <c r="BP519" s="166">
        <v>0</v>
      </c>
      <c r="BQ519" s="81" t="s">
        <v>1757</v>
      </c>
      <c r="BZ519" s="81" t="s">
        <v>155</v>
      </c>
      <c r="CA519" s="81" t="s">
        <v>3934</v>
      </c>
      <c r="CC519" s="167">
        <v>0</v>
      </c>
      <c r="CD519" s="167">
        <v>0</v>
      </c>
      <c r="CE519" s="167">
        <f>N519</f>
        <v>41</v>
      </c>
      <c r="CF519" s="167">
        <v>0</v>
      </c>
      <c r="CG519" s="167">
        <v>0</v>
      </c>
      <c r="CH519" s="167">
        <v>0</v>
      </c>
      <c r="CI519" s="167">
        <v>0</v>
      </c>
      <c r="CJ519" s="167">
        <v>0</v>
      </c>
      <c r="CK519" s="167">
        <v>0</v>
      </c>
      <c r="CL519" s="167">
        <v>0</v>
      </c>
      <c r="CM519" s="167">
        <v>0</v>
      </c>
      <c r="CN519" s="167">
        <v>0</v>
      </c>
      <c r="CO519" s="167">
        <v>0</v>
      </c>
      <c r="CP519" s="167">
        <v>0</v>
      </c>
      <c r="CQ519" s="167">
        <v>0</v>
      </c>
      <c r="CR519" s="167">
        <v>0</v>
      </c>
      <c r="CS519" s="167">
        <v>0</v>
      </c>
      <c r="CT519" s="167">
        <v>0</v>
      </c>
      <c r="CU519" s="167">
        <v>0</v>
      </c>
      <c r="CV519" s="167">
        <v>0</v>
      </c>
      <c r="CW519" s="167">
        <v>0</v>
      </c>
      <c r="CX519" s="167">
        <f>SUM(CD519:CH519)</f>
        <v>41</v>
      </c>
      <c r="CY519" s="167">
        <f>SUM(CD519:CM519)</f>
        <v>41</v>
      </c>
    </row>
    <row r="520" spans="1:103" x14ac:dyDescent="0.2">
      <c r="A520" s="81">
        <v>5626</v>
      </c>
      <c r="B520" s="165" t="s">
        <v>1908</v>
      </c>
      <c r="C520" s="165" t="s">
        <v>395</v>
      </c>
      <c r="E520" s="165" t="s">
        <v>3402</v>
      </c>
      <c r="G520" s="81">
        <v>528298</v>
      </c>
      <c r="H520" s="81">
        <v>172753</v>
      </c>
      <c r="I520" s="165" t="s">
        <v>248</v>
      </c>
      <c r="J520" s="349">
        <v>42825</v>
      </c>
      <c r="L520" s="166">
        <v>0</v>
      </c>
      <c r="M520" s="166">
        <v>9</v>
      </c>
      <c r="N520" s="166">
        <v>9</v>
      </c>
      <c r="O520" s="166">
        <v>52</v>
      </c>
      <c r="P520" s="166">
        <v>52</v>
      </c>
      <c r="Q520" s="81" t="s">
        <v>155</v>
      </c>
      <c r="R520" s="165" t="s">
        <v>893</v>
      </c>
      <c r="S520" s="81" t="s">
        <v>104</v>
      </c>
      <c r="T520" s="349">
        <v>41680</v>
      </c>
      <c r="U520" s="349">
        <v>41817</v>
      </c>
      <c r="W520" s="81" t="s">
        <v>114</v>
      </c>
      <c r="Y520" s="81" t="s">
        <v>115</v>
      </c>
      <c r="Z520" s="81" t="s">
        <v>116</v>
      </c>
      <c r="AA520" s="81" t="s">
        <v>116</v>
      </c>
      <c r="AB520" s="81" t="s">
        <v>117</v>
      </c>
      <c r="AC520" s="166">
        <v>1.4999999664723899E-2</v>
      </c>
      <c r="AD520" s="349">
        <v>42825</v>
      </c>
      <c r="AG520" s="81" t="s">
        <v>154</v>
      </c>
      <c r="AH520" s="81" t="s">
        <v>312</v>
      </c>
      <c r="AK520" s="166">
        <v>9</v>
      </c>
      <c r="AM520" s="166">
        <v>1</v>
      </c>
      <c r="AO520" s="166">
        <v>0</v>
      </c>
      <c r="AP520" s="166">
        <v>1</v>
      </c>
      <c r="AQ520" s="166">
        <v>7</v>
      </c>
      <c r="AR520" s="166">
        <v>1</v>
      </c>
      <c r="AS520" s="166">
        <v>0</v>
      </c>
      <c r="AT520" s="166">
        <v>0</v>
      </c>
      <c r="AU520" s="166">
        <v>0</v>
      </c>
      <c r="AV520" s="166">
        <v>0</v>
      </c>
      <c r="AW520" s="166">
        <v>1</v>
      </c>
      <c r="AX520" s="166">
        <v>7</v>
      </c>
      <c r="AY520" s="166">
        <v>1</v>
      </c>
      <c r="AZ520" s="166">
        <v>0</v>
      </c>
      <c r="BA520" s="166">
        <v>0</v>
      </c>
      <c r="BB520" s="166">
        <v>0</v>
      </c>
      <c r="BC520" s="166">
        <v>0</v>
      </c>
      <c r="BD520" s="166">
        <v>0</v>
      </c>
      <c r="BE520" s="166">
        <v>0</v>
      </c>
      <c r="BF520" s="166">
        <v>0</v>
      </c>
      <c r="BG520" s="166">
        <v>0</v>
      </c>
      <c r="BH520" s="166">
        <v>0</v>
      </c>
      <c r="BI520" s="166">
        <v>0</v>
      </c>
      <c r="BJ520" s="166">
        <v>0</v>
      </c>
      <c r="BK520" s="166">
        <v>0</v>
      </c>
      <c r="BL520" s="166">
        <v>0</v>
      </c>
      <c r="BM520" s="166">
        <v>0</v>
      </c>
      <c r="BN520" s="166">
        <v>0</v>
      </c>
      <c r="BO520" s="166">
        <v>0</v>
      </c>
      <c r="BP520" s="166">
        <v>0</v>
      </c>
      <c r="BQ520" s="81" t="s">
        <v>1757</v>
      </c>
      <c r="BZ520" s="81" t="s">
        <v>155</v>
      </c>
      <c r="CA520" s="81" t="s">
        <v>3934</v>
      </c>
      <c r="CC520" s="167">
        <v>0</v>
      </c>
      <c r="CD520" s="167">
        <v>0</v>
      </c>
      <c r="CE520" s="167">
        <f>N520</f>
        <v>9</v>
      </c>
      <c r="CF520" s="167">
        <v>0</v>
      </c>
      <c r="CG520" s="167">
        <v>0</v>
      </c>
      <c r="CH520" s="167">
        <v>0</v>
      </c>
      <c r="CI520" s="167">
        <v>0</v>
      </c>
      <c r="CJ520" s="167">
        <v>0</v>
      </c>
      <c r="CK520" s="167">
        <v>0</v>
      </c>
      <c r="CL520" s="167">
        <v>0</v>
      </c>
      <c r="CM520" s="167">
        <v>0</v>
      </c>
      <c r="CN520" s="167">
        <v>0</v>
      </c>
      <c r="CO520" s="167">
        <v>0</v>
      </c>
      <c r="CP520" s="167">
        <v>0</v>
      </c>
      <c r="CQ520" s="167">
        <v>0</v>
      </c>
      <c r="CR520" s="167">
        <v>0</v>
      </c>
      <c r="CS520" s="167">
        <v>0</v>
      </c>
      <c r="CT520" s="167">
        <v>0</v>
      </c>
      <c r="CU520" s="167">
        <v>0</v>
      </c>
      <c r="CV520" s="167">
        <v>0</v>
      </c>
      <c r="CW520" s="167">
        <v>0</v>
      </c>
      <c r="CX520" s="167">
        <f>SUM(CD520:CH520)</f>
        <v>9</v>
      </c>
      <c r="CY520" s="167">
        <f>SUM(CD520:CM520)</f>
        <v>9</v>
      </c>
    </row>
    <row r="521" spans="1:103" ht="12.75" customHeight="1" x14ac:dyDescent="0.2">
      <c r="A521" s="81">
        <v>5626</v>
      </c>
      <c r="B521" s="165" t="s">
        <v>1908</v>
      </c>
      <c r="C521" s="165" t="s">
        <v>395</v>
      </c>
      <c r="E521" s="165" t="s">
        <v>3402</v>
      </c>
      <c r="G521" s="81">
        <v>528298</v>
      </c>
      <c r="H521" s="81">
        <v>172753</v>
      </c>
      <c r="I521" s="165" t="s">
        <v>248</v>
      </c>
      <c r="J521" s="349">
        <v>42825</v>
      </c>
      <c r="L521" s="166">
        <v>0</v>
      </c>
      <c r="M521" s="166">
        <v>2</v>
      </c>
      <c r="N521" s="166">
        <v>2</v>
      </c>
      <c r="O521" s="166">
        <v>52</v>
      </c>
      <c r="P521" s="166">
        <v>52</v>
      </c>
      <c r="Q521" s="81" t="s">
        <v>155</v>
      </c>
      <c r="R521" s="165" t="s">
        <v>893</v>
      </c>
      <c r="S521" s="81" t="s">
        <v>104</v>
      </c>
      <c r="T521" s="349">
        <v>41680</v>
      </c>
      <c r="U521" s="349">
        <v>41817</v>
      </c>
      <c r="W521" s="81" t="s">
        <v>114</v>
      </c>
      <c r="Y521" s="81" t="s">
        <v>115</v>
      </c>
      <c r="Z521" s="81" t="s">
        <v>116</v>
      </c>
      <c r="AA521" s="81" t="s">
        <v>116</v>
      </c>
      <c r="AB521" s="81" t="s">
        <v>117</v>
      </c>
      <c r="AC521" s="166">
        <v>8.9999996125698107E-3</v>
      </c>
      <c r="AD521" s="349">
        <v>42825</v>
      </c>
      <c r="AG521" s="81" t="s">
        <v>74</v>
      </c>
      <c r="AH521" s="81" t="s">
        <v>1913</v>
      </c>
      <c r="AK521" s="166">
        <v>2</v>
      </c>
      <c r="AM521" s="166">
        <v>0</v>
      </c>
      <c r="AO521" s="166">
        <v>0</v>
      </c>
      <c r="AP521" s="166">
        <v>0</v>
      </c>
      <c r="AQ521" s="166">
        <v>2</v>
      </c>
      <c r="AR521" s="166">
        <v>0</v>
      </c>
      <c r="AS521" s="166">
        <v>0</v>
      </c>
      <c r="AT521" s="166">
        <v>0</v>
      </c>
      <c r="AU521" s="166">
        <v>0</v>
      </c>
      <c r="AV521" s="166">
        <v>0</v>
      </c>
      <c r="AW521" s="166">
        <v>0</v>
      </c>
      <c r="AX521" s="166">
        <v>2</v>
      </c>
      <c r="AY521" s="166">
        <v>0</v>
      </c>
      <c r="AZ521" s="166">
        <v>0</v>
      </c>
      <c r="BA521" s="166">
        <v>0</v>
      </c>
      <c r="BB521" s="166">
        <v>0</v>
      </c>
      <c r="BC521" s="166">
        <v>0</v>
      </c>
      <c r="BD521" s="166">
        <v>0</v>
      </c>
      <c r="BE521" s="166">
        <v>0</v>
      </c>
      <c r="BF521" s="166">
        <v>0</v>
      </c>
      <c r="BG521" s="166">
        <v>0</v>
      </c>
      <c r="BH521" s="166">
        <v>0</v>
      </c>
      <c r="BI521" s="166">
        <v>0</v>
      </c>
      <c r="BJ521" s="166">
        <v>0</v>
      </c>
      <c r="BK521" s="166">
        <v>0</v>
      </c>
      <c r="BL521" s="166">
        <v>0</v>
      </c>
      <c r="BM521" s="166">
        <v>0</v>
      </c>
      <c r="BN521" s="166">
        <v>0</v>
      </c>
      <c r="BO521" s="166">
        <v>0</v>
      </c>
      <c r="BP521" s="166">
        <v>0</v>
      </c>
      <c r="BQ521" s="81" t="s">
        <v>1757</v>
      </c>
      <c r="BZ521" s="81" t="s">
        <v>155</v>
      </c>
      <c r="CA521" s="81" t="s">
        <v>3934</v>
      </c>
      <c r="CC521" s="167">
        <v>0</v>
      </c>
      <c r="CD521" s="167">
        <v>0</v>
      </c>
      <c r="CE521" s="167">
        <f>N521</f>
        <v>2</v>
      </c>
      <c r="CF521" s="167">
        <v>0</v>
      </c>
      <c r="CG521" s="167">
        <v>0</v>
      </c>
      <c r="CH521" s="167">
        <v>0</v>
      </c>
      <c r="CI521" s="167">
        <v>0</v>
      </c>
      <c r="CJ521" s="167">
        <v>0</v>
      </c>
      <c r="CK521" s="167">
        <v>0</v>
      </c>
      <c r="CL521" s="167">
        <v>0</v>
      </c>
      <c r="CM521" s="167">
        <v>0</v>
      </c>
      <c r="CN521" s="167">
        <v>0</v>
      </c>
      <c r="CO521" s="167">
        <v>0</v>
      </c>
      <c r="CP521" s="167">
        <v>0</v>
      </c>
      <c r="CQ521" s="167">
        <v>0</v>
      </c>
      <c r="CR521" s="167">
        <v>0</v>
      </c>
      <c r="CS521" s="167">
        <v>0</v>
      </c>
      <c r="CT521" s="167">
        <v>0</v>
      </c>
      <c r="CU521" s="167">
        <v>0</v>
      </c>
      <c r="CV521" s="167">
        <v>0</v>
      </c>
      <c r="CW521" s="167">
        <v>0</v>
      </c>
      <c r="CX521" s="167">
        <f>SUM(CD521:CH521)</f>
        <v>2</v>
      </c>
      <c r="CY521" s="167">
        <f>SUM(CD521:CM521)</f>
        <v>2</v>
      </c>
    </row>
    <row r="522" spans="1:103" ht="12.75" customHeight="1" x14ac:dyDescent="0.2">
      <c r="A522" s="81">
        <v>5630</v>
      </c>
      <c r="B522" s="165" t="s">
        <v>1908</v>
      </c>
      <c r="C522" s="165" t="s">
        <v>387</v>
      </c>
      <c r="E522" s="165" t="s">
        <v>3561</v>
      </c>
      <c r="G522" s="81">
        <v>527902</v>
      </c>
      <c r="H522" s="81">
        <v>172490</v>
      </c>
      <c r="I522" s="165" t="s">
        <v>254</v>
      </c>
      <c r="J522" s="349">
        <v>42919</v>
      </c>
      <c r="L522" s="166">
        <v>0</v>
      </c>
      <c r="M522" s="166">
        <v>1</v>
      </c>
      <c r="N522" s="166">
        <v>1</v>
      </c>
      <c r="O522" s="166">
        <v>1</v>
      </c>
      <c r="P522" s="166">
        <v>1</v>
      </c>
      <c r="R522" s="165" t="s">
        <v>394</v>
      </c>
      <c r="S522" s="81" t="s">
        <v>113</v>
      </c>
      <c r="T522" s="349">
        <v>41677</v>
      </c>
      <c r="U522" s="349">
        <v>41831</v>
      </c>
      <c r="W522" s="81" t="s">
        <v>114</v>
      </c>
      <c r="Y522" s="81" t="s">
        <v>115</v>
      </c>
      <c r="Z522" s="81" t="s">
        <v>398</v>
      </c>
      <c r="AA522" s="81" t="s">
        <v>117</v>
      </c>
      <c r="AB522" s="81" t="s">
        <v>218</v>
      </c>
      <c r="AC522" s="166">
        <v>4.9999998882412902E-3</v>
      </c>
      <c r="AD522" s="349">
        <v>42919</v>
      </c>
      <c r="AE522" s="81" t="s">
        <v>155</v>
      </c>
      <c r="AG522" s="81" t="s">
        <v>238</v>
      </c>
      <c r="AH522" s="81" t="s">
        <v>118</v>
      </c>
      <c r="AK522" s="166">
        <v>0</v>
      </c>
      <c r="AM522" s="166">
        <v>0</v>
      </c>
      <c r="AO522" s="166">
        <v>0</v>
      </c>
      <c r="AP522" s="166">
        <v>1</v>
      </c>
      <c r="AQ522" s="166">
        <v>0</v>
      </c>
      <c r="AR522" s="166">
        <v>0</v>
      </c>
      <c r="AS522" s="166">
        <v>0</v>
      </c>
      <c r="AT522" s="166">
        <v>0</v>
      </c>
      <c r="AU522" s="166">
        <v>0</v>
      </c>
      <c r="AV522" s="166">
        <v>0</v>
      </c>
      <c r="AW522" s="166">
        <v>1</v>
      </c>
      <c r="AX522" s="166">
        <v>0</v>
      </c>
      <c r="AY522" s="166">
        <v>0</v>
      </c>
      <c r="AZ522" s="166">
        <v>0</v>
      </c>
      <c r="BA522" s="166">
        <v>0</v>
      </c>
      <c r="BB522" s="166">
        <v>0</v>
      </c>
      <c r="BC522" s="166">
        <v>0</v>
      </c>
      <c r="BD522" s="166">
        <v>0</v>
      </c>
      <c r="BE522" s="166">
        <v>0</v>
      </c>
      <c r="BF522" s="166">
        <v>0</v>
      </c>
      <c r="BG522" s="166">
        <v>0</v>
      </c>
      <c r="BH522" s="166">
        <v>0</v>
      </c>
      <c r="BI522" s="166">
        <v>0</v>
      </c>
      <c r="BJ522" s="166">
        <v>0</v>
      </c>
      <c r="BK522" s="166">
        <v>0</v>
      </c>
      <c r="BL522" s="166">
        <v>0</v>
      </c>
      <c r="BM522" s="166">
        <v>0</v>
      </c>
      <c r="BN522" s="166">
        <v>0</v>
      </c>
      <c r="BO522" s="166">
        <v>0</v>
      </c>
      <c r="BP522" s="166">
        <v>0</v>
      </c>
      <c r="BQ522" s="81" t="s">
        <v>1757</v>
      </c>
      <c r="BZ522" s="81" t="s">
        <v>155</v>
      </c>
      <c r="CA522" s="81" t="s">
        <v>3980</v>
      </c>
      <c r="CC522" s="167">
        <v>0</v>
      </c>
      <c r="CD522" s="167">
        <f>N522</f>
        <v>1</v>
      </c>
      <c r="CE522" s="167">
        <v>0</v>
      </c>
      <c r="CF522" s="167">
        <v>0</v>
      </c>
      <c r="CG522" s="167">
        <v>0</v>
      </c>
      <c r="CH522" s="167">
        <v>0</v>
      </c>
      <c r="CI522" s="167">
        <v>0</v>
      </c>
      <c r="CJ522" s="167">
        <v>0</v>
      </c>
      <c r="CK522" s="167">
        <v>0</v>
      </c>
      <c r="CL522" s="167">
        <v>0</v>
      </c>
      <c r="CM522" s="167">
        <v>0</v>
      </c>
      <c r="CN522" s="167">
        <v>0</v>
      </c>
      <c r="CO522" s="167">
        <v>0</v>
      </c>
      <c r="CP522" s="167">
        <v>0</v>
      </c>
      <c r="CQ522" s="167">
        <v>0</v>
      </c>
      <c r="CR522" s="167">
        <v>0</v>
      </c>
      <c r="CS522" s="167">
        <v>0</v>
      </c>
      <c r="CT522" s="167">
        <v>0</v>
      </c>
      <c r="CU522" s="167">
        <v>0</v>
      </c>
      <c r="CV522" s="167">
        <v>0</v>
      </c>
      <c r="CW522" s="167">
        <v>0</v>
      </c>
      <c r="CX522" s="167">
        <f>SUM(CD522:CH522)</f>
        <v>1</v>
      </c>
      <c r="CY522" s="167">
        <f>SUM(CD522:CM522)</f>
        <v>1</v>
      </c>
    </row>
    <row r="523" spans="1:103" ht="12.75" customHeight="1" x14ac:dyDescent="0.2">
      <c r="A523" s="81">
        <v>5645</v>
      </c>
      <c r="B523" s="165" t="s">
        <v>1908</v>
      </c>
      <c r="C523" s="165" t="s">
        <v>63</v>
      </c>
      <c r="D523" s="165" t="s">
        <v>2107</v>
      </c>
      <c r="E523" s="165" t="s">
        <v>3145</v>
      </c>
      <c r="G523" s="81">
        <v>527292</v>
      </c>
      <c r="H523" s="81">
        <v>177189</v>
      </c>
      <c r="I523" s="165" t="s">
        <v>257</v>
      </c>
      <c r="J523" s="349">
        <v>42060</v>
      </c>
      <c r="L523" s="166">
        <v>0</v>
      </c>
      <c r="M523" s="166">
        <v>1</v>
      </c>
      <c r="N523" s="166">
        <v>1</v>
      </c>
      <c r="O523" s="166">
        <v>2</v>
      </c>
      <c r="P523" s="166">
        <v>2</v>
      </c>
      <c r="R523" s="165" t="s">
        <v>42</v>
      </c>
      <c r="S523" s="81" t="s">
        <v>270</v>
      </c>
      <c r="T523" s="349">
        <v>41947</v>
      </c>
      <c r="U523" s="349">
        <v>42060</v>
      </c>
      <c r="W523" s="81" t="s">
        <v>114</v>
      </c>
      <c r="Y523" s="81" t="s">
        <v>115</v>
      </c>
      <c r="Z523" s="81" t="s">
        <v>310</v>
      </c>
      <c r="AA523" s="81" t="s">
        <v>117</v>
      </c>
      <c r="AB523" s="81" t="s">
        <v>399</v>
      </c>
      <c r="AC523" s="166">
        <v>4.9999998882412902E-3</v>
      </c>
      <c r="AG523" s="81" t="s">
        <v>238</v>
      </c>
      <c r="AH523" s="81" t="s">
        <v>118</v>
      </c>
      <c r="AK523" s="166">
        <v>0</v>
      </c>
      <c r="AM523" s="166">
        <v>0</v>
      </c>
      <c r="AO523" s="166">
        <v>1</v>
      </c>
      <c r="AP523" s="166">
        <v>0</v>
      </c>
      <c r="AQ523" s="166">
        <v>0</v>
      </c>
      <c r="AR523" s="166">
        <v>0</v>
      </c>
      <c r="AS523" s="166">
        <v>0</v>
      </c>
      <c r="AT523" s="166">
        <v>0</v>
      </c>
      <c r="AU523" s="166">
        <v>0</v>
      </c>
      <c r="AV523" s="166">
        <v>1</v>
      </c>
      <c r="AW523" s="166">
        <v>0</v>
      </c>
      <c r="AX523" s="166">
        <v>0</v>
      </c>
      <c r="AY523" s="166">
        <v>0</v>
      </c>
      <c r="AZ523" s="166">
        <v>0</v>
      </c>
      <c r="BA523" s="166">
        <v>0</v>
      </c>
      <c r="BB523" s="166">
        <v>0</v>
      </c>
      <c r="BC523" s="166">
        <v>0</v>
      </c>
      <c r="BD523" s="166">
        <v>0</v>
      </c>
      <c r="BE523" s="166">
        <v>0</v>
      </c>
      <c r="BF523" s="166">
        <v>0</v>
      </c>
      <c r="BG523" s="166">
        <v>0</v>
      </c>
      <c r="BH523" s="166">
        <v>0</v>
      </c>
      <c r="BI523" s="166">
        <v>0</v>
      </c>
      <c r="BJ523" s="166">
        <v>0</v>
      </c>
      <c r="BK523" s="166">
        <v>0</v>
      </c>
      <c r="BL523" s="166">
        <v>0</v>
      </c>
      <c r="BM523" s="166">
        <v>0</v>
      </c>
      <c r="BN523" s="166">
        <v>0</v>
      </c>
      <c r="BO523" s="166">
        <v>0</v>
      </c>
      <c r="BP523" s="166">
        <v>0</v>
      </c>
      <c r="BQ523" s="81" t="s">
        <v>1757</v>
      </c>
      <c r="BX523" s="81" t="s">
        <v>155</v>
      </c>
      <c r="BZ523" s="81" t="s">
        <v>155</v>
      </c>
      <c r="CA523" s="81" t="s">
        <v>3980</v>
      </c>
      <c r="CC523" s="167">
        <v>0</v>
      </c>
      <c r="CD523" s="167">
        <f>N523</f>
        <v>1</v>
      </c>
      <c r="CE523" s="167">
        <v>0</v>
      </c>
      <c r="CF523" s="167">
        <v>0</v>
      </c>
      <c r="CG523" s="167">
        <v>0</v>
      </c>
      <c r="CH523" s="167">
        <v>0</v>
      </c>
      <c r="CI523" s="167">
        <v>0</v>
      </c>
      <c r="CJ523" s="167">
        <v>0</v>
      </c>
      <c r="CK523" s="167">
        <v>0</v>
      </c>
      <c r="CL523" s="167">
        <v>0</v>
      </c>
      <c r="CM523" s="167">
        <v>0</v>
      </c>
      <c r="CN523" s="167">
        <v>0</v>
      </c>
      <c r="CO523" s="167">
        <v>0</v>
      </c>
      <c r="CP523" s="167">
        <v>0</v>
      </c>
      <c r="CQ523" s="167">
        <v>0</v>
      </c>
      <c r="CR523" s="167">
        <v>0</v>
      </c>
      <c r="CS523" s="167">
        <v>0</v>
      </c>
      <c r="CT523" s="167">
        <v>0</v>
      </c>
      <c r="CU523" s="167">
        <v>0</v>
      </c>
      <c r="CV523" s="167">
        <v>0</v>
      </c>
      <c r="CW523" s="167">
        <v>0</v>
      </c>
      <c r="CX523" s="167">
        <f>SUM(CD523:CH523)</f>
        <v>1</v>
      </c>
      <c r="CY523" s="167">
        <f>SUM(CD523:CM523)</f>
        <v>1</v>
      </c>
    </row>
    <row r="524" spans="1:103" ht="12.75" customHeight="1" x14ac:dyDescent="0.2">
      <c r="A524" s="81">
        <v>5646</v>
      </c>
      <c r="B524" s="165" t="s">
        <v>1908</v>
      </c>
      <c r="C524" s="165" t="s">
        <v>3562</v>
      </c>
      <c r="E524" s="165" t="s">
        <v>3563</v>
      </c>
      <c r="G524" s="81">
        <v>527378</v>
      </c>
      <c r="H524" s="81">
        <v>175255</v>
      </c>
      <c r="I524" s="165" t="s">
        <v>255</v>
      </c>
      <c r="J524" s="349">
        <v>42993</v>
      </c>
      <c r="L524" s="166">
        <v>0</v>
      </c>
      <c r="M524" s="166">
        <v>3</v>
      </c>
      <c r="N524" s="166">
        <v>3</v>
      </c>
      <c r="O524" s="166">
        <v>3</v>
      </c>
      <c r="P524" s="166">
        <v>3</v>
      </c>
      <c r="R524" s="165" t="s">
        <v>3564</v>
      </c>
      <c r="S524" s="81" t="s">
        <v>270</v>
      </c>
      <c r="T524" s="349">
        <v>42941</v>
      </c>
      <c r="U524" s="349">
        <v>42993</v>
      </c>
      <c r="V524" s="81" t="s">
        <v>155</v>
      </c>
      <c r="W524" s="81" t="s">
        <v>114</v>
      </c>
      <c r="Y524" s="81" t="s">
        <v>115</v>
      </c>
      <c r="Z524" s="81" t="s">
        <v>310</v>
      </c>
      <c r="AA524" s="81" t="s">
        <v>117</v>
      </c>
      <c r="AB524" s="81" t="s">
        <v>399</v>
      </c>
      <c r="AC524" s="166">
        <v>4.0000001899898104E-3</v>
      </c>
      <c r="AD524" s="349">
        <v>42993</v>
      </c>
      <c r="AE524" s="81" t="s">
        <v>155</v>
      </c>
      <c r="AG524" s="81" t="s">
        <v>238</v>
      </c>
      <c r="AH524" s="81" t="s">
        <v>118</v>
      </c>
      <c r="AK524" s="166">
        <v>0</v>
      </c>
      <c r="AM524" s="166">
        <v>0</v>
      </c>
      <c r="AO524" s="166">
        <v>2</v>
      </c>
      <c r="AP524" s="166">
        <v>1</v>
      </c>
      <c r="AQ524" s="166">
        <v>0</v>
      </c>
      <c r="AR524" s="166">
        <v>0</v>
      </c>
      <c r="AS524" s="166">
        <v>0</v>
      </c>
      <c r="AT524" s="166">
        <v>0</v>
      </c>
      <c r="AU524" s="166">
        <v>0</v>
      </c>
      <c r="AV524" s="166">
        <v>2</v>
      </c>
      <c r="AW524" s="166">
        <v>1</v>
      </c>
      <c r="AX524" s="166">
        <v>0</v>
      </c>
      <c r="AY524" s="166">
        <v>0</v>
      </c>
      <c r="AZ524" s="166">
        <v>0</v>
      </c>
      <c r="BA524" s="166">
        <v>0</v>
      </c>
      <c r="BB524" s="166">
        <v>0</v>
      </c>
      <c r="BC524" s="166">
        <v>0</v>
      </c>
      <c r="BD524" s="166">
        <v>0</v>
      </c>
      <c r="BE524" s="166">
        <v>0</v>
      </c>
      <c r="BF524" s="166">
        <v>0</v>
      </c>
      <c r="BG524" s="166">
        <v>0</v>
      </c>
      <c r="BH524" s="166">
        <v>0</v>
      </c>
      <c r="BI524" s="166">
        <v>0</v>
      </c>
      <c r="BJ524" s="166">
        <v>0</v>
      </c>
      <c r="BK524" s="166">
        <v>0</v>
      </c>
      <c r="BL524" s="166">
        <v>0</v>
      </c>
      <c r="BM524" s="166">
        <v>0</v>
      </c>
      <c r="BN524" s="166">
        <v>0</v>
      </c>
      <c r="BO524" s="166">
        <v>0</v>
      </c>
      <c r="BP524" s="166">
        <v>0</v>
      </c>
      <c r="BQ524" s="81" t="s">
        <v>1757</v>
      </c>
      <c r="BR524" s="81" t="s">
        <v>160</v>
      </c>
      <c r="BZ524" s="81" t="s">
        <v>155</v>
      </c>
      <c r="CA524" s="81" t="s">
        <v>3980</v>
      </c>
      <c r="CC524" s="167">
        <v>0</v>
      </c>
      <c r="CD524" s="167">
        <f>N524</f>
        <v>3</v>
      </c>
      <c r="CE524" s="167">
        <v>0</v>
      </c>
      <c r="CF524" s="167">
        <v>0</v>
      </c>
      <c r="CG524" s="167">
        <v>0</v>
      </c>
      <c r="CH524" s="167">
        <v>0</v>
      </c>
      <c r="CI524" s="167">
        <v>0</v>
      </c>
      <c r="CJ524" s="167">
        <v>0</v>
      </c>
      <c r="CK524" s="167">
        <v>0</v>
      </c>
      <c r="CL524" s="167">
        <v>0</v>
      </c>
      <c r="CM524" s="167">
        <v>0</v>
      </c>
      <c r="CN524" s="167">
        <v>0</v>
      </c>
      <c r="CO524" s="167">
        <v>0</v>
      </c>
      <c r="CP524" s="167">
        <v>0</v>
      </c>
      <c r="CQ524" s="167">
        <v>0</v>
      </c>
      <c r="CR524" s="167">
        <v>0</v>
      </c>
      <c r="CS524" s="167">
        <v>0</v>
      </c>
      <c r="CT524" s="167">
        <v>0</v>
      </c>
      <c r="CU524" s="167">
        <v>0</v>
      </c>
      <c r="CV524" s="167">
        <v>0</v>
      </c>
      <c r="CW524" s="167">
        <v>0</v>
      </c>
      <c r="CX524" s="167">
        <f>SUM(CD524:CH524)</f>
        <v>3</v>
      </c>
      <c r="CY524" s="167">
        <f>SUM(CD524:CM524)</f>
        <v>3</v>
      </c>
    </row>
    <row r="525" spans="1:103" ht="12.75" customHeight="1" x14ac:dyDescent="0.2">
      <c r="A525" s="81">
        <v>5665</v>
      </c>
      <c r="B525" s="165" t="s">
        <v>1908</v>
      </c>
      <c r="C525" s="165" t="s">
        <v>543</v>
      </c>
      <c r="E525" s="165" t="s">
        <v>3565</v>
      </c>
      <c r="G525" s="81">
        <v>527697</v>
      </c>
      <c r="H525" s="81">
        <v>171921</v>
      </c>
      <c r="I525" s="165" t="s">
        <v>242</v>
      </c>
      <c r="J525" s="349">
        <v>43190</v>
      </c>
      <c r="L525" s="166">
        <v>0</v>
      </c>
      <c r="M525" s="166">
        <v>1</v>
      </c>
      <c r="N525" s="166">
        <v>1</v>
      </c>
      <c r="O525" s="166">
        <v>2</v>
      </c>
      <c r="P525" s="166">
        <v>1</v>
      </c>
      <c r="R525" s="165" t="s">
        <v>1129</v>
      </c>
      <c r="S525" s="81" t="s">
        <v>113</v>
      </c>
      <c r="T525" s="349">
        <v>42112</v>
      </c>
      <c r="U525" s="349">
        <v>42165</v>
      </c>
      <c r="W525" s="81" t="s">
        <v>114</v>
      </c>
      <c r="Y525" s="81" t="s">
        <v>115</v>
      </c>
      <c r="Z525" s="81" t="s">
        <v>398</v>
      </c>
      <c r="AA525" s="81" t="s">
        <v>117</v>
      </c>
      <c r="AB525" s="81" t="s">
        <v>218</v>
      </c>
      <c r="AC525" s="166">
        <v>3.0000000260770299E-3</v>
      </c>
      <c r="AD525" s="349">
        <v>43190</v>
      </c>
      <c r="AE525" s="81" t="s">
        <v>155</v>
      </c>
      <c r="AG525" s="81" t="s">
        <v>238</v>
      </c>
      <c r="AH525" s="81" t="s">
        <v>118</v>
      </c>
      <c r="AK525" s="166">
        <v>0</v>
      </c>
      <c r="AM525" s="166">
        <v>0</v>
      </c>
      <c r="AO525" s="166">
        <v>1</v>
      </c>
      <c r="AP525" s="166">
        <v>0</v>
      </c>
      <c r="AQ525" s="166">
        <v>0</v>
      </c>
      <c r="AR525" s="166">
        <v>0</v>
      </c>
      <c r="AS525" s="166">
        <v>0</v>
      </c>
      <c r="AT525" s="166">
        <v>0</v>
      </c>
      <c r="AU525" s="166">
        <v>0</v>
      </c>
      <c r="AV525" s="166">
        <v>1</v>
      </c>
      <c r="AW525" s="166">
        <v>0</v>
      </c>
      <c r="AX525" s="166">
        <v>0</v>
      </c>
      <c r="AY525" s="166">
        <v>0</v>
      </c>
      <c r="AZ525" s="166">
        <v>0</v>
      </c>
      <c r="BA525" s="166">
        <v>0</v>
      </c>
      <c r="BB525" s="166">
        <v>0</v>
      </c>
      <c r="BC525" s="166">
        <v>0</v>
      </c>
      <c r="BD525" s="166">
        <v>0</v>
      </c>
      <c r="BE525" s="166">
        <v>0</v>
      </c>
      <c r="BF525" s="166">
        <v>0</v>
      </c>
      <c r="BG525" s="166">
        <v>0</v>
      </c>
      <c r="BH525" s="166">
        <v>0</v>
      </c>
      <c r="BI525" s="166">
        <v>0</v>
      </c>
      <c r="BJ525" s="166">
        <v>0</v>
      </c>
      <c r="BK525" s="166">
        <v>0</v>
      </c>
      <c r="BL525" s="166">
        <v>0</v>
      </c>
      <c r="BM525" s="166">
        <v>0</v>
      </c>
      <c r="BN525" s="166">
        <v>0</v>
      </c>
      <c r="BO525" s="166">
        <v>0</v>
      </c>
      <c r="BP525" s="166">
        <v>0</v>
      </c>
      <c r="BQ525" s="81" t="s">
        <v>1757</v>
      </c>
      <c r="BR525" s="81" t="s">
        <v>242</v>
      </c>
      <c r="BZ525" s="81" t="s">
        <v>155</v>
      </c>
      <c r="CA525" s="81" t="s">
        <v>3981</v>
      </c>
      <c r="CC525" s="167">
        <v>0</v>
      </c>
      <c r="CD525" s="167">
        <f>$N525/2</f>
        <v>0.5</v>
      </c>
      <c r="CE525" s="167">
        <f>$N525/2</f>
        <v>0.5</v>
      </c>
      <c r="CF525" s="167">
        <v>0</v>
      </c>
      <c r="CG525" s="167">
        <v>0</v>
      </c>
      <c r="CH525" s="167">
        <v>0</v>
      </c>
      <c r="CI525" s="167">
        <v>0</v>
      </c>
      <c r="CJ525" s="167">
        <v>0</v>
      </c>
      <c r="CK525" s="167">
        <v>0</v>
      </c>
      <c r="CL525" s="167">
        <v>0</v>
      </c>
      <c r="CM525" s="167">
        <v>0</v>
      </c>
      <c r="CN525" s="167">
        <v>0</v>
      </c>
      <c r="CO525" s="167">
        <v>0</v>
      </c>
      <c r="CP525" s="167">
        <v>0</v>
      </c>
      <c r="CQ525" s="167">
        <v>0</v>
      </c>
      <c r="CR525" s="167">
        <v>0</v>
      </c>
      <c r="CS525" s="167">
        <v>0</v>
      </c>
      <c r="CT525" s="167">
        <v>0</v>
      </c>
      <c r="CU525" s="167">
        <v>0</v>
      </c>
      <c r="CV525" s="167">
        <v>0</v>
      </c>
      <c r="CW525" s="167">
        <v>0</v>
      </c>
      <c r="CX525" s="167">
        <f>SUM(CD525:CH525)</f>
        <v>1</v>
      </c>
      <c r="CY525" s="167">
        <f>SUM(CD525:CM525)</f>
        <v>1</v>
      </c>
    </row>
    <row r="526" spans="1:103" ht="12.75" customHeight="1" x14ac:dyDescent="0.2">
      <c r="A526" s="81">
        <v>5665</v>
      </c>
      <c r="B526" s="165" t="s">
        <v>1908</v>
      </c>
      <c r="C526" s="165" t="s">
        <v>543</v>
      </c>
      <c r="E526" s="165" t="s">
        <v>3565</v>
      </c>
      <c r="G526" s="81">
        <v>527697</v>
      </c>
      <c r="H526" s="81">
        <v>171921</v>
      </c>
      <c r="I526" s="165" t="s">
        <v>242</v>
      </c>
      <c r="J526" s="349">
        <v>43190</v>
      </c>
      <c r="L526" s="166">
        <v>1</v>
      </c>
      <c r="M526" s="166">
        <v>1</v>
      </c>
      <c r="N526" s="166">
        <v>0</v>
      </c>
      <c r="O526" s="166">
        <v>2</v>
      </c>
      <c r="P526" s="166">
        <v>1</v>
      </c>
      <c r="R526" s="165" t="s">
        <v>1129</v>
      </c>
      <c r="S526" s="81" t="s">
        <v>113</v>
      </c>
      <c r="T526" s="349">
        <v>42112</v>
      </c>
      <c r="U526" s="349">
        <v>42165</v>
      </c>
      <c r="W526" s="81" t="s">
        <v>114</v>
      </c>
      <c r="Y526" s="81" t="s">
        <v>115</v>
      </c>
      <c r="Z526" s="81" t="s">
        <v>398</v>
      </c>
      <c r="AA526" s="81" t="s">
        <v>117</v>
      </c>
      <c r="AB526" s="81" t="s">
        <v>220</v>
      </c>
      <c r="AC526" s="166">
        <v>3.0000000260770299E-3</v>
      </c>
      <c r="AD526" s="349">
        <v>43190</v>
      </c>
      <c r="AE526" s="81" t="s">
        <v>155</v>
      </c>
      <c r="AG526" s="81" t="s">
        <v>238</v>
      </c>
      <c r="AH526" s="81" t="s">
        <v>118</v>
      </c>
      <c r="AK526" s="166">
        <v>0</v>
      </c>
      <c r="AM526" s="166">
        <v>0</v>
      </c>
      <c r="AO526" s="166">
        <v>0</v>
      </c>
      <c r="AP526" s="166">
        <v>-1</v>
      </c>
      <c r="AQ526" s="166">
        <v>1</v>
      </c>
      <c r="AR526" s="166">
        <v>0</v>
      </c>
      <c r="AS526" s="166">
        <v>0</v>
      </c>
      <c r="AT526" s="166">
        <v>0</v>
      </c>
      <c r="AU526" s="166">
        <v>0</v>
      </c>
      <c r="AV526" s="166">
        <v>0</v>
      </c>
      <c r="AW526" s="166">
        <v>-1</v>
      </c>
      <c r="AX526" s="166">
        <v>1</v>
      </c>
      <c r="AY526" s="166">
        <v>0</v>
      </c>
      <c r="AZ526" s="166">
        <v>0</v>
      </c>
      <c r="BA526" s="166">
        <v>0</v>
      </c>
      <c r="BB526" s="166">
        <v>0</v>
      </c>
      <c r="BC526" s="166">
        <v>0</v>
      </c>
      <c r="BD526" s="166">
        <v>0</v>
      </c>
      <c r="BE526" s="166">
        <v>0</v>
      </c>
      <c r="BF526" s="166">
        <v>0</v>
      </c>
      <c r="BG526" s="166">
        <v>0</v>
      </c>
      <c r="BH526" s="166">
        <v>0</v>
      </c>
      <c r="BI526" s="166">
        <v>0</v>
      </c>
      <c r="BJ526" s="166">
        <v>0</v>
      </c>
      <c r="BK526" s="166">
        <v>0</v>
      </c>
      <c r="BL526" s="166">
        <v>0</v>
      </c>
      <c r="BM526" s="166">
        <v>0</v>
      </c>
      <c r="BN526" s="166">
        <v>0</v>
      </c>
      <c r="BO526" s="166">
        <v>0</v>
      </c>
      <c r="BP526" s="166">
        <v>0</v>
      </c>
      <c r="BQ526" s="81" t="s">
        <v>1757</v>
      </c>
      <c r="BR526" s="81" t="s">
        <v>242</v>
      </c>
      <c r="BZ526" s="81" t="s">
        <v>155</v>
      </c>
      <c r="CA526" s="81" t="s">
        <v>3981</v>
      </c>
      <c r="CC526" s="167">
        <v>0</v>
      </c>
      <c r="CD526" s="167">
        <f>$N526/2</f>
        <v>0</v>
      </c>
      <c r="CE526" s="167">
        <f>$N526/2</f>
        <v>0</v>
      </c>
      <c r="CF526" s="167">
        <v>0</v>
      </c>
      <c r="CG526" s="167">
        <v>0</v>
      </c>
      <c r="CH526" s="167">
        <v>0</v>
      </c>
      <c r="CI526" s="167">
        <v>0</v>
      </c>
      <c r="CJ526" s="167">
        <v>0</v>
      </c>
      <c r="CK526" s="167">
        <v>0</v>
      </c>
      <c r="CL526" s="167">
        <v>0</v>
      </c>
      <c r="CM526" s="167">
        <v>0</v>
      </c>
      <c r="CN526" s="167">
        <v>0</v>
      </c>
      <c r="CO526" s="167">
        <v>0</v>
      </c>
      <c r="CP526" s="167">
        <v>0</v>
      </c>
      <c r="CQ526" s="167">
        <v>0</v>
      </c>
      <c r="CR526" s="167">
        <v>0</v>
      </c>
      <c r="CS526" s="167">
        <v>0</v>
      </c>
      <c r="CT526" s="167">
        <v>0</v>
      </c>
      <c r="CU526" s="167">
        <v>0</v>
      </c>
      <c r="CV526" s="167">
        <v>0</v>
      </c>
      <c r="CW526" s="167">
        <v>0</v>
      </c>
      <c r="CX526" s="167">
        <f>SUM(CD526:CH526)</f>
        <v>0</v>
      </c>
      <c r="CY526" s="167">
        <f>SUM(CD526:CM526)</f>
        <v>0</v>
      </c>
    </row>
    <row r="527" spans="1:103" ht="12.75" customHeight="1" x14ac:dyDescent="0.2">
      <c r="A527" s="81">
        <v>5701</v>
      </c>
      <c r="B527" s="165" t="s">
        <v>1908</v>
      </c>
      <c r="C527" s="165" t="s">
        <v>87</v>
      </c>
      <c r="E527" s="165" t="s">
        <v>3566</v>
      </c>
      <c r="G527" s="81">
        <v>528325</v>
      </c>
      <c r="H527" s="81">
        <v>175700</v>
      </c>
      <c r="I527" s="165" t="s">
        <v>256</v>
      </c>
      <c r="J527" s="349">
        <v>42878</v>
      </c>
      <c r="L527" s="166">
        <v>0</v>
      </c>
      <c r="M527" s="166">
        <v>3</v>
      </c>
      <c r="N527" s="166">
        <v>3</v>
      </c>
      <c r="O527" s="166">
        <v>3</v>
      </c>
      <c r="P527" s="166">
        <v>3</v>
      </c>
      <c r="R527" s="165" t="s">
        <v>1682</v>
      </c>
      <c r="S527" s="81" t="s">
        <v>113</v>
      </c>
      <c r="T527" s="349">
        <v>41855</v>
      </c>
      <c r="U527" s="349">
        <v>41968</v>
      </c>
      <c r="W527" s="81" t="s">
        <v>114</v>
      </c>
      <c r="Y527" s="81" t="s">
        <v>115</v>
      </c>
      <c r="Z527" s="81" t="s">
        <v>398</v>
      </c>
      <c r="AA527" s="81" t="s">
        <v>117</v>
      </c>
      <c r="AB527" s="81" t="s">
        <v>218</v>
      </c>
      <c r="AC527" s="166">
        <v>6.0000000521540598E-3</v>
      </c>
      <c r="AD527" s="349">
        <v>42878</v>
      </c>
      <c r="AE527" s="81" t="s">
        <v>155</v>
      </c>
      <c r="AG527" s="81" t="s">
        <v>238</v>
      </c>
      <c r="AH527" s="81" t="s">
        <v>118</v>
      </c>
      <c r="AK527" s="166">
        <v>0</v>
      </c>
      <c r="AM527" s="166">
        <v>0</v>
      </c>
      <c r="AO527" s="166">
        <v>1</v>
      </c>
      <c r="AP527" s="166">
        <v>0</v>
      </c>
      <c r="AQ527" s="166">
        <v>1</v>
      </c>
      <c r="AR527" s="166">
        <v>0</v>
      </c>
      <c r="AS527" s="166">
        <v>1</v>
      </c>
      <c r="AT527" s="166">
        <v>0</v>
      </c>
      <c r="AU527" s="166">
        <v>0</v>
      </c>
      <c r="AV527" s="166">
        <v>1</v>
      </c>
      <c r="AW527" s="166">
        <v>0</v>
      </c>
      <c r="AX527" s="166">
        <v>1</v>
      </c>
      <c r="AY527" s="166">
        <v>0</v>
      </c>
      <c r="AZ527" s="166">
        <v>1</v>
      </c>
      <c r="BA527" s="166">
        <v>0</v>
      </c>
      <c r="BB527" s="166">
        <v>0</v>
      </c>
      <c r="BC527" s="166">
        <v>0</v>
      </c>
      <c r="BD527" s="166">
        <v>0</v>
      </c>
      <c r="BE527" s="166">
        <v>0</v>
      </c>
      <c r="BF527" s="166">
        <v>0</v>
      </c>
      <c r="BG527" s="166">
        <v>0</v>
      </c>
      <c r="BH527" s="166">
        <v>0</v>
      </c>
      <c r="BI527" s="166">
        <v>0</v>
      </c>
      <c r="BJ527" s="166">
        <v>0</v>
      </c>
      <c r="BK527" s="166">
        <v>0</v>
      </c>
      <c r="BL527" s="166">
        <v>0</v>
      </c>
      <c r="BM527" s="166">
        <v>0</v>
      </c>
      <c r="BN527" s="166">
        <v>0</v>
      </c>
      <c r="BO527" s="166">
        <v>0</v>
      </c>
      <c r="BP527" s="166">
        <v>0</v>
      </c>
      <c r="BQ527" s="81" t="s">
        <v>1757</v>
      </c>
      <c r="BZ527" s="81" t="s">
        <v>155</v>
      </c>
      <c r="CA527" s="81" t="s">
        <v>3980</v>
      </c>
      <c r="CC527" s="167">
        <v>0</v>
      </c>
      <c r="CD527" s="167">
        <f>N527</f>
        <v>3</v>
      </c>
      <c r="CE527" s="167">
        <v>0</v>
      </c>
      <c r="CF527" s="167">
        <v>0</v>
      </c>
      <c r="CG527" s="167">
        <v>0</v>
      </c>
      <c r="CH527" s="167">
        <v>0</v>
      </c>
      <c r="CI527" s="167">
        <v>0</v>
      </c>
      <c r="CJ527" s="167">
        <v>0</v>
      </c>
      <c r="CK527" s="167">
        <v>0</v>
      </c>
      <c r="CL527" s="167">
        <v>0</v>
      </c>
      <c r="CM527" s="167">
        <v>0</v>
      </c>
      <c r="CN527" s="167">
        <v>0</v>
      </c>
      <c r="CO527" s="167">
        <v>0</v>
      </c>
      <c r="CP527" s="167">
        <v>0</v>
      </c>
      <c r="CQ527" s="167">
        <v>0</v>
      </c>
      <c r="CR527" s="167">
        <v>0</v>
      </c>
      <c r="CS527" s="167">
        <v>0</v>
      </c>
      <c r="CT527" s="167">
        <v>0</v>
      </c>
      <c r="CU527" s="167">
        <v>0</v>
      </c>
      <c r="CV527" s="167">
        <v>0</v>
      </c>
      <c r="CW527" s="167">
        <v>0</v>
      </c>
      <c r="CX527" s="167">
        <f>SUM(CD527:CH527)</f>
        <v>3</v>
      </c>
      <c r="CY527" s="167">
        <f>SUM(CD527:CM527)</f>
        <v>3</v>
      </c>
    </row>
    <row r="528" spans="1:103" x14ac:dyDescent="0.2">
      <c r="A528" s="81">
        <v>5703</v>
      </c>
      <c r="B528" s="165" t="s">
        <v>1908</v>
      </c>
      <c r="C528" s="165" t="s">
        <v>26</v>
      </c>
      <c r="E528" s="165" t="s">
        <v>3403</v>
      </c>
      <c r="G528" s="81">
        <v>522881</v>
      </c>
      <c r="H528" s="81">
        <v>175249</v>
      </c>
      <c r="I528" s="165" t="s">
        <v>59</v>
      </c>
      <c r="J528" s="349">
        <v>42825</v>
      </c>
      <c r="L528" s="166">
        <v>1</v>
      </c>
      <c r="M528" s="166">
        <v>1</v>
      </c>
      <c r="N528" s="166">
        <v>0</v>
      </c>
      <c r="O528" s="166">
        <v>1</v>
      </c>
      <c r="P528" s="166">
        <v>0</v>
      </c>
      <c r="R528" s="165" t="s">
        <v>27</v>
      </c>
      <c r="S528" s="81" t="s">
        <v>113</v>
      </c>
      <c r="T528" s="349">
        <v>41897</v>
      </c>
      <c r="U528" s="349">
        <v>41995</v>
      </c>
      <c r="W528" s="81" t="s">
        <v>114</v>
      </c>
      <c r="Y528" s="81" t="s">
        <v>115</v>
      </c>
      <c r="Z528" s="81" t="s">
        <v>116</v>
      </c>
      <c r="AA528" s="81" t="s">
        <v>117</v>
      </c>
      <c r="AB528" s="81" t="s">
        <v>218</v>
      </c>
      <c r="AC528" s="166">
        <v>3.20000015199184E-2</v>
      </c>
      <c r="AD528" s="349">
        <v>42825</v>
      </c>
      <c r="AG528" s="81" t="s">
        <v>238</v>
      </c>
      <c r="AH528" s="81" t="s">
        <v>118</v>
      </c>
      <c r="AK528" s="166">
        <v>0</v>
      </c>
      <c r="AM528" s="166">
        <v>0</v>
      </c>
      <c r="AO528" s="166">
        <v>0</v>
      </c>
      <c r="AP528" s="166">
        <v>0</v>
      </c>
      <c r="AQ528" s="166">
        <v>0</v>
      </c>
      <c r="AR528" s="166">
        <v>-1</v>
      </c>
      <c r="AS528" s="166">
        <v>1</v>
      </c>
      <c r="AT528" s="166">
        <v>0</v>
      </c>
      <c r="AU528" s="166">
        <v>0</v>
      </c>
      <c r="AV528" s="166">
        <v>0</v>
      </c>
      <c r="AW528" s="166">
        <v>0</v>
      </c>
      <c r="AX528" s="166">
        <v>0</v>
      </c>
      <c r="AY528" s="166">
        <v>0</v>
      </c>
      <c r="AZ528" s="166">
        <v>0</v>
      </c>
      <c r="BA528" s="166">
        <v>0</v>
      </c>
      <c r="BB528" s="166">
        <v>0</v>
      </c>
      <c r="BC528" s="166">
        <v>0</v>
      </c>
      <c r="BD528" s="166">
        <v>0</v>
      </c>
      <c r="BE528" s="166">
        <v>0</v>
      </c>
      <c r="BF528" s="166">
        <v>-1</v>
      </c>
      <c r="BG528" s="166">
        <v>1</v>
      </c>
      <c r="BH528" s="166">
        <v>0</v>
      </c>
      <c r="BI528" s="166">
        <v>0</v>
      </c>
      <c r="BJ528" s="166">
        <v>0</v>
      </c>
      <c r="BK528" s="166">
        <v>0</v>
      </c>
      <c r="BL528" s="166">
        <v>0</v>
      </c>
      <c r="BM528" s="166">
        <v>0</v>
      </c>
      <c r="BN528" s="166">
        <v>0</v>
      </c>
      <c r="BO528" s="166">
        <v>0</v>
      </c>
      <c r="BP528" s="166">
        <v>0</v>
      </c>
      <c r="BQ528" s="81" t="s">
        <v>1758</v>
      </c>
      <c r="BZ528" s="81" t="s">
        <v>155</v>
      </c>
      <c r="CA528" s="81" t="s">
        <v>3976</v>
      </c>
      <c r="CC528" s="167">
        <v>0</v>
      </c>
      <c r="CD528" s="167">
        <f>N528</f>
        <v>0</v>
      </c>
      <c r="CE528" s="167">
        <v>0</v>
      </c>
      <c r="CF528" s="167">
        <v>0</v>
      </c>
      <c r="CG528" s="167">
        <v>0</v>
      </c>
      <c r="CH528" s="167">
        <v>0</v>
      </c>
      <c r="CI528" s="167">
        <v>0</v>
      </c>
      <c r="CJ528" s="167">
        <v>0</v>
      </c>
      <c r="CK528" s="167">
        <v>0</v>
      </c>
      <c r="CL528" s="167">
        <v>0</v>
      </c>
      <c r="CM528" s="167">
        <v>0</v>
      </c>
      <c r="CN528" s="167">
        <v>0</v>
      </c>
      <c r="CO528" s="167">
        <v>0</v>
      </c>
      <c r="CP528" s="167">
        <v>0</v>
      </c>
      <c r="CQ528" s="167">
        <v>0</v>
      </c>
      <c r="CR528" s="167">
        <v>0</v>
      </c>
      <c r="CS528" s="167">
        <v>0</v>
      </c>
      <c r="CT528" s="167">
        <v>0</v>
      </c>
      <c r="CU528" s="167">
        <v>0</v>
      </c>
      <c r="CV528" s="167">
        <v>0</v>
      </c>
      <c r="CW528" s="167">
        <v>0</v>
      </c>
      <c r="CX528" s="167">
        <f>SUM(CD528:CH528)</f>
        <v>0</v>
      </c>
      <c r="CY528" s="167">
        <f>SUM(CD528:CM528)</f>
        <v>0</v>
      </c>
    </row>
    <row r="529" spans="1:103" ht="12.75" customHeight="1" x14ac:dyDescent="0.2">
      <c r="A529" s="81">
        <v>5717</v>
      </c>
      <c r="B529" s="165" t="s">
        <v>1908</v>
      </c>
      <c r="C529" s="165" t="s">
        <v>344</v>
      </c>
      <c r="E529" s="165" t="s">
        <v>3404</v>
      </c>
      <c r="G529" s="81">
        <v>529218</v>
      </c>
      <c r="H529" s="81">
        <v>172611</v>
      </c>
      <c r="I529" s="165" t="s">
        <v>248</v>
      </c>
      <c r="J529" s="349">
        <v>42826</v>
      </c>
      <c r="L529" s="166">
        <v>0</v>
      </c>
      <c r="M529" s="166">
        <v>1</v>
      </c>
      <c r="N529" s="166">
        <v>1</v>
      </c>
      <c r="O529" s="166">
        <v>1</v>
      </c>
      <c r="P529" s="166">
        <v>1</v>
      </c>
      <c r="R529" s="165" t="s">
        <v>234</v>
      </c>
      <c r="S529" s="81" t="s">
        <v>113</v>
      </c>
      <c r="T529" s="349">
        <v>41990</v>
      </c>
      <c r="U529" s="349">
        <v>42048</v>
      </c>
      <c r="W529" s="81" t="s">
        <v>114</v>
      </c>
      <c r="Y529" s="81" t="s">
        <v>115</v>
      </c>
      <c r="Z529" s="81" t="s">
        <v>116</v>
      </c>
      <c r="AA529" s="81" t="s">
        <v>117</v>
      </c>
      <c r="AB529" s="81" t="s">
        <v>218</v>
      </c>
      <c r="AC529" s="166">
        <v>3.0000000260770299E-3</v>
      </c>
      <c r="AD529" s="349">
        <v>42826</v>
      </c>
      <c r="AE529" s="81" t="s">
        <v>155</v>
      </c>
      <c r="AG529" s="81" t="s">
        <v>238</v>
      </c>
      <c r="AH529" s="81" t="s">
        <v>118</v>
      </c>
      <c r="AK529" s="166">
        <v>0</v>
      </c>
      <c r="AM529" s="166">
        <v>0</v>
      </c>
      <c r="AO529" s="166">
        <v>0</v>
      </c>
      <c r="AP529" s="166">
        <v>0</v>
      </c>
      <c r="AQ529" s="166">
        <v>1</v>
      </c>
      <c r="AR529" s="166">
        <v>0</v>
      </c>
      <c r="AS529" s="166">
        <v>0</v>
      </c>
      <c r="AT529" s="166">
        <v>0</v>
      </c>
      <c r="AU529" s="166">
        <v>0</v>
      </c>
      <c r="AV529" s="166">
        <v>0</v>
      </c>
      <c r="AW529" s="166">
        <v>0</v>
      </c>
      <c r="AX529" s="166">
        <v>0</v>
      </c>
      <c r="AY529" s="166">
        <v>0</v>
      </c>
      <c r="AZ529" s="166">
        <v>0</v>
      </c>
      <c r="BA529" s="166">
        <v>0</v>
      </c>
      <c r="BB529" s="166">
        <v>0</v>
      </c>
      <c r="BC529" s="166">
        <v>0</v>
      </c>
      <c r="BD529" s="166">
        <v>0</v>
      </c>
      <c r="BE529" s="166">
        <v>1</v>
      </c>
      <c r="BF529" s="166">
        <v>0</v>
      </c>
      <c r="BG529" s="166">
        <v>0</v>
      </c>
      <c r="BH529" s="166">
        <v>0</v>
      </c>
      <c r="BI529" s="166">
        <v>0</v>
      </c>
      <c r="BJ529" s="166">
        <v>0</v>
      </c>
      <c r="BK529" s="166">
        <v>0</v>
      </c>
      <c r="BL529" s="166">
        <v>0</v>
      </c>
      <c r="BM529" s="166">
        <v>0</v>
      </c>
      <c r="BN529" s="166">
        <v>0</v>
      </c>
      <c r="BO529" s="166">
        <v>0</v>
      </c>
      <c r="BP529" s="166">
        <v>0</v>
      </c>
      <c r="BQ529" s="81" t="s">
        <v>1757</v>
      </c>
      <c r="BZ529" s="81" t="s">
        <v>155</v>
      </c>
      <c r="CA529" s="81" t="s">
        <v>3976</v>
      </c>
      <c r="CC529" s="167">
        <v>0</v>
      </c>
      <c r="CD529" s="167">
        <f>N529</f>
        <v>1</v>
      </c>
      <c r="CE529" s="167">
        <v>0</v>
      </c>
      <c r="CF529" s="167">
        <v>0</v>
      </c>
      <c r="CG529" s="167">
        <v>0</v>
      </c>
      <c r="CH529" s="167">
        <v>0</v>
      </c>
      <c r="CI529" s="167">
        <v>0</v>
      </c>
      <c r="CJ529" s="167">
        <v>0</v>
      </c>
      <c r="CK529" s="167">
        <v>0</v>
      </c>
      <c r="CL529" s="167">
        <v>0</v>
      </c>
      <c r="CM529" s="167">
        <v>0</v>
      </c>
      <c r="CN529" s="167">
        <v>0</v>
      </c>
      <c r="CO529" s="167">
        <v>0</v>
      </c>
      <c r="CP529" s="167">
        <v>0</v>
      </c>
      <c r="CQ529" s="167">
        <v>0</v>
      </c>
      <c r="CR529" s="167">
        <v>0</v>
      </c>
      <c r="CS529" s="167">
        <v>0</v>
      </c>
      <c r="CT529" s="167">
        <v>0</v>
      </c>
      <c r="CU529" s="167">
        <v>0</v>
      </c>
      <c r="CV529" s="167">
        <v>0</v>
      </c>
      <c r="CW529" s="167">
        <v>0</v>
      </c>
      <c r="CX529" s="167">
        <f>SUM(CD529:CH529)</f>
        <v>1</v>
      </c>
      <c r="CY529" s="167">
        <f>SUM(CD529:CM529)</f>
        <v>1</v>
      </c>
    </row>
    <row r="530" spans="1:103" ht="12.75" customHeight="1" x14ac:dyDescent="0.2">
      <c r="A530" s="81">
        <v>5723</v>
      </c>
      <c r="B530" s="165" t="s">
        <v>1908</v>
      </c>
      <c r="C530" s="165" t="s">
        <v>156</v>
      </c>
      <c r="E530" s="165" t="s">
        <v>3405</v>
      </c>
      <c r="G530" s="81">
        <v>522904</v>
      </c>
      <c r="H530" s="81">
        <v>174633</v>
      </c>
      <c r="I530" s="165" t="s">
        <v>59</v>
      </c>
      <c r="J530" s="349">
        <v>42398</v>
      </c>
      <c r="L530" s="166">
        <v>1</v>
      </c>
      <c r="M530" s="166">
        <v>1</v>
      </c>
      <c r="N530" s="166">
        <v>0</v>
      </c>
      <c r="O530" s="166">
        <v>1</v>
      </c>
      <c r="P530" s="166">
        <v>0</v>
      </c>
      <c r="R530" s="165" t="s">
        <v>308</v>
      </c>
      <c r="S530" s="81" t="s">
        <v>113</v>
      </c>
      <c r="T530" s="349">
        <v>41890</v>
      </c>
      <c r="U530" s="349">
        <v>42025</v>
      </c>
      <c r="W530" s="81" t="s">
        <v>114</v>
      </c>
      <c r="Y530" s="81" t="s">
        <v>115</v>
      </c>
      <c r="Z530" s="81" t="s">
        <v>116</v>
      </c>
      <c r="AA530" s="81" t="s">
        <v>117</v>
      </c>
      <c r="AB530" s="81" t="s">
        <v>218</v>
      </c>
      <c r="AC530" s="166">
        <v>5.0000000745058101E-2</v>
      </c>
      <c r="AD530" s="349">
        <v>42398</v>
      </c>
      <c r="AG530" s="81" t="s">
        <v>238</v>
      </c>
      <c r="AH530" s="81" t="s">
        <v>118</v>
      </c>
      <c r="AK530" s="166">
        <v>0</v>
      </c>
      <c r="AM530" s="166">
        <v>0</v>
      </c>
      <c r="AO530" s="166">
        <v>0</v>
      </c>
      <c r="AP530" s="166">
        <v>0</v>
      </c>
      <c r="AQ530" s="166">
        <v>0</v>
      </c>
      <c r="AR530" s="166">
        <v>-1</v>
      </c>
      <c r="AS530" s="166">
        <v>0</v>
      </c>
      <c r="AT530" s="166">
        <v>1</v>
      </c>
      <c r="AU530" s="166">
        <v>0</v>
      </c>
      <c r="AV530" s="166">
        <v>0</v>
      </c>
      <c r="AW530" s="166">
        <v>0</v>
      </c>
      <c r="AX530" s="166">
        <v>0</v>
      </c>
      <c r="AY530" s="166">
        <v>0</v>
      </c>
      <c r="AZ530" s="166">
        <v>0</v>
      </c>
      <c r="BA530" s="166">
        <v>0</v>
      </c>
      <c r="BB530" s="166">
        <v>0</v>
      </c>
      <c r="BC530" s="166">
        <v>0</v>
      </c>
      <c r="BD530" s="166">
        <v>0</v>
      </c>
      <c r="BE530" s="166">
        <v>0</v>
      </c>
      <c r="BF530" s="166">
        <v>-1</v>
      </c>
      <c r="BG530" s="166">
        <v>0</v>
      </c>
      <c r="BH530" s="166">
        <v>1</v>
      </c>
      <c r="BI530" s="166">
        <v>0</v>
      </c>
      <c r="BJ530" s="166">
        <v>0</v>
      </c>
      <c r="BK530" s="166">
        <v>0</v>
      </c>
      <c r="BL530" s="166">
        <v>0</v>
      </c>
      <c r="BM530" s="166">
        <v>0</v>
      </c>
      <c r="BN530" s="166">
        <v>0</v>
      </c>
      <c r="BO530" s="166">
        <v>0</v>
      </c>
      <c r="BP530" s="166">
        <v>0</v>
      </c>
      <c r="BQ530" s="81" t="s">
        <v>1758</v>
      </c>
      <c r="BZ530" s="81" t="s">
        <v>155</v>
      </c>
      <c r="CA530" s="81" t="s">
        <v>3976</v>
      </c>
      <c r="CC530" s="167">
        <v>0</v>
      </c>
      <c r="CD530" s="167">
        <f>N530</f>
        <v>0</v>
      </c>
      <c r="CE530" s="167">
        <v>0</v>
      </c>
      <c r="CF530" s="167">
        <v>0</v>
      </c>
      <c r="CG530" s="167">
        <v>0</v>
      </c>
      <c r="CH530" s="167">
        <v>0</v>
      </c>
      <c r="CI530" s="167">
        <v>0</v>
      </c>
      <c r="CJ530" s="167">
        <v>0</v>
      </c>
      <c r="CK530" s="167">
        <v>0</v>
      </c>
      <c r="CL530" s="167">
        <v>0</v>
      </c>
      <c r="CM530" s="167">
        <v>0</v>
      </c>
      <c r="CN530" s="167">
        <v>0</v>
      </c>
      <c r="CO530" s="167">
        <v>0</v>
      </c>
      <c r="CP530" s="167">
        <v>0</v>
      </c>
      <c r="CQ530" s="167">
        <v>0</v>
      </c>
      <c r="CR530" s="167">
        <v>0</v>
      </c>
      <c r="CS530" s="167">
        <v>0</v>
      </c>
      <c r="CT530" s="167">
        <v>0</v>
      </c>
      <c r="CU530" s="167">
        <v>0</v>
      </c>
      <c r="CV530" s="167">
        <v>0</v>
      </c>
      <c r="CW530" s="167">
        <v>0</v>
      </c>
      <c r="CX530" s="167">
        <f>SUM(CD530:CH530)</f>
        <v>0</v>
      </c>
      <c r="CY530" s="167">
        <f>SUM(CD530:CM530)</f>
        <v>0</v>
      </c>
    </row>
    <row r="531" spans="1:103" ht="12.75" customHeight="1" x14ac:dyDescent="0.2">
      <c r="A531" s="81">
        <v>5740</v>
      </c>
      <c r="B531" s="165" t="s">
        <v>1908</v>
      </c>
      <c r="C531" s="165" t="s">
        <v>389</v>
      </c>
      <c r="E531" s="165" t="s">
        <v>3406</v>
      </c>
      <c r="G531" s="81">
        <v>527507</v>
      </c>
      <c r="H531" s="81">
        <v>171899</v>
      </c>
      <c r="I531" s="165" t="s">
        <v>242</v>
      </c>
      <c r="J531" s="349">
        <v>42094</v>
      </c>
      <c r="L531" s="166">
        <v>0</v>
      </c>
      <c r="M531" s="166">
        <v>1</v>
      </c>
      <c r="N531" s="166">
        <v>1</v>
      </c>
      <c r="O531" s="166">
        <v>1</v>
      </c>
      <c r="P531" s="166">
        <v>1</v>
      </c>
      <c r="R531" s="165" t="s">
        <v>390</v>
      </c>
      <c r="S531" s="81" t="s">
        <v>113</v>
      </c>
      <c r="T531" s="349">
        <v>41913</v>
      </c>
      <c r="U531" s="349">
        <v>41990</v>
      </c>
      <c r="W531" s="81" t="s">
        <v>114</v>
      </c>
      <c r="Y531" s="81" t="s">
        <v>115</v>
      </c>
      <c r="Z531" s="81" t="s">
        <v>116</v>
      </c>
      <c r="AA531" s="81" t="s">
        <v>117</v>
      </c>
      <c r="AB531" s="81" t="s">
        <v>218</v>
      </c>
      <c r="AC531" s="166">
        <v>4.9999998882412902E-3</v>
      </c>
      <c r="AD531" s="349">
        <v>42094</v>
      </c>
      <c r="AG531" s="81" t="s">
        <v>238</v>
      </c>
      <c r="AH531" s="81" t="s">
        <v>118</v>
      </c>
      <c r="AK531" s="166">
        <v>0</v>
      </c>
      <c r="AM531" s="166">
        <v>0</v>
      </c>
      <c r="AO531" s="166">
        <v>0</v>
      </c>
      <c r="AP531" s="166">
        <v>0</v>
      </c>
      <c r="AQ531" s="166">
        <v>0</v>
      </c>
      <c r="AR531" s="166">
        <v>1</v>
      </c>
      <c r="AS531" s="166">
        <v>0</v>
      </c>
      <c r="AT531" s="166">
        <v>0</v>
      </c>
      <c r="AU531" s="166">
        <v>0</v>
      </c>
      <c r="AV531" s="166">
        <v>0</v>
      </c>
      <c r="AW531" s="166">
        <v>0</v>
      </c>
      <c r="AX531" s="166">
        <v>0</v>
      </c>
      <c r="AY531" s="166">
        <v>0</v>
      </c>
      <c r="AZ531" s="166">
        <v>0</v>
      </c>
      <c r="BA531" s="166">
        <v>0</v>
      </c>
      <c r="BB531" s="166">
        <v>0</v>
      </c>
      <c r="BC531" s="166">
        <v>0</v>
      </c>
      <c r="BD531" s="166">
        <v>0</v>
      </c>
      <c r="BE531" s="166">
        <v>0</v>
      </c>
      <c r="BF531" s="166">
        <v>1</v>
      </c>
      <c r="BG531" s="166">
        <v>0</v>
      </c>
      <c r="BH531" s="166">
        <v>0</v>
      </c>
      <c r="BI531" s="166">
        <v>0</v>
      </c>
      <c r="BJ531" s="166">
        <v>0</v>
      </c>
      <c r="BK531" s="166">
        <v>0</v>
      </c>
      <c r="BL531" s="166">
        <v>0</v>
      </c>
      <c r="BM531" s="166">
        <v>0</v>
      </c>
      <c r="BN531" s="166">
        <v>0</v>
      </c>
      <c r="BO531" s="166">
        <v>0</v>
      </c>
      <c r="BP531" s="166">
        <v>0</v>
      </c>
      <c r="BQ531" s="81" t="s">
        <v>1757</v>
      </c>
      <c r="BZ531" s="81" t="s">
        <v>155</v>
      </c>
      <c r="CA531" s="81" t="s">
        <v>3976</v>
      </c>
      <c r="CC531" s="167">
        <v>0</v>
      </c>
      <c r="CD531" s="167">
        <f>N531</f>
        <v>1</v>
      </c>
      <c r="CE531" s="167">
        <v>0</v>
      </c>
      <c r="CF531" s="167">
        <v>0</v>
      </c>
      <c r="CG531" s="167">
        <v>0</v>
      </c>
      <c r="CH531" s="167">
        <v>0</v>
      </c>
      <c r="CI531" s="167">
        <v>0</v>
      </c>
      <c r="CJ531" s="167">
        <v>0</v>
      </c>
      <c r="CK531" s="167">
        <v>0</v>
      </c>
      <c r="CL531" s="167">
        <v>0</v>
      </c>
      <c r="CM531" s="167">
        <v>0</v>
      </c>
      <c r="CN531" s="167">
        <v>0</v>
      </c>
      <c r="CO531" s="167">
        <v>0</v>
      </c>
      <c r="CP531" s="167">
        <v>0</v>
      </c>
      <c r="CQ531" s="167">
        <v>0</v>
      </c>
      <c r="CR531" s="167">
        <v>0</v>
      </c>
      <c r="CS531" s="167">
        <v>0</v>
      </c>
      <c r="CT531" s="167">
        <v>0</v>
      </c>
      <c r="CU531" s="167">
        <v>0</v>
      </c>
      <c r="CV531" s="167">
        <v>0</v>
      </c>
      <c r="CW531" s="167">
        <v>0</v>
      </c>
      <c r="CX531" s="167">
        <f>SUM(CD531:CH531)</f>
        <v>1</v>
      </c>
      <c r="CY531" s="167">
        <f>SUM(CD531:CM531)</f>
        <v>1</v>
      </c>
    </row>
    <row r="532" spans="1:103" ht="12.75" customHeight="1" x14ac:dyDescent="0.2">
      <c r="A532" s="81">
        <v>5751</v>
      </c>
      <c r="B532" s="165" t="s">
        <v>1908</v>
      </c>
      <c r="C532" s="165" t="s">
        <v>93</v>
      </c>
      <c r="E532" s="165" t="s">
        <v>3573</v>
      </c>
      <c r="G532" s="81">
        <v>528740</v>
      </c>
      <c r="H532" s="81">
        <v>173517</v>
      </c>
      <c r="I532" s="165" t="s">
        <v>247</v>
      </c>
      <c r="J532" s="349">
        <v>42249</v>
      </c>
      <c r="L532" s="166">
        <v>2</v>
      </c>
      <c r="M532" s="166">
        <v>1</v>
      </c>
      <c r="N532" s="166">
        <v>-1</v>
      </c>
      <c r="O532" s="166">
        <v>1</v>
      </c>
      <c r="P532" s="166">
        <v>-1</v>
      </c>
      <c r="R532" s="165" t="s">
        <v>94</v>
      </c>
      <c r="S532" s="81" t="s">
        <v>113</v>
      </c>
      <c r="T532" s="349">
        <v>41919</v>
      </c>
      <c r="U532" s="349">
        <v>41992</v>
      </c>
      <c r="W532" s="81" t="s">
        <v>114</v>
      </c>
      <c r="Y532" s="81" t="s">
        <v>115</v>
      </c>
      <c r="Z532" s="81" t="s">
        <v>398</v>
      </c>
      <c r="AA532" s="81" t="s">
        <v>117</v>
      </c>
      <c r="AB532" s="81" t="s">
        <v>336</v>
      </c>
      <c r="AC532" s="166">
        <v>2.8000000864267301E-2</v>
      </c>
      <c r="AD532" s="349">
        <v>42249</v>
      </c>
      <c r="AG532" s="81" t="s">
        <v>238</v>
      </c>
      <c r="AH532" s="81" t="s">
        <v>118</v>
      </c>
      <c r="AK532" s="166">
        <v>0</v>
      </c>
      <c r="AM532" s="166">
        <v>0</v>
      </c>
      <c r="AO532" s="166">
        <v>0</v>
      </c>
      <c r="AP532" s="166">
        <v>-1</v>
      </c>
      <c r="AQ532" s="166">
        <v>-1</v>
      </c>
      <c r="AR532" s="166">
        <v>0</v>
      </c>
      <c r="AS532" s="166">
        <v>1</v>
      </c>
      <c r="AT532" s="166">
        <v>0</v>
      </c>
      <c r="AU532" s="166">
        <v>0</v>
      </c>
      <c r="AV532" s="166">
        <v>0</v>
      </c>
      <c r="AW532" s="166">
        <v>-1</v>
      </c>
      <c r="AX532" s="166">
        <v>-1</v>
      </c>
      <c r="AY532" s="166">
        <v>0</v>
      </c>
      <c r="AZ532" s="166">
        <v>0</v>
      </c>
      <c r="BA532" s="166">
        <v>0</v>
      </c>
      <c r="BB532" s="166">
        <v>0</v>
      </c>
      <c r="BC532" s="166">
        <v>0</v>
      </c>
      <c r="BD532" s="166">
        <v>0</v>
      </c>
      <c r="BE532" s="166">
        <v>0</v>
      </c>
      <c r="BF532" s="166">
        <v>0</v>
      </c>
      <c r="BG532" s="166">
        <v>1</v>
      </c>
      <c r="BH532" s="166">
        <v>0</v>
      </c>
      <c r="BI532" s="166">
        <v>0</v>
      </c>
      <c r="BJ532" s="166">
        <v>0</v>
      </c>
      <c r="BK532" s="166">
        <v>0</v>
      </c>
      <c r="BL532" s="166">
        <v>0</v>
      </c>
      <c r="BM532" s="166">
        <v>0</v>
      </c>
      <c r="BN532" s="166">
        <v>0</v>
      </c>
      <c r="BO532" s="166">
        <v>0</v>
      </c>
      <c r="BP532" s="166">
        <v>0</v>
      </c>
      <c r="BQ532" s="81" t="s">
        <v>1757</v>
      </c>
      <c r="BZ532" s="81" t="s">
        <v>155</v>
      </c>
      <c r="CA532" s="81" t="s">
        <v>3980</v>
      </c>
      <c r="CC532" s="167">
        <v>0</v>
      </c>
      <c r="CD532" s="167">
        <f>N532</f>
        <v>-1</v>
      </c>
      <c r="CE532" s="167">
        <v>0</v>
      </c>
      <c r="CF532" s="167">
        <v>0</v>
      </c>
      <c r="CG532" s="167">
        <v>0</v>
      </c>
      <c r="CH532" s="167">
        <v>0</v>
      </c>
      <c r="CI532" s="167">
        <v>0</v>
      </c>
      <c r="CJ532" s="167">
        <v>0</v>
      </c>
      <c r="CK532" s="167">
        <v>0</v>
      </c>
      <c r="CL532" s="167">
        <v>0</v>
      </c>
      <c r="CM532" s="167">
        <v>0</v>
      </c>
      <c r="CN532" s="167">
        <v>0</v>
      </c>
      <c r="CO532" s="167">
        <v>0</v>
      </c>
      <c r="CP532" s="167">
        <v>0</v>
      </c>
      <c r="CQ532" s="167">
        <v>0</v>
      </c>
      <c r="CR532" s="167">
        <v>0</v>
      </c>
      <c r="CS532" s="167">
        <v>0</v>
      </c>
      <c r="CT532" s="167">
        <v>0</v>
      </c>
      <c r="CU532" s="167">
        <v>0</v>
      </c>
      <c r="CV532" s="167">
        <v>0</v>
      </c>
      <c r="CW532" s="167">
        <v>0</v>
      </c>
      <c r="CX532" s="167">
        <f>SUM(CD532:CH532)</f>
        <v>-1</v>
      </c>
      <c r="CY532" s="167">
        <f>SUM(CD532:CM532)</f>
        <v>-1</v>
      </c>
    </row>
    <row r="533" spans="1:103" ht="12.75" customHeight="1" x14ac:dyDescent="0.2">
      <c r="A533" s="81">
        <v>5767</v>
      </c>
      <c r="B533" s="165" t="s">
        <v>1908</v>
      </c>
      <c r="C533" s="165" t="s">
        <v>375</v>
      </c>
      <c r="E533" s="165" t="s">
        <v>3377</v>
      </c>
      <c r="G533" s="81">
        <v>526797</v>
      </c>
      <c r="H533" s="81">
        <v>176325</v>
      </c>
      <c r="I533" s="165" t="s">
        <v>257</v>
      </c>
      <c r="J533" s="349">
        <v>42937</v>
      </c>
      <c r="L533" s="166">
        <v>0</v>
      </c>
      <c r="M533" s="166">
        <v>22</v>
      </c>
      <c r="N533" s="166">
        <v>22</v>
      </c>
      <c r="O533" s="166">
        <v>33</v>
      </c>
      <c r="P533" s="166">
        <v>33</v>
      </c>
      <c r="Q533" s="81" t="s">
        <v>155</v>
      </c>
      <c r="R533" s="165" t="s">
        <v>1683</v>
      </c>
      <c r="S533" s="81" t="s">
        <v>104</v>
      </c>
      <c r="T533" s="349">
        <v>41898</v>
      </c>
      <c r="U533" s="349">
        <v>42376</v>
      </c>
      <c r="W533" s="81" t="s">
        <v>114</v>
      </c>
      <c r="Y533" s="81" t="s">
        <v>115</v>
      </c>
      <c r="Z533" s="81" t="s">
        <v>398</v>
      </c>
      <c r="AA533" s="81" t="s">
        <v>116</v>
      </c>
      <c r="AB533" s="81" t="s">
        <v>117</v>
      </c>
      <c r="AC533" s="166">
        <v>1.2000000104308101E-2</v>
      </c>
      <c r="AD533" s="349">
        <v>42937</v>
      </c>
      <c r="AE533" s="81" t="s">
        <v>155</v>
      </c>
      <c r="AG533" s="81" t="s">
        <v>238</v>
      </c>
      <c r="AH533" s="81" t="s">
        <v>118</v>
      </c>
      <c r="AK533" s="166">
        <v>25</v>
      </c>
      <c r="AM533" s="166">
        <v>2</v>
      </c>
      <c r="AO533" s="166">
        <v>0</v>
      </c>
      <c r="AP533" s="166">
        <v>5</v>
      </c>
      <c r="AQ533" s="166">
        <v>15</v>
      </c>
      <c r="AR533" s="166">
        <v>2</v>
      </c>
      <c r="AS533" s="166">
        <v>0</v>
      </c>
      <c r="AT533" s="166">
        <v>0</v>
      </c>
      <c r="AU533" s="166">
        <v>0</v>
      </c>
      <c r="AV533" s="166">
        <v>0</v>
      </c>
      <c r="AW533" s="166">
        <v>5</v>
      </c>
      <c r="AX533" s="166">
        <v>15</v>
      </c>
      <c r="AY533" s="166">
        <v>2</v>
      </c>
      <c r="AZ533" s="166">
        <v>0</v>
      </c>
      <c r="BA533" s="166">
        <v>0</v>
      </c>
      <c r="BB533" s="166">
        <v>0</v>
      </c>
      <c r="BC533" s="166">
        <v>0</v>
      </c>
      <c r="BD533" s="166">
        <v>0</v>
      </c>
      <c r="BE533" s="166">
        <v>0</v>
      </c>
      <c r="BF533" s="166">
        <v>0</v>
      </c>
      <c r="BG533" s="166">
        <v>0</v>
      </c>
      <c r="BH533" s="166">
        <v>0</v>
      </c>
      <c r="BI533" s="166">
        <v>0</v>
      </c>
      <c r="BJ533" s="166">
        <v>0</v>
      </c>
      <c r="BK533" s="166">
        <v>0</v>
      </c>
      <c r="BL533" s="166">
        <v>0</v>
      </c>
      <c r="BM533" s="166">
        <v>0</v>
      </c>
      <c r="BN533" s="166">
        <v>0</v>
      </c>
      <c r="BO533" s="166">
        <v>0</v>
      </c>
      <c r="BP533" s="166">
        <v>0</v>
      </c>
      <c r="BQ533" s="81" t="s">
        <v>1757</v>
      </c>
      <c r="BZ533" s="81" t="s">
        <v>155</v>
      </c>
      <c r="CA533" s="81" t="s">
        <v>3934</v>
      </c>
      <c r="CC533" s="167">
        <v>0</v>
      </c>
      <c r="CD533" s="167">
        <v>0</v>
      </c>
      <c r="CE533" s="167">
        <f>N533</f>
        <v>22</v>
      </c>
      <c r="CF533" s="167">
        <v>0</v>
      </c>
      <c r="CG533" s="167">
        <v>0</v>
      </c>
      <c r="CH533" s="167">
        <v>0</v>
      </c>
      <c r="CI533" s="167">
        <v>0</v>
      </c>
      <c r="CJ533" s="167">
        <v>0</v>
      </c>
      <c r="CK533" s="167">
        <v>0</v>
      </c>
      <c r="CL533" s="167">
        <v>0</v>
      </c>
      <c r="CM533" s="167">
        <v>0</v>
      </c>
      <c r="CN533" s="167">
        <v>0</v>
      </c>
      <c r="CO533" s="167">
        <v>0</v>
      </c>
      <c r="CP533" s="167">
        <v>0</v>
      </c>
      <c r="CQ533" s="167">
        <v>0</v>
      </c>
      <c r="CR533" s="167">
        <v>0</v>
      </c>
      <c r="CS533" s="167">
        <v>0</v>
      </c>
      <c r="CT533" s="167">
        <v>0</v>
      </c>
      <c r="CU533" s="167">
        <v>0</v>
      </c>
      <c r="CV533" s="167">
        <v>0</v>
      </c>
      <c r="CW533" s="167">
        <v>0</v>
      </c>
      <c r="CX533" s="167">
        <f>SUM(CD533:CH533)</f>
        <v>22</v>
      </c>
      <c r="CY533" s="167">
        <f>SUM(CD533:CM533)</f>
        <v>22</v>
      </c>
    </row>
    <row r="534" spans="1:103" ht="12.75" customHeight="1" x14ac:dyDescent="0.2">
      <c r="A534" s="81">
        <v>5767</v>
      </c>
      <c r="B534" s="165" t="s">
        <v>1908</v>
      </c>
      <c r="C534" s="165" t="s">
        <v>375</v>
      </c>
      <c r="E534" s="165" t="s">
        <v>3377</v>
      </c>
      <c r="G534" s="81">
        <v>526797</v>
      </c>
      <c r="H534" s="81">
        <v>176325</v>
      </c>
      <c r="I534" s="165" t="s">
        <v>257</v>
      </c>
      <c r="J534" s="349">
        <v>42937</v>
      </c>
      <c r="L534" s="166">
        <v>0</v>
      </c>
      <c r="M534" s="166">
        <v>11</v>
      </c>
      <c r="N534" s="166">
        <v>11</v>
      </c>
      <c r="O534" s="166">
        <v>33</v>
      </c>
      <c r="P534" s="166">
        <v>33</v>
      </c>
      <c r="Q534" s="81" t="s">
        <v>155</v>
      </c>
      <c r="R534" s="165" t="s">
        <v>1683</v>
      </c>
      <c r="S534" s="81" t="s">
        <v>104</v>
      </c>
      <c r="T534" s="349">
        <v>41898</v>
      </c>
      <c r="U534" s="349">
        <v>42376</v>
      </c>
      <c r="W534" s="81" t="s">
        <v>114</v>
      </c>
      <c r="Y534" s="81" t="s">
        <v>115</v>
      </c>
      <c r="Z534" s="81" t="s">
        <v>398</v>
      </c>
      <c r="AA534" s="81" t="s">
        <v>117</v>
      </c>
      <c r="AB534" s="81" t="s">
        <v>218</v>
      </c>
      <c r="AC534" s="166">
        <v>9.9999997764825804E-3</v>
      </c>
      <c r="AD534" s="349">
        <v>42937</v>
      </c>
      <c r="AE534" s="81" t="s">
        <v>155</v>
      </c>
      <c r="AG534" s="81" t="s">
        <v>74</v>
      </c>
      <c r="AH534" s="81" t="s">
        <v>1913</v>
      </c>
      <c r="AK534" s="166">
        <v>11</v>
      </c>
      <c r="AM534" s="166">
        <v>1</v>
      </c>
      <c r="AO534" s="166">
        <v>0</v>
      </c>
      <c r="AP534" s="166">
        <v>4</v>
      </c>
      <c r="AQ534" s="166">
        <v>6</v>
      </c>
      <c r="AR534" s="166">
        <v>1</v>
      </c>
      <c r="AS534" s="166">
        <v>0</v>
      </c>
      <c r="AT534" s="166">
        <v>0</v>
      </c>
      <c r="AU534" s="166">
        <v>0</v>
      </c>
      <c r="AV534" s="166">
        <v>0</v>
      </c>
      <c r="AW534" s="166">
        <v>4</v>
      </c>
      <c r="AX534" s="166">
        <v>6</v>
      </c>
      <c r="AY534" s="166">
        <v>1</v>
      </c>
      <c r="AZ534" s="166">
        <v>0</v>
      </c>
      <c r="BA534" s="166">
        <v>0</v>
      </c>
      <c r="BB534" s="166">
        <v>0</v>
      </c>
      <c r="BC534" s="166">
        <v>0</v>
      </c>
      <c r="BD534" s="166">
        <v>0</v>
      </c>
      <c r="BE534" s="166">
        <v>0</v>
      </c>
      <c r="BF534" s="166">
        <v>0</v>
      </c>
      <c r="BG534" s="166">
        <v>0</v>
      </c>
      <c r="BH534" s="166">
        <v>0</v>
      </c>
      <c r="BI534" s="166">
        <v>0</v>
      </c>
      <c r="BJ534" s="166">
        <v>0</v>
      </c>
      <c r="BK534" s="166">
        <v>0</v>
      </c>
      <c r="BL534" s="166">
        <v>0</v>
      </c>
      <c r="BM534" s="166">
        <v>0</v>
      </c>
      <c r="BN534" s="166">
        <v>0</v>
      </c>
      <c r="BO534" s="166">
        <v>0</v>
      </c>
      <c r="BP534" s="166">
        <v>0</v>
      </c>
      <c r="BQ534" s="81" t="s">
        <v>1757</v>
      </c>
      <c r="BZ534" s="81" t="s">
        <v>155</v>
      </c>
      <c r="CA534" s="81" t="s">
        <v>3934</v>
      </c>
      <c r="CC534" s="167">
        <v>0</v>
      </c>
      <c r="CD534" s="167">
        <v>0</v>
      </c>
      <c r="CE534" s="167">
        <f>N534</f>
        <v>11</v>
      </c>
      <c r="CF534" s="167">
        <v>0</v>
      </c>
      <c r="CG534" s="167">
        <v>0</v>
      </c>
      <c r="CH534" s="167">
        <v>0</v>
      </c>
      <c r="CI534" s="167">
        <v>0</v>
      </c>
      <c r="CJ534" s="167">
        <v>0</v>
      </c>
      <c r="CK534" s="167">
        <v>0</v>
      </c>
      <c r="CL534" s="167">
        <v>0</v>
      </c>
      <c r="CM534" s="167">
        <v>0</v>
      </c>
      <c r="CN534" s="167">
        <v>0</v>
      </c>
      <c r="CO534" s="167">
        <v>0</v>
      </c>
      <c r="CP534" s="167">
        <v>0</v>
      </c>
      <c r="CQ534" s="167">
        <v>0</v>
      </c>
      <c r="CR534" s="167">
        <v>0</v>
      </c>
      <c r="CS534" s="167">
        <v>0</v>
      </c>
      <c r="CT534" s="167">
        <v>0</v>
      </c>
      <c r="CU534" s="167">
        <v>0</v>
      </c>
      <c r="CV534" s="167">
        <v>0</v>
      </c>
      <c r="CW534" s="167">
        <v>0</v>
      </c>
      <c r="CX534" s="167">
        <f>SUM(CD534:CH534)</f>
        <v>11</v>
      </c>
      <c r="CY534" s="167">
        <f>SUM(CD534:CM534)</f>
        <v>11</v>
      </c>
    </row>
    <row r="535" spans="1:103" ht="12.75" customHeight="1" x14ac:dyDescent="0.2">
      <c r="A535" s="81">
        <v>5775</v>
      </c>
      <c r="B535" s="165" t="s">
        <v>1908</v>
      </c>
      <c r="C535" s="165" t="s">
        <v>78</v>
      </c>
      <c r="E535" s="165" t="s">
        <v>3407</v>
      </c>
      <c r="G535" s="81">
        <v>527719</v>
      </c>
      <c r="H535" s="81">
        <v>174043</v>
      </c>
      <c r="I535" s="165" t="s">
        <v>255</v>
      </c>
      <c r="J535" s="349">
        <v>42411</v>
      </c>
      <c r="L535" s="166">
        <v>0</v>
      </c>
      <c r="M535" s="166">
        <v>1</v>
      </c>
      <c r="N535" s="166">
        <v>1</v>
      </c>
      <c r="O535" s="166">
        <v>1</v>
      </c>
      <c r="P535" s="166">
        <v>1</v>
      </c>
      <c r="R535" s="165" t="s">
        <v>79</v>
      </c>
      <c r="S535" s="81" t="s">
        <v>113</v>
      </c>
      <c r="T535" s="349">
        <v>41949</v>
      </c>
      <c r="U535" s="349">
        <v>42062</v>
      </c>
      <c r="W535" s="81" t="s">
        <v>114</v>
      </c>
      <c r="Y535" s="81" t="s">
        <v>115</v>
      </c>
      <c r="Z535" s="81" t="s">
        <v>116</v>
      </c>
      <c r="AA535" s="81" t="s">
        <v>117</v>
      </c>
      <c r="AB535" s="81" t="s">
        <v>218</v>
      </c>
      <c r="AC535" s="166">
        <v>8.9999996125698107E-3</v>
      </c>
      <c r="AD535" s="349">
        <v>42411</v>
      </c>
      <c r="AG535" s="81" t="s">
        <v>238</v>
      </c>
      <c r="AH535" s="81" t="s">
        <v>118</v>
      </c>
      <c r="AK535" s="166">
        <v>0</v>
      </c>
      <c r="AM535" s="166">
        <v>0</v>
      </c>
      <c r="AO535" s="166">
        <v>0</v>
      </c>
      <c r="AP535" s="166">
        <v>0</v>
      </c>
      <c r="AQ535" s="166">
        <v>1</v>
      </c>
      <c r="AR535" s="166">
        <v>0</v>
      </c>
      <c r="AS535" s="166">
        <v>0</v>
      </c>
      <c r="AT535" s="166">
        <v>0</v>
      </c>
      <c r="AU535" s="166">
        <v>0</v>
      </c>
      <c r="AV535" s="166">
        <v>0</v>
      </c>
      <c r="AW535" s="166">
        <v>0</v>
      </c>
      <c r="AX535" s="166">
        <v>0</v>
      </c>
      <c r="AY535" s="166">
        <v>0</v>
      </c>
      <c r="AZ535" s="166">
        <v>0</v>
      </c>
      <c r="BA535" s="166">
        <v>0</v>
      </c>
      <c r="BB535" s="166">
        <v>0</v>
      </c>
      <c r="BC535" s="166">
        <v>0</v>
      </c>
      <c r="BD535" s="166">
        <v>0</v>
      </c>
      <c r="BE535" s="166">
        <v>1</v>
      </c>
      <c r="BF535" s="166">
        <v>0</v>
      </c>
      <c r="BG535" s="166">
        <v>0</v>
      </c>
      <c r="BH535" s="166">
        <v>0</v>
      </c>
      <c r="BI535" s="166">
        <v>0</v>
      </c>
      <c r="BJ535" s="166">
        <v>0</v>
      </c>
      <c r="BK535" s="166">
        <v>0</v>
      </c>
      <c r="BL535" s="166">
        <v>0</v>
      </c>
      <c r="BM535" s="166">
        <v>0</v>
      </c>
      <c r="BN535" s="166">
        <v>0</v>
      </c>
      <c r="BO535" s="166">
        <v>0</v>
      </c>
      <c r="BP535" s="166">
        <v>0</v>
      </c>
      <c r="BQ535" s="81" t="s">
        <v>1757</v>
      </c>
      <c r="BZ535" s="81" t="s">
        <v>155</v>
      </c>
      <c r="CA535" s="81" t="s">
        <v>3976</v>
      </c>
      <c r="CC535" s="167">
        <v>0</v>
      </c>
      <c r="CD535" s="167">
        <f>N535</f>
        <v>1</v>
      </c>
      <c r="CE535" s="167">
        <v>0</v>
      </c>
      <c r="CF535" s="167">
        <v>0</v>
      </c>
      <c r="CG535" s="167">
        <v>0</v>
      </c>
      <c r="CH535" s="167">
        <v>0</v>
      </c>
      <c r="CI535" s="167">
        <v>0</v>
      </c>
      <c r="CJ535" s="167">
        <v>0</v>
      </c>
      <c r="CK535" s="167">
        <v>0</v>
      </c>
      <c r="CL535" s="167">
        <v>0</v>
      </c>
      <c r="CM535" s="167">
        <v>0</v>
      </c>
      <c r="CN535" s="167">
        <v>0</v>
      </c>
      <c r="CO535" s="167">
        <v>0</v>
      </c>
      <c r="CP535" s="167">
        <v>0</v>
      </c>
      <c r="CQ535" s="167">
        <v>0</v>
      </c>
      <c r="CR535" s="167">
        <v>0</v>
      </c>
      <c r="CS535" s="167">
        <v>0</v>
      </c>
      <c r="CT535" s="167">
        <v>0</v>
      </c>
      <c r="CU535" s="167">
        <v>0</v>
      </c>
      <c r="CV535" s="167">
        <v>0</v>
      </c>
      <c r="CW535" s="167">
        <v>0</v>
      </c>
      <c r="CX535" s="167">
        <f>SUM(CD535:CH535)</f>
        <v>1</v>
      </c>
      <c r="CY535" s="167">
        <f>SUM(CD535:CM535)</f>
        <v>1</v>
      </c>
    </row>
    <row r="536" spans="1:103" ht="12.75" customHeight="1" x14ac:dyDescent="0.2">
      <c r="A536" s="81">
        <v>5777</v>
      </c>
      <c r="B536" s="165" t="s">
        <v>1908</v>
      </c>
      <c r="C536" s="165" t="s">
        <v>95</v>
      </c>
      <c r="E536" s="165" t="s">
        <v>3408</v>
      </c>
      <c r="G536" s="81">
        <v>529591</v>
      </c>
      <c r="H536" s="81">
        <v>176818</v>
      </c>
      <c r="I536" s="165" t="s">
        <v>240</v>
      </c>
      <c r="J536" s="349">
        <v>42094</v>
      </c>
      <c r="L536" s="166">
        <v>0</v>
      </c>
      <c r="M536" s="166">
        <v>20</v>
      </c>
      <c r="N536" s="166">
        <v>20</v>
      </c>
      <c r="O536" s="166">
        <v>20</v>
      </c>
      <c r="P536" s="166">
        <v>20</v>
      </c>
      <c r="Q536" s="81" t="s">
        <v>155</v>
      </c>
      <c r="R536" s="165" t="s">
        <v>1121</v>
      </c>
      <c r="S536" s="81" t="s">
        <v>113</v>
      </c>
      <c r="T536" s="349">
        <v>41970</v>
      </c>
      <c r="U536" s="349">
        <v>42031</v>
      </c>
      <c r="W536" s="81" t="s">
        <v>114</v>
      </c>
      <c r="Y536" s="81" t="s">
        <v>115</v>
      </c>
      <c r="Z536" s="81" t="s">
        <v>116</v>
      </c>
      <c r="AA536" s="81" t="s">
        <v>116</v>
      </c>
      <c r="AB536" s="81" t="s">
        <v>117</v>
      </c>
      <c r="AC536" s="166">
        <v>0.13400000333786</v>
      </c>
      <c r="AD536" s="349">
        <v>42094</v>
      </c>
      <c r="AG536" s="81" t="s">
        <v>154</v>
      </c>
      <c r="AH536" s="81" t="s">
        <v>312</v>
      </c>
      <c r="AK536" s="166">
        <v>2</v>
      </c>
      <c r="AM536" s="166">
        <v>20</v>
      </c>
      <c r="AO536" s="166">
        <v>0</v>
      </c>
      <c r="AP536" s="166">
        <v>6</v>
      </c>
      <c r="AQ536" s="166">
        <v>9</v>
      </c>
      <c r="AR536" s="166">
        <v>5</v>
      </c>
      <c r="AS536" s="166">
        <v>0</v>
      </c>
      <c r="AT536" s="166">
        <v>0</v>
      </c>
      <c r="AU536" s="166">
        <v>0</v>
      </c>
      <c r="AV536" s="166">
        <v>0</v>
      </c>
      <c r="AW536" s="166">
        <v>6</v>
      </c>
      <c r="AX536" s="166">
        <v>9</v>
      </c>
      <c r="AY536" s="166">
        <v>5</v>
      </c>
      <c r="AZ536" s="166">
        <v>0</v>
      </c>
      <c r="BA536" s="166">
        <v>0</v>
      </c>
      <c r="BB536" s="166">
        <v>0</v>
      </c>
      <c r="BC536" s="166">
        <v>0</v>
      </c>
      <c r="BD536" s="166">
        <v>0</v>
      </c>
      <c r="BE536" s="166">
        <v>0</v>
      </c>
      <c r="BF536" s="166">
        <v>0</v>
      </c>
      <c r="BG536" s="166">
        <v>0</v>
      </c>
      <c r="BH536" s="166">
        <v>0</v>
      </c>
      <c r="BI536" s="166">
        <v>0</v>
      </c>
      <c r="BJ536" s="166">
        <v>0</v>
      </c>
      <c r="BK536" s="166">
        <v>0</v>
      </c>
      <c r="BL536" s="166">
        <v>0</v>
      </c>
      <c r="BM536" s="166">
        <v>0</v>
      </c>
      <c r="BN536" s="166">
        <v>0</v>
      </c>
      <c r="BO536" s="166">
        <v>0</v>
      </c>
      <c r="BP536" s="166">
        <v>0</v>
      </c>
      <c r="BQ536" s="81" t="s">
        <v>1759</v>
      </c>
      <c r="BS536" s="81" t="s">
        <v>155</v>
      </c>
      <c r="BZ536" s="81" t="s">
        <v>155</v>
      </c>
      <c r="CA536" s="81">
        <v>12</v>
      </c>
      <c r="CC536" s="167">
        <v>0</v>
      </c>
      <c r="CD536" s="167">
        <f>N536</f>
        <v>20</v>
      </c>
      <c r="CE536" s="167">
        <v>0</v>
      </c>
      <c r="CF536" s="167">
        <v>0</v>
      </c>
      <c r="CG536" s="167">
        <v>0</v>
      </c>
      <c r="CH536" s="167">
        <v>0</v>
      </c>
      <c r="CI536" s="167">
        <v>0</v>
      </c>
      <c r="CJ536" s="167">
        <v>0</v>
      </c>
      <c r="CK536" s="167">
        <v>0</v>
      </c>
      <c r="CL536" s="167">
        <v>0</v>
      </c>
      <c r="CM536" s="167">
        <v>0</v>
      </c>
      <c r="CN536" s="167">
        <v>0</v>
      </c>
      <c r="CO536" s="167">
        <v>0</v>
      </c>
      <c r="CP536" s="167">
        <v>0</v>
      </c>
      <c r="CQ536" s="167">
        <v>0</v>
      </c>
      <c r="CR536" s="167">
        <v>0</v>
      </c>
      <c r="CS536" s="167">
        <v>0</v>
      </c>
      <c r="CT536" s="167">
        <v>0</v>
      </c>
      <c r="CU536" s="167">
        <v>0</v>
      </c>
      <c r="CV536" s="167">
        <v>0</v>
      </c>
      <c r="CW536" s="167">
        <v>0</v>
      </c>
      <c r="CX536" s="167">
        <f>SUM(CD536:CH536)</f>
        <v>20</v>
      </c>
      <c r="CY536" s="167">
        <f>SUM(CD536:CM536)</f>
        <v>20</v>
      </c>
    </row>
    <row r="537" spans="1:103" ht="12.75" customHeight="1" x14ac:dyDescent="0.2">
      <c r="A537" s="81">
        <v>5782</v>
      </c>
      <c r="B537" s="165" t="s">
        <v>1908</v>
      </c>
      <c r="C537" s="165" t="s">
        <v>123</v>
      </c>
      <c r="D537" s="165" t="s">
        <v>778</v>
      </c>
      <c r="E537" s="165" t="s">
        <v>3378</v>
      </c>
      <c r="F537" s="165" t="s">
        <v>1761</v>
      </c>
      <c r="G537" s="81">
        <v>528822</v>
      </c>
      <c r="H537" s="81">
        <v>176878</v>
      </c>
      <c r="I537" s="165" t="s">
        <v>240</v>
      </c>
      <c r="J537" s="349">
        <v>42261</v>
      </c>
      <c r="L537" s="166">
        <v>0</v>
      </c>
      <c r="M537" s="166">
        <v>144</v>
      </c>
      <c r="N537" s="166">
        <v>144</v>
      </c>
      <c r="O537" s="166">
        <v>290</v>
      </c>
      <c r="P537" s="166">
        <v>290</v>
      </c>
      <c r="Q537" s="81" t="s">
        <v>155</v>
      </c>
      <c r="R537" s="165" t="s">
        <v>3379</v>
      </c>
      <c r="S537" s="81" t="s">
        <v>104</v>
      </c>
      <c r="T537" s="349">
        <v>41855</v>
      </c>
      <c r="U537" s="349">
        <v>42075</v>
      </c>
      <c r="W537" s="81" t="s">
        <v>114</v>
      </c>
      <c r="Y537" s="81" t="s">
        <v>115</v>
      </c>
      <c r="Z537" s="81" t="s">
        <v>398</v>
      </c>
      <c r="AA537" s="81" t="s">
        <v>116</v>
      </c>
      <c r="AB537" s="81" t="s">
        <v>117</v>
      </c>
      <c r="AC537" s="166">
        <v>0.80900001525878895</v>
      </c>
      <c r="AD537" s="349">
        <v>42261</v>
      </c>
      <c r="AG537" s="81" t="s">
        <v>238</v>
      </c>
      <c r="AH537" s="81" t="s">
        <v>118</v>
      </c>
      <c r="AI537" s="81" t="s">
        <v>2863</v>
      </c>
      <c r="AK537" s="166">
        <v>230</v>
      </c>
      <c r="AM537" s="166">
        <v>23</v>
      </c>
      <c r="AO537" s="166">
        <v>0</v>
      </c>
      <c r="AP537" s="166">
        <v>36</v>
      </c>
      <c r="AQ537" s="166">
        <v>91</v>
      </c>
      <c r="AR537" s="166">
        <v>16</v>
      </c>
      <c r="AS537" s="166">
        <v>1</v>
      </c>
      <c r="AT537" s="166">
        <v>0</v>
      </c>
      <c r="AU537" s="166">
        <v>0</v>
      </c>
      <c r="AV537" s="166">
        <v>0</v>
      </c>
      <c r="AW537" s="166">
        <v>36</v>
      </c>
      <c r="AX537" s="166">
        <v>91</v>
      </c>
      <c r="AY537" s="166">
        <v>16</v>
      </c>
      <c r="AZ537" s="166">
        <v>1</v>
      </c>
      <c r="BA537" s="166">
        <v>0</v>
      </c>
      <c r="BB537" s="166">
        <v>0</v>
      </c>
      <c r="BC537" s="166">
        <v>0</v>
      </c>
      <c r="BD537" s="166">
        <v>0</v>
      </c>
      <c r="BE537" s="166">
        <v>0</v>
      </c>
      <c r="BF537" s="166">
        <v>0</v>
      </c>
      <c r="BG537" s="166">
        <v>0</v>
      </c>
      <c r="BH537" s="166">
        <v>0</v>
      </c>
      <c r="BI537" s="166">
        <v>0</v>
      </c>
      <c r="BJ537" s="166">
        <v>0</v>
      </c>
      <c r="BK537" s="166">
        <v>0</v>
      </c>
      <c r="BL537" s="166">
        <v>0</v>
      </c>
      <c r="BM537" s="166">
        <v>0</v>
      </c>
      <c r="BN537" s="166">
        <v>0</v>
      </c>
      <c r="BO537" s="166">
        <v>0</v>
      </c>
      <c r="BP537" s="166">
        <v>0</v>
      </c>
      <c r="BQ537" s="81" t="s">
        <v>1759</v>
      </c>
      <c r="BS537" s="81" t="s">
        <v>155</v>
      </c>
      <c r="BZ537" s="81" t="s">
        <v>155</v>
      </c>
      <c r="CA537" s="81">
        <v>12</v>
      </c>
      <c r="CC537" s="167">
        <v>0</v>
      </c>
      <c r="CD537" s="167">
        <v>76</v>
      </c>
      <c r="CE537" s="167">
        <v>68</v>
      </c>
      <c r="CF537" s="167">
        <v>0</v>
      </c>
      <c r="CG537" s="167">
        <v>0</v>
      </c>
      <c r="CH537" s="167">
        <v>0</v>
      </c>
      <c r="CI537" s="167">
        <v>0</v>
      </c>
      <c r="CJ537" s="167">
        <v>0</v>
      </c>
      <c r="CK537" s="167">
        <v>0</v>
      </c>
      <c r="CL537" s="167">
        <v>0</v>
      </c>
      <c r="CM537" s="167">
        <v>0</v>
      </c>
      <c r="CN537" s="167">
        <v>0</v>
      </c>
      <c r="CO537" s="167">
        <v>0</v>
      </c>
      <c r="CP537" s="167">
        <v>0</v>
      </c>
      <c r="CQ537" s="167">
        <v>0</v>
      </c>
      <c r="CR537" s="167">
        <v>0</v>
      </c>
      <c r="CS537" s="167">
        <v>0</v>
      </c>
      <c r="CT537" s="167">
        <v>0</v>
      </c>
      <c r="CU537" s="167">
        <v>0</v>
      </c>
      <c r="CV537" s="167">
        <v>0</v>
      </c>
      <c r="CW537" s="167">
        <v>0</v>
      </c>
      <c r="CX537" s="167">
        <f>SUM(CD537:CH537)</f>
        <v>144</v>
      </c>
      <c r="CY537" s="167">
        <f>SUM(CD537:CM537)</f>
        <v>144</v>
      </c>
    </row>
    <row r="538" spans="1:103" ht="12.75" customHeight="1" x14ac:dyDescent="0.2">
      <c r="A538" s="81">
        <v>5782</v>
      </c>
      <c r="B538" s="165" t="s">
        <v>1908</v>
      </c>
      <c r="C538" s="165" t="s">
        <v>123</v>
      </c>
      <c r="D538" s="165" t="s">
        <v>778</v>
      </c>
      <c r="E538" s="165" t="s">
        <v>3378</v>
      </c>
      <c r="F538" s="165" t="s">
        <v>1761</v>
      </c>
      <c r="G538" s="81">
        <v>528822</v>
      </c>
      <c r="H538" s="81">
        <v>176878</v>
      </c>
      <c r="I538" s="165" t="s">
        <v>240</v>
      </c>
      <c r="J538" s="349">
        <v>42261</v>
      </c>
      <c r="L538" s="166">
        <v>0</v>
      </c>
      <c r="M538" s="166">
        <v>20</v>
      </c>
      <c r="N538" s="166">
        <v>20</v>
      </c>
      <c r="O538" s="166">
        <v>290</v>
      </c>
      <c r="P538" s="166">
        <v>290</v>
      </c>
      <c r="Q538" s="81" t="s">
        <v>155</v>
      </c>
      <c r="R538" s="165" t="s">
        <v>3379</v>
      </c>
      <c r="S538" s="81" t="s">
        <v>104</v>
      </c>
      <c r="T538" s="349">
        <v>41855</v>
      </c>
      <c r="U538" s="349">
        <v>42075</v>
      </c>
      <c r="W538" s="81" t="s">
        <v>114</v>
      </c>
      <c r="Y538" s="81" t="s">
        <v>115</v>
      </c>
      <c r="Z538" s="81" t="s">
        <v>398</v>
      </c>
      <c r="AA538" s="81" t="s">
        <v>116</v>
      </c>
      <c r="AB538" s="81" t="s">
        <v>117</v>
      </c>
      <c r="AC538" s="166">
        <v>0.104999996721745</v>
      </c>
      <c r="AD538" s="349">
        <v>42261</v>
      </c>
      <c r="AG538" s="81" t="s">
        <v>74</v>
      </c>
      <c r="AH538" s="81" t="s">
        <v>1913</v>
      </c>
      <c r="AI538" s="81" t="s">
        <v>2863</v>
      </c>
      <c r="AK538" s="166">
        <v>30</v>
      </c>
      <c r="AM538" s="166">
        <v>3</v>
      </c>
      <c r="AO538" s="166">
        <v>2</v>
      </c>
      <c r="AP538" s="166">
        <v>1</v>
      </c>
      <c r="AQ538" s="166">
        <v>13</v>
      </c>
      <c r="AR538" s="166">
        <v>4</v>
      </c>
      <c r="AS538" s="166">
        <v>0</v>
      </c>
      <c r="AT538" s="166">
        <v>0</v>
      </c>
      <c r="AU538" s="166">
        <v>0</v>
      </c>
      <c r="AV538" s="166">
        <v>2</v>
      </c>
      <c r="AW538" s="166">
        <v>1</v>
      </c>
      <c r="AX538" s="166">
        <v>13</v>
      </c>
      <c r="AY538" s="166">
        <v>4</v>
      </c>
      <c r="AZ538" s="166">
        <v>0</v>
      </c>
      <c r="BA538" s="166">
        <v>0</v>
      </c>
      <c r="BB538" s="166">
        <v>0</v>
      </c>
      <c r="BC538" s="166">
        <v>0</v>
      </c>
      <c r="BD538" s="166">
        <v>0</v>
      </c>
      <c r="BE538" s="166">
        <v>0</v>
      </c>
      <c r="BF538" s="166">
        <v>0</v>
      </c>
      <c r="BG538" s="166">
        <v>0</v>
      </c>
      <c r="BH538" s="166">
        <v>0</v>
      </c>
      <c r="BI538" s="166">
        <v>0</v>
      </c>
      <c r="BJ538" s="166">
        <v>0</v>
      </c>
      <c r="BK538" s="166">
        <v>0</v>
      </c>
      <c r="BL538" s="166">
        <v>0</v>
      </c>
      <c r="BM538" s="166">
        <v>0</v>
      </c>
      <c r="BN538" s="166">
        <v>0</v>
      </c>
      <c r="BO538" s="166">
        <v>0</v>
      </c>
      <c r="BP538" s="166">
        <v>0</v>
      </c>
      <c r="BQ538" s="81" t="s">
        <v>1759</v>
      </c>
      <c r="BS538" s="81" t="s">
        <v>155</v>
      </c>
      <c r="BZ538" s="81" t="s">
        <v>155</v>
      </c>
      <c r="CA538" s="81">
        <v>12</v>
      </c>
      <c r="CC538" s="167">
        <v>0</v>
      </c>
      <c r="CD538" s="167">
        <f>N538</f>
        <v>20</v>
      </c>
      <c r="CE538" s="167">
        <v>0</v>
      </c>
      <c r="CF538" s="167">
        <v>0</v>
      </c>
      <c r="CG538" s="167">
        <v>0</v>
      </c>
      <c r="CH538" s="167">
        <v>0</v>
      </c>
      <c r="CI538" s="167">
        <v>0</v>
      </c>
      <c r="CJ538" s="167">
        <v>0</v>
      </c>
      <c r="CK538" s="167">
        <v>0</v>
      </c>
      <c r="CL538" s="167">
        <v>0</v>
      </c>
      <c r="CM538" s="167">
        <v>0</v>
      </c>
      <c r="CN538" s="167">
        <v>0</v>
      </c>
      <c r="CO538" s="167">
        <v>0</v>
      </c>
      <c r="CP538" s="167">
        <v>0</v>
      </c>
      <c r="CQ538" s="167">
        <v>0</v>
      </c>
      <c r="CR538" s="167">
        <v>0</v>
      </c>
      <c r="CS538" s="167">
        <v>0</v>
      </c>
      <c r="CT538" s="167">
        <v>0</v>
      </c>
      <c r="CU538" s="167">
        <v>0</v>
      </c>
      <c r="CV538" s="167">
        <v>0</v>
      </c>
      <c r="CW538" s="167">
        <v>0</v>
      </c>
      <c r="CX538" s="167">
        <f>SUM(CD538:CH538)</f>
        <v>20</v>
      </c>
      <c r="CY538" s="167">
        <f>SUM(CD538:CM538)</f>
        <v>20</v>
      </c>
    </row>
    <row r="539" spans="1:103" ht="12.75" customHeight="1" x14ac:dyDescent="0.2">
      <c r="A539" s="81">
        <v>5782</v>
      </c>
      <c r="B539" s="165" t="s">
        <v>1908</v>
      </c>
      <c r="C539" s="165" t="s">
        <v>123</v>
      </c>
      <c r="D539" s="165" t="s">
        <v>778</v>
      </c>
      <c r="E539" s="165" t="s">
        <v>3378</v>
      </c>
      <c r="F539" s="165" t="s">
        <v>1761</v>
      </c>
      <c r="G539" s="81">
        <v>528822</v>
      </c>
      <c r="H539" s="81">
        <v>176878</v>
      </c>
      <c r="I539" s="165" t="s">
        <v>240</v>
      </c>
      <c r="J539" s="349">
        <v>42261</v>
      </c>
      <c r="L539" s="166">
        <v>0</v>
      </c>
      <c r="M539" s="166">
        <v>7</v>
      </c>
      <c r="N539" s="166">
        <v>7</v>
      </c>
      <c r="O539" s="166">
        <v>290</v>
      </c>
      <c r="P539" s="166">
        <v>290</v>
      </c>
      <c r="Q539" s="81" t="s">
        <v>155</v>
      </c>
      <c r="R539" s="165" t="s">
        <v>3379</v>
      </c>
      <c r="S539" s="81" t="s">
        <v>104</v>
      </c>
      <c r="T539" s="349">
        <v>41855</v>
      </c>
      <c r="U539" s="349">
        <v>42075</v>
      </c>
      <c r="W539" s="81" t="s">
        <v>114</v>
      </c>
      <c r="Y539" s="81" t="s">
        <v>115</v>
      </c>
      <c r="Z539" s="81" t="s">
        <v>398</v>
      </c>
      <c r="AA539" s="81" t="s">
        <v>116</v>
      </c>
      <c r="AB539" s="81" t="s">
        <v>117</v>
      </c>
      <c r="AC539" s="166">
        <v>0.104999996721745</v>
      </c>
      <c r="AD539" s="349">
        <v>42261</v>
      </c>
      <c r="AG539" s="81" t="s">
        <v>154</v>
      </c>
      <c r="AH539" s="81" t="s">
        <v>276</v>
      </c>
      <c r="AI539" s="81" t="s">
        <v>2863</v>
      </c>
      <c r="AK539" s="166">
        <v>30</v>
      </c>
      <c r="AM539" s="166">
        <v>3</v>
      </c>
      <c r="AO539" s="166">
        <v>0</v>
      </c>
      <c r="AP539" s="166">
        <v>0</v>
      </c>
      <c r="AQ539" s="166">
        <v>4</v>
      </c>
      <c r="AR539" s="166">
        <v>1</v>
      </c>
      <c r="AS539" s="166">
        <v>2</v>
      </c>
      <c r="AT539" s="166">
        <v>0</v>
      </c>
      <c r="AU539" s="166">
        <v>0</v>
      </c>
      <c r="AV539" s="166">
        <v>0</v>
      </c>
      <c r="AW539" s="166">
        <v>0</v>
      </c>
      <c r="AX539" s="166">
        <v>4</v>
      </c>
      <c r="AY539" s="166">
        <v>1</v>
      </c>
      <c r="AZ539" s="166">
        <v>2</v>
      </c>
      <c r="BA539" s="166">
        <v>0</v>
      </c>
      <c r="BB539" s="166">
        <v>0</v>
      </c>
      <c r="BC539" s="166">
        <v>0</v>
      </c>
      <c r="BD539" s="166">
        <v>0</v>
      </c>
      <c r="BE539" s="166">
        <v>0</v>
      </c>
      <c r="BF539" s="166">
        <v>0</v>
      </c>
      <c r="BG539" s="166">
        <v>0</v>
      </c>
      <c r="BH539" s="166">
        <v>0</v>
      </c>
      <c r="BI539" s="166">
        <v>0</v>
      </c>
      <c r="BJ539" s="166">
        <v>0</v>
      </c>
      <c r="BK539" s="166">
        <v>0</v>
      </c>
      <c r="BL539" s="166">
        <v>0</v>
      </c>
      <c r="BM539" s="166">
        <v>0</v>
      </c>
      <c r="BN539" s="166">
        <v>0</v>
      </c>
      <c r="BO539" s="166">
        <v>0</v>
      </c>
      <c r="BP539" s="166">
        <v>0</v>
      </c>
      <c r="BQ539" s="81" t="s">
        <v>1759</v>
      </c>
      <c r="BS539" s="81" t="s">
        <v>155</v>
      </c>
      <c r="BZ539" s="81" t="s">
        <v>155</v>
      </c>
      <c r="CA539" s="81">
        <v>12</v>
      </c>
      <c r="CC539" s="167">
        <v>0</v>
      </c>
      <c r="CD539" s="167">
        <v>5</v>
      </c>
      <c r="CE539" s="167">
        <v>2</v>
      </c>
      <c r="CF539" s="167">
        <v>0</v>
      </c>
      <c r="CG539" s="167">
        <v>0</v>
      </c>
      <c r="CH539" s="167">
        <v>0</v>
      </c>
      <c r="CI539" s="167">
        <v>0</v>
      </c>
      <c r="CJ539" s="167">
        <v>0</v>
      </c>
      <c r="CK539" s="167">
        <v>0</v>
      </c>
      <c r="CL539" s="167">
        <v>0</v>
      </c>
      <c r="CM539" s="167">
        <v>0</v>
      </c>
      <c r="CN539" s="167">
        <v>0</v>
      </c>
      <c r="CO539" s="167">
        <v>0</v>
      </c>
      <c r="CP539" s="167">
        <v>0</v>
      </c>
      <c r="CQ539" s="167">
        <v>0</v>
      </c>
      <c r="CR539" s="167">
        <v>0</v>
      </c>
      <c r="CS539" s="167">
        <v>0</v>
      </c>
      <c r="CT539" s="167">
        <v>0</v>
      </c>
      <c r="CU539" s="167">
        <v>0</v>
      </c>
      <c r="CV539" s="167">
        <v>0</v>
      </c>
      <c r="CW539" s="167">
        <v>0</v>
      </c>
      <c r="CX539" s="167">
        <f>SUM(CD539:CH539)</f>
        <v>7</v>
      </c>
      <c r="CY539" s="167">
        <f>SUM(CD539:CM539)</f>
        <v>7</v>
      </c>
    </row>
    <row r="540" spans="1:103" x14ac:dyDescent="0.2">
      <c r="A540" s="81">
        <v>5793</v>
      </c>
      <c r="B540" s="165" t="s">
        <v>1908</v>
      </c>
      <c r="C540" s="165" t="s">
        <v>449</v>
      </c>
      <c r="E540" s="165" t="s">
        <v>3409</v>
      </c>
      <c r="F540" s="165" t="s">
        <v>450</v>
      </c>
      <c r="G540" s="81">
        <v>525347</v>
      </c>
      <c r="H540" s="81">
        <v>175071</v>
      </c>
      <c r="I540" s="165" t="s">
        <v>259</v>
      </c>
      <c r="J540" s="349">
        <v>42825</v>
      </c>
      <c r="L540" s="166">
        <v>0</v>
      </c>
      <c r="M540" s="166">
        <v>5</v>
      </c>
      <c r="N540" s="166">
        <v>5</v>
      </c>
      <c r="O540" s="166">
        <v>85</v>
      </c>
      <c r="P540" s="166">
        <v>85</v>
      </c>
      <c r="Q540" s="81" t="s">
        <v>155</v>
      </c>
      <c r="R540" s="165" t="s">
        <v>900</v>
      </c>
      <c r="S540" s="81" t="s">
        <v>104</v>
      </c>
      <c r="T540" s="349">
        <v>41969</v>
      </c>
      <c r="U540" s="349">
        <v>42264</v>
      </c>
      <c r="W540" s="81" t="s">
        <v>114</v>
      </c>
      <c r="Y540" s="81" t="s">
        <v>115</v>
      </c>
      <c r="Z540" s="81" t="s">
        <v>116</v>
      </c>
      <c r="AA540" s="81" t="s">
        <v>116</v>
      </c>
      <c r="AB540" s="81" t="s">
        <v>117</v>
      </c>
      <c r="AC540" s="166">
        <v>1.30000002682209E-2</v>
      </c>
      <c r="AD540" s="349">
        <v>42825</v>
      </c>
      <c r="AG540" s="81" t="s">
        <v>238</v>
      </c>
      <c r="AH540" s="81" t="s">
        <v>118</v>
      </c>
      <c r="AK540" s="166">
        <v>5</v>
      </c>
      <c r="AM540" s="166">
        <v>1</v>
      </c>
      <c r="AO540" s="166">
        <v>0</v>
      </c>
      <c r="AP540" s="166">
        <v>0</v>
      </c>
      <c r="AQ540" s="166">
        <v>5</v>
      </c>
      <c r="AR540" s="166">
        <v>0</v>
      </c>
      <c r="AS540" s="166">
        <v>0</v>
      </c>
      <c r="AT540" s="166">
        <v>0</v>
      </c>
      <c r="AU540" s="166">
        <v>0</v>
      </c>
      <c r="AV540" s="166">
        <v>0</v>
      </c>
      <c r="AW540" s="166">
        <v>0</v>
      </c>
      <c r="AX540" s="166">
        <v>5</v>
      </c>
      <c r="AY540" s="166">
        <v>0</v>
      </c>
      <c r="AZ540" s="166">
        <v>0</v>
      </c>
      <c r="BA540" s="166">
        <v>0</v>
      </c>
      <c r="BB540" s="166">
        <v>0</v>
      </c>
      <c r="BC540" s="166">
        <v>0</v>
      </c>
      <c r="BD540" s="166">
        <v>0</v>
      </c>
      <c r="BE540" s="166">
        <v>0</v>
      </c>
      <c r="BF540" s="166">
        <v>0</v>
      </c>
      <c r="BG540" s="166">
        <v>0</v>
      </c>
      <c r="BH540" s="166">
        <v>0</v>
      </c>
      <c r="BI540" s="166">
        <v>0</v>
      </c>
      <c r="BJ540" s="166">
        <v>0</v>
      </c>
      <c r="BK540" s="166">
        <v>0</v>
      </c>
      <c r="BL540" s="166">
        <v>0</v>
      </c>
      <c r="BM540" s="166">
        <v>0</v>
      </c>
      <c r="BN540" s="166">
        <v>0</v>
      </c>
      <c r="BO540" s="166">
        <v>0</v>
      </c>
      <c r="BP540" s="166">
        <v>0</v>
      </c>
      <c r="BQ540" s="81" t="s">
        <v>1758</v>
      </c>
      <c r="BT540" s="81" t="s">
        <v>155</v>
      </c>
      <c r="BZ540" s="81" t="s">
        <v>155</v>
      </c>
      <c r="CA540" s="81" t="s">
        <v>3934</v>
      </c>
      <c r="CC540" s="167">
        <v>0</v>
      </c>
      <c r="CD540" s="167">
        <v>0</v>
      </c>
      <c r="CE540" s="167">
        <f>N540</f>
        <v>5</v>
      </c>
      <c r="CF540" s="167">
        <v>0</v>
      </c>
      <c r="CG540" s="167">
        <v>0</v>
      </c>
      <c r="CH540" s="167">
        <v>0</v>
      </c>
      <c r="CI540" s="167">
        <v>0</v>
      </c>
      <c r="CJ540" s="167">
        <v>0</v>
      </c>
      <c r="CK540" s="167">
        <v>0</v>
      </c>
      <c r="CL540" s="167">
        <v>0</v>
      </c>
      <c r="CM540" s="167">
        <v>0</v>
      </c>
      <c r="CN540" s="167">
        <v>0</v>
      </c>
      <c r="CO540" s="167">
        <v>0</v>
      </c>
      <c r="CP540" s="167">
        <v>0</v>
      </c>
      <c r="CQ540" s="167">
        <v>0</v>
      </c>
      <c r="CR540" s="167">
        <v>0</v>
      </c>
      <c r="CS540" s="167">
        <v>0</v>
      </c>
      <c r="CT540" s="167">
        <v>0</v>
      </c>
      <c r="CU540" s="167">
        <v>0</v>
      </c>
      <c r="CV540" s="167">
        <v>0</v>
      </c>
      <c r="CW540" s="167">
        <v>0</v>
      </c>
      <c r="CX540" s="167">
        <f>SUM(CD540:CH540)</f>
        <v>5</v>
      </c>
      <c r="CY540" s="167">
        <f>SUM(CD540:CM540)</f>
        <v>5</v>
      </c>
    </row>
    <row r="541" spans="1:103" ht="12.75" customHeight="1" x14ac:dyDescent="0.2">
      <c r="A541" s="81">
        <v>5793</v>
      </c>
      <c r="B541" s="165" t="s">
        <v>1908</v>
      </c>
      <c r="C541" s="165" t="s">
        <v>449</v>
      </c>
      <c r="E541" s="165" t="s">
        <v>3409</v>
      </c>
      <c r="F541" s="165" t="s">
        <v>451</v>
      </c>
      <c r="G541" s="81">
        <v>525347</v>
      </c>
      <c r="H541" s="81">
        <v>175071</v>
      </c>
      <c r="I541" s="165" t="s">
        <v>259</v>
      </c>
      <c r="J541" s="349">
        <v>42825</v>
      </c>
      <c r="L541" s="166">
        <v>0</v>
      </c>
      <c r="M541" s="166">
        <v>1</v>
      </c>
      <c r="N541" s="166">
        <v>1</v>
      </c>
      <c r="O541" s="166">
        <v>85</v>
      </c>
      <c r="P541" s="166">
        <v>85</v>
      </c>
      <c r="Q541" s="81" t="s">
        <v>155</v>
      </c>
      <c r="R541" s="165" t="s">
        <v>900</v>
      </c>
      <c r="S541" s="81" t="s">
        <v>104</v>
      </c>
      <c r="T541" s="349">
        <v>41969</v>
      </c>
      <c r="U541" s="349">
        <v>42264</v>
      </c>
      <c r="W541" s="81" t="s">
        <v>114</v>
      </c>
      <c r="Y541" s="81" t="s">
        <v>115</v>
      </c>
      <c r="Z541" s="81" t="s">
        <v>116</v>
      </c>
      <c r="AA541" s="81" t="s">
        <v>116</v>
      </c>
      <c r="AB541" s="81" t="s">
        <v>117</v>
      </c>
      <c r="AC541" s="166">
        <v>3.0000000260770299E-3</v>
      </c>
      <c r="AD541" s="349">
        <v>42825</v>
      </c>
      <c r="AG541" s="81" t="s">
        <v>74</v>
      </c>
      <c r="AH541" s="81" t="s">
        <v>1913</v>
      </c>
      <c r="AK541" s="166">
        <v>1</v>
      </c>
      <c r="AM541" s="166">
        <v>1</v>
      </c>
      <c r="AO541" s="166">
        <v>0</v>
      </c>
      <c r="AP541" s="166">
        <v>1</v>
      </c>
      <c r="AQ541" s="166">
        <v>0</v>
      </c>
      <c r="AR541" s="166">
        <v>0</v>
      </c>
      <c r="AS541" s="166">
        <v>0</v>
      </c>
      <c r="AT541" s="166">
        <v>0</v>
      </c>
      <c r="AU541" s="166">
        <v>0</v>
      </c>
      <c r="AV541" s="166">
        <v>0</v>
      </c>
      <c r="AW541" s="166">
        <v>1</v>
      </c>
      <c r="AX541" s="166">
        <v>0</v>
      </c>
      <c r="AY541" s="166">
        <v>0</v>
      </c>
      <c r="AZ541" s="166">
        <v>0</v>
      </c>
      <c r="BA541" s="166">
        <v>0</v>
      </c>
      <c r="BB541" s="166">
        <v>0</v>
      </c>
      <c r="BC541" s="166">
        <v>0</v>
      </c>
      <c r="BD541" s="166">
        <v>0</v>
      </c>
      <c r="BE541" s="166">
        <v>0</v>
      </c>
      <c r="BF541" s="166">
        <v>0</v>
      </c>
      <c r="BG541" s="166">
        <v>0</v>
      </c>
      <c r="BH541" s="166">
        <v>0</v>
      </c>
      <c r="BI541" s="166">
        <v>0</v>
      </c>
      <c r="BJ541" s="166">
        <v>0</v>
      </c>
      <c r="BK541" s="166">
        <v>0</v>
      </c>
      <c r="BL541" s="166">
        <v>0</v>
      </c>
      <c r="BM541" s="166">
        <v>0</v>
      </c>
      <c r="BN541" s="166">
        <v>0</v>
      </c>
      <c r="BO541" s="166">
        <v>0</v>
      </c>
      <c r="BP541" s="166">
        <v>0</v>
      </c>
      <c r="BQ541" s="81" t="s">
        <v>1758</v>
      </c>
      <c r="BT541" s="81" t="s">
        <v>155</v>
      </c>
      <c r="BZ541" s="81" t="s">
        <v>155</v>
      </c>
      <c r="CA541" s="81" t="s">
        <v>3934</v>
      </c>
      <c r="CC541" s="167">
        <v>0</v>
      </c>
      <c r="CD541" s="167">
        <v>0</v>
      </c>
      <c r="CE541" s="167">
        <f>N541</f>
        <v>1</v>
      </c>
      <c r="CF541" s="167">
        <v>0</v>
      </c>
      <c r="CG541" s="167">
        <v>0</v>
      </c>
      <c r="CH541" s="167">
        <v>0</v>
      </c>
      <c r="CI541" s="167">
        <v>0</v>
      </c>
      <c r="CJ541" s="167">
        <v>0</v>
      </c>
      <c r="CK541" s="167">
        <v>0</v>
      </c>
      <c r="CL541" s="167">
        <v>0</v>
      </c>
      <c r="CM541" s="167">
        <v>0</v>
      </c>
      <c r="CN541" s="167">
        <v>0</v>
      </c>
      <c r="CO541" s="167">
        <v>0</v>
      </c>
      <c r="CP541" s="167">
        <v>0</v>
      </c>
      <c r="CQ541" s="167">
        <v>0</v>
      </c>
      <c r="CR541" s="167">
        <v>0</v>
      </c>
      <c r="CS541" s="167">
        <v>0</v>
      </c>
      <c r="CT541" s="167">
        <v>0</v>
      </c>
      <c r="CU541" s="167">
        <v>0</v>
      </c>
      <c r="CV541" s="167">
        <v>0</v>
      </c>
      <c r="CW541" s="167">
        <v>0</v>
      </c>
      <c r="CX541" s="167">
        <f>SUM(CD541:CH541)</f>
        <v>1</v>
      </c>
      <c r="CY541" s="167">
        <f>SUM(CD541:CM541)</f>
        <v>1</v>
      </c>
    </row>
    <row r="542" spans="1:103" ht="12.75" customHeight="1" x14ac:dyDescent="0.2">
      <c r="A542" s="81">
        <v>5793</v>
      </c>
      <c r="B542" s="165" t="s">
        <v>1908</v>
      </c>
      <c r="C542" s="165" t="s">
        <v>449</v>
      </c>
      <c r="E542" s="165" t="s">
        <v>3409</v>
      </c>
      <c r="F542" s="165" t="s">
        <v>452</v>
      </c>
      <c r="G542" s="81">
        <v>525347</v>
      </c>
      <c r="H542" s="81">
        <v>175071</v>
      </c>
      <c r="I542" s="165" t="s">
        <v>259</v>
      </c>
      <c r="J542" s="349">
        <v>42825</v>
      </c>
      <c r="L542" s="166">
        <v>0</v>
      </c>
      <c r="M542" s="166">
        <v>5</v>
      </c>
      <c r="N542" s="166">
        <v>5</v>
      </c>
      <c r="O542" s="166">
        <v>85</v>
      </c>
      <c r="P542" s="166">
        <v>85</v>
      </c>
      <c r="Q542" s="81" t="s">
        <v>155</v>
      </c>
      <c r="R542" s="165" t="s">
        <v>900</v>
      </c>
      <c r="S542" s="81" t="s">
        <v>104</v>
      </c>
      <c r="T542" s="349">
        <v>41969</v>
      </c>
      <c r="U542" s="349">
        <v>42264</v>
      </c>
      <c r="W542" s="81" t="s">
        <v>114</v>
      </c>
      <c r="Y542" s="81" t="s">
        <v>115</v>
      </c>
      <c r="Z542" s="81" t="s">
        <v>116</v>
      </c>
      <c r="AA542" s="81" t="s">
        <v>116</v>
      </c>
      <c r="AB542" s="81" t="s">
        <v>117</v>
      </c>
      <c r="AC542" s="166">
        <v>1.30000002682209E-2</v>
      </c>
      <c r="AD542" s="349">
        <v>42825</v>
      </c>
      <c r="AG542" s="81" t="s">
        <v>238</v>
      </c>
      <c r="AH542" s="81" t="s">
        <v>118</v>
      </c>
      <c r="AK542" s="166">
        <v>5</v>
      </c>
      <c r="AM542" s="166">
        <v>1</v>
      </c>
      <c r="AO542" s="166">
        <v>0</v>
      </c>
      <c r="AP542" s="166">
        <v>0</v>
      </c>
      <c r="AQ542" s="166">
        <v>5</v>
      </c>
      <c r="AR542" s="166">
        <v>0</v>
      </c>
      <c r="AS542" s="166">
        <v>0</v>
      </c>
      <c r="AT542" s="166">
        <v>0</v>
      </c>
      <c r="AU542" s="166">
        <v>0</v>
      </c>
      <c r="AV542" s="166">
        <v>0</v>
      </c>
      <c r="AW542" s="166">
        <v>0</v>
      </c>
      <c r="AX542" s="166">
        <v>5</v>
      </c>
      <c r="AY542" s="166">
        <v>0</v>
      </c>
      <c r="AZ542" s="166">
        <v>0</v>
      </c>
      <c r="BA542" s="166">
        <v>0</v>
      </c>
      <c r="BB542" s="166">
        <v>0</v>
      </c>
      <c r="BC542" s="166">
        <v>0</v>
      </c>
      <c r="BD542" s="166">
        <v>0</v>
      </c>
      <c r="BE542" s="166">
        <v>0</v>
      </c>
      <c r="BF542" s="166">
        <v>0</v>
      </c>
      <c r="BG542" s="166">
        <v>0</v>
      </c>
      <c r="BH542" s="166">
        <v>0</v>
      </c>
      <c r="BI542" s="166">
        <v>0</v>
      </c>
      <c r="BJ542" s="166">
        <v>0</v>
      </c>
      <c r="BK542" s="166">
        <v>0</v>
      </c>
      <c r="BL542" s="166">
        <v>0</v>
      </c>
      <c r="BM542" s="166">
        <v>0</v>
      </c>
      <c r="BN542" s="166">
        <v>0</v>
      </c>
      <c r="BO542" s="166">
        <v>0</v>
      </c>
      <c r="BP542" s="166">
        <v>0</v>
      </c>
      <c r="BQ542" s="81" t="s">
        <v>1758</v>
      </c>
      <c r="BT542" s="81" t="s">
        <v>155</v>
      </c>
      <c r="BZ542" s="81" t="s">
        <v>155</v>
      </c>
      <c r="CA542" s="81" t="s">
        <v>3934</v>
      </c>
      <c r="CC542" s="167">
        <v>0</v>
      </c>
      <c r="CD542" s="167">
        <v>0</v>
      </c>
      <c r="CE542" s="167">
        <f>N542</f>
        <v>5</v>
      </c>
      <c r="CF542" s="167">
        <v>0</v>
      </c>
      <c r="CG542" s="167">
        <v>0</v>
      </c>
      <c r="CH542" s="167">
        <v>0</v>
      </c>
      <c r="CI542" s="167">
        <v>0</v>
      </c>
      <c r="CJ542" s="167">
        <v>0</v>
      </c>
      <c r="CK542" s="167">
        <v>0</v>
      </c>
      <c r="CL542" s="167">
        <v>0</v>
      </c>
      <c r="CM542" s="167">
        <v>0</v>
      </c>
      <c r="CN542" s="167">
        <v>0</v>
      </c>
      <c r="CO542" s="167">
        <v>0</v>
      </c>
      <c r="CP542" s="167">
        <v>0</v>
      </c>
      <c r="CQ542" s="167">
        <v>0</v>
      </c>
      <c r="CR542" s="167">
        <v>0</v>
      </c>
      <c r="CS542" s="167">
        <v>0</v>
      </c>
      <c r="CT542" s="167">
        <v>0</v>
      </c>
      <c r="CU542" s="167">
        <v>0</v>
      </c>
      <c r="CV542" s="167">
        <v>0</v>
      </c>
      <c r="CW542" s="167">
        <v>0</v>
      </c>
      <c r="CX542" s="167">
        <f>SUM(CD542:CH542)</f>
        <v>5</v>
      </c>
      <c r="CY542" s="167">
        <f>SUM(CD542:CM542)</f>
        <v>5</v>
      </c>
    </row>
    <row r="543" spans="1:103" ht="12.75" customHeight="1" x14ac:dyDescent="0.2">
      <c r="A543" s="81">
        <v>5793</v>
      </c>
      <c r="B543" s="165" t="s">
        <v>1908</v>
      </c>
      <c r="C543" s="165" t="s">
        <v>449</v>
      </c>
      <c r="E543" s="165" t="s">
        <v>3409</v>
      </c>
      <c r="F543" s="165" t="s">
        <v>453</v>
      </c>
      <c r="G543" s="81">
        <v>525347</v>
      </c>
      <c r="H543" s="81">
        <v>175071</v>
      </c>
      <c r="I543" s="165" t="s">
        <v>259</v>
      </c>
      <c r="J543" s="349">
        <v>42825</v>
      </c>
      <c r="L543" s="166">
        <v>0</v>
      </c>
      <c r="M543" s="166">
        <v>1</v>
      </c>
      <c r="N543" s="166">
        <v>1</v>
      </c>
      <c r="O543" s="166">
        <v>85</v>
      </c>
      <c r="P543" s="166">
        <v>85</v>
      </c>
      <c r="Q543" s="81" t="s">
        <v>155</v>
      </c>
      <c r="R543" s="165" t="s">
        <v>900</v>
      </c>
      <c r="S543" s="81" t="s">
        <v>104</v>
      </c>
      <c r="T543" s="349">
        <v>41969</v>
      </c>
      <c r="U543" s="349">
        <v>42264</v>
      </c>
      <c r="W543" s="81" t="s">
        <v>114</v>
      </c>
      <c r="Y543" s="81" t="s">
        <v>115</v>
      </c>
      <c r="Z543" s="81" t="s">
        <v>116</v>
      </c>
      <c r="AA543" s="81" t="s">
        <v>116</v>
      </c>
      <c r="AB543" s="81" t="s">
        <v>117</v>
      </c>
      <c r="AC543" s="166">
        <v>3.0000000260770299E-3</v>
      </c>
      <c r="AD543" s="349">
        <v>42825</v>
      </c>
      <c r="AG543" s="81" t="s">
        <v>74</v>
      </c>
      <c r="AH543" s="81" t="s">
        <v>1913</v>
      </c>
      <c r="AK543" s="166">
        <v>1</v>
      </c>
      <c r="AM543" s="166">
        <v>0</v>
      </c>
      <c r="AO543" s="166">
        <v>0</v>
      </c>
      <c r="AP543" s="166">
        <v>1</v>
      </c>
      <c r="AQ543" s="166">
        <v>0</v>
      </c>
      <c r="AR543" s="166">
        <v>0</v>
      </c>
      <c r="AS543" s="166">
        <v>0</v>
      </c>
      <c r="AT543" s="166">
        <v>0</v>
      </c>
      <c r="AU543" s="166">
        <v>0</v>
      </c>
      <c r="AV543" s="166">
        <v>0</v>
      </c>
      <c r="AW543" s="166">
        <v>1</v>
      </c>
      <c r="AX543" s="166">
        <v>0</v>
      </c>
      <c r="AY543" s="166">
        <v>0</v>
      </c>
      <c r="AZ543" s="166">
        <v>0</v>
      </c>
      <c r="BA543" s="166">
        <v>0</v>
      </c>
      <c r="BB543" s="166">
        <v>0</v>
      </c>
      <c r="BC543" s="166">
        <v>0</v>
      </c>
      <c r="BD543" s="166">
        <v>0</v>
      </c>
      <c r="BE543" s="166">
        <v>0</v>
      </c>
      <c r="BF543" s="166">
        <v>0</v>
      </c>
      <c r="BG543" s="166">
        <v>0</v>
      </c>
      <c r="BH543" s="166">
        <v>0</v>
      </c>
      <c r="BI543" s="166">
        <v>0</v>
      </c>
      <c r="BJ543" s="166">
        <v>0</v>
      </c>
      <c r="BK543" s="166">
        <v>0</v>
      </c>
      <c r="BL543" s="166">
        <v>0</v>
      </c>
      <c r="BM543" s="166">
        <v>0</v>
      </c>
      <c r="BN543" s="166">
        <v>0</v>
      </c>
      <c r="BO543" s="166">
        <v>0</v>
      </c>
      <c r="BP543" s="166">
        <v>0</v>
      </c>
      <c r="BQ543" s="81" t="s">
        <v>1758</v>
      </c>
      <c r="BT543" s="81" t="s">
        <v>155</v>
      </c>
      <c r="BZ543" s="81" t="s">
        <v>155</v>
      </c>
      <c r="CA543" s="81" t="s">
        <v>3934</v>
      </c>
      <c r="CC543" s="167">
        <v>0</v>
      </c>
      <c r="CD543" s="167">
        <v>0</v>
      </c>
      <c r="CE543" s="167">
        <f>N543</f>
        <v>1</v>
      </c>
      <c r="CF543" s="167">
        <v>0</v>
      </c>
      <c r="CG543" s="167">
        <v>0</v>
      </c>
      <c r="CH543" s="167">
        <v>0</v>
      </c>
      <c r="CI543" s="167">
        <v>0</v>
      </c>
      <c r="CJ543" s="167">
        <v>0</v>
      </c>
      <c r="CK543" s="167">
        <v>0</v>
      </c>
      <c r="CL543" s="167">
        <v>0</v>
      </c>
      <c r="CM543" s="167">
        <v>0</v>
      </c>
      <c r="CN543" s="167">
        <v>0</v>
      </c>
      <c r="CO543" s="167">
        <v>0</v>
      </c>
      <c r="CP543" s="167">
        <v>0</v>
      </c>
      <c r="CQ543" s="167">
        <v>0</v>
      </c>
      <c r="CR543" s="167">
        <v>0</v>
      </c>
      <c r="CS543" s="167">
        <v>0</v>
      </c>
      <c r="CT543" s="167">
        <v>0</v>
      </c>
      <c r="CU543" s="167">
        <v>0</v>
      </c>
      <c r="CV543" s="167">
        <v>0</v>
      </c>
      <c r="CW543" s="167">
        <v>0</v>
      </c>
      <c r="CX543" s="167">
        <f>SUM(CD543:CH543)</f>
        <v>1</v>
      </c>
      <c r="CY543" s="167">
        <f>SUM(CD543:CM543)</f>
        <v>1</v>
      </c>
    </row>
    <row r="544" spans="1:103" ht="12.75" customHeight="1" x14ac:dyDescent="0.2">
      <c r="A544" s="81">
        <v>5793</v>
      </c>
      <c r="B544" s="165" t="s">
        <v>1908</v>
      </c>
      <c r="C544" s="165" t="s">
        <v>449</v>
      </c>
      <c r="E544" s="165" t="s">
        <v>3409</v>
      </c>
      <c r="F544" s="165" t="s">
        <v>454</v>
      </c>
      <c r="G544" s="81">
        <v>525347</v>
      </c>
      <c r="H544" s="81">
        <v>175071</v>
      </c>
      <c r="I544" s="165" t="s">
        <v>259</v>
      </c>
      <c r="J544" s="349">
        <v>42825</v>
      </c>
      <c r="L544" s="166">
        <v>0</v>
      </c>
      <c r="M544" s="166">
        <v>5</v>
      </c>
      <c r="N544" s="166">
        <v>5</v>
      </c>
      <c r="O544" s="166">
        <v>85</v>
      </c>
      <c r="P544" s="166">
        <v>85</v>
      </c>
      <c r="Q544" s="81" t="s">
        <v>155</v>
      </c>
      <c r="R544" s="165" t="s">
        <v>900</v>
      </c>
      <c r="S544" s="81" t="s">
        <v>104</v>
      </c>
      <c r="T544" s="349">
        <v>41969</v>
      </c>
      <c r="U544" s="349">
        <v>42264</v>
      </c>
      <c r="W544" s="81" t="s">
        <v>114</v>
      </c>
      <c r="Y544" s="81" t="s">
        <v>115</v>
      </c>
      <c r="Z544" s="81" t="s">
        <v>116</v>
      </c>
      <c r="AA544" s="81" t="s">
        <v>116</v>
      </c>
      <c r="AB544" s="81" t="s">
        <v>117</v>
      </c>
      <c r="AC544" s="166">
        <v>1.30000002682209E-2</v>
      </c>
      <c r="AD544" s="349">
        <v>42825</v>
      </c>
      <c r="AG544" s="81" t="s">
        <v>238</v>
      </c>
      <c r="AH544" s="81" t="s">
        <v>118</v>
      </c>
      <c r="AK544" s="166">
        <v>5</v>
      </c>
      <c r="AM544" s="166">
        <v>1</v>
      </c>
      <c r="AO544" s="166">
        <v>0</v>
      </c>
      <c r="AP544" s="166">
        <v>0</v>
      </c>
      <c r="AQ544" s="166">
        <v>5</v>
      </c>
      <c r="AR544" s="166">
        <v>0</v>
      </c>
      <c r="AS544" s="166">
        <v>0</v>
      </c>
      <c r="AT544" s="166">
        <v>0</v>
      </c>
      <c r="AU544" s="166">
        <v>0</v>
      </c>
      <c r="AV544" s="166">
        <v>0</v>
      </c>
      <c r="AW544" s="166">
        <v>0</v>
      </c>
      <c r="AX544" s="166">
        <v>5</v>
      </c>
      <c r="AY544" s="166">
        <v>0</v>
      </c>
      <c r="AZ544" s="166">
        <v>0</v>
      </c>
      <c r="BA544" s="166">
        <v>0</v>
      </c>
      <c r="BB544" s="166">
        <v>0</v>
      </c>
      <c r="BC544" s="166">
        <v>0</v>
      </c>
      <c r="BD544" s="166">
        <v>0</v>
      </c>
      <c r="BE544" s="166">
        <v>0</v>
      </c>
      <c r="BF544" s="166">
        <v>0</v>
      </c>
      <c r="BG544" s="166">
        <v>0</v>
      </c>
      <c r="BH544" s="166">
        <v>0</v>
      </c>
      <c r="BI544" s="166">
        <v>0</v>
      </c>
      <c r="BJ544" s="166">
        <v>0</v>
      </c>
      <c r="BK544" s="166">
        <v>0</v>
      </c>
      <c r="BL544" s="166">
        <v>0</v>
      </c>
      <c r="BM544" s="166">
        <v>0</v>
      </c>
      <c r="BN544" s="166">
        <v>0</v>
      </c>
      <c r="BO544" s="166">
        <v>0</v>
      </c>
      <c r="BP544" s="166">
        <v>0</v>
      </c>
      <c r="BQ544" s="81" t="s">
        <v>1758</v>
      </c>
      <c r="BT544" s="81" t="s">
        <v>155</v>
      </c>
      <c r="BZ544" s="81" t="s">
        <v>155</v>
      </c>
      <c r="CA544" s="81" t="s">
        <v>3934</v>
      </c>
      <c r="CC544" s="167">
        <v>0</v>
      </c>
      <c r="CD544" s="167">
        <v>0</v>
      </c>
      <c r="CE544" s="167">
        <f>N544</f>
        <v>5</v>
      </c>
      <c r="CF544" s="167">
        <v>0</v>
      </c>
      <c r="CG544" s="167">
        <v>0</v>
      </c>
      <c r="CH544" s="167">
        <v>0</v>
      </c>
      <c r="CI544" s="167">
        <v>0</v>
      </c>
      <c r="CJ544" s="167">
        <v>0</v>
      </c>
      <c r="CK544" s="167">
        <v>0</v>
      </c>
      <c r="CL544" s="167">
        <v>0</v>
      </c>
      <c r="CM544" s="167">
        <v>0</v>
      </c>
      <c r="CN544" s="167">
        <v>0</v>
      </c>
      <c r="CO544" s="167">
        <v>0</v>
      </c>
      <c r="CP544" s="167">
        <v>0</v>
      </c>
      <c r="CQ544" s="167">
        <v>0</v>
      </c>
      <c r="CR544" s="167">
        <v>0</v>
      </c>
      <c r="CS544" s="167">
        <v>0</v>
      </c>
      <c r="CT544" s="167">
        <v>0</v>
      </c>
      <c r="CU544" s="167">
        <v>0</v>
      </c>
      <c r="CV544" s="167">
        <v>0</v>
      </c>
      <c r="CW544" s="167">
        <v>0</v>
      </c>
      <c r="CX544" s="167">
        <f>SUM(CD544:CH544)</f>
        <v>5</v>
      </c>
      <c r="CY544" s="167">
        <f>SUM(CD544:CM544)</f>
        <v>5</v>
      </c>
    </row>
    <row r="545" spans="1:103" ht="12.75" customHeight="1" x14ac:dyDescent="0.2">
      <c r="A545" s="81">
        <v>5793</v>
      </c>
      <c r="B545" s="165" t="s">
        <v>1908</v>
      </c>
      <c r="C545" s="165" t="s">
        <v>449</v>
      </c>
      <c r="E545" s="165" t="s">
        <v>3409</v>
      </c>
      <c r="F545" s="165" t="s">
        <v>455</v>
      </c>
      <c r="G545" s="81">
        <v>525347</v>
      </c>
      <c r="H545" s="81">
        <v>175071</v>
      </c>
      <c r="I545" s="165" t="s">
        <v>259</v>
      </c>
      <c r="J545" s="349">
        <v>42825</v>
      </c>
      <c r="L545" s="166">
        <v>0</v>
      </c>
      <c r="M545" s="166">
        <v>1</v>
      </c>
      <c r="N545" s="166">
        <v>1</v>
      </c>
      <c r="O545" s="166">
        <v>85</v>
      </c>
      <c r="P545" s="166">
        <v>85</v>
      </c>
      <c r="Q545" s="81" t="s">
        <v>155</v>
      </c>
      <c r="R545" s="165" t="s">
        <v>900</v>
      </c>
      <c r="S545" s="81" t="s">
        <v>104</v>
      </c>
      <c r="T545" s="349">
        <v>41969</v>
      </c>
      <c r="U545" s="349">
        <v>42264</v>
      </c>
      <c r="W545" s="81" t="s">
        <v>114</v>
      </c>
      <c r="Y545" s="81" t="s">
        <v>115</v>
      </c>
      <c r="Z545" s="81" t="s">
        <v>116</v>
      </c>
      <c r="AA545" s="81" t="s">
        <v>116</v>
      </c>
      <c r="AB545" s="81" t="s">
        <v>117</v>
      </c>
      <c r="AC545" s="166">
        <v>3.0000000260770299E-3</v>
      </c>
      <c r="AD545" s="349">
        <v>42825</v>
      </c>
      <c r="AG545" s="81" t="s">
        <v>74</v>
      </c>
      <c r="AH545" s="81" t="s">
        <v>1913</v>
      </c>
      <c r="AK545" s="166">
        <v>1</v>
      </c>
      <c r="AM545" s="166">
        <v>0</v>
      </c>
      <c r="AO545" s="166">
        <v>0</v>
      </c>
      <c r="AP545" s="166">
        <v>1</v>
      </c>
      <c r="AQ545" s="166">
        <v>0</v>
      </c>
      <c r="AR545" s="166">
        <v>0</v>
      </c>
      <c r="AS545" s="166">
        <v>0</v>
      </c>
      <c r="AT545" s="166">
        <v>0</v>
      </c>
      <c r="AU545" s="166">
        <v>0</v>
      </c>
      <c r="AV545" s="166">
        <v>0</v>
      </c>
      <c r="AW545" s="166">
        <v>1</v>
      </c>
      <c r="AX545" s="166">
        <v>0</v>
      </c>
      <c r="AY545" s="166">
        <v>0</v>
      </c>
      <c r="AZ545" s="166">
        <v>0</v>
      </c>
      <c r="BA545" s="166">
        <v>0</v>
      </c>
      <c r="BB545" s="166">
        <v>0</v>
      </c>
      <c r="BC545" s="166">
        <v>0</v>
      </c>
      <c r="BD545" s="166">
        <v>0</v>
      </c>
      <c r="BE545" s="166">
        <v>0</v>
      </c>
      <c r="BF545" s="166">
        <v>0</v>
      </c>
      <c r="BG545" s="166">
        <v>0</v>
      </c>
      <c r="BH545" s="166">
        <v>0</v>
      </c>
      <c r="BI545" s="166">
        <v>0</v>
      </c>
      <c r="BJ545" s="166">
        <v>0</v>
      </c>
      <c r="BK545" s="166">
        <v>0</v>
      </c>
      <c r="BL545" s="166">
        <v>0</v>
      </c>
      <c r="BM545" s="166">
        <v>0</v>
      </c>
      <c r="BN545" s="166">
        <v>0</v>
      </c>
      <c r="BO545" s="166">
        <v>0</v>
      </c>
      <c r="BP545" s="166">
        <v>0</v>
      </c>
      <c r="BQ545" s="81" t="s">
        <v>1758</v>
      </c>
      <c r="BT545" s="81" t="s">
        <v>155</v>
      </c>
      <c r="BZ545" s="81" t="s">
        <v>155</v>
      </c>
      <c r="CA545" s="81" t="s">
        <v>3934</v>
      </c>
      <c r="CC545" s="167">
        <v>0</v>
      </c>
      <c r="CD545" s="167">
        <v>0</v>
      </c>
      <c r="CE545" s="167">
        <f>N545</f>
        <v>1</v>
      </c>
      <c r="CF545" s="167">
        <v>0</v>
      </c>
      <c r="CG545" s="167">
        <v>0</v>
      </c>
      <c r="CH545" s="167">
        <v>0</v>
      </c>
      <c r="CI545" s="167">
        <v>0</v>
      </c>
      <c r="CJ545" s="167">
        <v>0</v>
      </c>
      <c r="CK545" s="167">
        <v>0</v>
      </c>
      <c r="CL545" s="167">
        <v>0</v>
      </c>
      <c r="CM545" s="167">
        <v>0</v>
      </c>
      <c r="CN545" s="167">
        <v>0</v>
      </c>
      <c r="CO545" s="167">
        <v>0</v>
      </c>
      <c r="CP545" s="167">
        <v>0</v>
      </c>
      <c r="CQ545" s="167">
        <v>0</v>
      </c>
      <c r="CR545" s="167">
        <v>0</v>
      </c>
      <c r="CS545" s="167">
        <v>0</v>
      </c>
      <c r="CT545" s="167">
        <v>0</v>
      </c>
      <c r="CU545" s="167">
        <v>0</v>
      </c>
      <c r="CV545" s="167">
        <v>0</v>
      </c>
      <c r="CW545" s="167">
        <v>0</v>
      </c>
      <c r="CX545" s="167">
        <f>SUM(CD545:CH545)</f>
        <v>1</v>
      </c>
      <c r="CY545" s="167">
        <f>SUM(CD545:CM545)</f>
        <v>1</v>
      </c>
    </row>
    <row r="546" spans="1:103" ht="12.75" customHeight="1" x14ac:dyDescent="0.2">
      <c r="A546" s="81">
        <v>5793</v>
      </c>
      <c r="B546" s="165" t="s">
        <v>1908</v>
      </c>
      <c r="C546" s="165" t="s">
        <v>449</v>
      </c>
      <c r="E546" s="165" t="s">
        <v>3409</v>
      </c>
      <c r="F546" s="165" t="s">
        <v>455</v>
      </c>
      <c r="G546" s="81">
        <v>525347</v>
      </c>
      <c r="H546" s="81">
        <v>175071</v>
      </c>
      <c r="I546" s="165" t="s">
        <v>259</v>
      </c>
      <c r="J546" s="349">
        <v>42825</v>
      </c>
      <c r="L546" s="166">
        <v>0</v>
      </c>
      <c r="M546" s="166">
        <v>1</v>
      </c>
      <c r="N546" s="166">
        <v>1</v>
      </c>
      <c r="O546" s="166">
        <v>85</v>
      </c>
      <c r="P546" s="166">
        <v>85</v>
      </c>
      <c r="Q546" s="81" t="s">
        <v>155</v>
      </c>
      <c r="R546" s="165" t="s">
        <v>900</v>
      </c>
      <c r="S546" s="81" t="s">
        <v>104</v>
      </c>
      <c r="T546" s="349">
        <v>41969</v>
      </c>
      <c r="U546" s="349">
        <v>42264</v>
      </c>
      <c r="W546" s="81" t="s">
        <v>114</v>
      </c>
      <c r="Y546" s="81" t="s">
        <v>115</v>
      </c>
      <c r="Z546" s="81" t="s">
        <v>116</v>
      </c>
      <c r="AA546" s="81" t="s">
        <v>116</v>
      </c>
      <c r="AB546" s="81" t="s">
        <v>117</v>
      </c>
      <c r="AC546" s="166">
        <v>3.0000000260770299E-3</v>
      </c>
      <c r="AD546" s="349">
        <v>42825</v>
      </c>
      <c r="AG546" s="81" t="s">
        <v>74</v>
      </c>
      <c r="AH546" s="81" t="s">
        <v>1913</v>
      </c>
      <c r="AK546" s="166">
        <v>1</v>
      </c>
      <c r="AM546" s="166">
        <v>0</v>
      </c>
      <c r="AO546" s="166">
        <v>0</v>
      </c>
      <c r="AP546" s="166">
        <v>1</v>
      </c>
      <c r="AQ546" s="166">
        <v>0</v>
      </c>
      <c r="AR546" s="166">
        <v>0</v>
      </c>
      <c r="AS546" s="166">
        <v>0</v>
      </c>
      <c r="AT546" s="166">
        <v>0</v>
      </c>
      <c r="AU546" s="166">
        <v>0</v>
      </c>
      <c r="AV546" s="166">
        <v>0</v>
      </c>
      <c r="AW546" s="166">
        <v>1</v>
      </c>
      <c r="AX546" s="166">
        <v>0</v>
      </c>
      <c r="AY546" s="166">
        <v>0</v>
      </c>
      <c r="AZ546" s="166">
        <v>0</v>
      </c>
      <c r="BA546" s="166">
        <v>0</v>
      </c>
      <c r="BB546" s="166">
        <v>0</v>
      </c>
      <c r="BC546" s="166">
        <v>0</v>
      </c>
      <c r="BD546" s="166">
        <v>0</v>
      </c>
      <c r="BE546" s="166">
        <v>0</v>
      </c>
      <c r="BF546" s="166">
        <v>0</v>
      </c>
      <c r="BG546" s="166">
        <v>0</v>
      </c>
      <c r="BH546" s="166">
        <v>0</v>
      </c>
      <c r="BI546" s="166">
        <v>0</v>
      </c>
      <c r="BJ546" s="166">
        <v>0</v>
      </c>
      <c r="BK546" s="166">
        <v>0</v>
      </c>
      <c r="BL546" s="166">
        <v>0</v>
      </c>
      <c r="BM546" s="166">
        <v>0</v>
      </c>
      <c r="BN546" s="166">
        <v>0</v>
      </c>
      <c r="BO546" s="166">
        <v>0</v>
      </c>
      <c r="BP546" s="166">
        <v>0</v>
      </c>
      <c r="BQ546" s="81" t="s">
        <v>1758</v>
      </c>
      <c r="BT546" s="81" t="s">
        <v>155</v>
      </c>
      <c r="BZ546" s="81" t="s">
        <v>155</v>
      </c>
      <c r="CA546" s="81" t="s">
        <v>3934</v>
      </c>
      <c r="CC546" s="167">
        <v>0</v>
      </c>
      <c r="CD546" s="167">
        <v>0</v>
      </c>
      <c r="CE546" s="167">
        <f>N546</f>
        <v>1</v>
      </c>
      <c r="CF546" s="167">
        <v>0</v>
      </c>
      <c r="CG546" s="167">
        <v>0</v>
      </c>
      <c r="CH546" s="167">
        <v>0</v>
      </c>
      <c r="CI546" s="167">
        <v>0</v>
      </c>
      <c r="CJ546" s="167">
        <v>0</v>
      </c>
      <c r="CK546" s="167">
        <v>0</v>
      </c>
      <c r="CL546" s="167">
        <v>0</v>
      </c>
      <c r="CM546" s="167">
        <v>0</v>
      </c>
      <c r="CN546" s="167">
        <v>0</v>
      </c>
      <c r="CO546" s="167">
        <v>0</v>
      </c>
      <c r="CP546" s="167">
        <v>0</v>
      </c>
      <c r="CQ546" s="167">
        <v>0</v>
      </c>
      <c r="CR546" s="167">
        <v>0</v>
      </c>
      <c r="CS546" s="167">
        <v>0</v>
      </c>
      <c r="CT546" s="167">
        <v>0</v>
      </c>
      <c r="CU546" s="167">
        <v>0</v>
      </c>
      <c r="CV546" s="167">
        <v>0</v>
      </c>
      <c r="CW546" s="167">
        <v>0</v>
      </c>
      <c r="CX546" s="167">
        <f>SUM(CD546:CH546)</f>
        <v>1</v>
      </c>
      <c r="CY546" s="167">
        <f>SUM(CD546:CM546)</f>
        <v>1</v>
      </c>
    </row>
    <row r="547" spans="1:103" x14ac:dyDescent="0.2">
      <c r="A547" s="81">
        <v>5793</v>
      </c>
      <c r="B547" s="165" t="s">
        <v>1908</v>
      </c>
      <c r="C547" s="165" t="s">
        <v>449</v>
      </c>
      <c r="E547" s="165" t="s">
        <v>3409</v>
      </c>
      <c r="F547" s="165" t="s">
        <v>456</v>
      </c>
      <c r="G547" s="81">
        <v>525347</v>
      </c>
      <c r="H547" s="81">
        <v>175071</v>
      </c>
      <c r="I547" s="165" t="s">
        <v>259</v>
      </c>
      <c r="J547" s="349">
        <v>42825</v>
      </c>
      <c r="L547" s="166">
        <v>0</v>
      </c>
      <c r="M547" s="166">
        <v>5</v>
      </c>
      <c r="N547" s="166">
        <v>5</v>
      </c>
      <c r="O547" s="166">
        <v>85</v>
      </c>
      <c r="P547" s="166">
        <v>85</v>
      </c>
      <c r="Q547" s="81" t="s">
        <v>155</v>
      </c>
      <c r="R547" s="165" t="s">
        <v>900</v>
      </c>
      <c r="S547" s="81" t="s">
        <v>104</v>
      </c>
      <c r="T547" s="349">
        <v>41969</v>
      </c>
      <c r="U547" s="349">
        <v>42264</v>
      </c>
      <c r="W547" s="81" t="s">
        <v>114</v>
      </c>
      <c r="Y547" s="81" t="s">
        <v>115</v>
      </c>
      <c r="Z547" s="81" t="s">
        <v>116</v>
      </c>
      <c r="AA547" s="81" t="s">
        <v>116</v>
      </c>
      <c r="AB547" s="81" t="s">
        <v>117</v>
      </c>
      <c r="AC547" s="166">
        <v>1.30000002682209E-2</v>
      </c>
      <c r="AD547" s="349">
        <v>42825</v>
      </c>
      <c r="AG547" s="81" t="s">
        <v>238</v>
      </c>
      <c r="AH547" s="81" t="s">
        <v>118</v>
      </c>
      <c r="AK547" s="166">
        <v>5</v>
      </c>
      <c r="AM547" s="166">
        <v>0</v>
      </c>
      <c r="AO547" s="166">
        <v>0</v>
      </c>
      <c r="AP547" s="166">
        <v>0</v>
      </c>
      <c r="AQ547" s="166">
        <v>5</v>
      </c>
      <c r="AR547" s="166">
        <v>0</v>
      </c>
      <c r="AS547" s="166">
        <v>0</v>
      </c>
      <c r="AT547" s="166">
        <v>0</v>
      </c>
      <c r="AU547" s="166">
        <v>0</v>
      </c>
      <c r="AV547" s="166">
        <v>0</v>
      </c>
      <c r="AW547" s="166">
        <v>0</v>
      </c>
      <c r="AX547" s="166">
        <v>5</v>
      </c>
      <c r="AY547" s="166">
        <v>0</v>
      </c>
      <c r="AZ547" s="166">
        <v>0</v>
      </c>
      <c r="BA547" s="166">
        <v>0</v>
      </c>
      <c r="BB547" s="166">
        <v>0</v>
      </c>
      <c r="BC547" s="166">
        <v>0</v>
      </c>
      <c r="BD547" s="166">
        <v>0</v>
      </c>
      <c r="BE547" s="166">
        <v>0</v>
      </c>
      <c r="BF547" s="166">
        <v>0</v>
      </c>
      <c r="BG547" s="166">
        <v>0</v>
      </c>
      <c r="BH547" s="166">
        <v>0</v>
      </c>
      <c r="BI547" s="166">
        <v>0</v>
      </c>
      <c r="BJ547" s="166">
        <v>0</v>
      </c>
      <c r="BK547" s="166">
        <v>0</v>
      </c>
      <c r="BL547" s="166">
        <v>0</v>
      </c>
      <c r="BM547" s="166">
        <v>0</v>
      </c>
      <c r="BN547" s="166">
        <v>0</v>
      </c>
      <c r="BO547" s="166">
        <v>0</v>
      </c>
      <c r="BP547" s="166">
        <v>0</v>
      </c>
      <c r="BQ547" s="81" t="s">
        <v>1758</v>
      </c>
      <c r="BT547" s="81" t="s">
        <v>155</v>
      </c>
      <c r="BZ547" s="81" t="s">
        <v>155</v>
      </c>
      <c r="CA547" s="81" t="s">
        <v>3934</v>
      </c>
      <c r="CC547" s="167">
        <v>0</v>
      </c>
      <c r="CD547" s="167">
        <v>0</v>
      </c>
      <c r="CE547" s="167">
        <f>N547</f>
        <v>5</v>
      </c>
      <c r="CF547" s="167">
        <v>0</v>
      </c>
      <c r="CG547" s="167">
        <v>0</v>
      </c>
      <c r="CH547" s="167">
        <v>0</v>
      </c>
      <c r="CI547" s="167">
        <v>0</v>
      </c>
      <c r="CJ547" s="167">
        <v>0</v>
      </c>
      <c r="CK547" s="167">
        <v>0</v>
      </c>
      <c r="CL547" s="167">
        <v>0</v>
      </c>
      <c r="CM547" s="167">
        <v>0</v>
      </c>
      <c r="CN547" s="167">
        <v>0</v>
      </c>
      <c r="CO547" s="167">
        <v>0</v>
      </c>
      <c r="CP547" s="167">
        <v>0</v>
      </c>
      <c r="CQ547" s="167">
        <v>0</v>
      </c>
      <c r="CR547" s="167">
        <v>0</v>
      </c>
      <c r="CS547" s="167">
        <v>0</v>
      </c>
      <c r="CT547" s="167">
        <v>0</v>
      </c>
      <c r="CU547" s="167">
        <v>0</v>
      </c>
      <c r="CV547" s="167">
        <v>0</v>
      </c>
      <c r="CW547" s="167">
        <v>0</v>
      </c>
      <c r="CX547" s="167">
        <f>SUM(CD547:CH547)</f>
        <v>5</v>
      </c>
      <c r="CY547" s="167">
        <f>SUM(CD547:CM547)</f>
        <v>5</v>
      </c>
    </row>
    <row r="548" spans="1:103" ht="12.75" customHeight="1" x14ac:dyDescent="0.2">
      <c r="A548" s="81">
        <v>5793</v>
      </c>
      <c r="B548" s="165" t="s">
        <v>1908</v>
      </c>
      <c r="C548" s="165" t="s">
        <v>449</v>
      </c>
      <c r="E548" s="165" t="s">
        <v>3409</v>
      </c>
      <c r="F548" s="165" t="s">
        <v>457</v>
      </c>
      <c r="G548" s="81">
        <v>525347</v>
      </c>
      <c r="H548" s="81">
        <v>175071</v>
      </c>
      <c r="I548" s="165" t="s">
        <v>259</v>
      </c>
      <c r="J548" s="349">
        <v>42825</v>
      </c>
      <c r="L548" s="166">
        <v>0</v>
      </c>
      <c r="M548" s="166">
        <v>5</v>
      </c>
      <c r="N548" s="166">
        <v>5</v>
      </c>
      <c r="O548" s="166">
        <v>85</v>
      </c>
      <c r="P548" s="166">
        <v>85</v>
      </c>
      <c r="Q548" s="81" t="s">
        <v>155</v>
      </c>
      <c r="R548" s="165" t="s">
        <v>900</v>
      </c>
      <c r="S548" s="81" t="s">
        <v>104</v>
      </c>
      <c r="T548" s="349">
        <v>41969</v>
      </c>
      <c r="U548" s="349">
        <v>42264</v>
      </c>
      <c r="W548" s="81" t="s">
        <v>114</v>
      </c>
      <c r="Y548" s="81" t="s">
        <v>115</v>
      </c>
      <c r="Z548" s="81" t="s">
        <v>116</v>
      </c>
      <c r="AA548" s="81" t="s">
        <v>116</v>
      </c>
      <c r="AB548" s="81" t="s">
        <v>117</v>
      </c>
      <c r="AC548" s="166">
        <v>1.30000002682209E-2</v>
      </c>
      <c r="AD548" s="349">
        <v>42825</v>
      </c>
      <c r="AG548" s="81" t="s">
        <v>238</v>
      </c>
      <c r="AH548" s="81" t="s">
        <v>118</v>
      </c>
      <c r="AK548" s="166">
        <v>5</v>
      </c>
      <c r="AM548" s="166">
        <v>0</v>
      </c>
      <c r="AO548" s="166">
        <v>0</v>
      </c>
      <c r="AP548" s="166">
        <v>0</v>
      </c>
      <c r="AQ548" s="166">
        <v>5</v>
      </c>
      <c r="AR548" s="166">
        <v>0</v>
      </c>
      <c r="AS548" s="166">
        <v>0</v>
      </c>
      <c r="AT548" s="166">
        <v>0</v>
      </c>
      <c r="AU548" s="166">
        <v>0</v>
      </c>
      <c r="AV548" s="166">
        <v>0</v>
      </c>
      <c r="AW548" s="166">
        <v>0</v>
      </c>
      <c r="AX548" s="166">
        <v>5</v>
      </c>
      <c r="AY548" s="166">
        <v>0</v>
      </c>
      <c r="AZ548" s="166">
        <v>0</v>
      </c>
      <c r="BA548" s="166">
        <v>0</v>
      </c>
      <c r="BB548" s="166">
        <v>0</v>
      </c>
      <c r="BC548" s="166">
        <v>0</v>
      </c>
      <c r="BD548" s="166">
        <v>0</v>
      </c>
      <c r="BE548" s="166">
        <v>0</v>
      </c>
      <c r="BF548" s="166">
        <v>0</v>
      </c>
      <c r="BG548" s="166">
        <v>0</v>
      </c>
      <c r="BH548" s="166">
        <v>0</v>
      </c>
      <c r="BI548" s="166">
        <v>0</v>
      </c>
      <c r="BJ548" s="166">
        <v>0</v>
      </c>
      <c r="BK548" s="166">
        <v>0</v>
      </c>
      <c r="BL548" s="166">
        <v>0</v>
      </c>
      <c r="BM548" s="166">
        <v>0</v>
      </c>
      <c r="BN548" s="166">
        <v>0</v>
      </c>
      <c r="BO548" s="166">
        <v>0</v>
      </c>
      <c r="BP548" s="166">
        <v>0</v>
      </c>
      <c r="BQ548" s="81" t="s">
        <v>1758</v>
      </c>
      <c r="BT548" s="81" t="s">
        <v>155</v>
      </c>
      <c r="BZ548" s="81" t="s">
        <v>155</v>
      </c>
      <c r="CA548" s="81" t="s">
        <v>3934</v>
      </c>
      <c r="CC548" s="167">
        <v>0</v>
      </c>
      <c r="CD548" s="167">
        <v>0</v>
      </c>
      <c r="CE548" s="167">
        <f>N548</f>
        <v>5</v>
      </c>
      <c r="CF548" s="167">
        <v>0</v>
      </c>
      <c r="CG548" s="167">
        <v>0</v>
      </c>
      <c r="CH548" s="167">
        <v>0</v>
      </c>
      <c r="CI548" s="167">
        <v>0</v>
      </c>
      <c r="CJ548" s="167">
        <v>0</v>
      </c>
      <c r="CK548" s="167">
        <v>0</v>
      </c>
      <c r="CL548" s="167">
        <v>0</v>
      </c>
      <c r="CM548" s="167">
        <v>0</v>
      </c>
      <c r="CN548" s="167">
        <v>0</v>
      </c>
      <c r="CO548" s="167">
        <v>0</v>
      </c>
      <c r="CP548" s="167">
        <v>0</v>
      </c>
      <c r="CQ548" s="167">
        <v>0</v>
      </c>
      <c r="CR548" s="167">
        <v>0</v>
      </c>
      <c r="CS548" s="167">
        <v>0</v>
      </c>
      <c r="CT548" s="167">
        <v>0</v>
      </c>
      <c r="CU548" s="167">
        <v>0</v>
      </c>
      <c r="CV548" s="167">
        <v>0</v>
      </c>
      <c r="CW548" s="167">
        <v>0</v>
      </c>
      <c r="CX548" s="167">
        <f>SUM(CD548:CH548)</f>
        <v>5</v>
      </c>
      <c r="CY548" s="167">
        <f>SUM(CD548:CM548)</f>
        <v>5</v>
      </c>
    </row>
    <row r="549" spans="1:103" ht="12.75" customHeight="1" x14ac:dyDescent="0.2">
      <c r="A549" s="81">
        <v>5793</v>
      </c>
      <c r="B549" s="165" t="s">
        <v>1908</v>
      </c>
      <c r="C549" s="165" t="s">
        <v>449</v>
      </c>
      <c r="E549" s="165" t="s">
        <v>3409</v>
      </c>
      <c r="F549" s="165" t="s">
        <v>458</v>
      </c>
      <c r="G549" s="81">
        <v>525347</v>
      </c>
      <c r="H549" s="81">
        <v>175071</v>
      </c>
      <c r="I549" s="165" t="s">
        <v>259</v>
      </c>
      <c r="J549" s="349">
        <v>42825</v>
      </c>
      <c r="L549" s="166">
        <v>0</v>
      </c>
      <c r="M549" s="166">
        <v>1</v>
      </c>
      <c r="N549" s="166">
        <v>1</v>
      </c>
      <c r="O549" s="166">
        <v>85</v>
      </c>
      <c r="P549" s="166">
        <v>85</v>
      </c>
      <c r="Q549" s="81" t="s">
        <v>155</v>
      </c>
      <c r="R549" s="165" t="s">
        <v>900</v>
      </c>
      <c r="S549" s="81" t="s">
        <v>104</v>
      </c>
      <c r="T549" s="349">
        <v>41969</v>
      </c>
      <c r="U549" s="349">
        <v>42264</v>
      </c>
      <c r="W549" s="81" t="s">
        <v>114</v>
      </c>
      <c r="Y549" s="81" t="s">
        <v>115</v>
      </c>
      <c r="Z549" s="81" t="s">
        <v>116</v>
      </c>
      <c r="AA549" s="81" t="s">
        <v>116</v>
      </c>
      <c r="AB549" s="81" t="s">
        <v>117</v>
      </c>
      <c r="AC549" s="166">
        <v>3.0000000260770299E-3</v>
      </c>
      <c r="AD549" s="349">
        <v>42825</v>
      </c>
      <c r="AG549" s="81" t="s">
        <v>74</v>
      </c>
      <c r="AH549" s="81" t="s">
        <v>1913</v>
      </c>
      <c r="AK549" s="166">
        <v>1</v>
      </c>
      <c r="AM549" s="166">
        <v>0</v>
      </c>
      <c r="AO549" s="166">
        <v>0</v>
      </c>
      <c r="AP549" s="166">
        <v>1</v>
      </c>
      <c r="AQ549" s="166">
        <v>0</v>
      </c>
      <c r="AR549" s="166">
        <v>0</v>
      </c>
      <c r="AS549" s="166">
        <v>0</v>
      </c>
      <c r="AT549" s="166">
        <v>0</v>
      </c>
      <c r="AU549" s="166">
        <v>0</v>
      </c>
      <c r="AV549" s="166">
        <v>0</v>
      </c>
      <c r="AW549" s="166">
        <v>1</v>
      </c>
      <c r="AX549" s="166">
        <v>0</v>
      </c>
      <c r="AY549" s="166">
        <v>0</v>
      </c>
      <c r="AZ549" s="166">
        <v>0</v>
      </c>
      <c r="BA549" s="166">
        <v>0</v>
      </c>
      <c r="BB549" s="166">
        <v>0</v>
      </c>
      <c r="BC549" s="166">
        <v>0</v>
      </c>
      <c r="BD549" s="166">
        <v>0</v>
      </c>
      <c r="BE549" s="166">
        <v>0</v>
      </c>
      <c r="BF549" s="166">
        <v>0</v>
      </c>
      <c r="BG549" s="166">
        <v>0</v>
      </c>
      <c r="BH549" s="166">
        <v>0</v>
      </c>
      <c r="BI549" s="166">
        <v>0</v>
      </c>
      <c r="BJ549" s="166">
        <v>0</v>
      </c>
      <c r="BK549" s="166">
        <v>0</v>
      </c>
      <c r="BL549" s="166">
        <v>0</v>
      </c>
      <c r="BM549" s="166">
        <v>0</v>
      </c>
      <c r="BN549" s="166">
        <v>0</v>
      </c>
      <c r="BO549" s="166">
        <v>0</v>
      </c>
      <c r="BP549" s="166">
        <v>0</v>
      </c>
      <c r="BQ549" s="81" t="s">
        <v>1758</v>
      </c>
      <c r="BT549" s="81" t="s">
        <v>155</v>
      </c>
      <c r="BZ549" s="81" t="s">
        <v>155</v>
      </c>
      <c r="CA549" s="81" t="s">
        <v>3934</v>
      </c>
      <c r="CC549" s="167">
        <v>0</v>
      </c>
      <c r="CD549" s="167">
        <v>0</v>
      </c>
      <c r="CE549" s="167">
        <f>N549</f>
        <v>1</v>
      </c>
      <c r="CF549" s="167">
        <v>0</v>
      </c>
      <c r="CG549" s="167">
        <v>0</v>
      </c>
      <c r="CH549" s="167">
        <v>0</v>
      </c>
      <c r="CI549" s="167">
        <v>0</v>
      </c>
      <c r="CJ549" s="167">
        <v>0</v>
      </c>
      <c r="CK549" s="167">
        <v>0</v>
      </c>
      <c r="CL549" s="167">
        <v>0</v>
      </c>
      <c r="CM549" s="167">
        <v>0</v>
      </c>
      <c r="CN549" s="167">
        <v>0</v>
      </c>
      <c r="CO549" s="167">
        <v>0</v>
      </c>
      <c r="CP549" s="167">
        <v>0</v>
      </c>
      <c r="CQ549" s="167">
        <v>0</v>
      </c>
      <c r="CR549" s="167">
        <v>0</v>
      </c>
      <c r="CS549" s="167">
        <v>0</v>
      </c>
      <c r="CT549" s="167">
        <v>0</v>
      </c>
      <c r="CU549" s="167">
        <v>0</v>
      </c>
      <c r="CV549" s="167">
        <v>0</v>
      </c>
      <c r="CW549" s="167">
        <v>0</v>
      </c>
      <c r="CX549" s="167">
        <f>SUM(CD549:CH549)</f>
        <v>1</v>
      </c>
      <c r="CY549" s="167">
        <f>SUM(CD549:CM549)</f>
        <v>1</v>
      </c>
    </row>
    <row r="550" spans="1:103" x14ac:dyDescent="0.2">
      <c r="A550" s="81">
        <v>5793</v>
      </c>
      <c r="B550" s="165" t="s">
        <v>1908</v>
      </c>
      <c r="C550" s="165" t="s">
        <v>449</v>
      </c>
      <c r="E550" s="165" t="s">
        <v>3409</v>
      </c>
      <c r="F550" s="165" t="s">
        <v>459</v>
      </c>
      <c r="G550" s="81">
        <v>525347</v>
      </c>
      <c r="H550" s="81">
        <v>175071</v>
      </c>
      <c r="I550" s="165" t="s">
        <v>259</v>
      </c>
      <c r="J550" s="349">
        <v>42825</v>
      </c>
      <c r="L550" s="166">
        <v>0</v>
      </c>
      <c r="M550" s="166">
        <v>5</v>
      </c>
      <c r="N550" s="166">
        <v>5</v>
      </c>
      <c r="O550" s="166">
        <v>85</v>
      </c>
      <c r="P550" s="166">
        <v>85</v>
      </c>
      <c r="Q550" s="81" t="s">
        <v>155</v>
      </c>
      <c r="R550" s="165" t="s">
        <v>900</v>
      </c>
      <c r="S550" s="81" t="s">
        <v>104</v>
      </c>
      <c r="T550" s="349">
        <v>41969</v>
      </c>
      <c r="U550" s="349">
        <v>42264</v>
      </c>
      <c r="W550" s="81" t="s">
        <v>114</v>
      </c>
      <c r="Y550" s="81" t="s">
        <v>115</v>
      </c>
      <c r="Z550" s="81" t="s">
        <v>116</v>
      </c>
      <c r="AA550" s="81" t="s">
        <v>116</v>
      </c>
      <c r="AB550" s="81" t="s">
        <v>117</v>
      </c>
      <c r="AC550" s="166">
        <v>1.30000002682209E-2</v>
      </c>
      <c r="AD550" s="349">
        <v>42825</v>
      </c>
      <c r="AG550" s="81" t="s">
        <v>238</v>
      </c>
      <c r="AH550" s="81" t="s">
        <v>118</v>
      </c>
      <c r="AK550" s="166">
        <v>5</v>
      </c>
      <c r="AM550" s="166">
        <v>0</v>
      </c>
      <c r="AO550" s="166">
        <v>0</v>
      </c>
      <c r="AP550" s="166">
        <v>0</v>
      </c>
      <c r="AQ550" s="166">
        <v>5</v>
      </c>
      <c r="AR550" s="166">
        <v>0</v>
      </c>
      <c r="AS550" s="166">
        <v>0</v>
      </c>
      <c r="AT550" s="166">
        <v>0</v>
      </c>
      <c r="AU550" s="166">
        <v>0</v>
      </c>
      <c r="AV550" s="166">
        <v>0</v>
      </c>
      <c r="AW550" s="166">
        <v>0</v>
      </c>
      <c r="AX550" s="166">
        <v>5</v>
      </c>
      <c r="AY550" s="166">
        <v>0</v>
      </c>
      <c r="AZ550" s="166">
        <v>0</v>
      </c>
      <c r="BA550" s="166">
        <v>0</v>
      </c>
      <c r="BB550" s="166">
        <v>0</v>
      </c>
      <c r="BC550" s="166">
        <v>0</v>
      </c>
      <c r="BD550" s="166">
        <v>0</v>
      </c>
      <c r="BE550" s="166">
        <v>0</v>
      </c>
      <c r="BF550" s="166">
        <v>0</v>
      </c>
      <c r="BG550" s="166">
        <v>0</v>
      </c>
      <c r="BH550" s="166">
        <v>0</v>
      </c>
      <c r="BI550" s="166">
        <v>0</v>
      </c>
      <c r="BJ550" s="166">
        <v>0</v>
      </c>
      <c r="BK550" s="166">
        <v>0</v>
      </c>
      <c r="BL550" s="166">
        <v>0</v>
      </c>
      <c r="BM550" s="166">
        <v>0</v>
      </c>
      <c r="BN550" s="166">
        <v>0</v>
      </c>
      <c r="BO550" s="166">
        <v>0</v>
      </c>
      <c r="BP550" s="166">
        <v>0</v>
      </c>
      <c r="BQ550" s="81" t="s">
        <v>1758</v>
      </c>
      <c r="BT550" s="81" t="s">
        <v>155</v>
      </c>
      <c r="BZ550" s="81" t="s">
        <v>155</v>
      </c>
      <c r="CA550" s="81" t="s">
        <v>3934</v>
      </c>
      <c r="CC550" s="167">
        <v>0</v>
      </c>
      <c r="CD550" s="167">
        <v>0</v>
      </c>
      <c r="CE550" s="167">
        <f>N550</f>
        <v>5</v>
      </c>
      <c r="CF550" s="167">
        <v>0</v>
      </c>
      <c r="CG550" s="167">
        <v>0</v>
      </c>
      <c r="CH550" s="167">
        <v>0</v>
      </c>
      <c r="CI550" s="167">
        <v>0</v>
      </c>
      <c r="CJ550" s="167">
        <v>0</v>
      </c>
      <c r="CK550" s="167">
        <v>0</v>
      </c>
      <c r="CL550" s="167">
        <v>0</v>
      </c>
      <c r="CM550" s="167">
        <v>0</v>
      </c>
      <c r="CN550" s="167">
        <v>0</v>
      </c>
      <c r="CO550" s="167">
        <v>0</v>
      </c>
      <c r="CP550" s="167">
        <v>0</v>
      </c>
      <c r="CQ550" s="167">
        <v>0</v>
      </c>
      <c r="CR550" s="167">
        <v>0</v>
      </c>
      <c r="CS550" s="167">
        <v>0</v>
      </c>
      <c r="CT550" s="167">
        <v>0</v>
      </c>
      <c r="CU550" s="167">
        <v>0</v>
      </c>
      <c r="CV550" s="167">
        <v>0</v>
      </c>
      <c r="CW550" s="167">
        <v>0</v>
      </c>
      <c r="CX550" s="167">
        <f>SUM(CD550:CH550)</f>
        <v>5</v>
      </c>
      <c r="CY550" s="167">
        <f>SUM(CD550:CM550)</f>
        <v>5</v>
      </c>
    </row>
    <row r="551" spans="1:103" ht="12.75" customHeight="1" x14ac:dyDescent="0.2">
      <c r="A551" s="81">
        <v>5793</v>
      </c>
      <c r="B551" s="165" t="s">
        <v>1908</v>
      </c>
      <c r="C551" s="165" t="s">
        <v>449</v>
      </c>
      <c r="E551" s="165" t="s">
        <v>3409</v>
      </c>
      <c r="F551" s="165" t="s">
        <v>460</v>
      </c>
      <c r="G551" s="81">
        <v>525347</v>
      </c>
      <c r="H551" s="81">
        <v>175071</v>
      </c>
      <c r="I551" s="165" t="s">
        <v>259</v>
      </c>
      <c r="J551" s="349">
        <v>42825</v>
      </c>
      <c r="L551" s="166">
        <v>0</v>
      </c>
      <c r="M551" s="166">
        <v>1</v>
      </c>
      <c r="N551" s="166">
        <v>1</v>
      </c>
      <c r="O551" s="166">
        <v>85</v>
      </c>
      <c r="P551" s="166">
        <v>85</v>
      </c>
      <c r="Q551" s="81" t="s">
        <v>155</v>
      </c>
      <c r="R551" s="165" t="s">
        <v>900</v>
      </c>
      <c r="S551" s="81" t="s">
        <v>104</v>
      </c>
      <c r="T551" s="349">
        <v>41969</v>
      </c>
      <c r="U551" s="349">
        <v>42264</v>
      </c>
      <c r="W551" s="81" t="s">
        <v>114</v>
      </c>
      <c r="Y551" s="81" t="s">
        <v>115</v>
      </c>
      <c r="Z551" s="81" t="s">
        <v>116</v>
      </c>
      <c r="AA551" s="81" t="s">
        <v>116</v>
      </c>
      <c r="AB551" s="81" t="s">
        <v>117</v>
      </c>
      <c r="AC551" s="166">
        <v>3.0000000260770299E-3</v>
      </c>
      <c r="AD551" s="349">
        <v>42825</v>
      </c>
      <c r="AG551" s="81" t="s">
        <v>74</v>
      </c>
      <c r="AH551" s="81" t="s">
        <v>1913</v>
      </c>
      <c r="AK551" s="166">
        <v>1</v>
      </c>
      <c r="AM551" s="166">
        <v>0</v>
      </c>
      <c r="AO551" s="166">
        <v>0</v>
      </c>
      <c r="AP551" s="166">
        <v>1</v>
      </c>
      <c r="AQ551" s="166">
        <v>0</v>
      </c>
      <c r="AR551" s="166">
        <v>0</v>
      </c>
      <c r="AS551" s="166">
        <v>0</v>
      </c>
      <c r="AT551" s="166">
        <v>0</v>
      </c>
      <c r="AU551" s="166">
        <v>0</v>
      </c>
      <c r="AV551" s="166">
        <v>0</v>
      </c>
      <c r="AW551" s="166">
        <v>1</v>
      </c>
      <c r="AX551" s="166">
        <v>0</v>
      </c>
      <c r="AY551" s="166">
        <v>0</v>
      </c>
      <c r="AZ551" s="166">
        <v>0</v>
      </c>
      <c r="BA551" s="166">
        <v>0</v>
      </c>
      <c r="BB551" s="166">
        <v>0</v>
      </c>
      <c r="BC551" s="166">
        <v>0</v>
      </c>
      <c r="BD551" s="166">
        <v>0</v>
      </c>
      <c r="BE551" s="166">
        <v>0</v>
      </c>
      <c r="BF551" s="166">
        <v>0</v>
      </c>
      <c r="BG551" s="166">
        <v>0</v>
      </c>
      <c r="BH551" s="166">
        <v>0</v>
      </c>
      <c r="BI551" s="166">
        <v>0</v>
      </c>
      <c r="BJ551" s="166">
        <v>0</v>
      </c>
      <c r="BK551" s="166">
        <v>0</v>
      </c>
      <c r="BL551" s="166">
        <v>0</v>
      </c>
      <c r="BM551" s="166">
        <v>0</v>
      </c>
      <c r="BN551" s="166">
        <v>0</v>
      </c>
      <c r="BO551" s="166">
        <v>0</v>
      </c>
      <c r="BP551" s="166">
        <v>0</v>
      </c>
      <c r="BQ551" s="81" t="s">
        <v>1758</v>
      </c>
      <c r="BT551" s="81" t="s">
        <v>155</v>
      </c>
      <c r="BZ551" s="81" t="s">
        <v>155</v>
      </c>
      <c r="CA551" s="81" t="s">
        <v>3934</v>
      </c>
      <c r="CC551" s="167">
        <v>0</v>
      </c>
      <c r="CD551" s="167">
        <v>0</v>
      </c>
      <c r="CE551" s="167">
        <f>N551</f>
        <v>1</v>
      </c>
      <c r="CF551" s="167">
        <v>0</v>
      </c>
      <c r="CG551" s="167">
        <v>0</v>
      </c>
      <c r="CH551" s="167">
        <v>0</v>
      </c>
      <c r="CI551" s="167">
        <v>0</v>
      </c>
      <c r="CJ551" s="167">
        <v>0</v>
      </c>
      <c r="CK551" s="167">
        <v>0</v>
      </c>
      <c r="CL551" s="167">
        <v>0</v>
      </c>
      <c r="CM551" s="167">
        <v>0</v>
      </c>
      <c r="CN551" s="167">
        <v>0</v>
      </c>
      <c r="CO551" s="167">
        <v>0</v>
      </c>
      <c r="CP551" s="167">
        <v>0</v>
      </c>
      <c r="CQ551" s="167">
        <v>0</v>
      </c>
      <c r="CR551" s="167">
        <v>0</v>
      </c>
      <c r="CS551" s="167">
        <v>0</v>
      </c>
      <c r="CT551" s="167">
        <v>0</v>
      </c>
      <c r="CU551" s="167">
        <v>0</v>
      </c>
      <c r="CV551" s="167">
        <v>0</v>
      </c>
      <c r="CW551" s="167">
        <v>0</v>
      </c>
      <c r="CX551" s="167">
        <f>SUM(CD551:CH551)</f>
        <v>1</v>
      </c>
      <c r="CY551" s="167">
        <f>SUM(CD551:CM551)</f>
        <v>1</v>
      </c>
    </row>
    <row r="552" spans="1:103" ht="12.75" customHeight="1" x14ac:dyDescent="0.2">
      <c r="A552" s="81">
        <v>5793</v>
      </c>
      <c r="B552" s="165" t="s">
        <v>1908</v>
      </c>
      <c r="C552" s="165" t="s">
        <v>449</v>
      </c>
      <c r="E552" s="165" t="s">
        <v>3409</v>
      </c>
      <c r="F552" s="165" t="s">
        <v>461</v>
      </c>
      <c r="G552" s="81">
        <v>525347</v>
      </c>
      <c r="H552" s="81">
        <v>175071</v>
      </c>
      <c r="I552" s="165" t="s">
        <v>259</v>
      </c>
      <c r="J552" s="349">
        <v>42825</v>
      </c>
      <c r="L552" s="166">
        <v>0</v>
      </c>
      <c r="M552" s="166">
        <v>5</v>
      </c>
      <c r="N552" s="166">
        <v>5</v>
      </c>
      <c r="O552" s="166">
        <v>85</v>
      </c>
      <c r="P552" s="166">
        <v>85</v>
      </c>
      <c r="Q552" s="81" t="s">
        <v>155</v>
      </c>
      <c r="R552" s="165" t="s">
        <v>900</v>
      </c>
      <c r="S552" s="81" t="s">
        <v>104</v>
      </c>
      <c r="T552" s="349">
        <v>41969</v>
      </c>
      <c r="U552" s="349">
        <v>42264</v>
      </c>
      <c r="W552" s="81" t="s">
        <v>114</v>
      </c>
      <c r="Y552" s="81" t="s">
        <v>115</v>
      </c>
      <c r="Z552" s="81" t="s">
        <v>116</v>
      </c>
      <c r="AA552" s="81" t="s">
        <v>116</v>
      </c>
      <c r="AB552" s="81" t="s">
        <v>117</v>
      </c>
      <c r="AC552" s="166">
        <v>1.30000002682209E-2</v>
      </c>
      <c r="AD552" s="349">
        <v>42825</v>
      </c>
      <c r="AG552" s="81" t="s">
        <v>238</v>
      </c>
      <c r="AH552" s="81" t="s">
        <v>118</v>
      </c>
      <c r="AK552" s="166">
        <v>5</v>
      </c>
      <c r="AM552" s="166">
        <v>0</v>
      </c>
      <c r="AO552" s="166">
        <v>0</v>
      </c>
      <c r="AP552" s="166">
        <v>0</v>
      </c>
      <c r="AQ552" s="166">
        <v>5</v>
      </c>
      <c r="AR552" s="166">
        <v>0</v>
      </c>
      <c r="AS552" s="166">
        <v>0</v>
      </c>
      <c r="AT552" s="166">
        <v>0</v>
      </c>
      <c r="AU552" s="166">
        <v>0</v>
      </c>
      <c r="AV552" s="166">
        <v>0</v>
      </c>
      <c r="AW552" s="166">
        <v>0</v>
      </c>
      <c r="AX552" s="166">
        <v>5</v>
      </c>
      <c r="AY552" s="166">
        <v>0</v>
      </c>
      <c r="AZ552" s="166">
        <v>0</v>
      </c>
      <c r="BA552" s="166">
        <v>0</v>
      </c>
      <c r="BB552" s="166">
        <v>0</v>
      </c>
      <c r="BC552" s="166">
        <v>0</v>
      </c>
      <c r="BD552" s="166">
        <v>0</v>
      </c>
      <c r="BE552" s="166">
        <v>0</v>
      </c>
      <c r="BF552" s="166">
        <v>0</v>
      </c>
      <c r="BG552" s="166">
        <v>0</v>
      </c>
      <c r="BH552" s="166">
        <v>0</v>
      </c>
      <c r="BI552" s="166">
        <v>0</v>
      </c>
      <c r="BJ552" s="166">
        <v>0</v>
      </c>
      <c r="BK552" s="166">
        <v>0</v>
      </c>
      <c r="BL552" s="166">
        <v>0</v>
      </c>
      <c r="BM552" s="166">
        <v>0</v>
      </c>
      <c r="BN552" s="166">
        <v>0</v>
      </c>
      <c r="BO552" s="166">
        <v>0</v>
      </c>
      <c r="BP552" s="166">
        <v>0</v>
      </c>
      <c r="BQ552" s="81" t="s">
        <v>1758</v>
      </c>
      <c r="BT552" s="81" t="s">
        <v>155</v>
      </c>
      <c r="BZ552" s="81" t="s">
        <v>155</v>
      </c>
      <c r="CA552" s="81" t="s">
        <v>3934</v>
      </c>
      <c r="CC552" s="167">
        <v>0</v>
      </c>
      <c r="CD552" s="167">
        <v>0</v>
      </c>
      <c r="CE552" s="167">
        <f>N552</f>
        <v>5</v>
      </c>
      <c r="CF552" s="167">
        <v>0</v>
      </c>
      <c r="CG552" s="167">
        <v>0</v>
      </c>
      <c r="CH552" s="167">
        <v>0</v>
      </c>
      <c r="CI552" s="167">
        <v>0</v>
      </c>
      <c r="CJ552" s="167">
        <v>0</v>
      </c>
      <c r="CK552" s="167">
        <v>0</v>
      </c>
      <c r="CL552" s="167">
        <v>0</v>
      </c>
      <c r="CM552" s="167">
        <v>0</v>
      </c>
      <c r="CN552" s="167">
        <v>0</v>
      </c>
      <c r="CO552" s="167">
        <v>0</v>
      </c>
      <c r="CP552" s="167">
        <v>0</v>
      </c>
      <c r="CQ552" s="167">
        <v>0</v>
      </c>
      <c r="CR552" s="167">
        <v>0</v>
      </c>
      <c r="CS552" s="167">
        <v>0</v>
      </c>
      <c r="CT552" s="167">
        <v>0</v>
      </c>
      <c r="CU552" s="167">
        <v>0</v>
      </c>
      <c r="CV552" s="167">
        <v>0</v>
      </c>
      <c r="CW552" s="167">
        <v>0</v>
      </c>
      <c r="CX552" s="167">
        <f>SUM(CD552:CH552)</f>
        <v>5</v>
      </c>
      <c r="CY552" s="167">
        <f>SUM(CD552:CM552)</f>
        <v>5</v>
      </c>
    </row>
    <row r="553" spans="1:103" ht="12.75" customHeight="1" x14ac:dyDescent="0.2">
      <c r="A553" s="81">
        <v>5793</v>
      </c>
      <c r="B553" s="165" t="s">
        <v>1908</v>
      </c>
      <c r="C553" s="165" t="s">
        <v>449</v>
      </c>
      <c r="E553" s="165" t="s">
        <v>3409</v>
      </c>
      <c r="F553" s="165" t="s">
        <v>462</v>
      </c>
      <c r="G553" s="81">
        <v>525347</v>
      </c>
      <c r="H553" s="81">
        <v>175071</v>
      </c>
      <c r="I553" s="165" t="s">
        <v>259</v>
      </c>
      <c r="J553" s="349">
        <v>42825</v>
      </c>
      <c r="L553" s="166">
        <v>0</v>
      </c>
      <c r="M553" s="166">
        <v>1</v>
      </c>
      <c r="N553" s="166">
        <v>1</v>
      </c>
      <c r="O553" s="166">
        <v>85</v>
      </c>
      <c r="P553" s="166">
        <v>85</v>
      </c>
      <c r="Q553" s="81" t="s">
        <v>155</v>
      </c>
      <c r="R553" s="165" t="s">
        <v>900</v>
      </c>
      <c r="S553" s="81" t="s">
        <v>104</v>
      </c>
      <c r="T553" s="349">
        <v>41969</v>
      </c>
      <c r="U553" s="349">
        <v>42264</v>
      </c>
      <c r="W553" s="81" t="s">
        <v>114</v>
      </c>
      <c r="Y553" s="81" t="s">
        <v>115</v>
      </c>
      <c r="Z553" s="81" t="s">
        <v>116</v>
      </c>
      <c r="AA553" s="81" t="s">
        <v>116</v>
      </c>
      <c r="AB553" s="81" t="s">
        <v>117</v>
      </c>
      <c r="AC553" s="166">
        <v>3.0000000260770299E-3</v>
      </c>
      <c r="AD553" s="349">
        <v>42825</v>
      </c>
      <c r="AG553" s="81" t="s">
        <v>74</v>
      </c>
      <c r="AH553" s="81" t="s">
        <v>1913</v>
      </c>
      <c r="AK553" s="166">
        <v>1</v>
      </c>
      <c r="AM553" s="166">
        <v>0</v>
      </c>
      <c r="AO553" s="166">
        <v>0</v>
      </c>
      <c r="AP553" s="166">
        <v>1</v>
      </c>
      <c r="AQ553" s="166">
        <v>0</v>
      </c>
      <c r="AR553" s="166">
        <v>0</v>
      </c>
      <c r="AS553" s="166">
        <v>0</v>
      </c>
      <c r="AT553" s="166">
        <v>0</v>
      </c>
      <c r="AU553" s="166">
        <v>0</v>
      </c>
      <c r="AV553" s="166">
        <v>0</v>
      </c>
      <c r="AW553" s="166">
        <v>1</v>
      </c>
      <c r="AX553" s="166">
        <v>0</v>
      </c>
      <c r="AY553" s="166">
        <v>0</v>
      </c>
      <c r="AZ553" s="166">
        <v>0</v>
      </c>
      <c r="BA553" s="166">
        <v>0</v>
      </c>
      <c r="BB553" s="166">
        <v>0</v>
      </c>
      <c r="BC553" s="166">
        <v>0</v>
      </c>
      <c r="BD553" s="166">
        <v>0</v>
      </c>
      <c r="BE553" s="166">
        <v>0</v>
      </c>
      <c r="BF553" s="166">
        <v>0</v>
      </c>
      <c r="BG553" s="166">
        <v>0</v>
      </c>
      <c r="BH553" s="166">
        <v>0</v>
      </c>
      <c r="BI553" s="166">
        <v>0</v>
      </c>
      <c r="BJ553" s="166">
        <v>0</v>
      </c>
      <c r="BK553" s="166">
        <v>0</v>
      </c>
      <c r="BL553" s="166">
        <v>0</v>
      </c>
      <c r="BM553" s="166">
        <v>0</v>
      </c>
      <c r="BN553" s="166">
        <v>0</v>
      </c>
      <c r="BO553" s="166">
        <v>0</v>
      </c>
      <c r="BP553" s="166">
        <v>0</v>
      </c>
      <c r="BQ553" s="81" t="s">
        <v>1758</v>
      </c>
      <c r="BT553" s="81" t="s">
        <v>155</v>
      </c>
      <c r="BZ553" s="81" t="s">
        <v>155</v>
      </c>
      <c r="CA553" s="81" t="s">
        <v>3934</v>
      </c>
      <c r="CC553" s="167">
        <v>0</v>
      </c>
      <c r="CD553" s="167">
        <v>0</v>
      </c>
      <c r="CE553" s="167">
        <f>N553</f>
        <v>1</v>
      </c>
      <c r="CF553" s="167">
        <v>0</v>
      </c>
      <c r="CG553" s="167">
        <v>0</v>
      </c>
      <c r="CH553" s="167">
        <v>0</v>
      </c>
      <c r="CI553" s="167">
        <v>0</v>
      </c>
      <c r="CJ553" s="167">
        <v>0</v>
      </c>
      <c r="CK553" s="167">
        <v>0</v>
      </c>
      <c r="CL553" s="167">
        <v>0</v>
      </c>
      <c r="CM553" s="167">
        <v>0</v>
      </c>
      <c r="CN553" s="167">
        <v>0</v>
      </c>
      <c r="CO553" s="167">
        <v>0</v>
      </c>
      <c r="CP553" s="167">
        <v>0</v>
      </c>
      <c r="CQ553" s="167">
        <v>0</v>
      </c>
      <c r="CR553" s="167">
        <v>0</v>
      </c>
      <c r="CS553" s="167">
        <v>0</v>
      </c>
      <c r="CT553" s="167">
        <v>0</v>
      </c>
      <c r="CU553" s="167">
        <v>0</v>
      </c>
      <c r="CV553" s="167">
        <v>0</v>
      </c>
      <c r="CW553" s="167">
        <v>0</v>
      </c>
      <c r="CX553" s="167">
        <f>SUM(CD553:CH553)</f>
        <v>1</v>
      </c>
      <c r="CY553" s="167">
        <f>SUM(CD553:CM553)</f>
        <v>1</v>
      </c>
    </row>
    <row r="554" spans="1:103" ht="12.75" customHeight="1" x14ac:dyDescent="0.2">
      <c r="A554" s="81">
        <v>5793</v>
      </c>
      <c r="B554" s="165" t="s">
        <v>1908</v>
      </c>
      <c r="C554" s="165" t="s">
        <v>449</v>
      </c>
      <c r="E554" s="165" t="s">
        <v>3409</v>
      </c>
      <c r="F554" s="165" t="s">
        <v>463</v>
      </c>
      <c r="G554" s="81">
        <v>525347</v>
      </c>
      <c r="H554" s="81">
        <v>175071</v>
      </c>
      <c r="I554" s="165" t="s">
        <v>259</v>
      </c>
      <c r="J554" s="349">
        <v>42825</v>
      </c>
      <c r="L554" s="166">
        <v>0</v>
      </c>
      <c r="M554" s="166">
        <v>4</v>
      </c>
      <c r="N554" s="166">
        <v>4</v>
      </c>
      <c r="O554" s="166">
        <v>85</v>
      </c>
      <c r="P554" s="166">
        <v>85</v>
      </c>
      <c r="Q554" s="81" t="s">
        <v>155</v>
      </c>
      <c r="R554" s="165" t="s">
        <v>900</v>
      </c>
      <c r="S554" s="81" t="s">
        <v>104</v>
      </c>
      <c r="T554" s="349">
        <v>41969</v>
      </c>
      <c r="U554" s="349">
        <v>42264</v>
      </c>
      <c r="W554" s="81" t="s">
        <v>114</v>
      </c>
      <c r="Y554" s="81" t="s">
        <v>115</v>
      </c>
      <c r="Z554" s="81" t="s">
        <v>116</v>
      </c>
      <c r="AA554" s="81" t="s">
        <v>116</v>
      </c>
      <c r="AB554" s="81" t="s">
        <v>117</v>
      </c>
      <c r="AC554" s="166">
        <v>9.9999997764825804E-3</v>
      </c>
      <c r="AD554" s="349">
        <v>42825</v>
      </c>
      <c r="AG554" s="81" t="s">
        <v>238</v>
      </c>
      <c r="AH554" s="81" t="s">
        <v>118</v>
      </c>
      <c r="AK554" s="166">
        <v>4</v>
      </c>
      <c r="AM554" s="166">
        <v>0</v>
      </c>
      <c r="AO554" s="166">
        <v>0</v>
      </c>
      <c r="AP554" s="166">
        <v>0</v>
      </c>
      <c r="AQ554" s="166">
        <v>3</v>
      </c>
      <c r="AR554" s="166">
        <v>1</v>
      </c>
      <c r="AS554" s="166">
        <v>0</v>
      </c>
      <c r="AT554" s="166">
        <v>0</v>
      </c>
      <c r="AU554" s="166">
        <v>0</v>
      </c>
      <c r="AV554" s="166">
        <v>0</v>
      </c>
      <c r="AW554" s="166">
        <v>0</v>
      </c>
      <c r="AX554" s="166">
        <v>3</v>
      </c>
      <c r="AY554" s="166">
        <v>1</v>
      </c>
      <c r="AZ554" s="166">
        <v>0</v>
      </c>
      <c r="BA554" s="166">
        <v>0</v>
      </c>
      <c r="BB554" s="166">
        <v>0</v>
      </c>
      <c r="BC554" s="166">
        <v>0</v>
      </c>
      <c r="BD554" s="166">
        <v>0</v>
      </c>
      <c r="BE554" s="166">
        <v>0</v>
      </c>
      <c r="BF554" s="166">
        <v>0</v>
      </c>
      <c r="BG554" s="166">
        <v>0</v>
      </c>
      <c r="BH554" s="166">
        <v>0</v>
      </c>
      <c r="BI554" s="166">
        <v>0</v>
      </c>
      <c r="BJ554" s="166">
        <v>0</v>
      </c>
      <c r="BK554" s="166">
        <v>0</v>
      </c>
      <c r="BL554" s="166">
        <v>0</v>
      </c>
      <c r="BM554" s="166">
        <v>0</v>
      </c>
      <c r="BN554" s="166">
        <v>0</v>
      </c>
      <c r="BO554" s="166">
        <v>0</v>
      </c>
      <c r="BP554" s="166">
        <v>0</v>
      </c>
      <c r="BQ554" s="81" t="s">
        <v>1758</v>
      </c>
      <c r="BT554" s="81" t="s">
        <v>155</v>
      </c>
      <c r="BZ554" s="81" t="s">
        <v>155</v>
      </c>
      <c r="CA554" s="81" t="s">
        <v>3934</v>
      </c>
      <c r="CC554" s="167">
        <v>0</v>
      </c>
      <c r="CD554" s="167">
        <v>0</v>
      </c>
      <c r="CE554" s="167">
        <f>N554</f>
        <v>4</v>
      </c>
      <c r="CF554" s="167">
        <v>0</v>
      </c>
      <c r="CG554" s="167">
        <v>0</v>
      </c>
      <c r="CH554" s="167">
        <v>0</v>
      </c>
      <c r="CI554" s="167">
        <v>0</v>
      </c>
      <c r="CJ554" s="167">
        <v>0</v>
      </c>
      <c r="CK554" s="167">
        <v>0</v>
      </c>
      <c r="CL554" s="167">
        <v>0</v>
      </c>
      <c r="CM554" s="167">
        <v>0</v>
      </c>
      <c r="CN554" s="167">
        <v>0</v>
      </c>
      <c r="CO554" s="167">
        <v>0</v>
      </c>
      <c r="CP554" s="167">
        <v>0</v>
      </c>
      <c r="CQ554" s="167">
        <v>0</v>
      </c>
      <c r="CR554" s="167">
        <v>0</v>
      </c>
      <c r="CS554" s="167">
        <v>0</v>
      </c>
      <c r="CT554" s="167">
        <v>0</v>
      </c>
      <c r="CU554" s="167">
        <v>0</v>
      </c>
      <c r="CV554" s="167">
        <v>0</v>
      </c>
      <c r="CW554" s="167">
        <v>0</v>
      </c>
      <c r="CX554" s="167">
        <f>SUM(CD554:CH554)</f>
        <v>4</v>
      </c>
      <c r="CY554" s="167">
        <f>SUM(CD554:CM554)</f>
        <v>4</v>
      </c>
    </row>
    <row r="555" spans="1:103" x14ac:dyDescent="0.2">
      <c r="A555" s="81">
        <v>5793</v>
      </c>
      <c r="B555" s="165" t="s">
        <v>1908</v>
      </c>
      <c r="C555" s="165" t="s">
        <v>449</v>
      </c>
      <c r="E555" s="165" t="s">
        <v>3409</v>
      </c>
      <c r="F555" s="165" t="s">
        <v>464</v>
      </c>
      <c r="G555" s="81">
        <v>525347</v>
      </c>
      <c r="H555" s="81">
        <v>175071</v>
      </c>
      <c r="I555" s="165" t="s">
        <v>259</v>
      </c>
      <c r="J555" s="349">
        <v>42825</v>
      </c>
      <c r="L555" s="166">
        <v>0</v>
      </c>
      <c r="M555" s="166">
        <v>3</v>
      </c>
      <c r="N555" s="166">
        <v>3</v>
      </c>
      <c r="O555" s="166">
        <v>85</v>
      </c>
      <c r="P555" s="166">
        <v>85</v>
      </c>
      <c r="Q555" s="81" t="s">
        <v>155</v>
      </c>
      <c r="R555" s="165" t="s">
        <v>900</v>
      </c>
      <c r="S555" s="81" t="s">
        <v>104</v>
      </c>
      <c r="T555" s="349">
        <v>41969</v>
      </c>
      <c r="U555" s="349">
        <v>42264</v>
      </c>
      <c r="W555" s="81" t="s">
        <v>114</v>
      </c>
      <c r="Y555" s="81" t="s">
        <v>115</v>
      </c>
      <c r="Z555" s="81" t="s">
        <v>116</v>
      </c>
      <c r="AA555" s="81" t="s">
        <v>116</v>
      </c>
      <c r="AB555" s="81" t="s">
        <v>117</v>
      </c>
      <c r="AC555" s="166">
        <v>8.0000003799796104E-3</v>
      </c>
      <c r="AD555" s="349">
        <v>42825</v>
      </c>
      <c r="AG555" s="81" t="s">
        <v>238</v>
      </c>
      <c r="AH555" s="81" t="s">
        <v>118</v>
      </c>
      <c r="AK555" s="166">
        <v>3</v>
      </c>
      <c r="AM555" s="166">
        <v>0</v>
      </c>
      <c r="AO555" s="166">
        <v>0</v>
      </c>
      <c r="AP555" s="166">
        <v>1</v>
      </c>
      <c r="AQ555" s="166">
        <v>1</v>
      </c>
      <c r="AR555" s="166">
        <v>1</v>
      </c>
      <c r="AS555" s="166">
        <v>0</v>
      </c>
      <c r="AT555" s="166">
        <v>0</v>
      </c>
      <c r="AU555" s="166">
        <v>0</v>
      </c>
      <c r="AV555" s="166">
        <v>0</v>
      </c>
      <c r="AW555" s="166">
        <v>1</v>
      </c>
      <c r="AX555" s="166">
        <v>1</v>
      </c>
      <c r="AY555" s="166">
        <v>1</v>
      </c>
      <c r="AZ555" s="166">
        <v>0</v>
      </c>
      <c r="BA555" s="166">
        <v>0</v>
      </c>
      <c r="BB555" s="166">
        <v>0</v>
      </c>
      <c r="BC555" s="166">
        <v>0</v>
      </c>
      <c r="BD555" s="166">
        <v>0</v>
      </c>
      <c r="BE555" s="166">
        <v>0</v>
      </c>
      <c r="BF555" s="166">
        <v>0</v>
      </c>
      <c r="BG555" s="166">
        <v>0</v>
      </c>
      <c r="BH555" s="166">
        <v>0</v>
      </c>
      <c r="BI555" s="166">
        <v>0</v>
      </c>
      <c r="BJ555" s="166">
        <v>0</v>
      </c>
      <c r="BK555" s="166">
        <v>0</v>
      </c>
      <c r="BL555" s="166">
        <v>0</v>
      </c>
      <c r="BM555" s="166">
        <v>0</v>
      </c>
      <c r="BN555" s="166">
        <v>0</v>
      </c>
      <c r="BO555" s="166">
        <v>0</v>
      </c>
      <c r="BP555" s="166">
        <v>0</v>
      </c>
      <c r="BQ555" s="81" t="s">
        <v>1758</v>
      </c>
      <c r="BT555" s="81" t="s">
        <v>155</v>
      </c>
      <c r="BZ555" s="81" t="s">
        <v>155</v>
      </c>
      <c r="CA555" s="81" t="s">
        <v>3934</v>
      </c>
      <c r="CC555" s="167">
        <v>0</v>
      </c>
      <c r="CD555" s="167">
        <v>0</v>
      </c>
      <c r="CE555" s="167">
        <f>N555</f>
        <v>3</v>
      </c>
      <c r="CF555" s="167">
        <v>0</v>
      </c>
      <c r="CG555" s="167">
        <v>0</v>
      </c>
      <c r="CH555" s="167">
        <v>0</v>
      </c>
      <c r="CI555" s="167">
        <v>0</v>
      </c>
      <c r="CJ555" s="167">
        <v>0</v>
      </c>
      <c r="CK555" s="167">
        <v>0</v>
      </c>
      <c r="CL555" s="167">
        <v>0</v>
      </c>
      <c r="CM555" s="167">
        <v>0</v>
      </c>
      <c r="CN555" s="167">
        <v>0</v>
      </c>
      <c r="CO555" s="167">
        <v>0</v>
      </c>
      <c r="CP555" s="167">
        <v>0</v>
      </c>
      <c r="CQ555" s="167">
        <v>0</v>
      </c>
      <c r="CR555" s="167">
        <v>0</v>
      </c>
      <c r="CS555" s="167">
        <v>0</v>
      </c>
      <c r="CT555" s="167">
        <v>0</v>
      </c>
      <c r="CU555" s="167">
        <v>0</v>
      </c>
      <c r="CV555" s="167">
        <v>0</v>
      </c>
      <c r="CW555" s="167">
        <v>0</v>
      </c>
      <c r="CX555" s="167">
        <f>SUM(CD555:CH555)</f>
        <v>3</v>
      </c>
      <c r="CY555" s="167">
        <f>SUM(CD555:CM555)</f>
        <v>3</v>
      </c>
    </row>
    <row r="556" spans="1:103" ht="12.75" customHeight="1" x14ac:dyDescent="0.2">
      <c r="A556" s="81">
        <v>5793</v>
      </c>
      <c r="B556" s="165" t="s">
        <v>1908</v>
      </c>
      <c r="C556" s="165" t="s">
        <v>449</v>
      </c>
      <c r="E556" s="165" t="s">
        <v>3409</v>
      </c>
      <c r="F556" s="165" t="s">
        <v>465</v>
      </c>
      <c r="G556" s="81">
        <v>525347</v>
      </c>
      <c r="H556" s="81">
        <v>175071</v>
      </c>
      <c r="I556" s="165" t="s">
        <v>259</v>
      </c>
      <c r="J556" s="349">
        <v>42825</v>
      </c>
      <c r="L556" s="166">
        <v>0</v>
      </c>
      <c r="M556" s="166">
        <v>2</v>
      </c>
      <c r="N556" s="166">
        <v>2</v>
      </c>
      <c r="O556" s="166">
        <v>85</v>
      </c>
      <c r="P556" s="166">
        <v>85</v>
      </c>
      <c r="Q556" s="81" t="s">
        <v>155</v>
      </c>
      <c r="R556" s="165" t="s">
        <v>900</v>
      </c>
      <c r="S556" s="81" t="s">
        <v>104</v>
      </c>
      <c r="T556" s="349">
        <v>41969</v>
      </c>
      <c r="U556" s="349">
        <v>42264</v>
      </c>
      <c r="W556" s="81" t="s">
        <v>114</v>
      </c>
      <c r="Y556" s="81" t="s">
        <v>115</v>
      </c>
      <c r="Z556" s="81" t="s">
        <v>116</v>
      </c>
      <c r="AA556" s="81" t="s">
        <v>116</v>
      </c>
      <c r="AB556" s="81" t="s">
        <v>218</v>
      </c>
      <c r="AC556" s="166">
        <v>4.9999998882412902E-3</v>
      </c>
      <c r="AD556" s="349">
        <v>42825</v>
      </c>
      <c r="AG556" s="81" t="s">
        <v>238</v>
      </c>
      <c r="AH556" s="81" t="s">
        <v>118</v>
      </c>
      <c r="AK556" s="166">
        <v>2</v>
      </c>
      <c r="AM556" s="166">
        <v>0</v>
      </c>
      <c r="AO556" s="166">
        <v>0</v>
      </c>
      <c r="AP556" s="166">
        <v>0</v>
      </c>
      <c r="AQ556" s="166">
        <v>1</v>
      </c>
      <c r="AR556" s="166">
        <v>1</v>
      </c>
      <c r="AS556" s="166">
        <v>0</v>
      </c>
      <c r="AT556" s="166">
        <v>0</v>
      </c>
      <c r="AU556" s="166">
        <v>0</v>
      </c>
      <c r="AV556" s="166">
        <v>0</v>
      </c>
      <c r="AW556" s="166">
        <v>0</v>
      </c>
      <c r="AX556" s="166">
        <v>1</v>
      </c>
      <c r="AY556" s="166">
        <v>1</v>
      </c>
      <c r="AZ556" s="166">
        <v>0</v>
      </c>
      <c r="BA556" s="166">
        <v>0</v>
      </c>
      <c r="BB556" s="166">
        <v>0</v>
      </c>
      <c r="BC556" s="166">
        <v>0</v>
      </c>
      <c r="BD556" s="166">
        <v>0</v>
      </c>
      <c r="BE556" s="166">
        <v>0</v>
      </c>
      <c r="BF556" s="166">
        <v>0</v>
      </c>
      <c r="BG556" s="166">
        <v>0</v>
      </c>
      <c r="BH556" s="166">
        <v>0</v>
      </c>
      <c r="BI556" s="166">
        <v>0</v>
      </c>
      <c r="BJ556" s="166">
        <v>0</v>
      </c>
      <c r="BK556" s="166">
        <v>0</v>
      </c>
      <c r="BL556" s="166">
        <v>0</v>
      </c>
      <c r="BM556" s="166">
        <v>0</v>
      </c>
      <c r="BN556" s="166">
        <v>0</v>
      </c>
      <c r="BO556" s="166">
        <v>0</v>
      </c>
      <c r="BP556" s="166">
        <v>0</v>
      </c>
      <c r="BQ556" s="81" t="s">
        <v>1758</v>
      </c>
      <c r="BT556" s="81" t="s">
        <v>155</v>
      </c>
      <c r="BZ556" s="81" t="s">
        <v>155</v>
      </c>
      <c r="CA556" s="81" t="s">
        <v>3934</v>
      </c>
      <c r="CC556" s="167">
        <v>0</v>
      </c>
      <c r="CD556" s="167">
        <v>0</v>
      </c>
      <c r="CE556" s="167">
        <f>N556</f>
        <v>2</v>
      </c>
      <c r="CF556" s="167">
        <v>0</v>
      </c>
      <c r="CG556" s="167">
        <v>0</v>
      </c>
      <c r="CH556" s="167">
        <v>0</v>
      </c>
      <c r="CI556" s="167">
        <v>0</v>
      </c>
      <c r="CJ556" s="167">
        <v>0</v>
      </c>
      <c r="CK556" s="167">
        <v>0</v>
      </c>
      <c r="CL556" s="167">
        <v>0</v>
      </c>
      <c r="CM556" s="167">
        <v>0</v>
      </c>
      <c r="CN556" s="167">
        <v>0</v>
      </c>
      <c r="CO556" s="167">
        <v>0</v>
      </c>
      <c r="CP556" s="167">
        <v>0</v>
      </c>
      <c r="CQ556" s="167">
        <v>0</v>
      </c>
      <c r="CR556" s="167">
        <v>0</v>
      </c>
      <c r="CS556" s="167">
        <v>0</v>
      </c>
      <c r="CT556" s="167">
        <v>0</v>
      </c>
      <c r="CU556" s="167">
        <v>0</v>
      </c>
      <c r="CV556" s="167">
        <v>0</v>
      </c>
      <c r="CW556" s="167">
        <v>0</v>
      </c>
      <c r="CX556" s="167">
        <f>SUM(CD556:CH556)</f>
        <v>2</v>
      </c>
      <c r="CY556" s="167">
        <f>SUM(CD556:CM556)</f>
        <v>2</v>
      </c>
    </row>
    <row r="557" spans="1:103" ht="12.75" customHeight="1" x14ac:dyDescent="0.2">
      <c r="A557" s="81">
        <v>5793</v>
      </c>
      <c r="B557" s="165" t="s">
        <v>1908</v>
      </c>
      <c r="C557" s="165" t="s">
        <v>449</v>
      </c>
      <c r="E557" s="165" t="s">
        <v>3409</v>
      </c>
      <c r="F557" s="165" t="s">
        <v>466</v>
      </c>
      <c r="G557" s="81">
        <v>525347</v>
      </c>
      <c r="H557" s="81">
        <v>175071</v>
      </c>
      <c r="I557" s="165" t="s">
        <v>259</v>
      </c>
      <c r="J557" s="349">
        <v>42825</v>
      </c>
      <c r="L557" s="166">
        <v>0</v>
      </c>
      <c r="M557" s="166">
        <v>1</v>
      </c>
      <c r="N557" s="166">
        <v>1</v>
      </c>
      <c r="O557" s="166">
        <v>85</v>
      </c>
      <c r="P557" s="166">
        <v>85</v>
      </c>
      <c r="Q557" s="81" t="s">
        <v>155</v>
      </c>
      <c r="R557" s="165" t="s">
        <v>900</v>
      </c>
      <c r="S557" s="81" t="s">
        <v>104</v>
      </c>
      <c r="T557" s="349">
        <v>41969</v>
      </c>
      <c r="U557" s="349">
        <v>42264</v>
      </c>
      <c r="W557" s="81" t="s">
        <v>114</v>
      </c>
      <c r="Y557" s="81" t="s">
        <v>115</v>
      </c>
      <c r="Z557" s="81" t="s">
        <v>116</v>
      </c>
      <c r="AA557" s="81" t="s">
        <v>116</v>
      </c>
      <c r="AB557" s="81" t="s">
        <v>117</v>
      </c>
      <c r="AC557" s="166">
        <v>3.0000000260770299E-3</v>
      </c>
      <c r="AD557" s="349">
        <v>42825</v>
      </c>
      <c r="AG557" s="81" t="s">
        <v>74</v>
      </c>
      <c r="AH557" s="81" t="s">
        <v>1913</v>
      </c>
      <c r="AK557" s="166">
        <v>1</v>
      </c>
      <c r="AM557" s="166">
        <v>1</v>
      </c>
      <c r="AO557" s="166">
        <v>0</v>
      </c>
      <c r="AP557" s="166">
        <v>1</v>
      </c>
      <c r="AQ557" s="166">
        <v>0</v>
      </c>
      <c r="AR557" s="166">
        <v>0</v>
      </c>
      <c r="AS557" s="166">
        <v>0</v>
      </c>
      <c r="AT557" s="166">
        <v>0</v>
      </c>
      <c r="AU557" s="166">
        <v>0</v>
      </c>
      <c r="AV557" s="166">
        <v>0</v>
      </c>
      <c r="AW557" s="166">
        <v>1</v>
      </c>
      <c r="AX557" s="166">
        <v>0</v>
      </c>
      <c r="AY557" s="166">
        <v>0</v>
      </c>
      <c r="AZ557" s="166">
        <v>0</v>
      </c>
      <c r="BA557" s="166">
        <v>0</v>
      </c>
      <c r="BB557" s="166">
        <v>0</v>
      </c>
      <c r="BC557" s="166">
        <v>0</v>
      </c>
      <c r="BD557" s="166">
        <v>0</v>
      </c>
      <c r="BE557" s="166">
        <v>0</v>
      </c>
      <c r="BF557" s="166">
        <v>0</v>
      </c>
      <c r="BG557" s="166">
        <v>0</v>
      </c>
      <c r="BH557" s="166">
        <v>0</v>
      </c>
      <c r="BI557" s="166">
        <v>0</v>
      </c>
      <c r="BJ557" s="166">
        <v>0</v>
      </c>
      <c r="BK557" s="166">
        <v>0</v>
      </c>
      <c r="BL557" s="166">
        <v>0</v>
      </c>
      <c r="BM557" s="166">
        <v>0</v>
      </c>
      <c r="BN557" s="166">
        <v>0</v>
      </c>
      <c r="BO557" s="166">
        <v>0</v>
      </c>
      <c r="BP557" s="166">
        <v>0</v>
      </c>
      <c r="BQ557" s="81" t="s">
        <v>1758</v>
      </c>
      <c r="BT557" s="81" t="s">
        <v>155</v>
      </c>
      <c r="BZ557" s="81" t="s">
        <v>155</v>
      </c>
      <c r="CA557" s="81" t="s">
        <v>3934</v>
      </c>
      <c r="CC557" s="167">
        <v>0</v>
      </c>
      <c r="CD557" s="167">
        <v>0</v>
      </c>
      <c r="CE557" s="167">
        <f>N557</f>
        <v>1</v>
      </c>
      <c r="CF557" s="167">
        <v>0</v>
      </c>
      <c r="CG557" s="167">
        <v>0</v>
      </c>
      <c r="CH557" s="167">
        <v>0</v>
      </c>
      <c r="CI557" s="167">
        <v>0</v>
      </c>
      <c r="CJ557" s="167">
        <v>0</v>
      </c>
      <c r="CK557" s="167">
        <v>0</v>
      </c>
      <c r="CL557" s="167">
        <v>0</v>
      </c>
      <c r="CM557" s="167">
        <v>0</v>
      </c>
      <c r="CN557" s="167">
        <v>0</v>
      </c>
      <c r="CO557" s="167">
        <v>0</v>
      </c>
      <c r="CP557" s="167">
        <v>0</v>
      </c>
      <c r="CQ557" s="167">
        <v>0</v>
      </c>
      <c r="CR557" s="167">
        <v>0</v>
      </c>
      <c r="CS557" s="167">
        <v>0</v>
      </c>
      <c r="CT557" s="167">
        <v>0</v>
      </c>
      <c r="CU557" s="167">
        <v>0</v>
      </c>
      <c r="CV557" s="167">
        <v>0</v>
      </c>
      <c r="CW557" s="167">
        <v>0</v>
      </c>
      <c r="CX557" s="167">
        <f>SUM(CD557:CH557)</f>
        <v>1</v>
      </c>
      <c r="CY557" s="167">
        <f>SUM(CD557:CM557)</f>
        <v>1</v>
      </c>
    </row>
    <row r="558" spans="1:103" ht="12.75" customHeight="1" x14ac:dyDescent="0.2">
      <c r="A558" s="81">
        <v>5793</v>
      </c>
      <c r="B558" s="165" t="s">
        <v>1908</v>
      </c>
      <c r="C558" s="165" t="s">
        <v>449</v>
      </c>
      <c r="E558" s="165" t="s">
        <v>3409</v>
      </c>
      <c r="F558" s="165" t="s">
        <v>467</v>
      </c>
      <c r="G558" s="81">
        <v>525347</v>
      </c>
      <c r="H558" s="81">
        <v>175071</v>
      </c>
      <c r="I558" s="165" t="s">
        <v>259</v>
      </c>
      <c r="J558" s="349">
        <v>42825</v>
      </c>
      <c r="L558" s="166">
        <v>0</v>
      </c>
      <c r="M558" s="166">
        <v>3</v>
      </c>
      <c r="N558" s="166">
        <v>3</v>
      </c>
      <c r="O558" s="166">
        <v>85</v>
      </c>
      <c r="P558" s="166">
        <v>85</v>
      </c>
      <c r="Q558" s="81" t="s">
        <v>155</v>
      </c>
      <c r="R558" s="165" t="s">
        <v>900</v>
      </c>
      <c r="S558" s="81" t="s">
        <v>104</v>
      </c>
      <c r="T558" s="349">
        <v>41969</v>
      </c>
      <c r="U558" s="349">
        <v>42264</v>
      </c>
      <c r="W558" s="81" t="s">
        <v>114</v>
      </c>
      <c r="Y558" s="81" t="s">
        <v>115</v>
      </c>
      <c r="Z558" s="81" t="s">
        <v>116</v>
      </c>
      <c r="AA558" s="81" t="s">
        <v>116</v>
      </c>
      <c r="AB558" s="81" t="s">
        <v>117</v>
      </c>
      <c r="AC558" s="166">
        <v>8.0000003799796104E-3</v>
      </c>
      <c r="AD558" s="349">
        <v>42825</v>
      </c>
      <c r="AG558" s="81" t="s">
        <v>238</v>
      </c>
      <c r="AH558" s="81" t="s">
        <v>118</v>
      </c>
      <c r="AK558" s="166">
        <v>3</v>
      </c>
      <c r="AM558" s="166">
        <v>0</v>
      </c>
      <c r="AO558" s="166">
        <v>0</v>
      </c>
      <c r="AP558" s="166">
        <v>1</v>
      </c>
      <c r="AQ558" s="166">
        <v>1</v>
      </c>
      <c r="AR558" s="166">
        <v>1</v>
      </c>
      <c r="AS558" s="166">
        <v>0</v>
      </c>
      <c r="AT558" s="166">
        <v>0</v>
      </c>
      <c r="AU558" s="166">
        <v>0</v>
      </c>
      <c r="AV558" s="166">
        <v>0</v>
      </c>
      <c r="AW558" s="166">
        <v>1</v>
      </c>
      <c r="AX558" s="166">
        <v>1</v>
      </c>
      <c r="AY558" s="166">
        <v>1</v>
      </c>
      <c r="AZ558" s="166">
        <v>0</v>
      </c>
      <c r="BA558" s="166">
        <v>0</v>
      </c>
      <c r="BB558" s="166">
        <v>0</v>
      </c>
      <c r="BC558" s="166">
        <v>0</v>
      </c>
      <c r="BD558" s="166">
        <v>0</v>
      </c>
      <c r="BE558" s="166">
        <v>0</v>
      </c>
      <c r="BF558" s="166">
        <v>0</v>
      </c>
      <c r="BG558" s="166">
        <v>0</v>
      </c>
      <c r="BH558" s="166">
        <v>0</v>
      </c>
      <c r="BI558" s="166">
        <v>0</v>
      </c>
      <c r="BJ558" s="166">
        <v>0</v>
      </c>
      <c r="BK558" s="166">
        <v>0</v>
      </c>
      <c r="BL558" s="166">
        <v>0</v>
      </c>
      <c r="BM558" s="166">
        <v>0</v>
      </c>
      <c r="BN558" s="166">
        <v>0</v>
      </c>
      <c r="BO558" s="166">
        <v>0</v>
      </c>
      <c r="BP558" s="166">
        <v>0</v>
      </c>
      <c r="BQ558" s="81" t="s">
        <v>1758</v>
      </c>
      <c r="BT558" s="81" t="s">
        <v>155</v>
      </c>
      <c r="BZ558" s="81" t="s">
        <v>155</v>
      </c>
      <c r="CA558" s="81" t="s">
        <v>3934</v>
      </c>
      <c r="CC558" s="167">
        <v>0</v>
      </c>
      <c r="CD558" s="167">
        <v>0</v>
      </c>
      <c r="CE558" s="167">
        <f>N558</f>
        <v>3</v>
      </c>
      <c r="CF558" s="167">
        <v>0</v>
      </c>
      <c r="CG558" s="167">
        <v>0</v>
      </c>
      <c r="CH558" s="167">
        <v>0</v>
      </c>
      <c r="CI558" s="167">
        <v>0</v>
      </c>
      <c r="CJ558" s="167">
        <v>0</v>
      </c>
      <c r="CK558" s="167">
        <v>0</v>
      </c>
      <c r="CL558" s="167">
        <v>0</v>
      </c>
      <c r="CM558" s="167">
        <v>0</v>
      </c>
      <c r="CN558" s="167">
        <v>0</v>
      </c>
      <c r="CO558" s="167">
        <v>0</v>
      </c>
      <c r="CP558" s="167">
        <v>0</v>
      </c>
      <c r="CQ558" s="167">
        <v>0</v>
      </c>
      <c r="CR558" s="167">
        <v>0</v>
      </c>
      <c r="CS558" s="167">
        <v>0</v>
      </c>
      <c r="CT558" s="167">
        <v>0</v>
      </c>
      <c r="CU558" s="167">
        <v>0</v>
      </c>
      <c r="CV558" s="167">
        <v>0</v>
      </c>
      <c r="CW558" s="167">
        <v>0</v>
      </c>
      <c r="CX558" s="167">
        <f>SUM(CD558:CH558)</f>
        <v>3</v>
      </c>
      <c r="CY558" s="167">
        <f>SUM(CD558:CM558)</f>
        <v>3</v>
      </c>
    </row>
    <row r="559" spans="1:103" ht="12.75" customHeight="1" x14ac:dyDescent="0.2">
      <c r="A559" s="81">
        <v>5793</v>
      </c>
      <c r="B559" s="165" t="s">
        <v>1908</v>
      </c>
      <c r="C559" s="165" t="s">
        <v>449</v>
      </c>
      <c r="E559" s="165" t="s">
        <v>3409</v>
      </c>
      <c r="F559" s="165" t="s">
        <v>468</v>
      </c>
      <c r="G559" s="81">
        <v>525347</v>
      </c>
      <c r="H559" s="81">
        <v>175071</v>
      </c>
      <c r="I559" s="165" t="s">
        <v>259</v>
      </c>
      <c r="J559" s="349">
        <v>42825</v>
      </c>
      <c r="L559" s="166">
        <v>0</v>
      </c>
      <c r="M559" s="166">
        <v>3</v>
      </c>
      <c r="N559" s="166">
        <v>3</v>
      </c>
      <c r="O559" s="166">
        <v>85</v>
      </c>
      <c r="P559" s="166">
        <v>85</v>
      </c>
      <c r="Q559" s="81" t="s">
        <v>155</v>
      </c>
      <c r="R559" s="165" t="s">
        <v>900</v>
      </c>
      <c r="S559" s="81" t="s">
        <v>104</v>
      </c>
      <c r="T559" s="349">
        <v>41969</v>
      </c>
      <c r="U559" s="349">
        <v>42264</v>
      </c>
      <c r="W559" s="81" t="s">
        <v>114</v>
      </c>
      <c r="Y559" s="81" t="s">
        <v>115</v>
      </c>
      <c r="Z559" s="81" t="s">
        <v>116</v>
      </c>
      <c r="AA559" s="81" t="s">
        <v>116</v>
      </c>
      <c r="AB559" s="81" t="s">
        <v>117</v>
      </c>
      <c r="AC559" s="166">
        <v>8.0000003799796104E-3</v>
      </c>
      <c r="AD559" s="349">
        <v>42825</v>
      </c>
      <c r="AG559" s="81" t="s">
        <v>238</v>
      </c>
      <c r="AH559" s="81" t="s">
        <v>118</v>
      </c>
      <c r="AK559" s="166">
        <v>3</v>
      </c>
      <c r="AM559" s="166">
        <v>0</v>
      </c>
      <c r="AO559" s="166">
        <v>0</v>
      </c>
      <c r="AP559" s="166">
        <v>1</v>
      </c>
      <c r="AQ559" s="166">
        <v>1</v>
      </c>
      <c r="AR559" s="166">
        <v>1</v>
      </c>
      <c r="AS559" s="166">
        <v>0</v>
      </c>
      <c r="AT559" s="166">
        <v>0</v>
      </c>
      <c r="AU559" s="166">
        <v>0</v>
      </c>
      <c r="AV559" s="166">
        <v>0</v>
      </c>
      <c r="AW559" s="166">
        <v>1</v>
      </c>
      <c r="AX559" s="166">
        <v>1</v>
      </c>
      <c r="AY559" s="166">
        <v>1</v>
      </c>
      <c r="AZ559" s="166">
        <v>0</v>
      </c>
      <c r="BA559" s="166">
        <v>0</v>
      </c>
      <c r="BB559" s="166">
        <v>0</v>
      </c>
      <c r="BC559" s="166">
        <v>0</v>
      </c>
      <c r="BD559" s="166">
        <v>0</v>
      </c>
      <c r="BE559" s="166">
        <v>0</v>
      </c>
      <c r="BF559" s="166">
        <v>0</v>
      </c>
      <c r="BG559" s="166">
        <v>0</v>
      </c>
      <c r="BH559" s="166">
        <v>0</v>
      </c>
      <c r="BI559" s="166">
        <v>0</v>
      </c>
      <c r="BJ559" s="166">
        <v>0</v>
      </c>
      <c r="BK559" s="166">
        <v>0</v>
      </c>
      <c r="BL559" s="166">
        <v>0</v>
      </c>
      <c r="BM559" s="166">
        <v>0</v>
      </c>
      <c r="BN559" s="166">
        <v>0</v>
      </c>
      <c r="BO559" s="166">
        <v>0</v>
      </c>
      <c r="BP559" s="166">
        <v>0</v>
      </c>
      <c r="BQ559" s="81" t="s">
        <v>1758</v>
      </c>
      <c r="BT559" s="81" t="s">
        <v>155</v>
      </c>
      <c r="BZ559" s="81" t="s">
        <v>155</v>
      </c>
      <c r="CA559" s="81" t="s">
        <v>3934</v>
      </c>
      <c r="CC559" s="167">
        <v>0</v>
      </c>
      <c r="CD559" s="167">
        <v>0</v>
      </c>
      <c r="CE559" s="167">
        <f>N559</f>
        <v>3</v>
      </c>
      <c r="CF559" s="167">
        <v>0</v>
      </c>
      <c r="CG559" s="167">
        <v>0</v>
      </c>
      <c r="CH559" s="167">
        <v>0</v>
      </c>
      <c r="CI559" s="167">
        <v>0</v>
      </c>
      <c r="CJ559" s="167">
        <v>0</v>
      </c>
      <c r="CK559" s="167">
        <v>0</v>
      </c>
      <c r="CL559" s="167">
        <v>0</v>
      </c>
      <c r="CM559" s="167">
        <v>0</v>
      </c>
      <c r="CN559" s="167">
        <v>0</v>
      </c>
      <c r="CO559" s="167">
        <v>0</v>
      </c>
      <c r="CP559" s="167">
        <v>0</v>
      </c>
      <c r="CQ559" s="167">
        <v>0</v>
      </c>
      <c r="CR559" s="167">
        <v>0</v>
      </c>
      <c r="CS559" s="167">
        <v>0</v>
      </c>
      <c r="CT559" s="167">
        <v>0</v>
      </c>
      <c r="CU559" s="167">
        <v>0</v>
      </c>
      <c r="CV559" s="167">
        <v>0</v>
      </c>
      <c r="CW559" s="167">
        <v>0</v>
      </c>
      <c r="CX559" s="167">
        <f>SUM(CD559:CH559)</f>
        <v>3</v>
      </c>
      <c r="CY559" s="167">
        <f>SUM(CD559:CM559)</f>
        <v>3</v>
      </c>
    </row>
    <row r="560" spans="1:103" ht="12.75" customHeight="1" x14ac:dyDescent="0.2">
      <c r="A560" s="81">
        <v>5793</v>
      </c>
      <c r="B560" s="165" t="s">
        <v>1908</v>
      </c>
      <c r="C560" s="165" t="s">
        <v>449</v>
      </c>
      <c r="E560" s="165" t="s">
        <v>3409</v>
      </c>
      <c r="F560" s="165" t="s">
        <v>469</v>
      </c>
      <c r="G560" s="81">
        <v>525347</v>
      </c>
      <c r="H560" s="81">
        <v>175071</v>
      </c>
      <c r="I560" s="165" t="s">
        <v>259</v>
      </c>
      <c r="J560" s="349">
        <v>42825</v>
      </c>
      <c r="L560" s="166">
        <v>0</v>
      </c>
      <c r="M560" s="166">
        <v>3</v>
      </c>
      <c r="N560" s="166">
        <v>3</v>
      </c>
      <c r="O560" s="166">
        <v>85</v>
      </c>
      <c r="P560" s="166">
        <v>85</v>
      </c>
      <c r="Q560" s="81" t="s">
        <v>155</v>
      </c>
      <c r="R560" s="165" t="s">
        <v>900</v>
      </c>
      <c r="S560" s="81" t="s">
        <v>104</v>
      </c>
      <c r="T560" s="349">
        <v>41969</v>
      </c>
      <c r="U560" s="349">
        <v>42264</v>
      </c>
      <c r="W560" s="81" t="s">
        <v>114</v>
      </c>
      <c r="Y560" s="81" t="s">
        <v>115</v>
      </c>
      <c r="Z560" s="81" t="s">
        <v>116</v>
      </c>
      <c r="AA560" s="81" t="s">
        <v>116</v>
      </c>
      <c r="AB560" s="81" t="s">
        <v>117</v>
      </c>
      <c r="AC560" s="166">
        <v>8.0000003799796104E-3</v>
      </c>
      <c r="AD560" s="349">
        <v>42825</v>
      </c>
      <c r="AG560" s="81" t="s">
        <v>238</v>
      </c>
      <c r="AH560" s="81" t="s">
        <v>118</v>
      </c>
      <c r="AK560" s="166">
        <v>3</v>
      </c>
      <c r="AM560" s="166">
        <v>0</v>
      </c>
      <c r="AO560" s="166">
        <v>0</v>
      </c>
      <c r="AP560" s="166">
        <v>1</v>
      </c>
      <c r="AQ560" s="166">
        <v>1</v>
      </c>
      <c r="AR560" s="166">
        <v>1</v>
      </c>
      <c r="AS560" s="166">
        <v>0</v>
      </c>
      <c r="AT560" s="166">
        <v>0</v>
      </c>
      <c r="AU560" s="166">
        <v>0</v>
      </c>
      <c r="AV560" s="166">
        <v>0</v>
      </c>
      <c r="AW560" s="166">
        <v>1</v>
      </c>
      <c r="AX560" s="166">
        <v>1</v>
      </c>
      <c r="AY560" s="166">
        <v>1</v>
      </c>
      <c r="AZ560" s="166">
        <v>0</v>
      </c>
      <c r="BA560" s="166">
        <v>0</v>
      </c>
      <c r="BB560" s="166">
        <v>0</v>
      </c>
      <c r="BC560" s="166">
        <v>0</v>
      </c>
      <c r="BD560" s="166">
        <v>0</v>
      </c>
      <c r="BE560" s="166">
        <v>0</v>
      </c>
      <c r="BF560" s="166">
        <v>0</v>
      </c>
      <c r="BG560" s="166">
        <v>0</v>
      </c>
      <c r="BH560" s="166">
        <v>0</v>
      </c>
      <c r="BI560" s="166">
        <v>0</v>
      </c>
      <c r="BJ560" s="166">
        <v>0</v>
      </c>
      <c r="BK560" s="166">
        <v>0</v>
      </c>
      <c r="BL560" s="166">
        <v>0</v>
      </c>
      <c r="BM560" s="166">
        <v>0</v>
      </c>
      <c r="BN560" s="166">
        <v>0</v>
      </c>
      <c r="BO560" s="166">
        <v>0</v>
      </c>
      <c r="BP560" s="166">
        <v>0</v>
      </c>
      <c r="BQ560" s="81" t="s">
        <v>1758</v>
      </c>
      <c r="BT560" s="81" t="s">
        <v>155</v>
      </c>
      <c r="BZ560" s="81" t="s">
        <v>155</v>
      </c>
      <c r="CA560" s="81" t="s">
        <v>3934</v>
      </c>
      <c r="CC560" s="167">
        <v>0</v>
      </c>
      <c r="CD560" s="167">
        <v>0</v>
      </c>
      <c r="CE560" s="167">
        <f>N560</f>
        <v>3</v>
      </c>
      <c r="CF560" s="167">
        <v>0</v>
      </c>
      <c r="CG560" s="167">
        <v>0</v>
      </c>
      <c r="CH560" s="167">
        <v>0</v>
      </c>
      <c r="CI560" s="167">
        <v>0</v>
      </c>
      <c r="CJ560" s="167">
        <v>0</v>
      </c>
      <c r="CK560" s="167">
        <v>0</v>
      </c>
      <c r="CL560" s="167">
        <v>0</v>
      </c>
      <c r="CM560" s="167">
        <v>0</v>
      </c>
      <c r="CN560" s="167">
        <v>0</v>
      </c>
      <c r="CO560" s="167">
        <v>0</v>
      </c>
      <c r="CP560" s="167">
        <v>0</v>
      </c>
      <c r="CQ560" s="167">
        <v>0</v>
      </c>
      <c r="CR560" s="167">
        <v>0</v>
      </c>
      <c r="CS560" s="167">
        <v>0</v>
      </c>
      <c r="CT560" s="167">
        <v>0</v>
      </c>
      <c r="CU560" s="167">
        <v>0</v>
      </c>
      <c r="CV560" s="167">
        <v>0</v>
      </c>
      <c r="CW560" s="167">
        <v>0</v>
      </c>
      <c r="CX560" s="167">
        <f>SUM(CD560:CH560)</f>
        <v>3</v>
      </c>
      <c r="CY560" s="167">
        <f>SUM(CD560:CM560)</f>
        <v>3</v>
      </c>
    </row>
    <row r="561" spans="1:103" ht="12.75" customHeight="1" x14ac:dyDescent="0.2">
      <c r="A561" s="81">
        <v>5793</v>
      </c>
      <c r="B561" s="165" t="s">
        <v>1908</v>
      </c>
      <c r="C561" s="165" t="s">
        <v>449</v>
      </c>
      <c r="E561" s="165" t="s">
        <v>3409</v>
      </c>
      <c r="F561" s="165" t="s">
        <v>470</v>
      </c>
      <c r="G561" s="81">
        <v>525347</v>
      </c>
      <c r="H561" s="81">
        <v>175071</v>
      </c>
      <c r="I561" s="165" t="s">
        <v>259</v>
      </c>
      <c r="J561" s="349">
        <v>42825</v>
      </c>
      <c r="L561" s="166">
        <v>0</v>
      </c>
      <c r="M561" s="166">
        <v>3</v>
      </c>
      <c r="N561" s="166">
        <v>3</v>
      </c>
      <c r="O561" s="166">
        <v>85</v>
      </c>
      <c r="P561" s="166">
        <v>85</v>
      </c>
      <c r="Q561" s="81" t="s">
        <v>155</v>
      </c>
      <c r="R561" s="165" t="s">
        <v>900</v>
      </c>
      <c r="S561" s="81" t="s">
        <v>104</v>
      </c>
      <c r="T561" s="349">
        <v>41969</v>
      </c>
      <c r="U561" s="349">
        <v>42264</v>
      </c>
      <c r="W561" s="81" t="s">
        <v>114</v>
      </c>
      <c r="Y561" s="81" t="s">
        <v>115</v>
      </c>
      <c r="Z561" s="81" t="s">
        <v>116</v>
      </c>
      <c r="AA561" s="81" t="s">
        <v>116</v>
      </c>
      <c r="AB561" s="81" t="s">
        <v>117</v>
      </c>
      <c r="AC561" s="166">
        <v>8.0000003799796104E-3</v>
      </c>
      <c r="AD561" s="349">
        <v>42825</v>
      </c>
      <c r="AG561" s="81" t="s">
        <v>238</v>
      </c>
      <c r="AH561" s="81" t="s">
        <v>118</v>
      </c>
      <c r="AK561" s="166">
        <v>3</v>
      </c>
      <c r="AM561" s="166">
        <v>0</v>
      </c>
      <c r="AO561" s="166">
        <v>0</v>
      </c>
      <c r="AP561" s="166">
        <v>1</v>
      </c>
      <c r="AQ561" s="166">
        <v>1</v>
      </c>
      <c r="AR561" s="166">
        <v>1</v>
      </c>
      <c r="AS561" s="166">
        <v>0</v>
      </c>
      <c r="AT561" s="166">
        <v>0</v>
      </c>
      <c r="AU561" s="166">
        <v>0</v>
      </c>
      <c r="AV561" s="166">
        <v>0</v>
      </c>
      <c r="AW561" s="166">
        <v>1</v>
      </c>
      <c r="AX561" s="166">
        <v>1</v>
      </c>
      <c r="AY561" s="166">
        <v>1</v>
      </c>
      <c r="AZ561" s="166">
        <v>0</v>
      </c>
      <c r="BA561" s="166">
        <v>0</v>
      </c>
      <c r="BB561" s="166">
        <v>0</v>
      </c>
      <c r="BC561" s="166">
        <v>0</v>
      </c>
      <c r="BD561" s="166">
        <v>0</v>
      </c>
      <c r="BE561" s="166">
        <v>0</v>
      </c>
      <c r="BF561" s="166">
        <v>0</v>
      </c>
      <c r="BG561" s="166">
        <v>0</v>
      </c>
      <c r="BH561" s="166">
        <v>0</v>
      </c>
      <c r="BI561" s="166">
        <v>0</v>
      </c>
      <c r="BJ561" s="166">
        <v>0</v>
      </c>
      <c r="BK561" s="166">
        <v>0</v>
      </c>
      <c r="BL561" s="166">
        <v>0</v>
      </c>
      <c r="BM561" s="166">
        <v>0</v>
      </c>
      <c r="BN561" s="166">
        <v>0</v>
      </c>
      <c r="BO561" s="166">
        <v>0</v>
      </c>
      <c r="BP561" s="166">
        <v>0</v>
      </c>
      <c r="BQ561" s="81" t="s">
        <v>1758</v>
      </c>
      <c r="BT561" s="81" t="s">
        <v>155</v>
      </c>
      <c r="BZ561" s="81" t="s">
        <v>155</v>
      </c>
      <c r="CA561" s="81" t="s">
        <v>3934</v>
      </c>
      <c r="CC561" s="167">
        <v>0</v>
      </c>
      <c r="CD561" s="167">
        <v>0</v>
      </c>
      <c r="CE561" s="167">
        <f>N561</f>
        <v>3</v>
      </c>
      <c r="CF561" s="167">
        <v>0</v>
      </c>
      <c r="CG561" s="167">
        <v>0</v>
      </c>
      <c r="CH561" s="167">
        <v>0</v>
      </c>
      <c r="CI561" s="167">
        <v>0</v>
      </c>
      <c r="CJ561" s="167">
        <v>0</v>
      </c>
      <c r="CK561" s="167">
        <v>0</v>
      </c>
      <c r="CL561" s="167">
        <v>0</v>
      </c>
      <c r="CM561" s="167">
        <v>0</v>
      </c>
      <c r="CN561" s="167">
        <v>0</v>
      </c>
      <c r="CO561" s="167">
        <v>0</v>
      </c>
      <c r="CP561" s="167">
        <v>0</v>
      </c>
      <c r="CQ561" s="167">
        <v>0</v>
      </c>
      <c r="CR561" s="167">
        <v>0</v>
      </c>
      <c r="CS561" s="167">
        <v>0</v>
      </c>
      <c r="CT561" s="167">
        <v>0</v>
      </c>
      <c r="CU561" s="167">
        <v>0</v>
      </c>
      <c r="CV561" s="167">
        <v>0</v>
      </c>
      <c r="CW561" s="167">
        <v>0</v>
      </c>
      <c r="CX561" s="167">
        <f>SUM(CD561:CH561)</f>
        <v>3</v>
      </c>
      <c r="CY561" s="167">
        <f>SUM(CD561:CM561)</f>
        <v>3</v>
      </c>
    </row>
    <row r="562" spans="1:103" ht="12.75" customHeight="1" x14ac:dyDescent="0.2">
      <c r="A562" s="81">
        <v>5793</v>
      </c>
      <c r="B562" s="165" t="s">
        <v>1908</v>
      </c>
      <c r="C562" s="165" t="s">
        <v>449</v>
      </c>
      <c r="E562" s="165" t="s">
        <v>3409</v>
      </c>
      <c r="F562" s="165" t="s">
        <v>471</v>
      </c>
      <c r="G562" s="81">
        <v>525347</v>
      </c>
      <c r="H562" s="81">
        <v>175071</v>
      </c>
      <c r="I562" s="165" t="s">
        <v>259</v>
      </c>
      <c r="J562" s="349">
        <v>42825</v>
      </c>
      <c r="L562" s="166">
        <v>0</v>
      </c>
      <c r="M562" s="166">
        <v>3</v>
      </c>
      <c r="N562" s="166">
        <v>3</v>
      </c>
      <c r="O562" s="166">
        <v>85</v>
      </c>
      <c r="P562" s="166">
        <v>85</v>
      </c>
      <c r="Q562" s="81" t="s">
        <v>155</v>
      </c>
      <c r="R562" s="165" t="s">
        <v>900</v>
      </c>
      <c r="S562" s="81" t="s">
        <v>104</v>
      </c>
      <c r="T562" s="349">
        <v>41969</v>
      </c>
      <c r="U562" s="349">
        <v>42264</v>
      </c>
      <c r="W562" s="81" t="s">
        <v>114</v>
      </c>
      <c r="Y562" s="81" t="s">
        <v>115</v>
      </c>
      <c r="Z562" s="81" t="s">
        <v>116</v>
      </c>
      <c r="AA562" s="81" t="s">
        <v>116</v>
      </c>
      <c r="AB562" s="81" t="s">
        <v>117</v>
      </c>
      <c r="AC562" s="166">
        <v>8.0000003799796104E-3</v>
      </c>
      <c r="AD562" s="349">
        <v>42825</v>
      </c>
      <c r="AG562" s="81" t="s">
        <v>238</v>
      </c>
      <c r="AH562" s="81" t="s">
        <v>118</v>
      </c>
      <c r="AK562" s="166">
        <v>3</v>
      </c>
      <c r="AM562" s="166">
        <v>0</v>
      </c>
      <c r="AO562" s="166">
        <v>0</v>
      </c>
      <c r="AP562" s="166">
        <v>1</v>
      </c>
      <c r="AQ562" s="166">
        <v>1</v>
      </c>
      <c r="AR562" s="166">
        <v>1</v>
      </c>
      <c r="AS562" s="166">
        <v>0</v>
      </c>
      <c r="AT562" s="166">
        <v>0</v>
      </c>
      <c r="AU562" s="166">
        <v>0</v>
      </c>
      <c r="AV562" s="166">
        <v>0</v>
      </c>
      <c r="AW562" s="166">
        <v>1</v>
      </c>
      <c r="AX562" s="166">
        <v>1</v>
      </c>
      <c r="AY562" s="166">
        <v>1</v>
      </c>
      <c r="AZ562" s="166">
        <v>0</v>
      </c>
      <c r="BA562" s="166">
        <v>0</v>
      </c>
      <c r="BB562" s="166">
        <v>0</v>
      </c>
      <c r="BC562" s="166">
        <v>0</v>
      </c>
      <c r="BD562" s="166">
        <v>0</v>
      </c>
      <c r="BE562" s="166">
        <v>0</v>
      </c>
      <c r="BF562" s="166">
        <v>0</v>
      </c>
      <c r="BG562" s="166">
        <v>0</v>
      </c>
      <c r="BH562" s="166">
        <v>0</v>
      </c>
      <c r="BI562" s="166">
        <v>0</v>
      </c>
      <c r="BJ562" s="166">
        <v>0</v>
      </c>
      <c r="BK562" s="166">
        <v>0</v>
      </c>
      <c r="BL562" s="166">
        <v>0</v>
      </c>
      <c r="BM562" s="166">
        <v>0</v>
      </c>
      <c r="BN562" s="166">
        <v>0</v>
      </c>
      <c r="BO562" s="166">
        <v>0</v>
      </c>
      <c r="BP562" s="166">
        <v>0</v>
      </c>
      <c r="BQ562" s="81" t="s">
        <v>1758</v>
      </c>
      <c r="BT562" s="81" t="s">
        <v>155</v>
      </c>
      <c r="BZ562" s="81" t="s">
        <v>155</v>
      </c>
      <c r="CA562" s="81" t="s">
        <v>3934</v>
      </c>
      <c r="CC562" s="167">
        <v>0</v>
      </c>
      <c r="CD562" s="167">
        <v>0</v>
      </c>
      <c r="CE562" s="167">
        <f>N562</f>
        <v>3</v>
      </c>
      <c r="CF562" s="167">
        <v>0</v>
      </c>
      <c r="CG562" s="167">
        <v>0</v>
      </c>
      <c r="CH562" s="167">
        <v>0</v>
      </c>
      <c r="CI562" s="167">
        <v>0</v>
      </c>
      <c r="CJ562" s="167">
        <v>0</v>
      </c>
      <c r="CK562" s="167">
        <v>0</v>
      </c>
      <c r="CL562" s="167">
        <v>0</v>
      </c>
      <c r="CM562" s="167">
        <v>0</v>
      </c>
      <c r="CN562" s="167">
        <v>0</v>
      </c>
      <c r="CO562" s="167">
        <v>0</v>
      </c>
      <c r="CP562" s="167">
        <v>0</v>
      </c>
      <c r="CQ562" s="167">
        <v>0</v>
      </c>
      <c r="CR562" s="167">
        <v>0</v>
      </c>
      <c r="CS562" s="167">
        <v>0</v>
      </c>
      <c r="CT562" s="167">
        <v>0</v>
      </c>
      <c r="CU562" s="167">
        <v>0</v>
      </c>
      <c r="CV562" s="167">
        <v>0</v>
      </c>
      <c r="CW562" s="167">
        <v>0</v>
      </c>
      <c r="CX562" s="167">
        <f>SUM(CD562:CH562)</f>
        <v>3</v>
      </c>
      <c r="CY562" s="167">
        <f>SUM(CD562:CM562)</f>
        <v>3</v>
      </c>
    </row>
    <row r="563" spans="1:103" ht="12.75" customHeight="1" x14ac:dyDescent="0.2">
      <c r="A563" s="81">
        <v>5793</v>
      </c>
      <c r="B563" s="165" t="s">
        <v>1908</v>
      </c>
      <c r="C563" s="165" t="s">
        <v>449</v>
      </c>
      <c r="E563" s="165" t="s">
        <v>3409</v>
      </c>
      <c r="F563" s="165" t="s">
        <v>472</v>
      </c>
      <c r="G563" s="81">
        <v>525347</v>
      </c>
      <c r="H563" s="81">
        <v>175071</v>
      </c>
      <c r="I563" s="165" t="s">
        <v>259</v>
      </c>
      <c r="J563" s="349">
        <v>42825</v>
      </c>
      <c r="L563" s="166">
        <v>0</v>
      </c>
      <c r="M563" s="166">
        <v>2</v>
      </c>
      <c r="N563" s="166">
        <v>2</v>
      </c>
      <c r="O563" s="166">
        <v>85</v>
      </c>
      <c r="P563" s="166">
        <v>85</v>
      </c>
      <c r="Q563" s="81" t="s">
        <v>155</v>
      </c>
      <c r="R563" s="165" t="s">
        <v>900</v>
      </c>
      <c r="S563" s="81" t="s">
        <v>104</v>
      </c>
      <c r="T563" s="349">
        <v>41969</v>
      </c>
      <c r="U563" s="349">
        <v>42264</v>
      </c>
      <c r="W563" s="81" t="s">
        <v>114</v>
      </c>
      <c r="Y563" s="81" t="s">
        <v>115</v>
      </c>
      <c r="Z563" s="81" t="s">
        <v>116</v>
      </c>
      <c r="AA563" s="81" t="s">
        <v>116</v>
      </c>
      <c r="AB563" s="81" t="s">
        <v>117</v>
      </c>
      <c r="AC563" s="166">
        <v>4.9999998882412902E-3</v>
      </c>
      <c r="AD563" s="349">
        <v>42825</v>
      </c>
      <c r="AG563" s="81" t="s">
        <v>238</v>
      </c>
      <c r="AH563" s="81" t="s">
        <v>118</v>
      </c>
      <c r="AK563" s="166">
        <v>2</v>
      </c>
      <c r="AM563" s="166">
        <v>0</v>
      </c>
      <c r="AO563" s="166">
        <v>0</v>
      </c>
      <c r="AP563" s="166">
        <v>0</v>
      </c>
      <c r="AQ563" s="166">
        <v>1</v>
      </c>
      <c r="AR563" s="166">
        <v>1</v>
      </c>
      <c r="AS563" s="166">
        <v>0</v>
      </c>
      <c r="AT563" s="166">
        <v>0</v>
      </c>
      <c r="AU563" s="166">
        <v>0</v>
      </c>
      <c r="AV563" s="166">
        <v>0</v>
      </c>
      <c r="AW563" s="166">
        <v>0</v>
      </c>
      <c r="AX563" s="166">
        <v>1</v>
      </c>
      <c r="AY563" s="166">
        <v>1</v>
      </c>
      <c r="AZ563" s="166">
        <v>0</v>
      </c>
      <c r="BA563" s="166">
        <v>0</v>
      </c>
      <c r="BB563" s="166">
        <v>0</v>
      </c>
      <c r="BC563" s="166">
        <v>0</v>
      </c>
      <c r="BD563" s="166">
        <v>0</v>
      </c>
      <c r="BE563" s="166">
        <v>0</v>
      </c>
      <c r="BF563" s="166">
        <v>0</v>
      </c>
      <c r="BG563" s="166">
        <v>0</v>
      </c>
      <c r="BH563" s="166">
        <v>0</v>
      </c>
      <c r="BI563" s="166">
        <v>0</v>
      </c>
      <c r="BJ563" s="166">
        <v>0</v>
      </c>
      <c r="BK563" s="166">
        <v>0</v>
      </c>
      <c r="BL563" s="166">
        <v>0</v>
      </c>
      <c r="BM563" s="166">
        <v>0</v>
      </c>
      <c r="BN563" s="166">
        <v>0</v>
      </c>
      <c r="BO563" s="166">
        <v>0</v>
      </c>
      <c r="BP563" s="166">
        <v>0</v>
      </c>
      <c r="BQ563" s="81" t="s">
        <v>1758</v>
      </c>
      <c r="BT563" s="81" t="s">
        <v>155</v>
      </c>
      <c r="BZ563" s="81" t="s">
        <v>155</v>
      </c>
      <c r="CA563" s="81" t="s">
        <v>3934</v>
      </c>
      <c r="CC563" s="167">
        <v>0</v>
      </c>
      <c r="CD563" s="167">
        <v>0</v>
      </c>
      <c r="CE563" s="167">
        <f>N563</f>
        <v>2</v>
      </c>
      <c r="CF563" s="167">
        <v>0</v>
      </c>
      <c r="CG563" s="167">
        <v>0</v>
      </c>
      <c r="CH563" s="167">
        <v>0</v>
      </c>
      <c r="CI563" s="167">
        <v>0</v>
      </c>
      <c r="CJ563" s="167">
        <v>0</v>
      </c>
      <c r="CK563" s="167">
        <v>0</v>
      </c>
      <c r="CL563" s="167">
        <v>0</v>
      </c>
      <c r="CM563" s="167">
        <v>0</v>
      </c>
      <c r="CN563" s="167">
        <v>0</v>
      </c>
      <c r="CO563" s="167">
        <v>0</v>
      </c>
      <c r="CP563" s="167">
        <v>0</v>
      </c>
      <c r="CQ563" s="167">
        <v>0</v>
      </c>
      <c r="CR563" s="167">
        <v>0</v>
      </c>
      <c r="CS563" s="167">
        <v>0</v>
      </c>
      <c r="CT563" s="167">
        <v>0</v>
      </c>
      <c r="CU563" s="167">
        <v>0</v>
      </c>
      <c r="CV563" s="167">
        <v>0</v>
      </c>
      <c r="CW563" s="167">
        <v>0</v>
      </c>
      <c r="CX563" s="167">
        <f>SUM(CD563:CH563)</f>
        <v>2</v>
      </c>
      <c r="CY563" s="167">
        <f>SUM(CD563:CM563)</f>
        <v>2</v>
      </c>
    </row>
    <row r="564" spans="1:103" ht="12.75" customHeight="1" x14ac:dyDescent="0.2">
      <c r="A564" s="81">
        <v>5793</v>
      </c>
      <c r="B564" s="165" t="s">
        <v>1908</v>
      </c>
      <c r="C564" s="165" t="s">
        <v>449</v>
      </c>
      <c r="E564" s="165" t="s">
        <v>3409</v>
      </c>
      <c r="F564" s="165" t="s">
        <v>473</v>
      </c>
      <c r="G564" s="81">
        <v>525347</v>
      </c>
      <c r="H564" s="81">
        <v>175071</v>
      </c>
      <c r="I564" s="165" t="s">
        <v>259</v>
      </c>
      <c r="J564" s="349">
        <v>42825</v>
      </c>
      <c r="L564" s="166">
        <v>0</v>
      </c>
      <c r="M564" s="166">
        <v>1</v>
      </c>
      <c r="N564" s="166">
        <v>1</v>
      </c>
      <c r="O564" s="166">
        <v>85</v>
      </c>
      <c r="P564" s="166">
        <v>85</v>
      </c>
      <c r="Q564" s="81" t="s">
        <v>155</v>
      </c>
      <c r="R564" s="165" t="s">
        <v>900</v>
      </c>
      <c r="S564" s="81" t="s">
        <v>104</v>
      </c>
      <c r="T564" s="349">
        <v>41969</v>
      </c>
      <c r="U564" s="349">
        <v>42264</v>
      </c>
      <c r="W564" s="81" t="s">
        <v>114</v>
      </c>
      <c r="Y564" s="81" t="s">
        <v>115</v>
      </c>
      <c r="Z564" s="81" t="s">
        <v>116</v>
      </c>
      <c r="AA564" s="81" t="s">
        <v>116</v>
      </c>
      <c r="AB564" s="81" t="s">
        <v>117</v>
      </c>
      <c r="AC564" s="166">
        <v>3.0000000260770299E-3</v>
      </c>
      <c r="AD564" s="349">
        <v>42825</v>
      </c>
      <c r="AG564" s="81" t="s">
        <v>238</v>
      </c>
      <c r="AH564" s="81" t="s">
        <v>118</v>
      </c>
      <c r="AK564" s="166">
        <v>2</v>
      </c>
      <c r="AM564" s="166">
        <v>1</v>
      </c>
      <c r="AO564" s="166">
        <v>0</v>
      </c>
      <c r="AP564" s="166">
        <v>0</v>
      </c>
      <c r="AQ564" s="166">
        <v>1</v>
      </c>
      <c r="AR564" s="166">
        <v>0</v>
      </c>
      <c r="AS564" s="166">
        <v>0</v>
      </c>
      <c r="AT564" s="166">
        <v>0</v>
      </c>
      <c r="AU564" s="166">
        <v>0</v>
      </c>
      <c r="AV564" s="166">
        <v>0</v>
      </c>
      <c r="AW564" s="166">
        <v>0</v>
      </c>
      <c r="AX564" s="166">
        <v>1</v>
      </c>
      <c r="AY564" s="166">
        <v>0</v>
      </c>
      <c r="AZ564" s="166">
        <v>0</v>
      </c>
      <c r="BA564" s="166">
        <v>0</v>
      </c>
      <c r="BB564" s="166">
        <v>0</v>
      </c>
      <c r="BC564" s="166">
        <v>0</v>
      </c>
      <c r="BD564" s="166">
        <v>0</v>
      </c>
      <c r="BE564" s="166">
        <v>0</v>
      </c>
      <c r="BF564" s="166">
        <v>0</v>
      </c>
      <c r="BG564" s="166">
        <v>0</v>
      </c>
      <c r="BH564" s="166">
        <v>0</v>
      </c>
      <c r="BI564" s="166">
        <v>0</v>
      </c>
      <c r="BJ564" s="166">
        <v>0</v>
      </c>
      <c r="BK564" s="166">
        <v>0</v>
      </c>
      <c r="BL564" s="166">
        <v>0</v>
      </c>
      <c r="BM564" s="166">
        <v>0</v>
      </c>
      <c r="BN564" s="166">
        <v>0</v>
      </c>
      <c r="BO564" s="166">
        <v>0</v>
      </c>
      <c r="BP564" s="166">
        <v>0</v>
      </c>
      <c r="BQ564" s="81" t="s">
        <v>1758</v>
      </c>
      <c r="BT564" s="81" t="s">
        <v>155</v>
      </c>
      <c r="BZ564" s="81" t="s">
        <v>155</v>
      </c>
      <c r="CA564" s="81" t="s">
        <v>3934</v>
      </c>
      <c r="CC564" s="167">
        <v>0</v>
      </c>
      <c r="CD564" s="167">
        <v>0</v>
      </c>
      <c r="CE564" s="167">
        <f>N564</f>
        <v>1</v>
      </c>
      <c r="CF564" s="167">
        <v>0</v>
      </c>
      <c r="CG564" s="167">
        <v>0</v>
      </c>
      <c r="CH564" s="167">
        <v>0</v>
      </c>
      <c r="CI564" s="167">
        <v>0</v>
      </c>
      <c r="CJ564" s="167">
        <v>0</v>
      </c>
      <c r="CK564" s="167">
        <v>0</v>
      </c>
      <c r="CL564" s="167">
        <v>0</v>
      </c>
      <c r="CM564" s="167">
        <v>0</v>
      </c>
      <c r="CN564" s="167">
        <v>0</v>
      </c>
      <c r="CO564" s="167">
        <v>0</v>
      </c>
      <c r="CP564" s="167">
        <v>0</v>
      </c>
      <c r="CQ564" s="167">
        <v>0</v>
      </c>
      <c r="CR564" s="167">
        <v>0</v>
      </c>
      <c r="CS564" s="167">
        <v>0</v>
      </c>
      <c r="CT564" s="167">
        <v>0</v>
      </c>
      <c r="CU564" s="167">
        <v>0</v>
      </c>
      <c r="CV564" s="167">
        <v>0</v>
      </c>
      <c r="CW564" s="167">
        <v>0</v>
      </c>
      <c r="CX564" s="167">
        <f>SUM(CD564:CH564)</f>
        <v>1</v>
      </c>
      <c r="CY564" s="167">
        <f>SUM(CD564:CM564)</f>
        <v>1</v>
      </c>
    </row>
    <row r="565" spans="1:103" ht="12.75" customHeight="1" x14ac:dyDescent="0.2">
      <c r="A565" s="81">
        <v>5793</v>
      </c>
      <c r="B565" s="165" t="s">
        <v>1908</v>
      </c>
      <c r="C565" s="165" t="s">
        <v>449</v>
      </c>
      <c r="E565" s="165" t="s">
        <v>3409</v>
      </c>
      <c r="F565" s="165" t="s">
        <v>474</v>
      </c>
      <c r="G565" s="81">
        <v>525347</v>
      </c>
      <c r="H565" s="81">
        <v>175071</v>
      </c>
      <c r="I565" s="165" t="s">
        <v>259</v>
      </c>
      <c r="J565" s="349">
        <v>42825</v>
      </c>
      <c r="L565" s="166">
        <v>0</v>
      </c>
      <c r="M565" s="166">
        <v>1</v>
      </c>
      <c r="N565" s="166">
        <v>1</v>
      </c>
      <c r="O565" s="166">
        <v>85</v>
      </c>
      <c r="P565" s="166">
        <v>85</v>
      </c>
      <c r="Q565" s="81" t="s">
        <v>155</v>
      </c>
      <c r="R565" s="165" t="s">
        <v>900</v>
      </c>
      <c r="S565" s="81" t="s">
        <v>104</v>
      </c>
      <c r="T565" s="349">
        <v>41969</v>
      </c>
      <c r="U565" s="349">
        <v>42264</v>
      </c>
      <c r="W565" s="81" t="s">
        <v>114</v>
      </c>
      <c r="Y565" s="81" t="s">
        <v>115</v>
      </c>
      <c r="Z565" s="81" t="s">
        <v>116</v>
      </c>
      <c r="AA565" s="81" t="s">
        <v>116</v>
      </c>
      <c r="AB565" s="81" t="s">
        <v>117</v>
      </c>
      <c r="AC565" s="166">
        <v>3.0000000260770299E-3</v>
      </c>
      <c r="AD565" s="349">
        <v>42825</v>
      </c>
      <c r="AG565" s="81" t="s">
        <v>74</v>
      </c>
      <c r="AH565" s="81" t="s">
        <v>1913</v>
      </c>
      <c r="AK565" s="166">
        <v>1</v>
      </c>
      <c r="AM565" s="166">
        <v>0</v>
      </c>
      <c r="AO565" s="166">
        <v>0</v>
      </c>
      <c r="AP565" s="166">
        <v>0</v>
      </c>
      <c r="AQ565" s="166">
        <v>1</v>
      </c>
      <c r="AR565" s="166">
        <v>0</v>
      </c>
      <c r="AS565" s="166">
        <v>0</v>
      </c>
      <c r="AT565" s="166">
        <v>0</v>
      </c>
      <c r="AU565" s="166">
        <v>0</v>
      </c>
      <c r="AV565" s="166">
        <v>0</v>
      </c>
      <c r="AW565" s="166">
        <v>0</v>
      </c>
      <c r="AX565" s="166">
        <v>1</v>
      </c>
      <c r="AY565" s="166">
        <v>0</v>
      </c>
      <c r="AZ565" s="166">
        <v>0</v>
      </c>
      <c r="BA565" s="166">
        <v>0</v>
      </c>
      <c r="BB565" s="166">
        <v>0</v>
      </c>
      <c r="BC565" s="166">
        <v>0</v>
      </c>
      <c r="BD565" s="166">
        <v>0</v>
      </c>
      <c r="BE565" s="166">
        <v>0</v>
      </c>
      <c r="BF565" s="166">
        <v>0</v>
      </c>
      <c r="BG565" s="166">
        <v>0</v>
      </c>
      <c r="BH565" s="166">
        <v>0</v>
      </c>
      <c r="BI565" s="166">
        <v>0</v>
      </c>
      <c r="BJ565" s="166">
        <v>0</v>
      </c>
      <c r="BK565" s="166">
        <v>0</v>
      </c>
      <c r="BL565" s="166">
        <v>0</v>
      </c>
      <c r="BM565" s="166">
        <v>0</v>
      </c>
      <c r="BN565" s="166">
        <v>0</v>
      </c>
      <c r="BO565" s="166">
        <v>0</v>
      </c>
      <c r="BP565" s="166">
        <v>0</v>
      </c>
      <c r="BQ565" s="81" t="s">
        <v>1758</v>
      </c>
      <c r="BT565" s="81" t="s">
        <v>155</v>
      </c>
      <c r="BZ565" s="81" t="s">
        <v>155</v>
      </c>
      <c r="CA565" s="81" t="s">
        <v>3934</v>
      </c>
      <c r="CC565" s="167">
        <v>0</v>
      </c>
      <c r="CD565" s="167">
        <v>0</v>
      </c>
      <c r="CE565" s="167">
        <f>N565</f>
        <v>1</v>
      </c>
      <c r="CF565" s="167">
        <v>0</v>
      </c>
      <c r="CG565" s="167">
        <v>0</v>
      </c>
      <c r="CH565" s="167">
        <v>0</v>
      </c>
      <c r="CI565" s="167">
        <v>0</v>
      </c>
      <c r="CJ565" s="167">
        <v>0</v>
      </c>
      <c r="CK565" s="167">
        <v>0</v>
      </c>
      <c r="CL565" s="167">
        <v>0</v>
      </c>
      <c r="CM565" s="167">
        <v>0</v>
      </c>
      <c r="CN565" s="167">
        <v>0</v>
      </c>
      <c r="CO565" s="167">
        <v>0</v>
      </c>
      <c r="CP565" s="167">
        <v>0</v>
      </c>
      <c r="CQ565" s="167">
        <v>0</v>
      </c>
      <c r="CR565" s="167">
        <v>0</v>
      </c>
      <c r="CS565" s="167">
        <v>0</v>
      </c>
      <c r="CT565" s="167">
        <v>0</v>
      </c>
      <c r="CU565" s="167">
        <v>0</v>
      </c>
      <c r="CV565" s="167">
        <v>0</v>
      </c>
      <c r="CW565" s="167">
        <v>0</v>
      </c>
      <c r="CX565" s="167">
        <f>SUM(CD565:CH565)</f>
        <v>1</v>
      </c>
      <c r="CY565" s="167">
        <f>SUM(CD565:CM565)</f>
        <v>1</v>
      </c>
    </row>
    <row r="566" spans="1:103" ht="12.75" customHeight="1" x14ac:dyDescent="0.2">
      <c r="A566" s="81">
        <v>5793</v>
      </c>
      <c r="B566" s="165" t="s">
        <v>1908</v>
      </c>
      <c r="C566" s="165" t="s">
        <v>449</v>
      </c>
      <c r="E566" s="165" t="s">
        <v>3409</v>
      </c>
      <c r="F566" s="165" t="s">
        <v>475</v>
      </c>
      <c r="G566" s="81">
        <v>525347</v>
      </c>
      <c r="H566" s="81">
        <v>175071</v>
      </c>
      <c r="I566" s="165" t="s">
        <v>259</v>
      </c>
      <c r="J566" s="349">
        <v>42825</v>
      </c>
      <c r="L566" s="166">
        <v>0</v>
      </c>
      <c r="M566" s="166">
        <v>2</v>
      </c>
      <c r="N566" s="166">
        <v>2</v>
      </c>
      <c r="O566" s="166">
        <v>85</v>
      </c>
      <c r="P566" s="166">
        <v>85</v>
      </c>
      <c r="Q566" s="81" t="s">
        <v>155</v>
      </c>
      <c r="R566" s="165" t="s">
        <v>900</v>
      </c>
      <c r="S566" s="81" t="s">
        <v>104</v>
      </c>
      <c r="T566" s="349">
        <v>41969</v>
      </c>
      <c r="U566" s="349">
        <v>42264</v>
      </c>
      <c r="W566" s="81" t="s">
        <v>114</v>
      </c>
      <c r="Y566" s="81" t="s">
        <v>115</v>
      </c>
      <c r="Z566" s="81" t="s">
        <v>116</v>
      </c>
      <c r="AA566" s="81" t="s">
        <v>116</v>
      </c>
      <c r="AB566" s="81" t="s">
        <v>117</v>
      </c>
      <c r="AC566" s="166">
        <v>4.9999998882412902E-3</v>
      </c>
      <c r="AD566" s="349">
        <v>42825</v>
      </c>
      <c r="AG566" s="81" t="s">
        <v>238</v>
      </c>
      <c r="AH566" s="81" t="s">
        <v>118</v>
      </c>
      <c r="AK566" s="166">
        <v>2</v>
      </c>
      <c r="AM566" s="166">
        <v>1</v>
      </c>
      <c r="AO566" s="166">
        <v>0</v>
      </c>
      <c r="AP566" s="166">
        <v>0</v>
      </c>
      <c r="AQ566" s="166">
        <v>2</v>
      </c>
      <c r="AR566" s="166">
        <v>0</v>
      </c>
      <c r="AS566" s="166">
        <v>0</v>
      </c>
      <c r="AT566" s="166">
        <v>0</v>
      </c>
      <c r="AU566" s="166">
        <v>0</v>
      </c>
      <c r="AV566" s="166">
        <v>0</v>
      </c>
      <c r="AW566" s="166">
        <v>0</v>
      </c>
      <c r="AX566" s="166">
        <v>2</v>
      </c>
      <c r="AY566" s="166">
        <v>0</v>
      </c>
      <c r="AZ566" s="166">
        <v>0</v>
      </c>
      <c r="BA566" s="166">
        <v>0</v>
      </c>
      <c r="BB566" s="166">
        <v>0</v>
      </c>
      <c r="BC566" s="166">
        <v>0</v>
      </c>
      <c r="BD566" s="166">
        <v>0</v>
      </c>
      <c r="BE566" s="166">
        <v>0</v>
      </c>
      <c r="BF566" s="166">
        <v>0</v>
      </c>
      <c r="BG566" s="166">
        <v>0</v>
      </c>
      <c r="BH566" s="166">
        <v>0</v>
      </c>
      <c r="BI566" s="166">
        <v>0</v>
      </c>
      <c r="BJ566" s="166">
        <v>0</v>
      </c>
      <c r="BK566" s="166">
        <v>0</v>
      </c>
      <c r="BL566" s="166">
        <v>0</v>
      </c>
      <c r="BM566" s="166">
        <v>0</v>
      </c>
      <c r="BN566" s="166">
        <v>0</v>
      </c>
      <c r="BO566" s="166">
        <v>0</v>
      </c>
      <c r="BP566" s="166">
        <v>0</v>
      </c>
      <c r="BQ566" s="81" t="s">
        <v>1758</v>
      </c>
      <c r="BT566" s="81" t="s">
        <v>155</v>
      </c>
      <c r="BZ566" s="81" t="s">
        <v>155</v>
      </c>
      <c r="CA566" s="81" t="s">
        <v>3934</v>
      </c>
      <c r="CC566" s="167">
        <v>0</v>
      </c>
      <c r="CD566" s="167">
        <v>0</v>
      </c>
      <c r="CE566" s="167">
        <f>N566</f>
        <v>2</v>
      </c>
      <c r="CF566" s="167">
        <v>0</v>
      </c>
      <c r="CG566" s="167">
        <v>0</v>
      </c>
      <c r="CH566" s="167">
        <v>0</v>
      </c>
      <c r="CI566" s="167">
        <v>0</v>
      </c>
      <c r="CJ566" s="167">
        <v>0</v>
      </c>
      <c r="CK566" s="167">
        <v>0</v>
      </c>
      <c r="CL566" s="167">
        <v>0</v>
      </c>
      <c r="CM566" s="167">
        <v>0</v>
      </c>
      <c r="CN566" s="167">
        <v>0</v>
      </c>
      <c r="CO566" s="167">
        <v>0</v>
      </c>
      <c r="CP566" s="167">
        <v>0</v>
      </c>
      <c r="CQ566" s="167">
        <v>0</v>
      </c>
      <c r="CR566" s="167">
        <v>0</v>
      </c>
      <c r="CS566" s="167">
        <v>0</v>
      </c>
      <c r="CT566" s="167">
        <v>0</v>
      </c>
      <c r="CU566" s="167">
        <v>0</v>
      </c>
      <c r="CV566" s="167">
        <v>0</v>
      </c>
      <c r="CW566" s="167">
        <v>0</v>
      </c>
      <c r="CX566" s="167">
        <f>SUM(CD566:CH566)</f>
        <v>2</v>
      </c>
      <c r="CY566" s="167">
        <f>SUM(CD566:CM566)</f>
        <v>2</v>
      </c>
    </row>
    <row r="567" spans="1:103" ht="12.75" customHeight="1" x14ac:dyDescent="0.2">
      <c r="A567" s="81">
        <v>5793</v>
      </c>
      <c r="B567" s="165" t="s">
        <v>1908</v>
      </c>
      <c r="C567" s="165" t="s">
        <v>449</v>
      </c>
      <c r="E567" s="165" t="s">
        <v>3409</v>
      </c>
      <c r="F567" s="165" t="s">
        <v>476</v>
      </c>
      <c r="G567" s="81">
        <v>525347</v>
      </c>
      <c r="H567" s="81">
        <v>175071</v>
      </c>
      <c r="I567" s="165" t="s">
        <v>259</v>
      </c>
      <c r="J567" s="349">
        <v>42825</v>
      </c>
      <c r="L567" s="166">
        <v>0</v>
      </c>
      <c r="M567" s="166">
        <v>2</v>
      </c>
      <c r="N567" s="166">
        <v>2</v>
      </c>
      <c r="O567" s="166">
        <v>85</v>
      </c>
      <c r="P567" s="166">
        <v>85</v>
      </c>
      <c r="Q567" s="81" t="s">
        <v>155</v>
      </c>
      <c r="R567" s="165" t="s">
        <v>900</v>
      </c>
      <c r="S567" s="81" t="s">
        <v>104</v>
      </c>
      <c r="T567" s="349">
        <v>41969</v>
      </c>
      <c r="U567" s="349">
        <v>42264</v>
      </c>
      <c r="W567" s="81" t="s">
        <v>114</v>
      </c>
      <c r="Y567" s="81" t="s">
        <v>115</v>
      </c>
      <c r="Z567" s="81" t="s">
        <v>116</v>
      </c>
      <c r="AA567" s="81" t="s">
        <v>116</v>
      </c>
      <c r="AB567" s="81" t="s">
        <v>117</v>
      </c>
      <c r="AC567" s="166">
        <v>4.9999998882412902E-3</v>
      </c>
      <c r="AD567" s="349">
        <v>42825</v>
      </c>
      <c r="AG567" s="81" t="s">
        <v>74</v>
      </c>
      <c r="AH567" s="81" t="s">
        <v>1913</v>
      </c>
      <c r="AK567" s="166">
        <v>2</v>
      </c>
      <c r="AM567" s="166">
        <v>1</v>
      </c>
      <c r="AO567" s="166">
        <v>0</v>
      </c>
      <c r="AP567" s="166">
        <v>0</v>
      </c>
      <c r="AQ567" s="166">
        <v>2</v>
      </c>
      <c r="AR567" s="166">
        <v>0</v>
      </c>
      <c r="AS567" s="166">
        <v>0</v>
      </c>
      <c r="AT567" s="166">
        <v>0</v>
      </c>
      <c r="AU567" s="166">
        <v>0</v>
      </c>
      <c r="AV567" s="166">
        <v>0</v>
      </c>
      <c r="AW567" s="166">
        <v>0</v>
      </c>
      <c r="AX567" s="166">
        <v>2</v>
      </c>
      <c r="AY567" s="166">
        <v>0</v>
      </c>
      <c r="AZ567" s="166">
        <v>0</v>
      </c>
      <c r="BA567" s="166">
        <v>0</v>
      </c>
      <c r="BB567" s="166">
        <v>0</v>
      </c>
      <c r="BC567" s="166">
        <v>0</v>
      </c>
      <c r="BD567" s="166">
        <v>0</v>
      </c>
      <c r="BE567" s="166">
        <v>0</v>
      </c>
      <c r="BF567" s="166">
        <v>0</v>
      </c>
      <c r="BG567" s="166">
        <v>0</v>
      </c>
      <c r="BH567" s="166">
        <v>0</v>
      </c>
      <c r="BI567" s="166">
        <v>0</v>
      </c>
      <c r="BJ567" s="166">
        <v>0</v>
      </c>
      <c r="BK567" s="166">
        <v>0</v>
      </c>
      <c r="BL567" s="166">
        <v>0</v>
      </c>
      <c r="BM567" s="166">
        <v>0</v>
      </c>
      <c r="BN567" s="166">
        <v>0</v>
      </c>
      <c r="BO567" s="166">
        <v>0</v>
      </c>
      <c r="BP567" s="166">
        <v>0</v>
      </c>
      <c r="BQ567" s="81" t="s">
        <v>1758</v>
      </c>
      <c r="BT567" s="81" t="s">
        <v>155</v>
      </c>
      <c r="BZ567" s="81" t="s">
        <v>155</v>
      </c>
      <c r="CA567" s="81" t="s">
        <v>3934</v>
      </c>
      <c r="CC567" s="167">
        <v>0</v>
      </c>
      <c r="CD567" s="167">
        <v>0</v>
      </c>
      <c r="CE567" s="167">
        <f>N567</f>
        <v>2</v>
      </c>
      <c r="CF567" s="167">
        <v>0</v>
      </c>
      <c r="CG567" s="167">
        <v>0</v>
      </c>
      <c r="CH567" s="167">
        <v>0</v>
      </c>
      <c r="CI567" s="167">
        <v>0</v>
      </c>
      <c r="CJ567" s="167">
        <v>0</v>
      </c>
      <c r="CK567" s="167">
        <v>0</v>
      </c>
      <c r="CL567" s="167">
        <v>0</v>
      </c>
      <c r="CM567" s="167">
        <v>0</v>
      </c>
      <c r="CN567" s="167">
        <v>0</v>
      </c>
      <c r="CO567" s="167">
        <v>0</v>
      </c>
      <c r="CP567" s="167">
        <v>0</v>
      </c>
      <c r="CQ567" s="167">
        <v>0</v>
      </c>
      <c r="CR567" s="167">
        <v>0</v>
      </c>
      <c r="CS567" s="167">
        <v>0</v>
      </c>
      <c r="CT567" s="167">
        <v>0</v>
      </c>
      <c r="CU567" s="167">
        <v>0</v>
      </c>
      <c r="CV567" s="167">
        <v>0</v>
      </c>
      <c r="CW567" s="167">
        <v>0</v>
      </c>
      <c r="CX567" s="167">
        <f>SUM(CD567:CH567)</f>
        <v>2</v>
      </c>
      <c r="CY567" s="167">
        <f>SUM(CD567:CM567)</f>
        <v>2</v>
      </c>
    </row>
    <row r="568" spans="1:103" ht="12.75" customHeight="1" x14ac:dyDescent="0.2">
      <c r="A568" s="81">
        <v>5793</v>
      </c>
      <c r="B568" s="165" t="s">
        <v>1908</v>
      </c>
      <c r="C568" s="165" t="s">
        <v>449</v>
      </c>
      <c r="E568" s="165" t="s">
        <v>3409</v>
      </c>
      <c r="F568" s="165" t="s">
        <v>477</v>
      </c>
      <c r="G568" s="81">
        <v>525347</v>
      </c>
      <c r="H568" s="81">
        <v>175071</v>
      </c>
      <c r="I568" s="165" t="s">
        <v>259</v>
      </c>
      <c r="J568" s="349">
        <v>42825</v>
      </c>
      <c r="L568" s="166">
        <v>0</v>
      </c>
      <c r="M568" s="166">
        <v>2</v>
      </c>
      <c r="N568" s="166">
        <v>2</v>
      </c>
      <c r="O568" s="166">
        <v>85</v>
      </c>
      <c r="P568" s="166">
        <v>85</v>
      </c>
      <c r="Q568" s="81" t="s">
        <v>155</v>
      </c>
      <c r="R568" s="165" t="s">
        <v>900</v>
      </c>
      <c r="S568" s="81" t="s">
        <v>104</v>
      </c>
      <c r="T568" s="349">
        <v>41969</v>
      </c>
      <c r="U568" s="349">
        <v>42264</v>
      </c>
      <c r="W568" s="81" t="s">
        <v>114</v>
      </c>
      <c r="Y568" s="81" t="s">
        <v>115</v>
      </c>
      <c r="Z568" s="81" t="s">
        <v>116</v>
      </c>
      <c r="AA568" s="81" t="s">
        <v>116</v>
      </c>
      <c r="AB568" s="81" t="s">
        <v>117</v>
      </c>
      <c r="AC568" s="166">
        <v>4.9999998882412902E-3</v>
      </c>
      <c r="AD568" s="349">
        <v>42825</v>
      </c>
      <c r="AG568" s="81" t="s">
        <v>74</v>
      </c>
      <c r="AH568" s="81" t="s">
        <v>1913</v>
      </c>
      <c r="AK568" s="166">
        <v>2</v>
      </c>
      <c r="AM568" s="166">
        <v>1</v>
      </c>
      <c r="AO568" s="166">
        <v>0</v>
      </c>
      <c r="AP568" s="166">
        <v>0</v>
      </c>
      <c r="AQ568" s="166">
        <v>2</v>
      </c>
      <c r="AR568" s="166">
        <v>0</v>
      </c>
      <c r="AS568" s="166">
        <v>0</v>
      </c>
      <c r="AT568" s="166">
        <v>0</v>
      </c>
      <c r="AU568" s="166">
        <v>0</v>
      </c>
      <c r="AV568" s="166">
        <v>0</v>
      </c>
      <c r="AW568" s="166">
        <v>0</v>
      </c>
      <c r="AX568" s="166">
        <v>2</v>
      </c>
      <c r="AY568" s="166">
        <v>0</v>
      </c>
      <c r="AZ568" s="166">
        <v>0</v>
      </c>
      <c r="BA568" s="166">
        <v>0</v>
      </c>
      <c r="BB568" s="166">
        <v>0</v>
      </c>
      <c r="BC568" s="166">
        <v>0</v>
      </c>
      <c r="BD568" s="166">
        <v>0</v>
      </c>
      <c r="BE568" s="166">
        <v>0</v>
      </c>
      <c r="BF568" s="166">
        <v>0</v>
      </c>
      <c r="BG568" s="166">
        <v>0</v>
      </c>
      <c r="BH568" s="166">
        <v>0</v>
      </c>
      <c r="BI568" s="166">
        <v>0</v>
      </c>
      <c r="BJ568" s="166">
        <v>0</v>
      </c>
      <c r="BK568" s="166">
        <v>0</v>
      </c>
      <c r="BL568" s="166">
        <v>0</v>
      </c>
      <c r="BM568" s="166">
        <v>0</v>
      </c>
      <c r="BN568" s="166">
        <v>0</v>
      </c>
      <c r="BO568" s="166">
        <v>0</v>
      </c>
      <c r="BP568" s="166">
        <v>0</v>
      </c>
      <c r="BQ568" s="81" t="s">
        <v>1758</v>
      </c>
      <c r="BT568" s="81" t="s">
        <v>155</v>
      </c>
      <c r="BZ568" s="81" t="s">
        <v>155</v>
      </c>
      <c r="CA568" s="81" t="s">
        <v>3934</v>
      </c>
      <c r="CC568" s="167">
        <v>0</v>
      </c>
      <c r="CD568" s="167">
        <v>0</v>
      </c>
      <c r="CE568" s="167">
        <f>N568</f>
        <v>2</v>
      </c>
      <c r="CF568" s="167">
        <v>0</v>
      </c>
      <c r="CG568" s="167">
        <v>0</v>
      </c>
      <c r="CH568" s="167">
        <v>0</v>
      </c>
      <c r="CI568" s="167">
        <v>0</v>
      </c>
      <c r="CJ568" s="167">
        <v>0</v>
      </c>
      <c r="CK568" s="167">
        <v>0</v>
      </c>
      <c r="CL568" s="167">
        <v>0</v>
      </c>
      <c r="CM568" s="167">
        <v>0</v>
      </c>
      <c r="CN568" s="167">
        <v>0</v>
      </c>
      <c r="CO568" s="167">
        <v>0</v>
      </c>
      <c r="CP568" s="167">
        <v>0</v>
      </c>
      <c r="CQ568" s="167">
        <v>0</v>
      </c>
      <c r="CR568" s="167">
        <v>0</v>
      </c>
      <c r="CS568" s="167">
        <v>0</v>
      </c>
      <c r="CT568" s="167">
        <v>0</v>
      </c>
      <c r="CU568" s="167">
        <v>0</v>
      </c>
      <c r="CV568" s="167">
        <v>0</v>
      </c>
      <c r="CW568" s="167">
        <v>0</v>
      </c>
      <c r="CX568" s="167">
        <f>SUM(CD568:CH568)</f>
        <v>2</v>
      </c>
      <c r="CY568" s="167">
        <f>SUM(CD568:CM568)</f>
        <v>2</v>
      </c>
    </row>
    <row r="569" spans="1:103" ht="12.75" customHeight="1" x14ac:dyDescent="0.2">
      <c r="A569" s="81">
        <v>5793</v>
      </c>
      <c r="B569" s="165" t="s">
        <v>1908</v>
      </c>
      <c r="C569" s="165" t="s">
        <v>449</v>
      </c>
      <c r="E569" s="165" t="s">
        <v>3409</v>
      </c>
      <c r="F569" s="165" t="s">
        <v>478</v>
      </c>
      <c r="G569" s="81">
        <v>525347</v>
      </c>
      <c r="H569" s="81">
        <v>175071</v>
      </c>
      <c r="I569" s="165" t="s">
        <v>259</v>
      </c>
      <c r="J569" s="349">
        <v>42825</v>
      </c>
      <c r="L569" s="166">
        <v>0</v>
      </c>
      <c r="M569" s="166">
        <v>1</v>
      </c>
      <c r="N569" s="166">
        <v>1</v>
      </c>
      <c r="O569" s="166">
        <v>85</v>
      </c>
      <c r="P569" s="166">
        <v>85</v>
      </c>
      <c r="Q569" s="81" t="s">
        <v>155</v>
      </c>
      <c r="R569" s="165" t="s">
        <v>900</v>
      </c>
      <c r="S569" s="81" t="s">
        <v>104</v>
      </c>
      <c r="T569" s="349">
        <v>41969</v>
      </c>
      <c r="U569" s="349">
        <v>42264</v>
      </c>
      <c r="W569" s="81" t="s">
        <v>114</v>
      </c>
      <c r="Y569" s="81" t="s">
        <v>115</v>
      </c>
      <c r="Z569" s="81" t="s">
        <v>116</v>
      </c>
      <c r="AA569" s="81" t="s">
        <v>116</v>
      </c>
      <c r="AB569" s="81" t="s">
        <v>117</v>
      </c>
      <c r="AC569" s="166">
        <v>3.0000000260770299E-3</v>
      </c>
      <c r="AD569" s="349">
        <v>42825</v>
      </c>
      <c r="AG569" s="81" t="s">
        <v>238</v>
      </c>
      <c r="AH569" s="81" t="s">
        <v>118</v>
      </c>
      <c r="AK569" s="166">
        <v>1</v>
      </c>
      <c r="AM569" s="166">
        <v>0</v>
      </c>
      <c r="AO569" s="166">
        <v>0</v>
      </c>
      <c r="AP569" s="166">
        <v>0</v>
      </c>
      <c r="AQ569" s="166">
        <v>1</v>
      </c>
      <c r="AR569" s="166">
        <v>0</v>
      </c>
      <c r="AS569" s="166">
        <v>0</v>
      </c>
      <c r="AT569" s="166">
        <v>0</v>
      </c>
      <c r="AU569" s="166">
        <v>0</v>
      </c>
      <c r="AV569" s="166">
        <v>0</v>
      </c>
      <c r="AW569" s="166">
        <v>0</v>
      </c>
      <c r="AX569" s="166">
        <v>1</v>
      </c>
      <c r="AY569" s="166">
        <v>0</v>
      </c>
      <c r="AZ569" s="166">
        <v>0</v>
      </c>
      <c r="BA569" s="166">
        <v>0</v>
      </c>
      <c r="BB569" s="166">
        <v>0</v>
      </c>
      <c r="BC569" s="166">
        <v>0</v>
      </c>
      <c r="BD569" s="166">
        <v>0</v>
      </c>
      <c r="BE569" s="166">
        <v>0</v>
      </c>
      <c r="BF569" s="166">
        <v>0</v>
      </c>
      <c r="BG569" s="166">
        <v>0</v>
      </c>
      <c r="BH569" s="166">
        <v>0</v>
      </c>
      <c r="BI569" s="166">
        <v>0</v>
      </c>
      <c r="BJ569" s="166">
        <v>0</v>
      </c>
      <c r="BK569" s="166">
        <v>0</v>
      </c>
      <c r="BL569" s="166">
        <v>0</v>
      </c>
      <c r="BM569" s="166">
        <v>0</v>
      </c>
      <c r="BN569" s="166">
        <v>0</v>
      </c>
      <c r="BO569" s="166">
        <v>0</v>
      </c>
      <c r="BP569" s="166">
        <v>0</v>
      </c>
      <c r="BQ569" s="81" t="s">
        <v>1758</v>
      </c>
      <c r="BT569" s="81" t="s">
        <v>155</v>
      </c>
      <c r="BZ569" s="81" t="s">
        <v>155</v>
      </c>
      <c r="CA569" s="81" t="s">
        <v>3934</v>
      </c>
      <c r="CC569" s="167">
        <v>0</v>
      </c>
      <c r="CD569" s="167">
        <v>0</v>
      </c>
      <c r="CE569" s="167">
        <f>N569</f>
        <v>1</v>
      </c>
      <c r="CF569" s="167">
        <v>0</v>
      </c>
      <c r="CG569" s="167">
        <v>0</v>
      </c>
      <c r="CH569" s="167">
        <v>0</v>
      </c>
      <c r="CI569" s="167">
        <v>0</v>
      </c>
      <c r="CJ569" s="167">
        <v>0</v>
      </c>
      <c r="CK569" s="167">
        <v>0</v>
      </c>
      <c r="CL569" s="167">
        <v>0</v>
      </c>
      <c r="CM569" s="167">
        <v>0</v>
      </c>
      <c r="CN569" s="167">
        <v>0</v>
      </c>
      <c r="CO569" s="167">
        <v>0</v>
      </c>
      <c r="CP569" s="167">
        <v>0</v>
      </c>
      <c r="CQ569" s="167">
        <v>0</v>
      </c>
      <c r="CR569" s="167">
        <v>0</v>
      </c>
      <c r="CS569" s="167">
        <v>0</v>
      </c>
      <c r="CT569" s="167">
        <v>0</v>
      </c>
      <c r="CU569" s="167">
        <v>0</v>
      </c>
      <c r="CV569" s="167">
        <v>0</v>
      </c>
      <c r="CW569" s="167">
        <v>0</v>
      </c>
      <c r="CX569" s="167">
        <f>SUM(CD569:CH569)</f>
        <v>1</v>
      </c>
      <c r="CY569" s="167">
        <f>SUM(CD569:CM569)</f>
        <v>1</v>
      </c>
    </row>
    <row r="570" spans="1:103" ht="12.75" customHeight="1" x14ac:dyDescent="0.2">
      <c r="A570" s="81">
        <v>5793</v>
      </c>
      <c r="B570" s="165" t="s">
        <v>1908</v>
      </c>
      <c r="C570" s="165" t="s">
        <v>449</v>
      </c>
      <c r="E570" s="165" t="s">
        <v>3409</v>
      </c>
      <c r="F570" s="165" t="s">
        <v>479</v>
      </c>
      <c r="G570" s="81">
        <v>525347</v>
      </c>
      <c r="H570" s="81">
        <v>175071</v>
      </c>
      <c r="I570" s="165" t="s">
        <v>259</v>
      </c>
      <c r="J570" s="349">
        <v>42825</v>
      </c>
      <c r="L570" s="166">
        <v>0</v>
      </c>
      <c r="M570" s="166">
        <v>1</v>
      </c>
      <c r="N570" s="166">
        <v>1</v>
      </c>
      <c r="O570" s="166">
        <v>85</v>
      </c>
      <c r="P570" s="166">
        <v>85</v>
      </c>
      <c r="Q570" s="81" t="s">
        <v>155</v>
      </c>
      <c r="R570" s="165" t="s">
        <v>900</v>
      </c>
      <c r="S570" s="81" t="s">
        <v>104</v>
      </c>
      <c r="T570" s="349">
        <v>41969</v>
      </c>
      <c r="U570" s="349">
        <v>42264</v>
      </c>
      <c r="W570" s="81" t="s">
        <v>114</v>
      </c>
      <c r="Y570" s="81" t="s">
        <v>115</v>
      </c>
      <c r="Z570" s="81" t="s">
        <v>116</v>
      </c>
      <c r="AA570" s="81" t="s">
        <v>116</v>
      </c>
      <c r="AB570" s="81" t="s">
        <v>117</v>
      </c>
      <c r="AC570" s="166">
        <v>3.0000000260770299E-3</v>
      </c>
      <c r="AD570" s="349">
        <v>42825</v>
      </c>
      <c r="AG570" s="81" t="s">
        <v>74</v>
      </c>
      <c r="AH570" s="81" t="s">
        <v>1913</v>
      </c>
      <c r="AK570" s="166">
        <v>1</v>
      </c>
      <c r="AM570" s="166">
        <v>1</v>
      </c>
      <c r="AO570" s="166">
        <v>0</v>
      </c>
      <c r="AP570" s="166">
        <v>0</v>
      </c>
      <c r="AQ570" s="166">
        <v>1</v>
      </c>
      <c r="AR570" s="166">
        <v>0</v>
      </c>
      <c r="AS570" s="166">
        <v>0</v>
      </c>
      <c r="AT570" s="166">
        <v>0</v>
      </c>
      <c r="AU570" s="166">
        <v>0</v>
      </c>
      <c r="AV570" s="166">
        <v>0</v>
      </c>
      <c r="AW570" s="166">
        <v>0</v>
      </c>
      <c r="AX570" s="166">
        <v>1</v>
      </c>
      <c r="AY570" s="166">
        <v>0</v>
      </c>
      <c r="AZ570" s="166">
        <v>0</v>
      </c>
      <c r="BA570" s="166">
        <v>0</v>
      </c>
      <c r="BB570" s="166">
        <v>0</v>
      </c>
      <c r="BC570" s="166">
        <v>0</v>
      </c>
      <c r="BD570" s="166">
        <v>0</v>
      </c>
      <c r="BE570" s="166">
        <v>0</v>
      </c>
      <c r="BF570" s="166">
        <v>0</v>
      </c>
      <c r="BG570" s="166">
        <v>0</v>
      </c>
      <c r="BH570" s="166">
        <v>0</v>
      </c>
      <c r="BI570" s="166">
        <v>0</v>
      </c>
      <c r="BJ570" s="166">
        <v>0</v>
      </c>
      <c r="BK570" s="166">
        <v>0</v>
      </c>
      <c r="BL570" s="166">
        <v>0</v>
      </c>
      <c r="BM570" s="166">
        <v>0</v>
      </c>
      <c r="BN570" s="166">
        <v>0</v>
      </c>
      <c r="BO570" s="166">
        <v>0</v>
      </c>
      <c r="BP570" s="166">
        <v>0</v>
      </c>
      <c r="BQ570" s="81" t="s">
        <v>1758</v>
      </c>
      <c r="BT570" s="81" t="s">
        <v>155</v>
      </c>
      <c r="BZ570" s="81" t="s">
        <v>155</v>
      </c>
      <c r="CA570" s="81" t="s">
        <v>3934</v>
      </c>
      <c r="CC570" s="167">
        <v>0</v>
      </c>
      <c r="CD570" s="167">
        <v>0</v>
      </c>
      <c r="CE570" s="167">
        <f>N570</f>
        <v>1</v>
      </c>
      <c r="CF570" s="167">
        <v>0</v>
      </c>
      <c r="CG570" s="167">
        <v>0</v>
      </c>
      <c r="CH570" s="167">
        <v>0</v>
      </c>
      <c r="CI570" s="167">
        <v>0</v>
      </c>
      <c r="CJ570" s="167">
        <v>0</v>
      </c>
      <c r="CK570" s="167">
        <v>0</v>
      </c>
      <c r="CL570" s="167">
        <v>0</v>
      </c>
      <c r="CM570" s="167">
        <v>0</v>
      </c>
      <c r="CN570" s="167">
        <v>0</v>
      </c>
      <c r="CO570" s="167">
        <v>0</v>
      </c>
      <c r="CP570" s="167">
        <v>0</v>
      </c>
      <c r="CQ570" s="167">
        <v>0</v>
      </c>
      <c r="CR570" s="167">
        <v>0</v>
      </c>
      <c r="CS570" s="167">
        <v>0</v>
      </c>
      <c r="CT570" s="167">
        <v>0</v>
      </c>
      <c r="CU570" s="167">
        <v>0</v>
      </c>
      <c r="CV570" s="167">
        <v>0</v>
      </c>
      <c r="CW570" s="167">
        <v>0</v>
      </c>
      <c r="CX570" s="167">
        <f>SUM(CD570:CH570)</f>
        <v>1</v>
      </c>
      <c r="CY570" s="167">
        <f>SUM(CD570:CM570)</f>
        <v>1</v>
      </c>
    </row>
    <row r="571" spans="1:103" ht="12.75" customHeight="1" x14ac:dyDescent="0.2">
      <c r="A571" s="81">
        <v>5793</v>
      </c>
      <c r="B571" s="165" t="s">
        <v>1908</v>
      </c>
      <c r="C571" s="165" t="s">
        <v>449</v>
      </c>
      <c r="E571" s="165" t="s">
        <v>3409</v>
      </c>
      <c r="F571" s="165" t="s">
        <v>480</v>
      </c>
      <c r="G571" s="81">
        <v>525347</v>
      </c>
      <c r="H571" s="81">
        <v>175071</v>
      </c>
      <c r="I571" s="165" t="s">
        <v>259</v>
      </c>
      <c r="J571" s="349">
        <v>42825</v>
      </c>
      <c r="L571" s="166">
        <v>0</v>
      </c>
      <c r="M571" s="166">
        <v>1</v>
      </c>
      <c r="N571" s="166">
        <v>1</v>
      </c>
      <c r="O571" s="166">
        <v>85</v>
      </c>
      <c r="P571" s="166">
        <v>85</v>
      </c>
      <c r="Q571" s="81" t="s">
        <v>155</v>
      </c>
      <c r="R571" s="165" t="s">
        <v>900</v>
      </c>
      <c r="S571" s="81" t="s">
        <v>104</v>
      </c>
      <c r="T571" s="349">
        <v>41969</v>
      </c>
      <c r="U571" s="349">
        <v>42264</v>
      </c>
      <c r="W571" s="81" t="s">
        <v>114</v>
      </c>
      <c r="Y571" s="81" t="s">
        <v>115</v>
      </c>
      <c r="Z571" s="81" t="s">
        <v>116</v>
      </c>
      <c r="AA571" s="81" t="s">
        <v>116</v>
      </c>
      <c r="AB571" s="81" t="s">
        <v>117</v>
      </c>
      <c r="AC571" s="166">
        <v>3.0000000260770299E-3</v>
      </c>
      <c r="AD571" s="349">
        <v>42825</v>
      </c>
      <c r="AG571" s="81" t="s">
        <v>238</v>
      </c>
      <c r="AH571" s="81" t="s">
        <v>118</v>
      </c>
      <c r="AK571" s="166">
        <v>1</v>
      </c>
      <c r="AM571" s="166">
        <v>0</v>
      </c>
      <c r="AO571" s="166">
        <v>0</v>
      </c>
      <c r="AP571" s="166">
        <v>0</v>
      </c>
      <c r="AQ571" s="166">
        <v>1</v>
      </c>
      <c r="AR571" s="166">
        <v>0</v>
      </c>
      <c r="AS571" s="166">
        <v>0</v>
      </c>
      <c r="AT571" s="166">
        <v>0</v>
      </c>
      <c r="AU571" s="166">
        <v>0</v>
      </c>
      <c r="AV571" s="166">
        <v>0</v>
      </c>
      <c r="AW571" s="166">
        <v>0</v>
      </c>
      <c r="AX571" s="166">
        <v>1</v>
      </c>
      <c r="AY571" s="166">
        <v>0</v>
      </c>
      <c r="AZ571" s="166">
        <v>0</v>
      </c>
      <c r="BA571" s="166">
        <v>0</v>
      </c>
      <c r="BB571" s="166">
        <v>0</v>
      </c>
      <c r="BC571" s="166">
        <v>0</v>
      </c>
      <c r="BD571" s="166">
        <v>0</v>
      </c>
      <c r="BE571" s="166">
        <v>0</v>
      </c>
      <c r="BF571" s="166">
        <v>0</v>
      </c>
      <c r="BG571" s="166">
        <v>0</v>
      </c>
      <c r="BH571" s="166">
        <v>0</v>
      </c>
      <c r="BI571" s="166">
        <v>0</v>
      </c>
      <c r="BJ571" s="166">
        <v>0</v>
      </c>
      <c r="BK571" s="166">
        <v>0</v>
      </c>
      <c r="BL571" s="166">
        <v>0</v>
      </c>
      <c r="BM571" s="166">
        <v>0</v>
      </c>
      <c r="BN571" s="166">
        <v>0</v>
      </c>
      <c r="BO571" s="166">
        <v>0</v>
      </c>
      <c r="BP571" s="166">
        <v>0</v>
      </c>
      <c r="BQ571" s="81" t="s">
        <v>1758</v>
      </c>
      <c r="BT571" s="81" t="s">
        <v>155</v>
      </c>
      <c r="BZ571" s="81" t="s">
        <v>155</v>
      </c>
      <c r="CA571" s="81" t="s">
        <v>3934</v>
      </c>
      <c r="CC571" s="167">
        <v>0</v>
      </c>
      <c r="CD571" s="167">
        <v>0</v>
      </c>
      <c r="CE571" s="167">
        <f>N571</f>
        <v>1</v>
      </c>
      <c r="CF571" s="167">
        <v>0</v>
      </c>
      <c r="CG571" s="167">
        <v>0</v>
      </c>
      <c r="CH571" s="167">
        <v>0</v>
      </c>
      <c r="CI571" s="167">
        <v>0</v>
      </c>
      <c r="CJ571" s="167">
        <v>0</v>
      </c>
      <c r="CK571" s="167">
        <v>0</v>
      </c>
      <c r="CL571" s="167">
        <v>0</v>
      </c>
      <c r="CM571" s="167">
        <v>0</v>
      </c>
      <c r="CN571" s="167">
        <v>0</v>
      </c>
      <c r="CO571" s="167">
        <v>0</v>
      </c>
      <c r="CP571" s="167">
        <v>0</v>
      </c>
      <c r="CQ571" s="167">
        <v>0</v>
      </c>
      <c r="CR571" s="167">
        <v>0</v>
      </c>
      <c r="CS571" s="167">
        <v>0</v>
      </c>
      <c r="CT571" s="167">
        <v>0</v>
      </c>
      <c r="CU571" s="167">
        <v>0</v>
      </c>
      <c r="CV571" s="167">
        <v>0</v>
      </c>
      <c r="CW571" s="167">
        <v>0</v>
      </c>
      <c r="CX571" s="167">
        <f>SUM(CD571:CH571)</f>
        <v>1</v>
      </c>
      <c r="CY571" s="167">
        <f>SUM(CD571:CM571)</f>
        <v>1</v>
      </c>
    </row>
    <row r="572" spans="1:103" ht="12.75" customHeight="1" x14ac:dyDescent="0.2">
      <c r="A572" s="81">
        <v>5793</v>
      </c>
      <c r="B572" s="165" t="s">
        <v>1908</v>
      </c>
      <c r="C572" s="165" t="s">
        <v>449</v>
      </c>
      <c r="E572" s="165" t="s">
        <v>3409</v>
      </c>
      <c r="F572" s="165" t="s">
        <v>481</v>
      </c>
      <c r="G572" s="81">
        <v>525347</v>
      </c>
      <c r="H572" s="81">
        <v>175071</v>
      </c>
      <c r="I572" s="165" t="s">
        <v>259</v>
      </c>
      <c r="J572" s="349">
        <v>42825</v>
      </c>
      <c r="L572" s="166">
        <v>0</v>
      </c>
      <c r="M572" s="166">
        <v>1</v>
      </c>
      <c r="N572" s="166">
        <v>1</v>
      </c>
      <c r="O572" s="166">
        <v>85</v>
      </c>
      <c r="P572" s="166">
        <v>85</v>
      </c>
      <c r="Q572" s="81" t="s">
        <v>155</v>
      </c>
      <c r="R572" s="165" t="s">
        <v>900</v>
      </c>
      <c r="S572" s="81" t="s">
        <v>104</v>
      </c>
      <c r="T572" s="349">
        <v>41969</v>
      </c>
      <c r="U572" s="349">
        <v>42264</v>
      </c>
      <c r="W572" s="81" t="s">
        <v>114</v>
      </c>
      <c r="Y572" s="81" t="s">
        <v>115</v>
      </c>
      <c r="Z572" s="81" t="s">
        <v>116</v>
      </c>
      <c r="AA572" s="81" t="s">
        <v>116</v>
      </c>
      <c r="AB572" s="81" t="s">
        <v>117</v>
      </c>
      <c r="AC572" s="166">
        <v>3.0000000260770299E-3</v>
      </c>
      <c r="AD572" s="349">
        <v>42825</v>
      </c>
      <c r="AG572" s="81" t="s">
        <v>74</v>
      </c>
      <c r="AH572" s="81" t="s">
        <v>1913</v>
      </c>
      <c r="AK572" s="166">
        <v>1</v>
      </c>
      <c r="AM572" s="166">
        <v>0</v>
      </c>
      <c r="AO572" s="166">
        <v>0</v>
      </c>
      <c r="AP572" s="166">
        <v>0</v>
      </c>
      <c r="AQ572" s="166">
        <v>1</v>
      </c>
      <c r="AR572" s="166">
        <v>0</v>
      </c>
      <c r="AS572" s="166">
        <v>0</v>
      </c>
      <c r="AT572" s="166">
        <v>0</v>
      </c>
      <c r="AU572" s="166">
        <v>0</v>
      </c>
      <c r="AV572" s="166">
        <v>0</v>
      </c>
      <c r="AW572" s="166">
        <v>0</v>
      </c>
      <c r="AX572" s="166">
        <v>1</v>
      </c>
      <c r="AY572" s="166">
        <v>0</v>
      </c>
      <c r="AZ572" s="166">
        <v>0</v>
      </c>
      <c r="BA572" s="166">
        <v>0</v>
      </c>
      <c r="BB572" s="166">
        <v>0</v>
      </c>
      <c r="BC572" s="166">
        <v>0</v>
      </c>
      <c r="BD572" s="166">
        <v>0</v>
      </c>
      <c r="BE572" s="166">
        <v>0</v>
      </c>
      <c r="BF572" s="166">
        <v>0</v>
      </c>
      <c r="BG572" s="166">
        <v>0</v>
      </c>
      <c r="BH572" s="166">
        <v>0</v>
      </c>
      <c r="BI572" s="166">
        <v>0</v>
      </c>
      <c r="BJ572" s="166">
        <v>0</v>
      </c>
      <c r="BK572" s="166">
        <v>0</v>
      </c>
      <c r="BL572" s="166">
        <v>0</v>
      </c>
      <c r="BM572" s="166">
        <v>0</v>
      </c>
      <c r="BN572" s="166">
        <v>0</v>
      </c>
      <c r="BO572" s="166">
        <v>0</v>
      </c>
      <c r="BP572" s="166">
        <v>0</v>
      </c>
      <c r="BQ572" s="81" t="s">
        <v>1758</v>
      </c>
      <c r="BT572" s="81" t="s">
        <v>155</v>
      </c>
      <c r="BZ572" s="81" t="s">
        <v>155</v>
      </c>
      <c r="CA572" s="81" t="s">
        <v>3934</v>
      </c>
      <c r="CC572" s="167">
        <v>0</v>
      </c>
      <c r="CD572" s="167">
        <v>0</v>
      </c>
      <c r="CE572" s="167">
        <f>N572</f>
        <v>1</v>
      </c>
      <c r="CF572" s="167">
        <v>0</v>
      </c>
      <c r="CG572" s="167">
        <v>0</v>
      </c>
      <c r="CH572" s="167">
        <v>0</v>
      </c>
      <c r="CI572" s="167">
        <v>0</v>
      </c>
      <c r="CJ572" s="167">
        <v>0</v>
      </c>
      <c r="CK572" s="167">
        <v>0</v>
      </c>
      <c r="CL572" s="167">
        <v>0</v>
      </c>
      <c r="CM572" s="167">
        <v>0</v>
      </c>
      <c r="CN572" s="167">
        <v>0</v>
      </c>
      <c r="CO572" s="167">
        <v>0</v>
      </c>
      <c r="CP572" s="167">
        <v>0</v>
      </c>
      <c r="CQ572" s="167">
        <v>0</v>
      </c>
      <c r="CR572" s="167">
        <v>0</v>
      </c>
      <c r="CS572" s="167">
        <v>0</v>
      </c>
      <c r="CT572" s="167">
        <v>0</v>
      </c>
      <c r="CU572" s="167">
        <v>0</v>
      </c>
      <c r="CV572" s="167">
        <v>0</v>
      </c>
      <c r="CW572" s="167">
        <v>0</v>
      </c>
      <c r="CX572" s="167">
        <f>SUM(CD572:CH572)</f>
        <v>1</v>
      </c>
      <c r="CY572" s="167">
        <f>SUM(CD572:CM572)</f>
        <v>1</v>
      </c>
    </row>
    <row r="573" spans="1:103" ht="12.75" customHeight="1" x14ac:dyDescent="0.2">
      <c r="A573" s="81">
        <v>5793</v>
      </c>
      <c r="B573" s="165" t="s">
        <v>1908</v>
      </c>
      <c r="C573" s="165" t="s">
        <v>449</v>
      </c>
      <c r="E573" s="165" t="s">
        <v>3409</v>
      </c>
      <c r="F573" s="165" t="s">
        <v>482</v>
      </c>
      <c r="G573" s="81">
        <v>525347</v>
      </c>
      <c r="H573" s="81">
        <v>175071</v>
      </c>
      <c r="I573" s="165" t="s">
        <v>259</v>
      </c>
      <c r="J573" s="349">
        <v>42825</v>
      </c>
      <c r="L573" s="166">
        <v>0</v>
      </c>
      <c r="M573" s="166">
        <v>1</v>
      </c>
      <c r="N573" s="166">
        <v>1</v>
      </c>
      <c r="O573" s="166">
        <v>85</v>
      </c>
      <c r="P573" s="166">
        <v>85</v>
      </c>
      <c r="Q573" s="81" t="s">
        <v>155</v>
      </c>
      <c r="R573" s="165" t="s">
        <v>900</v>
      </c>
      <c r="S573" s="81" t="s">
        <v>104</v>
      </c>
      <c r="T573" s="349">
        <v>41969</v>
      </c>
      <c r="U573" s="349">
        <v>42264</v>
      </c>
      <c r="W573" s="81" t="s">
        <v>114</v>
      </c>
      <c r="Y573" s="81" t="s">
        <v>115</v>
      </c>
      <c r="Z573" s="81" t="s">
        <v>116</v>
      </c>
      <c r="AA573" s="81" t="s">
        <v>116</v>
      </c>
      <c r="AB573" s="81" t="s">
        <v>117</v>
      </c>
      <c r="AC573" s="166">
        <v>3.0000000260770299E-3</v>
      </c>
      <c r="AD573" s="349">
        <v>42825</v>
      </c>
      <c r="AG573" s="81" t="s">
        <v>238</v>
      </c>
      <c r="AH573" s="81" t="s">
        <v>118</v>
      </c>
      <c r="AK573" s="166">
        <v>1</v>
      </c>
      <c r="AM573" s="166">
        <v>0</v>
      </c>
      <c r="AO573" s="166">
        <v>0</v>
      </c>
      <c r="AP573" s="166">
        <v>0</v>
      </c>
      <c r="AQ573" s="166">
        <v>1</v>
      </c>
      <c r="AR573" s="166">
        <v>0</v>
      </c>
      <c r="AS573" s="166">
        <v>0</v>
      </c>
      <c r="AT573" s="166">
        <v>0</v>
      </c>
      <c r="AU573" s="166">
        <v>0</v>
      </c>
      <c r="AV573" s="166">
        <v>0</v>
      </c>
      <c r="AW573" s="166">
        <v>0</v>
      </c>
      <c r="AX573" s="166">
        <v>1</v>
      </c>
      <c r="AY573" s="166">
        <v>0</v>
      </c>
      <c r="AZ573" s="166">
        <v>0</v>
      </c>
      <c r="BA573" s="166">
        <v>0</v>
      </c>
      <c r="BB573" s="166">
        <v>0</v>
      </c>
      <c r="BC573" s="166">
        <v>0</v>
      </c>
      <c r="BD573" s="166">
        <v>0</v>
      </c>
      <c r="BE573" s="166">
        <v>0</v>
      </c>
      <c r="BF573" s="166">
        <v>0</v>
      </c>
      <c r="BG573" s="166">
        <v>0</v>
      </c>
      <c r="BH573" s="166">
        <v>0</v>
      </c>
      <c r="BI573" s="166">
        <v>0</v>
      </c>
      <c r="BJ573" s="166">
        <v>0</v>
      </c>
      <c r="BK573" s="166">
        <v>0</v>
      </c>
      <c r="BL573" s="166">
        <v>0</v>
      </c>
      <c r="BM573" s="166">
        <v>0</v>
      </c>
      <c r="BN573" s="166">
        <v>0</v>
      </c>
      <c r="BO573" s="166">
        <v>0</v>
      </c>
      <c r="BP573" s="166">
        <v>0</v>
      </c>
      <c r="BQ573" s="81" t="s">
        <v>1758</v>
      </c>
      <c r="BT573" s="81" t="s">
        <v>155</v>
      </c>
      <c r="BZ573" s="81" t="s">
        <v>155</v>
      </c>
      <c r="CA573" s="81" t="s">
        <v>3934</v>
      </c>
      <c r="CC573" s="167">
        <v>0</v>
      </c>
      <c r="CD573" s="167">
        <v>0</v>
      </c>
      <c r="CE573" s="167">
        <f>N573</f>
        <v>1</v>
      </c>
      <c r="CF573" s="167">
        <v>0</v>
      </c>
      <c r="CG573" s="167">
        <v>0</v>
      </c>
      <c r="CH573" s="167">
        <v>0</v>
      </c>
      <c r="CI573" s="167">
        <v>0</v>
      </c>
      <c r="CJ573" s="167">
        <v>0</v>
      </c>
      <c r="CK573" s="167">
        <v>0</v>
      </c>
      <c r="CL573" s="167">
        <v>0</v>
      </c>
      <c r="CM573" s="167">
        <v>0</v>
      </c>
      <c r="CN573" s="167">
        <v>0</v>
      </c>
      <c r="CO573" s="167">
        <v>0</v>
      </c>
      <c r="CP573" s="167">
        <v>0</v>
      </c>
      <c r="CQ573" s="167">
        <v>0</v>
      </c>
      <c r="CR573" s="167">
        <v>0</v>
      </c>
      <c r="CS573" s="167">
        <v>0</v>
      </c>
      <c r="CT573" s="167">
        <v>0</v>
      </c>
      <c r="CU573" s="167">
        <v>0</v>
      </c>
      <c r="CV573" s="167">
        <v>0</v>
      </c>
      <c r="CW573" s="167">
        <v>0</v>
      </c>
      <c r="CX573" s="167">
        <f>SUM(CD573:CH573)</f>
        <v>1</v>
      </c>
      <c r="CY573" s="167">
        <f>SUM(CD573:CM573)</f>
        <v>1</v>
      </c>
    </row>
    <row r="574" spans="1:103" ht="12.75" customHeight="1" x14ac:dyDescent="0.2">
      <c r="A574" s="81">
        <v>5793</v>
      </c>
      <c r="B574" s="165" t="s">
        <v>1908</v>
      </c>
      <c r="C574" s="165" t="s">
        <v>449</v>
      </c>
      <c r="E574" s="165" t="s">
        <v>3409</v>
      </c>
      <c r="F574" s="165" t="s">
        <v>483</v>
      </c>
      <c r="G574" s="81">
        <v>525347</v>
      </c>
      <c r="H574" s="81">
        <v>175071</v>
      </c>
      <c r="I574" s="165" t="s">
        <v>259</v>
      </c>
      <c r="J574" s="349">
        <v>42825</v>
      </c>
      <c r="L574" s="166">
        <v>0</v>
      </c>
      <c r="M574" s="166">
        <v>1</v>
      </c>
      <c r="N574" s="166">
        <v>1</v>
      </c>
      <c r="O574" s="166">
        <v>85</v>
      </c>
      <c r="P574" s="166">
        <v>85</v>
      </c>
      <c r="Q574" s="81" t="s">
        <v>155</v>
      </c>
      <c r="R574" s="165" t="s">
        <v>900</v>
      </c>
      <c r="S574" s="81" t="s">
        <v>104</v>
      </c>
      <c r="T574" s="349">
        <v>41969</v>
      </c>
      <c r="U574" s="349">
        <v>42264</v>
      </c>
      <c r="W574" s="81" t="s">
        <v>114</v>
      </c>
      <c r="Y574" s="81" t="s">
        <v>115</v>
      </c>
      <c r="Z574" s="81" t="s">
        <v>116</v>
      </c>
      <c r="AA574" s="81" t="s">
        <v>116</v>
      </c>
      <c r="AB574" s="81" t="s">
        <v>117</v>
      </c>
      <c r="AC574" s="166">
        <v>3.0000000260770299E-3</v>
      </c>
      <c r="AD574" s="349">
        <v>42825</v>
      </c>
      <c r="AG574" s="81" t="s">
        <v>74</v>
      </c>
      <c r="AH574" s="81" t="s">
        <v>1913</v>
      </c>
      <c r="AK574" s="166">
        <v>1</v>
      </c>
      <c r="AM574" s="166">
        <v>0</v>
      </c>
      <c r="AO574" s="166">
        <v>0</v>
      </c>
      <c r="AP574" s="166">
        <v>0</v>
      </c>
      <c r="AQ574" s="166">
        <v>1</v>
      </c>
      <c r="AR574" s="166">
        <v>0</v>
      </c>
      <c r="AS574" s="166">
        <v>0</v>
      </c>
      <c r="AT574" s="166">
        <v>0</v>
      </c>
      <c r="AU574" s="166">
        <v>0</v>
      </c>
      <c r="AV574" s="166">
        <v>0</v>
      </c>
      <c r="AW574" s="166">
        <v>0</v>
      </c>
      <c r="AX574" s="166">
        <v>1</v>
      </c>
      <c r="AY574" s="166">
        <v>0</v>
      </c>
      <c r="AZ574" s="166">
        <v>0</v>
      </c>
      <c r="BA574" s="166">
        <v>0</v>
      </c>
      <c r="BB574" s="166">
        <v>0</v>
      </c>
      <c r="BC574" s="166">
        <v>0</v>
      </c>
      <c r="BD574" s="166">
        <v>0</v>
      </c>
      <c r="BE574" s="166">
        <v>0</v>
      </c>
      <c r="BF574" s="166">
        <v>0</v>
      </c>
      <c r="BG574" s="166">
        <v>0</v>
      </c>
      <c r="BH574" s="166">
        <v>0</v>
      </c>
      <c r="BI574" s="166">
        <v>0</v>
      </c>
      <c r="BJ574" s="166">
        <v>0</v>
      </c>
      <c r="BK574" s="166">
        <v>0</v>
      </c>
      <c r="BL574" s="166">
        <v>0</v>
      </c>
      <c r="BM574" s="166">
        <v>0</v>
      </c>
      <c r="BN574" s="166">
        <v>0</v>
      </c>
      <c r="BO574" s="166">
        <v>0</v>
      </c>
      <c r="BP574" s="166">
        <v>0</v>
      </c>
      <c r="BQ574" s="81" t="s">
        <v>1758</v>
      </c>
      <c r="BT574" s="81" t="s">
        <v>155</v>
      </c>
      <c r="BZ574" s="81" t="s">
        <v>155</v>
      </c>
      <c r="CA574" s="81" t="s">
        <v>3934</v>
      </c>
      <c r="CC574" s="167">
        <v>0</v>
      </c>
      <c r="CD574" s="167">
        <v>0</v>
      </c>
      <c r="CE574" s="167">
        <f>N574</f>
        <v>1</v>
      </c>
      <c r="CF574" s="167">
        <v>0</v>
      </c>
      <c r="CG574" s="167">
        <v>0</v>
      </c>
      <c r="CH574" s="167">
        <v>0</v>
      </c>
      <c r="CI574" s="167">
        <v>0</v>
      </c>
      <c r="CJ574" s="167">
        <v>0</v>
      </c>
      <c r="CK574" s="167">
        <v>0</v>
      </c>
      <c r="CL574" s="167">
        <v>0</v>
      </c>
      <c r="CM574" s="167">
        <v>0</v>
      </c>
      <c r="CN574" s="167">
        <v>0</v>
      </c>
      <c r="CO574" s="167">
        <v>0</v>
      </c>
      <c r="CP574" s="167">
        <v>0</v>
      </c>
      <c r="CQ574" s="167">
        <v>0</v>
      </c>
      <c r="CR574" s="167">
        <v>0</v>
      </c>
      <c r="CS574" s="167">
        <v>0</v>
      </c>
      <c r="CT574" s="167">
        <v>0</v>
      </c>
      <c r="CU574" s="167">
        <v>0</v>
      </c>
      <c r="CV574" s="167">
        <v>0</v>
      </c>
      <c r="CW574" s="167">
        <v>0</v>
      </c>
      <c r="CX574" s="167">
        <f>SUM(CD574:CH574)</f>
        <v>1</v>
      </c>
      <c r="CY574" s="167">
        <f>SUM(CD574:CM574)</f>
        <v>1</v>
      </c>
    </row>
    <row r="575" spans="1:103" ht="12.75" customHeight="1" x14ac:dyDescent="0.2">
      <c r="A575" s="81">
        <v>5793</v>
      </c>
      <c r="B575" s="165" t="s">
        <v>1908</v>
      </c>
      <c r="C575" s="165" t="s">
        <v>449</v>
      </c>
      <c r="E575" s="165" t="s">
        <v>3409</v>
      </c>
      <c r="F575" s="165" t="s">
        <v>484</v>
      </c>
      <c r="G575" s="81">
        <v>525347</v>
      </c>
      <c r="H575" s="81">
        <v>175071</v>
      </c>
      <c r="I575" s="165" t="s">
        <v>259</v>
      </c>
      <c r="J575" s="349">
        <v>42825</v>
      </c>
      <c r="L575" s="166">
        <v>0</v>
      </c>
      <c r="M575" s="166">
        <v>1</v>
      </c>
      <c r="N575" s="166">
        <v>1</v>
      </c>
      <c r="O575" s="166">
        <v>85</v>
      </c>
      <c r="P575" s="166">
        <v>85</v>
      </c>
      <c r="Q575" s="81" t="s">
        <v>155</v>
      </c>
      <c r="R575" s="165" t="s">
        <v>900</v>
      </c>
      <c r="S575" s="81" t="s">
        <v>104</v>
      </c>
      <c r="T575" s="349">
        <v>41969</v>
      </c>
      <c r="U575" s="349">
        <v>42264</v>
      </c>
      <c r="W575" s="81" t="s">
        <v>114</v>
      </c>
      <c r="Y575" s="81" t="s">
        <v>115</v>
      </c>
      <c r="Z575" s="81" t="s">
        <v>116</v>
      </c>
      <c r="AA575" s="81" t="s">
        <v>116</v>
      </c>
      <c r="AB575" s="81" t="s">
        <v>117</v>
      </c>
      <c r="AC575" s="166">
        <v>3.0000000260770299E-3</v>
      </c>
      <c r="AD575" s="349">
        <v>42825</v>
      </c>
      <c r="AG575" s="81" t="s">
        <v>238</v>
      </c>
      <c r="AH575" s="81" t="s">
        <v>118</v>
      </c>
      <c r="AK575" s="166">
        <v>1</v>
      </c>
      <c r="AM575" s="166">
        <v>1</v>
      </c>
      <c r="AO575" s="166">
        <v>0</v>
      </c>
      <c r="AP575" s="166">
        <v>0</v>
      </c>
      <c r="AQ575" s="166">
        <v>1</v>
      </c>
      <c r="AR575" s="166">
        <v>0</v>
      </c>
      <c r="AS575" s="166">
        <v>0</v>
      </c>
      <c r="AT575" s="166">
        <v>0</v>
      </c>
      <c r="AU575" s="166">
        <v>0</v>
      </c>
      <c r="AV575" s="166">
        <v>0</v>
      </c>
      <c r="AW575" s="166">
        <v>0</v>
      </c>
      <c r="AX575" s="166">
        <v>1</v>
      </c>
      <c r="AY575" s="166">
        <v>0</v>
      </c>
      <c r="AZ575" s="166">
        <v>0</v>
      </c>
      <c r="BA575" s="166">
        <v>0</v>
      </c>
      <c r="BB575" s="166">
        <v>0</v>
      </c>
      <c r="BC575" s="166">
        <v>0</v>
      </c>
      <c r="BD575" s="166">
        <v>0</v>
      </c>
      <c r="BE575" s="166">
        <v>0</v>
      </c>
      <c r="BF575" s="166">
        <v>0</v>
      </c>
      <c r="BG575" s="166">
        <v>0</v>
      </c>
      <c r="BH575" s="166">
        <v>0</v>
      </c>
      <c r="BI575" s="166">
        <v>0</v>
      </c>
      <c r="BJ575" s="166">
        <v>0</v>
      </c>
      <c r="BK575" s="166">
        <v>0</v>
      </c>
      <c r="BL575" s="166">
        <v>0</v>
      </c>
      <c r="BM575" s="166">
        <v>0</v>
      </c>
      <c r="BN575" s="166">
        <v>0</v>
      </c>
      <c r="BO575" s="166">
        <v>0</v>
      </c>
      <c r="BP575" s="166">
        <v>0</v>
      </c>
      <c r="BQ575" s="81" t="s">
        <v>1758</v>
      </c>
      <c r="BT575" s="81" t="s">
        <v>155</v>
      </c>
      <c r="BZ575" s="81" t="s">
        <v>155</v>
      </c>
      <c r="CA575" s="81" t="s">
        <v>3934</v>
      </c>
      <c r="CC575" s="167">
        <v>0</v>
      </c>
      <c r="CD575" s="167">
        <v>0</v>
      </c>
      <c r="CE575" s="167">
        <f>N575</f>
        <v>1</v>
      </c>
      <c r="CF575" s="167">
        <v>0</v>
      </c>
      <c r="CG575" s="167">
        <v>0</v>
      </c>
      <c r="CH575" s="167">
        <v>0</v>
      </c>
      <c r="CI575" s="167">
        <v>0</v>
      </c>
      <c r="CJ575" s="167">
        <v>0</v>
      </c>
      <c r="CK575" s="167">
        <v>0</v>
      </c>
      <c r="CL575" s="167">
        <v>0</v>
      </c>
      <c r="CM575" s="167">
        <v>0</v>
      </c>
      <c r="CN575" s="167">
        <v>0</v>
      </c>
      <c r="CO575" s="167">
        <v>0</v>
      </c>
      <c r="CP575" s="167">
        <v>0</v>
      </c>
      <c r="CQ575" s="167">
        <v>0</v>
      </c>
      <c r="CR575" s="167">
        <v>0</v>
      </c>
      <c r="CS575" s="167">
        <v>0</v>
      </c>
      <c r="CT575" s="167">
        <v>0</v>
      </c>
      <c r="CU575" s="167">
        <v>0</v>
      </c>
      <c r="CV575" s="167">
        <v>0</v>
      </c>
      <c r="CW575" s="167">
        <v>0</v>
      </c>
      <c r="CX575" s="167">
        <f>SUM(CD575:CH575)</f>
        <v>1</v>
      </c>
      <c r="CY575" s="167">
        <f>SUM(CD575:CM575)</f>
        <v>1</v>
      </c>
    </row>
    <row r="576" spans="1:103" ht="12.75" customHeight="1" x14ac:dyDescent="0.2">
      <c r="A576" s="81">
        <v>5793</v>
      </c>
      <c r="B576" s="165" t="s">
        <v>1908</v>
      </c>
      <c r="C576" s="165" t="s">
        <v>449</v>
      </c>
      <c r="E576" s="165" t="s">
        <v>3409</v>
      </c>
      <c r="F576" s="165" t="s">
        <v>485</v>
      </c>
      <c r="G576" s="81">
        <v>525347</v>
      </c>
      <c r="H576" s="81">
        <v>175071</v>
      </c>
      <c r="I576" s="165" t="s">
        <v>259</v>
      </c>
      <c r="J576" s="349">
        <v>42825</v>
      </c>
      <c r="L576" s="166">
        <v>0</v>
      </c>
      <c r="M576" s="166">
        <v>1</v>
      </c>
      <c r="N576" s="166">
        <v>1</v>
      </c>
      <c r="O576" s="166">
        <v>85</v>
      </c>
      <c r="P576" s="166">
        <v>85</v>
      </c>
      <c r="Q576" s="81" t="s">
        <v>155</v>
      </c>
      <c r="R576" s="165" t="s">
        <v>900</v>
      </c>
      <c r="S576" s="81" t="s">
        <v>104</v>
      </c>
      <c r="T576" s="349">
        <v>41969</v>
      </c>
      <c r="U576" s="349">
        <v>42264</v>
      </c>
      <c r="W576" s="81" t="s">
        <v>114</v>
      </c>
      <c r="Y576" s="81" t="s">
        <v>115</v>
      </c>
      <c r="Z576" s="81" t="s">
        <v>116</v>
      </c>
      <c r="AA576" s="81" t="s">
        <v>116</v>
      </c>
      <c r="AB576" s="81" t="s">
        <v>117</v>
      </c>
      <c r="AC576" s="166">
        <v>3.0000000260770299E-3</v>
      </c>
      <c r="AD576" s="349">
        <v>42825</v>
      </c>
      <c r="AG576" s="81" t="s">
        <v>74</v>
      </c>
      <c r="AH576" s="81" t="s">
        <v>1913</v>
      </c>
      <c r="AK576" s="166">
        <v>1</v>
      </c>
      <c r="AM576" s="166">
        <v>0</v>
      </c>
      <c r="AO576" s="166">
        <v>0</v>
      </c>
      <c r="AP576" s="166">
        <v>1</v>
      </c>
      <c r="AQ576" s="166">
        <v>0</v>
      </c>
      <c r="AR576" s="166">
        <v>0</v>
      </c>
      <c r="AS576" s="166">
        <v>0</v>
      </c>
      <c r="AT576" s="166">
        <v>0</v>
      </c>
      <c r="AU576" s="166">
        <v>0</v>
      </c>
      <c r="AV576" s="166">
        <v>0</v>
      </c>
      <c r="AW576" s="166">
        <v>1</v>
      </c>
      <c r="AX576" s="166">
        <v>0</v>
      </c>
      <c r="AY576" s="166">
        <v>0</v>
      </c>
      <c r="AZ576" s="166">
        <v>0</v>
      </c>
      <c r="BA576" s="166">
        <v>0</v>
      </c>
      <c r="BB576" s="166">
        <v>0</v>
      </c>
      <c r="BC576" s="166">
        <v>0</v>
      </c>
      <c r="BD576" s="166">
        <v>0</v>
      </c>
      <c r="BE576" s="166">
        <v>0</v>
      </c>
      <c r="BF576" s="166">
        <v>0</v>
      </c>
      <c r="BG576" s="166">
        <v>0</v>
      </c>
      <c r="BH576" s="166">
        <v>0</v>
      </c>
      <c r="BI576" s="166">
        <v>0</v>
      </c>
      <c r="BJ576" s="166">
        <v>0</v>
      </c>
      <c r="BK576" s="166">
        <v>0</v>
      </c>
      <c r="BL576" s="166">
        <v>0</v>
      </c>
      <c r="BM576" s="166">
        <v>0</v>
      </c>
      <c r="BN576" s="166">
        <v>0</v>
      </c>
      <c r="BO576" s="166">
        <v>0</v>
      </c>
      <c r="BP576" s="166">
        <v>0</v>
      </c>
      <c r="BQ576" s="81" t="s">
        <v>1758</v>
      </c>
      <c r="BT576" s="81" t="s">
        <v>155</v>
      </c>
      <c r="BZ576" s="81" t="s">
        <v>155</v>
      </c>
      <c r="CA576" s="81" t="s">
        <v>3934</v>
      </c>
      <c r="CC576" s="167">
        <v>0</v>
      </c>
      <c r="CD576" s="167">
        <v>0</v>
      </c>
      <c r="CE576" s="167">
        <f>N576</f>
        <v>1</v>
      </c>
      <c r="CF576" s="167">
        <v>0</v>
      </c>
      <c r="CG576" s="167">
        <v>0</v>
      </c>
      <c r="CH576" s="167">
        <v>0</v>
      </c>
      <c r="CI576" s="167">
        <v>0</v>
      </c>
      <c r="CJ576" s="167">
        <v>0</v>
      </c>
      <c r="CK576" s="167">
        <v>0</v>
      </c>
      <c r="CL576" s="167">
        <v>0</v>
      </c>
      <c r="CM576" s="167">
        <v>0</v>
      </c>
      <c r="CN576" s="167">
        <v>0</v>
      </c>
      <c r="CO576" s="167">
        <v>0</v>
      </c>
      <c r="CP576" s="167">
        <v>0</v>
      </c>
      <c r="CQ576" s="167">
        <v>0</v>
      </c>
      <c r="CR576" s="167">
        <v>0</v>
      </c>
      <c r="CS576" s="167">
        <v>0</v>
      </c>
      <c r="CT576" s="167">
        <v>0</v>
      </c>
      <c r="CU576" s="167">
        <v>0</v>
      </c>
      <c r="CV576" s="167">
        <v>0</v>
      </c>
      <c r="CW576" s="167">
        <v>0</v>
      </c>
      <c r="CX576" s="167">
        <f>SUM(CD576:CH576)</f>
        <v>1</v>
      </c>
      <c r="CY576" s="167">
        <f>SUM(CD576:CM576)</f>
        <v>1</v>
      </c>
    </row>
    <row r="577" spans="1:103" ht="12.75" customHeight="1" x14ac:dyDescent="0.2">
      <c r="A577" s="81">
        <v>5794</v>
      </c>
      <c r="B577" s="165" t="s">
        <v>1908</v>
      </c>
      <c r="C577" s="165" t="s">
        <v>3600</v>
      </c>
      <c r="E577" s="165" t="s">
        <v>3601</v>
      </c>
      <c r="G577" s="81">
        <v>526672</v>
      </c>
      <c r="H577" s="81">
        <v>171644</v>
      </c>
      <c r="I577" s="165" t="s">
        <v>242</v>
      </c>
      <c r="J577" s="349">
        <v>43190</v>
      </c>
      <c r="L577" s="166">
        <v>0</v>
      </c>
      <c r="M577" s="166">
        <v>1</v>
      </c>
      <c r="N577" s="166">
        <v>1</v>
      </c>
      <c r="O577" s="166">
        <v>1</v>
      </c>
      <c r="P577" s="166">
        <v>1</v>
      </c>
      <c r="R577" s="165" t="s">
        <v>3602</v>
      </c>
      <c r="S577" s="81" t="s">
        <v>113</v>
      </c>
      <c r="T577" s="349">
        <v>42905</v>
      </c>
      <c r="U577" s="349">
        <v>42961</v>
      </c>
      <c r="V577" s="81" t="s">
        <v>155</v>
      </c>
      <c r="W577" s="81" t="s">
        <v>114</v>
      </c>
      <c r="Y577" s="81" t="s">
        <v>115</v>
      </c>
      <c r="Z577" s="81" t="s">
        <v>398</v>
      </c>
      <c r="AA577" s="81" t="s">
        <v>117</v>
      </c>
      <c r="AB577" s="81" t="s">
        <v>399</v>
      </c>
      <c r="AC577" s="166">
        <v>4.9999998882412902E-3</v>
      </c>
      <c r="AD577" s="349">
        <v>43190</v>
      </c>
      <c r="AE577" s="81" t="s">
        <v>155</v>
      </c>
      <c r="AG577" s="81" t="s">
        <v>238</v>
      </c>
      <c r="AH577" s="81" t="s">
        <v>118</v>
      </c>
      <c r="AK577" s="166">
        <v>0</v>
      </c>
      <c r="AM577" s="166">
        <v>0</v>
      </c>
      <c r="AO577" s="166">
        <v>0</v>
      </c>
      <c r="AP577" s="166">
        <v>1</v>
      </c>
      <c r="AQ577" s="166">
        <v>0</v>
      </c>
      <c r="AR577" s="166">
        <v>0</v>
      </c>
      <c r="AS577" s="166">
        <v>0</v>
      </c>
      <c r="AT577" s="166">
        <v>0</v>
      </c>
      <c r="AU577" s="166">
        <v>0</v>
      </c>
      <c r="AV577" s="166">
        <v>0</v>
      </c>
      <c r="AW577" s="166">
        <v>1</v>
      </c>
      <c r="AX577" s="166">
        <v>0</v>
      </c>
      <c r="AY577" s="166">
        <v>0</v>
      </c>
      <c r="AZ577" s="166">
        <v>0</v>
      </c>
      <c r="BA577" s="166">
        <v>0</v>
      </c>
      <c r="BB577" s="166">
        <v>0</v>
      </c>
      <c r="BC577" s="166">
        <v>0</v>
      </c>
      <c r="BD577" s="166">
        <v>0</v>
      </c>
      <c r="BE577" s="166">
        <v>0</v>
      </c>
      <c r="BF577" s="166">
        <v>0</v>
      </c>
      <c r="BG577" s="166">
        <v>0</v>
      </c>
      <c r="BH577" s="166">
        <v>0</v>
      </c>
      <c r="BI577" s="166">
        <v>0</v>
      </c>
      <c r="BJ577" s="166">
        <v>0</v>
      </c>
      <c r="BK577" s="166">
        <v>0</v>
      </c>
      <c r="BL577" s="166">
        <v>0</v>
      </c>
      <c r="BM577" s="166">
        <v>0</v>
      </c>
      <c r="BN577" s="166">
        <v>0</v>
      </c>
      <c r="BO577" s="166">
        <v>0</v>
      </c>
      <c r="BP577" s="166">
        <v>0</v>
      </c>
      <c r="BQ577" s="81" t="s">
        <v>1757</v>
      </c>
      <c r="BZ577" s="81" t="s">
        <v>155</v>
      </c>
      <c r="CA577" s="81" t="s">
        <v>3981</v>
      </c>
      <c r="CC577" s="167">
        <v>0</v>
      </c>
      <c r="CD577" s="167">
        <f>$N577/2</f>
        <v>0.5</v>
      </c>
      <c r="CE577" s="167">
        <f>$N577/2</f>
        <v>0.5</v>
      </c>
      <c r="CF577" s="167">
        <v>0</v>
      </c>
      <c r="CG577" s="167">
        <v>0</v>
      </c>
      <c r="CH577" s="167">
        <v>0</v>
      </c>
      <c r="CI577" s="167">
        <v>0</v>
      </c>
      <c r="CJ577" s="167">
        <v>0</v>
      </c>
      <c r="CK577" s="167">
        <v>0</v>
      </c>
      <c r="CL577" s="167">
        <v>0</v>
      </c>
      <c r="CM577" s="167">
        <v>0</v>
      </c>
      <c r="CN577" s="167">
        <v>0</v>
      </c>
      <c r="CO577" s="167">
        <v>0</v>
      </c>
      <c r="CP577" s="167">
        <v>0</v>
      </c>
      <c r="CQ577" s="167">
        <v>0</v>
      </c>
      <c r="CR577" s="167">
        <v>0</v>
      </c>
      <c r="CS577" s="167">
        <v>0</v>
      </c>
      <c r="CT577" s="167">
        <v>0</v>
      </c>
      <c r="CU577" s="167">
        <v>0</v>
      </c>
      <c r="CV577" s="167">
        <v>0</v>
      </c>
      <c r="CW577" s="167">
        <v>0</v>
      </c>
      <c r="CX577" s="167">
        <f>SUM(CD577:CH577)</f>
        <v>1</v>
      </c>
      <c r="CY577" s="167">
        <f>SUM(CD577:CM577)</f>
        <v>1</v>
      </c>
    </row>
    <row r="578" spans="1:103" ht="12.75" customHeight="1" x14ac:dyDescent="0.2">
      <c r="A578" s="81">
        <v>5812</v>
      </c>
      <c r="B578" s="165" t="s">
        <v>1908</v>
      </c>
      <c r="C578" s="165" t="s">
        <v>781</v>
      </c>
      <c r="E578" s="165" t="s">
        <v>3417</v>
      </c>
      <c r="F578" s="165" t="s">
        <v>293</v>
      </c>
      <c r="G578" s="81">
        <v>529628</v>
      </c>
      <c r="H578" s="81">
        <v>177338</v>
      </c>
      <c r="I578" s="165" t="s">
        <v>240</v>
      </c>
      <c r="J578" s="349">
        <v>42793</v>
      </c>
      <c r="L578" s="166">
        <v>0</v>
      </c>
      <c r="M578" s="166">
        <v>126</v>
      </c>
      <c r="N578" s="166">
        <v>126</v>
      </c>
      <c r="O578" s="166">
        <v>357</v>
      </c>
      <c r="P578" s="166">
        <v>357</v>
      </c>
      <c r="Q578" s="81" t="s">
        <v>155</v>
      </c>
      <c r="R578" s="165" t="s">
        <v>919</v>
      </c>
      <c r="S578" s="81" t="s">
        <v>104</v>
      </c>
      <c r="T578" s="349">
        <v>42234</v>
      </c>
      <c r="U578" s="349">
        <v>42647</v>
      </c>
      <c r="W578" s="81" t="s">
        <v>114</v>
      </c>
      <c r="Y578" s="81" t="s">
        <v>115</v>
      </c>
      <c r="Z578" s="81" t="s">
        <v>116</v>
      </c>
      <c r="AA578" s="81" t="s">
        <v>116</v>
      </c>
      <c r="AB578" s="81" t="s">
        <v>117</v>
      </c>
      <c r="AC578" s="166">
        <v>0.20000000298023199</v>
      </c>
      <c r="AD578" s="349">
        <v>42793</v>
      </c>
      <c r="AG578" s="81" t="s">
        <v>238</v>
      </c>
      <c r="AH578" s="81" t="s">
        <v>118</v>
      </c>
      <c r="AI578" s="81" t="s">
        <v>3419</v>
      </c>
      <c r="AK578" s="166">
        <v>126</v>
      </c>
      <c r="AM578" s="166">
        <v>12</v>
      </c>
      <c r="AO578" s="166">
        <v>9</v>
      </c>
      <c r="AP578" s="166">
        <v>12</v>
      </c>
      <c r="AQ578" s="166">
        <v>97</v>
      </c>
      <c r="AR578" s="166">
        <v>8</v>
      </c>
      <c r="AS578" s="166">
        <v>0</v>
      </c>
      <c r="AT578" s="166">
        <v>0</v>
      </c>
      <c r="AU578" s="166">
        <v>0</v>
      </c>
      <c r="AV578" s="166">
        <v>9</v>
      </c>
      <c r="AW578" s="166">
        <v>12</v>
      </c>
      <c r="AX578" s="166">
        <v>97</v>
      </c>
      <c r="AY578" s="166">
        <v>8</v>
      </c>
      <c r="AZ578" s="166">
        <v>0</v>
      </c>
      <c r="BA578" s="166">
        <v>0</v>
      </c>
      <c r="BB578" s="166">
        <v>0</v>
      </c>
      <c r="BC578" s="166">
        <v>0</v>
      </c>
      <c r="BD578" s="166">
        <v>0</v>
      </c>
      <c r="BE578" s="166">
        <v>0</v>
      </c>
      <c r="BF578" s="166">
        <v>0</v>
      </c>
      <c r="BG578" s="166">
        <v>0</v>
      </c>
      <c r="BH578" s="166">
        <v>0</v>
      </c>
      <c r="BI578" s="166">
        <v>0</v>
      </c>
      <c r="BJ578" s="166">
        <v>0</v>
      </c>
      <c r="BK578" s="166">
        <v>0</v>
      </c>
      <c r="BL578" s="166">
        <v>0</v>
      </c>
      <c r="BM578" s="166">
        <v>0</v>
      </c>
      <c r="BN578" s="166">
        <v>0</v>
      </c>
      <c r="BO578" s="166">
        <v>0</v>
      </c>
      <c r="BP578" s="166">
        <v>0</v>
      </c>
      <c r="BQ578" s="81" t="s">
        <v>1759</v>
      </c>
      <c r="BS578" s="81" t="s">
        <v>155</v>
      </c>
      <c r="BZ578" s="81" t="s">
        <v>155</v>
      </c>
      <c r="CA578" s="81">
        <v>12</v>
      </c>
      <c r="CC578" s="167">
        <v>0</v>
      </c>
      <c r="CD578" s="167">
        <v>0</v>
      </c>
      <c r="CE578" s="167">
        <f>N578</f>
        <v>126</v>
      </c>
      <c r="CF578" s="167">
        <v>0</v>
      </c>
      <c r="CG578" s="167">
        <v>0</v>
      </c>
      <c r="CH578" s="167">
        <v>0</v>
      </c>
      <c r="CI578" s="167">
        <v>0</v>
      </c>
      <c r="CJ578" s="167">
        <v>0</v>
      </c>
      <c r="CK578" s="167">
        <v>0</v>
      </c>
      <c r="CL578" s="167">
        <v>0</v>
      </c>
      <c r="CM578" s="167">
        <v>0</v>
      </c>
      <c r="CN578" s="167">
        <v>0</v>
      </c>
      <c r="CO578" s="167">
        <v>0</v>
      </c>
      <c r="CP578" s="167">
        <v>0</v>
      </c>
      <c r="CQ578" s="167">
        <v>0</v>
      </c>
      <c r="CR578" s="167">
        <v>0</v>
      </c>
      <c r="CS578" s="167">
        <v>0</v>
      </c>
      <c r="CT578" s="167">
        <v>0</v>
      </c>
      <c r="CU578" s="167">
        <v>0</v>
      </c>
      <c r="CV578" s="167">
        <v>0</v>
      </c>
      <c r="CW578" s="167">
        <v>0</v>
      </c>
      <c r="CX578" s="167">
        <f>SUM(CD578:CH578)</f>
        <v>126</v>
      </c>
      <c r="CY578" s="167">
        <f>SUM(CD578:CM578)</f>
        <v>126</v>
      </c>
    </row>
    <row r="579" spans="1:103" ht="12.75" customHeight="1" x14ac:dyDescent="0.2">
      <c r="A579" s="81">
        <v>5812</v>
      </c>
      <c r="B579" s="165" t="s">
        <v>1908</v>
      </c>
      <c r="C579" s="165" t="s">
        <v>781</v>
      </c>
      <c r="E579" s="165" t="s">
        <v>3417</v>
      </c>
      <c r="F579" s="165" t="s">
        <v>294</v>
      </c>
      <c r="G579" s="81">
        <v>529628</v>
      </c>
      <c r="H579" s="81">
        <v>177338</v>
      </c>
      <c r="I579" s="165" t="s">
        <v>240</v>
      </c>
      <c r="J579" s="349">
        <v>42793</v>
      </c>
      <c r="L579" s="166">
        <v>0</v>
      </c>
      <c r="M579" s="166">
        <v>126</v>
      </c>
      <c r="N579" s="166">
        <v>126</v>
      </c>
      <c r="O579" s="166">
        <v>357</v>
      </c>
      <c r="P579" s="166">
        <v>357</v>
      </c>
      <c r="Q579" s="81" t="s">
        <v>155</v>
      </c>
      <c r="R579" s="165" t="s">
        <v>919</v>
      </c>
      <c r="S579" s="81" t="s">
        <v>104</v>
      </c>
      <c r="T579" s="349">
        <v>42234</v>
      </c>
      <c r="U579" s="349">
        <v>42647</v>
      </c>
      <c r="W579" s="81" t="s">
        <v>114</v>
      </c>
      <c r="Y579" s="81" t="s">
        <v>115</v>
      </c>
      <c r="Z579" s="81" t="s">
        <v>116</v>
      </c>
      <c r="AA579" s="81" t="s">
        <v>116</v>
      </c>
      <c r="AB579" s="81" t="s">
        <v>117</v>
      </c>
      <c r="AC579" s="166">
        <v>0.18299999833107</v>
      </c>
      <c r="AD579" s="349">
        <v>43190</v>
      </c>
      <c r="AE579" s="81" t="s">
        <v>155</v>
      </c>
      <c r="AG579" s="81" t="s">
        <v>238</v>
      </c>
      <c r="AH579" s="81" t="s">
        <v>118</v>
      </c>
      <c r="AI579" s="81" t="s">
        <v>3419</v>
      </c>
      <c r="AK579" s="166">
        <v>126</v>
      </c>
      <c r="AM579" s="166">
        <v>12</v>
      </c>
      <c r="AO579" s="166">
        <v>0</v>
      </c>
      <c r="AP579" s="166">
        <v>33</v>
      </c>
      <c r="AQ579" s="166">
        <v>85</v>
      </c>
      <c r="AR579" s="166">
        <v>8</v>
      </c>
      <c r="AS579" s="166">
        <v>0</v>
      </c>
      <c r="AT579" s="166">
        <v>0</v>
      </c>
      <c r="AU579" s="166">
        <v>0</v>
      </c>
      <c r="AV579" s="166">
        <v>0</v>
      </c>
      <c r="AW579" s="166">
        <v>33</v>
      </c>
      <c r="AX579" s="166">
        <v>85</v>
      </c>
      <c r="AY579" s="166">
        <v>8</v>
      </c>
      <c r="AZ579" s="166">
        <v>0</v>
      </c>
      <c r="BA579" s="166">
        <v>0</v>
      </c>
      <c r="BB579" s="166">
        <v>0</v>
      </c>
      <c r="BC579" s="166">
        <v>0</v>
      </c>
      <c r="BD579" s="166">
        <v>0</v>
      </c>
      <c r="BE579" s="166">
        <v>0</v>
      </c>
      <c r="BF579" s="166">
        <v>0</v>
      </c>
      <c r="BG579" s="166">
        <v>0</v>
      </c>
      <c r="BH579" s="166">
        <v>0</v>
      </c>
      <c r="BI579" s="166">
        <v>0</v>
      </c>
      <c r="BJ579" s="166">
        <v>0</v>
      </c>
      <c r="BK579" s="166">
        <v>0</v>
      </c>
      <c r="BL579" s="166">
        <v>0</v>
      </c>
      <c r="BM579" s="166">
        <v>0</v>
      </c>
      <c r="BN579" s="166">
        <v>0</v>
      </c>
      <c r="BO579" s="166">
        <v>0</v>
      </c>
      <c r="BP579" s="166">
        <v>0</v>
      </c>
      <c r="BQ579" s="81" t="s">
        <v>1759</v>
      </c>
      <c r="BS579" s="81" t="s">
        <v>155</v>
      </c>
      <c r="BZ579" s="81" t="s">
        <v>155</v>
      </c>
      <c r="CA579" s="81">
        <v>12</v>
      </c>
      <c r="CC579" s="167">
        <v>0</v>
      </c>
      <c r="CD579" s="167">
        <v>0</v>
      </c>
      <c r="CE579" s="167">
        <v>0</v>
      </c>
      <c r="CF579" s="167">
        <f>N579</f>
        <v>126</v>
      </c>
      <c r="CG579" s="167">
        <v>0</v>
      </c>
      <c r="CH579" s="167">
        <v>0</v>
      </c>
      <c r="CI579" s="167">
        <v>0</v>
      </c>
      <c r="CJ579" s="167">
        <v>0</v>
      </c>
      <c r="CK579" s="167">
        <v>0</v>
      </c>
      <c r="CL579" s="167">
        <v>0</v>
      </c>
      <c r="CM579" s="167">
        <v>0</v>
      </c>
      <c r="CN579" s="167">
        <v>0</v>
      </c>
      <c r="CO579" s="167">
        <v>0</v>
      </c>
      <c r="CP579" s="167">
        <v>0</v>
      </c>
      <c r="CQ579" s="167">
        <v>0</v>
      </c>
      <c r="CR579" s="167">
        <v>0</v>
      </c>
      <c r="CS579" s="167">
        <v>0</v>
      </c>
      <c r="CT579" s="167">
        <v>0</v>
      </c>
      <c r="CU579" s="167">
        <v>0</v>
      </c>
      <c r="CV579" s="167">
        <v>0</v>
      </c>
      <c r="CW579" s="167">
        <v>0</v>
      </c>
      <c r="CX579" s="167">
        <f>SUM(CD579:CH579)</f>
        <v>126</v>
      </c>
      <c r="CY579" s="167">
        <f>SUM(CD579:CM579)</f>
        <v>126</v>
      </c>
    </row>
    <row r="580" spans="1:103" x14ac:dyDescent="0.2">
      <c r="A580" s="81">
        <v>5812</v>
      </c>
      <c r="B580" s="165" t="s">
        <v>1908</v>
      </c>
      <c r="C580" s="165" t="s">
        <v>781</v>
      </c>
      <c r="E580" s="165" t="s">
        <v>3417</v>
      </c>
      <c r="F580" s="165" t="s">
        <v>25</v>
      </c>
      <c r="G580" s="81">
        <v>529628</v>
      </c>
      <c r="H580" s="81">
        <v>177338</v>
      </c>
      <c r="I580" s="165" t="s">
        <v>240</v>
      </c>
      <c r="J580" s="349">
        <v>42793</v>
      </c>
      <c r="L580" s="166">
        <v>0</v>
      </c>
      <c r="M580" s="166">
        <v>39</v>
      </c>
      <c r="N580" s="166">
        <v>39</v>
      </c>
      <c r="O580" s="166">
        <v>357</v>
      </c>
      <c r="P580" s="166">
        <v>357</v>
      </c>
      <c r="Q580" s="81" t="s">
        <v>155</v>
      </c>
      <c r="R580" s="165" t="s">
        <v>919</v>
      </c>
      <c r="S580" s="81" t="s">
        <v>104</v>
      </c>
      <c r="T580" s="349">
        <v>42234</v>
      </c>
      <c r="U580" s="349">
        <v>42647</v>
      </c>
      <c r="W580" s="81" t="s">
        <v>114</v>
      </c>
      <c r="Y580" s="81" t="s">
        <v>115</v>
      </c>
      <c r="Z580" s="81" t="s">
        <v>116</v>
      </c>
      <c r="AA580" s="81" t="s">
        <v>116</v>
      </c>
      <c r="AB580" s="81" t="s">
        <v>117</v>
      </c>
      <c r="AC580" s="166">
        <v>5.0000000745058101E-2</v>
      </c>
      <c r="AD580" s="349">
        <v>43190</v>
      </c>
      <c r="AE580" s="81" t="s">
        <v>155</v>
      </c>
      <c r="AG580" s="81" t="s">
        <v>154</v>
      </c>
      <c r="AH580" s="81" t="s">
        <v>276</v>
      </c>
      <c r="AI580" s="81" t="s">
        <v>3419</v>
      </c>
      <c r="AK580" s="166">
        <v>39</v>
      </c>
      <c r="AM580" s="166">
        <v>9</v>
      </c>
      <c r="AN580" s="166">
        <v>5</v>
      </c>
      <c r="AO580" s="166">
        <v>0</v>
      </c>
      <c r="AP580" s="166">
        <v>6</v>
      </c>
      <c r="AQ580" s="166">
        <v>22</v>
      </c>
      <c r="AR580" s="166">
        <v>11</v>
      </c>
      <c r="AS580" s="166">
        <v>0</v>
      </c>
      <c r="AT580" s="166">
        <v>0</v>
      </c>
      <c r="AU580" s="166">
        <v>0</v>
      </c>
      <c r="AV580" s="166">
        <v>0</v>
      </c>
      <c r="AW580" s="166">
        <v>6</v>
      </c>
      <c r="AX580" s="166">
        <v>22</v>
      </c>
      <c r="AY580" s="166">
        <v>11</v>
      </c>
      <c r="AZ580" s="166">
        <v>0</v>
      </c>
      <c r="BA580" s="166">
        <v>0</v>
      </c>
      <c r="BB580" s="166">
        <v>0</v>
      </c>
      <c r="BC580" s="166">
        <v>0</v>
      </c>
      <c r="BD580" s="166">
        <v>0</v>
      </c>
      <c r="BE580" s="166">
        <v>0</v>
      </c>
      <c r="BF580" s="166">
        <v>0</v>
      </c>
      <c r="BG580" s="166">
        <v>0</v>
      </c>
      <c r="BH580" s="166">
        <v>0</v>
      </c>
      <c r="BI580" s="166">
        <v>0</v>
      </c>
      <c r="BJ580" s="166">
        <v>0</v>
      </c>
      <c r="BK580" s="166">
        <v>0</v>
      </c>
      <c r="BL580" s="166">
        <v>0</v>
      </c>
      <c r="BM580" s="166">
        <v>0</v>
      </c>
      <c r="BN580" s="166">
        <v>0</v>
      </c>
      <c r="BO580" s="166">
        <v>0</v>
      </c>
      <c r="BP580" s="166">
        <v>0</v>
      </c>
      <c r="BQ580" s="81" t="s">
        <v>1759</v>
      </c>
      <c r="BS580" s="81" t="s">
        <v>155</v>
      </c>
      <c r="BZ580" s="81" t="s">
        <v>155</v>
      </c>
      <c r="CA580" s="81">
        <v>12</v>
      </c>
      <c r="CC580" s="167">
        <v>0</v>
      </c>
      <c r="CD580" s="167">
        <v>0</v>
      </c>
      <c r="CE580" s="167">
        <v>0</v>
      </c>
      <c r="CF580" s="167">
        <v>0</v>
      </c>
      <c r="CG580" s="167">
        <f>N580</f>
        <v>39</v>
      </c>
      <c r="CH580" s="167">
        <v>0</v>
      </c>
      <c r="CI580" s="167">
        <v>0</v>
      </c>
      <c r="CJ580" s="167">
        <v>0</v>
      </c>
      <c r="CK580" s="167">
        <v>0</v>
      </c>
      <c r="CL580" s="167">
        <v>0</v>
      </c>
      <c r="CM580" s="167">
        <v>0</v>
      </c>
      <c r="CN580" s="167">
        <v>0</v>
      </c>
      <c r="CO580" s="167">
        <v>0</v>
      </c>
      <c r="CP580" s="167">
        <v>0</v>
      </c>
      <c r="CQ580" s="167">
        <v>0</v>
      </c>
      <c r="CR580" s="167">
        <v>0</v>
      </c>
      <c r="CS580" s="167">
        <v>0</v>
      </c>
      <c r="CT580" s="167">
        <v>0</v>
      </c>
      <c r="CU580" s="167">
        <v>0</v>
      </c>
      <c r="CV580" s="167">
        <v>0</v>
      </c>
      <c r="CW580" s="167">
        <v>0</v>
      </c>
      <c r="CX580" s="167">
        <f>SUM(CD580:CH580)</f>
        <v>39</v>
      </c>
      <c r="CY580" s="167">
        <f>SUM(CD580:CM580)</f>
        <v>39</v>
      </c>
    </row>
    <row r="581" spans="1:103" ht="12.75" customHeight="1" x14ac:dyDescent="0.2">
      <c r="A581" s="81">
        <v>5812</v>
      </c>
      <c r="B581" s="165" t="s">
        <v>1908</v>
      </c>
      <c r="C581" s="165" t="s">
        <v>781</v>
      </c>
      <c r="E581" s="165" t="s">
        <v>3417</v>
      </c>
      <c r="F581" s="165" t="s">
        <v>25</v>
      </c>
      <c r="G581" s="81">
        <v>529628</v>
      </c>
      <c r="H581" s="81">
        <v>177338</v>
      </c>
      <c r="I581" s="165" t="s">
        <v>240</v>
      </c>
      <c r="J581" s="349">
        <v>42793</v>
      </c>
      <c r="L581" s="166">
        <v>0</v>
      </c>
      <c r="M581" s="166">
        <v>10</v>
      </c>
      <c r="N581" s="166">
        <v>10</v>
      </c>
      <c r="O581" s="166">
        <v>357</v>
      </c>
      <c r="P581" s="166">
        <v>357</v>
      </c>
      <c r="Q581" s="81" t="s">
        <v>155</v>
      </c>
      <c r="R581" s="165" t="s">
        <v>919</v>
      </c>
      <c r="S581" s="81" t="s">
        <v>104</v>
      </c>
      <c r="T581" s="349">
        <v>42234</v>
      </c>
      <c r="U581" s="349">
        <v>42647</v>
      </c>
      <c r="W581" s="81" t="s">
        <v>114</v>
      </c>
      <c r="Y581" s="81" t="s">
        <v>115</v>
      </c>
      <c r="Z581" s="81" t="s">
        <v>116</v>
      </c>
      <c r="AA581" s="81" t="s">
        <v>116</v>
      </c>
      <c r="AB581" s="81" t="s">
        <v>117</v>
      </c>
      <c r="AC581" s="166">
        <v>5.0000000745058101E-2</v>
      </c>
      <c r="AD581" s="349">
        <v>43190</v>
      </c>
      <c r="AE581" s="81" t="s">
        <v>155</v>
      </c>
      <c r="AG581" s="81" t="s">
        <v>238</v>
      </c>
      <c r="AH581" s="81" t="s">
        <v>118</v>
      </c>
      <c r="AI581" s="81" t="s">
        <v>3419</v>
      </c>
      <c r="AK581" s="166">
        <v>10</v>
      </c>
      <c r="AM581" s="166">
        <v>0</v>
      </c>
      <c r="AO581" s="166">
        <v>0</v>
      </c>
      <c r="AP581" s="166">
        <v>4</v>
      </c>
      <c r="AQ581" s="166">
        <v>4</v>
      </c>
      <c r="AR581" s="166">
        <v>2</v>
      </c>
      <c r="AS581" s="166">
        <v>0</v>
      </c>
      <c r="AT581" s="166">
        <v>0</v>
      </c>
      <c r="AU581" s="166">
        <v>0</v>
      </c>
      <c r="AV581" s="166">
        <v>0</v>
      </c>
      <c r="AW581" s="166">
        <v>4</v>
      </c>
      <c r="AX581" s="166">
        <v>4</v>
      </c>
      <c r="AY581" s="166">
        <v>2</v>
      </c>
      <c r="AZ581" s="166">
        <v>0</v>
      </c>
      <c r="BA581" s="166">
        <v>0</v>
      </c>
      <c r="BB581" s="166">
        <v>0</v>
      </c>
      <c r="BC581" s="166">
        <v>0</v>
      </c>
      <c r="BD581" s="166">
        <v>0</v>
      </c>
      <c r="BE581" s="166">
        <v>0</v>
      </c>
      <c r="BF581" s="166">
        <v>0</v>
      </c>
      <c r="BG581" s="166">
        <v>0</v>
      </c>
      <c r="BH581" s="166">
        <v>0</v>
      </c>
      <c r="BI581" s="166">
        <v>0</v>
      </c>
      <c r="BJ581" s="166">
        <v>0</v>
      </c>
      <c r="BK581" s="166">
        <v>0</v>
      </c>
      <c r="BL581" s="166">
        <v>0</v>
      </c>
      <c r="BM581" s="166">
        <v>0</v>
      </c>
      <c r="BN581" s="166">
        <v>0</v>
      </c>
      <c r="BO581" s="166">
        <v>0</v>
      </c>
      <c r="BP581" s="166">
        <v>0</v>
      </c>
      <c r="BQ581" s="81" t="s">
        <v>1759</v>
      </c>
      <c r="BS581" s="81" t="s">
        <v>155</v>
      </c>
      <c r="BZ581" s="81" t="s">
        <v>155</v>
      </c>
      <c r="CA581" s="81">
        <v>12</v>
      </c>
      <c r="CC581" s="167">
        <v>0</v>
      </c>
      <c r="CD581" s="167">
        <v>0</v>
      </c>
      <c r="CE581" s="167">
        <v>0</v>
      </c>
      <c r="CF581" s="167">
        <v>0</v>
      </c>
      <c r="CG581" s="167">
        <f>N581</f>
        <v>10</v>
      </c>
      <c r="CH581" s="167">
        <v>0</v>
      </c>
      <c r="CI581" s="167">
        <v>0</v>
      </c>
      <c r="CJ581" s="167">
        <v>0</v>
      </c>
      <c r="CK581" s="167">
        <v>0</v>
      </c>
      <c r="CL581" s="167">
        <v>0</v>
      </c>
      <c r="CM581" s="167">
        <v>0</v>
      </c>
      <c r="CN581" s="167">
        <v>0</v>
      </c>
      <c r="CO581" s="167">
        <v>0</v>
      </c>
      <c r="CP581" s="167">
        <v>0</v>
      </c>
      <c r="CQ581" s="167">
        <v>0</v>
      </c>
      <c r="CR581" s="167">
        <v>0</v>
      </c>
      <c r="CS581" s="167">
        <v>0</v>
      </c>
      <c r="CT581" s="167">
        <v>0</v>
      </c>
      <c r="CU581" s="167">
        <v>0</v>
      </c>
      <c r="CV581" s="167">
        <v>0</v>
      </c>
      <c r="CW581" s="167">
        <v>0</v>
      </c>
      <c r="CX581" s="167">
        <f>SUM(CD581:CH581)</f>
        <v>10</v>
      </c>
      <c r="CY581" s="167">
        <f>SUM(CD581:CM581)</f>
        <v>10</v>
      </c>
    </row>
    <row r="582" spans="1:103" ht="12.75" customHeight="1" x14ac:dyDescent="0.2">
      <c r="A582" s="81">
        <v>5812</v>
      </c>
      <c r="B582" s="165" t="s">
        <v>1908</v>
      </c>
      <c r="C582" s="165" t="s">
        <v>3416</v>
      </c>
      <c r="E582" s="165" t="s">
        <v>3417</v>
      </c>
      <c r="F582" s="165" t="s">
        <v>25</v>
      </c>
      <c r="G582" s="81">
        <v>529628</v>
      </c>
      <c r="H582" s="81">
        <v>177338</v>
      </c>
      <c r="I582" s="165" t="s">
        <v>240</v>
      </c>
      <c r="J582" s="349">
        <v>43190</v>
      </c>
      <c r="L582" s="166">
        <v>0</v>
      </c>
      <c r="M582" s="166">
        <v>59</v>
      </c>
      <c r="N582" s="166">
        <v>59</v>
      </c>
      <c r="O582" s="166">
        <v>59</v>
      </c>
      <c r="P582" s="166">
        <v>59</v>
      </c>
      <c r="Q582" s="81" t="s">
        <v>155</v>
      </c>
      <c r="R582" s="165" t="s">
        <v>3418</v>
      </c>
      <c r="S582" s="81" t="s">
        <v>104</v>
      </c>
      <c r="T582" s="349">
        <v>42829</v>
      </c>
      <c r="U582" s="349">
        <v>43091</v>
      </c>
      <c r="V582" s="81" t="s">
        <v>155</v>
      </c>
      <c r="W582" s="81" t="s">
        <v>114</v>
      </c>
      <c r="Y582" s="81" t="s">
        <v>115</v>
      </c>
      <c r="Z582" s="81" t="s">
        <v>116</v>
      </c>
      <c r="AA582" s="81" t="s">
        <v>116</v>
      </c>
      <c r="AB582" s="81" t="s">
        <v>117</v>
      </c>
      <c r="AC582" s="166">
        <v>6.7000001668930095E-2</v>
      </c>
      <c r="AD582" s="349">
        <v>43190</v>
      </c>
      <c r="AE582" s="81" t="s">
        <v>155</v>
      </c>
      <c r="AG582" s="81" t="s">
        <v>74</v>
      </c>
      <c r="AH582" s="81" t="s">
        <v>990</v>
      </c>
      <c r="AI582" s="81" t="s">
        <v>3419</v>
      </c>
      <c r="AK582" s="166">
        <v>0</v>
      </c>
      <c r="AM582" s="166">
        <v>0</v>
      </c>
      <c r="AN582" s="166">
        <v>3</v>
      </c>
      <c r="AO582" s="166">
        <v>0</v>
      </c>
      <c r="AP582" s="166">
        <v>38</v>
      </c>
      <c r="AQ582" s="166">
        <v>20</v>
      </c>
      <c r="AR582" s="166">
        <v>1</v>
      </c>
      <c r="AS582" s="166">
        <v>0</v>
      </c>
      <c r="AT582" s="166">
        <v>0</v>
      </c>
      <c r="AU582" s="166">
        <v>0</v>
      </c>
      <c r="AV582" s="166">
        <v>0</v>
      </c>
      <c r="AW582" s="166">
        <v>38</v>
      </c>
      <c r="AX582" s="166">
        <v>20</v>
      </c>
      <c r="AY582" s="166">
        <v>1</v>
      </c>
      <c r="AZ582" s="166">
        <v>0</v>
      </c>
      <c r="BA582" s="166">
        <v>0</v>
      </c>
      <c r="BB582" s="166">
        <v>0</v>
      </c>
      <c r="BC582" s="166">
        <v>0</v>
      </c>
      <c r="BD582" s="166">
        <v>0</v>
      </c>
      <c r="BE582" s="166">
        <v>0</v>
      </c>
      <c r="BF582" s="166">
        <v>0</v>
      </c>
      <c r="BG582" s="166">
        <v>0</v>
      </c>
      <c r="BH582" s="166">
        <v>0</v>
      </c>
      <c r="BI582" s="166">
        <v>0</v>
      </c>
      <c r="BJ582" s="166">
        <v>0</v>
      </c>
      <c r="BK582" s="166">
        <v>0</v>
      </c>
      <c r="BL582" s="166">
        <v>0</v>
      </c>
      <c r="BM582" s="166">
        <v>0</v>
      </c>
      <c r="BN582" s="166">
        <v>0</v>
      </c>
      <c r="BO582" s="166">
        <v>0</v>
      </c>
      <c r="BP582" s="166">
        <v>0</v>
      </c>
      <c r="BQ582" s="81" t="s">
        <v>1759</v>
      </c>
      <c r="BS582" s="81" t="s">
        <v>155</v>
      </c>
      <c r="BZ582" s="81" t="s">
        <v>155</v>
      </c>
      <c r="CA582" s="81">
        <v>12</v>
      </c>
      <c r="CC582" s="167">
        <v>0</v>
      </c>
      <c r="CD582" s="167">
        <v>0</v>
      </c>
      <c r="CE582" s="167">
        <v>0</v>
      </c>
      <c r="CF582" s="167">
        <v>0</v>
      </c>
      <c r="CG582" s="167">
        <f>N582</f>
        <v>59</v>
      </c>
      <c r="CH582" s="167">
        <v>0</v>
      </c>
      <c r="CI582" s="167">
        <v>0</v>
      </c>
      <c r="CJ582" s="167">
        <v>0</v>
      </c>
      <c r="CK582" s="167">
        <v>0</v>
      </c>
      <c r="CL582" s="167">
        <v>0</v>
      </c>
      <c r="CM582" s="167">
        <v>0</v>
      </c>
      <c r="CN582" s="167">
        <v>0</v>
      </c>
      <c r="CO582" s="167">
        <v>0</v>
      </c>
      <c r="CP582" s="167">
        <v>0</v>
      </c>
      <c r="CQ582" s="167">
        <v>0</v>
      </c>
      <c r="CR582" s="167">
        <v>0</v>
      </c>
      <c r="CS582" s="167">
        <v>0</v>
      </c>
      <c r="CT582" s="167">
        <v>0</v>
      </c>
      <c r="CU582" s="167">
        <v>0</v>
      </c>
      <c r="CV582" s="167">
        <v>0</v>
      </c>
      <c r="CW582" s="167">
        <v>0</v>
      </c>
      <c r="CX582" s="167">
        <f>SUM(CD582:CH582)</f>
        <v>59</v>
      </c>
      <c r="CY582" s="167">
        <f>SUM(CD582:CM582)</f>
        <v>59</v>
      </c>
    </row>
    <row r="583" spans="1:103" ht="12.75" customHeight="1" x14ac:dyDescent="0.2">
      <c r="A583" s="81">
        <v>5816</v>
      </c>
      <c r="B583" s="165" t="s">
        <v>1908</v>
      </c>
      <c r="C583" s="165" t="s">
        <v>673</v>
      </c>
      <c r="E583" s="165" t="s">
        <v>3553</v>
      </c>
      <c r="G583" s="81">
        <v>525646</v>
      </c>
      <c r="H583" s="81">
        <v>174310</v>
      </c>
      <c r="I583" s="165" t="s">
        <v>258</v>
      </c>
      <c r="J583" s="349">
        <v>42825</v>
      </c>
      <c r="L583" s="166">
        <v>0</v>
      </c>
      <c r="M583" s="166">
        <v>53</v>
      </c>
      <c r="N583" s="166">
        <v>53</v>
      </c>
      <c r="O583" s="166">
        <v>89</v>
      </c>
      <c r="P583" s="166">
        <v>89</v>
      </c>
      <c r="Q583" s="81" t="s">
        <v>155</v>
      </c>
      <c r="R583" s="165" t="s">
        <v>958</v>
      </c>
      <c r="S583" s="81" t="s">
        <v>104</v>
      </c>
      <c r="T583" s="349">
        <v>42293</v>
      </c>
      <c r="U583" s="349">
        <v>42445</v>
      </c>
      <c r="W583" s="81" t="s">
        <v>114</v>
      </c>
      <c r="Y583" s="81" t="s">
        <v>115</v>
      </c>
      <c r="Z583" s="81" t="s">
        <v>116</v>
      </c>
      <c r="AA583" s="81" t="s">
        <v>116</v>
      </c>
      <c r="AB583" s="81" t="s">
        <v>117</v>
      </c>
      <c r="AC583" s="166">
        <v>2.60000005364418E-2</v>
      </c>
      <c r="AD583" s="349">
        <v>42825</v>
      </c>
      <c r="AG583" s="81" t="s">
        <v>74</v>
      </c>
      <c r="AH583" s="81" t="s">
        <v>1913</v>
      </c>
      <c r="AK583" s="166">
        <v>53</v>
      </c>
      <c r="AL583" s="166">
        <v>53</v>
      </c>
      <c r="AM583" s="166">
        <v>1</v>
      </c>
      <c r="AN583" s="166">
        <v>0</v>
      </c>
      <c r="AO583" s="166">
        <v>0</v>
      </c>
      <c r="AP583" s="166">
        <v>53</v>
      </c>
      <c r="AQ583" s="166">
        <v>0</v>
      </c>
      <c r="AR583" s="166">
        <v>0</v>
      </c>
      <c r="AS583" s="166">
        <v>0</v>
      </c>
      <c r="AT583" s="166">
        <v>0</v>
      </c>
      <c r="AU583" s="166">
        <v>0</v>
      </c>
      <c r="AV583" s="166">
        <v>0</v>
      </c>
      <c r="AW583" s="166">
        <v>53</v>
      </c>
      <c r="AX583" s="166">
        <v>0</v>
      </c>
      <c r="AY583" s="166">
        <v>0</v>
      </c>
      <c r="AZ583" s="166">
        <v>0</v>
      </c>
      <c r="BA583" s="166">
        <v>0</v>
      </c>
      <c r="BB583" s="166">
        <v>0</v>
      </c>
      <c r="BC583" s="166">
        <v>0</v>
      </c>
      <c r="BD583" s="166">
        <v>0</v>
      </c>
      <c r="BE583" s="166">
        <v>0</v>
      </c>
      <c r="BF583" s="166">
        <v>0</v>
      </c>
      <c r="BG583" s="166">
        <v>0</v>
      </c>
      <c r="BH583" s="166">
        <v>0</v>
      </c>
      <c r="BI583" s="166">
        <v>0</v>
      </c>
      <c r="BJ583" s="166">
        <v>0</v>
      </c>
      <c r="BK583" s="166">
        <v>0</v>
      </c>
      <c r="BL583" s="166">
        <v>0</v>
      </c>
      <c r="BM583" s="166">
        <v>0</v>
      </c>
      <c r="BN583" s="166">
        <v>0</v>
      </c>
      <c r="BO583" s="166">
        <v>0</v>
      </c>
      <c r="BP583" s="166">
        <v>0</v>
      </c>
      <c r="BQ583" s="81" t="s">
        <v>1758</v>
      </c>
      <c r="BR583" s="81" t="s">
        <v>202</v>
      </c>
      <c r="BT583" s="81" t="s">
        <v>155</v>
      </c>
      <c r="BZ583" s="81" t="s">
        <v>155</v>
      </c>
      <c r="CA583" s="81" t="s">
        <v>3934</v>
      </c>
      <c r="CC583" s="167">
        <v>0</v>
      </c>
      <c r="CD583" s="167">
        <f>N583</f>
        <v>53</v>
      </c>
      <c r="CE583" s="167">
        <v>0</v>
      </c>
      <c r="CF583" s="167">
        <v>0</v>
      </c>
      <c r="CG583" s="167">
        <v>0</v>
      </c>
      <c r="CH583" s="167">
        <v>0</v>
      </c>
      <c r="CI583" s="167">
        <v>0</v>
      </c>
      <c r="CJ583" s="167">
        <v>0</v>
      </c>
      <c r="CK583" s="167">
        <v>0</v>
      </c>
      <c r="CL583" s="167">
        <v>0</v>
      </c>
      <c r="CM583" s="167">
        <v>0</v>
      </c>
      <c r="CN583" s="167">
        <v>0</v>
      </c>
      <c r="CO583" s="167">
        <v>0</v>
      </c>
      <c r="CP583" s="167">
        <v>0</v>
      </c>
      <c r="CQ583" s="167">
        <v>0</v>
      </c>
      <c r="CR583" s="167">
        <v>0</v>
      </c>
      <c r="CS583" s="167">
        <v>0</v>
      </c>
      <c r="CT583" s="167">
        <v>0</v>
      </c>
      <c r="CU583" s="167">
        <v>0</v>
      </c>
      <c r="CV583" s="167">
        <v>0</v>
      </c>
      <c r="CW583" s="167">
        <v>0</v>
      </c>
      <c r="CX583" s="167">
        <f>SUM(CD583:CH583)</f>
        <v>53</v>
      </c>
      <c r="CY583" s="167">
        <f>SUM(CD583:CM583)</f>
        <v>53</v>
      </c>
    </row>
    <row r="584" spans="1:103" ht="12.75" customHeight="1" x14ac:dyDescent="0.2">
      <c r="A584" s="81">
        <v>5816</v>
      </c>
      <c r="B584" s="165" t="s">
        <v>1908</v>
      </c>
      <c r="C584" s="165" t="s">
        <v>673</v>
      </c>
      <c r="E584" s="165" t="s">
        <v>3553</v>
      </c>
      <c r="G584" s="81">
        <v>525646</v>
      </c>
      <c r="H584" s="81">
        <v>174310</v>
      </c>
      <c r="I584" s="165" t="s">
        <v>258</v>
      </c>
      <c r="J584" s="349">
        <v>42825</v>
      </c>
      <c r="L584" s="166">
        <v>0</v>
      </c>
      <c r="M584" s="166">
        <v>36</v>
      </c>
      <c r="N584" s="166">
        <v>36</v>
      </c>
      <c r="O584" s="166">
        <v>89</v>
      </c>
      <c r="P584" s="166">
        <v>89</v>
      </c>
      <c r="Q584" s="81" t="s">
        <v>155</v>
      </c>
      <c r="R584" s="165" t="s">
        <v>958</v>
      </c>
      <c r="S584" s="81" t="s">
        <v>104</v>
      </c>
      <c r="T584" s="349">
        <v>42293</v>
      </c>
      <c r="U584" s="349">
        <v>42445</v>
      </c>
      <c r="W584" s="81" t="s">
        <v>114</v>
      </c>
      <c r="Y584" s="81" t="s">
        <v>115</v>
      </c>
      <c r="Z584" s="81" t="s">
        <v>116</v>
      </c>
      <c r="AA584" s="81" t="s">
        <v>116</v>
      </c>
      <c r="AB584" s="81" t="s">
        <v>117</v>
      </c>
      <c r="AC584" s="166">
        <v>2.19999998807907E-2</v>
      </c>
      <c r="AD584" s="349">
        <v>42825</v>
      </c>
      <c r="AG584" s="81" t="s">
        <v>238</v>
      </c>
      <c r="AH584" s="81" t="s">
        <v>118</v>
      </c>
      <c r="AK584" s="166">
        <v>36</v>
      </c>
      <c r="AL584" s="166">
        <v>36</v>
      </c>
      <c r="AM584" s="166">
        <v>2</v>
      </c>
      <c r="AO584" s="166">
        <v>0</v>
      </c>
      <c r="AP584" s="166">
        <v>0</v>
      </c>
      <c r="AQ584" s="166">
        <v>26</v>
      </c>
      <c r="AR584" s="166">
        <v>10</v>
      </c>
      <c r="AS584" s="166">
        <v>0</v>
      </c>
      <c r="AT584" s="166">
        <v>0</v>
      </c>
      <c r="AU584" s="166">
        <v>0</v>
      </c>
      <c r="AV584" s="166">
        <v>0</v>
      </c>
      <c r="AW584" s="166">
        <v>0</v>
      </c>
      <c r="AX584" s="166">
        <v>26</v>
      </c>
      <c r="AY584" s="166">
        <v>10</v>
      </c>
      <c r="AZ584" s="166">
        <v>0</v>
      </c>
      <c r="BA584" s="166">
        <v>0</v>
      </c>
      <c r="BB584" s="166">
        <v>0</v>
      </c>
      <c r="BC584" s="166">
        <v>0</v>
      </c>
      <c r="BD584" s="166">
        <v>0</v>
      </c>
      <c r="BE584" s="166">
        <v>0</v>
      </c>
      <c r="BF584" s="166">
        <v>0</v>
      </c>
      <c r="BG584" s="166">
        <v>0</v>
      </c>
      <c r="BH584" s="166">
        <v>0</v>
      </c>
      <c r="BI584" s="166">
        <v>0</v>
      </c>
      <c r="BJ584" s="166">
        <v>0</v>
      </c>
      <c r="BK584" s="166">
        <v>0</v>
      </c>
      <c r="BL584" s="166">
        <v>0</v>
      </c>
      <c r="BM584" s="166">
        <v>0</v>
      </c>
      <c r="BN584" s="166">
        <v>0</v>
      </c>
      <c r="BO584" s="166">
        <v>0</v>
      </c>
      <c r="BP584" s="166">
        <v>0</v>
      </c>
      <c r="BQ584" s="81" t="s">
        <v>1758</v>
      </c>
      <c r="BR584" s="81" t="s">
        <v>202</v>
      </c>
      <c r="BT584" s="81" t="s">
        <v>155</v>
      </c>
      <c r="BZ584" s="81" t="s">
        <v>155</v>
      </c>
      <c r="CA584" s="81" t="s">
        <v>3934</v>
      </c>
      <c r="CC584" s="167">
        <v>0</v>
      </c>
      <c r="CD584" s="167">
        <f>N584</f>
        <v>36</v>
      </c>
      <c r="CE584" s="167">
        <v>0</v>
      </c>
      <c r="CF584" s="167">
        <v>0</v>
      </c>
      <c r="CG584" s="167">
        <v>0</v>
      </c>
      <c r="CH584" s="167">
        <v>0</v>
      </c>
      <c r="CI584" s="167">
        <v>0</v>
      </c>
      <c r="CJ584" s="167">
        <v>0</v>
      </c>
      <c r="CK584" s="167">
        <v>0</v>
      </c>
      <c r="CL584" s="167">
        <v>0</v>
      </c>
      <c r="CM584" s="167">
        <v>0</v>
      </c>
      <c r="CN584" s="167">
        <v>0</v>
      </c>
      <c r="CO584" s="167">
        <v>0</v>
      </c>
      <c r="CP584" s="167">
        <v>0</v>
      </c>
      <c r="CQ584" s="167">
        <v>0</v>
      </c>
      <c r="CR584" s="167">
        <v>0</v>
      </c>
      <c r="CS584" s="167">
        <v>0</v>
      </c>
      <c r="CT584" s="167">
        <v>0</v>
      </c>
      <c r="CU584" s="167">
        <v>0</v>
      </c>
      <c r="CV584" s="167">
        <v>0</v>
      </c>
      <c r="CW584" s="167">
        <v>0</v>
      </c>
      <c r="CX584" s="167">
        <f>SUM(CD584:CH584)</f>
        <v>36</v>
      </c>
      <c r="CY584" s="167">
        <f>SUM(CD584:CM584)</f>
        <v>36</v>
      </c>
    </row>
    <row r="585" spans="1:103" ht="12.75" customHeight="1" x14ac:dyDescent="0.2">
      <c r="A585" s="81">
        <v>5818</v>
      </c>
      <c r="B585" s="165" t="s">
        <v>1908</v>
      </c>
      <c r="C585" s="165" t="s">
        <v>412</v>
      </c>
      <c r="E585" s="165" t="s">
        <v>3420</v>
      </c>
      <c r="F585" s="165" t="s">
        <v>489</v>
      </c>
      <c r="G585" s="81">
        <v>527340</v>
      </c>
      <c r="H585" s="81">
        <v>176146</v>
      </c>
      <c r="I585" s="165" t="s">
        <v>241</v>
      </c>
      <c r="J585" s="349">
        <v>42304</v>
      </c>
      <c r="L585" s="166">
        <v>0</v>
      </c>
      <c r="M585" s="166">
        <v>2</v>
      </c>
      <c r="N585" s="166">
        <v>2</v>
      </c>
      <c r="O585" s="166">
        <v>19</v>
      </c>
      <c r="P585" s="166">
        <v>19</v>
      </c>
      <c r="Q585" s="81" t="s">
        <v>155</v>
      </c>
      <c r="R585" s="165" t="s">
        <v>901</v>
      </c>
      <c r="S585" s="81" t="s">
        <v>104</v>
      </c>
      <c r="T585" s="349">
        <v>42004</v>
      </c>
      <c r="U585" s="349">
        <v>42214</v>
      </c>
      <c r="W585" s="81" t="s">
        <v>114</v>
      </c>
      <c r="Y585" s="81" t="s">
        <v>115</v>
      </c>
      <c r="Z585" s="81" t="s">
        <v>398</v>
      </c>
      <c r="AA585" s="81" t="s">
        <v>117</v>
      </c>
      <c r="AB585" s="81" t="s">
        <v>399</v>
      </c>
      <c r="AC585" s="166">
        <v>1.30000002682209E-2</v>
      </c>
      <c r="AD585" s="349">
        <v>42304</v>
      </c>
      <c r="AG585" s="81" t="s">
        <v>238</v>
      </c>
      <c r="AH585" s="81" t="s">
        <v>118</v>
      </c>
      <c r="AK585" s="166">
        <v>2</v>
      </c>
      <c r="AM585" s="166">
        <v>0</v>
      </c>
      <c r="AO585" s="166">
        <v>0</v>
      </c>
      <c r="AP585" s="166">
        <v>0</v>
      </c>
      <c r="AQ585" s="166">
        <v>2</v>
      </c>
      <c r="AR585" s="166">
        <v>0</v>
      </c>
      <c r="AS585" s="166">
        <v>0</v>
      </c>
      <c r="AT585" s="166">
        <v>0</v>
      </c>
      <c r="AU585" s="166">
        <v>0</v>
      </c>
      <c r="AV585" s="166">
        <v>0</v>
      </c>
      <c r="AW585" s="166">
        <v>0</v>
      </c>
      <c r="AX585" s="166">
        <v>2</v>
      </c>
      <c r="AY585" s="166">
        <v>0</v>
      </c>
      <c r="AZ585" s="166">
        <v>0</v>
      </c>
      <c r="BA585" s="166">
        <v>0</v>
      </c>
      <c r="BB585" s="166">
        <v>0</v>
      </c>
      <c r="BC585" s="166">
        <v>0</v>
      </c>
      <c r="BD585" s="166">
        <v>0</v>
      </c>
      <c r="BE585" s="166">
        <v>0</v>
      </c>
      <c r="BF585" s="166">
        <v>0</v>
      </c>
      <c r="BG585" s="166">
        <v>0</v>
      </c>
      <c r="BH585" s="166">
        <v>0</v>
      </c>
      <c r="BI585" s="166">
        <v>0</v>
      </c>
      <c r="BJ585" s="166">
        <v>0</v>
      </c>
      <c r="BK585" s="166">
        <v>0</v>
      </c>
      <c r="BL585" s="166">
        <v>0</v>
      </c>
      <c r="BM585" s="166">
        <v>0</v>
      </c>
      <c r="BN585" s="166">
        <v>0</v>
      </c>
      <c r="BO585" s="166">
        <v>0</v>
      </c>
      <c r="BP585" s="166">
        <v>0</v>
      </c>
      <c r="BQ585" s="81" t="s">
        <v>1757</v>
      </c>
      <c r="BZ585" s="81" t="s">
        <v>155</v>
      </c>
      <c r="CA585" s="81" t="s">
        <v>3980</v>
      </c>
      <c r="CC585" s="167">
        <v>0</v>
      </c>
      <c r="CD585" s="167">
        <f>N585</f>
        <v>2</v>
      </c>
      <c r="CE585" s="167">
        <v>0</v>
      </c>
      <c r="CF585" s="167">
        <v>0</v>
      </c>
      <c r="CG585" s="167">
        <v>0</v>
      </c>
      <c r="CH585" s="167">
        <v>0</v>
      </c>
      <c r="CI585" s="167">
        <v>0</v>
      </c>
      <c r="CJ585" s="167">
        <v>0</v>
      </c>
      <c r="CK585" s="167">
        <v>0</v>
      </c>
      <c r="CL585" s="167">
        <v>0</v>
      </c>
      <c r="CM585" s="167">
        <v>0</v>
      </c>
      <c r="CN585" s="167">
        <v>0</v>
      </c>
      <c r="CO585" s="167">
        <v>0</v>
      </c>
      <c r="CP585" s="167">
        <v>0</v>
      </c>
      <c r="CQ585" s="167">
        <v>0</v>
      </c>
      <c r="CR585" s="167">
        <v>0</v>
      </c>
      <c r="CS585" s="167">
        <v>0</v>
      </c>
      <c r="CT585" s="167">
        <v>0</v>
      </c>
      <c r="CU585" s="167">
        <v>0</v>
      </c>
      <c r="CV585" s="167">
        <v>0</v>
      </c>
      <c r="CW585" s="167">
        <v>0</v>
      </c>
      <c r="CX585" s="167">
        <f>SUM(CD585:CH585)</f>
        <v>2</v>
      </c>
      <c r="CY585" s="167">
        <f>SUM(CD585:CM585)</f>
        <v>2</v>
      </c>
    </row>
    <row r="586" spans="1:103" ht="12.75" customHeight="1" x14ac:dyDescent="0.2">
      <c r="A586" s="81">
        <v>5818</v>
      </c>
      <c r="B586" s="165" t="s">
        <v>1908</v>
      </c>
      <c r="C586" s="165" t="s">
        <v>412</v>
      </c>
      <c r="E586" s="165" t="s">
        <v>3420</v>
      </c>
      <c r="F586" s="165" t="s">
        <v>490</v>
      </c>
      <c r="G586" s="81">
        <v>527340</v>
      </c>
      <c r="H586" s="81">
        <v>176146</v>
      </c>
      <c r="I586" s="165" t="s">
        <v>241</v>
      </c>
      <c r="J586" s="349">
        <v>42304</v>
      </c>
      <c r="L586" s="166">
        <v>0</v>
      </c>
      <c r="M586" s="166">
        <v>13</v>
      </c>
      <c r="N586" s="166">
        <v>13</v>
      </c>
      <c r="O586" s="166">
        <v>19</v>
      </c>
      <c r="P586" s="166">
        <v>19</v>
      </c>
      <c r="Q586" s="81" t="s">
        <v>155</v>
      </c>
      <c r="R586" s="165" t="s">
        <v>901</v>
      </c>
      <c r="S586" s="81" t="s">
        <v>104</v>
      </c>
      <c r="T586" s="349">
        <v>42004</v>
      </c>
      <c r="U586" s="349">
        <v>42214</v>
      </c>
      <c r="W586" s="81" t="s">
        <v>114</v>
      </c>
      <c r="Y586" s="81" t="s">
        <v>115</v>
      </c>
      <c r="Z586" s="81" t="s">
        <v>398</v>
      </c>
      <c r="AA586" s="81" t="s">
        <v>117</v>
      </c>
      <c r="AB586" s="81" t="s">
        <v>399</v>
      </c>
      <c r="AC586" s="166">
        <v>6.1000000685453401E-2</v>
      </c>
      <c r="AD586" s="349">
        <v>42304</v>
      </c>
      <c r="AG586" s="81" t="s">
        <v>238</v>
      </c>
      <c r="AH586" s="81" t="s">
        <v>118</v>
      </c>
      <c r="AK586" s="166">
        <v>13</v>
      </c>
      <c r="AM586" s="166">
        <v>0</v>
      </c>
      <c r="AO586" s="166">
        <v>0</v>
      </c>
      <c r="AP586" s="166">
        <v>3</v>
      </c>
      <c r="AQ586" s="166">
        <v>6</v>
      </c>
      <c r="AR586" s="166">
        <v>4</v>
      </c>
      <c r="AS586" s="166">
        <v>0</v>
      </c>
      <c r="AT586" s="166">
        <v>0</v>
      </c>
      <c r="AU586" s="166">
        <v>0</v>
      </c>
      <c r="AV586" s="166">
        <v>0</v>
      </c>
      <c r="AW586" s="166">
        <v>3</v>
      </c>
      <c r="AX586" s="166">
        <v>6</v>
      </c>
      <c r="AY586" s="166">
        <v>4</v>
      </c>
      <c r="AZ586" s="166">
        <v>0</v>
      </c>
      <c r="BA586" s="166">
        <v>0</v>
      </c>
      <c r="BB586" s="166">
        <v>0</v>
      </c>
      <c r="BC586" s="166">
        <v>0</v>
      </c>
      <c r="BD586" s="166">
        <v>0</v>
      </c>
      <c r="BE586" s="166">
        <v>0</v>
      </c>
      <c r="BF586" s="166">
        <v>0</v>
      </c>
      <c r="BG586" s="166">
        <v>0</v>
      </c>
      <c r="BH586" s="166">
        <v>0</v>
      </c>
      <c r="BI586" s="166">
        <v>0</v>
      </c>
      <c r="BJ586" s="166">
        <v>0</v>
      </c>
      <c r="BK586" s="166">
        <v>0</v>
      </c>
      <c r="BL586" s="166">
        <v>0</v>
      </c>
      <c r="BM586" s="166">
        <v>0</v>
      </c>
      <c r="BN586" s="166">
        <v>0</v>
      </c>
      <c r="BO586" s="166">
        <v>0</v>
      </c>
      <c r="BP586" s="166">
        <v>0</v>
      </c>
      <c r="BQ586" s="81" t="s">
        <v>1757</v>
      </c>
      <c r="BZ586" s="81" t="s">
        <v>155</v>
      </c>
      <c r="CA586" s="81" t="s">
        <v>3980</v>
      </c>
      <c r="CC586" s="167">
        <v>0</v>
      </c>
      <c r="CD586" s="167">
        <f>N586</f>
        <v>13</v>
      </c>
      <c r="CE586" s="167">
        <v>0</v>
      </c>
      <c r="CF586" s="167">
        <v>0</v>
      </c>
      <c r="CG586" s="167">
        <v>0</v>
      </c>
      <c r="CH586" s="167">
        <v>0</v>
      </c>
      <c r="CI586" s="167">
        <v>0</v>
      </c>
      <c r="CJ586" s="167">
        <v>0</v>
      </c>
      <c r="CK586" s="167">
        <v>0</v>
      </c>
      <c r="CL586" s="167">
        <v>0</v>
      </c>
      <c r="CM586" s="167">
        <v>0</v>
      </c>
      <c r="CN586" s="167">
        <v>0</v>
      </c>
      <c r="CO586" s="167">
        <v>0</v>
      </c>
      <c r="CP586" s="167">
        <v>0</v>
      </c>
      <c r="CQ586" s="167">
        <v>0</v>
      </c>
      <c r="CR586" s="167">
        <v>0</v>
      </c>
      <c r="CS586" s="167">
        <v>0</v>
      </c>
      <c r="CT586" s="167">
        <v>0</v>
      </c>
      <c r="CU586" s="167">
        <v>0</v>
      </c>
      <c r="CV586" s="167">
        <v>0</v>
      </c>
      <c r="CW586" s="167">
        <v>0</v>
      </c>
      <c r="CX586" s="167">
        <f>SUM(CD586:CH586)</f>
        <v>13</v>
      </c>
      <c r="CY586" s="167">
        <f>SUM(CD586:CM586)</f>
        <v>13</v>
      </c>
    </row>
    <row r="587" spans="1:103" ht="12.75" customHeight="1" x14ac:dyDescent="0.2">
      <c r="A587" s="81">
        <v>5818</v>
      </c>
      <c r="B587" s="165" t="s">
        <v>1908</v>
      </c>
      <c r="C587" s="165" t="s">
        <v>412</v>
      </c>
      <c r="E587" s="165" t="s">
        <v>3420</v>
      </c>
      <c r="F587" s="165" t="s">
        <v>491</v>
      </c>
      <c r="G587" s="81">
        <v>527340</v>
      </c>
      <c r="H587" s="81">
        <v>176146</v>
      </c>
      <c r="I587" s="165" t="s">
        <v>241</v>
      </c>
      <c r="J587" s="349">
        <v>42304</v>
      </c>
      <c r="L587" s="166">
        <v>0</v>
      </c>
      <c r="M587" s="166">
        <v>4</v>
      </c>
      <c r="N587" s="166">
        <v>4</v>
      </c>
      <c r="O587" s="166">
        <v>19</v>
      </c>
      <c r="P587" s="166">
        <v>19</v>
      </c>
      <c r="Q587" s="81" t="s">
        <v>155</v>
      </c>
      <c r="R587" s="165" t="s">
        <v>901</v>
      </c>
      <c r="S587" s="81" t="s">
        <v>104</v>
      </c>
      <c r="T587" s="349">
        <v>42004</v>
      </c>
      <c r="U587" s="349">
        <v>42214</v>
      </c>
      <c r="W587" s="81" t="s">
        <v>114</v>
      </c>
      <c r="Y587" s="81" t="s">
        <v>115</v>
      </c>
      <c r="Z587" s="81" t="s">
        <v>398</v>
      </c>
      <c r="AA587" s="81" t="s">
        <v>117</v>
      </c>
      <c r="AB587" s="81" t="s">
        <v>218</v>
      </c>
      <c r="AC587" s="166">
        <v>1.60000007599592E-2</v>
      </c>
      <c r="AD587" s="349">
        <v>42304</v>
      </c>
      <c r="AG587" s="81" t="s">
        <v>238</v>
      </c>
      <c r="AH587" s="81" t="s">
        <v>118</v>
      </c>
      <c r="AK587" s="166">
        <v>4</v>
      </c>
      <c r="AM587" s="166">
        <v>0</v>
      </c>
      <c r="AO587" s="166">
        <v>0</v>
      </c>
      <c r="AP587" s="166">
        <v>1</v>
      </c>
      <c r="AQ587" s="166">
        <v>1</v>
      </c>
      <c r="AR587" s="166">
        <v>2</v>
      </c>
      <c r="AS587" s="166">
        <v>0</v>
      </c>
      <c r="AT587" s="166">
        <v>0</v>
      </c>
      <c r="AU587" s="166">
        <v>0</v>
      </c>
      <c r="AV587" s="166">
        <v>0</v>
      </c>
      <c r="AW587" s="166">
        <v>0</v>
      </c>
      <c r="AX587" s="166">
        <v>0</v>
      </c>
      <c r="AY587" s="166">
        <v>0</v>
      </c>
      <c r="AZ587" s="166">
        <v>0</v>
      </c>
      <c r="BA587" s="166">
        <v>0</v>
      </c>
      <c r="BB587" s="166">
        <v>0</v>
      </c>
      <c r="BC587" s="166">
        <v>0</v>
      </c>
      <c r="BD587" s="166">
        <v>1</v>
      </c>
      <c r="BE587" s="166">
        <v>1</v>
      </c>
      <c r="BF587" s="166">
        <v>2</v>
      </c>
      <c r="BG587" s="166">
        <v>0</v>
      </c>
      <c r="BH587" s="166">
        <v>0</v>
      </c>
      <c r="BI587" s="166">
        <v>0</v>
      </c>
      <c r="BJ587" s="166">
        <v>0</v>
      </c>
      <c r="BK587" s="166">
        <v>0</v>
      </c>
      <c r="BL587" s="166">
        <v>0</v>
      </c>
      <c r="BM587" s="166">
        <v>0</v>
      </c>
      <c r="BN587" s="166">
        <v>0</v>
      </c>
      <c r="BO587" s="166">
        <v>0</v>
      </c>
      <c r="BP587" s="166">
        <v>0</v>
      </c>
      <c r="BQ587" s="81" t="s">
        <v>1757</v>
      </c>
      <c r="BZ587" s="81" t="s">
        <v>155</v>
      </c>
      <c r="CA587" s="81" t="s">
        <v>3976</v>
      </c>
      <c r="CC587" s="167">
        <v>0</v>
      </c>
      <c r="CD587" s="167">
        <f>N587</f>
        <v>4</v>
      </c>
      <c r="CE587" s="167">
        <v>0</v>
      </c>
      <c r="CF587" s="167">
        <v>0</v>
      </c>
      <c r="CG587" s="167">
        <v>0</v>
      </c>
      <c r="CH587" s="167">
        <v>0</v>
      </c>
      <c r="CI587" s="167">
        <v>0</v>
      </c>
      <c r="CJ587" s="167">
        <v>0</v>
      </c>
      <c r="CK587" s="167">
        <v>0</v>
      </c>
      <c r="CL587" s="167">
        <v>0</v>
      </c>
      <c r="CM587" s="167">
        <v>0</v>
      </c>
      <c r="CN587" s="167">
        <v>0</v>
      </c>
      <c r="CO587" s="167">
        <v>0</v>
      </c>
      <c r="CP587" s="167">
        <v>0</v>
      </c>
      <c r="CQ587" s="167">
        <v>0</v>
      </c>
      <c r="CR587" s="167">
        <v>0</v>
      </c>
      <c r="CS587" s="167">
        <v>0</v>
      </c>
      <c r="CT587" s="167">
        <v>0</v>
      </c>
      <c r="CU587" s="167">
        <v>0</v>
      </c>
      <c r="CV587" s="167">
        <v>0</v>
      </c>
      <c r="CW587" s="167">
        <v>0</v>
      </c>
      <c r="CX587" s="167">
        <f>SUM(CD587:CH587)</f>
        <v>4</v>
      </c>
      <c r="CY587" s="167">
        <f>SUM(CD587:CM587)</f>
        <v>4</v>
      </c>
    </row>
    <row r="588" spans="1:103" ht="12.75" customHeight="1" x14ac:dyDescent="0.2">
      <c r="A588" s="81">
        <v>5821</v>
      </c>
      <c r="B588" s="165" t="s">
        <v>1908</v>
      </c>
      <c r="C588" s="165" t="s">
        <v>775</v>
      </c>
      <c r="E588" s="165" t="s">
        <v>3554</v>
      </c>
      <c r="G588" s="81">
        <v>528080</v>
      </c>
      <c r="H588" s="81">
        <v>176610</v>
      </c>
      <c r="I588" s="165" t="s">
        <v>241</v>
      </c>
      <c r="J588" s="349">
        <v>42769</v>
      </c>
      <c r="L588" s="166">
        <v>0</v>
      </c>
      <c r="M588" s="166">
        <v>10</v>
      </c>
      <c r="N588" s="166">
        <v>10</v>
      </c>
      <c r="O588" s="166">
        <v>10</v>
      </c>
      <c r="P588" s="166">
        <v>10</v>
      </c>
      <c r="Q588" s="81" t="s">
        <v>155</v>
      </c>
      <c r="R588" s="165" t="s">
        <v>974</v>
      </c>
      <c r="S588" s="81" t="s">
        <v>113</v>
      </c>
      <c r="T588" s="349">
        <v>42373</v>
      </c>
      <c r="U588" s="349">
        <v>42552</v>
      </c>
      <c r="W588" s="81" t="s">
        <v>114</v>
      </c>
      <c r="Y588" s="81" t="s">
        <v>115</v>
      </c>
      <c r="Z588" s="81" t="s">
        <v>116</v>
      </c>
      <c r="AA588" s="81" t="s">
        <v>116</v>
      </c>
      <c r="AB588" s="81" t="s">
        <v>117</v>
      </c>
      <c r="AC588" s="166">
        <v>4.80000004172325E-2</v>
      </c>
      <c r="AD588" s="349">
        <v>42769</v>
      </c>
      <c r="AG588" s="81" t="s">
        <v>238</v>
      </c>
      <c r="AH588" s="81" t="s">
        <v>118</v>
      </c>
      <c r="AK588" s="166">
        <v>10</v>
      </c>
      <c r="AM588" s="166">
        <v>2</v>
      </c>
      <c r="AO588" s="166">
        <v>0</v>
      </c>
      <c r="AP588" s="166">
        <v>2</v>
      </c>
      <c r="AQ588" s="166">
        <v>6</v>
      </c>
      <c r="AR588" s="166">
        <v>2</v>
      </c>
      <c r="AS588" s="166">
        <v>0</v>
      </c>
      <c r="AT588" s="166">
        <v>0</v>
      </c>
      <c r="AU588" s="166">
        <v>0</v>
      </c>
      <c r="AV588" s="166">
        <v>0</v>
      </c>
      <c r="AW588" s="166">
        <v>2</v>
      </c>
      <c r="AX588" s="166">
        <v>6</v>
      </c>
      <c r="AY588" s="166">
        <v>2</v>
      </c>
      <c r="AZ588" s="166">
        <v>0</v>
      </c>
      <c r="BA588" s="166">
        <v>0</v>
      </c>
      <c r="BB588" s="166">
        <v>0</v>
      </c>
      <c r="BC588" s="166">
        <v>0</v>
      </c>
      <c r="BD588" s="166">
        <v>0</v>
      </c>
      <c r="BE588" s="166">
        <v>0</v>
      </c>
      <c r="BF588" s="166">
        <v>0</v>
      </c>
      <c r="BG588" s="166">
        <v>0</v>
      </c>
      <c r="BH588" s="166">
        <v>0</v>
      </c>
      <c r="BI588" s="166">
        <v>0</v>
      </c>
      <c r="BJ588" s="166">
        <v>0</v>
      </c>
      <c r="BK588" s="166">
        <v>0</v>
      </c>
      <c r="BL588" s="166">
        <v>0</v>
      </c>
      <c r="BM588" s="166">
        <v>0</v>
      </c>
      <c r="BN588" s="166">
        <v>0</v>
      </c>
      <c r="BO588" s="166">
        <v>0</v>
      </c>
      <c r="BP588" s="166">
        <v>0</v>
      </c>
      <c r="BQ588" s="81" t="s">
        <v>1757</v>
      </c>
      <c r="BZ588" s="81" t="s">
        <v>155</v>
      </c>
      <c r="CA588" s="81" t="s">
        <v>3976</v>
      </c>
      <c r="CC588" s="167">
        <v>0</v>
      </c>
      <c r="CD588" s="167">
        <f>N588</f>
        <v>10</v>
      </c>
      <c r="CE588" s="167">
        <v>0</v>
      </c>
      <c r="CF588" s="167">
        <v>0</v>
      </c>
      <c r="CG588" s="167">
        <v>0</v>
      </c>
      <c r="CH588" s="167">
        <v>0</v>
      </c>
      <c r="CI588" s="167">
        <v>0</v>
      </c>
      <c r="CJ588" s="167">
        <v>0</v>
      </c>
      <c r="CK588" s="167">
        <v>0</v>
      </c>
      <c r="CL588" s="167">
        <v>0</v>
      </c>
      <c r="CM588" s="167">
        <v>0</v>
      </c>
      <c r="CN588" s="167">
        <v>0</v>
      </c>
      <c r="CO588" s="167">
        <v>0</v>
      </c>
      <c r="CP588" s="167">
        <v>0</v>
      </c>
      <c r="CQ588" s="167">
        <v>0</v>
      </c>
      <c r="CR588" s="167">
        <v>0</v>
      </c>
      <c r="CS588" s="167">
        <v>0</v>
      </c>
      <c r="CT588" s="167">
        <v>0</v>
      </c>
      <c r="CU588" s="167">
        <v>0</v>
      </c>
      <c r="CV588" s="167">
        <v>0</v>
      </c>
      <c r="CW588" s="167">
        <v>0</v>
      </c>
      <c r="CX588" s="167">
        <f>SUM(CD588:CH588)</f>
        <v>10</v>
      </c>
      <c r="CY588" s="167">
        <f>SUM(CD588:CM588)</f>
        <v>10</v>
      </c>
    </row>
    <row r="589" spans="1:103" ht="12.75" customHeight="1" x14ac:dyDescent="0.2">
      <c r="A589" s="81">
        <v>5835</v>
      </c>
      <c r="B589" s="165" t="s">
        <v>1908</v>
      </c>
      <c r="C589" s="165" t="s">
        <v>517</v>
      </c>
      <c r="E589" s="165" t="s">
        <v>3603</v>
      </c>
      <c r="G589" s="81">
        <v>525002</v>
      </c>
      <c r="H589" s="81">
        <v>173362</v>
      </c>
      <c r="I589" s="165" t="s">
        <v>258</v>
      </c>
      <c r="J589" s="349">
        <v>42460</v>
      </c>
      <c r="L589" s="166">
        <v>0</v>
      </c>
      <c r="M589" s="166">
        <v>1</v>
      </c>
      <c r="N589" s="166">
        <v>1</v>
      </c>
      <c r="O589" s="166">
        <v>1</v>
      </c>
      <c r="P589" s="166">
        <v>1</v>
      </c>
      <c r="R589" s="165" t="s">
        <v>518</v>
      </c>
      <c r="S589" s="81" t="s">
        <v>110</v>
      </c>
      <c r="T589" s="349">
        <v>42010</v>
      </c>
      <c r="U589" s="349">
        <v>42066</v>
      </c>
      <c r="W589" s="81" t="s">
        <v>114</v>
      </c>
      <c r="Y589" s="81" t="s">
        <v>115</v>
      </c>
      <c r="Z589" s="81" t="s">
        <v>310</v>
      </c>
      <c r="AA589" s="81" t="s">
        <v>117</v>
      </c>
      <c r="AB589" s="81" t="s">
        <v>102</v>
      </c>
      <c r="AC589" s="166">
        <v>4.0000001899898104E-3</v>
      </c>
      <c r="AD589" s="349">
        <v>42460</v>
      </c>
      <c r="AG589" s="81" t="s">
        <v>238</v>
      </c>
      <c r="AH589" s="81" t="s">
        <v>118</v>
      </c>
      <c r="AK589" s="166">
        <v>0</v>
      </c>
      <c r="AM589" s="166">
        <v>0</v>
      </c>
      <c r="AO589" s="166">
        <v>1</v>
      </c>
      <c r="AP589" s="166">
        <v>0</v>
      </c>
      <c r="AQ589" s="166">
        <v>0</v>
      </c>
      <c r="AR589" s="166">
        <v>0</v>
      </c>
      <c r="AS589" s="166">
        <v>0</v>
      </c>
      <c r="AT589" s="166">
        <v>0</v>
      </c>
      <c r="AU589" s="166">
        <v>0</v>
      </c>
      <c r="AV589" s="166">
        <v>1</v>
      </c>
      <c r="AW589" s="166">
        <v>0</v>
      </c>
      <c r="AX589" s="166">
        <v>0</v>
      </c>
      <c r="AY589" s="166">
        <v>0</v>
      </c>
      <c r="AZ589" s="166">
        <v>0</v>
      </c>
      <c r="BA589" s="166">
        <v>0</v>
      </c>
      <c r="BB589" s="166">
        <v>0</v>
      </c>
      <c r="BC589" s="166">
        <v>0</v>
      </c>
      <c r="BD589" s="166">
        <v>0</v>
      </c>
      <c r="BE589" s="166">
        <v>0</v>
      </c>
      <c r="BF589" s="166">
        <v>0</v>
      </c>
      <c r="BG589" s="166">
        <v>0</v>
      </c>
      <c r="BH589" s="166">
        <v>0</v>
      </c>
      <c r="BI589" s="166">
        <v>0</v>
      </c>
      <c r="BJ589" s="166">
        <v>0</v>
      </c>
      <c r="BK589" s="166">
        <v>0</v>
      </c>
      <c r="BL589" s="166">
        <v>0</v>
      </c>
      <c r="BM589" s="166">
        <v>0</v>
      </c>
      <c r="BN589" s="166">
        <v>0</v>
      </c>
      <c r="BO589" s="166">
        <v>0</v>
      </c>
      <c r="BP589" s="166">
        <v>0</v>
      </c>
      <c r="BQ589" s="81" t="s">
        <v>1758</v>
      </c>
      <c r="BZ589" s="81" t="s">
        <v>155</v>
      </c>
      <c r="CA589" s="81" t="s">
        <v>3980</v>
      </c>
      <c r="CC589" s="167">
        <v>0</v>
      </c>
      <c r="CD589" s="167">
        <f>N589</f>
        <v>1</v>
      </c>
      <c r="CE589" s="167">
        <v>0</v>
      </c>
      <c r="CF589" s="167">
        <v>0</v>
      </c>
      <c r="CG589" s="167">
        <v>0</v>
      </c>
      <c r="CH589" s="167">
        <v>0</v>
      </c>
      <c r="CI589" s="167">
        <v>0</v>
      </c>
      <c r="CJ589" s="167">
        <v>0</v>
      </c>
      <c r="CK589" s="167">
        <v>0</v>
      </c>
      <c r="CL589" s="167">
        <v>0</v>
      </c>
      <c r="CM589" s="167">
        <v>0</v>
      </c>
      <c r="CN589" s="167">
        <v>0</v>
      </c>
      <c r="CO589" s="167">
        <v>0</v>
      </c>
      <c r="CP589" s="167">
        <v>0</v>
      </c>
      <c r="CQ589" s="167">
        <v>0</v>
      </c>
      <c r="CR589" s="167">
        <v>0</v>
      </c>
      <c r="CS589" s="167">
        <v>0</v>
      </c>
      <c r="CT589" s="167">
        <v>0</v>
      </c>
      <c r="CU589" s="167">
        <v>0</v>
      </c>
      <c r="CV589" s="167">
        <v>0</v>
      </c>
      <c r="CW589" s="167">
        <v>0</v>
      </c>
      <c r="CX589" s="167">
        <f>SUM(CD589:CH589)</f>
        <v>1</v>
      </c>
      <c r="CY589" s="167">
        <f>SUM(CD589:CM589)</f>
        <v>1</v>
      </c>
    </row>
    <row r="590" spans="1:103" x14ac:dyDescent="0.2">
      <c r="A590" s="81">
        <v>5849</v>
      </c>
      <c r="B590" s="165" t="s">
        <v>1908</v>
      </c>
      <c r="C590" s="165" t="s">
        <v>431</v>
      </c>
      <c r="E590" s="165" t="s">
        <v>3604</v>
      </c>
      <c r="G590" s="81">
        <v>527082</v>
      </c>
      <c r="H590" s="81">
        <v>170938</v>
      </c>
      <c r="I590" s="165" t="s">
        <v>242</v>
      </c>
      <c r="J590" s="349">
        <v>43020</v>
      </c>
      <c r="L590" s="166">
        <v>0</v>
      </c>
      <c r="M590" s="166">
        <v>3</v>
      </c>
      <c r="N590" s="166">
        <v>3</v>
      </c>
      <c r="O590" s="166">
        <v>4</v>
      </c>
      <c r="P590" s="166">
        <v>4</v>
      </c>
      <c r="R590" s="165" t="s">
        <v>1128</v>
      </c>
      <c r="S590" s="81" t="s">
        <v>113</v>
      </c>
      <c r="T590" s="349">
        <v>42075</v>
      </c>
      <c r="U590" s="349">
        <v>42256</v>
      </c>
      <c r="W590" s="81" t="s">
        <v>114</v>
      </c>
      <c r="Y590" s="81" t="s">
        <v>115</v>
      </c>
      <c r="Z590" s="81" t="s">
        <v>398</v>
      </c>
      <c r="AA590" s="81" t="s">
        <v>117</v>
      </c>
      <c r="AB590" s="81" t="s">
        <v>220</v>
      </c>
      <c r="AC590" s="166">
        <v>1.2000000104308101E-2</v>
      </c>
      <c r="AD590" s="349">
        <v>43020</v>
      </c>
      <c r="AE590" s="81" t="s">
        <v>155</v>
      </c>
      <c r="AG590" s="81" t="s">
        <v>238</v>
      </c>
      <c r="AH590" s="81" t="s">
        <v>118</v>
      </c>
      <c r="AK590" s="166">
        <v>0</v>
      </c>
      <c r="AM590" s="166">
        <v>0</v>
      </c>
      <c r="AO590" s="166">
        <v>0</v>
      </c>
      <c r="AP590" s="166">
        <v>1</v>
      </c>
      <c r="AQ590" s="166">
        <v>1</v>
      </c>
      <c r="AR590" s="166">
        <v>1</v>
      </c>
      <c r="AS590" s="166">
        <v>0</v>
      </c>
      <c r="AT590" s="166">
        <v>0</v>
      </c>
      <c r="AU590" s="166">
        <v>0</v>
      </c>
      <c r="AV590" s="166">
        <v>0</v>
      </c>
      <c r="AW590" s="166">
        <v>1</v>
      </c>
      <c r="AX590" s="166">
        <v>1</v>
      </c>
      <c r="AY590" s="166">
        <v>1</v>
      </c>
      <c r="AZ590" s="166">
        <v>0</v>
      </c>
      <c r="BA590" s="166">
        <v>0</v>
      </c>
      <c r="BB590" s="166">
        <v>0</v>
      </c>
      <c r="BC590" s="166">
        <v>0</v>
      </c>
      <c r="BD590" s="166">
        <v>0</v>
      </c>
      <c r="BE590" s="166">
        <v>0</v>
      </c>
      <c r="BF590" s="166">
        <v>0</v>
      </c>
      <c r="BG590" s="166">
        <v>0</v>
      </c>
      <c r="BH590" s="166">
        <v>0</v>
      </c>
      <c r="BI590" s="166">
        <v>0</v>
      </c>
      <c r="BJ590" s="166">
        <v>0</v>
      </c>
      <c r="BK590" s="166">
        <v>0</v>
      </c>
      <c r="BL590" s="166">
        <v>0</v>
      </c>
      <c r="BM590" s="166">
        <v>0</v>
      </c>
      <c r="BN590" s="166">
        <v>0</v>
      </c>
      <c r="BO590" s="166">
        <v>0</v>
      </c>
      <c r="BP590" s="166">
        <v>0</v>
      </c>
      <c r="BQ590" s="81" t="s">
        <v>1757</v>
      </c>
      <c r="BZ590" s="81" t="s">
        <v>155</v>
      </c>
      <c r="CA590" s="81" t="s">
        <v>3981</v>
      </c>
      <c r="CC590" s="167">
        <v>0</v>
      </c>
      <c r="CD590" s="167">
        <f>$N590/2</f>
        <v>1.5</v>
      </c>
      <c r="CE590" s="167">
        <f>$N590/2</f>
        <v>1.5</v>
      </c>
      <c r="CF590" s="167">
        <v>0</v>
      </c>
      <c r="CG590" s="167">
        <v>0</v>
      </c>
      <c r="CH590" s="167">
        <v>0</v>
      </c>
      <c r="CI590" s="167">
        <v>0</v>
      </c>
      <c r="CJ590" s="167">
        <v>0</v>
      </c>
      <c r="CK590" s="167">
        <v>0</v>
      </c>
      <c r="CL590" s="167">
        <v>0</v>
      </c>
      <c r="CM590" s="167">
        <v>0</v>
      </c>
      <c r="CN590" s="167">
        <v>0</v>
      </c>
      <c r="CO590" s="167">
        <v>0</v>
      </c>
      <c r="CP590" s="167">
        <v>0</v>
      </c>
      <c r="CQ590" s="167">
        <v>0</v>
      </c>
      <c r="CR590" s="167">
        <v>0</v>
      </c>
      <c r="CS590" s="167">
        <v>0</v>
      </c>
      <c r="CT590" s="167">
        <v>0</v>
      </c>
      <c r="CU590" s="167">
        <v>0</v>
      </c>
      <c r="CV590" s="167">
        <v>0</v>
      </c>
      <c r="CW590" s="167">
        <v>0</v>
      </c>
      <c r="CX590" s="167">
        <f>SUM(CD590:CH590)</f>
        <v>3</v>
      </c>
      <c r="CY590" s="167">
        <f>SUM(CD590:CM590)</f>
        <v>3</v>
      </c>
    </row>
    <row r="591" spans="1:103" ht="12.75" customHeight="1" x14ac:dyDescent="0.2">
      <c r="A591" s="81">
        <v>5849</v>
      </c>
      <c r="B591" s="165" t="s">
        <v>1908</v>
      </c>
      <c r="C591" s="165" t="s">
        <v>431</v>
      </c>
      <c r="E591" s="165" t="s">
        <v>3604</v>
      </c>
      <c r="G591" s="81">
        <v>527082</v>
      </c>
      <c r="H591" s="81">
        <v>170938</v>
      </c>
      <c r="I591" s="165" t="s">
        <v>242</v>
      </c>
      <c r="J591" s="349">
        <v>43020</v>
      </c>
      <c r="L591" s="166">
        <v>0</v>
      </c>
      <c r="M591" s="166">
        <v>1</v>
      </c>
      <c r="N591" s="166">
        <v>1</v>
      </c>
      <c r="O591" s="166">
        <v>4</v>
      </c>
      <c r="P591" s="166">
        <v>4</v>
      </c>
      <c r="R591" s="165" t="s">
        <v>1128</v>
      </c>
      <c r="S591" s="81" t="s">
        <v>113</v>
      </c>
      <c r="T591" s="349">
        <v>42075</v>
      </c>
      <c r="U591" s="349">
        <v>42256</v>
      </c>
      <c r="W591" s="81" t="s">
        <v>114</v>
      </c>
      <c r="Y591" s="81" t="s">
        <v>115</v>
      </c>
      <c r="Z591" s="81" t="s">
        <v>398</v>
      </c>
      <c r="AA591" s="81" t="s">
        <v>117</v>
      </c>
      <c r="AB591" s="81" t="s">
        <v>218</v>
      </c>
      <c r="AC591" s="166">
        <v>4.0000001899898104E-3</v>
      </c>
      <c r="AG591" s="81" t="s">
        <v>238</v>
      </c>
      <c r="AH591" s="81" t="s">
        <v>118</v>
      </c>
      <c r="AK591" s="166">
        <v>1</v>
      </c>
      <c r="AM591" s="166">
        <v>0</v>
      </c>
      <c r="AO591" s="166">
        <v>0</v>
      </c>
      <c r="AP591" s="166">
        <v>0</v>
      </c>
      <c r="AQ591" s="166">
        <v>1</v>
      </c>
      <c r="AR591" s="166">
        <v>0</v>
      </c>
      <c r="AS591" s="166">
        <v>0</v>
      </c>
      <c r="AT591" s="166">
        <v>0</v>
      </c>
      <c r="AU591" s="166">
        <v>0</v>
      </c>
      <c r="AV591" s="166">
        <v>0</v>
      </c>
      <c r="AW591" s="166">
        <v>0</v>
      </c>
      <c r="AX591" s="166">
        <v>0</v>
      </c>
      <c r="AY591" s="166">
        <v>0</v>
      </c>
      <c r="AZ591" s="166">
        <v>0</v>
      </c>
      <c r="BA591" s="166">
        <v>0</v>
      </c>
      <c r="BB591" s="166">
        <v>0</v>
      </c>
      <c r="BC591" s="166">
        <v>0</v>
      </c>
      <c r="BD591" s="166">
        <v>0</v>
      </c>
      <c r="BE591" s="166">
        <v>1</v>
      </c>
      <c r="BF591" s="166">
        <v>0</v>
      </c>
      <c r="BG591" s="166">
        <v>0</v>
      </c>
      <c r="BH591" s="166">
        <v>0</v>
      </c>
      <c r="BI591" s="166">
        <v>0</v>
      </c>
      <c r="BJ591" s="166">
        <v>0</v>
      </c>
      <c r="BK591" s="166">
        <v>0</v>
      </c>
      <c r="BL591" s="166">
        <v>0</v>
      </c>
      <c r="BM591" s="166">
        <v>0</v>
      </c>
      <c r="BN591" s="166">
        <v>0</v>
      </c>
      <c r="BO591" s="166">
        <v>0</v>
      </c>
      <c r="BP591" s="166">
        <v>0</v>
      </c>
      <c r="BQ591" s="81" t="s">
        <v>1757</v>
      </c>
      <c r="BZ591" s="81" t="s">
        <v>155</v>
      </c>
      <c r="CA591" s="81" t="s">
        <v>3980</v>
      </c>
      <c r="CC591" s="167">
        <v>0</v>
      </c>
      <c r="CD591" s="167">
        <f>N591</f>
        <v>1</v>
      </c>
      <c r="CE591" s="167">
        <v>0</v>
      </c>
      <c r="CF591" s="167">
        <v>0</v>
      </c>
      <c r="CG591" s="167">
        <v>0</v>
      </c>
      <c r="CH591" s="167">
        <v>0</v>
      </c>
      <c r="CI591" s="167">
        <v>0</v>
      </c>
      <c r="CJ591" s="167">
        <v>0</v>
      </c>
      <c r="CK591" s="167">
        <v>0</v>
      </c>
      <c r="CL591" s="167">
        <v>0</v>
      </c>
      <c r="CM591" s="167">
        <v>0</v>
      </c>
      <c r="CN591" s="167">
        <v>0</v>
      </c>
      <c r="CO591" s="167">
        <v>0</v>
      </c>
      <c r="CP591" s="167">
        <v>0</v>
      </c>
      <c r="CQ591" s="167">
        <v>0</v>
      </c>
      <c r="CR591" s="167">
        <v>0</v>
      </c>
      <c r="CS591" s="167">
        <v>0</v>
      </c>
      <c r="CT591" s="167">
        <v>0</v>
      </c>
      <c r="CU591" s="167">
        <v>0</v>
      </c>
      <c r="CV591" s="167">
        <v>0</v>
      </c>
      <c r="CW591" s="167">
        <v>0</v>
      </c>
      <c r="CX591" s="167">
        <f>SUM(CD591:CH591)</f>
        <v>1</v>
      </c>
      <c r="CY591" s="167">
        <f>SUM(CD591:CM591)</f>
        <v>1</v>
      </c>
    </row>
    <row r="592" spans="1:103" ht="12.75" customHeight="1" x14ac:dyDescent="0.2">
      <c r="A592" s="81">
        <v>5858</v>
      </c>
      <c r="B592" s="165" t="s">
        <v>1908</v>
      </c>
      <c r="C592" s="165" t="s">
        <v>372</v>
      </c>
      <c r="E592" s="165" t="s">
        <v>3555</v>
      </c>
      <c r="G592" s="81">
        <v>528141</v>
      </c>
      <c r="H592" s="81">
        <v>175625</v>
      </c>
      <c r="I592" s="165" t="s">
        <v>256</v>
      </c>
      <c r="J592" s="349">
        <v>42578</v>
      </c>
      <c r="L592" s="166">
        <v>0</v>
      </c>
      <c r="M592" s="166">
        <v>9</v>
      </c>
      <c r="N592" s="166">
        <v>9</v>
      </c>
      <c r="O592" s="166">
        <v>9</v>
      </c>
      <c r="P592" s="166">
        <v>9</v>
      </c>
      <c r="R592" s="165" t="s">
        <v>373</v>
      </c>
      <c r="S592" s="81" t="s">
        <v>113</v>
      </c>
      <c r="T592" s="349">
        <v>42023</v>
      </c>
      <c r="U592" s="349">
        <v>42116</v>
      </c>
      <c r="W592" s="81" t="s">
        <v>114</v>
      </c>
      <c r="Y592" s="81" t="s">
        <v>115</v>
      </c>
      <c r="Z592" s="81" t="s">
        <v>116</v>
      </c>
      <c r="AA592" s="81" t="s">
        <v>117</v>
      </c>
      <c r="AB592" s="81" t="s">
        <v>218</v>
      </c>
      <c r="AC592" s="166">
        <v>9.3999996781349196E-2</v>
      </c>
      <c r="AD592" s="349">
        <v>42578</v>
      </c>
      <c r="AG592" s="81" t="s">
        <v>238</v>
      </c>
      <c r="AH592" s="81" t="s">
        <v>118</v>
      </c>
      <c r="AK592" s="166">
        <v>9</v>
      </c>
      <c r="AM592" s="166">
        <v>0</v>
      </c>
      <c r="AO592" s="166">
        <v>0</v>
      </c>
      <c r="AP592" s="166">
        <v>0</v>
      </c>
      <c r="AQ592" s="166">
        <v>0</v>
      </c>
      <c r="AR592" s="166">
        <v>0</v>
      </c>
      <c r="AS592" s="166">
        <v>9</v>
      </c>
      <c r="AT592" s="166">
        <v>0</v>
      </c>
      <c r="AU592" s="166">
        <v>0</v>
      </c>
      <c r="AV592" s="166">
        <v>0</v>
      </c>
      <c r="AW592" s="166">
        <v>0</v>
      </c>
      <c r="AX592" s="166">
        <v>0</v>
      </c>
      <c r="AY592" s="166">
        <v>0</v>
      </c>
      <c r="AZ592" s="166">
        <v>0</v>
      </c>
      <c r="BA592" s="166">
        <v>0</v>
      </c>
      <c r="BB592" s="166">
        <v>0</v>
      </c>
      <c r="BC592" s="166">
        <v>0</v>
      </c>
      <c r="BD592" s="166">
        <v>0</v>
      </c>
      <c r="BE592" s="166">
        <v>0</v>
      </c>
      <c r="BF592" s="166">
        <v>0</v>
      </c>
      <c r="BG592" s="166">
        <v>9</v>
      </c>
      <c r="BH592" s="166">
        <v>0</v>
      </c>
      <c r="BI592" s="166">
        <v>0</v>
      </c>
      <c r="BJ592" s="166">
        <v>0</v>
      </c>
      <c r="BK592" s="166">
        <v>0</v>
      </c>
      <c r="BL592" s="166">
        <v>0</v>
      </c>
      <c r="BM592" s="166">
        <v>0</v>
      </c>
      <c r="BN592" s="166">
        <v>0</v>
      </c>
      <c r="BO592" s="166">
        <v>0</v>
      </c>
      <c r="BP592" s="166">
        <v>0</v>
      </c>
      <c r="BQ592" s="81" t="s">
        <v>1757</v>
      </c>
      <c r="BZ592" s="81" t="s">
        <v>155</v>
      </c>
      <c r="CA592" s="81" t="s">
        <v>3976</v>
      </c>
      <c r="CC592" s="167">
        <v>0</v>
      </c>
      <c r="CD592" s="167">
        <f>N592</f>
        <v>9</v>
      </c>
      <c r="CE592" s="167">
        <v>0</v>
      </c>
      <c r="CF592" s="167">
        <v>0</v>
      </c>
      <c r="CG592" s="167">
        <v>0</v>
      </c>
      <c r="CH592" s="167">
        <v>0</v>
      </c>
      <c r="CI592" s="167">
        <v>0</v>
      </c>
      <c r="CJ592" s="167">
        <v>0</v>
      </c>
      <c r="CK592" s="167">
        <v>0</v>
      </c>
      <c r="CL592" s="167">
        <v>0</v>
      </c>
      <c r="CM592" s="167">
        <v>0</v>
      </c>
      <c r="CN592" s="167">
        <v>0</v>
      </c>
      <c r="CO592" s="167">
        <v>0</v>
      </c>
      <c r="CP592" s="167">
        <v>0</v>
      </c>
      <c r="CQ592" s="167">
        <v>0</v>
      </c>
      <c r="CR592" s="167">
        <v>0</v>
      </c>
      <c r="CS592" s="167">
        <v>0</v>
      </c>
      <c r="CT592" s="167">
        <v>0</v>
      </c>
      <c r="CU592" s="167">
        <v>0</v>
      </c>
      <c r="CV592" s="167">
        <v>0</v>
      </c>
      <c r="CW592" s="167">
        <v>0</v>
      </c>
      <c r="CX592" s="167">
        <f>SUM(CD592:CH592)</f>
        <v>9</v>
      </c>
      <c r="CY592" s="167">
        <f>SUM(CD592:CM592)</f>
        <v>9</v>
      </c>
    </row>
    <row r="593" spans="1:103" x14ac:dyDescent="0.2">
      <c r="A593" s="81">
        <v>5862</v>
      </c>
      <c r="B593" s="165" t="s">
        <v>1908</v>
      </c>
      <c r="C593" s="165" t="s">
        <v>384</v>
      </c>
      <c r="E593" s="165" t="s">
        <v>2128</v>
      </c>
      <c r="G593" s="81">
        <v>524068</v>
      </c>
      <c r="H593" s="81">
        <v>175336</v>
      </c>
      <c r="I593" s="165" t="s">
        <v>259</v>
      </c>
      <c r="J593" s="349">
        <v>43190</v>
      </c>
      <c r="L593" s="166">
        <v>1</v>
      </c>
      <c r="M593" s="166">
        <v>4</v>
      </c>
      <c r="N593" s="166">
        <v>3</v>
      </c>
      <c r="O593" s="166">
        <v>4</v>
      </c>
      <c r="P593" s="166">
        <v>3</v>
      </c>
      <c r="R593" s="165" t="s">
        <v>1124</v>
      </c>
      <c r="S593" s="81" t="s">
        <v>113</v>
      </c>
      <c r="T593" s="349">
        <v>42026</v>
      </c>
      <c r="U593" s="349">
        <v>42125</v>
      </c>
      <c r="W593" s="81" t="s">
        <v>114</v>
      </c>
      <c r="Y593" s="81" t="s">
        <v>115</v>
      </c>
      <c r="Z593" s="81" t="s">
        <v>398</v>
      </c>
      <c r="AA593" s="81" t="s">
        <v>117</v>
      </c>
      <c r="AB593" s="81" t="s">
        <v>218</v>
      </c>
      <c r="AC593" s="166">
        <v>1.7999999225139601E-2</v>
      </c>
      <c r="AD593" s="349">
        <v>43190</v>
      </c>
      <c r="AE593" s="81" t="s">
        <v>155</v>
      </c>
      <c r="AG593" s="81" t="s">
        <v>238</v>
      </c>
      <c r="AH593" s="81" t="s">
        <v>118</v>
      </c>
      <c r="AK593" s="166">
        <v>4</v>
      </c>
      <c r="AM593" s="166">
        <v>0</v>
      </c>
      <c r="AO593" s="166">
        <v>0</v>
      </c>
      <c r="AP593" s="166">
        <v>3</v>
      </c>
      <c r="AQ593" s="166">
        <v>0</v>
      </c>
      <c r="AR593" s="166">
        <v>-1</v>
      </c>
      <c r="AS593" s="166">
        <v>1</v>
      </c>
      <c r="AT593" s="166">
        <v>0</v>
      </c>
      <c r="AU593" s="166">
        <v>0</v>
      </c>
      <c r="AV593" s="166">
        <v>0</v>
      </c>
      <c r="AW593" s="166">
        <v>3</v>
      </c>
      <c r="AX593" s="166">
        <v>0</v>
      </c>
      <c r="AY593" s="166">
        <v>-1</v>
      </c>
      <c r="AZ593" s="166">
        <v>0</v>
      </c>
      <c r="BA593" s="166">
        <v>0</v>
      </c>
      <c r="BB593" s="166">
        <v>0</v>
      </c>
      <c r="BC593" s="166">
        <v>0</v>
      </c>
      <c r="BD593" s="166">
        <v>0</v>
      </c>
      <c r="BE593" s="166">
        <v>0</v>
      </c>
      <c r="BF593" s="166">
        <v>0</v>
      </c>
      <c r="BG593" s="166">
        <v>1</v>
      </c>
      <c r="BH593" s="166">
        <v>0</v>
      </c>
      <c r="BI593" s="166">
        <v>0</v>
      </c>
      <c r="BJ593" s="166">
        <v>0</v>
      </c>
      <c r="BK593" s="166">
        <v>0</v>
      </c>
      <c r="BL593" s="166">
        <v>0</v>
      </c>
      <c r="BM593" s="166">
        <v>0</v>
      </c>
      <c r="BN593" s="166">
        <v>0</v>
      </c>
      <c r="BO593" s="166">
        <v>0</v>
      </c>
      <c r="BP593" s="166">
        <v>0</v>
      </c>
      <c r="BQ593" s="81" t="s">
        <v>1758</v>
      </c>
      <c r="BR593" s="81" t="s">
        <v>161</v>
      </c>
      <c r="BZ593" s="81" t="s">
        <v>155</v>
      </c>
      <c r="CA593" s="81" t="s">
        <v>3981</v>
      </c>
      <c r="CC593" s="167">
        <v>0</v>
      </c>
      <c r="CD593" s="167">
        <f>$N593/2</f>
        <v>1.5</v>
      </c>
      <c r="CE593" s="167">
        <f>$N593/2</f>
        <v>1.5</v>
      </c>
      <c r="CF593" s="167">
        <v>0</v>
      </c>
      <c r="CG593" s="167">
        <v>0</v>
      </c>
      <c r="CH593" s="167">
        <v>0</v>
      </c>
      <c r="CI593" s="167">
        <v>0</v>
      </c>
      <c r="CJ593" s="167">
        <v>0</v>
      </c>
      <c r="CK593" s="167">
        <v>0</v>
      </c>
      <c r="CL593" s="167">
        <v>0</v>
      </c>
      <c r="CM593" s="167">
        <v>0</v>
      </c>
      <c r="CN593" s="167">
        <v>0</v>
      </c>
      <c r="CO593" s="167">
        <v>0</v>
      </c>
      <c r="CP593" s="167">
        <v>0</v>
      </c>
      <c r="CQ593" s="167">
        <v>0</v>
      </c>
      <c r="CR593" s="167">
        <v>0</v>
      </c>
      <c r="CS593" s="167">
        <v>0</v>
      </c>
      <c r="CT593" s="167">
        <v>0</v>
      </c>
      <c r="CU593" s="167">
        <v>0</v>
      </c>
      <c r="CV593" s="167">
        <v>0</v>
      </c>
      <c r="CW593" s="167">
        <v>0</v>
      </c>
      <c r="CX593" s="167">
        <f>SUM(CD593:CH593)</f>
        <v>3</v>
      </c>
      <c r="CY593" s="167">
        <f>SUM(CD593:CM593)</f>
        <v>3</v>
      </c>
    </row>
    <row r="594" spans="1:103" ht="12.75" customHeight="1" x14ac:dyDescent="0.2">
      <c r="A594" s="81">
        <v>5877</v>
      </c>
      <c r="B594" s="165" t="s">
        <v>1908</v>
      </c>
      <c r="C594" s="165" t="s">
        <v>1203</v>
      </c>
      <c r="D594" s="165" t="s">
        <v>281</v>
      </c>
      <c r="E594" s="165" t="s">
        <v>3556</v>
      </c>
      <c r="G594" s="81">
        <v>529014</v>
      </c>
      <c r="H594" s="81">
        <v>172572</v>
      </c>
      <c r="I594" s="165" t="s">
        <v>248</v>
      </c>
      <c r="J594" s="349">
        <v>43190</v>
      </c>
      <c r="L594" s="166">
        <v>0</v>
      </c>
      <c r="M594" s="166">
        <v>1</v>
      </c>
      <c r="N594" s="166">
        <v>1</v>
      </c>
      <c r="O594" s="166">
        <v>1</v>
      </c>
      <c r="P594" s="166">
        <v>1</v>
      </c>
      <c r="R594" s="165" t="s">
        <v>639</v>
      </c>
      <c r="S594" s="81" t="s">
        <v>113</v>
      </c>
      <c r="T594" s="349">
        <v>42486</v>
      </c>
      <c r="U594" s="349">
        <v>42542</v>
      </c>
      <c r="W594" s="81" t="s">
        <v>114</v>
      </c>
      <c r="Y594" s="81" t="s">
        <v>115</v>
      </c>
      <c r="Z594" s="81" t="s">
        <v>116</v>
      </c>
      <c r="AA594" s="81" t="s">
        <v>117</v>
      </c>
      <c r="AB594" s="81" t="s">
        <v>218</v>
      </c>
      <c r="AC594" s="166">
        <v>2.19999998807907E-2</v>
      </c>
      <c r="AD594" s="349">
        <v>43190</v>
      </c>
      <c r="AE594" s="81" t="s">
        <v>155</v>
      </c>
      <c r="AG594" s="81" t="s">
        <v>238</v>
      </c>
      <c r="AH594" s="81" t="s">
        <v>118</v>
      </c>
      <c r="AK594" s="166">
        <v>1</v>
      </c>
      <c r="AM594" s="166">
        <v>0</v>
      </c>
      <c r="AO594" s="166">
        <v>0</v>
      </c>
      <c r="AP594" s="166">
        <v>0</v>
      </c>
      <c r="AQ594" s="166">
        <v>0</v>
      </c>
      <c r="AR594" s="166">
        <v>1</v>
      </c>
      <c r="AS594" s="166">
        <v>0</v>
      </c>
      <c r="AT594" s="166">
        <v>0</v>
      </c>
      <c r="AU594" s="166">
        <v>0</v>
      </c>
      <c r="AV594" s="166">
        <v>0</v>
      </c>
      <c r="AW594" s="166">
        <v>0</v>
      </c>
      <c r="AX594" s="166">
        <v>0</v>
      </c>
      <c r="AY594" s="166">
        <v>0</v>
      </c>
      <c r="AZ594" s="166">
        <v>0</v>
      </c>
      <c r="BA594" s="166">
        <v>0</v>
      </c>
      <c r="BB594" s="166">
        <v>0</v>
      </c>
      <c r="BC594" s="166">
        <v>0</v>
      </c>
      <c r="BD594" s="166">
        <v>0</v>
      </c>
      <c r="BE594" s="166">
        <v>0</v>
      </c>
      <c r="BF594" s="166">
        <v>1</v>
      </c>
      <c r="BG594" s="166">
        <v>0</v>
      </c>
      <c r="BH594" s="166">
        <v>0</v>
      </c>
      <c r="BI594" s="166">
        <v>0</v>
      </c>
      <c r="BJ594" s="166">
        <v>0</v>
      </c>
      <c r="BK594" s="166">
        <v>0</v>
      </c>
      <c r="BL594" s="166">
        <v>0</v>
      </c>
      <c r="BM594" s="166">
        <v>0</v>
      </c>
      <c r="BN594" s="166">
        <v>0</v>
      </c>
      <c r="BO594" s="166">
        <v>0</v>
      </c>
      <c r="BP594" s="166">
        <v>0</v>
      </c>
      <c r="BQ594" s="81" t="s">
        <v>1757</v>
      </c>
      <c r="BZ594" s="81" t="s">
        <v>155</v>
      </c>
      <c r="CA594" s="81" t="s">
        <v>3977</v>
      </c>
      <c r="CC594" s="167">
        <v>0</v>
      </c>
      <c r="CD594" s="167">
        <f>$N594/2</f>
        <v>0.5</v>
      </c>
      <c r="CE594" s="167">
        <f>$N594/2</f>
        <v>0.5</v>
      </c>
      <c r="CF594" s="167">
        <v>0</v>
      </c>
      <c r="CG594" s="167">
        <v>0</v>
      </c>
      <c r="CH594" s="167">
        <v>0</v>
      </c>
      <c r="CI594" s="167">
        <v>0</v>
      </c>
      <c r="CJ594" s="167">
        <v>0</v>
      </c>
      <c r="CK594" s="167">
        <v>0</v>
      </c>
      <c r="CL594" s="167">
        <v>0</v>
      </c>
      <c r="CM594" s="167">
        <v>0</v>
      </c>
      <c r="CN594" s="167">
        <v>0</v>
      </c>
      <c r="CO594" s="167">
        <v>0</v>
      </c>
      <c r="CP594" s="167">
        <v>0</v>
      </c>
      <c r="CQ594" s="167">
        <v>0</v>
      </c>
      <c r="CR594" s="167">
        <v>0</v>
      </c>
      <c r="CS594" s="167">
        <v>0</v>
      </c>
      <c r="CT594" s="167">
        <v>0</v>
      </c>
      <c r="CU594" s="167">
        <v>0</v>
      </c>
      <c r="CV594" s="167">
        <v>0</v>
      </c>
      <c r="CW594" s="167">
        <v>0</v>
      </c>
      <c r="CX594" s="167">
        <f>SUM(CD594:CH594)</f>
        <v>1</v>
      </c>
      <c r="CY594" s="167">
        <f>SUM(CD594:CM594)</f>
        <v>1</v>
      </c>
    </row>
    <row r="595" spans="1:103" ht="12.75" customHeight="1" x14ac:dyDescent="0.2">
      <c r="A595" s="81">
        <v>5881</v>
      </c>
      <c r="B595" s="165" t="s">
        <v>1908</v>
      </c>
      <c r="C595" s="165" t="s">
        <v>564</v>
      </c>
      <c r="E595" s="165" t="s">
        <v>3607</v>
      </c>
      <c r="G595" s="81">
        <v>527326</v>
      </c>
      <c r="H595" s="81">
        <v>176301</v>
      </c>
      <c r="I595" s="165" t="s">
        <v>241</v>
      </c>
      <c r="J595" s="349">
        <v>42825</v>
      </c>
      <c r="L595" s="166">
        <v>0</v>
      </c>
      <c r="M595" s="166">
        <v>1</v>
      </c>
      <c r="N595" s="166">
        <v>1</v>
      </c>
      <c r="O595" s="166">
        <v>1</v>
      </c>
      <c r="P595" s="166">
        <v>1</v>
      </c>
      <c r="R595" s="165" t="s">
        <v>565</v>
      </c>
      <c r="S595" s="81" t="s">
        <v>113</v>
      </c>
      <c r="T595" s="349">
        <v>42114</v>
      </c>
      <c r="U595" s="349">
        <v>42170</v>
      </c>
      <c r="W595" s="81" t="s">
        <v>114</v>
      </c>
      <c r="Y595" s="81" t="s">
        <v>115</v>
      </c>
      <c r="Z595" s="81" t="s">
        <v>219</v>
      </c>
      <c r="AA595" s="81" t="s">
        <v>117</v>
      </c>
      <c r="AB595" s="81" t="s">
        <v>3889</v>
      </c>
      <c r="AC595" s="166">
        <v>2.0000000949949E-3</v>
      </c>
      <c r="AD595" s="349">
        <v>42825</v>
      </c>
      <c r="AG595" s="81" t="s">
        <v>238</v>
      </c>
      <c r="AH595" s="81" t="s">
        <v>118</v>
      </c>
      <c r="AK595" s="166">
        <v>0</v>
      </c>
      <c r="AM595" s="166">
        <v>0</v>
      </c>
      <c r="AO595" s="166">
        <v>0</v>
      </c>
      <c r="AP595" s="166">
        <v>1</v>
      </c>
      <c r="AQ595" s="166">
        <v>0</v>
      </c>
      <c r="AR595" s="166">
        <v>0</v>
      </c>
      <c r="AS595" s="166">
        <v>0</v>
      </c>
      <c r="AT595" s="166">
        <v>0</v>
      </c>
      <c r="AU595" s="166">
        <v>0</v>
      </c>
      <c r="AV595" s="166">
        <v>0</v>
      </c>
      <c r="AW595" s="166">
        <v>1</v>
      </c>
      <c r="AX595" s="166">
        <v>0</v>
      </c>
      <c r="AY595" s="166">
        <v>0</v>
      </c>
      <c r="AZ595" s="166">
        <v>0</v>
      </c>
      <c r="BA595" s="166">
        <v>0</v>
      </c>
      <c r="BB595" s="166">
        <v>0</v>
      </c>
      <c r="BC595" s="166">
        <v>0</v>
      </c>
      <c r="BD595" s="166">
        <v>0</v>
      </c>
      <c r="BE595" s="166">
        <v>0</v>
      </c>
      <c r="BF595" s="166">
        <v>0</v>
      </c>
      <c r="BG595" s="166">
        <v>0</v>
      </c>
      <c r="BH595" s="166">
        <v>0</v>
      </c>
      <c r="BI595" s="166">
        <v>0</v>
      </c>
      <c r="BJ595" s="166">
        <v>0</v>
      </c>
      <c r="BK595" s="166">
        <v>0</v>
      </c>
      <c r="BL595" s="166">
        <v>0</v>
      </c>
      <c r="BM595" s="166">
        <v>0</v>
      </c>
      <c r="BN595" s="166">
        <v>0</v>
      </c>
      <c r="BO595" s="166">
        <v>0</v>
      </c>
      <c r="BP595" s="166">
        <v>0</v>
      </c>
      <c r="BQ595" s="81" t="s">
        <v>1757</v>
      </c>
      <c r="BZ595" s="81" t="s">
        <v>155</v>
      </c>
      <c r="CA595" s="81" t="s">
        <v>3980</v>
      </c>
      <c r="CC595" s="167">
        <v>0</v>
      </c>
      <c r="CD595" s="167">
        <f>N595</f>
        <v>1</v>
      </c>
      <c r="CE595" s="167">
        <v>0</v>
      </c>
      <c r="CF595" s="167">
        <v>0</v>
      </c>
      <c r="CG595" s="167">
        <v>0</v>
      </c>
      <c r="CH595" s="167">
        <v>0</v>
      </c>
      <c r="CI595" s="167">
        <v>0</v>
      </c>
      <c r="CJ595" s="167">
        <v>0</v>
      </c>
      <c r="CK595" s="167">
        <v>0</v>
      </c>
      <c r="CL595" s="167">
        <v>0</v>
      </c>
      <c r="CM595" s="167">
        <v>0</v>
      </c>
      <c r="CN595" s="167">
        <v>0</v>
      </c>
      <c r="CO595" s="167">
        <v>0</v>
      </c>
      <c r="CP595" s="167">
        <v>0</v>
      </c>
      <c r="CQ595" s="167">
        <v>0</v>
      </c>
      <c r="CR595" s="167">
        <v>0</v>
      </c>
      <c r="CS595" s="167">
        <v>0</v>
      </c>
      <c r="CT595" s="167">
        <v>0</v>
      </c>
      <c r="CU595" s="167">
        <v>0</v>
      </c>
      <c r="CV595" s="167">
        <v>0</v>
      </c>
      <c r="CW595" s="167">
        <v>0</v>
      </c>
      <c r="CX595" s="167">
        <f>SUM(CD595:CH595)</f>
        <v>1</v>
      </c>
      <c r="CY595" s="167">
        <f>SUM(CD595:CM595)</f>
        <v>1</v>
      </c>
    </row>
    <row r="596" spans="1:103" ht="12.75" customHeight="1" x14ac:dyDescent="0.2">
      <c r="A596" s="81">
        <v>5909</v>
      </c>
      <c r="B596" s="165" t="s">
        <v>1908</v>
      </c>
      <c r="C596" s="165" t="s">
        <v>430</v>
      </c>
      <c r="E596" s="165" t="s">
        <v>3608</v>
      </c>
      <c r="G596" s="81">
        <v>527564</v>
      </c>
      <c r="H596" s="81">
        <v>173450</v>
      </c>
      <c r="I596" s="165" t="s">
        <v>254</v>
      </c>
      <c r="J596" s="349">
        <v>43190</v>
      </c>
      <c r="L596" s="166">
        <v>1</v>
      </c>
      <c r="M596" s="166">
        <v>3</v>
      </c>
      <c r="N596" s="166">
        <v>2</v>
      </c>
      <c r="O596" s="166">
        <v>3</v>
      </c>
      <c r="P596" s="166">
        <v>2</v>
      </c>
      <c r="R596" s="165" t="s">
        <v>1127</v>
      </c>
      <c r="S596" s="81" t="s">
        <v>113</v>
      </c>
      <c r="T596" s="349">
        <v>42072</v>
      </c>
      <c r="U596" s="349">
        <v>42206</v>
      </c>
      <c r="W596" s="81" t="s">
        <v>114</v>
      </c>
      <c r="Y596" s="81" t="s">
        <v>115</v>
      </c>
      <c r="Z596" s="81" t="s">
        <v>398</v>
      </c>
      <c r="AA596" s="81" t="s">
        <v>117</v>
      </c>
      <c r="AB596" s="81" t="s">
        <v>220</v>
      </c>
      <c r="AC596" s="166">
        <v>1.09999999403954E-2</v>
      </c>
      <c r="AD596" s="349">
        <v>43190</v>
      </c>
      <c r="AE596" s="81" t="s">
        <v>155</v>
      </c>
      <c r="AG596" s="81" t="s">
        <v>238</v>
      </c>
      <c r="AH596" s="81" t="s">
        <v>118</v>
      </c>
      <c r="AK596" s="166">
        <v>0</v>
      </c>
      <c r="AM596" s="166">
        <v>0</v>
      </c>
      <c r="AO596" s="166">
        <v>0</v>
      </c>
      <c r="AP596" s="166">
        <v>1</v>
      </c>
      <c r="AQ596" s="166">
        <v>2</v>
      </c>
      <c r="AR596" s="166">
        <v>-1</v>
      </c>
      <c r="AS596" s="166">
        <v>0</v>
      </c>
      <c r="AT596" s="166">
        <v>0</v>
      </c>
      <c r="AU596" s="166">
        <v>0</v>
      </c>
      <c r="AV596" s="166">
        <v>0</v>
      </c>
      <c r="AW596" s="166">
        <v>1</v>
      </c>
      <c r="AX596" s="166">
        <v>2</v>
      </c>
      <c r="AY596" s="166">
        <v>-1</v>
      </c>
      <c r="AZ596" s="166">
        <v>0</v>
      </c>
      <c r="BA596" s="166">
        <v>0</v>
      </c>
      <c r="BB596" s="166">
        <v>0</v>
      </c>
      <c r="BC596" s="166">
        <v>0</v>
      </c>
      <c r="BD596" s="166">
        <v>0</v>
      </c>
      <c r="BE596" s="166">
        <v>0</v>
      </c>
      <c r="BF596" s="166">
        <v>0</v>
      </c>
      <c r="BG596" s="166">
        <v>0</v>
      </c>
      <c r="BH596" s="166">
        <v>0</v>
      </c>
      <c r="BI596" s="166">
        <v>0</v>
      </c>
      <c r="BJ596" s="166">
        <v>0</v>
      </c>
      <c r="BK596" s="166">
        <v>0</v>
      </c>
      <c r="BL596" s="166">
        <v>0</v>
      </c>
      <c r="BM596" s="166">
        <v>0</v>
      </c>
      <c r="BN596" s="166">
        <v>0</v>
      </c>
      <c r="BO596" s="166">
        <v>0</v>
      </c>
      <c r="BP596" s="166">
        <v>0</v>
      </c>
      <c r="BQ596" s="81" t="s">
        <v>1757</v>
      </c>
      <c r="BZ596" s="81" t="s">
        <v>155</v>
      </c>
      <c r="CA596" s="81" t="s">
        <v>3981</v>
      </c>
      <c r="CC596" s="167">
        <v>0</v>
      </c>
      <c r="CD596" s="167">
        <f>$N596/2</f>
        <v>1</v>
      </c>
      <c r="CE596" s="167">
        <f>$N596/2</f>
        <v>1</v>
      </c>
      <c r="CF596" s="167">
        <v>0</v>
      </c>
      <c r="CG596" s="167">
        <v>0</v>
      </c>
      <c r="CH596" s="167">
        <v>0</v>
      </c>
      <c r="CI596" s="167">
        <v>0</v>
      </c>
      <c r="CJ596" s="167">
        <v>0</v>
      </c>
      <c r="CK596" s="167">
        <v>0</v>
      </c>
      <c r="CL596" s="167">
        <v>0</v>
      </c>
      <c r="CM596" s="167">
        <v>0</v>
      </c>
      <c r="CN596" s="167">
        <v>0</v>
      </c>
      <c r="CO596" s="167">
        <v>0</v>
      </c>
      <c r="CP596" s="167">
        <v>0</v>
      </c>
      <c r="CQ596" s="167">
        <v>0</v>
      </c>
      <c r="CR596" s="167">
        <v>0</v>
      </c>
      <c r="CS596" s="167">
        <v>0</v>
      </c>
      <c r="CT596" s="167">
        <v>0</v>
      </c>
      <c r="CU596" s="167">
        <v>0</v>
      </c>
      <c r="CV596" s="167">
        <v>0</v>
      </c>
      <c r="CW596" s="167">
        <v>0</v>
      </c>
      <c r="CX596" s="167">
        <f>SUM(CD596:CH596)</f>
        <v>2</v>
      </c>
      <c r="CY596" s="167">
        <f>SUM(CD596:CM596)</f>
        <v>2</v>
      </c>
    </row>
    <row r="597" spans="1:103" ht="12.75" customHeight="1" x14ac:dyDescent="0.2">
      <c r="A597" s="81">
        <v>5915</v>
      </c>
      <c r="B597" s="165" t="s">
        <v>1908</v>
      </c>
      <c r="C597" s="165" t="s">
        <v>434</v>
      </c>
      <c r="E597" s="165" t="s">
        <v>3558</v>
      </c>
      <c r="G597" s="81">
        <v>523061</v>
      </c>
      <c r="H597" s="81">
        <v>174593</v>
      </c>
      <c r="I597" s="165" t="s">
        <v>59</v>
      </c>
      <c r="J597" s="349">
        <v>42825</v>
      </c>
      <c r="L597" s="166">
        <v>1</v>
      </c>
      <c r="M597" s="166">
        <v>1</v>
      </c>
      <c r="N597" s="166">
        <v>0</v>
      </c>
      <c r="O597" s="166">
        <v>1</v>
      </c>
      <c r="P597" s="166">
        <v>0</v>
      </c>
      <c r="R597" s="165" t="s">
        <v>435</v>
      </c>
      <c r="S597" s="81" t="s">
        <v>113</v>
      </c>
      <c r="T597" s="349">
        <v>42087</v>
      </c>
      <c r="U597" s="349">
        <v>42178</v>
      </c>
      <c r="W597" s="81" t="s">
        <v>114</v>
      </c>
      <c r="Y597" s="81" t="s">
        <v>115</v>
      </c>
      <c r="Z597" s="81" t="s">
        <v>116</v>
      </c>
      <c r="AA597" s="81" t="s">
        <v>117</v>
      </c>
      <c r="AB597" s="81" t="s">
        <v>218</v>
      </c>
      <c r="AC597" s="166">
        <v>7.5999997556209606E-2</v>
      </c>
      <c r="AD597" s="349">
        <v>42825</v>
      </c>
      <c r="AG597" s="81" t="s">
        <v>238</v>
      </c>
      <c r="AH597" s="81" t="s">
        <v>118</v>
      </c>
      <c r="AK597" s="166">
        <v>1</v>
      </c>
      <c r="AM597" s="166">
        <v>0</v>
      </c>
      <c r="AO597" s="166">
        <v>0</v>
      </c>
      <c r="AP597" s="166">
        <v>0</v>
      </c>
      <c r="AQ597" s="166">
        <v>0</v>
      </c>
      <c r="AR597" s="166">
        <v>0</v>
      </c>
      <c r="AS597" s="166">
        <v>-1</v>
      </c>
      <c r="AT597" s="166">
        <v>1</v>
      </c>
      <c r="AU597" s="166">
        <v>0</v>
      </c>
      <c r="AV597" s="166">
        <v>0</v>
      </c>
      <c r="AW597" s="166">
        <v>0</v>
      </c>
      <c r="AX597" s="166">
        <v>0</v>
      </c>
      <c r="AY597" s="166">
        <v>0</v>
      </c>
      <c r="AZ597" s="166">
        <v>0</v>
      </c>
      <c r="BA597" s="166">
        <v>0</v>
      </c>
      <c r="BB597" s="166">
        <v>0</v>
      </c>
      <c r="BC597" s="166">
        <v>0</v>
      </c>
      <c r="BD597" s="166">
        <v>0</v>
      </c>
      <c r="BE597" s="166">
        <v>0</v>
      </c>
      <c r="BF597" s="166">
        <v>0</v>
      </c>
      <c r="BG597" s="166">
        <v>-1</v>
      </c>
      <c r="BH597" s="166">
        <v>1</v>
      </c>
      <c r="BI597" s="166">
        <v>0</v>
      </c>
      <c r="BJ597" s="166">
        <v>0</v>
      </c>
      <c r="BK597" s="166">
        <v>0</v>
      </c>
      <c r="BL597" s="166">
        <v>0</v>
      </c>
      <c r="BM597" s="166">
        <v>0</v>
      </c>
      <c r="BN597" s="166">
        <v>0</v>
      </c>
      <c r="BO597" s="166">
        <v>0</v>
      </c>
      <c r="BP597" s="166">
        <v>0</v>
      </c>
      <c r="BQ597" s="81" t="s">
        <v>1758</v>
      </c>
      <c r="BZ597" s="81" t="s">
        <v>155</v>
      </c>
      <c r="CA597" s="81" t="s">
        <v>3976</v>
      </c>
      <c r="CC597" s="167">
        <v>0</v>
      </c>
      <c r="CD597" s="167">
        <f>N597</f>
        <v>0</v>
      </c>
      <c r="CE597" s="167">
        <v>0</v>
      </c>
      <c r="CF597" s="167">
        <v>0</v>
      </c>
      <c r="CG597" s="167">
        <v>0</v>
      </c>
      <c r="CH597" s="167">
        <v>0</v>
      </c>
      <c r="CI597" s="167">
        <v>0</v>
      </c>
      <c r="CJ597" s="167">
        <v>0</v>
      </c>
      <c r="CK597" s="167">
        <v>0</v>
      </c>
      <c r="CL597" s="167">
        <v>0</v>
      </c>
      <c r="CM597" s="167">
        <v>0</v>
      </c>
      <c r="CN597" s="167">
        <v>0</v>
      </c>
      <c r="CO597" s="167">
        <v>0</v>
      </c>
      <c r="CP597" s="167">
        <v>0</v>
      </c>
      <c r="CQ597" s="167">
        <v>0</v>
      </c>
      <c r="CR597" s="167">
        <v>0</v>
      </c>
      <c r="CS597" s="167">
        <v>0</v>
      </c>
      <c r="CT597" s="167">
        <v>0</v>
      </c>
      <c r="CU597" s="167">
        <v>0</v>
      </c>
      <c r="CV597" s="167">
        <v>0</v>
      </c>
      <c r="CW597" s="167">
        <v>0</v>
      </c>
      <c r="CX597" s="167">
        <f>SUM(CD597:CH597)</f>
        <v>0</v>
      </c>
      <c r="CY597" s="167">
        <f>SUM(CD597:CM597)</f>
        <v>0</v>
      </c>
    </row>
    <row r="598" spans="1:103" ht="12.75" customHeight="1" x14ac:dyDescent="0.2">
      <c r="A598" s="81">
        <v>5921</v>
      </c>
      <c r="B598" s="165" t="s">
        <v>1908</v>
      </c>
      <c r="C598" s="165" t="s">
        <v>3567</v>
      </c>
      <c r="E598" s="165" t="s">
        <v>3568</v>
      </c>
      <c r="G598" s="81">
        <v>522745</v>
      </c>
      <c r="H598" s="81">
        <v>174977</v>
      </c>
      <c r="I598" s="165" t="s">
        <v>59</v>
      </c>
      <c r="J598" s="349">
        <v>43090</v>
      </c>
      <c r="L598" s="166">
        <v>4</v>
      </c>
      <c r="M598" s="166">
        <v>8</v>
      </c>
      <c r="N598" s="166">
        <v>4</v>
      </c>
      <c r="O598" s="166">
        <v>8</v>
      </c>
      <c r="P598" s="166">
        <v>4</v>
      </c>
      <c r="R598" s="165" t="s">
        <v>3569</v>
      </c>
      <c r="S598" s="81" t="s">
        <v>113</v>
      </c>
      <c r="T598" s="349">
        <v>42828</v>
      </c>
      <c r="U598" s="349">
        <v>42909</v>
      </c>
      <c r="V598" s="81" t="s">
        <v>155</v>
      </c>
      <c r="W598" s="81" t="s">
        <v>114</v>
      </c>
      <c r="Y598" s="81" t="s">
        <v>115</v>
      </c>
      <c r="Z598" s="81" t="s">
        <v>116</v>
      </c>
      <c r="AA598" s="81" t="s">
        <v>117</v>
      </c>
      <c r="AB598" s="81" t="s">
        <v>218</v>
      </c>
      <c r="AC598" s="166">
        <v>0.119999997317791</v>
      </c>
      <c r="AD598" s="349">
        <v>43090</v>
      </c>
      <c r="AE598" s="81" t="s">
        <v>155</v>
      </c>
      <c r="AG598" s="81" t="s">
        <v>238</v>
      </c>
      <c r="AH598" s="81" t="s">
        <v>118</v>
      </c>
      <c r="AK598" s="166">
        <v>0</v>
      </c>
      <c r="AM598" s="166">
        <v>0</v>
      </c>
      <c r="AO598" s="166">
        <v>0</v>
      </c>
      <c r="AP598" s="166">
        <v>-1</v>
      </c>
      <c r="AQ598" s="166">
        <v>2</v>
      </c>
      <c r="AR598" s="166">
        <v>3</v>
      </c>
      <c r="AS598" s="166">
        <v>0</v>
      </c>
      <c r="AT598" s="166">
        <v>0</v>
      </c>
      <c r="AU598" s="166">
        <v>0</v>
      </c>
      <c r="AV598" s="166">
        <v>0</v>
      </c>
      <c r="AW598" s="166">
        <v>-1</v>
      </c>
      <c r="AX598" s="166">
        <v>2</v>
      </c>
      <c r="AY598" s="166">
        <v>3</v>
      </c>
      <c r="AZ598" s="166">
        <v>0</v>
      </c>
      <c r="BA598" s="166">
        <v>0</v>
      </c>
      <c r="BB598" s="166">
        <v>0</v>
      </c>
      <c r="BC598" s="166">
        <v>0</v>
      </c>
      <c r="BD598" s="166">
        <v>0</v>
      </c>
      <c r="BE598" s="166">
        <v>0</v>
      </c>
      <c r="BF598" s="166">
        <v>0</v>
      </c>
      <c r="BG598" s="166">
        <v>0</v>
      </c>
      <c r="BH598" s="166">
        <v>0</v>
      </c>
      <c r="BI598" s="166">
        <v>0</v>
      </c>
      <c r="BJ598" s="166">
        <v>0</v>
      </c>
      <c r="BK598" s="166">
        <v>0</v>
      </c>
      <c r="BL598" s="166">
        <v>0</v>
      </c>
      <c r="BM598" s="166">
        <v>0</v>
      </c>
      <c r="BN598" s="166">
        <v>0</v>
      </c>
      <c r="BO598" s="166">
        <v>0</v>
      </c>
      <c r="BP598" s="166">
        <v>0</v>
      </c>
      <c r="BQ598" s="81" t="s">
        <v>1758</v>
      </c>
      <c r="BZ598" s="81" t="s">
        <v>155</v>
      </c>
      <c r="CA598" s="81" t="s">
        <v>3977</v>
      </c>
      <c r="CC598" s="167">
        <v>0</v>
      </c>
      <c r="CD598" s="167">
        <f>$N598/2</f>
        <v>2</v>
      </c>
      <c r="CE598" s="167">
        <f>$N598/2</f>
        <v>2</v>
      </c>
      <c r="CF598" s="167">
        <v>0</v>
      </c>
      <c r="CG598" s="167">
        <v>0</v>
      </c>
      <c r="CH598" s="167">
        <v>0</v>
      </c>
      <c r="CI598" s="167">
        <v>0</v>
      </c>
      <c r="CJ598" s="167">
        <v>0</v>
      </c>
      <c r="CK598" s="167">
        <v>0</v>
      </c>
      <c r="CL598" s="167">
        <v>0</v>
      </c>
      <c r="CM598" s="167">
        <v>0</v>
      </c>
      <c r="CN598" s="167">
        <v>0</v>
      </c>
      <c r="CO598" s="167">
        <v>0</v>
      </c>
      <c r="CP598" s="167">
        <v>0</v>
      </c>
      <c r="CQ598" s="167">
        <v>0</v>
      </c>
      <c r="CR598" s="167">
        <v>0</v>
      </c>
      <c r="CS598" s="167">
        <v>0</v>
      </c>
      <c r="CT598" s="167">
        <v>0</v>
      </c>
      <c r="CU598" s="167">
        <v>0</v>
      </c>
      <c r="CV598" s="167">
        <v>0</v>
      </c>
      <c r="CW598" s="167">
        <v>0</v>
      </c>
      <c r="CX598" s="167">
        <f>SUM(CD598:CH598)</f>
        <v>4</v>
      </c>
      <c r="CY598" s="167">
        <f>SUM(CD598:CM598)</f>
        <v>4</v>
      </c>
    </row>
    <row r="599" spans="1:103" ht="12.75" customHeight="1" x14ac:dyDescent="0.2">
      <c r="A599" s="81">
        <v>5924</v>
      </c>
      <c r="B599" s="165" t="s">
        <v>1908</v>
      </c>
      <c r="C599" s="165" t="s">
        <v>559</v>
      </c>
      <c r="E599" s="165" t="s">
        <v>3611</v>
      </c>
      <c r="G599" s="81">
        <v>528796</v>
      </c>
      <c r="H599" s="81">
        <v>173797</v>
      </c>
      <c r="I599" s="165" t="s">
        <v>247</v>
      </c>
      <c r="J599" s="349">
        <v>43190</v>
      </c>
      <c r="L599" s="166">
        <v>0</v>
      </c>
      <c r="M599" s="166">
        <v>3</v>
      </c>
      <c r="N599" s="166">
        <v>3</v>
      </c>
      <c r="O599" s="166">
        <v>3</v>
      </c>
      <c r="P599" s="166">
        <v>3</v>
      </c>
      <c r="R599" s="165" t="s">
        <v>560</v>
      </c>
      <c r="S599" s="81" t="s">
        <v>110</v>
      </c>
      <c r="T599" s="349">
        <v>42122</v>
      </c>
      <c r="U599" s="349">
        <v>42178</v>
      </c>
      <c r="W599" s="81" t="s">
        <v>114</v>
      </c>
      <c r="Y599" s="81" t="s">
        <v>115</v>
      </c>
      <c r="Z599" s="81" t="s">
        <v>310</v>
      </c>
      <c r="AA599" s="81" t="s">
        <v>117</v>
      </c>
      <c r="AB599" s="81" t="s">
        <v>399</v>
      </c>
      <c r="AC599" s="166">
        <v>4.9999998882412902E-3</v>
      </c>
      <c r="AD599" s="349">
        <v>43190</v>
      </c>
      <c r="AE599" s="81" t="s">
        <v>155</v>
      </c>
      <c r="AG599" s="81" t="s">
        <v>238</v>
      </c>
      <c r="AH599" s="81" t="s">
        <v>118</v>
      </c>
      <c r="AK599" s="166">
        <v>0</v>
      </c>
      <c r="AM599" s="166">
        <v>0</v>
      </c>
      <c r="AO599" s="166">
        <v>1</v>
      </c>
      <c r="AP599" s="166">
        <v>2</v>
      </c>
      <c r="AQ599" s="166">
        <v>0</v>
      </c>
      <c r="AR599" s="166">
        <v>0</v>
      </c>
      <c r="AS599" s="166">
        <v>0</v>
      </c>
      <c r="AT599" s="166">
        <v>0</v>
      </c>
      <c r="AU599" s="166">
        <v>0</v>
      </c>
      <c r="AV599" s="166">
        <v>1</v>
      </c>
      <c r="AW599" s="166">
        <v>2</v>
      </c>
      <c r="AX599" s="166">
        <v>0</v>
      </c>
      <c r="AY599" s="166">
        <v>0</v>
      </c>
      <c r="AZ599" s="166">
        <v>0</v>
      </c>
      <c r="BA599" s="166">
        <v>0</v>
      </c>
      <c r="BB599" s="166">
        <v>0</v>
      </c>
      <c r="BC599" s="166">
        <v>0</v>
      </c>
      <c r="BD599" s="166">
        <v>0</v>
      </c>
      <c r="BE599" s="166">
        <v>0</v>
      </c>
      <c r="BF599" s="166">
        <v>0</v>
      </c>
      <c r="BG599" s="166">
        <v>0</v>
      </c>
      <c r="BH599" s="166">
        <v>0</v>
      </c>
      <c r="BI599" s="166">
        <v>0</v>
      </c>
      <c r="BJ599" s="166">
        <v>0</v>
      </c>
      <c r="BK599" s="166">
        <v>0</v>
      </c>
      <c r="BL599" s="166">
        <v>0</v>
      </c>
      <c r="BM599" s="166">
        <v>0</v>
      </c>
      <c r="BN599" s="166">
        <v>0</v>
      </c>
      <c r="BO599" s="166">
        <v>0</v>
      </c>
      <c r="BP599" s="166">
        <v>0</v>
      </c>
      <c r="BQ599" s="81" t="s">
        <v>1757</v>
      </c>
      <c r="BZ599" s="81" t="s">
        <v>155</v>
      </c>
      <c r="CA599" s="81" t="s">
        <v>3981</v>
      </c>
      <c r="CC599" s="167">
        <v>0</v>
      </c>
      <c r="CD599" s="167">
        <f>$N599/2</f>
        <v>1.5</v>
      </c>
      <c r="CE599" s="167">
        <f>$N599/2</f>
        <v>1.5</v>
      </c>
      <c r="CF599" s="167">
        <v>0</v>
      </c>
      <c r="CG599" s="167">
        <v>0</v>
      </c>
      <c r="CH599" s="167">
        <v>0</v>
      </c>
      <c r="CI599" s="167">
        <v>0</v>
      </c>
      <c r="CJ599" s="167">
        <v>0</v>
      </c>
      <c r="CK599" s="167">
        <v>0</v>
      </c>
      <c r="CL599" s="167">
        <v>0</v>
      </c>
      <c r="CM599" s="167">
        <v>0</v>
      </c>
      <c r="CN599" s="167">
        <v>0</v>
      </c>
      <c r="CO599" s="167">
        <v>0</v>
      </c>
      <c r="CP599" s="167">
        <v>0</v>
      </c>
      <c r="CQ599" s="167">
        <v>0</v>
      </c>
      <c r="CR599" s="167">
        <v>0</v>
      </c>
      <c r="CS599" s="167">
        <v>0</v>
      </c>
      <c r="CT599" s="167">
        <v>0</v>
      </c>
      <c r="CU599" s="167">
        <v>0</v>
      </c>
      <c r="CV599" s="167">
        <v>0</v>
      </c>
      <c r="CW599" s="167">
        <v>0</v>
      </c>
      <c r="CX599" s="167">
        <f>SUM(CD599:CH599)</f>
        <v>3</v>
      </c>
      <c r="CY599" s="167">
        <f>SUM(CD599:CM599)</f>
        <v>3</v>
      </c>
    </row>
    <row r="600" spans="1:103" ht="12.75" customHeight="1" x14ac:dyDescent="0.2">
      <c r="A600" s="81">
        <v>5938</v>
      </c>
      <c r="B600" s="165" t="s">
        <v>1908</v>
      </c>
      <c r="C600" s="165" t="s">
        <v>573</v>
      </c>
      <c r="E600" s="165" t="s">
        <v>3612</v>
      </c>
      <c r="G600" s="81">
        <v>524894</v>
      </c>
      <c r="H600" s="81">
        <v>173570</v>
      </c>
      <c r="I600" s="165" t="s">
        <v>258</v>
      </c>
      <c r="J600" s="349">
        <v>43190</v>
      </c>
      <c r="L600" s="166">
        <v>0</v>
      </c>
      <c r="M600" s="166">
        <v>1</v>
      </c>
      <c r="N600" s="166">
        <v>1</v>
      </c>
      <c r="O600" s="166">
        <v>1</v>
      </c>
      <c r="P600" s="166">
        <v>1</v>
      </c>
      <c r="R600" s="165" t="s">
        <v>426</v>
      </c>
      <c r="S600" s="81" t="s">
        <v>488</v>
      </c>
      <c r="T600" s="349">
        <v>42132</v>
      </c>
      <c r="U600" s="349">
        <v>42178</v>
      </c>
      <c r="W600" s="81" t="s">
        <v>297</v>
      </c>
      <c r="X600" s="349">
        <v>42396</v>
      </c>
      <c r="Y600" s="81" t="s">
        <v>115</v>
      </c>
      <c r="Z600" s="81" t="s">
        <v>310</v>
      </c>
      <c r="AA600" s="81" t="s">
        <v>117</v>
      </c>
      <c r="AB600" s="81" t="s">
        <v>102</v>
      </c>
      <c r="AC600" s="166">
        <v>2.0999999716877899E-2</v>
      </c>
      <c r="AD600" s="349">
        <v>43190</v>
      </c>
      <c r="AE600" s="81" t="s">
        <v>155</v>
      </c>
      <c r="AG600" s="81" t="s">
        <v>238</v>
      </c>
      <c r="AH600" s="81" t="s">
        <v>118</v>
      </c>
      <c r="AK600" s="166">
        <v>0</v>
      </c>
      <c r="AM600" s="166">
        <v>0</v>
      </c>
      <c r="AO600" s="166">
        <v>0</v>
      </c>
      <c r="AP600" s="166">
        <v>0</v>
      </c>
      <c r="AQ600" s="166">
        <v>0</v>
      </c>
      <c r="AR600" s="166">
        <v>1</v>
      </c>
      <c r="AS600" s="166">
        <v>0</v>
      </c>
      <c r="AT600" s="166">
        <v>0</v>
      </c>
      <c r="AU600" s="166">
        <v>0</v>
      </c>
      <c r="AV600" s="166">
        <v>0</v>
      </c>
      <c r="AW600" s="166">
        <v>0</v>
      </c>
      <c r="AX600" s="166">
        <v>0</v>
      </c>
      <c r="AY600" s="166">
        <v>1</v>
      </c>
      <c r="AZ600" s="166">
        <v>0</v>
      </c>
      <c r="BA600" s="166">
        <v>0</v>
      </c>
      <c r="BB600" s="166">
        <v>0</v>
      </c>
      <c r="BC600" s="166">
        <v>0</v>
      </c>
      <c r="BD600" s="166">
        <v>0</v>
      </c>
      <c r="BE600" s="166">
        <v>0</v>
      </c>
      <c r="BF600" s="166">
        <v>0</v>
      </c>
      <c r="BG600" s="166">
        <v>0</v>
      </c>
      <c r="BH600" s="166">
        <v>0</v>
      </c>
      <c r="BI600" s="166">
        <v>0</v>
      </c>
      <c r="BJ600" s="166">
        <v>0</v>
      </c>
      <c r="BK600" s="166">
        <v>0</v>
      </c>
      <c r="BL600" s="166">
        <v>0</v>
      </c>
      <c r="BM600" s="166">
        <v>0</v>
      </c>
      <c r="BN600" s="166">
        <v>0</v>
      </c>
      <c r="BO600" s="166">
        <v>0</v>
      </c>
      <c r="BP600" s="166">
        <v>0</v>
      </c>
      <c r="BQ600" s="81" t="s">
        <v>1758</v>
      </c>
      <c r="BZ600" s="81" t="s">
        <v>155</v>
      </c>
      <c r="CA600" s="81" t="s">
        <v>3981</v>
      </c>
      <c r="CC600" s="167">
        <v>0</v>
      </c>
      <c r="CD600" s="167">
        <f>$N600/2</f>
        <v>0.5</v>
      </c>
      <c r="CE600" s="167">
        <f>$N600/2</f>
        <v>0.5</v>
      </c>
      <c r="CF600" s="167">
        <v>0</v>
      </c>
      <c r="CG600" s="167">
        <v>0</v>
      </c>
      <c r="CH600" s="167">
        <v>0</v>
      </c>
      <c r="CI600" s="167">
        <v>0</v>
      </c>
      <c r="CJ600" s="167">
        <v>0</v>
      </c>
      <c r="CK600" s="167">
        <v>0</v>
      </c>
      <c r="CL600" s="167">
        <v>0</v>
      </c>
      <c r="CM600" s="167">
        <v>0</v>
      </c>
      <c r="CN600" s="167">
        <v>0</v>
      </c>
      <c r="CO600" s="167">
        <v>0</v>
      </c>
      <c r="CP600" s="167">
        <v>0</v>
      </c>
      <c r="CQ600" s="167">
        <v>0</v>
      </c>
      <c r="CR600" s="167">
        <v>0</v>
      </c>
      <c r="CS600" s="167">
        <v>0</v>
      </c>
      <c r="CT600" s="167">
        <v>0</v>
      </c>
      <c r="CU600" s="167">
        <v>0</v>
      </c>
      <c r="CV600" s="167">
        <v>0</v>
      </c>
      <c r="CW600" s="167">
        <v>0</v>
      </c>
      <c r="CX600" s="167">
        <f>SUM(CD600:CH600)</f>
        <v>1</v>
      </c>
      <c r="CY600" s="167">
        <f>SUM(CD600:CM600)</f>
        <v>1</v>
      </c>
    </row>
    <row r="601" spans="1:103" ht="12.75" customHeight="1" x14ac:dyDescent="0.2">
      <c r="A601" s="81">
        <v>5939</v>
      </c>
      <c r="B601" s="165" t="s">
        <v>1908</v>
      </c>
      <c r="C601" s="165" t="s">
        <v>1015</v>
      </c>
      <c r="E601" s="165" t="s">
        <v>3613</v>
      </c>
      <c r="G601" s="81">
        <v>522110</v>
      </c>
      <c r="H601" s="81">
        <v>175464</v>
      </c>
      <c r="I601" s="165" t="s">
        <v>59</v>
      </c>
      <c r="J601" s="349">
        <v>42782</v>
      </c>
      <c r="L601" s="166">
        <v>1</v>
      </c>
      <c r="M601" s="166">
        <v>4</v>
      </c>
      <c r="N601" s="166">
        <v>3</v>
      </c>
      <c r="O601" s="166">
        <v>4</v>
      </c>
      <c r="P601" s="166">
        <v>3</v>
      </c>
      <c r="R601" s="165" t="s">
        <v>1016</v>
      </c>
      <c r="S601" s="81" t="s">
        <v>113</v>
      </c>
      <c r="T601" s="349">
        <v>42529</v>
      </c>
      <c r="U601" s="349">
        <v>42628</v>
      </c>
      <c r="W601" s="81" t="s">
        <v>114</v>
      </c>
      <c r="Y601" s="81" t="s">
        <v>115</v>
      </c>
      <c r="Z601" s="81" t="s">
        <v>398</v>
      </c>
      <c r="AA601" s="81" t="s">
        <v>117</v>
      </c>
      <c r="AB601" s="81" t="s">
        <v>120</v>
      </c>
      <c r="AC601" s="166">
        <v>2.8999999165535001E-2</v>
      </c>
      <c r="AD601" s="349">
        <v>42782</v>
      </c>
      <c r="AG601" s="81" t="s">
        <v>238</v>
      </c>
      <c r="AH601" s="81" t="s">
        <v>118</v>
      </c>
      <c r="AK601" s="166">
        <v>0</v>
      </c>
      <c r="AM601" s="166">
        <v>0</v>
      </c>
      <c r="AO601" s="166">
        <v>0</v>
      </c>
      <c r="AP601" s="166">
        <v>0</v>
      </c>
      <c r="AQ601" s="166">
        <v>2</v>
      </c>
      <c r="AR601" s="166">
        <v>2</v>
      </c>
      <c r="AS601" s="166">
        <v>-1</v>
      </c>
      <c r="AT601" s="166">
        <v>0</v>
      </c>
      <c r="AU601" s="166">
        <v>0</v>
      </c>
      <c r="AV601" s="166">
        <v>0</v>
      </c>
      <c r="AW601" s="166">
        <v>0</v>
      </c>
      <c r="AX601" s="166">
        <v>2</v>
      </c>
      <c r="AY601" s="166">
        <v>2</v>
      </c>
      <c r="AZ601" s="166">
        <v>0</v>
      </c>
      <c r="BA601" s="166">
        <v>0</v>
      </c>
      <c r="BB601" s="166">
        <v>0</v>
      </c>
      <c r="BC601" s="166">
        <v>0</v>
      </c>
      <c r="BD601" s="166">
        <v>0</v>
      </c>
      <c r="BE601" s="166">
        <v>0</v>
      </c>
      <c r="BF601" s="166">
        <v>0</v>
      </c>
      <c r="BG601" s="166">
        <v>-1</v>
      </c>
      <c r="BH601" s="166">
        <v>0</v>
      </c>
      <c r="BI601" s="166">
        <v>0</v>
      </c>
      <c r="BJ601" s="166">
        <v>0</v>
      </c>
      <c r="BK601" s="166">
        <v>0</v>
      </c>
      <c r="BL601" s="166">
        <v>0</v>
      </c>
      <c r="BM601" s="166">
        <v>0</v>
      </c>
      <c r="BN601" s="166">
        <v>0</v>
      </c>
      <c r="BO601" s="166">
        <v>0</v>
      </c>
      <c r="BP601" s="166">
        <v>0</v>
      </c>
      <c r="BQ601" s="81" t="s">
        <v>1758</v>
      </c>
      <c r="BZ601" s="81" t="s">
        <v>155</v>
      </c>
      <c r="CA601" s="81" t="s">
        <v>3980</v>
      </c>
      <c r="CC601" s="167">
        <v>0</v>
      </c>
      <c r="CD601" s="167">
        <f>N601</f>
        <v>3</v>
      </c>
      <c r="CE601" s="167">
        <v>0</v>
      </c>
      <c r="CF601" s="167">
        <v>0</v>
      </c>
      <c r="CG601" s="167">
        <v>0</v>
      </c>
      <c r="CH601" s="167">
        <v>0</v>
      </c>
      <c r="CI601" s="167">
        <v>0</v>
      </c>
      <c r="CJ601" s="167">
        <v>0</v>
      </c>
      <c r="CK601" s="167">
        <v>0</v>
      </c>
      <c r="CL601" s="167">
        <v>0</v>
      </c>
      <c r="CM601" s="167">
        <v>0</v>
      </c>
      <c r="CN601" s="167">
        <v>0</v>
      </c>
      <c r="CO601" s="167">
        <v>0</v>
      </c>
      <c r="CP601" s="167">
        <v>0</v>
      </c>
      <c r="CQ601" s="167">
        <v>0</v>
      </c>
      <c r="CR601" s="167">
        <v>0</v>
      </c>
      <c r="CS601" s="167">
        <v>0</v>
      </c>
      <c r="CT601" s="167">
        <v>0</v>
      </c>
      <c r="CU601" s="167">
        <v>0</v>
      </c>
      <c r="CV601" s="167">
        <v>0</v>
      </c>
      <c r="CW601" s="167">
        <v>0</v>
      </c>
      <c r="CX601" s="167">
        <f>SUM(CD601:CH601)</f>
        <v>3</v>
      </c>
      <c r="CY601" s="167">
        <f>SUM(CD601:CM601)</f>
        <v>3</v>
      </c>
    </row>
    <row r="602" spans="1:103" ht="12.75" customHeight="1" x14ac:dyDescent="0.2">
      <c r="A602" s="81">
        <v>5942</v>
      </c>
      <c r="B602" s="165" t="s">
        <v>1908</v>
      </c>
      <c r="C602" s="165" t="s">
        <v>1218</v>
      </c>
      <c r="E602" s="165" t="s">
        <v>3614</v>
      </c>
      <c r="F602" s="165" t="s">
        <v>1219</v>
      </c>
      <c r="G602" s="81">
        <v>528486</v>
      </c>
      <c r="H602" s="81">
        <v>173287</v>
      </c>
      <c r="I602" s="165" t="s">
        <v>254</v>
      </c>
      <c r="J602" s="349">
        <v>43190</v>
      </c>
      <c r="L602" s="166">
        <v>0</v>
      </c>
      <c r="M602" s="166">
        <v>6</v>
      </c>
      <c r="N602" s="166">
        <v>6</v>
      </c>
      <c r="O602" s="166">
        <v>7</v>
      </c>
      <c r="P602" s="166">
        <v>7</v>
      </c>
      <c r="R602" s="165" t="s">
        <v>1220</v>
      </c>
      <c r="S602" s="81" t="s">
        <v>113</v>
      </c>
      <c r="T602" s="349">
        <v>42555</v>
      </c>
      <c r="U602" s="349">
        <v>42702</v>
      </c>
      <c r="W602" s="81" t="s">
        <v>114</v>
      </c>
      <c r="Y602" s="81" t="s">
        <v>115</v>
      </c>
      <c r="Z602" s="81" t="s">
        <v>398</v>
      </c>
      <c r="AA602" s="81" t="s">
        <v>117</v>
      </c>
      <c r="AB602" s="81" t="s">
        <v>218</v>
      </c>
      <c r="AC602" s="166">
        <v>2.8999999165535001E-2</v>
      </c>
      <c r="AD602" s="349">
        <v>43190</v>
      </c>
      <c r="AE602" s="81" t="s">
        <v>155</v>
      </c>
      <c r="AG602" s="81" t="s">
        <v>238</v>
      </c>
      <c r="AH602" s="81" t="s">
        <v>118</v>
      </c>
      <c r="AK602" s="166">
        <v>0</v>
      </c>
      <c r="AM602" s="166">
        <v>0</v>
      </c>
      <c r="AO602" s="166">
        <v>0</v>
      </c>
      <c r="AP602" s="166">
        <v>0</v>
      </c>
      <c r="AQ602" s="166">
        <v>4</v>
      </c>
      <c r="AR602" s="166">
        <v>2</v>
      </c>
      <c r="AS602" s="166">
        <v>0</v>
      </c>
      <c r="AT602" s="166">
        <v>0</v>
      </c>
      <c r="AU602" s="166">
        <v>0</v>
      </c>
      <c r="AV602" s="166">
        <v>0</v>
      </c>
      <c r="AW602" s="166">
        <v>0</v>
      </c>
      <c r="AX602" s="166">
        <v>4</v>
      </c>
      <c r="AY602" s="166">
        <v>2</v>
      </c>
      <c r="AZ602" s="166">
        <v>0</v>
      </c>
      <c r="BA602" s="166">
        <v>0</v>
      </c>
      <c r="BB602" s="166">
        <v>0</v>
      </c>
      <c r="BC602" s="166">
        <v>0</v>
      </c>
      <c r="BD602" s="166">
        <v>0</v>
      </c>
      <c r="BE602" s="166">
        <v>0</v>
      </c>
      <c r="BF602" s="166">
        <v>0</v>
      </c>
      <c r="BG602" s="166">
        <v>0</v>
      </c>
      <c r="BH602" s="166">
        <v>0</v>
      </c>
      <c r="BI602" s="166">
        <v>0</v>
      </c>
      <c r="BJ602" s="166">
        <v>0</v>
      </c>
      <c r="BK602" s="166">
        <v>0</v>
      </c>
      <c r="BL602" s="166">
        <v>0</v>
      </c>
      <c r="BM602" s="166">
        <v>0</v>
      </c>
      <c r="BN602" s="166">
        <v>0</v>
      </c>
      <c r="BO602" s="166">
        <v>0</v>
      </c>
      <c r="BP602" s="166">
        <v>0</v>
      </c>
      <c r="BQ602" s="81" t="s">
        <v>1757</v>
      </c>
      <c r="BR602" s="81" t="s">
        <v>247</v>
      </c>
      <c r="BZ602" s="81" t="s">
        <v>155</v>
      </c>
      <c r="CA602" s="81" t="s">
        <v>3981</v>
      </c>
      <c r="CC602" s="167">
        <v>0</v>
      </c>
      <c r="CD602" s="167">
        <f>$N602/2</f>
        <v>3</v>
      </c>
      <c r="CE602" s="167">
        <f>$N602/2</f>
        <v>3</v>
      </c>
      <c r="CF602" s="167">
        <v>0</v>
      </c>
      <c r="CG602" s="167">
        <v>0</v>
      </c>
      <c r="CH602" s="167">
        <v>0</v>
      </c>
      <c r="CI602" s="167">
        <v>0</v>
      </c>
      <c r="CJ602" s="167">
        <v>0</v>
      </c>
      <c r="CK602" s="167">
        <v>0</v>
      </c>
      <c r="CL602" s="167">
        <v>0</v>
      </c>
      <c r="CM602" s="167">
        <v>0</v>
      </c>
      <c r="CN602" s="167">
        <v>0</v>
      </c>
      <c r="CO602" s="167">
        <v>0</v>
      </c>
      <c r="CP602" s="167">
        <v>0</v>
      </c>
      <c r="CQ602" s="167">
        <v>0</v>
      </c>
      <c r="CR602" s="167">
        <v>0</v>
      </c>
      <c r="CS602" s="167">
        <v>0</v>
      </c>
      <c r="CT602" s="167">
        <v>0</v>
      </c>
      <c r="CU602" s="167">
        <v>0</v>
      </c>
      <c r="CV602" s="167">
        <v>0</v>
      </c>
      <c r="CW602" s="167">
        <v>0</v>
      </c>
      <c r="CX602" s="167">
        <f>SUM(CD602:CH602)</f>
        <v>6</v>
      </c>
      <c r="CY602" s="167">
        <f>SUM(CD602:CM602)</f>
        <v>6</v>
      </c>
    </row>
    <row r="603" spans="1:103" ht="12.75" customHeight="1" x14ac:dyDescent="0.2">
      <c r="A603" s="81">
        <v>5942</v>
      </c>
      <c r="B603" s="165" t="s">
        <v>1908</v>
      </c>
      <c r="C603" s="165" t="s">
        <v>1218</v>
      </c>
      <c r="E603" s="165" t="s">
        <v>3614</v>
      </c>
      <c r="F603" s="165" t="s">
        <v>137</v>
      </c>
      <c r="G603" s="81">
        <v>528486</v>
      </c>
      <c r="H603" s="81">
        <v>173287</v>
      </c>
      <c r="I603" s="165" t="s">
        <v>254</v>
      </c>
      <c r="J603" s="349">
        <v>43190</v>
      </c>
      <c r="L603" s="166">
        <v>0</v>
      </c>
      <c r="M603" s="166">
        <v>1</v>
      </c>
      <c r="N603" s="166">
        <v>1</v>
      </c>
      <c r="O603" s="166">
        <v>7</v>
      </c>
      <c r="P603" s="166">
        <v>7</v>
      </c>
      <c r="R603" s="165" t="s">
        <v>1220</v>
      </c>
      <c r="S603" s="81" t="s">
        <v>113</v>
      </c>
      <c r="T603" s="349">
        <v>42555</v>
      </c>
      <c r="U603" s="349">
        <v>42702</v>
      </c>
      <c r="W603" s="81" t="s">
        <v>114</v>
      </c>
      <c r="Y603" s="81" t="s">
        <v>115</v>
      </c>
      <c r="Z603" s="81" t="s">
        <v>398</v>
      </c>
      <c r="AA603" s="81" t="s">
        <v>117</v>
      </c>
      <c r="AB603" s="81" t="s">
        <v>218</v>
      </c>
      <c r="AC603" s="166">
        <v>1.2000000104308101E-2</v>
      </c>
      <c r="AD603" s="349">
        <v>43190</v>
      </c>
      <c r="AE603" s="81" t="s">
        <v>155</v>
      </c>
      <c r="AG603" s="81" t="s">
        <v>238</v>
      </c>
      <c r="AH603" s="81" t="s">
        <v>118</v>
      </c>
      <c r="AK603" s="166">
        <v>0</v>
      </c>
      <c r="AM603" s="166">
        <v>0</v>
      </c>
      <c r="AO603" s="166">
        <v>0</v>
      </c>
      <c r="AP603" s="166">
        <v>0</v>
      </c>
      <c r="AQ603" s="166">
        <v>0</v>
      </c>
      <c r="AR603" s="166">
        <v>1</v>
      </c>
      <c r="AS603" s="166">
        <v>0</v>
      </c>
      <c r="AT603" s="166">
        <v>0</v>
      </c>
      <c r="AU603" s="166">
        <v>0</v>
      </c>
      <c r="AV603" s="166">
        <v>0</v>
      </c>
      <c r="AW603" s="166">
        <v>0</v>
      </c>
      <c r="AX603" s="166">
        <v>0</v>
      </c>
      <c r="AY603" s="166">
        <v>0</v>
      </c>
      <c r="AZ603" s="166">
        <v>0</v>
      </c>
      <c r="BA603" s="166">
        <v>0</v>
      </c>
      <c r="BB603" s="166">
        <v>0</v>
      </c>
      <c r="BC603" s="166">
        <v>0</v>
      </c>
      <c r="BD603" s="166">
        <v>0</v>
      </c>
      <c r="BE603" s="166">
        <v>0</v>
      </c>
      <c r="BF603" s="166">
        <v>1</v>
      </c>
      <c r="BG603" s="166">
        <v>0</v>
      </c>
      <c r="BH603" s="166">
        <v>0</v>
      </c>
      <c r="BI603" s="166">
        <v>0</v>
      </c>
      <c r="BJ603" s="166">
        <v>0</v>
      </c>
      <c r="BK603" s="166">
        <v>0</v>
      </c>
      <c r="BL603" s="166">
        <v>0</v>
      </c>
      <c r="BM603" s="166">
        <v>0</v>
      </c>
      <c r="BN603" s="166">
        <v>0</v>
      </c>
      <c r="BO603" s="166">
        <v>0</v>
      </c>
      <c r="BP603" s="166">
        <v>0</v>
      </c>
      <c r="BQ603" s="81" t="s">
        <v>1757</v>
      </c>
      <c r="BR603" s="81" t="s">
        <v>247</v>
      </c>
      <c r="BZ603" s="81" t="s">
        <v>155</v>
      </c>
      <c r="CA603" s="81" t="s">
        <v>3981</v>
      </c>
      <c r="CC603" s="167">
        <v>0</v>
      </c>
      <c r="CD603" s="167">
        <f>$N603/2</f>
        <v>0.5</v>
      </c>
      <c r="CE603" s="167">
        <f>$N603/2</f>
        <v>0.5</v>
      </c>
      <c r="CF603" s="167">
        <v>0</v>
      </c>
      <c r="CG603" s="167">
        <v>0</v>
      </c>
      <c r="CH603" s="167">
        <v>0</v>
      </c>
      <c r="CI603" s="167">
        <v>0</v>
      </c>
      <c r="CJ603" s="167">
        <v>0</v>
      </c>
      <c r="CK603" s="167">
        <v>0</v>
      </c>
      <c r="CL603" s="167">
        <v>0</v>
      </c>
      <c r="CM603" s="167">
        <v>0</v>
      </c>
      <c r="CN603" s="167">
        <v>0</v>
      </c>
      <c r="CO603" s="167">
        <v>0</v>
      </c>
      <c r="CP603" s="167">
        <v>0</v>
      </c>
      <c r="CQ603" s="167">
        <v>0</v>
      </c>
      <c r="CR603" s="167">
        <v>0</v>
      </c>
      <c r="CS603" s="167">
        <v>0</v>
      </c>
      <c r="CT603" s="167">
        <v>0</v>
      </c>
      <c r="CU603" s="167">
        <v>0</v>
      </c>
      <c r="CV603" s="167">
        <v>0</v>
      </c>
      <c r="CW603" s="167">
        <v>0</v>
      </c>
      <c r="CX603" s="167">
        <f>SUM(CD603:CH603)</f>
        <v>1</v>
      </c>
      <c r="CY603" s="167">
        <f>SUM(CD603:CM603)</f>
        <v>1</v>
      </c>
    </row>
    <row r="604" spans="1:103" ht="12.75" customHeight="1" x14ac:dyDescent="0.2">
      <c r="A604" s="81">
        <v>5946</v>
      </c>
      <c r="B604" s="165" t="s">
        <v>1908</v>
      </c>
      <c r="C604" s="165" t="s">
        <v>563</v>
      </c>
      <c r="E604" s="165" t="s">
        <v>3174</v>
      </c>
      <c r="G604" s="81">
        <v>528334</v>
      </c>
      <c r="H604" s="81">
        <v>175747</v>
      </c>
      <c r="I604" s="165" t="s">
        <v>256</v>
      </c>
      <c r="J604" s="349">
        <v>42825</v>
      </c>
      <c r="L604" s="166">
        <v>1</v>
      </c>
      <c r="M604" s="166">
        <v>2</v>
      </c>
      <c r="N604" s="166">
        <v>1</v>
      </c>
      <c r="O604" s="166">
        <v>3</v>
      </c>
      <c r="P604" s="166">
        <v>2</v>
      </c>
      <c r="R604" s="165" t="s">
        <v>911</v>
      </c>
      <c r="S604" s="81" t="s">
        <v>113</v>
      </c>
      <c r="T604" s="349">
        <v>42123</v>
      </c>
      <c r="U604" s="349">
        <v>42299</v>
      </c>
      <c r="W604" s="81" t="s">
        <v>114</v>
      </c>
      <c r="Y604" s="81" t="s">
        <v>115</v>
      </c>
      <c r="Z604" s="81" t="s">
        <v>398</v>
      </c>
      <c r="AA604" s="81" t="s">
        <v>117</v>
      </c>
      <c r="AB604" s="81" t="s">
        <v>220</v>
      </c>
      <c r="AC604" s="166">
        <v>1.09999999403954E-2</v>
      </c>
      <c r="AD604" s="349">
        <v>42825</v>
      </c>
      <c r="AG604" s="81" t="s">
        <v>238</v>
      </c>
      <c r="AH604" s="81" t="s">
        <v>118</v>
      </c>
      <c r="AK604" s="166">
        <v>0</v>
      </c>
      <c r="AM604" s="166">
        <v>0</v>
      </c>
      <c r="AO604" s="166">
        <v>0</v>
      </c>
      <c r="AP604" s="166">
        <v>2</v>
      </c>
      <c r="AQ604" s="166">
        <v>0</v>
      </c>
      <c r="AR604" s="166">
        <v>0</v>
      </c>
      <c r="AS604" s="166">
        <v>-1</v>
      </c>
      <c r="AT604" s="166">
        <v>0</v>
      </c>
      <c r="AU604" s="166">
        <v>0</v>
      </c>
      <c r="AV604" s="166">
        <v>0</v>
      </c>
      <c r="AW604" s="166">
        <v>2</v>
      </c>
      <c r="AX604" s="166">
        <v>0</v>
      </c>
      <c r="AY604" s="166">
        <v>0</v>
      </c>
      <c r="AZ604" s="166">
        <v>-1</v>
      </c>
      <c r="BA604" s="166">
        <v>0</v>
      </c>
      <c r="BB604" s="166">
        <v>0</v>
      </c>
      <c r="BC604" s="166">
        <v>0</v>
      </c>
      <c r="BD604" s="166">
        <v>0</v>
      </c>
      <c r="BE604" s="166">
        <v>0</v>
      </c>
      <c r="BF604" s="166">
        <v>0</v>
      </c>
      <c r="BG604" s="166">
        <v>0</v>
      </c>
      <c r="BH604" s="166">
        <v>0</v>
      </c>
      <c r="BI604" s="166">
        <v>0</v>
      </c>
      <c r="BJ604" s="166">
        <v>0</v>
      </c>
      <c r="BK604" s="166">
        <v>0</v>
      </c>
      <c r="BL604" s="166">
        <v>0</v>
      </c>
      <c r="BM604" s="166">
        <v>0</v>
      </c>
      <c r="BN604" s="166">
        <v>0</v>
      </c>
      <c r="BO604" s="166">
        <v>0</v>
      </c>
      <c r="BP604" s="166">
        <v>0</v>
      </c>
      <c r="BQ604" s="81" t="s">
        <v>1757</v>
      </c>
      <c r="BZ604" s="81" t="s">
        <v>155</v>
      </c>
      <c r="CA604" s="81" t="s">
        <v>3980</v>
      </c>
      <c r="CC604" s="167">
        <v>0</v>
      </c>
      <c r="CD604" s="167">
        <f>N604</f>
        <v>1</v>
      </c>
      <c r="CE604" s="167">
        <v>0</v>
      </c>
      <c r="CF604" s="167">
        <v>0</v>
      </c>
      <c r="CG604" s="167">
        <v>0</v>
      </c>
      <c r="CH604" s="167">
        <v>0</v>
      </c>
      <c r="CI604" s="167">
        <v>0</v>
      </c>
      <c r="CJ604" s="167">
        <v>0</v>
      </c>
      <c r="CK604" s="167">
        <v>0</v>
      </c>
      <c r="CL604" s="167">
        <v>0</v>
      </c>
      <c r="CM604" s="167">
        <v>0</v>
      </c>
      <c r="CN604" s="167">
        <v>0</v>
      </c>
      <c r="CO604" s="167">
        <v>0</v>
      </c>
      <c r="CP604" s="167">
        <v>0</v>
      </c>
      <c r="CQ604" s="167">
        <v>0</v>
      </c>
      <c r="CR604" s="167">
        <v>0</v>
      </c>
      <c r="CS604" s="167">
        <v>0</v>
      </c>
      <c r="CT604" s="167">
        <v>0</v>
      </c>
      <c r="CU604" s="167">
        <v>0</v>
      </c>
      <c r="CV604" s="167">
        <v>0</v>
      </c>
      <c r="CW604" s="167">
        <v>0</v>
      </c>
      <c r="CX604" s="167">
        <f>SUM(CD604:CH604)</f>
        <v>1</v>
      </c>
      <c r="CY604" s="167">
        <f>SUM(CD604:CM604)</f>
        <v>1</v>
      </c>
    </row>
    <row r="605" spans="1:103" x14ac:dyDescent="0.2">
      <c r="A605" s="81">
        <v>5959</v>
      </c>
      <c r="B605" s="165" t="s">
        <v>1908</v>
      </c>
      <c r="C605" s="165" t="s">
        <v>578</v>
      </c>
      <c r="E605" s="165" t="s">
        <v>3570</v>
      </c>
      <c r="G605" s="81">
        <v>524608</v>
      </c>
      <c r="H605" s="81">
        <v>173417</v>
      </c>
      <c r="I605" s="165" t="s">
        <v>111</v>
      </c>
      <c r="J605" s="349">
        <v>42950</v>
      </c>
      <c r="L605" s="166">
        <v>0</v>
      </c>
      <c r="M605" s="166">
        <v>1</v>
      </c>
      <c r="N605" s="166">
        <v>1</v>
      </c>
      <c r="O605" s="166">
        <v>1</v>
      </c>
      <c r="P605" s="166">
        <v>1</v>
      </c>
      <c r="R605" s="165" t="s">
        <v>579</v>
      </c>
      <c r="S605" s="81" t="s">
        <v>113</v>
      </c>
      <c r="T605" s="349">
        <v>42144</v>
      </c>
      <c r="U605" s="349">
        <v>42296</v>
      </c>
      <c r="W605" s="81" t="s">
        <v>114</v>
      </c>
      <c r="Y605" s="81" t="s">
        <v>397</v>
      </c>
      <c r="Z605" s="81" t="s">
        <v>116</v>
      </c>
      <c r="AA605" s="81" t="s">
        <v>117</v>
      </c>
      <c r="AB605" s="81" t="s">
        <v>218</v>
      </c>
      <c r="AC605" s="166">
        <v>1.8999999389052401E-2</v>
      </c>
      <c r="AD605" s="349">
        <v>42950</v>
      </c>
      <c r="AE605" s="81" t="s">
        <v>155</v>
      </c>
      <c r="AG605" s="81" t="s">
        <v>238</v>
      </c>
      <c r="AH605" s="81" t="s">
        <v>118</v>
      </c>
      <c r="AK605" s="166">
        <v>1</v>
      </c>
      <c r="AM605" s="166">
        <v>0</v>
      </c>
      <c r="AO605" s="166">
        <v>0</v>
      </c>
      <c r="AP605" s="166">
        <v>0</v>
      </c>
      <c r="AQ605" s="166">
        <v>0</v>
      </c>
      <c r="AR605" s="166">
        <v>0</v>
      </c>
      <c r="AS605" s="166">
        <v>1</v>
      </c>
      <c r="AT605" s="166">
        <v>0</v>
      </c>
      <c r="AU605" s="166">
        <v>0</v>
      </c>
      <c r="AV605" s="166">
        <v>0</v>
      </c>
      <c r="AW605" s="166">
        <v>0</v>
      </c>
      <c r="AX605" s="166">
        <v>0</v>
      </c>
      <c r="AY605" s="166">
        <v>0</v>
      </c>
      <c r="AZ605" s="166">
        <v>0</v>
      </c>
      <c r="BA605" s="166">
        <v>0</v>
      </c>
      <c r="BB605" s="166">
        <v>0</v>
      </c>
      <c r="BC605" s="166">
        <v>0</v>
      </c>
      <c r="BD605" s="166">
        <v>0</v>
      </c>
      <c r="BE605" s="166">
        <v>0</v>
      </c>
      <c r="BF605" s="166">
        <v>0</v>
      </c>
      <c r="BG605" s="166">
        <v>1</v>
      </c>
      <c r="BH605" s="166">
        <v>0</v>
      </c>
      <c r="BI605" s="166">
        <v>0</v>
      </c>
      <c r="BJ605" s="166">
        <v>0</v>
      </c>
      <c r="BK605" s="166">
        <v>0</v>
      </c>
      <c r="BL605" s="166">
        <v>0</v>
      </c>
      <c r="BM605" s="166">
        <v>0</v>
      </c>
      <c r="BN605" s="166">
        <v>0</v>
      </c>
      <c r="BO605" s="166">
        <v>0</v>
      </c>
      <c r="BP605" s="166">
        <v>0</v>
      </c>
      <c r="BQ605" s="81" t="s">
        <v>1758</v>
      </c>
      <c r="BZ605" s="81" t="s">
        <v>155</v>
      </c>
      <c r="CA605" s="81" t="s">
        <v>3976</v>
      </c>
      <c r="CC605" s="167">
        <v>0</v>
      </c>
      <c r="CD605" s="167">
        <f>N605</f>
        <v>1</v>
      </c>
      <c r="CE605" s="167">
        <v>0</v>
      </c>
      <c r="CF605" s="167">
        <v>0</v>
      </c>
      <c r="CG605" s="167">
        <v>0</v>
      </c>
      <c r="CH605" s="167">
        <v>0</v>
      </c>
      <c r="CI605" s="167">
        <v>0</v>
      </c>
      <c r="CJ605" s="167">
        <v>0</v>
      </c>
      <c r="CK605" s="167">
        <v>0</v>
      </c>
      <c r="CL605" s="167">
        <v>0</v>
      </c>
      <c r="CM605" s="167">
        <v>0</v>
      </c>
      <c r="CN605" s="167">
        <v>0</v>
      </c>
      <c r="CO605" s="167">
        <v>0</v>
      </c>
      <c r="CP605" s="167">
        <v>0</v>
      </c>
      <c r="CQ605" s="167">
        <v>0</v>
      </c>
      <c r="CR605" s="167">
        <v>0</v>
      </c>
      <c r="CS605" s="167">
        <v>0</v>
      </c>
      <c r="CT605" s="167">
        <v>0</v>
      </c>
      <c r="CU605" s="167">
        <v>0</v>
      </c>
      <c r="CV605" s="167">
        <v>0</v>
      </c>
      <c r="CW605" s="167">
        <v>0</v>
      </c>
      <c r="CX605" s="167">
        <f>SUM(CD605:CH605)</f>
        <v>1</v>
      </c>
      <c r="CY605" s="167">
        <f>SUM(CD605:CM605)</f>
        <v>1</v>
      </c>
    </row>
    <row r="606" spans="1:103" ht="12.75" customHeight="1" x14ac:dyDescent="0.2">
      <c r="A606" s="81">
        <v>5966</v>
      </c>
      <c r="B606" s="165" t="s">
        <v>1908</v>
      </c>
      <c r="C606" s="165" t="s">
        <v>719</v>
      </c>
      <c r="D606" s="165" t="s">
        <v>2107</v>
      </c>
      <c r="E606" s="165" t="s">
        <v>3178</v>
      </c>
      <c r="G606" s="81">
        <v>527304</v>
      </c>
      <c r="H606" s="81">
        <v>177160</v>
      </c>
      <c r="I606" s="165" t="s">
        <v>257</v>
      </c>
      <c r="J606" s="349">
        <v>42825</v>
      </c>
      <c r="L606" s="166">
        <v>0</v>
      </c>
      <c r="M606" s="166">
        <v>1</v>
      </c>
      <c r="N606" s="166">
        <v>1</v>
      </c>
      <c r="O606" s="166">
        <v>2</v>
      </c>
      <c r="P606" s="166">
        <v>2</v>
      </c>
      <c r="R606" s="165" t="s">
        <v>720</v>
      </c>
      <c r="S606" s="81" t="s">
        <v>110</v>
      </c>
      <c r="T606" s="349">
        <v>42351</v>
      </c>
      <c r="U606" s="349">
        <v>42443</v>
      </c>
      <c r="W606" s="81" t="s">
        <v>114</v>
      </c>
      <c r="Y606" s="81" t="s">
        <v>115</v>
      </c>
      <c r="Z606" s="81" t="s">
        <v>310</v>
      </c>
      <c r="AA606" s="81" t="s">
        <v>117</v>
      </c>
      <c r="AB606" s="81" t="s">
        <v>399</v>
      </c>
      <c r="AC606" s="166">
        <v>2.9999999329447701E-2</v>
      </c>
      <c r="AG606" s="81" t="s">
        <v>238</v>
      </c>
      <c r="AH606" s="81" t="s">
        <v>118</v>
      </c>
      <c r="AK606" s="166">
        <v>0</v>
      </c>
      <c r="AM606" s="166">
        <v>0</v>
      </c>
      <c r="AO606" s="166">
        <v>1</v>
      </c>
      <c r="AP606" s="166">
        <v>0</v>
      </c>
      <c r="AQ606" s="166">
        <v>0</v>
      </c>
      <c r="AR606" s="166">
        <v>0</v>
      </c>
      <c r="AS606" s="166">
        <v>0</v>
      </c>
      <c r="AT606" s="166">
        <v>0</v>
      </c>
      <c r="AU606" s="166">
        <v>0</v>
      </c>
      <c r="AV606" s="166">
        <v>1</v>
      </c>
      <c r="AW606" s="166">
        <v>0</v>
      </c>
      <c r="AX606" s="166">
        <v>0</v>
      </c>
      <c r="AY606" s="166">
        <v>0</v>
      </c>
      <c r="AZ606" s="166">
        <v>0</v>
      </c>
      <c r="BA606" s="166">
        <v>0</v>
      </c>
      <c r="BB606" s="166">
        <v>0</v>
      </c>
      <c r="BC606" s="166">
        <v>0</v>
      </c>
      <c r="BD606" s="166">
        <v>0</v>
      </c>
      <c r="BE606" s="166">
        <v>0</v>
      </c>
      <c r="BF606" s="166">
        <v>0</v>
      </c>
      <c r="BG606" s="166">
        <v>0</v>
      </c>
      <c r="BH606" s="166">
        <v>0</v>
      </c>
      <c r="BI606" s="166">
        <v>0</v>
      </c>
      <c r="BJ606" s="166">
        <v>0</v>
      </c>
      <c r="BK606" s="166">
        <v>0</v>
      </c>
      <c r="BL606" s="166">
        <v>0</v>
      </c>
      <c r="BM606" s="166">
        <v>0</v>
      </c>
      <c r="BN606" s="166">
        <v>0</v>
      </c>
      <c r="BO606" s="166">
        <v>0</v>
      </c>
      <c r="BP606" s="166">
        <v>0</v>
      </c>
      <c r="BQ606" s="81" t="s">
        <v>1757</v>
      </c>
      <c r="BX606" s="81" t="s">
        <v>155</v>
      </c>
      <c r="BZ606" s="81" t="s">
        <v>155</v>
      </c>
      <c r="CA606" s="81" t="s">
        <v>3980</v>
      </c>
      <c r="CC606" s="167">
        <v>0</v>
      </c>
      <c r="CD606" s="167">
        <f>N606</f>
        <v>1</v>
      </c>
      <c r="CE606" s="167">
        <v>0</v>
      </c>
      <c r="CF606" s="167">
        <v>0</v>
      </c>
      <c r="CG606" s="167">
        <v>0</v>
      </c>
      <c r="CH606" s="167">
        <v>0</v>
      </c>
      <c r="CI606" s="167">
        <v>0</v>
      </c>
      <c r="CJ606" s="167">
        <v>0</v>
      </c>
      <c r="CK606" s="167">
        <v>0</v>
      </c>
      <c r="CL606" s="167">
        <v>0</v>
      </c>
      <c r="CM606" s="167">
        <v>0</v>
      </c>
      <c r="CN606" s="167">
        <v>0</v>
      </c>
      <c r="CO606" s="167">
        <v>0</v>
      </c>
      <c r="CP606" s="167">
        <v>0</v>
      </c>
      <c r="CQ606" s="167">
        <v>0</v>
      </c>
      <c r="CR606" s="167">
        <v>0</v>
      </c>
      <c r="CS606" s="167">
        <v>0</v>
      </c>
      <c r="CT606" s="167">
        <v>0</v>
      </c>
      <c r="CU606" s="167">
        <v>0</v>
      </c>
      <c r="CV606" s="167">
        <v>0</v>
      </c>
      <c r="CW606" s="167">
        <v>0</v>
      </c>
      <c r="CX606" s="167">
        <f>SUM(CD606:CH606)</f>
        <v>1</v>
      </c>
      <c r="CY606" s="167">
        <f>SUM(CD606:CM606)</f>
        <v>1</v>
      </c>
    </row>
    <row r="607" spans="1:103" ht="12.75" customHeight="1" x14ac:dyDescent="0.2">
      <c r="A607" s="81">
        <v>5968</v>
      </c>
      <c r="B607" s="165" t="s">
        <v>1908</v>
      </c>
      <c r="C607" s="165" t="s">
        <v>1734</v>
      </c>
      <c r="E607" s="165" t="s">
        <v>3571</v>
      </c>
      <c r="G607" s="81">
        <v>528235</v>
      </c>
      <c r="H607" s="81">
        <v>172781</v>
      </c>
      <c r="I607" s="165" t="s">
        <v>254</v>
      </c>
      <c r="J607" s="349">
        <v>42856</v>
      </c>
      <c r="L607" s="166">
        <v>0</v>
      </c>
      <c r="M607" s="166">
        <v>3</v>
      </c>
      <c r="N607" s="166">
        <v>3</v>
      </c>
      <c r="O607" s="166">
        <v>69</v>
      </c>
      <c r="P607" s="166">
        <v>69</v>
      </c>
      <c r="Q607" s="81" t="s">
        <v>155</v>
      </c>
      <c r="R607" s="165" t="s">
        <v>3572</v>
      </c>
      <c r="S607" s="81" t="s">
        <v>509</v>
      </c>
      <c r="T607" s="349">
        <v>42802</v>
      </c>
      <c r="U607" s="349">
        <v>42923</v>
      </c>
      <c r="V607" s="81" t="s">
        <v>155</v>
      </c>
      <c r="W607" s="81" t="s">
        <v>114</v>
      </c>
      <c r="Y607" s="81" t="s">
        <v>115</v>
      </c>
      <c r="Z607" s="81" t="s">
        <v>116</v>
      </c>
      <c r="AA607" s="81" t="s">
        <v>116</v>
      </c>
      <c r="AB607" s="81" t="s">
        <v>117</v>
      </c>
      <c r="AC607" s="166">
        <v>6.0000000521540598E-3</v>
      </c>
      <c r="AD607" s="349">
        <v>43190</v>
      </c>
      <c r="AE607" s="81" t="s">
        <v>155</v>
      </c>
      <c r="AG607" s="81" t="s">
        <v>154</v>
      </c>
      <c r="AH607" s="81" t="s">
        <v>276</v>
      </c>
      <c r="AK607" s="166">
        <v>0</v>
      </c>
      <c r="AL607" s="166">
        <v>3</v>
      </c>
      <c r="AM607" s="166">
        <v>0</v>
      </c>
      <c r="AN607" s="166">
        <v>0</v>
      </c>
      <c r="AO607" s="166">
        <v>0</v>
      </c>
      <c r="AP607" s="166">
        <v>0</v>
      </c>
      <c r="AQ607" s="166">
        <v>2</v>
      </c>
      <c r="AR607" s="166">
        <v>1</v>
      </c>
      <c r="AS607" s="166">
        <v>0</v>
      </c>
      <c r="AT607" s="166">
        <v>0</v>
      </c>
      <c r="AU607" s="166">
        <v>0</v>
      </c>
      <c r="AV607" s="166">
        <v>0</v>
      </c>
      <c r="AW607" s="166">
        <v>0</v>
      </c>
      <c r="AX607" s="166">
        <v>2</v>
      </c>
      <c r="AY607" s="166">
        <v>1</v>
      </c>
      <c r="AZ607" s="166">
        <v>0</v>
      </c>
      <c r="BA607" s="166">
        <v>0</v>
      </c>
      <c r="BB607" s="166">
        <v>0</v>
      </c>
      <c r="BC607" s="166">
        <v>0</v>
      </c>
      <c r="BD607" s="166">
        <v>0</v>
      </c>
      <c r="BE607" s="166">
        <v>0</v>
      </c>
      <c r="BF607" s="166">
        <v>0</v>
      </c>
      <c r="BG607" s="166">
        <v>0</v>
      </c>
      <c r="BH607" s="166">
        <v>0</v>
      </c>
      <c r="BI607" s="166">
        <v>0</v>
      </c>
      <c r="BJ607" s="166">
        <v>0</v>
      </c>
      <c r="BK607" s="166">
        <v>0</v>
      </c>
      <c r="BL607" s="166">
        <v>0</v>
      </c>
      <c r="BM607" s="166">
        <v>0</v>
      </c>
      <c r="BN607" s="166">
        <v>0</v>
      </c>
      <c r="BO607" s="166">
        <v>0</v>
      </c>
      <c r="BP607" s="166">
        <v>0</v>
      </c>
      <c r="BQ607" s="81" t="s">
        <v>1757</v>
      </c>
      <c r="BZ607" s="81" t="s">
        <v>155</v>
      </c>
      <c r="CA607" s="81" t="s">
        <v>3934</v>
      </c>
      <c r="CC607" s="167">
        <v>0</v>
      </c>
      <c r="CD607" s="167">
        <v>0</v>
      </c>
      <c r="CE607" s="167">
        <f>$N607/3</f>
        <v>1</v>
      </c>
      <c r="CF607" s="167">
        <f>$N607/3</f>
        <v>1</v>
      </c>
      <c r="CG607" s="167">
        <f>$N607/3</f>
        <v>1</v>
      </c>
      <c r="CH607" s="167">
        <v>0</v>
      </c>
      <c r="CI607" s="167">
        <v>0</v>
      </c>
      <c r="CJ607" s="167">
        <v>0</v>
      </c>
      <c r="CK607" s="167">
        <v>0</v>
      </c>
      <c r="CL607" s="167">
        <v>0</v>
      </c>
      <c r="CM607" s="167">
        <v>0</v>
      </c>
      <c r="CN607" s="167">
        <v>0</v>
      </c>
      <c r="CO607" s="167">
        <v>0</v>
      </c>
      <c r="CP607" s="167">
        <v>0</v>
      </c>
      <c r="CQ607" s="167">
        <v>0</v>
      </c>
      <c r="CR607" s="167">
        <v>0</v>
      </c>
      <c r="CS607" s="167">
        <v>0</v>
      </c>
      <c r="CT607" s="167">
        <v>0</v>
      </c>
      <c r="CU607" s="167">
        <v>0</v>
      </c>
      <c r="CV607" s="167">
        <v>0</v>
      </c>
      <c r="CW607" s="167">
        <v>0</v>
      </c>
      <c r="CX607" s="167">
        <f>SUM(CD607:CH607)</f>
        <v>3</v>
      </c>
      <c r="CY607" s="167">
        <f>SUM(CD607:CM607)</f>
        <v>3</v>
      </c>
    </row>
    <row r="608" spans="1:103" ht="12.75" customHeight="1" x14ac:dyDescent="0.2">
      <c r="A608" s="81">
        <v>5968</v>
      </c>
      <c r="B608" s="165" t="s">
        <v>1908</v>
      </c>
      <c r="C608" s="165" t="s">
        <v>1734</v>
      </c>
      <c r="E608" s="165" t="s">
        <v>3571</v>
      </c>
      <c r="G608" s="81">
        <v>528235</v>
      </c>
      <c r="H608" s="81">
        <v>172781</v>
      </c>
      <c r="I608" s="165" t="s">
        <v>254</v>
      </c>
      <c r="J608" s="349">
        <v>42856</v>
      </c>
      <c r="L608" s="166">
        <v>0</v>
      </c>
      <c r="M608" s="166">
        <v>2</v>
      </c>
      <c r="N608" s="166">
        <v>2</v>
      </c>
      <c r="O608" s="166">
        <v>69</v>
      </c>
      <c r="P608" s="166">
        <v>69</v>
      </c>
      <c r="Q608" s="81" t="s">
        <v>155</v>
      </c>
      <c r="R608" s="165" t="s">
        <v>3572</v>
      </c>
      <c r="S608" s="81" t="s">
        <v>509</v>
      </c>
      <c r="T608" s="349">
        <v>42802</v>
      </c>
      <c r="U608" s="349">
        <v>42923</v>
      </c>
      <c r="V608" s="81" t="s">
        <v>155</v>
      </c>
      <c r="W608" s="81" t="s">
        <v>114</v>
      </c>
      <c r="Y608" s="81" t="s">
        <v>115</v>
      </c>
      <c r="Z608" s="81" t="s">
        <v>116</v>
      </c>
      <c r="AA608" s="81" t="s">
        <v>116</v>
      </c>
      <c r="AB608" s="81" t="s">
        <v>117</v>
      </c>
      <c r="AC608" s="166">
        <v>4.0000001899898104E-3</v>
      </c>
      <c r="AD608" s="349">
        <v>43190</v>
      </c>
      <c r="AE608" s="81" t="s">
        <v>155</v>
      </c>
      <c r="AG608" s="81" t="s">
        <v>74</v>
      </c>
      <c r="AH608" s="81" t="s">
        <v>990</v>
      </c>
      <c r="AK608" s="166">
        <v>0</v>
      </c>
      <c r="AL608" s="166">
        <v>2</v>
      </c>
      <c r="AM608" s="166">
        <v>0</v>
      </c>
      <c r="AO608" s="166">
        <v>0</v>
      </c>
      <c r="AP608" s="166">
        <v>1</v>
      </c>
      <c r="AQ608" s="166">
        <v>1</v>
      </c>
      <c r="AR608" s="166">
        <v>0</v>
      </c>
      <c r="AS608" s="166">
        <v>0</v>
      </c>
      <c r="AT608" s="166">
        <v>0</v>
      </c>
      <c r="AU608" s="166">
        <v>0</v>
      </c>
      <c r="AV608" s="166">
        <v>0</v>
      </c>
      <c r="AW608" s="166">
        <v>1</v>
      </c>
      <c r="AX608" s="166">
        <v>1</v>
      </c>
      <c r="AY608" s="166">
        <v>0</v>
      </c>
      <c r="AZ608" s="166">
        <v>0</v>
      </c>
      <c r="BA608" s="166">
        <v>0</v>
      </c>
      <c r="BB608" s="166">
        <v>0</v>
      </c>
      <c r="BC608" s="166">
        <v>0</v>
      </c>
      <c r="BD608" s="166">
        <v>0</v>
      </c>
      <c r="BE608" s="166">
        <v>0</v>
      </c>
      <c r="BF608" s="166">
        <v>0</v>
      </c>
      <c r="BG608" s="166">
        <v>0</v>
      </c>
      <c r="BH608" s="166">
        <v>0</v>
      </c>
      <c r="BI608" s="166">
        <v>0</v>
      </c>
      <c r="BJ608" s="166">
        <v>0</v>
      </c>
      <c r="BK608" s="166">
        <v>0</v>
      </c>
      <c r="BL608" s="166">
        <v>0</v>
      </c>
      <c r="BM608" s="166">
        <v>0</v>
      </c>
      <c r="BN608" s="166">
        <v>0</v>
      </c>
      <c r="BO608" s="166">
        <v>0</v>
      </c>
      <c r="BP608" s="166">
        <v>0</v>
      </c>
      <c r="BQ608" s="81" t="s">
        <v>1757</v>
      </c>
      <c r="BZ608" s="81" t="s">
        <v>155</v>
      </c>
      <c r="CA608" s="81" t="s">
        <v>3934</v>
      </c>
      <c r="CC608" s="167">
        <v>0</v>
      </c>
      <c r="CD608" s="167">
        <v>0</v>
      </c>
      <c r="CE608" s="167">
        <f>$N608/3</f>
        <v>0.66666666666666663</v>
      </c>
      <c r="CF608" s="167">
        <f>$N608/3</f>
        <v>0.66666666666666663</v>
      </c>
      <c r="CG608" s="167">
        <f>$N608/3</f>
        <v>0.66666666666666663</v>
      </c>
      <c r="CH608" s="167">
        <v>0</v>
      </c>
      <c r="CI608" s="167">
        <v>0</v>
      </c>
      <c r="CJ608" s="167">
        <v>0</v>
      </c>
      <c r="CK608" s="167">
        <v>0</v>
      </c>
      <c r="CL608" s="167">
        <v>0</v>
      </c>
      <c r="CM608" s="167">
        <v>0</v>
      </c>
      <c r="CN608" s="167">
        <v>0</v>
      </c>
      <c r="CO608" s="167">
        <v>0</v>
      </c>
      <c r="CP608" s="167">
        <v>0</v>
      </c>
      <c r="CQ608" s="167">
        <v>0</v>
      </c>
      <c r="CR608" s="167">
        <v>0</v>
      </c>
      <c r="CS608" s="167">
        <v>0</v>
      </c>
      <c r="CT608" s="167">
        <v>0</v>
      </c>
      <c r="CU608" s="167">
        <v>0</v>
      </c>
      <c r="CV608" s="167">
        <v>0</v>
      </c>
      <c r="CW608" s="167">
        <v>0</v>
      </c>
      <c r="CX608" s="167">
        <f>SUM(CD608:CH608)</f>
        <v>2</v>
      </c>
      <c r="CY608" s="167">
        <f>SUM(CD608:CM608)</f>
        <v>2</v>
      </c>
    </row>
    <row r="609" spans="1:103" ht="12.75" customHeight="1" x14ac:dyDescent="0.2">
      <c r="A609" s="81">
        <v>5968</v>
      </c>
      <c r="B609" s="165" t="s">
        <v>1908</v>
      </c>
      <c r="C609" s="165" t="s">
        <v>3576</v>
      </c>
      <c r="E609" s="165" t="s">
        <v>3571</v>
      </c>
      <c r="G609" s="81">
        <v>528235</v>
      </c>
      <c r="H609" s="81">
        <v>172781</v>
      </c>
      <c r="I609" s="165" t="s">
        <v>254</v>
      </c>
      <c r="J609" s="349">
        <v>42856</v>
      </c>
      <c r="L609" s="166">
        <v>0</v>
      </c>
      <c r="M609" s="166">
        <v>64</v>
      </c>
      <c r="N609" s="166">
        <v>64</v>
      </c>
      <c r="O609" s="166">
        <v>64</v>
      </c>
      <c r="P609" s="166">
        <v>64</v>
      </c>
      <c r="Q609" s="81" t="s">
        <v>155</v>
      </c>
      <c r="R609" s="165" t="s">
        <v>3577</v>
      </c>
      <c r="S609" s="81" t="s">
        <v>509</v>
      </c>
      <c r="T609" s="349">
        <v>43056</v>
      </c>
      <c r="U609" s="349">
        <v>43166</v>
      </c>
      <c r="V609" s="81" t="s">
        <v>155</v>
      </c>
      <c r="W609" s="81" t="s">
        <v>114</v>
      </c>
      <c r="Y609" s="81" t="s">
        <v>115</v>
      </c>
      <c r="Z609" s="81" t="s">
        <v>116</v>
      </c>
      <c r="AA609" s="81" t="s">
        <v>116</v>
      </c>
      <c r="AB609" s="81" t="s">
        <v>117</v>
      </c>
      <c r="AC609" s="166">
        <v>0.123000003397465</v>
      </c>
      <c r="AD609" s="349">
        <v>43190</v>
      </c>
      <c r="AE609" s="81" t="s">
        <v>155</v>
      </c>
      <c r="AG609" s="81" t="s">
        <v>238</v>
      </c>
      <c r="AH609" s="81" t="s">
        <v>118</v>
      </c>
      <c r="AK609" s="166">
        <v>0</v>
      </c>
      <c r="AL609" s="166">
        <v>58</v>
      </c>
      <c r="AM609" s="166">
        <v>0</v>
      </c>
      <c r="AN609" s="166">
        <v>6</v>
      </c>
      <c r="AO609" s="166">
        <v>0</v>
      </c>
      <c r="AP609" s="166">
        <v>20</v>
      </c>
      <c r="AQ609" s="166">
        <v>36</v>
      </c>
      <c r="AR609" s="166">
        <v>7</v>
      </c>
      <c r="AS609" s="166">
        <v>1</v>
      </c>
      <c r="AT609" s="166">
        <v>0</v>
      </c>
      <c r="AU609" s="166">
        <v>0</v>
      </c>
      <c r="AV609" s="166">
        <v>0</v>
      </c>
      <c r="AW609" s="166">
        <v>20</v>
      </c>
      <c r="AX609" s="166">
        <v>36</v>
      </c>
      <c r="AY609" s="166">
        <v>7</v>
      </c>
      <c r="AZ609" s="166">
        <v>1</v>
      </c>
      <c r="BA609" s="166">
        <v>0</v>
      </c>
      <c r="BB609" s="166">
        <v>0</v>
      </c>
      <c r="BC609" s="166">
        <v>0</v>
      </c>
      <c r="BD609" s="166">
        <v>0</v>
      </c>
      <c r="BE609" s="166">
        <v>0</v>
      </c>
      <c r="BF609" s="166">
        <v>0</v>
      </c>
      <c r="BG609" s="166">
        <v>0</v>
      </c>
      <c r="BH609" s="166">
        <v>0</v>
      </c>
      <c r="BI609" s="166">
        <v>0</v>
      </c>
      <c r="BJ609" s="166">
        <v>0</v>
      </c>
      <c r="BK609" s="166">
        <v>0</v>
      </c>
      <c r="BL609" s="166">
        <v>0</v>
      </c>
      <c r="BM609" s="166">
        <v>0</v>
      </c>
      <c r="BN609" s="166">
        <v>0</v>
      </c>
      <c r="BO609" s="166">
        <v>0</v>
      </c>
      <c r="BP609" s="166">
        <v>0</v>
      </c>
      <c r="BQ609" s="81" t="s">
        <v>1757</v>
      </c>
      <c r="BZ609" s="81" t="s">
        <v>155</v>
      </c>
      <c r="CA609" s="81" t="s">
        <v>3934</v>
      </c>
      <c r="CC609" s="167">
        <v>0</v>
      </c>
      <c r="CD609" s="167">
        <v>0</v>
      </c>
      <c r="CE609" s="167">
        <f>$N609/3</f>
        <v>21.333333333333332</v>
      </c>
      <c r="CF609" s="167">
        <f>$N609/3</f>
        <v>21.333333333333332</v>
      </c>
      <c r="CG609" s="167">
        <f>$N609/3</f>
        <v>21.333333333333332</v>
      </c>
      <c r="CH609" s="167">
        <v>0</v>
      </c>
      <c r="CI609" s="167">
        <v>0</v>
      </c>
      <c r="CJ609" s="167">
        <v>0</v>
      </c>
      <c r="CK609" s="167">
        <v>0</v>
      </c>
      <c r="CL609" s="167">
        <v>0</v>
      </c>
      <c r="CM609" s="167">
        <v>0</v>
      </c>
      <c r="CN609" s="167">
        <v>0</v>
      </c>
      <c r="CO609" s="167">
        <v>0</v>
      </c>
      <c r="CP609" s="167">
        <v>0</v>
      </c>
      <c r="CQ609" s="167">
        <v>0</v>
      </c>
      <c r="CR609" s="167">
        <v>0</v>
      </c>
      <c r="CS609" s="167">
        <v>0</v>
      </c>
      <c r="CT609" s="167">
        <v>0</v>
      </c>
      <c r="CU609" s="167">
        <v>0</v>
      </c>
      <c r="CV609" s="167">
        <v>0</v>
      </c>
      <c r="CW609" s="167">
        <v>0</v>
      </c>
      <c r="CX609" s="167">
        <f>SUM(CD609:CH609)</f>
        <v>64</v>
      </c>
      <c r="CY609" s="167">
        <f>SUM(CD609:CM609)</f>
        <v>64</v>
      </c>
    </row>
    <row r="610" spans="1:103" ht="12.75" customHeight="1" x14ac:dyDescent="0.2">
      <c r="A610" s="81">
        <v>6002</v>
      </c>
      <c r="B610" s="165" t="s">
        <v>1908</v>
      </c>
      <c r="C610" s="165" t="s">
        <v>585</v>
      </c>
      <c r="E610" s="165" t="s">
        <v>3605</v>
      </c>
      <c r="G610" s="81">
        <v>526733</v>
      </c>
      <c r="H610" s="81">
        <v>174909</v>
      </c>
      <c r="I610" s="165" t="s">
        <v>251</v>
      </c>
      <c r="J610" s="349">
        <v>42825</v>
      </c>
      <c r="L610" s="166">
        <v>2</v>
      </c>
      <c r="M610" s="166">
        <v>2</v>
      </c>
      <c r="N610" s="166">
        <v>0</v>
      </c>
      <c r="O610" s="166">
        <v>2</v>
      </c>
      <c r="P610" s="166">
        <v>0</v>
      </c>
      <c r="R610" s="165" t="s">
        <v>586</v>
      </c>
      <c r="S610" s="81" t="s">
        <v>113</v>
      </c>
      <c r="T610" s="349">
        <v>42173</v>
      </c>
      <c r="U610" s="349">
        <v>42297</v>
      </c>
      <c r="W610" s="81" t="s">
        <v>114</v>
      </c>
      <c r="Y610" s="81" t="s">
        <v>115</v>
      </c>
      <c r="Z610" s="81" t="s">
        <v>116</v>
      </c>
      <c r="AA610" s="81" t="s">
        <v>117</v>
      </c>
      <c r="AB610" s="81" t="s">
        <v>218</v>
      </c>
      <c r="AC610" s="166">
        <v>3.4000001847744002E-2</v>
      </c>
      <c r="AD610" s="349">
        <v>42825</v>
      </c>
      <c r="AG610" s="81" t="s">
        <v>238</v>
      </c>
      <c r="AH610" s="81" t="s">
        <v>118</v>
      </c>
      <c r="AK610" s="166">
        <v>2</v>
      </c>
      <c r="AM610" s="166">
        <v>0</v>
      </c>
      <c r="AO610" s="166">
        <v>0</v>
      </c>
      <c r="AP610" s="166">
        <v>-1</v>
      </c>
      <c r="AQ610" s="166">
        <v>-1</v>
      </c>
      <c r="AR610" s="166">
        <v>0</v>
      </c>
      <c r="AS610" s="166">
        <v>2</v>
      </c>
      <c r="AT610" s="166">
        <v>0</v>
      </c>
      <c r="AU610" s="166">
        <v>0</v>
      </c>
      <c r="AV610" s="166">
        <v>0</v>
      </c>
      <c r="AW610" s="166">
        <v>0</v>
      </c>
      <c r="AX610" s="166">
        <v>0</v>
      </c>
      <c r="AY610" s="166">
        <v>0</v>
      </c>
      <c r="AZ610" s="166">
        <v>0</v>
      </c>
      <c r="BA610" s="166">
        <v>0</v>
      </c>
      <c r="BB610" s="166">
        <v>0</v>
      </c>
      <c r="BC610" s="166">
        <v>0</v>
      </c>
      <c r="BD610" s="166">
        <v>-1</v>
      </c>
      <c r="BE610" s="166">
        <v>-1</v>
      </c>
      <c r="BF610" s="166">
        <v>0</v>
      </c>
      <c r="BG610" s="166">
        <v>2</v>
      </c>
      <c r="BH610" s="166">
        <v>0</v>
      </c>
      <c r="BI610" s="166">
        <v>0</v>
      </c>
      <c r="BJ610" s="166">
        <v>0</v>
      </c>
      <c r="BK610" s="166">
        <v>0</v>
      </c>
      <c r="BL610" s="166">
        <v>0</v>
      </c>
      <c r="BM610" s="166">
        <v>0</v>
      </c>
      <c r="BN610" s="166">
        <v>0</v>
      </c>
      <c r="BO610" s="166">
        <v>0</v>
      </c>
      <c r="BP610" s="166">
        <v>0</v>
      </c>
      <c r="BQ610" s="81" t="s">
        <v>1758</v>
      </c>
      <c r="BZ610" s="81" t="s">
        <v>155</v>
      </c>
      <c r="CA610" s="81" t="s">
        <v>3976</v>
      </c>
      <c r="CC610" s="167">
        <v>0</v>
      </c>
      <c r="CD610" s="167">
        <f>N610</f>
        <v>0</v>
      </c>
      <c r="CE610" s="167">
        <v>0</v>
      </c>
      <c r="CF610" s="167">
        <v>0</v>
      </c>
      <c r="CG610" s="167">
        <v>0</v>
      </c>
      <c r="CH610" s="167">
        <v>0</v>
      </c>
      <c r="CI610" s="167">
        <v>0</v>
      </c>
      <c r="CJ610" s="167">
        <v>0</v>
      </c>
      <c r="CK610" s="167">
        <v>0</v>
      </c>
      <c r="CL610" s="167">
        <v>0</v>
      </c>
      <c r="CM610" s="167">
        <v>0</v>
      </c>
      <c r="CN610" s="167">
        <v>0</v>
      </c>
      <c r="CO610" s="167">
        <v>0</v>
      </c>
      <c r="CP610" s="167">
        <v>0</v>
      </c>
      <c r="CQ610" s="167">
        <v>0</v>
      </c>
      <c r="CR610" s="167">
        <v>0</v>
      </c>
      <c r="CS610" s="167">
        <v>0</v>
      </c>
      <c r="CT610" s="167">
        <v>0</v>
      </c>
      <c r="CU610" s="167">
        <v>0</v>
      </c>
      <c r="CV610" s="167">
        <v>0</v>
      </c>
      <c r="CW610" s="167">
        <v>0</v>
      </c>
      <c r="CX610" s="167">
        <f>SUM(CD610:CH610)</f>
        <v>0</v>
      </c>
      <c r="CY610" s="167">
        <f>SUM(CD610:CM610)</f>
        <v>0</v>
      </c>
    </row>
    <row r="611" spans="1:103" ht="12.75" customHeight="1" x14ac:dyDescent="0.2">
      <c r="A611" s="81">
        <v>6006</v>
      </c>
      <c r="B611" s="165" t="s">
        <v>1908</v>
      </c>
      <c r="C611" s="165" t="s">
        <v>780</v>
      </c>
      <c r="E611" s="165" t="s">
        <v>3606</v>
      </c>
      <c r="G611" s="81">
        <v>524739</v>
      </c>
      <c r="H611" s="81">
        <v>174137</v>
      </c>
      <c r="I611" s="165" t="s">
        <v>250</v>
      </c>
      <c r="J611" s="349">
        <v>42937</v>
      </c>
      <c r="L611" s="166">
        <v>0</v>
      </c>
      <c r="M611" s="166">
        <v>1</v>
      </c>
      <c r="N611" s="166">
        <v>1</v>
      </c>
      <c r="O611" s="166">
        <v>1</v>
      </c>
      <c r="P611" s="166">
        <v>1</v>
      </c>
      <c r="R611" s="165" t="s">
        <v>1687</v>
      </c>
      <c r="S611" s="81" t="s">
        <v>113</v>
      </c>
      <c r="T611" s="349">
        <v>42482</v>
      </c>
      <c r="U611" s="349">
        <v>42719</v>
      </c>
      <c r="W611" s="81" t="s">
        <v>114</v>
      </c>
      <c r="Y611" s="81" t="s">
        <v>115</v>
      </c>
      <c r="Z611" s="81" t="s">
        <v>116</v>
      </c>
      <c r="AA611" s="81" t="s">
        <v>117</v>
      </c>
      <c r="AB611" s="81" t="s">
        <v>218</v>
      </c>
      <c r="AC611" s="166">
        <v>2.70000007003546E-2</v>
      </c>
      <c r="AD611" s="349">
        <v>42937</v>
      </c>
      <c r="AE611" s="81" t="s">
        <v>155</v>
      </c>
      <c r="AG611" s="81" t="s">
        <v>238</v>
      </c>
      <c r="AH611" s="81" t="s">
        <v>118</v>
      </c>
      <c r="AK611" s="166">
        <v>1</v>
      </c>
      <c r="AM611" s="166">
        <v>0</v>
      </c>
      <c r="AO611" s="166">
        <v>0</v>
      </c>
      <c r="AP611" s="166">
        <v>0</v>
      </c>
      <c r="AQ611" s="166">
        <v>0</v>
      </c>
      <c r="AR611" s="166">
        <v>0</v>
      </c>
      <c r="AS611" s="166">
        <v>1</v>
      </c>
      <c r="AT611" s="166">
        <v>0</v>
      </c>
      <c r="AU611" s="166">
        <v>0</v>
      </c>
      <c r="AV611" s="166">
        <v>0</v>
      </c>
      <c r="AW611" s="166">
        <v>0</v>
      </c>
      <c r="AX611" s="166">
        <v>0</v>
      </c>
      <c r="AY611" s="166">
        <v>0</v>
      </c>
      <c r="AZ611" s="166">
        <v>0</v>
      </c>
      <c r="BA611" s="166">
        <v>0</v>
      </c>
      <c r="BB611" s="166">
        <v>0</v>
      </c>
      <c r="BC611" s="166">
        <v>0</v>
      </c>
      <c r="BD611" s="166">
        <v>0</v>
      </c>
      <c r="BE611" s="166">
        <v>0</v>
      </c>
      <c r="BF611" s="166">
        <v>0</v>
      </c>
      <c r="BG611" s="166">
        <v>1</v>
      </c>
      <c r="BH611" s="166">
        <v>0</v>
      </c>
      <c r="BI611" s="166">
        <v>0</v>
      </c>
      <c r="BJ611" s="166">
        <v>0</v>
      </c>
      <c r="BK611" s="166">
        <v>0</v>
      </c>
      <c r="BL611" s="166">
        <v>0</v>
      </c>
      <c r="BM611" s="166">
        <v>0</v>
      </c>
      <c r="BN611" s="166">
        <v>0</v>
      </c>
      <c r="BO611" s="166">
        <v>0</v>
      </c>
      <c r="BP611" s="166">
        <v>0</v>
      </c>
      <c r="BQ611" s="81" t="s">
        <v>1758</v>
      </c>
      <c r="BZ611" s="81" t="s">
        <v>155</v>
      </c>
      <c r="CA611" s="81" t="s">
        <v>3976</v>
      </c>
      <c r="CC611" s="167">
        <v>0</v>
      </c>
      <c r="CD611" s="167">
        <f>N611</f>
        <v>1</v>
      </c>
      <c r="CE611" s="167">
        <v>0</v>
      </c>
      <c r="CF611" s="167">
        <v>0</v>
      </c>
      <c r="CG611" s="167">
        <v>0</v>
      </c>
      <c r="CH611" s="167">
        <v>0</v>
      </c>
      <c r="CI611" s="167">
        <v>0</v>
      </c>
      <c r="CJ611" s="167">
        <v>0</v>
      </c>
      <c r="CK611" s="167">
        <v>0</v>
      </c>
      <c r="CL611" s="167">
        <v>0</v>
      </c>
      <c r="CM611" s="167">
        <v>0</v>
      </c>
      <c r="CN611" s="167">
        <v>0</v>
      </c>
      <c r="CO611" s="167">
        <v>0</v>
      </c>
      <c r="CP611" s="167">
        <v>0</v>
      </c>
      <c r="CQ611" s="167">
        <v>0</v>
      </c>
      <c r="CR611" s="167">
        <v>0</v>
      </c>
      <c r="CS611" s="167">
        <v>0</v>
      </c>
      <c r="CT611" s="167">
        <v>0</v>
      </c>
      <c r="CU611" s="167">
        <v>0</v>
      </c>
      <c r="CV611" s="167">
        <v>0</v>
      </c>
      <c r="CW611" s="167">
        <v>0</v>
      </c>
      <c r="CX611" s="167">
        <f>SUM(CD611:CH611)</f>
        <v>1</v>
      </c>
      <c r="CY611" s="167">
        <f>SUM(CD611:CM611)</f>
        <v>1</v>
      </c>
    </row>
    <row r="612" spans="1:103" ht="12.75" customHeight="1" x14ac:dyDescent="0.2">
      <c r="A612" s="81">
        <v>6015</v>
      </c>
      <c r="B612" s="165" t="s">
        <v>1908</v>
      </c>
      <c r="C612" s="165" t="s">
        <v>522</v>
      </c>
      <c r="E612" s="165" t="s">
        <v>3609</v>
      </c>
      <c r="G612" s="81">
        <v>521171</v>
      </c>
      <c r="H612" s="81">
        <v>174446</v>
      </c>
      <c r="I612" s="165" t="s">
        <v>877</v>
      </c>
      <c r="J612" s="349">
        <v>42125</v>
      </c>
      <c r="L612" s="166">
        <v>1</v>
      </c>
      <c r="M612" s="166">
        <v>1</v>
      </c>
      <c r="N612" s="166">
        <v>0</v>
      </c>
      <c r="O612" s="166">
        <v>1</v>
      </c>
      <c r="P612" s="166">
        <v>0</v>
      </c>
      <c r="R612" s="165" t="s">
        <v>523</v>
      </c>
      <c r="S612" s="81" t="s">
        <v>113</v>
      </c>
      <c r="T612" s="349">
        <v>42188</v>
      </c>
      <c r="U612" s="349">
        <v>42263</v>
      </c>
      <c r="W612" s="81" t="s">
        <v>114</v>
      </c>
      <c r="Y612" s="81" t="s">
        <v>115</v>
      </c>
      <c r="Z612" s="81" t="s">
        <v>116</v>
      </c>
      <c r="AA612" s="81" t="s">
        <v>117</v>
      </c>
      <c r="AB612" s="81" t="s">
        <v>218</v>
      </c>
      <c r="AC612" s="166">
        <v>0.11200000345706899</v>
      </c>
      <c r="AD612" s="349">
        <v>42125</v>
      </c>
      <c r="AG612" s="81" t="s">
        <v>238</v>
      </c>
      <c r="AH612" s="81" t="s">
        <v>118</v>
      </c>
      <c r="AK612" s="166">
        <v>1</v>
      </c>
      <c r="AM612" s="166">
        <v>0</v>
      </c>
      <c r="AO612" s="166">
        <v>0</v>
      </c>
      <c r="AP612" s="166">
        <v>0</v>
      </c>
      <c r="AQ612" s="166">
        <v>0</v>
      </c>
      <c r="AR612" s="166">
        <v>0</v>
      </c>
      <c r="AS612" s="166">
        <v>-1</v>
      </c>
      <c r="AT612" s="166">
        <v>1</v>
      </c>
      <c r="AU612" s="166">
        <v>0</v>
      </c>
      <c r="AV612" s="166">
        <v>0</v>
      </c>
      <c r="AW612" s="166">
        <v>0</v>
      </c>
      <c r="AX612" s="166">
        <v>0</v>
      </c>
      <c r="AY612" s="166">
        <v>0</v>
      </c>
      <c r="AZ612" s="166">
        <v>0</v>
      </c>
      <c r="BA612" s="166">
        <v>0</v>
      </c>
      <c r="BB612" s="166">
        <v>0</v>
      </c>
      <c r="BC612" s="166">
        <v>0</v>
      </c>
      <c r="BD612" s="166">
        <v>0</v>
      </c>
      <c r="BE612" s="166">
        <v>0</v>
      </c>
      <c r="BF612" s="166">
        <v>0</v>
      </c>
      <c r="BG612" s="166">
        <v>-1</v>
      </c>
      <c r="BH612" s="166">
        <v>1</v>
      </c>
      <c r="BI612" s="166">
        <v>0</v>
      </c>
      <c r="BJ612" s="166">
        <v>0</v>
      </c>
      <c r="BK612" s="166">
        <v>0</v>
      </c>
      <c r="BL612" s="166">
        <v>0</v>
      </c>
      <c r="BM612" s="166">
        <v>0</v>
      </c>
      <c r="BN612" s="166">
        <v>0</v>
      </c>
      <c r="BO612" s="166">
        <v>0</v>
      </c>
      <c r="BP612" s="166">
        <v>0</v>
      </c>
      <c r="BQ612" s="81" t="s">
        <v>1758</v>
      </c>
      <c r="BZ612" s="81" t="s">
        <v>155</v>
      </c>
      <c r="CA612" s="81" t="s">
        <v>3976</v>
      </c>
      <c r="CC612" s="167">
        <v>0</v>
      </c>
      <c r="CD612" s="167">
        <f>N612</f>
        <v>0</v>
      </c>
      <c r="CE612" s="167">
        <v>0</v>
      </c>
      <c r="CF612" s="167">
        <v>0</v>
      </c>
      <c r="CG612" s="167">
        <v>0</v>
      </c>
      <c r="CH612" s="167">
        <v>0</v>
      </c>
      <c r="CI612" s="167">
        <v>0</v>
      </c>
      <c r="CJ612" s="167">
        <v>0</v>
      </c>
      <c r="CK612" s="167">
        <v>0</v>
      </c>
      <c r="CL612" s="167">
        <v>0</v>
      </c>
      <c r="CM612" s="167">
        <v>0</v>
      </c>
      <c r="CN612" s="167">
        <v>0</v>
      </c>
      <c r="CO612" s="167">
        <v>0</v>
      </c>
      <c r="CP612" s="167">
        <v>0</v>
      </c>
      <c r="CQ612" s="167">
        <v>0</v>
      </c>
      <c r="CR612" s="167">
        <v>0</v>
      </c>
      <c r="CS612" s="167">
        <v>0</v>
      </c>
      <c r="CT612" s="167">
        <v>0</v>
      </c>
      <c r="CU612" s="167">
        <v>0</v>
      </c>
      <c r="CV612" s="167">
        <v>0</v>
      </c>
      <c r="CW612" s="167">
        <v>0</v>
      </c>
      <c r="CX612" s="167">
        <f>SUM(CD612:CH612)</f>
        <v>0</v>
      </c>
      <c r="CY612" s="167">
        <f>SUM(CD612:CM612)</f>
        <v>0</v>
      </c>
    </row>
    <row r="613" spans="1:103" ht="12.75" customHeight="1" x14ac:dyDescent="0.2">
      <c r="A613" s="81">
        <v>6027</v>
      </c>
      <c r="B613" s="165" t="s">
        <v>1908</v>
      </c>
      <c r="C613" s="165" t="s">
        <v>624</v>
      </c>
      <c r="E613" s="165" t="s">
        <v>3610</v>
      </c>
      <c r="G613" s="81">
        <v>527409</v>
      </c>
      <c r="H613" s="81">
        <v>171118</v>
      </c>
      <c r="I613" s="165" t="s">
        <v>253</v>
      </c>
      <c r="J613" s="349">
        <v>42789</v>
      </c>
      <c r="L613" s="166">
        <v>0</v>
      </c>
      <c r="M613" s="166">
        <v>2</v>
      </c>
      <c r="N613" s="166">
        <v>2</v>
      </c>
      <c r="O613" s="166">
        <v>2</v>
      </c>
      <c r="P613" s="166">
        <v>2</v>
      </c>
      <c r="R613" s="165" t="s">
        <v>625</v>
      </c>
      <c r="S613" s="81" t="s">
        <v>113</v>
      </c>
      <c r="T613" s="349">
        <v>42226</v>
      </c>
      <c r="U613" s="349">
        <v>42282</v>
      </c>
      <c r="W613" s="81" t="s">
        <v>114</v>
      </c>
      <c r="Y613" s="81" t="s">
        <v>115</v>
      </c>
      <c r="Z613" s="81" t="s">
        <v>116</v>
      </c>
      <c r="AA613" s="81" t="s">
        <v>117</v>
      </c>
      <c r="AB613" s="81" t="s">
        <v>218</v>
      </c>
      <c r="AC613" s="166">
        <v>2.8999999165535001E-2</v>
      </c>
      <c r="AD613" s="349">
        <v>42789</v>
      </c>
      <c r="AG613" s="81" t="s">
        <v>154</v>
      </c>
      <c r="AH613" s="81" t="s">
        <v>38</v>
      </c>
      <c r="AK613" s="166">
        <v>2</v>
      </c>
      <c r="AM613" s="166">
        <v>0</v>
      </c>
      <c r="AO613" s="166">
        <v>0</v>
      </c>
      <c r="AP613" s="166">
        <v>0</v>
      </c>
      <c r="AQ613" s="166">
        <v>0</v>
      </c>
      <c r="AR613" s="166">
        <v>2</v>
      </c>
      <c r="AS613" s="166">
        <v>0</v>
      </c>
      <c r="AT613" s="166">
        <v>0</v>
      </c>
      <c r="AU613" s="166">
        <v>0</v>
      </c>
      <c r="AV613" s="166">
        <v>0</v>
      </c>
      <c r="AW613" s="166">
        <v>0</v>
      </c>
      <c r="AX613" s="166">
        <v>0</v>
      </c>
      <c r="AY613" s="166">
        <v>0</v>
      </c>
      <c r="AZ613" s="166">
        <v>0</v>
      </c>
      <c r="BA613" s="166">
        <v>0</v>
      </c>
      <c r="BB613" s="166">
        <v>0</v>
      </c>
      <c r="BC613" s="166">
        <v>0</v>
      </c>
      <c r="BD613" s="166">
        <v>0</v>
      </c>
      <c r="BE613" s="166">
        <v>0</v>
      </c>
      <c r="BF613" s="166">
        <v>2</v>
      </c>
      <c r="BG613" s="166">
        <v>0</v>
      </c>
      <c r="BH613" s="166">
        <v>0</v>
      </c>
      <c r="BI613" s="166">
        <v>0</v>
      </c>
      <c r="BJ613" s="166">
        <v>0</v>
      </c>
      <c r="BK613" s="166">
        <v>0</v>
      </c>
      <c r="BL613" s="166">
        <v>0</v>
      </c>
      <c r="BM613" s="166">
        <v>0</v>
      </c>
      <c r="BN613" s="166">
        <v>0</v>
      </c>
      <c r="BO613" s="166">
        <v>0</v>
      </c>
      <c r="BP613" s="166">
        <v>0</v>
      </c>
      <c r="BQ613" s="81" t="s">
        <v>1757</v>
      </c>
      <c r="BZ613" s="81" t="s">
        <v>155</v>
      </c>
      <c r="CA613" s="81" t="s">
        <v>3976</v>
      </c>
      <c r="CC613" s="167">
        <v>0</v>
      </c>
      <c r="CD613" s="167">
        <f>N613</f>
        <v>2</v>
      </c>
      <c r="CE613" s="167">
        <v>0</v>
      </c>
      <c r="CF613" s="167">
        <v>0</v>
      </c>
      <c r="CG613" s="167">
        <v>0</v>
      </c>
      <c r="CH613" s="167">
        <v>0</v>
      </c>
      <c r="CI613" s="167">
        <v>0</v>
      </c>
      <c r="CJ613" s="167">
        <v>0</v>
      </c>
      <c r="CK613" s="167">
        <v>0</v>
      </c>
      <c r="CL613" s="167">
        <v>0</v>
      </c>
      <c r="CM613" s="167">
        <v>0</v>
      </c>
      <c r="CN613" s="167">
        <v>0</v>
      </c>
      <c r="CO613" s="167">
        <v>0</v>
      </c>
      <c r="CP613" s="167">
        <v>0</v>
      </c>
      <c r="CQ613" s="167">
        <v>0</v>
      </c>
      <c r="CR613" s="167">
        <v>0</v>
      </c>
      <c r="CS613" s="167">
        <v>0</v>
      </c>
      <c r="CT613" s="167">
        <v>0</v>
      </c>
      <c r="CU613" s="167">
        <v>0</v>
      </c>
      <c r="CV613" s="167">
        <v>0</v>
      </c>
      <c r="CW613" s="167">
        <v>0</v>
      </c>
      <c r="CX613" s="167">
        <f>SUM(CD613:CH613)</f>
        <v>2</v>
      </c>
      <c r="CY613" s="167">
        <f>SUM(CD613:CM613)</f>
        <v>2</v>
      </c>
    </row>
    <row r="614" spans="1:103" ht="12.75" customHeight="1" x14ac:dyDescent="0.2">
      <c r="A614" s="81">
        <v>6040</v>
      </c>
      <c r="B614" s="165" t="s">
        <v>1908</v>
      </c>
      <c r="C614" s="165" t="s">
        <v>776</v>
      </c>
      <c r="E614" s="165" t="s">
        <v>3615</v>
      </c>
      <c r="G614" s="81">
        <v>524968</v>
      </c>
      <c r="H614" s="81">
        <v>175095</v>
      </c>
      <c r="I614" s="165" t="s">
        <v>259</v>
      </c>
      <c r="J614" s="349">
        <v>42825</v>
      </c>
      <c r="L614" s="166">
        <v>8</v>
      </c>
      <c r="M614" s="166">
        <v>16</v>
      </c>
      <c r="N614" s="166">
        <v>8</v>
      </c>
      <c r="O614" s="166">
        <v>16</v>
      </c>
      <c r="P614" s="166">
        <v>8</v>
      </c>
      <c r="Q614" s="81" t="s">
        <v>155</v>
      </c>
      <c r="R614" s="165" t="s">
        <v>777</v>
      </c>
      <c r="S614" s="81" t="s">
        <v>104</v>
      </c>
      <c r="T614" s="349">
        <v>42157</v>
      </c>
      <c r="U614" s="349">
        <v>42583</v>
      </c>
      <c r="W614" s="81" t="s">
        <v>114</v>
      </c>
      <c r="Y614" s="81" t="s">
        <v>115</v>
      </c>
      <c r="Z614" s="81" t="s">
        <v>116</v>
      </c>
      <c r="AA614" s="81" t="s">
        <v>116</v>
      </c>
      <c r="AB614" s="81" t="s">
        <v>117</v>
      </c>
      <c r="AC614" s="166">
        <v>9.6000000834464999E-2</v>
      </c>
      <c r="AD614" s="349">
        <v>42825</v>
      </c>
      <c r="AG614" s="81" t="s">
        <v>238</v>
      </c>
      <c r="AH614" s="81" t="s">
        <v>118</v>
      </c>
      <c r="AK614" s="166">
        <v>16</v>
      </c>
      <c r="AM614" s="166">
        <v>0</v>
      </c>
      <c r="AO614" s="166">
        <v>0</v>
      </c>
      <c r="AP614" s="166">
        <v>-7</v>
      </c>
      <c r="AQ614" s="166">
        <v>11</v>
      </c>
      <c r="AR614" s="166">
        <v>4</v>
      </c>
      <c r="AS614" s="166">
        <v>0</v>
      </c>
      <c r="AT614" s="166">
        <v>0</v>
      </c>
      <c r="AU614" s="166">
        <v>0</v>
      </c>
      <c r="AV614" s="166">
        <v>0</v>
      </c>
      <c r="AW614" s="166">
        <v>-7</v>
      </c>
      <c r="AX614" s="166">
        <v>11</v>
      </c>
      <c r="AY614" s="166">
        <v>2</v>
      </c>
      <c r="AZ614" s="166">
        <v>0</v>
      </c>
      <c r="BA614" s="166">
        <v>0</v>
      </c>
      <c r="BB614" s="166">
        <v>0</v>
      </c>
      <c r="BC614" s="166">
        <v>0</v>
      </c>
      <c r="BD614" s="166">
        <v>0</v>
      </c>
      <c r="BE614" s="166">
        <v>0</v>
      </c>
      <c r="BF614" s="166">
        <v>2</v>
      </c>
      <c r="BG614" s="166">
        <v>0</v>
      </c>
      <c r="BH614" s="166">
        <v>0</v>
      </c>
      <c r="BI614" s="166">
        <v>0</v>
      </c>
      <c r="BJ614" s="166">
        <v>0</v>
      </c>
      <c r="BK614" s="166">
        <v>0</v>
      </c>
      <c r="BL614" s="166">
        <v>0</v>
      </c>
      <c r="BM614" s="166">
        <v>0</v>
      </c>
      <c r="BN614" s="166">
        <v>0</v>
      </c>
      <c r="BO614" s="166">
        <v>0</v>
      </c>
      <c r="BP614" s="166">
        <v>0</v>
      </c>
      <c r="BQ614" s="81" t="s">
        <v>1758</v>
      </c>
      <c r="BZ614" s="81" t="s">
        <v>155</v>
      </c>
      <c r="CA614" s="81" t="s">
        <v>3976</v>
      </c>
      <c r="CC614" s="167">
        <v>0</v>
      </c>
      <c r="CD614" s="167">
        <f>N614</f>
        <v>8</v>
      </c>
      <c r="CE614" s="167">
        <v>0</v>
      </c>
      <c r="CF614" s="167">
        <v>0</v>
      </c>
      <c r="CG614" s="167">
        <v>0</v>
      </c>
      <c r="CH614" s="167">
        <v>0</v>
      </c>
      <c r="CI614" s="167">
        <v>0</v>
      </c>
      <c r="CJ614" s="167">
        <v>0</v>
      </c>
      <c r="CK614" s="167">
        <v>0</v>
      </c>
      <c r="CL614" s="167">
        <v>0</v>
      </c>
      <c r="CM614" s="167">
        <v>0</v>
      </c>
      <c r="CN614" s="167">
        <v>0</v>
      </c>
      <c r="CO614" s="167">
        <v>0</v>
      </c>
      <c r="CP614" s="167">
        <v>0</v>
      </c>
      <c r="CQ614" s="167">
        <v>0</v>
      </c>
      <c r="CR614" s="167">
        <v>0</v>
      </c>
      <c r="CS614" s="167">
        <v>0</v>
      </c>
      <c r="CT614" s="167">
        <v>0</v>
      </c>
      <c r="CU614" s="167">
        <v>0</v>
      </c>
      <c r="CV614" s="167">
        <v>0</v>
      </c>
      <c r="CW614" s="167">
        <v>0</v>
      </c>
      <c r="CX614" s="167">
        <f>SUM(CD614:CH614)</f>
        <v>8</v>
      </c>
      <c r="CY614" s="167">
        <f>SUM(CD614:CM614)</f>
        <v>8</v>
      </c>
    </row>
    <row r="615" spans="1:103" ht="12.75" customHeight="1" x14ac:dyDescent="0.2">
      <c r="A615" s="81">
        <v>6046</v>
      </c>
      <c r="B615" s="165" t="s">
        <v>1908</v>
      </c>
      <c r="C615" s="165" t="s">
        <v>597</v>
      </c>
      <c r="E615" s="165" t="s">
        <v>3616</v>
      </c>
      <c r="G615" s="81">
        <v>528204</v>
      </c>
      <c r="H615" s="81">
        <v>176387</v>
      </c>
      <c r="I615" s="165" t="s">
        <v>241</v>
      </c>
      <c r="J615" s="349">
        <v>42885</v>
      </c>
      <c r="L615" s="166">
        <v>0</v>
      </c>
      <c r="M615" s="166">
        <v>6</v>
      </c>
      <c r="N615" s="166">
        <v>6</v>
      </c>
      <c r="O615" s="166">
        <v>6</v>
      </c>
      <c r="P615" s="166">
        <v>6</v>
      </c>
      <c r="R615" s="165" t="s">
        <v>598</v>
      </c>
      <c r="S615" s="81" t="s">
        <v>113</v>
      </c>
      <c r="T615" s="349">
        <v>42236</v>
      </c>
      <c r="U615" s="349">
        <v>42355</v>
      </c>
      <c r="W615" s="81" t="s">
        <v>114</v>
      </c>
      <c r="Y615" s="81" t="s">
        <v>115</v>
      </c>
      <c r="Z615" s="81" t="s">
        <v>116</v>
      </c>
      <c r="AA615" s="81" t="s">
        <v>117</v>
      </c>
      <c r="AB615" s="81" t="s">
        <v>218</v>
      </c>
      <c r="AC615" s="166">
        <v>6.8999998271465302E-2</v>
      </c>
      <c r="AD615" s="349">
        <v>42885</v>
      </c>
      <c r="AE615" s="81" t="s">
        <v>155</v>
      </c>
      <c r="AG615" s="81" t="s">
        <v>154</v>
      </c>
      <c r="AH615" s="81" t="s">
        <v>276</v>
      </c>
      <c r="AK615" s="166">
        <v>6</v>
      </c>
      <c r="AM615" s="166">
        <v>0</v>
      </c>
      <c r="AO615" s="166">
        <v>0</v>
      </c>
      <c r="AP615" s="166">
        <v>0</v>
      </c>
      <c r="AQ615" s="166">
        <v>1</v>
      </c>
      <c r="AR615" s="166">
        <v>5</v>
      </c>
      <c r="AS615" s="166">
        <v>0</v>
      </c>
      <c r="AT615" s="166">
        <v>0</v>
      </c>
      <c r="AU615" s="166">
        <v>0</v>
      </c>
      <c r="AV615" s="166">
        <v>0</v>
      </c>
      <c r="AW615" s="166">
        <v>0</v>
      </c>
      <c r="AX615" s="166">
        <v>0</v>
      </c>
      <c r="AY615" s="166">
        <v>0</v>
      </c>
      <c r="AZ615" s="166">
        <v>0</v>
      </c>
      <c r="BA615" s="166">
        <v>0</v>
      </c>
      <c r="BB615" s="166">
        <v>0</v>
      </c>
      <c r="BC615" s="166">
        <v>0</v>
      </c>
      <c r="BD615" s="166">
        <v>0</v>
      </c>
      <c r="BE615" s="166">
        <v>1</v>
      </c>
      <c r="BF615" s="166">
        <v>5</v>
      </c>
      <c r="BG615" s="166">
        <v>0</v>
      </c>
      <c r="BH615" s="166">
        <v>0</v>
      </c>
      <c r="BI615" s="166">
        <v>0</v>
      </c>
      <c r="BJ615" s="166">
        <v>0</v>
      </c>
      <c r="BK615" s="166">
        <v>0</v>
      </c>
      <c r="BL615" s="166">
        <v>0</v>
      </c>
      <c r="BM615" s="166">
        <v>0</v>
      </c>
      <c r="BN615" s="166">
        <v>0</v>
      </c>
      <c r="BO615" s="166">
        <v>0</v>
      </c>
      <c r="BP615" s="166">
        <v>0</v>
      </c>
      <c r="BQ615" s="81" t="s">
        <v>1757</v>
      </c>
      <c r="BZ615" s="81" t="s">
        <v>155</v>
      </c>
      <c r="CA615" s="81" t="s">
        <v>3976</v>
      </c>
      <c r="CC615" s="167">
        <v>0</v>
      </c>
      <c r="CD615" s="167">
        <f>N615</f>
        <v>6</v>
      </c>
      <c r="CE615" s="167">
        <v>0</v>
      </c>
      <c r="CF615" s="167">
        <v>0</v>
      </c>
      <c r="CG615" s="167">
        <v>0</v>
      </c>
      <c r="CH615" s="167">
        <v>0</v>
      </c>
      <c r="CI615" s="167">
        <v>0</v>
      </c>
      <c r="CJ615" s="167">
        <v>0</v>
      </c>
      <c r="CK615" s="167">
        <v>0</v>
      </c>
      <c r="CL615" s="167">
        <v>0</v>
      </c>
      <c r="CM615" s="167">
        <v>0</v>
      </c>
      <c r="CN615" s="167">
        <v>0</v>
      </c>
      <c r="CO615" s="167">
        <v>0</v>
      </c>
      <c r="CP615" s="167">
        <v>0</v>
      </c>
      <c r="CQ615" s="167">
        <v>0</v>
      </c>
      <c r="CR615" s="167">
        <v>0</v>
      </c>
      <c r="CS615" s="167">
        <v>0</v>
      </c>
      <c r="CT615" s="167">
        <v>0</v>
      </c>
      <c r="CU615" s="167">
        <v>0</v>
      </c>
      <c r="CV615" s="167">
        <v>0</v>
      </c>
      <c r="CW615" s="167">
        <v>0</v>
      </c>
      <c r="CX615" s="167">
        <f>SUM(CD615:CH615)</f>
        <v>6</v>
      </c>
      <c r="CY615" s="167">
        <f>SUM(CD615:CM615)</f>
        <v>6</v>
      </c>
    </row>
    <row r="616" spans="1:103" ht="12.75" customHeight="1" x14ac:dyDescent="0.2">
      <c r="A616" s="81">
        <v>6047</v>
      </c>
      <c r="B616" s="165" t="s">
        <v>1908</v>
      </c>
      <c r="C616" s="165" t="s">
        <v>914</v>
      </c>
      <c r="E616" s="165" t="s">
        <v>3621</v>
      </c>
      <c r="G616" s="81">
        <v>528267</v>
      </c>
      <c r="H616" s="81">
        <v>175679</v>
      </c>
      <c r="I616" s="165" t="s">
        <v>256</v>
      </c>
      <c r="J616" s="349">
        <v>42596</v>
      </c>
      <c r="L616" s="166">
        <v>1</v>
      </c>
      <c r="M616" s="166">
        <v>0</v>
      </c>
      <c r="N616" s="166">
        <v>-1</v>
      </c>
      <c r="O616" s="166">
        <v>0</v>
      </c>
      <c r="P616" s="166">
        <v>-1</v>
      </c>
      <c r="R616" s="165" t="s">
        <v>915</v>
      </c>
      <c r="S616" s="81" t="s">
        <v>113</v>
      </c>
      <c r="T616" s="349">
        <v>42255</v>
      </c>
      <c r="U616" s="349">
        <v>42376</v>
      </c>
      <c r="W616" s="81" t="s">
        <v>114</v>
      </c>
      <c r="Y616" s="81" t="s">
        <v>115</v>
      </c>
      <c r="Z616" s="81" t="s">
        <v>398</v>
      </c>
      <c r="AA616" s="81" t="s">
        <v>117</v>
      </c>
      <c r="AB616" s="81" t="s">
        <v>105</v>
      </c>
      <c r="AC616" s="166">
        <v>7.0000002160668399E-3</v>
      </c>
      <c r="AD616" s="349">
        <v>42596</v>
      </c>
      <c r="AG616" s="81" t="s">
        <v>238</v>
      </c>
      <c r="AH616" s="81" t="s">
        <v>118</v>
      </c>
      <c r="AK616" s="166">
        <v>0</v>
      </c>
      <c r="AM616" s="166">
        <v>0</v>
      </c>
      <c r="AO616" s="166">
        <v>0</v>
      </c>
      <c r="AP616" s="166">
        <v>0</v>
      </c>
      <c r="AQ616" s="166">
        <v>0</v>
      </c>
      <c r="AR616" s="166">
        <v>0</v>
      </c>
      <c r="AS616" s="166">
        <v>-1</v>
      </c>
      <c r="AT616" s="166">
        <v>0</v>
      </c>
      <c r="AU616" s="166">
        <v>0</v>
      </c>
      <c r="AV616" s="166">
        <v>0</v>
      </c>
      <c r="AW616" s="166">
        <v>0</v>
      </c>
      <c r="AX616" s="166">
        <v>0</v>
      </c>
      <c r="AY616" s="166">
        <v>0</v>
      </c>
      <c r="AZ616" s="166">
        <v>0</v>
      </c>
      <c r="BA616" s="166">
        <v>0</v>
      </c>
      <c r="BB616" s="166">
        <v>0</v>
      </c>
      <c r="BC616" s="166">
        <v>0</v>
      </c>
      <c r="BD616" s="166">
        <v>0</v>
      </c>
      <c r="BE616" s="166">
        <v>0</v>
      </c>
      <c r="BF616" s="166">
        <v>0</v>
      </c>
      <c r="BG616" s="166">
        <v>-1</v>
      </c>
      <c r="BH616" s="166">
        <v>0</v>
      </c>
      <c r="BI616" s="166">
        <v>0</v>
      </c>
      <c r="BJ616" s="166">
        <v>0</v>
      </c>
      <c r="BK616" s="166">
        <v>0</v>
      </c>
      <c r="BL616" s="166">
        <v>0</v>
      </c>
      <c r="BM616" s="166">
        <v>0</v>
      </c>
      <c r="BN616" s="166">
        <v>0</v>
      </c>
      <c r="BO616" s="166">
        <v>0</v>
      </c>
      <c r="BP616" s="166">
        <v>0</v>
      </c>
      <c r="BQ616" s="81" t="s">
        <v>1757</v>
      </c>
      <c r="BZ616" s="81" t="s">
        <v>155</v>
      </c>
      <c r="CA616" s="81" t="s">
        <v>3980</v>
      </c>
      <c r="CC616" s="167">
        <v>0</v>
      </c>
      <c r="CD616" s="167">
        <f>N616</f>
        <v>-1</v>
      </c>
      <c r="CE616" s="167">
        <v>0</v>
      </c>
      <c r="CF616" s="167">
        <v>0</v>
      </c>
      <c r="CG616" s="167">
        <v>0</v>
      </c>
      <c r="CH616" s="167">
        <v>0</v>
      </c>
      <c r="CI616" s="167">
        <v>0</v>
      </c>
      <c r="CJ616" s="167">
        <v>0</v>
      </c>
      <c r="CK616" s="167">
        <v>0</v>
      </c>
      <c r="CL616" s="167">
        <v>0</v>
      </c>
      <c r="CM616" s="167">
        <v>0</v>
      </c>
      <c r="CN616" s="167">
        <v>0</v>
      </c>
      <c r="CO616" s="167">
        <v>0</v>
      </c>
      <c r="CP616" s="167">
        <v>0</v>
      </c>
      <c r="CQ616" s="167">
        <v>0</v>
      </c>
      <c r="CR616" s="167">
        <v>0</v>
      </c>
      <c r="CS616" s="167">
        <v>0</v>
      </c>
      <c r="CT616" s="167">
        <v>0</v>
      </c>
      <c r="CU616" s="167">
        <v>0</v>
      </c>
      <c r="CV616" s="167">
        <v>0</v>
      </c>
      <c r="CW616" s="167">
        <v>0</v>
      </c>
      <c r="CX616" s="167">
        <f>SUM(CD616:CH616)</f>
        <v>-1</v>
      </c>
      <c r="CY616" s="167">
        <f>SUM(CD616:CM616)</f>
        <v>-1</v>
      </c>
    </row>
    <row r="617" spans="1:103" ht="12.75" customHeight="1" x14ac:dyDescent="0.2">
      <c r="A617" s="81">
        <v>6048</v>
      </c>
      <c r="B617" s="165" t="s">
        <v>1908</v>
      </c>
      <c r="C617" s="165" t="s">
        <v>1189</v>
      </c>
      <c r="E617" s="165" t="s">
        <v>3622</v>
      </c>
      <c r="G617" s="81">
        <v>527668</v>
      </c>
      <c r="H617" s="81">
        <v>170652</v>
      </c>
      <c r="I617" s="165" t="s">
        <v>253</v>
      </c>
      <c r="J617" s="349">
        <v>43190</v>
      </c>
      <c r="L617" s="166">
        <v>0</v>
      </c>
      <c r="M617" s="166">
        <v>1</v>
      </c>
      <c r="N617" s="166">
        <v>1</v>
      </c>
      <c r="O617" s="166">
        <v>1</v>
      </c>
      <c r="P617" s="166">
        <v>1</v>
      </c>
      <c r="R617" s="165" t="s">
        <v>1190</v>
      </c>
      <c r="S617" s="81" t="s">
        <v>113</v>
      </c>
      <c r="T617" s="349">
        <v>42535</v>
      </c>
      <c r="U617" s="349">
        <v>42571</v>
      </c>
      <c r="W617" s="81" t="s">
        <v>114</v>
      </c>
      <c r="Y617" s="81" t="s">
        <v>115</v>
      </c>
      <c r="Z617" s="81" t="s">
        <v>219</v>
      </c>
      <c r="AA617" s="81" t="s">
        <v>117</v>
      </c>
      <c r="AB617" s="81" t="s">
        <v>3889</v>
      </c>
      <c r="AC617" s="166">
        <v>7.0000002160668399E-3</v>
      </c>
      <c r="AD617" s="349">
        <v>43190</v>
      </c>
      <c r="AE617" s="81" t="s">
        <v>155</v>
      </c>
      <c r="AG617" s="81" t="s">
        <v>238</v>
      </c>
      <c r="AH617" s="81" t="s">
        <v>118</v>
      </c>
      <c r="AK617" s="166">
        <v>0</v>
      </c>
      <c r="AM617" s="166">
        <v>0</v>
      </c>
      <c r="AO617" s="166">
        <v>0</v>
      </c>
      <c r="AP617" s="166">
        <v>1</v>
      </c>
      <c r="AQ617" s="166">
        <v>0</v>
      </c>
      <c r="AR617" s="166">
        <v>0</v>
      </c>
      <c r="AS617" s="166">
        <v>0</v>
      </c>
      <c r="AT617" s="166">
        <v>0</v>
      </c>
      <c r="AU617" s="166">
        <v>0</v>
      </c>
      <c r="AV617" s="166">
        <v>0</v>
      </c>
      <c r="AW617" s="166">
        <v>1</v>
      </c>
      <c r="AX617" s="166">
        <v>0</v>
      </c>
      <c r="AY617" s="166">
        <v>0</v>
      </c>
      <c r="AZ617" s="166">
        <v>0</v>
      </c>
      <c r="BA617" s="166">
        <v>0</v>
      </c>
      <c r="BB617" s="166">
        <v>0</v>
      </c>
      <c r="BC617" s="166">
        <v>0</v>
      </c>
      <c r="BD617" s="166">
        <v>0</v>
      </c>
      <c r="BE617" s="166">
        <v>0</v>
      </c>
      <c r="BF617" s="166">
        <v>0</v>
      </c>
      <c r="BG617" s="166">
        <v>0</v>
      </c>
      <c r="BH617" s="166">
        <v>0</v>
      </c>
      <c r="BI617" s="166">
        <v>0</v>
      </c>
      <c r="BJ617" s="166">
        <v>0</v>
      </c>
      <c r="BK617" s="166">
        <v>0</v>
      </c>
      <c r="BL617" s="166">
        <v>0</v>
      </c>
      <c r="BM617" s="166">
        <v>0</v>
      </c>
      <c r="BN617" s="166">
        <v>0</v>
      </c>
      <c r="BO617" s="166">
        <v>0</v>
      </c>
      <c r="BP617" s="166">
        <v>0</v>
      </c>
      <c r="BQ617" s="81" t="s">
        <v>1757</v>
      </c>
      <c r="BZ617" s="81" t="s">
        <v>155</v>
      </c>
      <c r="CA617" s="81" t="s">
        <v>3981</v>
      </c>
      <c r="CC617" s="167">
        <v>0</v>
      </c>
      <c r="CD617" s="167">
        <f>$N617/2</f>
        <v>0.5</v>
      </c>
      <c r="CE617" s="167">
        <f>$N617/2</f>
        <v>0.5</v>
      </c>
      <c r="CF617" s="167">
        <v>0</v>
      </c>
      <c r="CG617" s="167">
        <v>0</v>
      </c>
      <c r="CH617" s="167">
        <v>0</v>
      </c>
      <c r="CI617" s="167">
        <v>0</v>
      </c>
      <c r="CJ617" s="167">
        <v>0</v>
      </c>
      <c r="CK617" s="167">
        <v>0</v>
      </c>
      <c r="CL617" s="167">
        <v>0</v>
      </c>
      <c r="CM617" s="167">
        <v>0</v>
      </c>
      <c r="CN617" s="167">
        <v>0</v>
      </c>
      <c r="CO617" s="167">
        <v>0</v>
      </c>
      <c r="CP617" s="167">
        <v>0</v>
      </c>
      <c r="CQ617" s="167">
        <v>0</v>
      </c>
      <c r="CR617" s="167">
        <v>0</v>
      </c>
      <c r="CS617" s="167">
        <v>0</v>
      </c>
      <c r="CT617" s="167">
        <v>0</v>
      </c>
      <c r="CU617" s="167">
        <v>0</v>
      </c>
      <c r="CV617" s="167">
        <v>0</v>
      </c>
      <c r="CW617" s="167">
        <v>0</v>
      </c>
      <c r="CX617" s="167">
        <f>SUM(CD617:CH617)</f>
        <v>1</v>
      </c>
      <c r="CY617" s="167">
        <f>SUM(CD617:CM617)</f>
        <v>1</v>
      </c>
    </row>
    <row r="618" spans="1:103" ht="12.75" customHeight="1" x14ac:dyDescent="0.2">
      <c r="A618" s="81">
        <v>6071</v>
      </c>
      <c r="B618" s="165" t="s">
        <v>1908</v>
      </c>
      <c r="C618" s="165" t="s">
        <v>631</v>
      </c>
      <c r="E618" s="165" t="s">
        <v>3421</v>
      </c>
      <c r="G618" s="81">
        <v>527421</v>
      </c>
      <c r="H618" s="81">
        <v>171301</v>
      </c>
      <c r="I618" s="165" t="s">
        <v>253</v>
      </c>
      <c r="J618" s="349">
        <v>42788</v>
      </c>
      <c r="L618" s="166">
        <v>0</v>
      </c>
      <c r="M618" s="166">
        <v>49</v>
      </c>
      <c r="N618" s="166">
        <v>49</v>
      </c>
      <c r="O618" s="166">
        <v>49</v>
      </c>
      <c r="P618" s="166">
        <v>49</v>
      </c>
      <c r="Q618" s="81" t="s">
        <v>155</v>
      </c>
      <c r="R618" s="165" t="s">
        <v>912</v>
      </c>
      <c r="S618" s="81" t="s">
        <v>113</v>
      </c>
      <c r="T618" s="349">
        <v>42277</v>
      </c>
      <c r="U618" s="349">
        <v>42355</v>
      </c>
      <c r="W618" s="81" t="s">
        <v>114</v>
      </c>
      <c r="Y618" s="81" t="s">
        <v>115</v>
      </c>
      <c r="Z618" s="81" t="s">
        <v>310</v>
      </c>
      <c r="AA618" s="81" t="s">
        <v>92</v>
      </c>
      <c r="AB618" s="81" t="s">
        <v>117</v>
      </c>
      <c r="AC618" s="166">
        <v>0.35299998521804798</v>
      </c>
      <c r="AD618" s="349">
        <v>42788</v>
      </c>
      <c r="AG618" s="81" t="s">
        <v>154</v>
      </c>
      <c r="AH618" s="81" t="s">
        <v>38</v>
      </c>
      <c r="AI618" s="81" t="s">
        <v>3422</v>
      </c>
      <c r="AK618" s="166">
        <v>0</v>
      </c>
      <c r="AM618" s="166">
        <v>0</v>
      </c>
      <c r="AO618" s="166">
        <v>0</v>
      </c>
      <c r="AP618" s="166">
        <v>18</v>
      </c>
      <c r="AQ618" s="166">
        <v>14</v>
      </c>
      <c r="AR618" s="166">
        <v>6</v>
      </c>
      <c r="AS618" s="166">
        <v>11</v>
      </c>
      <c r="AT618" s="166">
        <v>0</v>
      </c>
      <c r="AU618" s="166">
        <v>0</v>
      </c>
      <c r="AV618" s="166">
        <v>0</v>
      </c>
      <c r="AW618" s="166">
        <v>18</v>
      </c>
      <c r="AX618" s="166">
        <v>14</v>
      </c>
      <c r="AY618" s="166">
        <v>6</v>
      </c>
      <c r="AZ618" s="166">
        <v>11</v>
      </c>
      <c r="BA618" s="166">
        <v>0</v>
      </c>
      <c r="BB618" s="166">
        <v>0</v>
      </c>
      <c r="BC618" s="166">
        <v>0</v>
      </c>
      <c r="BD618" s="166">
        <v>0</v>
      </c>
      <c r="BE618" s="166">
        <v>0</v>
      </c>
      <c r="BF618" s="166">
        <v>0</v>
      </c>
      <c r="BG618" s="166">
        <v>0</v>
      </c>
      <c r="BH618" s="166">
        <v>0</v>
      </c>
      <c r="BI618" s="166">
        <v>0</v>
      </c>
      <c r="BJ618" s="166">
        <v>0</v>
      </c>
      <c r="BK618" s="166">
        <v>0</v>
      </c>
      <c r="BL618" s="166">
        <v>0</v>
      </c>
      <c r="BM618" s="166">
        <v>0</v>
      </c>
      <c r="BN618" s="166">
        <v>0</v>
      </c>
      <c r="BO618" s="166">
        <v>0</v>
      </c>
      <c r="BP618" s="166">
        <v>0</v>
      </c>
      <c r="BQ618" s="81" t="s">
        <v>1757</v>
      </c>
      <c r="BZ618" s="81" t="s">
        <v>155</v>
      </c>
      <c r="CA618" s="81" t="s">
        <v>3980</v>
      </c>
      <c r="CC618" s="167">
        <v>0</v>
      </c>
      <c r="CD618" s="167">
        <f>N618</f>
        <v>49</v>
      </c>
      <c r="CE618" s="167">
        <v>0</v>
      </c>
      <c r="CF618" s="167">
        <v>0</v>
      </c>
      <c r="CG618" s="167">
        <v>0</v>
      </c>
      <c r="CH618" s="167">
        <v>0</v>
      </c>
      <c r="CI618" s="167">
        <v>0</v>
      </c>
      <c r="CJ618" s="167">
        <v>0</v>
      </c>
      <c r="CK618" s="167">
        <v>0</v>
      </c>
      <c r="CL618" s="167">
        <v>0</v>
      </c>
      <c r="CM618" s="167">
        <v>0</v>
      </c>
      <c r="CN618" s="167">
        <v>0</v>
      </c>
      <c r="CO618" s="167">
        <v>0</v>
      </c>
      <c r="CP618" s="167">
        <v>0</v>
      </c>
      <c r="CQ618" s="167">
        <v>0</v>
      </c>
      <c r="CR618" s="167">
        <v>0</v>
      </c>
      <c r="CS618" s="167">
        <v>0</v>
      </c>
      <c r="CT618" s="167">
        <v>0</v>
      </c>
      <c r="CU618" s="167">
        <v>0</v>
      </c>
      <c r="CV618" s="167">
        <v>0</v>
      </c>
      <c r="CW618" s="167">
        <v>0</v>
      </c>
      <c r="CX618" s="167">
        <f>SUM(CD618:CH618)</f>
        <v>49</v>
      </c>
      <c r="CY618" s="167">
        <f>SUM(CD618:CM618)</f>
        <v>49</v>
      </c>
    </row>
    <row r="619" spans="1:103" ht="12.75" customHeight="1" x14ac:dyDescent="0.2">
      <c r="A619" s="81">
        <v>6075</v>
      </c>
      <c r="B619" s="165" t="s">
        <v>1908</v>
      </c>
      <c r="C619" s="165" t="s">
        <v>666</v>
      </c>
      <c r="E619" s="165" t="s">
        <v>3623</v>
      </c>
      <c r="G619" s="81">
        <v>523643</v>
      </c>
      <c r="H619" s="81">
        <v>175322</v>
      </c>
      <c r="I619" s="165" t="s">
        <v>259</v>
      </c>
      <c r="J619" s="349">
        <v>42825</v>
      </c>
      <c r="L619" s="166">
        <v>2</v>
      </c>
      <c r="M619" s="166">
        <v>1</v>
      </c>
      <c r="N619" s="166">
        <v>-1</v>
      </c>
      <c r="O619" s="166">
        <v>1</v>
      </c>
      <c r="P619" s="166">
        <v>-1</v>
      </c>
      <c r="R619" s="165" t="s">
        <v>667</v>
      </c>
      <c r="S619" s="81" t="s">
        <v>113</v>
      </c>
      <c r="T619" s="349">
        <v>42275</v>
      </c>
      <c r="U619" s="349">
        <v>42331</v>
      </c>
      <c r="W619" s="81" t="s">
        <v>114</v>
      </c>
      <c r="Y619" s="81" t="s">
        <v>115</v>
      </c>
      <c r="Z619" s="81" t="s">
        <v>398</v>
      </c>
      <c r="AA619" s="81" t="s">
        <v>117</v>
      </c>
      <c r="AB619" s="81" t="s">
        <v>336</v>
      </c>
      <c r="AC619" s="166">
        <v>1.8999999389052401E-2</v>
      </c>
      <c r="AD619" s="349">
        <v>42825</v>
      </c>
      <c r="AG619" s="81" t="s">
        <v>238</v>
      </c>
      <c r="AH619" s="81" t="s">
        <v>118</v>
      </c>
      <c r="AK619" s="166">
        <v>0</v>
      </c>
      <c r="AM619" s="166">
        <v>0</v>
      </c>
      <c r="AO619" s="166">
        <v>0</v>
      </c>
      <c r="AP619" s="166">
        <v>-1</v>
      </c>
      <c r="AQ619" s="166">
        <v>0</v>
      </c>
      <c r="AR619" s="166">
        <v>-1</v>
      </c>
      <c r="AS619" s="166">
        <v>1</v>
      </c>
      <c r="AT619" s="166">
        <v>0</v>
      </c>
      <c r="AU619" s="166">
        <v>0</v>
      </c>
      <c r="AV619" s="166">
        <v>0</v>
      </c>
      <c r="AW619" s="166">
        <v>-1</v>
      </c>
      <c r="AX619" s="166">
        <v>0</v>
      </c>
      <c r="AY619" s="166">
        <v>-1</v>
      </c>
      <c r="AZ619" s="166">
        <v>0</v>
      </c>
      <c r="BA619" s="166">
        <v>0</v>
      </c>
      <c r="BB619" s="166">
        <v>0</v>
      </c>
      <c r="BC619" s="166">
        <v>0</v>
      </c>
      <c r="BD619" s="166">
        <v>0</v>
      </c>
      <c r="BE619" s="166">
        <v>0</v>
      </c>
      <c r="BF619" s="166">
        <v>0</v>
      </c>
      <c r="BG619" s="166">
        <v>1</v>
      </c>
      <c r="BH619" s="166">
        <v>0</v>
      </c>
      <c r="BI619" s="166">
        <v>0</v>
      </c>
      <c r="BJ619" s="166">
        <v>0</v>
      </c>
      <c r="BK619" s="166">
        <v>0</v>
      </c>
      <c r="BL619" s="166">
        <v>0</v>
      </c>
      <c r="BM619" s="166">
        <v>0</v>
      </c>
      <c r="BN619" s="166">
        <v>0</v>
      </c>
      <c r="BO619" s="166">
        <v>0</v>
      </c>
      <c r="BP619" s="166">
        <v>0</v>
      </c>
      <c r="BQ619" s="81" t="s">
        <v>1758</v>
      </c>
      <c r="BZ619" s="81" t="s">
        <v>155</v>
      </c>
      <c r="CA619" s="81" t="s">
        <v>3980</v>
      </c>
      <c r="CC619" s="167">
        <v>0</v>
      </c>
      <c r="CD619" s="167">
        <f>N619</f>
        <v>-1</v>
      </c>
      <c r="CE619" s="167">
        <v>0</v>
      </c>
      <c r="CF619" s="167">
        <v>0</v>
      </c>
      <c r="CG619" s="167">
        <v>0</v>
      </c>
      <c r="CH619" s="167">
        <v>0</v>
      </c>
      <c r="CI619" s="167">
        <v>0</v>
      </c>
      <c r="CJ619" s="167">
        <v>0</v>
      </c>
      <c r="CK619" s="167">
        <v>0</v>
      </c>
      <c r="CL619" s="167">
        <v>0</v>
      </c>
      <c r="CM619" s="167">
        <v>0</v>
      </c>
      <c r="CN619" s="167">
        <v>0</v>
      </c>
      <c r="CO619" s="167">
        <v>0</v>
      </c>
      <c r="CP619" s="167">
        <v>0</v>
      </c>
      <c r="CQ619" s="167">
        <v>0</v>
      </c>
      <c r="CR619" s="167">
        <v>0</v>
      </c>
      <c r="CS619" s="167">
        <v>0</v>
      </c>
      <c r="CT619" s="167">
        <v>0</v>
      </c>
      <c r="CU619" s="167">
        <v>0</v>
      </c>
      <c r="CV619" s="167">
        <v>0</v>
      </c>
      <c r="CW619" s="167">
        <v>0</v>
      </c>
      <c r="CX619" s="167">
        <f>SUM(CD619:CH619)</f>
        <v>-1</v>
      </c>
      <c r="CY619" s="167">
        <f>SUM(CD619:CM619)</f>
        <v>-1</v>
      </c>
    </row>
    <row r="620" spans="1:103" x14ac:dyDescent="0.2">
      <c r="A620" s="81">
        <v>6081</v>
      </c>
      <c r="B620" s="165" t="s">
        <v>1908</v>
      </c>
      <c r="C620" s="165" t="s">
        <v>528</v>
      </c>
      <c r="E620" s="165" t="s">
        <v>3624</v>
      </c>
      <c r="G620" s="81">
        <v>527548</v>
      </c>
      <c r="H620" s="81">
        <v>172887</v>
      </c>
      <c r="I620" s="165" t="s">
        <v>260</v>
      </c>
      <c r="J620" s="349">
        <v>42460</v>
      </c>
      <c r="L620" s="166">
        <v>2</v>
      </c>
      <c r="M620" s="166">
        <v>1</v>
      </c>
      <c r="N620" s="166">
        <v>-1</v>
      </c>
      <c r="O620" s="166">
        <v>1</v>
      </c>
      <c r="P620" s="166">
        <v>-1</v>
      </c>
      <c r="R620" s="165" t="s">
        <v>529</v>
      </c>
      <c r="S620" s="81" t="s">
        <v>113</v>
      </c>
      <c r="T620" s="349">
        <v>42289</v>
      </c>
      <c r="U620" s="349">
        <v>42338</v>
      </c>
      <c r="W620" s="81" t="s">
        <v>114</v>
      </c>
      <c r="Y620" s="81" t="s">
        <v>115</v>
      </c>
      <c r="Z620" s="81" t="s">
        <v>119</v>
      </c>
      <c r="AA620" s="81" t="s">
        <v>117</v>
      </c>
      <c r="AB620" s="81" t="s">
        <v>336</v>
      </c>
      <c r="AC620" s="166">
        <v>4.5000001788139302E-2</v>
      </c>
      <c r="AD620" s="349">
        <v>42460</v>
      </c>
      <c r="AG620" s="81" t="s">
        <v>238</v>
      </c>
      <c r="AH620" s="81" t="s">
        <v>118</v>
      </c>
      <c r="AK620" s="166">
        <v>0</v>
      </c>
      <c r="AM620" s="166">
        <v>0</v>
      </c>
      <c r="AO620" s="166">
        <v>0</v>
      </c>
      <c r="AP620" s="166">
        <v>-1</v>
      </c>
      <c r="AQ620" s="166">
        <v>0</v>
      </c>
      <c r="AR620" s="166">
        <v>0</v>
      </c>
      <c r="AS620" s="166">
        <v>0</v>
      </c>
      <c r="AT620" s="166">
        <v>0</v>
      </c>
      <c r="AU620" s="166">
        <v>0</v>
      </c>
      <c r="AV620" s="166">
        <v>0</v>
      </c>
      <c r="AW620" s="166">
        <v>-1</v>
      </c>
      <c r="AX620" s="166">
        <v>0</v>
      </c>
      <c r="AY620" s="166">
        <v>0</v>
      </c>
      <c r="AZ620" s="166">
        <v>-1</v>
      </c>
      <c r="BA620" s="166">
        <v>0</v>
      </c>
      <c r="BB620" s="166">
        <v>0</v>
      </c>
      <c r="BC620" s="166">
        <v>0</v>
      </c>
      <c r="BD620" s="166">
        <v>0</v>
      </c>
      <c r="BE620" s="166">
        <v>0</v>
      </c>
      <c r="BF620" s="166">
        <v>0</v>
      </c>
      <c r="BG620" s="166">
        <v>1</v>
      </c>
      <c r="BH620" s="166">
        <v>0</v>
      </c>
      <c r="BI620" s="166">
        <v>0</v>
      </c>
      <c r="BJ620" s="166">
        <v>0</v>
      </c>
      <c r="BK620" s="166">
        <v>0</v>
      </c>
      <c r="BL620" s="166">
        <v>0</v>
      </c>
      <c r="BM620" s="166">
        <v>0</v>
      </c>
      <c r="BN620" s="166">
        <v>0</v>
      </c>
      <c r="BO620" s="166">
        <v>0</v>
      </c>
      <c r="BP620" s="166">
        <v>0</v>
      </c>
      <c r="BQ620" s="81" t="s">
        <v>1758</v>
      </c>
      <c r="BZ620" s="81" t="s">
        <v>155</v>
      </c>
      <c r="CA620" s="81" t="s">
        <v>3980</v>
      </c>
      <c r="CC620" s="167">
        <v>0</v>
      </c>
      <c r="CD620" s="167">
        <f>N620</f>
        <v>-1</v>
      </c>
      <c r="CE620" s="167">
        <v>0</v>
      </c>
      <c r="CF620" s="167">
        <v>0</v>
      </c>
      <c r="CG620" s="167">
        <v>0</v>
      </c>
      <c r="CH620" s="167">
        <v>0</v>
      </c>
      <c r="CI620" s="167">
        <v>0</v>
      </c>
      <c r="CJ620" s="167">
        <v>0</v>
      </c>
      <c r="CK620" s="167">
        <v>0</v>
      </c>
      <c r="CL620" s="167">
        <v>0</v>
      </c>
      <c r="CM620" s="167">
        <v>0</v>
      </c>
      <c r="CN620" s="167">
        <v>0</v>
      </c>
      <c r="CO620" s="167">
        <v>0</v>
      </c>
      <c r="CP620" s="167">
        <v>0</v>
      </c>
      <c r="CQ620" s="167">
        <v>0</v>
      </c>
      <c r="CR620" s="167">
        <v>0</v>
      </c>
      <c r="CS620" s="167">
        <v>0</v>
      </c>
      <c r="CT620" s="167">
        <v>0</v>
      </c>
      <c r="CU620" s="167">
        <v>0</v>
      </c>
      <c r="CV620" s="167">
        <v>0</v>
      </c>
      <c r="CW620" s="167">
        <v>0</v>
      </c>
      <c r="CX620" s="167">
        <f>SUM(CD620:CH620)</f>
        <v>-1</v>
      </c>
      <c r="CY620" s="167">
        <f>SUM(CD620:CM620)</f>
        <v>-1</v>
      </c>
    </row>
    <row r="621" spans="1:103" ht="12.75" customHeight="1" x14ac:dyDescent="0.2">
      <c r="A621" s="81">
        <v>6082</v>
      </c>
      <c r="B621" s="165" t="s">
        <v>1908</v>
      </c>
      <c r="C621" s="165" t="s">
        <v>677</v>
      </c>
      <c r="D621" s="165" t="s">
        <v>678</v>
      </c>
      <c r="E621" s="165" t="s">
        <v>3617</v>
      </c>
      <c r="G621" s="81">
        <v>529010</v>
      </c>
      <c r="H621" s="81">
        <v>174056</v>
      </c>
      <c r="I621" s="165" t="s">
        <v>247</v>
      </c>
      <c r="J621" s="349">
        <v>43178</v>
      </c>
      <c r="L621" s="166">
        <v>0</v>
      </c>
      <c r="M621" s="166">
        <v>6</v>
      </c>
      <c r="N621" s="166">
        <v>6</v>
      </c>
      <c r="O621" s="166">
        <v>6</v>
      </c>
      <c r="P621" s="166">
        <v>6</v>
      </c>
      <c r="R621" s="165" t="s">
        <v>679</v>
      </c>
      <c r="S621" s="81" t="s">
        <v>113</v>
      </c>
      <c r="T621" s="349">
        <v>42298</v>
      </c>
      <c r="U621" s="349">
        <v>42433</v>
      </c>
      <c r="W621" s="81" t="s">
        <v>114</v>
      </c>
      <c r="Y621" s="81" t="s">
        <v>115</v>
      </c>
      <c r="Z621" s="81" t="s">
        <v>116</v>
      </c>
      <c r="AA621" s="81" t="s">
        <v>117</v>
      </c>
      <c r="AB621" s="81" t="s">
        <v>218</v>
      </c>
      <c r="AC621" s="166">
        <v>3.4000001847744002E-2</v>
      </c>
      <c r="AD621" s="349">
        <v>43178</v>
      </c>
      <c r="AE621" s="81" t="s">
        <v>155</v>
      </c>
      <c r="AG621" s="81" t="s">
        <v>154</v>
      </c>
      <c r="AH621" s="81" t="s">
        <v>38</v>
      </c>
      <c r="AK621" s="166">
        <v>6</v>
      </c>
      <c r="AM621" s="166">
        <v>0</v>
      </c>
      <c r="AO621" s="166">
        <v>0</v>
      </c>
      <c r="AP621" s="166">
        <v>2</v>
      </c>
      <c r="AQ621" s="166">
        <v>4</v>
      </c>
      <c r="AR621" s="166">
        <v>0</v>
      </c>
      <c r="AS621" s="166">
        <v>0</v>
      </c>
      <c r="AT621" s="166">
        <v>0</v>
      </c>
      <c r="AU621" s="166">
        <v>0</v>
      </c>
      <c r="AV621" s="166">
        <v>0</v>
      </c>
      <c r="AW621" s="166">
        <v>2</v>
      </c>
      <c r="AX621" s="166">
        <v>4</v>
      </c>
      <c r="AY621" s="166">
        <v>0</v>
      </c>
      <c r="AZ621" s="166">
        <v>0</v>
      </c>
      <c r="BA621" s="166">
        <v>0</v>
      </c>
      <c r="BB621" s="166">
        <v>0</v>
      </c>
      <c r="BC621" s="166">
        <v>0</v>
      </c>
      <c r="BD621" s="166">
        <v>0</v>
      </c>
      <c r="BE621" s="166">
        <v>0</v>
      </c>
      <c r="BF621" s="166">
        <v>0</v>
      </c>
      <c r="BG621" s="166">
        <v>0</v>
      </c>
      <c r="BH621" s="166">
        <v>0</v>
      </c>
      <c r="BI621" s="166">
        <v>0</v>
      </c>
      <c r="BJ621" s="166">
        <v>0</v>
      </c>
      <c r="BK621" s="166">
        <v>0</v>
      </c>
      <c r="BL621" s="166">
        <v>0</v>
      </c>
      <c r="BM621" s="166">
        <v>0</v>
      </c>
      <c r="BN621" s="166">
        <v>0</v>
      </c>
      <c r="BO621" s="166">
        <v>0</v>
      </c>
      <c r="BP621" s="166">
        <v>0</v>
      </c>
      <c r="BQ621" s="81" t="s">
        <v>1757</v>
      </c>
      <c r="BZ621" s="81" t="s">
        <v>155</v>
      </c>
      <c r="CA621" s="81" t="s">
        <v>3977</v>
      </c>
      <c r="CC621" s="167">
        <v>0</v>
      </c>
      <c r="CD621" s="167">
        <f>$N621/2</f>
        <v>3</v>
      </c>
      <c r="CE621" s="167">
        <f>$N621/2</f>
        <v>3</v>
      </c>
      <c r="CF621" s="167">
        <v>0</v>
      </c>
      <c r="CG621" s="167">
        <v>0</v>
      </c>
      <c r="CH621" s="167">
        <v>0</v>
      </c>
      <c r="CI621" s="167">
        <v>0</v>
      </c>
      <c r="CJ621" s="167">
        <v>0</v>
      </c>
      <c r="CK621" s="167">
        <v>0</v>
      </c>
      <c r="CL621" s="167">
        <v>0</v>
      </c>
      <c r="CM621" s="167">
        <v>0</v>
      </c>
      <c r="CN621" s="167">
        <v>0</v>
      </c>
      <c r="CO621" s="167">
        <v>0</v>
      </c>
      <c r="CP621" s="167">
        <v>0</v>
      </c>
      <c r="CQ621" s="167">
        <v>0</v>
      </c>
      <c r="CR621" s="167">
        <v>0</v>
      </c>
      <c r="CS621" s="167">
        <v>0</v>
      </c>
      <c r="CT621" s="167">
        <v>0</v>
      </c>
      <c r="CU621" s="167">
        <v>0</v>
      </c>
      <c r="CV621" s="167">
        <v>0</v>
      </c>
      <c r="CW621" s="167">
        <v>0</v>
      </c>
      <c r="CX621" s="167">
        <f>SUM(CD621:CH621)</f>
        <v>6</v>
      </c>
      <c r="CY621" s="167">
        <f>SUM(CD621:CM621)</f>
        <v>6</v>
      </c>
    </row>
    <row r="622" spans="1:103" ht="12.75" customHeight="1" x14ac:dyDescent="0.2">
      <c r="A622" s="81">
        <v>6085</v>
      </c>
      <c r="B622" s="165" t="s">
        <v>1908</v>
      </c>
      <c r="C622" s="165" t="s">
        <v>1712</v>
      </c>
      <c r="E622" s="165" t="s">
        <v>3626</v>
      </c>
      <c r="G622" s="81">
        <v>527713</v>
      </c>
      <c r="H622" s="81">
        <v>171582</v>
      </c>
      <c r="I622" s="165" t="s">
        <v>253</v>
      </c>
      <c r="J622" s="349">
        <v>43053</v>
      </c>
      <c r="L622" s="166">
        <v>1</v>
      </c>
      <c r="M622" s="166">
        <v>2</v>
      </c>
      <c r="N622" s="166">
        <v>1</v>
      </c>
      <c r="O622" s="166">
        <v>2</v>
      </c>
      <c r="P622" s="166">
        <v>1</v>
      </c>
      <c r="R622" s="165" t="s">
        <v>1713</v>
      </c>
      <c r="S622" s="81" t="s">
        <v>104</v>
      </c>
      <c r="T622" s="349">
        <v>42298</v>
      </c>
      <c r="U622" s="349">
        <v>42943</v>
      </c>
      <c r="V622" s="81" t="s">
        <v>155</v>
      </c>
      <c r="W622" s="81" t="s">
        <v>114</v>
      </c>
      <c r="Y622" s="81" t="s">
        <v>115</v>
      </c>
      <c r="Z622" s="81" t="s">
        <v>398</v>
      </c>
      <c r="AA622" s="81" t="s">
        <v>117</v>
      </c>
      <c r="AB622" s="81" t="s">
        <v>105</v>
      </c>
      <c r="AC622" s="166">
        <v>1.30000002682209E-2</v>
      </c>
      <c r="AD622" s="349">
        <v>43053</v>
      </c>
      <c r="AE622" s="81" t="s">
        <v>155</v>
      </c>
      <c r="AG622" s="81" t="s">
        <v>238</v>
      </c>
      <c r="AH622" s="81" t="s">
        <v>118</v>
      </c>
      <c r="AK622" s="166">
        <v>0</v>
      </c>
      <c r="AM622" s="166">
        <v>0</v>
      </c>
      <c r="AO622" s="166">
        <v>0</v>
      </c>
      <c r="AP622" s="166">
        <v>1</v>
      </c>
      <c r="AQ622" s="166">
        <v>0</v>
      </c>
      <c r="AR622" s="166">
        <v>0</v>
      </c>
      <c r="AS622" s="166">
        <v>0</v>
      </c>
      <c r="AT622" s="166">
        <v>0</v>
      </c>
      <c r="AU622" s="166">
        <v>0</v>
      </c>
      <c r="AV622" s="166">
        <v>0</v>
      </c>
      <c r="AW622" s="166">
        <v>1</v>
      </c>
      <c r="AX622" s="166">
        <v>1</v>
      </c>
      <c r="AY622" s="166">
        <v>0</v>
      </c>
      <c r="AZ622" s="166">
        <v>0</v>
      </c>
      <c r="BA622" s="166">
        <v>0</v>
      </c>
      <c r="BB622" s="166">
        <v>0</v>
      </c>
      <c r="BC622" s="166">
        <v>0</v>
      </c>
      <c r="BD622" s="166">
        <v>0</v>
      </c>
      <c r="BE622" s="166">
        <v>-1</v>
      </c>
      <c r="BF622" s="166">
        <v>0</v>
      </c>
      <c r="BG622" s="166">
        <v>0</v>
      </c>
      <c r="BH622" s="166">
        <v>0</v>
      </c>
      <c r="BI622" s="166">
        <v>0</v>
      </c>
      <c r="BJ622" s="166">
        <v>0</v>
      </c>
      <c r="BK622" s="166">
        <v>0</v>
      </c>
      <c r="BL622" s="166">
        <v>0</v>
      </c>
      <c r="BM622" s="166">
        <v>0</v>
      </c>
      <c r="BN622" s="166">
        <v>0</v>
      </c>
      <c r="BO622" s="166">
        <v>0</v>
      </c>
      <c r="BP622" s="166">
        <v>0</v>
      </c>
      <c r="BQ622" s="81" t="s">
        <v>1757</v>
      </c>
      <c r="BZ622" s="81" t="s">
        <v>155</v>
      </c>
      <c r="CA622" s="81" t="s">
        <v>3981</v>
      </c>
      <c r="CC622" s="167">
        <v>0</v>
      </c>
      <c r="CD622" s="167">
        <f>$N622/2</f>
        <v>0.5</v>
      </c>
      <c r="CE622" s="167">
        <f>$N622/2</f>
        <v>0.5</v>
      </c>
      <c r="CF622" s="167">
        <v>0</v>
      </c>
      <c r="CG622" s="167">
        <v>0</v>
      </c>
      <c r="CH622" s="167">
        <v>0</v>
      </c>
      <c r="CI622" s="167">
        <v>0</v>
      </c>
      <c r="CJ622" s="167">
        <v>0</v>
      </c>
      <c r="CK622" s="167">
        <v>0</v>
      </c>
      <c r="CL622" s="167">
        <v>0</v>
      </c>
      <c r="CM622" s="167">
        <v>0</v>
      </c>
      <c r="CN622" s="167">
        <v>0</v>
      </c>
      <c r="CO622" s="167">
        <v>0</v>
      </c>
      <c r="CP622" s="167">
        <v>0</v>
      </c>
      <c r="CQ622" s="167">
        <v>0</v>
      </c>
      <c r="CR622" s="167">
        <v>0</v>
      </c>
      <c r="CS622" s="167">
        <v>0</v>
      </c>
      <c r="CT622" s="167">
        <v>0</v>
      </c>
      <c r="CU622" s="167">
        <v>0</v>
      </c>
      <c r="CV622" s="167">
        <v>0</v>
      </c>
      <c r="CW622" s="167">
        <v>0</v>
      </c>
      <c r="CX622" s="167">
        <f>SUM(CD622:CH622)</f>
        <v>1</v>
      </c>
      <c r="CY622" s="167">
        <f>SUM(CD622:CM622)</f>
        <v>1</v>
      </c>
    </row>
    <row r="623" spans="1:103" ht="12.75" customHeight="1" x14ac:dyDescent="0.2">
      <c r="A623" s="81">
        <v>6091</v>
      </c>
      <c r="B623" s="165" t="s">
        <v>1908</v>
      </c>
      <c r="C623" s="165" t="s">
        <v>902</v>
      </c>
      <c r="E623" s="165" t="s">
        <v>3618</v>
      </c>
      <c r="G623" s="81">
        <v>528541</v>
      </c>
      <c r="H623" s="81">
        <v>173797</v>
      </c>
      <c r="I623" s="165" t="s">
        <v>247</v>
      </c>
      <c r="J623" s="349">
        <v>42825</v>
      </c>
      <c r="L623" s="166">
        <v>1</v>
      </c>
      <c r="M623" s="166">
        <v>1</v>
      </c>
      <c r="N623" s="166">
        <v>0</v>
      </c>
      <c r="O623" s="166">
        <v>1</v>
      </c>
      <c r="P623" s="166">
        <v>0</v>
      </c>
      <c r="R623" s="165" t="s">
        <v>903</v>
      </c>
      <c r="S623" s="81" t="s">
        <v>296</v>
      </c>
      <c r="T623" s="349">
        <v>42044</v>
      </c>
      <c r="U623" s="349">
        <v>42324</v>
      </c>
      <c r="W623" s="81" t="s">
        <v>297</v>
      </c>
      <c r="X623" s="349">
        <v>42634</v>
      </c>
      <c r="Y623" s="81" t="s">
        <v>115</v>
      </c>
      <c r="Z623" s="81" t="s">
        <v>116</v>
      </c>
      <c r="AA623" s="81" t="s">
        <v>117</v>
      </c>
      <c r="AB623" s="81" t="s">
        <v>218</v>
      </c>
      <c r="AC623" s="166">
        <v>1.30000002682209E-2</v>
      </c>
      <c r="AD623" s="349">
        <v>42825</v>
      </c>
      <c r="AG623" s="81" t="s">
        <v>238</v>
      </c>
      <c r="AH623" s="81" t="s">
        <v>118</v>
      </c>
      <c r="AK623" s="166">
        <v>0</v>
      </c>
      <c r="AM623" s="166">
        <v>0</v>
      </c>
      <c r="AO623" s="166">
        <v>0</v>
      </c>
      <c r="AP623" s="166">
        <v>0</v>
      </c>
      <c r="AQ623" s="166">
        <v>0</v>
      </c>
      <c r="AR623" s="166">
        <v>0</v>
      </c>
      <c r="AS623" s="166">
        <v>0</v>
      </c>
      <c r="AT623" s="166">
        <v>0</v>
      </c>
      <c r="AU623" s="166">
        <v>0</v>
      </c>
      <c r="AV623" s="166">
        <v>0</v>
      </c>
      <c r="AW623" s="166">
        <v>0</v>
      </c>
      <c r="AX623" s="166">
        <v>0</v>
      </c>
      <c r="AY623" s="166">
        <v>0</v>
      </c>
      <c r="AZ623" s="166">
        <v>0</v>
      </c>
      <c r="BA623" s="166">
        <v>0</v>
      </c>
      <c r="BB623" s="166">
        <v>0</v>
      </c>
      <c r="BC623" s="166">
        <v>0</v>
      </c>
      <c r="BD623" s="166">
        <v>0</v>
      </c>
      <c r="BE623" s="166">
        <v>0</v>
      </c>
      <c r="BF623" s="166">
        <v>0</v>
      </c>
      <c r="BG623" s="166">
        <v>0</v>
      </c>
      <c r="BH623" s="166">
        <v>0</v>
      </c>
      <c r="BI623" s="166">
        <v>0</v>
      </c>
      <c r="BJ623" s="166">
        <v>0</v>
      </c>
      <c r="BK623" s="166">
        <v>0</v>
      </c>
      <c r="BL623" s="166">
        <v>0</v>
      </c>
      <c r="BM623" s="166">
        <v>0</v>
      </c>
      <c r="BN623" s="166">
        <v>0</v>
      </c>
      <c r="BO623" s="166">
        <v>0</v>
      </c>
      <c r="BP623" s="166">
        <v>0</v>
      </c>
      <c r="BQ623" s="81" t="s">
        <v>1757</v>
      </c>
      <c r="BZ623" s="81" t="s">
        <v>155</v>
      </c>
      <c r="CA623" s="81" t="s">
        <v>3976</v>
      </c>
      <c r="CC623" s="167">
        <v>0</v>
      </c>
      <c r="CD623" s="167">
        <f>N623</f>
        <v>0</v>
      </c>
      <c r="CE623" s="167">
        <v>0</v>
      </c>
      <c r="CF623" s="167">
        <v>0</v>
      </c>
      <c r="CG623" s="167">
        <v>0</v>
      </c>
      <c r="CH623" s="167">
        <v>0</v>
      </c>
      <c r="CI623" s="167">
        <v>0</v>
      </c>
      <c r="CJ623" s="167">
        <v>0</v>
      </c>
      <c r="CK623" s="167">
        <v>0</v>
      </c>
      <c r="CL623" s="167">
        <v>0</v>
      </c>
      <c r="CM623" s="167">
        <v>0</v>
      </c>
      <c r="CN623" s="167">
        <v>0</v>
      </c>
      <c r="CO623" s="167">
        <v>0</v>
      </c>
      <c r="CP623" s="167">
        <v>0</v>
      </c>
      <c r="CQ623" s="167">
        <v>0</v>
      </c>
      <c r="CR623" s="167">
        <v>0</v>
      </c>
      <c r="CS623" s="167">
        <v>0</v>
      </c>
      <c r="CT623" s="167">
        <v>0</v>
      </c>
      <c r="CU623" s="167">
        <v>0</v>
      </c>
      <c r="CV623" s="167">
        <v>0</v>
      </c>
      <c r="CW623" s="167">
        <v>0</v>
      </c>
      <c r="CX623" s="167">
        <f>SUM(CD623:CH623)</f>
        <v>0</v>
      </c>
      <c r="CY623" s="167">
        <f>SUM(CD623:CM623)</f>
        <v>0</v>
      </c>
    </row>
    <row r="624" spans="1:103" ht="12.75" customHeight="1" x14ac:dyDescent="0.2">
      <c r="A624" s="81">
        <v>6099</v>
      </c>
      <c r="B624" s="165" t="s">
        <v>1908</v>
      </c>
      <c r="C624" s="165" t="s">
        <v>683</v>
      </c>
      <c r="E624" s="165" t="s">
        <v>3619</v>
      </c>
      <c r="G624" s="81">
        <v>523163</v>
      </c>
      <c r="H624" s="81">
        <v>174605</v>
      </c>
      <c r="I624" s="165" t="s">
        <v>59</v>
      </c>
      <c r="J624" s="349">
        <v>42754</v>
      </c>
      <c r="L624" s="166">
        <v>1</v>
      </c>
      <c r="M624" s="166">
        <v>1</v>
      </c>
      <c r="N624" s="166">
        <v>0</v>
      </c>
      <c r="O624" s="166">
        <v>1</v>
      </c>
      <c r="P624" s="166">
        <v>0</v>
      </c>
      <c r="R624" s="165" t="s">
        <v>684</v>
      </c>
      <c r="S624" s="81" t="s">
        <v>113</v>
      </c>
      <c r="T624" s="349">
        <v>42306</v>
      </c>
      <c r="U624" s="349">
        <v>42361</v>
      </c>
      <c r="W624" s="81" t="s">
        <v>114</v>
      </c>
      <c r="Y624" s="81" t="s">
        <v>115</v>
      </c>
      <c r="Z624" s="81" t="s">
        <v>116</v>
      </c>
      <c r="AA624" s="81" t="s">
        <v>117</v>
      </c>
      <c r="AB624" s="81" t="s">
        <v>218</v>
      </c>
      <c r="AC624" s="166">
        <v>5.4999999701976797E-2</v>
      </c>
      <c r="AD624" s="349">
        <v>42754</v>
      </c>
      <c r="AG624" s="81" t="s">
        <v>238</v>
      </c>
      <c r="AH624" s="81" t="s">
        <v>118</v>
      </c>
      <c r="AK624" s="166">
        <v>1</v>
      </c>
      <c r="AM624" s="166">
        <v>0</v>
      </c>
      <c r="AO624" s="166">
        <v>0</v>
      </c>
      <c r="AP624" s="166">
        <v>0</v>
      </c>
      <c r="AQ624" s="166">
        <v>0</v>
      </c>
      <c r="AR624" s="166">
        <v>-1</v>
      </c>
      <c r="AS624" s="166">
        <v>0</v>
      </c>
      <c r="AT624" s="166">
        <v>1</v>
      </c>
      <c r="AU624" s="166">
        <v>0</v>
      </c>
      <c r="AV624" s="166">
        <v>0</v>
      </c>
      <c r="AW624" s="166">
        <v>0</v>
      </c>
      <c r="AX624" s="166">
        <v>0</v>
      </c>
      <c r="AY624" s="166">
        <v>0</v>
      </c>
      <c r="AZ624" s="166">
        <v>0</v>
      </c>
      <c r="BA624" s="166">
        <v>0</v>
      </c>
      <c r="BB624" s="166">
        <v>0</v>
      </c>
      <c r="BC624" s="166">
        <v>0</v>
      </c>
      <c r="BD624" s="166">
        <v>0</v>
      </c>
      <c r="BE624" s="166">
        <v>0</v>
      </c>
      <c r="BF624" s="166">
        <v>-1</v>
      </c>
      <c r="BG624" s="166">
        <v>0</v>
      </c>
      <c r="BH624" s="166">
        <v>1</v>
      </c>
      <c r="BI624" s="166">
        <v>0</v>
      </c>
      <c r="BJ624" s="166">
        <v>0</v>
      </c>
      <c r="BK624" s="166">
        <v>0</v>
      </c>
      <c r="BL624" s="166">
        <v>0</v>
      </c>
      <c r="BM624" s="166">
        <v>0</v>
      </c>
      <c r="BN624" s="166">
        <v>0</v>
      </c>
      <c r="BO624" s="166">
        <v>0</v>
      </c>
      <c r="BP624" s="166">
        <v>0</v>
      </c>
      <c r="BQ624" s="81" t="s">
        <v>1758</v>
      </c>
      <c r="BZ624" s="81" t="s">
        <v>155</v>
      </c>
      <c r="CA624" s="81" t="s">
        <v>3976</v>
      </c>
      <c r="CC624" s="167">
        <v>0</v>
      </c>
      <c r="CD624" s="167">
        <f>N624</f>
        <v>0</v>
      </c>
      <c r="CE624" s="167">
        <v>0</v>
      </c>
      <c r="CF624" s="167">
        <v>0</v>
      </c>
      <c r="CG624" s="167">
        <v>0</v>
      </c>
      <c r="CH624" s="167">
        <v>0</v>
      </c>
      <c r="CI624" s="167">
        <v>0</v>
      </c>
      <c r="CJ624" s="167">
        <v>0</v>
      </c>
      <c r="CK624" s="167">
        <v>0</v>
      </c>
      <c r="CL624" s="167">
        <v>0</v>
      </c>
      <c r="CM624" s="167">
        <v>0</v>
      </c>
      <c r="CN624" s="167">
        <v>0</v>
      </c>
      <c r="CO624" s="167">
        <v>0</v>
      </c>
      <c r="CP624" s="167">
        <v>0</v>
      </c>
      <c r="CQ624" s="167">
        <v>0</v>
      </c>
      <c r="CR624" s="167">
        <v>0</v>
      </c>
      <c r="CS624" s="167">
        <v>0</v>
      </c>
      <c r="CT624" s="167">
        <v>0</v>
      </c>
      <c r="CU624" s="167">
        <v>0</v>
      </c>
      <c r="CV624" s="167">
        <v>0</v>
      </c>
      <c r="CW624" s="167">
        <v>0</v>
      </c>
      <c r="CX624" s="167">
        <f>SUM(CD624:CH624)</f>
        <v>0</v>
      </c>
      <c r="CY624" s="167">
        <f>SUM(CD624:CM624)</f>
        <v>0</v>
      </c>
    </row>
    <row r="625" spans="1:103" ht="12.75" customHeight="1" x14ac:dyDescent="0.2">
      <c r="A625" s="81">
        <v>6112</v>
      </c>
      <c r="B625" s="165" t="s">
        <v>1908</v>
      </c>
      <c r="C625" s="165" t="s">
        <v>3629</v>
      </c>
      <c r="E625" s="165" t="s">
        <v>3630</v>
      </c>
      <c r="G625" s="81">
        <v>525940</v>
      </c>
      <c r="H625" s="81">
        <v>173410</v>
      </c>
      <c r="I625" s="165" t="s">
        <v>249</v>
      </c>
      <c r="J625" s="349">
        <v>43190</v>
      </c>
      <c r="L625" s="166">
        <v>0</v>
      </c>
      <c r="M625" s="166">
        <v>3</v>
      </c>
      <c r="N625" s="166">
        <v>3</v>
      </c>
      <c r="O625" s="166">
        <v>4</v>
      </c>
      <c r="P625" s="166">
        <v>4</v>
      </c>
      <c r="R625" s="165" t="s">
        <v>3631</v>
      </c>
      <c r="S625" s="81" t="s">
        <v>113</v>
      </c>
      <c r="T625" s="349">
        <v>43119</v>
      </c>
      <c r="U625" s="349">
        <v>43175</v>
      </c>
      <c r="V625" s="81" t="s">
        <v>155</v>
      </c>
      <c r="W625" s="81" t="s">
        <v>114</v>
      </c>
      <c r="Y625" s="81" t="s">
        <v>115</v>
      </c>
      <c r="Z625" s="81" t="s">
        <v>398</v>
      </c>
      <c r="AA625" s="81" t="s">
        <v>117</v>
      </c>
      <c r="AB625" s="81" t="s">
        <v>218</v>
      </c>
      <c r="AC625" s="166">
        <v>8.9999996125698107E-3</v>
      </c>
      <c r="AD625" s="349">
        <v>43190</v>
      </c>
      <c r="AE625" s="81" t="s">
        <v>155</v>
      </c>
      <c r="AG625" s="81" t="s">
        <v>238</v>
      </c>
      <c r="AH625" s="81" t="s">
        <v>118</v>
      </c>
      <c r="AK625" s="166">
        <v>0</v>
      </c>
      <c r="AM625" s="166">
        <v>0</v>
      </c>
      <c r="AO625" s="166">
        <v>0</v>
      </c>
      <c r="AP625" s="166">
        <v>0</v>
      </c>
      <c r="AQ625" s="166">
        <v>2</v>
      </c>
      <c r="AR625" s="166">
        <v>1</v>
      </c>
      <c r="AS625" s="166">
        <v>0</v>
      </c>
      <c r="AT625" s="166">
        <v>0</v>
      </c>
      <c r="AU625" s="166">
        <v>0</v>
      </c>
      <c r="AV625" s="166">
        <v>0</v>
      </c>
      <c r="AW625" s="166">
        <v>0</v>
      </c>
      <c r="AX625" s="166">
        <v>2</v>
      </c>
      <c r="AY625" s="166">
        <v>1</v>
      </c>
      <c r="AZ625" s="166">
        <v>0</v>
      </c>
      <c r="BA625" s="166">
        <v>0</v>
      </c>
      <c r="BB625" s="166">
        <v>0</v>
      </c>
      <c r="BC625" s="166">
        <v>0</v>
      </c>
      <c r="BD625" s="166">
        <v>0</v>
      </c>
      <c r="BE625" s="166">
        <v>0</v>
      </c>
      <c r="BF625" s="166">
        <v>0</v>
      </c>
      <c r="BG625" s="166">
        <v>0</v>
      </c>
      <c r="BH625" s="166">
        <v>0</v>
      </c>
      <c r="BI625" s="166">
        <v>0</v>
      </c>
      <c r="BJ625" s="166">
        <v>0</v>
      </c>
      <c r="BK625" s="166">
        <v>0</v>
      </c>
      <c r="BL625" s="166">
        <v>0</v>
      </c>
      <c r="BM625" s="166">
        <v>0</v>
      </c>
      <c r="BN625" s="166">
        <v>0</v>
      </c>
      <c r="BO625" s="166">
        <v>0</v>
      </c>
      <c r="BP625" s="166">
        <v>0</v>
      </c>
      <c r="BQ625" s="81" t="s">
        <v>1758</v>
      </c>
      <c r="BY625" s="81" t="s">
        <v>155</v>
      </c>
      <c r="BZ625" s="81" t="s">
        <v>155</v>
      </c>
      <c r="CA625" s="81" t="s">
        <v>3981</v>
      </c>
      <c r="CC625" s="167">
        <v>0</v>
      </c>
      <c r="CD625" s="167">
        <f>$N625/2</f>
        <v>1.5</v>
      </c>
      <c r="CE625" s="167">
        <f>$N625/2</f>
        <v>1.5</v>
      </c>
      <c r="CF625" s="167">
        <v>0</v>
      </c>
      <c r="CG625" s="167">
        <v>0</v>
      </c>
      <c r="CH625" s="167">
        <v>0</v>
      </c>
      <c r="CI625" s="167">
        <v>0</v>
      </c>
      <c r="CJ625" s="167">
        <v>0</v>
      </c>
      <c r="CK625" s="167">
        <v>0</v>
      </c>
      <c r="CL625" s="167">
        <v>0</v>
      </c>
      <c r="CM625" s="167">
        <v>0</v>
      </c>
      <c r="CN625" s="167">
        <v>0</v>
      </c>
      <c r="CO625" s="167">
        <v>0</v>
      </c>
      <c r="CP625" s="167">
        <v>0</v>
      </c>
      <c r="CQ625" s="167">
        <v>0</v>
      </c>
      <c r="CR625" s="167">
        <v>0</v>
      </c>
      <c r="CS625" s="167">
        <v>0</v>
      </c>
      <c r="CT625" s="167">
        <v>0</v>
      </c>
      <c r="CU625" s="167">
        <v>0</v>
      </c>
      <c r="CV625" s="167">
        <v>0</v>
      </c>
      <c r="CW625" s="167">
        <v>0</v>
      </c>
      <c r="CX625" s="167">
        <f>SUM(CD625:CH625)</f>
        <v>3</v>
      </c>
      <c r="CY625" s="167">
        <f>SUM(CD625:CM625)</f>
        <v>3</v>
      </c>
    </row>
    <row r="626" spans="1:103" ht="12.75" customHeight="1" x14ac:dyDescent="0.2">
      <c r="A626" s="81">
        <v>6112</v>
      </c>
      <c r="B626" s="165" t="s">
        <v>1908</v>
      </c>
      <c r="C626" s="165" t="s">
        <v>3629</v>
      </c>
      <c r="E626" s="165" t="s">
        <v>3630</v>
      </c>
      <c r="G626" s="81">
        <v>525940</v>
      </c>
      <c r="H626" s="81">
        <v>173410</v>
      </c>
      <c r="I626" s="165" t="s">
        <v>249</v>
      </c>
      <c r="J626" s="349">
        <v>43190</v>
      </c>
      <c r="L626" s="166">
        <v>0</v>
      </c>
      <c r="M626" s="166">
        <v>1</v>
      </c>
      <c r="N626" s="166">
        <v>1</v>
      </c>
      <c r="O626" s="166">
        <v>4</v>
      </c>
      <c r="P626" s="166">
        <v>4</v>
      </c>
      <c r="R626" s="165" t="s">
        <v>3631</v>
      </c>
      <c r="S626" s="81" t="s">
        <v>113</v>
      </c>
      <c r="T626" s="349">
        <v>43119</v>
      </c>
      <c r="U626" s="349">
        <v>43175</v>
      </c>
      <c r="V626" s="81" t="s">
        <v>155</v>
      </c>
      <c r="W626" s="81" t="s">
        <v>114</v>
      </c>
      <c r="Y626" s="81" t="s">
        <v>115</v>
      </c>
      <c r="Z626" s="81" t="s">
        <v>398</v>
      </c>
      <c r="AA626" s="81" t="s">
        <v>117</v>
      </c>
      <c r="AB626" s="81" t="s">
        <v>102</v>
      </c>
      <c r="AC626" s="166">
        <v>4.0000001899898104E-3</v>
      </c>
      <c r="AD626" s="349">
        <v>43190</v>
      </c>
      <c r="AE626" s="81" t="s">
        <v>155</v>
      </c>
      <c r="AG626" s="81" t="s">
        <v>238</v>
      </c>
      <c r="AH626" s="81" t="s">
        <v>118</v>
      </c>
      <c r="AK626" s="166">
        <v>0</v>
      </c>
      <c r="AM626" s="166">
        <v>0</v>
      </c>
      <c r="AO626" s="166">
        <v>0</v>
      </c>
      <c r="AP626" s="166">
        <v>1</v>
      </c>
      <c r="AQ626" s="166">
        <v>0</v>
      </c>
      <c r="AR626" s="166">
        <v>0</v>
      </c>
      <c r="AS626" s="166">
        <v>0</v>
      </c>
      <c r="AT626" s="166">
        <v>0</v>
      </c>
      <c r="AU626" s="166">
        <v>0</v>
      </c>
      <c r="AV626" s="166">
        <v>0</v>
      </c>
      <c r="AW626" s="166">
        <v>1</v>
      </c>
      <c r="AX626" s="166">
        <v>0</v>
      </c>
      <c r="AY626" s="166">
        <v>0</v>
      </c>
      <c r="AZ626" s="166">
        <v>0</v>
      </c>
      <c r="BA626" s="166">
        <v>0</v>
      </c>
      <c r="BB626" s="166">
        <v>0</v>
      </c>
      <c r="BC626" s="166">
        <v>0</v>
      </c>
      <c r="BD626" s="166">
        <v>0</v>
      </c>
      <c r="BE626" s="166">
        <v>0</v>
      </c>
      <c r="BF626" s="166">
        <v>0</v>
      </c>
      <c r="BG626" s="166">
        <v>0</v>
      </c>
      <c r="BH626" s="166">
        <v>0</v>
      </c>
      <c r="BI626" s="166">
        <v>0</v>
      </c>
      <c r="BJ626" s="166">
        <v>0</v>
      </c>
      <c r="BK626" s="166">
        <v>0</v>
      </c>
      <c r="BL626" s="166">
        <v>0</v>
      </c>
      <c r="BM626" s="166">
        <v>0</v>
      </c>
      <c r="BN626" s="166">
        <v>0</v>
      </c>
      <c r="BO626" s="166">
        <v>0</v>
      </c>
      <c r="BP626" s="166">
        <v>0</v>
      </c>
      <c r="BQ626" s="81" t="s">
        <v>1758</v>
      </c>
      <c r="BY626" s="81" t="s">
        <v>155</v>
      </c>
      <c r="BZ626" s="81" t="s">
        <v>155</v>
      </c>
      <c r="CA626" s="81" t="s">
        <v>3981</v>
      </c>
      <c r="CC626" s="167">
        <v>0</v>
      </c>
      <c r="CD626" s="167">
        <f>$N626/2</f>
        <v>0.5</v>
      </c>
      <c r="CE626" s="167">
        <f>$N626/2</f>
        <v>0.5</v>
      </c>
      <c r="CF626" s="167">
        <v>0</v>
      </c>
      <c r="CG626" s="167">
        <v>0</v>
      </c>
      <c r="CH626" s="167">
        <v>0</v>
      </c>
      <c r="CI626" s="167">
        <v>0</v>
      </c>
      <c r="CJ626" s="167">
        <v>0</v>
      </c>
      <c r="CK626" s="167">
        <v>0</v>
      </c>
      <c r="CL626" s="167">
        <v>0</v>
      </c>
      <c r="CM626" s="167">
        <v>0</v>
      </c>
      <c r="CN626" s="167">
        <v>0</v>
      </c>
      <c r="CO626" s="167">
        <v>0</v>
      </c>
      <c r="CP626" s="167">
        <v>0</v>
      </c>
      <c r="CQ626" s="167">
        <v>0</v>
      </c>
      <c r="CR626" s="167">
        <v>0</v>
      </c>
      <c r="CS626" s="167">
        <v>0</v>
      </c>
      <c r="CT626" s="167">
        <v>0</v>
      </c>
      <c r="CU626" s="167">
        <v>0</v>
      </c>
      <c r="CV626" s="167">
        <v>0</v>
      </c>
      <c r="CW626" s="167">
        <v>0</v>
      </c>
      <c r="CX626" s="167">
        <f>SUM(CD626:CH626)</f>
        <v>1</v>
      </c>
      <c r="CY626" s="167">
        <f>SUM(CD626:CM626)</f>
        <v>1</v>
      </c>
    </row>
    <row r="627" spans="1:103" ht="12.75" customHeight="1" x14ac:dyDescent="0.2">
      <c r="A627" s="81">
        <v>6119</v>
      </c>
      <c r="B627" s="165" t="s">
        <v>1908</v>
      </c>
      <c r="C627" s="165" t="s">
        <v>710</v>
      </c>
      <c r="E627" s="165" t="s">
        <v>3423</v>
      </c>
      <c r="G627" s="81">
        <v>528391</v>
      </c>
      <c r="H627" s="81">
        <v>174060</v>
      </c>
      <c r="I627" s="165" t="s">
        <v>247</v>
      </c>
      <c r="J627" s="349">
        <v>42825</v>
      </c>
      <c r="L627" s="166">
        <v>0</v>
      </c>
      <c r="M627" s="166">
        <v>16</v>
      </c>
      <c r="N627" s="166">
        <v>16</v>
      </c>
      <c r="O627" s="166">
        <v>16</v>
      </c>
      <c r="P627" s="166">
        <v>16</v>
      </c>
      <c r="Q627" s="81" t="s">
        <v>155</v>
      </c>
      <c r="R627" s="165" t="s">
        <v>968</v>
      </c>
      <c r="S627" s="81" t="s">
        <v>104</v>
      </c>
      <c r="T627" s="349">
        <v>42354</v>
      </c>
      <c r="U627" s="349">
        <v>42460</v>
      </c>
      <c r="W627" s="81" t="s">
        <v>114</v>
      </c>
      <c r="Y627" s="81" t="s">
        <v>115</v>
      </c>
      <c r="Z627" s="81" t="s">
        <v>398</v>
      </c>
      <c r="AA627" s="81" t="s">
        <v>116</v>
      </c>
      <c r="AB627" s="81" t="s">
        <v>117</v>
      </c>
      <c r="AC627" s="166">
        <v>0.181999996304512</v>
      </c>
      <c r="AD627" s="349">
        <v>42825</v>
      </c>
      <c r="AG627" s="81" t="s">
        <v>238</v>
      </c>
      <c r="AH627" s="81" t="s">
        <v>118</v>
      </c>
      <c r="AK627" s="166">
        <v>16</v>
      </c>
      <c r="AM627" s="166">
        <v>3</v>
      </c>
      <c r="AO627" s="166">
        <v>2</v>
      </c>
      <c r="AP627" s="166">
        <v>3</v>
      </c>
      <c r="AQ627" s="166">
        <v>6</v>
      </c>
      <c r="AR627" s="166">
        <v>2</v>
      </c>
      <c r="AS627" s="166">
        <v>3</v>
      </c>
      <c r="AT627" s="166">
        <v>0</v>
      </c>
      <c r="AU627" s="166">
        <v>0</v>
      </c>
      <c r="AV627" s="166">
        <v>2</v>
      </c>
      <c r="AW627" s="166">
        <v>3</v>
      </c>
      <c r="AX627" s="166">
        <v>6</v>
      </c>
      <c r="AY627" s="166">
        <v>2</v>
      </c>
      <c r="AZ627" s="166">
        <v>0</v>
      </c>
      <c r="BA627" s="166">
        <v>0</v>
      </c>
      <c r="BB627" s="166">
        <v>0</v>
      </c>
      <c r="BC627" s="166">
        <v>0</v>
      </c>
      <c r="BD627" s="166">
        <v>0</v>
      </c>
      <c r="BE627" s="166">
        <v>0</v>
      </c>
      <c r="BF627" s="166">
        <v>0</v>
      </c>
      <c r="BG627" s="166">
        <v>3</v>
      </c>
      <c r="BH627" s="166">
        <v>0</v>
      </c>
      <c r="BI627" s="166">
        <v>0</v>
      </c>
      <c r="BJ627" s="166">
        <v>0</v>
      </c>
      <c r="BK627" s="166">
        <v>0</v>
      </c>
      <c r="BL627" s="166">
        <v>0</v>
      </c>
      <c r="BM627" s="166">
        <v>0</v>
      </c>
      <c r="BN627" s="166">
        <v>0</v>
      </c>
      <c r="BO627" s="166">
        <v>0</v>
      </c>
      <c r="BP627" s="166">
        <v>0</v>
      </c>
      <c r="BQ627" s="81" t="s">
        <v>1757</v>
      </c>
      <c r="BZ627" s="81" t="s">
        <v>155</v>
      </c>
      <c r="CA627" s="81" t="s">
        <v>3976</v>
      </c>
      <c r="CC627" s="167">
        <v>0</v>
      </c>
      <c r="CD627" s="167">
        <f>N627</f>
        <v>16</v>
      </c>
      <c r="CE627" s="167">
        <v>0</v>
      </c>
      <c r="CF627" s="167">
        <v>0</v>
      </c>
      <c r="CG627" s="167">
        <v>0</v>
      </c>
      <c r="CH627" s="167">
        <v>0</v>
      </c>
      <c r="CI627" s="167">
        <v>0</v>
      </c>
      <c r="CJ627" s="167">
        <v>0</v>
      </c>
      <c r="CK627" s="167">
        <v>0</v>
      </c>
      <c r="CL627" s="167">
        <v>0</v>
      </c>
      <c r="CM627" s="167">
        <v>0</v>
      </c>
      <c r="CN627" s="167">
        <v>0</v>
      </c>
      <c r="CO627" s="167">
        <v>0</v>
      </c>
      <c r="CP627" s="167">
        <v>0</v>
      </c>
      <c r="CQ627" s="167">
        <v>0</v>
      </c>
      <c r="CR627" s="167">
        <v>0</v>
      </c>
      <c r="CS627" s="167">
        <v>0</v>
      </c>
      <c r="CT627" s="167">
        <v>0</v>
      </c>
      <c r="CU627" s="167">
        <v>0</v>
      </c>
      <c r="CV627" s="167">
        <v>0</v>
      </c>
      <c r="CW627" s="167">
        <v>0</v>
      </c>
      <c r="CX627" s="167">
        <f>SUM(CD627:CH627)</f>
        <v>16</v>
      </c>
      <c r="CY627" s="167">
        <f>SUM(CD627:CM627)</f>
        <v>16</v>
      </c>
    </row>
    <row r="628" spans="1:103" ht="12.75" customHeight="1" x14ac:dyDescent="0.2">
      <c r="A628" s="81">
        <v>6121</v>
      </c>
      <c r="B628" s="165" t="s">
        <v>1908</v>
      </c>
      <c r="C628" s="165" t="s">
        <v>1260</v>
      </c>
      <c r="E628" s="165" t="s">
        <v>3620</v>
      </c>
      <c r="G628" s="81">
        <v>527356</v>
      </c>
      <c r="H628" s="81">
        <v>171517</v>
      </c>
      <c r="I628" s="165" t="s">
        <v>242</v>
      </c>
      <c r="J628" s="349">
        <v>43190</v>
      </c>
      <c r="L628" s="166">
        <v>1</v>
      </c>
      <c r="M628" s="166">
        <v>3</v>
      </c>
      <c r="N628" s="166">
        <v>2</v>
      </c>
      <c r="O628" s="166">
        <v>3</v>
      </c>
      <c r="P628" s="166">
        <v>2</v>
      </c>
      <c r="R628" s="165" t="s">
        <v>1261</v>
      </c>
      <c r="S628" s="81" t="s">
        <v>113</v>
      </c>
      <c r="T628" s="349">
        <v>42503</v>
      </c>
      <c r="U628" s="349">
        <v>42559</v>
      </c>
      <c r="W628" s="81" t="s">
        <v>114</v>
      </c>
      <c r="Y628" s="81" t="s">
        <v>115</v>
      </c>
      <c r="Z628" s="81" t="s">
        <v>116</v>
      </c>
      <c r="AA628" s="81" t="s">
        <v>117</v>
      </c>
      <c r="AB628" s="81" t="s">
        <v>218</v>
      </c>
      <c r="AC628" s="166">
        <v>3.4000001847744002E-2</v>
      </c>
      <c r="AD628" s="349">
        <v>43190</v>
      </c>
      <c r="AE628" s="81" t="s">
        <v>155</v>
      </c>
      <c r="AG628" s="81" t="s">
        <v>238</v>
      </c>
      <c r="AH628" s="81" t="s">
        <v>118</v>
      </c>
      <c r="AK628" s="166">
        <v>0</v>
      </c>
      <c r="AM628" s="166">
        <v>0</v>
      </c>
      <c r="AO628" s="166">
        <v>-1</v>
      </c>
      <c r="AP628" s="166">
        <v>1</v>
      </c>
      <c r="AQ628" s="166">
        <v>2</v>
      </c>
      <c r="AR628" s="166">
        <v>0</v>
      </c>
      <c r="AS628" s="166">
        <v>0</v>
      </c>
      <c r="AT628" s="166">
        <v>0</v>
      </c>
      <c r="AU628" s="166">
        <v>0</v>
      </c>
      <c r="AV628" s="166">
        <v>-1</v>
      </c>
      <c r="AW628" s="166">
        <v>1</v>
      </c>
      <c r="AX628" s="166">
        <v>2</v>
      </c>
      <c r="AY628" s="166">
        <v>0</v>
      </c>
      <c r="AZ628" s="166">
        <v>0</v>
      </c>
      <c r="BA628" s="166">
        <v>0</v>
      </c>
      <c r="BB628" s="166">
        <v>0</v>
      </c>
      <c r="BC628" s="166">
        <v>0</v>
      </c>
      <c r="BD628" s="166">
        <v>0</v>
      </c>
      <c r="BE628" s="166">
        <v>0</v>
      </c>
      <c r="BF628" s="166">
        <v>0</v>
      </c>
      <c r="BG628" s="166">
        <v>0</v>
      </c>
      <c r="BH628" s="166">
        <v>0</v>
      </c>
      <c r="BI628" s="166">
        <v>0</v>
      </c>
      <c r="BJ628" s="166">
        <v>0</v>
      </c>
      <c r="BK628" s="166">
        <v>0</v>
      </c>
      <c r="BL628" s="166">
        <v>0</v>
      </c>
      <c r="BM628" s="166">
        <v>0</v>
      </c>
      <c r="BN628" s="166">
        <v>0</v>
      </c>
      <c r="BO628" s="166">
        <v>0</v>
      </c>
      <c r="BP628" s="166">
        <v>0</v>
      </c>
      <c r="BQ628" s="81" t="s">
        <v>1757</v>
      </c>
      <c r="BZ628" s="81" t="s">
        <v>155</v>
      </c>
      <c r="CA628" s="81" t="s">
        <v>3977</v>
      </c>
      <c r="CC628" s="167">
        <v>0</v>
      </c>
      <c r="CD628" s="167">
        <f>$N628/2</f>
        <v>1</v>
      </c>
      <c r="CE628" s="167">
        <f>$N628/2</f>
        <v>1</v>
      </c>
      <c r="CF628" s="167">
        <v>0</v>
      </c>
      <c r="CG628" s="167">
        <v>0</v>
      </c>
      <c r="CH628" s="167">
        <v>0</v>
      </c>
      <c r="CI628" s="167">
        <v>0</v>
      </c>
      <c r="CJ628" s="167">
        <v>0</v>
      </c>
      <c r="CK628" s="167">
        <v>0</v>
      </c>
      <c r="CL628" s="167">
        <v>0</v>
      </c>
      <c r="CM628" s="167">
        <v>0</v>
      </c>
      <c r="CN628" s="167">
        <v>0</v>
      </c>
      <c r="CO628" s="167">
        <v>0</v>
      </c>
      <c r="CP628" s="167">
        <v>0</v>
      </c>
      <c r="CQ628" s="167">
        <v>0</v>
      </c>
      <c r="CR628" s="167">
        <v>0</v>
      </c>
      <c r="CS628" s="167">
        <v>0</v>
      </c>
      <c r="CT628" s="167">
        <v>0</v>
      </c>
      <c r="CU628" s="167">
        <v>0</v>
      </c>
      <c r="CV628" s="167">
        <v>0</v>
      </c>
      <c r="CW628" s="167">
        <v>0</v>
      </c>
      <c r="CX628" s="167">
        <f>SUM(CD628:CH628)</f>
        <v>2</v>
      </c>
      <c r="CY628" s="167">
        <f>SUM(CD628:CM628)</f>
        <v>2</v>
      </c>
    </row>
    <row r="629" spans="1:103" ht="12.75" customHeight="1" x14ac:dyDescent="0.2">
      <c r="A629" s="81">
        <v>6124</v>
      </c>
      <c r="B629" s="165" t="s">
        <v>1908</v>
      </c>
      <c r="C629" s="165" t="s">
        <v>708</v>
      </c>
      <c r="E629" s="165" t="s">
        <v>3633</v>
      </c>
      <c r="G629" s="81">
        <v>526974</v>
      </c>
      <c r="H629" s="81">
        <v>175176</v>
      </c>
      <c r="I629" s="165" t="s">
        <v>251</v>
      </c>
      <c r="J629" s="349">
        <v>42825</v>
      </c>
      <c r="L629" s="166">
        <v>2</v>
      </c>
      <c r="M629" s="166">
        <v>4</v>
      </c>
      <c r="N629" s="166">
        <v>2</v>
      </c>
      <c r="O629" s="166">
        <v>4</v>
      </c>
      <c r="P629" s="166">
        <v>2</v>
      </c>
      <c r="R629" s="165" t="s">
        <v>966</v>
      </c>
      <c r="S629" s="81" t="s">
        <v>113</v>
      </c>
      <c r="T629" s="349">
        <v>42374</v>
      </c>
      <c r="U629" s="349">
        <v>42429</v>
      </c>
      <c r="W629" s="81" t="s">
        <v>114</v>
      </c>
      <c r="Y629" s="81" t="s">
        <v>115</v>
      </c>
      <c r="Z629" s="81" t="s">
        <v>398</v>
      </c>
      <c r="AA629" s="81" t="s">
        <v>117</v>
      </c>
      <c r="AB629" s="81" t="s">
        <v>220</v>
      </c>
      <c r="AC629" s="166">
        <v>1.30000002682209E-2</v>
      </c>
      <c r="AD629" s="349">
        <v>42825</v>
      </c>
      <c r="AG629" s="81" t="s">
        <v>238</v>
      </c>
      <c r="AH629" s="81" t="s">
        <v>118</v>
      </c>
      <c r="AK629" s="166">
        <v>0</v>
      </c>
      <c r="AM629" s="166">
        <v>0</v>
      </c>
      <c r="AO629" s="166">
        <v>0</v>
      </c>
      <c r="AP629" s="166">
        <v>1</v>
      </c>
      <c r="AQ629" s="166">
        <v>1</v>
      </c>
      <c r="AR629" s="166">
        <v>0</v>
      </c>
      <c r="AS629" s="166">
        <v>0</v>
      </c>
      <c r="AT629" s="166">
        <v>0</v>
      </c>
      <c r="AU629" s="166">
        <v>0</v>
      </c>
      <c r="AV629" s="166">
        <v>0</v>
      </c>
      <c r="AW629" s="166">
        <v>1</v>
      </c>
      <c r="AX629" s="166">
        <v>1</v>
      </c>
      <c r="AY629" s="166">
        <v>0</v>
      </c>
      <c r="AZ629" s="166">
        <v>0</v>
      </c>
      <c r="BA629" s="166">
        <v>0</v>
      </c>
      <c r="BB629" s="166">
        <v>0</v>
      </c>
      <c r="BC629" s="166">
        <v>0</v>
      </c>
      <c r="BD629" s="166">
        <v>0</v>
      </c>
      <c r="BE629" s="166">
        <v>0</v>
      </c>
      <c r="BF629" s="166">
        <v>0</v>
      </c>
      <c r="BG629" s="166">
        <v>0</v>
      </c>
      <c r="BH629" s="166">
        <v>0</v>
      </c>
      <c r="BI629" s="166">
        <v>0</v>
      </c>
      <c r="BJ629" s="166">
        <v>0</v>
      </c>
      <c r="BK629" s="166">
        <v>0</v>
      </c>
      <c r="BL629" s="166">
        <v>0</v>
      </c>
      <c r="BM629" s="166">
        <v>0</v>
      </c>
      <c r="BN629" s="166">
        <v>0</v>
      </c>
      <c r="BO629" s="166">
        <v>0</v>
      </c>
      <c r="BP629" s="166">
        <v>0</v>
      </c>
      <c r="BQ629" s="81" t="s">
        <v>1758</v>
      </c>
      <c r="BZ629" s="81" t="s">
        <v>155</v>
      </c>
      <c r="CA629" s="81" t="s">
        <v>3980</v>
      </c>
      <c r="CC629" s="167">
        <v>0</v>
      </c>
      <c r="CD629" s="167">
        <f>N629</f>
        <v>2</v>
      </c>
      <c r="CE629" s="167">
        <v>0</v>
      </c>
      <c r="CF629" s="167">
        <v>0</v>
      </c>
      <c r="CG629" s="167">
        <v>0</v>
      </c>
      <c r="CH629" s="167">
        <v>0</v>
      </c>
      <c r="CI629" s="167">
        <v>0</v>
      </c>
      <c r="CJ629" s="167">
        <v>0</v>
      </c>
      <c r="CK629" s="167">
        <v>0</v>
      </c>
      <c r="CL629" s="167">
        <v>0</v>
      </c>
      <c r="CM629" s="167">
        <v>0</v>
      </c>
      <c r="CN629" s="167">
        <v>0</v>
      </c>
      <c r="CO629" s="167">
        <v>0</v>
      </c>
      <c r="CP629" s="167">
        <v>0</v>
      </c>
      <c r="CQ629" s="167">
        <v>0</v>
      </c>
      <c r="CR629" s="167">
        <v>0</v>
      </c>
      <c r="CS629" s="167">
        <v>0</v>
      </c>
      <c r="CT629" s="167">
        <v>0</v>
      </c>
      <c r="CU629" s="167">
        <v>0</v>
      </c>
      <c r="CV629" s="167">
        <v>0</v>
      </c>
      <c r="CW629" s="167">
        <v>0</v>
      </c>
      <c r="CX629" s="167">
        <f>SUM(CD629:CH629)</f>
        <v>2</v>
      </c>
      <c r="CY629" s="167">
        <f>SUM(CD629:CM629)</f>
        <v>2</v>
      </c>
    </row>
    <row r="630" spans="1:103" ht="12.75" customHeight="1" x14ac:dyDescent="0.2">
      <c r="A630" s="81">
        <v>6132</v>
      </c>
      <c r="B630" s="165" t="s">
        <v>1908</v>
      </c>
      <c r="C630" s="165" t="s">
        <v>714</v>
      </c>
      <c r="E630" s="165" t="s">
        <v>3625</v>
      </c>
      <c r="G630" s="81">
        <v>528883</v>
      </c>
      <c r="H630" s="81">
        <v>173580</v>
      </c>
      <c r="I630" s="165" t="s">
        <v>247</v>
      </c>
      <c r="J630" s="349">
        <v>42825</v>
      </c>
      <c r="L630" s="166">
        <v>0</v>
      </c>
      <c r="M630" s="166">
        <v>3</v>
      </c>
      <c r="N630" s="166">
        <v>3</v>
      </c>
      <c r="O630" s="166">
        <v>3</v>
      </c>
      <c r="P630" s="166">
        <v>3</v>
      </c>
      <c r="R630" s="165" t="s">
        <v>715</v>
      </c>
      <c r="S630" s="81" t="s">
        <v>113</v>
      </c>
      <c r="T630" s="349">
        <v>42373</v>
      </c>
      <c r="U630" s="349">
        <v>42445</v>
      </c>
      <c r="W630" s="81" t="s">
        <v>114</v>
      </c>
      <c r="Y630" s="81" t="s">
        <v>115</v>
      </c>
      <c r="Z630" s="81" t="s">
        <v>116</v>
      </c>
      <c r="AA630" s="81" t="s">
        <v>117</v>
      </c>
      <c r="AB630" s="81" t="s">
        <v>218</v>
      </c>
      <c r="AC630" s="166">
        <v>2.3000000044703501E-2</v>
      </c>
      <c r="AD630" s="349">
        <v>42825</v>
      </c>
      <c r="AG630" s="81" t="s">
        <v>238</v>
      </c>
      <c r="AH630" s="81" t="s">
        <v>118</v>
      </c>
      <c r="AK630" s="166">
        <v>3</v>
      </c>
      <c r="AM630" s="166">
        <v>0</v>
      </c>
      <c r="AO630" s="166">
        <v>0</v>
      </c>
      <c r="AP630" s="166">
        <v>0</v>
      </c>
      <c r="AQ630" s="166">
        <v>0</v>
      </c>
      <c r="AR630" s="166">
        <v>3</v>
      </c>
      <c r="AS630" s="166">
        <v>0</v>
      </c>
      <c r="AT630" s="166">
        <v>0</v>
      </c>
      <c r="AU630" s="166">
        <v>0</v>
      </c>
      <c r="AV630" s="166">
        <v>0</v>
      </c>
      <c r="AW630" s="166">
        <v>0</v>
      </c>
      <c r="AX630" s="166">
        <v>0</v>
      </c>
      <c r="AY630" s="166">
        <v>0</v>
      </c>
      <c r="AZ630" s="166">
        <v>0</v>
      </c>
      <c r="BA630" s="166">
        <v>0</v>
      </c>
      <c r="BB630" s="166">
        <v>0</v>
      </c>
      <c r="BC630" s="166">
        <v>0</v>
      </c>
      <c r="BD630" s="166">
        <v>0</v>
      </c>
      <c r="BE630" s="166">
        <v>0</v>
      </c>
      <c r="BF630" s="166">
        <v>3</v>
      </c>
      <c r="BG630" s="166">
        <v>0</v>
      </c>
      <c r="BH630" s="166">
        <v>0</v>
      </c>
      <c r="BI630" s="166">
        <v>0</v>
      </c>
      <c r="BJ630" s="166">
        <v>0</v>
      </c>
      <c r="BK630" s="166">
        <v>0</v>
      </c>
      <c r="BL630" s="166">
        <v>0</v>
      </c>
      <c r="BM630" s="166">
        <v>0</v>
      </c>
      <c r="BN630" s="166">
        <v>0</v>
      </c>
      <c r="BO630" s="166">
        <v>0</v>
      </c>
      <c r="BP630" s="166">
        <v>0</v>
      </c>
      <c r="BQ630" s="81" t="s">
        <v>1757</v>
      </c>
      <c r="BZ630" s="81" t="s">
        <v>155</v>
      </c>
      <c r="CA630" s="81" t="s">
        <v>3976</v>
      </c>
      <c r="CC630" s="167">
        <v>0</v>
      </c>
      <c r="CD630" s="167">
        <f>N630</f>
        <v>3</v>
      </c>
      <c r="CE630" s="167">
        <v>0</v>
      </c>
      <c r="CF630" s="167">
        <v>0</v>
      </c>
      <c r="CG630" s="167">
        <v>0</v>
      </c>
      <c r="CH630" s="167">
        <v>0</v>
      </c>
      <c r="CI630" s="167">
        <v>0</v>
      </c>
      <c r="CJ630" s="167">
        <v>0</v>
      </c>
      <c r="CK630" s="167">
        <v>0</v>
      </c>
      <c r="CL630" s="167">
        <v>0</v>
      </c>
      <c r="CM630" s="167">
        <v>0</v>
      </c>
      <c r="CN630" s="167">
        <v>0</v>
      </c>
      <c r="CO630" s="167">
        <v>0</v>
      </c>
      <c r="CP630" s="167">
        <v>0</v>
      </c>
      <c r="CQ630" s="167">
        <v>0</v>
      </c>
      <c r="CR630" s="167">
        <v>0</v>
      </c>
      <c r="CS630" s="167">
        <v>0</v>
      </c>
      <c r="CT630" s="167">
        <v>0</v>
      </c>
      <c r="CU630" s="167">
        <v>0</v>
      </c>
      <c r="CV630" s="167">
        <v>0</v>
      </c>
      <c r="CW630" s="167">
        <v>0</v>
      </c>
      <c r="CX630" s="167">
        <f>SUM(CD630:CH630)</f>
        <v>3</v>
      </c>
      <c r="CY630" s="167">
        <f>SUM(CD630:CM630)</f>
        <v>3</v>
      </c>
    </row>
    <row r="631" spans="1:103" ht="12.75" customHeight="1" x14ac:dyDescent="0.2">
      <c r="A631" s="81">
        <v>6145</v>
      </c>
      <c r="B631" s="165" t="s">
        <v>1908</v>
      </c>
      <c r="C631" s="165" t="s">
        <v>642</v>
      </c>
      <c r="E631" s="165" t="s">
        <v>3635</v>
      </c>
      <c r="G631" s="81">
        <v>529293</v>
      </c>
      <c r="H631" s="81">
        <v>171072</v>
      </c>
      <c r="I631" s="165" t="s">
        <v>252</v>
      </c>
      <c r="J631" s="349">
        <v>43003</v>
      </c>
      <c r="L631" s="166">
        <v>1</v>
      </c>
      <c r="M631" s="166">
        <v>2</v>
      </c>
      <c r="N631" s="166">
        <v>1</v>
      </c>
      <c r="O631" s="166">
        <v>2</v>
      </c>
      <c r="P631" s="166">
        <v>1</v>
      </c>
      <c r="R631" s="165" t="s">
        <v>1141</v>
      </c>
      <c r="S631" s="81" t="s">
        <v>113</v>
      </c>
      <c r="T631" s="349">
        <v>42305</v>
      </c>
      <c r="U631" s="349">
        <v>42459</v>
      </c>
      <c r="W631" s="81" t="s">
        <v>114</v>
      </c>
      <c r="Y631" s="81" t="s">
        <v>115</v>
      </c>
      <c r="Z631" s="81" t="s">
        <v>398</v>
      </c>
      <c r="AA631" s="81" t="s">
        <v>117</v>
      </c>
      <c r="AB631" s="81" t="s">
        <v>220</v>
      </c>
      <c r="AC631" s="166">
        <v>8.0000003799796104E-3</v>
      </c>
      <c r="AD631" s="349">
        <v>43003</v>
      </c>
      <c r="AE631" s="81" t="s">
        <v>155</v>
      </c>
      <c r="AG631" s="81" t="s">
        <v>238</v>
      </c>
      <c r="AH631" s="81" t="s">
        <v>118</v>
      </c>
      <c r="AK631" s="166">
        <v>0</v>
      </c>
      <c r="AM631" s="166">
        <v>0</v>
      </c>
      <c r="AO631" s="166">
        <v>0</v>
      </c>
      <c r="AP631" s="166">
        <v>0</v>
      </c>
      <c r="AQ631" s="166">
        <v>2</v>
      </c>
      <c r="AR631" s="166">
        <v>0</v>
      </c>
      <c r="AS631" s="166">
        <v>-1</v>
      </c>
      <c r="AT631" s="166">
        <v>0</v>
      </c>
      <c r="AU631" s="166">
        <v>0</v>
      </c>
      <c r="AV631" s="166">
        <v>0</v>
      </c>
      <c r="AW631" s="166">
        <v>0</v>
      </c>
      <c r="AX631" s="166">
        <v>2</v>
      </c>
      <c r="AY631" s="166">
        <v>0</v>
      </c>
      <c r="AZ631" s="166">
        <v>-1</v>
      </c>
      <c r="BA631" s="166">
        <v>0</v>
      </c>
      <c r="BB631" s="166">
        <v>0</v>
      </c>
      <c r="BC631" s="166">
        <v>0</v>
      </c>
      <c r="BD631" s="166">
        <v>0</v>
      </c>
      <c r="BE631" s="166">
        <v>0</v>
      </c>
      <c r="BF631" s="166">
        <v>0</v>
      </c>
      <c r="BG631" s="166">
        <v>0</v>
      </c>
      <c r="BH631" s="166">
        <v>0</v>
      </c>
      <c r="BI631" s="166">
        <v>0</v>
      </c>
      <c r="BJ631" s="166">
        <v>0</v>
      </c>
      <c r="BK631" s="166">
        <v>0</v>
      </c>
      <c r="BL631" s="166">
        <v>0</v>
      </c>
      <c r="BM631" s="166">
        <v>0</v>
      </c>
      <c r="BN631" s="166">
        <v>0</v>
      </c>
      <c r="BO631" s="166">
        <v>0</v>
      </c>
      <c r="BP631" s="166">
        <v>0</v>
      </c>
      <c r="BQ631" s="81" t="s">
        <v>1757</v>
      </c>
      <c r="BZ631" s="81" t="s">
        <v>155</v>
      </c>
      <c r="CA631" s="81" t="s">
        <v>3980</v>
      </c>
      <c r="CC631" s="167">
        <v>0</v>
      </c>
      <c r="CD631" s="167">
        <f>N631</f>
        <v>1</v>
      </c>
      <c r="CE631" s="167">
        <v>0</v>
      </c>
      <c r="CF631" s="167">
        <v>0</v>
      </c>
      <c r="CG631" s="167">
        <v>0</v>
      </c>
      <c r="CH631" s="167">
        <v>0</v>
      </c>
      <c r="CI631" s="167">
        <v>0</v>
      </c>
      <c r="CJ631" s="167">
        <v>0</v>
      </c>
      <c r="CK631" s="167">
        <v>0</v>
      </c>
      <c r="CL631" s="167">
        <v>0</v>
      </c>
      <c r="CM631" s="167">
        <v>0</v>
      </c>
      <c r="CN631" s="167">
        <v>0</v>
      </c>
      <c r="CO631" s="167">
        <v>0</v>
      </c>
      <c r="CP631" s="167">
        <v>0</v>
      </c>
      <c r="CQ631" s="167">
        <v>0</v>
      </c>
      <c r="CR631" s="167">
        <v>0</v>
      </c>
      <c r="CS631" s="167">
        <v>0</v>
      </c>
      <c r="CT631" s="167">
        <v>0</v>
      </c>
      <c r="CU631" s="167">
        <v>0</v>
      </c>
      <c r="CV631" s="167">
        <v>0</v>
      </c>
      <c r="CW631" s="167">
        <v>0</v>
      </c>
      <c r="CX631" s="167">
        <f>SUM(CD631:CH631)</f>
        <v>1</v>
      </c>
      <c r="CY631" s="167">
        <f>SUM(CD631:CM631)</f>
        <v>1</v>
      </c>
    </row>
    <row r="632" spans="1:103" ht="12.75" customHeight="1" x14ac:dyDescent="0.2">
      <c r="A632" s="81">
        <v>6148</v>
      </c>
      <c r="B632" s="165" t="s">
        <v>1908</v>
      </c>
      <c r="C632" s="165" t="s">
        <v>1146</v>
      </c>
      <c r="E632" s="165" t="s">
        <v>3627</v>
      </c>
      <c r="G632" s="81">
        <v>529113</v>
      </c>
      <c r="H632" s="81">
        <v>170439</v>
      </c>
      <c r="I632" s="165" t="s">
        <v>252</v>
      </c>
      <c r="J632" s="349">
        <v>42769</v>
      </c>
      <c r="L632" s="166">
        <v>0</v>
      </c>
      <c r="M632" s="166">
        <v>9</v>
      </c>
      <c r="N632" s="166">
        <v>9</v>
      </c>
      <c r="O632" s="166">
        <v>9</v>
      </c>
      <c r="P632" s="166">
        <v>9</v>
      </c>
      <c r="R632" s="165" t="s">
        <v>1147</v>
      </c>
      <c r="S632" s="81" t="s">
        <v>292</v>
      </c>
      <c r="T632" s="349">
        <v>42395</v>
      </c>
      <c r="U632" s="349">
        <v>42465</v>
      </c>
      <c r="W632" s="81" t="s">
        <v>114</v>
      </c>
      <c r="Y632" s="81" t="s">
        <v>115</v>
      </c>
      <c r="Z632" s="81" t="s">
        <v>116</v>
      </c>
      <c r="AA632" s="81" t="s">
        <v>117</v>
      </c>
      <c r="AB632" s="81" t="s">
        <v>218</v>
      </c>
      <c r="AC632" s="166">
        <v>2.19999998807907E-2</v>
      </c>
      <c r="AD632" s="349">
        <v>42769</v>
      </c>
      <c r="AG632" s="81" t="s">
        <v>238</v>
      </c>
      <c r="AH632" s="81" t="s">
        <v>118</v>
      </c>
      <c r="AK632" s="166">
        <v>9</v>
      </c>
      <c r="AM632" s="166">
        <v>0</v>
      </c>
      <c r="AO632" s="166">
        <v>0</v>
      </c>
      <c r="AP632" s="166">
        <v>6</v>
      </c>
      <c r="AQ632" s="166">
        <v>3</v>
      </c>
      <c r="AR632" s="166">
        <v>0</v>
      </c>
      <c r="AS632" s="166">
        <v>0</v>
      </c>
      <c r="AT632" s="166">
        <v>0</v>
      </c>
      <c r="AU632" s="166">
        <v>0</v>
      </c>
      <c r="AV632" s="166">
        <v>0</v>
      </c>
      <c r="AW632" s="166">
        <v>6</v>
      </c>
      <c r="AX632" s="166">
        <v>3</v>
      </c>
      <c r="AY632" s="166">
        <v>0</v>
      </c>
      <c r="AZ632" s="166">
        <v>0</v>
      </c>
      <c r="BA632" s="166">
        <v>0</v>
      </c>
      <c r="BB632" s="166">
        <v>0</v>
      </c>
      <c r="BC632" s="166">
        <v>0</v>
      </c>
      <c r="BD632" s="166">
        <v>0</v>
      </c>
      <c r="BE632" s="166">
        <v>0</v>
      </c>
      <c r="BF632" s="166">
        <v>0</v>
      </c>
      <c r="BG632" s="166">
        <v>0</v>
      </c>
      <c r="BH632" s="166">
        <v>0</v>
      </c>
      <c r="BI632" s="166">
        <v>0</v>
      </c>
      <c r="BJ632" s="166">
        <v>0</v>
      </c>
      <c r="BK632" s="166">
        <v>0</v>
      </c>
      <c r="BL632" s="166">
        <v>0</v>
      </c>
      <c r="BM632" s="166">
        <v>0</v>
      </c>
      <c r="BN632" s="166">
        <v>0</v>
      </c>
      <c r="BO632" s="166">
        <v>0</v>
      </c>
      <c r="BP632" s="166">
        <v>0</v>
      </c>
      <c r="BQ632" s="81" t="s">
        <v>1757</v>
      </c>
      <c r="BZ632" s="81" t="s">
        <v>155</v>
      </c>
      <c r="CA632" s="81" t="s">
        <v>3976</v>
      </c>
      <c r="CC632" s="167">
        <v>0</v>
      </c>
      <c r="CD632" s="167">
        <f>N632</f>
        <v>9</v>
      </c>
      <c r="CE632" s="167">
        <v>0</v>
      </c>
      <c r="CF632" s="167">
        <v>0</v>
      </c>
      <c r="CG632" s="167">
        <v>0</v>
      </c>
      <c r="CH632" s="167">
        <v>0</v>
      </c>
      <c r="CI632" s="167">
        <v>0</v>
      </c>
      <c r="CJ632" s="167">
        <v>0</v>
      </c>
      <c r="CK632" s="167">
        <v>0</v>
      </c>
      <c r="CL632" s="167">
        <v>0</v>
      </c>
      <c r="CM632" s="167">
        <v>0</v>
      </c>
      <c r="CN632" s="167">
        <v>0</v>
      </c>
      <c r="CO632" s="167">
        <v>0</v>
      </c>
      <c r="CP632" s="167">
        <v>0</v>
      </c>
      <c r="CQ632" s="167">
        <v>0</v>
      </c>
      <c r="CR632" s="167">
        <v>0</v>
      </c>
      <c r="CS632" s="167">
        <v>0</v>
      </c>
      <c r="CT632" s="167">
        <v>0</v>
      </c>
      <c r="CU632" s="167">
        <v>0</v>
      </c>
      <c r="CV632" s="167">
        <v>0</v>
      </c>
      <c r="CW632" s="167">
        <v>0</v>
      </c>
      <c r="CX632" s="167">
        <f>SUM(CD632:CH632)</f>
        <v>9</v>
      </c>
      <c r="CY632" s="167">
        <f>SUM(CD632:CM632)</f>
        <v>9</v>
      </c>
    </row>
    <row r="633" spans="1:103" ht="12.75" customHeight="1" x14ac:dyDescent="0.2">
      <c r="A633" s="81">
        <v>6162</v>
      </c>
      <c r="B633" s="165" t="s">
        <v>1908</v>
      </c>
      <c r="C633" s="165" t="s">
        <v>1212</v>
      </c>
      <c r="E633" s="165" t="s">
        <v>3637</v>
      </c>
      <c r="G633" s="81">
        <v>522116</v>
      </c>
      <c r="H633" s="81">
        <v>175394</v>
      </c>
      <c r="I633" s="165" t="s">
        <v>59</v>
      </c>
      <c r="J633" s="349">
        <v>43190</v>
      </c>
      <c r="L633" s="166">
        <v>1</v>
      </c>
      <c r="M633" s="166">
        <v>4</v>
      </c>
      <c r="N633" s="166">
        <v>3</v>
      </c>
      <c r="O633" s="166">
        <v>4</v>
      </c>
      <c r="P633" s="166">
        <v>3</v>
      </c>
      <c r="R633" s="165" t="s">
        <v>1213</v>
      </c>
      <c r="S633" s="81" t="s">
        <v>113</v>
      </c>
      <c r="T633" s="349">
        <v>42479</v>
      </c>
      <c r="U633" s="349">
        <v>42562</v>
      </c>
      <c r="W633" s="81" t="s">
        <v>114</v>
      </c>
      <c r="Y633" s="81" t="s">
        <v>115</v>
      </c>
      <c r="Z633" s="81" t="s">
        <v>398</v>
      </c>
      <c r="AA633" s="81" t="s">
        <v>117</v>
      </c>
      <c r="AB633" s="81" t="s">
        <v>120</v>
      </c>
      <c r="AC633" s="166">
        <v>2.9999999329447701E-2</v>
      </c>
      <c r="AD633" s="349">
        <v>43190</v>
      </c>
      <c r="AE633" s="81" t="s">
        <v>155</v>
      </c>
      <c r="AG633" s="81" t="s">
        <v>238</v>
      </c>
      <c r="AH633" s="81" t="s">
        <v>118</v>
      </c>
      <c r="AK633" s="166">
        <v>0</v>
      </c>
      <c r="AM633" s="166">
        <v>0</v>
      </c>
      <c r="AO633" s="166">
        <v>0</v>
      </c>
      <c r="AP633" s="166">
        <v>1</v>
      </c>
      <c r="AQ633" s="166">
        <v>1</v>
      </c>
      <c r="AR633" s="166">
        <v>2</v>
      </c>
      <c r="AS633" s="166">
        <v>-1</v>
      </c>
      <c r="AT633" s="166">
        <v>0</v>
      </c>
      <c r="AU633" s="166">
        <v>0</v>
      </c>
      <c r="AV633" s="166">
        <v>0</v>
      </c>
      <c r="AW633" s="166">
        <v>1</v>
      </c>
      <c r="AX633" s="166">
        <v>1</v>
      </c>
      <c r="AY633" s="166">
        <v>2</v>
      </c>
      <c r="AZ633" s="166">
        <v>0</v>
      </c>
      <c r="BA633" s="166">
        <v>0</v>
      </c>
      <c r="BB633" s="166">
        <v>0</v>
      </c>
      <c r="BC633" s="166">
        <v>0</v>
      </c>
      <c r="BD633" s="166">
        <v>0</v>
      </c>
      <c r="BE633" s="166">
        <v>0</v>
      </c>
      <c r="BF633" s="166">
        <v>0</v>
      </c>
      <c r="BG633" s="166">
        <v>-1</v>
      </c>
      <c r="BH633" s="166">
        <v>0</v>
      </c>
      <c r="BI633" s="166">
        <v>0</v>
      </c>
      <c r="BJ633" s="166">
        <v>0</v>
      </c>
      <c r="BK633" s="166">
        <v>0</v>
      </c>
      <c r="BL633" s="166">
        <v>0</v>
      </c>
      <c r="BM633" s="166">
        <v>0</v>
      </c>
      <c r="BN633" s="166">
        <v>0</v>
      </c>
      <c r="BO633" s="166">
        <v>0</v>
      </c>
      <c r="BP633" s="166">
        <v>0</v>
      </c>
      <c r="BQ633" s="81" t="s">
        <v>1758</v>
      </c>
      <c r="BZ633" s="81" t="s">
        <v>155</v>
      </c>
      <c r="CA633" s="81" t="s">
        <v>3981</v>
      </c>
      <c r="CC633" s="167">
        <v>0</v>
      </c>
      <c r="CD633" s="167">
        <f>$N633/2</f>
        <v>1.5</v>
      </c>
      <c r="CE633" s="167">
        <f>$N633/2</f>
        <v>1.5</v>
      </c>
      <c r="CF633" s="167">
        <v>0</v>
      </c>
      <c r="CG633" s="167">
        <v>0</v>
      </c>
      <c r="CH633" s="167">
        <v>0</v>
      </c>
      <c r="CI633" s="167">
        <v>0</v>
      </c>
      <c r="CJ633" s="167">
        <v>0</v>
      </c>
      <c r="CK633" s="167">
        <v>0</v>
      </c>
      <c r="CL633" s="167">
        <v>0</v>
      </c>
      <c r="CM633" s="167">
        <v>0</v>
      </c>
      <c r="CN633" s="167">
        <v>0</v>
      </c>
      <c r="CO633" s="167">
        <v>0</v>
      </c>
      <c r="CP633" s="167">
        <v>0</v>
      </c>
      <c r="CQ633" s="167">
        <v>0</v>
      </c>
      <c r="CR633" s="167">
        <v>0</v>
      </c>
      <c r="CS633" s="167">
        <v>0</v>
      </c>
      <c r="CT633" s="167">
        <v>0</v>
      </c>
      <c r="CU633" s="167">
        <v>0</v>
      </c>
      <c r="CV633" s="167">
        <v>0</v>
      </c>
      <c r="CW633" s="167">
        <v>0</v>
      </c>
      <c r="CX633" s="167">
        <f>SUM(CD633:CH633)</f>
        <v>3</v>
      </c>
      <c r="CY633" s="167">
        <f>SUM(CD633:CM633)</f>
        <v>3</v>
      </c>
    </row>
    <row r="634" spans="1:103" ht="12.75" customHeight="1" x14ac:dyDescent="0.2">
      <c r="A634" s="81">
        <v>6173</v>
      </c>
      <c r="B634" s="165" t="s">
        <v>1908</v>
      </c>
      <c r="C634" s="165" t="s">
        <v>818</v>
      </c>
      <c r="E634" s="165" t="s">
        <v>3638</v>
      </c>
      <c r="G634" s="81">
        <v>529119</v>
      </c>
      <c r="H634" s="81">
        <v>170805</v>
      </c>
      <c r="I634" s="165" t="s">
        <v>252</v>
      </c>
      <c r="J634" s="349">
        <v>42747</v>
      </c>
      <c r="L634" s="166">
        <v>1</v>
      </c>
      <c r="M634" s="166">
        <v>2</v>
      </c>
      <c r="N634" s="166">
        <v>1</v>
      </c>
      <c r="O634" s="166">
        <v>2</v>
      </c>
      <c r="P634" s="166">
        <v>1</v>
      </c>
      <c r="R634" s="165" t="s">
        <v>978</v>
      </c>
      <c r="S634" s="81" t="s">
        <v>113</v>
      </c>
      <c r="T634" s="349">
        <v>42409</v>
      </c>
      <c r="U634" s="349">
        <v>42513</v>
      </c>
      <c r="W634" s="81" t="s">
        <v>114</v>
      </c>
      <c r="Y634" s="81" t="s">
        <v>115</v>
      </c>
      <c r="Z634" s="81" t="s">
        <v>398</v>
      </c>
      <c r="AA634" s="81" t="s">
        <v>117</v>
      </c>
      <c r="AB634" s="81" t="s">
        <v>120</v>
      </c>
      <c r="AC634" s="166">
        <v>2.8000000864267301E-2</v>
      </c>
      <c r="AD634" s="349">
        <v>42747</v>
      </c>
      <c r="AG634" s="81" t="s">
        <v>238</v>
      </c>
      <c r="AH634" s="81" t="s">
        <v>118</v>
      </c>
      <c r="AK634" s="166">
        <v>0</v>
      </c>
      <c r="AM634" s="166">
        <v>0</v>
      </c>
      <c r="AO634" s="166">
        <v>0</v>
      </c>
      <c r="AP634" s="166">
        <v>0</v>
      </c>
      <c r="AQ634" s="166">
        <v>1</v>
      </c>
      <c r="AR634" s="166">
        <v>1</v>
      </c>
      <c r="AS634" s="166">
        <v>-1</v>
      </c>
      <c r="AT634" s="166">
        <v>0</v>
      </c>
      <c r="AU634" s="166">
        <v>0</v>
      </c>
      <c r="AV634" s="166">
        <v>0</v>
      </c>
      <c r="AW634" s="166">
        <v>0</v>
      </c>
      <c r="AX634" s="166">
        <v>1</v>
      </c>
      <c r="AY634" s="166">
        <v>1</v>
      </c>
      <c r="AZ634" s="166">
        <v>0</v>
      </c>
      <c r="BA634" s="166">
        <v>0</v>
      </c>
      <c r="BB634" s="166">
        <v>0</v>
      </c>
      <c r="BC634" s="166">
        <v>0</v>
      </c>
      <c r="BD634" s="166">
        <v>0</v>
      </c>
      <c r="BE634" s="166">
        <v>0</v>
      </c>
      <c r="BF634" s="166">
        <v>0</v>
      </c>
      <c r="BG634" s="166">
        <v>-1</v>
      </c>
      <c r="BH634" s="166">
        <v>0</v>
      </c>
      <c r="BI634" s="166">
        <v>0</v>
      </c>
      <c r="BJ634" s="166">
        <v>0</v>
      </c>
      <c r="BK634" s="166">
        <v>0</v>
      </c>
      <c r="BL634" s="166">
        <v>0</v>
      </c>
      <c r="BM634" s="166">
        <v>0</v>
      </c>
      <c r="BN634" s="166">
        <v>0</v>
      </c>
      <c r="BO634" s="166">
        <v>0</v>
      </c>
      <c r="BP634" s="166">
        <v>0</v>
      </c>
      <c r="BQ634" s="81" t="s">
        <v>1757</v>
      </c>
      <c r="BZ634" s="81" t="s">
        <v>155</v>
      </c>
      <c r="CA634" s="81" t="s">
        <v>3980</v>
      </c>
      <c r="CC634" s="167">
        <v>0</v>
      </c>
      <c r="CD634" s="167">
        <f>N634</f>
        <v>1</v>
      </c>
      <c r="CE634" s="167">
        <v>0</v>
      </c>
      <c r="CF634" s="167">
        <v>0</v>
      </c>
      <c r="CG634" s="167">
        <v>0</v>
      </c>
      <c r="CH634" s="167">
        <v>0</v>
      </c>
      <c r="CI634" s="167">
        <v>0</v>
      </c>
      <c r="CJ634" s="167">
        <v>0</v>
      </c>
      <c r="CK634" s="167">
        <v>0</v>
      </c>
      <c r="CL634" s="167">
        <v>0</v>
      </c>
      <c r="CM634" s="167">
        <v>0</v>
      </c>
      <c r="CN634" s="167">
        <v>0</v>
      </c>
      <c r="CO634" s="167">
        <v>0</v>
      </c>
      <c r="CP634" s="167">
        <v>0</v>
      </c>
      <c r="CQ634" s="167">
        <v>0</v>
      </c>
      <c r="CR634" s="167">
        <v>0</v>
      </c>
      <c r="CS634" s="167">
        <v>0</v>
      </c>
      <c r="CT634" s="167">
        <v>0</v>
      </c>
      <c r="CU634" s="167">
        <v>0</v>
      </c>
      <c r="CV634" s="167">
        <v>0</v>
      </c>
      <c r="CW634" s="167">
        <v>0</v>
      </c>
      <c r="CX634" s="167">
        <f>SUM(CD634:CH634)</f>
        <v>1</v>
      </c>
      <c r="CY634" s="167">
        <f>SUM(CD634:CM634)</f>
        <v>1</v>
      </c>
    </row>
    <row r="635" spans="1:103" ht="12.75" customHeight="1" x14ac:dyDescent="0.2">
      <c r="A635" s="81">
        <v>6218</v>
      </c>
      <c r="B635" s="165" t="s">
        <v>1908</v>
      </c>
      <c r="C635" s="165" t="s">
        <v>1017</v>
      </c>
      <c r="E635" s="165" t="s">
        <v>3628</v>
      </c>
      <c r="G635" s="81">
        <v>528378</v>
      </c>
      <c r="H635" s="81">
        <v>175632</v>
      </c>
      <c r="I635" s="165" t="s">
        <v>256</v>
      </c>
      <c r="J635" s="349">
        <v>42825</v>
      </c>
      <c r="L635" s="166">
        <v>0</v>
      </c>
      <c r="M635" s="166">
        <v>1</v>
      </c>
      <c r="N635" s="166">
        <v>1</v>
      </c>
      <c r="O635" s="166">
        <v>1</v>
      </c>
      <c r="P635" s="166">
        <v>1</v>
      </c>
      <c r="R635" s="165" t="s">
        <v>1018</v>
      </c>
      <c r="S635" s="81" t="s">
        <v>113</v>
      </c>
      <c r="T635" s="349">
        <v>42530</v>
      </c>
      <c r="U635" s="349">
        <v>42586</v>
      </c>
      <c r="W635" s="81" t="s">
        <v>114</v>
      </c>
      <c r="Y635" s="81" t="s">
        <v>115</v>
      </c>
      <c r="Z635" s="81" t="s">
        <v>116</v>
      </c>
      <c r="AA635" s="81" t="s">
        <v>117</v>
      </c>
      <c r="AB635" s="81" t="s">
        <v>218</v>
      </c>
      <c r="AC635" s="166">
        <v>5.2999999374151202E-2</v>
      </c>
      <c r="AD635" s="349">
        <v>42825</v>
      </c>
      <c r="AG635" s="81" t="s">
        <v>238</v>
      </c>
      <c r="AH635" s="81" t="s">
        <v>118</v>
      </c>
      <c r="AK635" s="166">
        <v>0</v>
      </c>
      <c r="AM635" s="166">
        <v>0</v>
      </c>
      <c r="AO635" s="166">
        <v>0</v>
      </c>
      <c r="AP635" s="166">
        <v>0</v>
      </c>
      <c r="AQ635" s="166">
        <v>0</v>
      </c>
      <c r="AR635" s="166">
        <v>0</v>
      </c>
      <c r="AS635" s="166">
        <v>0</v>
      </c>
      <c r="AT635" s="166">
        <v>1</v>
      </c>
      <c r="AU635" s="166">
        <v>0</v>
      </c>
      <c r="AV635" s="166">
        <v>0</v>
      </c>
      <c r="AW635" s="166">
        <v>0</v>
      </c>
      <c r="AX635" s="166">
        <v>0</v>
      </c>
      <c r="AY635" s="166">
        <v>0</v>
      </c>
      <c r="AZ635" s="166">
        <v>0</v>
      </c>
      <c r="BA635" s="166">
        <v>0</v>
      </c>
      <c r="BB635" s="166">
        <v>0</v>
      </c>
      <c r="BC635" s="166">
        <v>0</v>
      </c>
      <c r="BD635" s="166">
        <v>0</v>
      </c>
      <c r="BE635" s="166">
        <v>0</v>
      </c>
      <c r="BF635" s="166">
        <v>0</v>
      </c>
      <c r="BG635" s="166">
        <v>0</v>
      </c>
      <c r="BH635" s="166">
        <v>1</v>
      </c>
      <c r="BI635" s="166">
        <v>0</v>
      </c>
      <c r="BJ635" s="166">
        <v>0</v>
      </c>
      <c r="BK635" s="166">
        <v>0</v>
      </c>
      <c r="BL635" s="166">
        <v>0</v>
      </c>
      <c r="BM635" s="166">
        <v>0</v>
      </c>
      <c r="BN635" s="166">
        <v>0</v>
      </c>
      <c r="BO635" s="166">
        <v>0</v>
      </c>
      <c r="BP635" s="166">
        <v>0</v>
      </c>
      <c r="BQ635" s="81" t="s">
        <v>1757</v>
      </c>
      <c r="BZ635" s="81" t="s">
        <v>155</v>
      </c>
      <c r="CA635" s="81" t="s">
        <v>3976</v>
      </c>
      <c r="CC635" s="167">
        <v>0</v>
      </c>
      <c r="CD635" s="167">
        <f>N635</f>
        <v>1</v>
      </c>
      <c r="CE635" s="167">
        <v>0</v>
      </c>
      <c r="CF635" s="167">
        <v>0</v>
      </c>
      <c r="CG635" s="167">
        <v>0</v>
      </c>
      <c r="CH635" s="167">
        <v>0</v>
      </c>
      <c r="CI635" s="167">
        <v>0</v>
      </c>
      <c r="CJ635" s="167">
        <v>0</v>
      </c>
      <c r="CK635" s="167">
        <v>0</v>
      </c>
      <c r="CL635" s="167">
        <v>0</v>
      </c>
      <c r="CM635" s="167">
        <v>0</v>
      </c>
      <c r="CN635" s="167">
        <v>0</v>
      </c>
      <c r="CO635" s="167">
        <v>0</v>
      </c>
      <c r="CP635" s="167">
        <v>0</v>
      </c>
      <c r="CQ635" s="167">
        <v>0</v>
      </c>
      <c r="CR635" s="167">
        <v>0</v>
      </c>
      <c r="CS635" s="167">
        <v>0</v>
      </c>
      <c r="CT635" s="167">
        <v>0</v>
      </c>
      <c r="CU635" s="167">
        <v>0</v>
      </c>
      <c r="CV635" s="167">
        <v>0</v>
      </c>
      <c r="CW635" s="167">
        <v>0</v>
      </c>
      <c r="CX635" s="167">
        <f>SUM(CD635:CH635)</f>
        <v>1</v>
      </c>
      <c r="CY635" s="167">
        <f>SUM(CD635:CM635)</f>
        <v>1</v>
      </c>
    </row>
    <row r="636" spans="1:103" ht="12.75" customHeight="1" x14ac:dyDescent="0.2">
      <c r="A636" s="81">
        <v>6219</v>
      </c>
      <c r="B636" s="165" t="s">
        <v>1908</v>
      </c>
      <c r="C636" s="165" t="s">
        <v>1396</v>
      </c>
      <c r="E636" s="165" t="s">
        <v>3632</v>
      </c>
      <c r="G636" s="81">
        <v>525163</v>
      </c>
      <c r="H636" s="81">
        <v>173918</v>
      </c>
      <c r="I636" s="165" t="s">
        <v>258</v>
      </c>
      <c r="J636" s="349">
        <v>43190</v>
      </c>
      <c r="L636" s="166">
        <v>0</v>
      </c>
      <c r="M636" s="166">
        <v>1</v>
      </c>
      <c r="N636" s="166">
        <v>1</v>
      </c>
      <c r="O636" s="166">
        <v>1</v>
      </c>
      <c r="P636" s="166">
        <v>1</v>
      </c>
      <c r="R636" s="165" t="s">
        <v>1397</v>
      </c>
      <c r="S636" s="81" t="s">
        <v>113</v>
      </c>
      <c r="T636" s="349">
        <v>42615</v>
      </c>
      <c r="U636" s="349">
        <v>42671</v>
      </c>
      <c r="W636" s="81" t="s">
        <v>114</v>
      </c>
      <c r="Y636" s="81" t="s">
        <v>115</v>
      </c>
      <c r="Z636" s="81" t="s">
        <v>116</v>
      </c>
      <c r="AA636" s="81" t="s">
        <v>117</v>
      </c>
      <c r="AB636" s="81" t="s">
        <v>218</v>
      </c>
      <c r="AC636" s="166">
        <v>1.60000007599592E-2</v>
      </c>
      <c r="AD636" s="349">
        <v>43190</v>
      </c>
      <c r="AE636" s="81" t="s">
        <v>155</v>
      </c>
      <c r="AG636" s="81" t="s">
        <v>238</v>
      </c>
      <c r="AH636" s="81" t="s">
        <v>118</v>
      </c>
      <c r="AK636" s="166">
        <v>0</v>
      </c>
      <c r="AM636" s="166">
        <v>0</v>
      </c>
      <c r="AO636" s="166">
        <v>0</v>
      </c>
      <c r="AP636" s="166">
        <v>0</v>
      </c>
      <c r="AQ636" s="166">
        <v>1</v>
      </c>
      <c r="AR636" s="166">
        <v>0</v>
      </c>
      <c r="AS636" s="166">
        <v>0</v>
      </c>
      <c r="AT636" s="166">
        <v>0</v>
      </c>
      <c r="AU636" s="166">
        <v>0</v>
      </c>
      <c r="AV636" s="166">
        <v>0</v>
      </c>
      <c r="AW636" s="166">
        <v>0</v>
      </c>
      <c r="AX636" s="166">
        <v>0</v>
      </c>
      <c r="AY636" s="166">
        <v>0</v>
      </c>
      <c r="AZ636" s="166">
        <v>0</v>
      </c>
      <c r="BA636" s="166">
        <v>0</v>
      </c>
      <c r="BB636" s="166">
        <v>0</v>
      </c>
      <c r="BC636" s="166">
        <v>0</v>
      </c>
      <c r="BD636" s="166">
        <v>0</v>
      </c>
      <c r="BE636" s="166">
        <v>1</v>
      </c>
      <c r="BF636" s="166">
        <v>0</v>
      </c>
      <c r="BG636" s="166">
        <v>0</v>
      </c>
      <c r="BH636" s="166">
        <v>0</v>
      </c>
      <c r="BI636" s="166">
        <v>0</v>
      </c>
      <c r="BJ636" s="166">
        <v>0</v>
      </c>
      <c r="BK636" s="166">
        <v>0</v>
      </c>
      <c r="BL636" s="166">
        <v>0</v>
      </c>
      <c r="BM636" s="166">
        <v>0</v>
      </c>
      <c r="BN636" s="166">
        <v>0</v>
      </c>
      <c r="BO636" s="166">
        <v>0</v>
      </c>
      <c r="BP636" s="166">
        <v>0</v>
      </c>
      <c r="BQ636" s="81" t="s">
        <v>1758</v>
      </c>
      <c r="BZ636" s="81" t="s">
        <v>155</v>
      </c>
      <c r="CA636" s="81" t="s">
        <v>3977</v>
      </c>
      <c r="CC636" s="167">
        <v>0</v>
      </c>
      <c r="CD636" s="167">
        <f>$N636/2</f>
        <v>0.5</v>
      </c>
      <c r="CE636" s="167">
        <f>$N636/2</f>
        <v>0.5</v>
      </c>
      <c r="CF636" s="167">
        <v>0</v>
      </c>
      <c r="CG636" s="167">
        <v>0</v>
      </c>
      <c r="CH636" s="167">
        <v>0</v>
      </c>
      <c r="CI636" s="167">
        <v>0</v>
      </c>
      <c r="CJ636" s="167">
        <v>0</v>
      </c>
      <c r="CK636" s="167">
        <v>0</v>
      </c>
      <c r="CL636" s="167">
        <v>0</v>
      </c>
      <c r="CM636" s="167">
        <v>0</v>
      </c>
      <c r="CN636" s="167">
        <v>0</v>
      </c>
      <c r="CO636" s="167">
        <v>0</v>
      </c>
      <c r="CP636" s="167">
        <v>0</v>
      </c>
      <c r="CQ636" s="167">
        <v>0</v>
      </c>
      <c r="CR636" s="167">
        <v>0</v>
      </c>
      <c r="CS636" s="167">
        <v>0</v>
      </c>
      <c r="CT636" s="167">
        <v>0</v>
      </c>
      <c r="CU636" s="167">
        <v>0</v>
      </c>
      <c r="CV636" s="167">
        <v>0</v>
      </c>
      <c r="CW636" s="167">
        <v>0</v>
      </c>
      <c r="CX636" s="167">
        <f>SUM(CD636:CH636)</f>
        <v>1</v>
      </c>
      <c r="CY636" s="167">
        <f>SUM(CD636:CM636)</f>
        <v>1</v>
      </c>
    </row>
    <row r="637" spans="1:103" ht="12.75" customHeight="1" x14ac:dyDescent="0.2">
      <c r="A637" s="81">
        <v>6224</v>
      </c>
      <c r="B637" s="165" t="s">
        <v>1908</v>
      </c>
      <c r="C637" s="165" t="s">
        <v>999</v>
      </c>
      <c r="E637" s="165" t="s">
        <v>3641</v>
      </c>
      <c r="G637" s="81">
        <v>528527</v>
      </c>
      <c r="H637" s="81">
        <v>172216</v>
      </c>
      <c r="I637" s="165" t="s">
        <v>248</v>
      </c>
      <c r="J637" s="349">
        <v>42825</v>
      </c>
      <c r="L637" s="166">
        <v>3</v>
      </c>
      <c r="M637" s="166">
        <v>1</v>
      </c>
      <c r="N637" s="166">
        <v>-2</v>
      </c>
      <c r="O637" s="166">
        <v>1</v>
      </c>
      <c r="P637" s="166">
        <v>-2</v>
      </c>
      <c r="R637" s="165" t="s">
        <v>1000</v>
      </c>
      <c r="S637" s="81" t="s">
        <v>113</v>
      </c>
      <c r="T637" s="349">
        <v>42503</v>
      </c>
      <c r="U637" s="349">
        <v>42559</v>
      </c>
      <c r="W637" s="81" t="s">
        <v>114</v>
      </c>
      <c r="Y637" s="81" t="s">
        <v>115</v>
      </c>
      <c r="Z637" s="81" t="s">
        <v>398</v>
      </c>
      <c r="AA637" s="81" t="s">
        <v>117</v>
      </c>
      <c r="AB637" s="81" t="s">
        <v>336</v>
      </c>
      <c r="AC637" s="166">
        <v>2.70000007003546E-2</v>
      </c>
      <c r="AD637" s="349">
        <v>42825</v>
      </c>
      <c r="AG637" s="81" t="s">
        <v>238</v>
      </c>
      <c r="AH637" s="81" t="s">
        <v>118</v>
      </c>
      <c r="AK637" s="166">
        <v>0</v>
      </c>
      <c r="AM637" s="166">
        <v>0</v>
      </c>
      <c r="AO637" s="166">
        <v>0</v>
      </c>
      <c r="AP637" s="166">
        <v>0</v>
      </c>
      <c r="AQ637" s="166">
        <v>-1</v>
      </c>
      <c r="AR637" s="166">
        <v>-2</v>
      </c>
      <c r="AS637" s="166">
        <v>0</v>
      </c>
      <c r="AT637" s="166">
        <v>1</v>
      </c>
      <c r="AU637" s="166">
        <v>0</v>
      </c>
      <c r="AV637" s="166">
        <v>0</v>
      </c>
      <c r="AW637" s="166">
        <v>0</v>
      </c>
      <c r="AX637" s="166">
        <v>-1</v>
      </c>
      <c r="AY637" s="166">
        <v>-2</v>
      </c>
      <c r="AZ637" s="166">
        <v>0</v>
      </c>
      <c r="BA637" s="166">
        <v>0</v>
      </c>
      <c r="BB637" s="166">
        <v>0</v>
      </c>
      <c r="BC637" s="166">
        <v>0</v>
      </c>
      <c r="BD637" s="166">
        <v>0</v>
      </c>
      <c r="BE637" s="166">
        <v>0</v>
      </c>
      <c r="BF637" s="166">
        <v>0</v>
      </c>
      <c r="BG637" s="166">
        <v>0</v>
      </c>
      <c r="BH637" s="166">
        <v>1</v>
      </c>
      <c r="BI637" s="166">
        <v>0</v>
      </c>
      <c r="BJ637" s="166">
        <v>0</v>
      </c>
      <c r="BK637" s="166">
        <v>0</v>
      </c>
      <c r="BL637" s="166">
        <v>0</v>
      </c>
      <c r="BM637" s="166">
        <v>0</v>
      </c>
      <c r="BN637" s="166">
        <v>0</v>
      </c>
      <c r="BO637" s="166">
        <v>0</v>
      </c>
      <c r="BP637" s="166">
        <v>0</v>
      </c>
      <c r="BQ637" s="81" t="s">
        <v>1757</v>
      </c>
      <c r="BZ637" s="81" t="s">
        <v>155</v>
      </c>
      <c r="CA637" s="81" t="s">
        <v>3980</v>
      </c>
      <c r="CC637" s="167">
        <v>0</v>
      </c>
      <c r="CD637" s="167">
        <f>N637</f>
        <v>-2</v>
      </c>
      <c r="CE637" s="167">
        <v>0</v>
      </c>
      <c r="CF637" s="167">
        <v>0</v>
      </c>
      <c r="CG637" s="167">
        <v>0</v>
      </c>
      <c r="CH637" s="167">
        <v>0</v>
      </c>
      <c r="CI637" s="167">
        <v>0</v>
      </c>
      <c r="CJ637" s="167">
        <v>0</v>
      </c>
      <c r="CK637" s="167">
        <v>0</v>
      </c>
      <c r="CL637" s="167">
        <v>0</v>
      </c>
      <c r="CM637" s="167">
        <v>0</v>
      </c>
      <c r="CN637" s="167">
        <v>0</v>
      </c>
      <c r="CO637" s="167">
        <v>0</v>
      </c>
      <c r="CP637" s="167">
        <v>0</v>
      </c>
      <c r="CQ637" s="167">
        <v>0</v>
      </c>
      <c r="CR637" s="167">
        <v>0</v>
      </c>
      <c r="CS637" s="167">
        <v>0</v>
      </c>
      <c r="CT637" s="167">
        <v>0</v>
      </c>
      <c r="CU637" s="167">
        <v>0</v>
      </c>
      <c r="CV637" s="167">
        <v>0</v>
      </c>
      <c r="CW637" s="167">
        <v>0</v>
      </c>
      <c r="CX637" s="167">
        <f>SUM(CD637:CH637)</f>
        <v>-2</v>
      </c>
      <c r="CY637" s="167">
        <f>SUM(CD637:CM637)</f>
        <v>-2</v>
      </c>
    </row>
    <row r="638" spans="1:103" ht="12.75" customHeight="1" x14ac:dyDescent="0.2">
      <c r="A638" s="81">
        <v>6233</v>
      </c>
      <c r="B638" s="165" t="s">
        <v>1908</v>
      </c>
      <c r="C638" s="165" t="s">
        <v>1699</v>
      </c>
      <c r="E638" s="165" t="s">
        <v>3642</v>
      </c>
      <c r="G638" s="81">
        <v>528286</v>
      </c>
      <c r="H638" s="81">
        <v>175228</v>
      </c>
      <c r="I638" s="165" t="s">
        <v>256</v>
      </c>
      <c r="J638" s="349">
        <v>42907</v>
      </c>
      <c r="L638" s="166">
        <v>1</v>
      </c>
      <c r="M638" s="166">
        <v>4</v>
      </c>
      <c r="N638" s="166">
        <v>3</v>
      </c>
      <c r="O638" s="166">
        <v>4</v>
      </c>
      <c r="P638" s="166">
        <v>3</v>
      </c>
      <c r="R638" s="165" t="s">
        <v>1700</v>
      </c>
      <c r="S638" s="81" t="s">
        <v>113</v>
      </c>
      <c r="T638" s="349">
        <v>42501</v>
      </c>
      <c r="U638" s="349">
        <v>42668</v>
      </c>
      <c r="W638" s="81" t="s">
        <v>114</v>
      </c>
      <c r="Y638" s="81" t="s">
        <v>115</v>
      </c>
      <c r="Z638" s="81" t="s">
        <v>398</v>
      </c>
      <c r="AA638" s="81" t="s">
        <v>117</v>
      </c>
      <c r="AB638" s="81" t="s">
        <v>120</v>
      </c>
      <c r="AC638" s="166">
        <v>2.0999999716877899E-2</v>
      </c>
      <c r="AD638" s="349">
        <v>42907</v>
      </c>
      <c r="AE638" s="81" t="s">
        <v>155</v>
      </c>
      <c r="AG638" s="81" t="s">
        <v>238</v>
      </c>
      <c r="AH638" s="81" t="s">
        <v>118</v>
      </c>
      <c r="AK638" s="166">
        <v>0</v>
      </c>
      <c r="AM638" s="166">
        <v>0</v>
      </c>
      <c r="AO638" s="166">
        <v>0</v>
      </c>
      <c r="AP638" s="166">
        <v>0</v>
      </c>
      <c r="AQ638" s="166">
        <v>1</v>
      </c>
      <c r="AR638" s="166">
        <v>3</v>
      </c>
      <c r="AS638" s="166">
        <v>-1</v>
      </c>
      <c r="AT638" s="166">
        <v>0</v>
      </c>
      <c r="AU638" s="166">
        <v>0</v>
      </c>
      <c r="AV638" s="166">
        <v>0</v>
      </c>
      <c r="AW638" s="166">
        <v>0</v>
      </c>
      <c r="AX638" s="166">
        <v>1</v>
      </c>
      <c r="AY638" s="166">
        <v>3</v>
      </c>
      <c r="AZ638" s="166">
        <v>0</v>
      </c>
      <c r="BA638" s="166">
        <v>0</v>
      </c>
      <c r="BB638" s="166">
        <v>0</v>
      </c>
      <c r="BC638" s="166">
        <v>0</v>
      </c>
      <c r="BD638" s="166">
        <v>0</v>
      </c>
      <c r="BE638" s="166">
        <v>0</v>
      </c>
      <c r="BF638" s="166">
        <v>0</v>
      </c>
      <c r="BG638" s="166">
        <v>-1</v>
      </c>
      <c r="BH638" s="166">
        <v>0</v>
      </c>
      <c r="BI638" s="166">
        <v>0</v>
      </c>
      <c r="BJ638" s="166">
        <v>0</v>
      </c>
      <c r="BK638" s="166">
        <v>0</v>
      </c>
      <c r="BL638" s="166">
        <v>0</v>
      </c>
      <c r="BM638" s="166">
        <v>0</v>
      </c>
      <c r="BN638" s="166">
        <v>0</v>
      </c>
      <c r="BO638" s="166">
        <v>0</v>
      </c>
      <c r="BP638" s="166">
        <v>0</v>
      </c>
      <c r="BQ638" s="81" t="s">
        <v>1757</v>
      </c>
      <c r="BZ638" s="81" t="s">
        <v>155</v>
      </c>
      <c r="CA638" s="81" t="s">
        <v>3980</v>
      </c>
      <c r="CC638" s="167">
        <v>0</v>
      </c>
      <c r="CD638" s="167">
        <f>N638</f>
        <v>3</v>
      </c>
      <c r="CE638" s="167">
        <v>0</v>
      </c>
      <c r="CF638" s="167">
        <v>0</v>
      </c>
      <c r="CG638" s="167">
        <v>0</v>
      </c>
      <c r="CH638" s="167">
        <v>0</v>
      </c>
      <c r="CI638" s="167">
        <v>0</v>
      </c>
      <c r="CJ638" s="167">
        <v>0</v>
      </c>
      <c r="CK638" s="167">
        <v>0</v>
      </c>
      <c r="CL638" s="167">
        <v>0</v>
      </c>
      <c r="CM638" s="167">
        <v>0</v>
      </c>
      <c r="CN638" s="167">
        <v>0</v>
      </c>
      <c r="CO638" s="167">
        <v>0</v>
      </c>
      <c r="CP638" s="167">
        <v>0</v>
      </c>
      <c r="CQ638" s="167">
        <v>0</v>
      </c>
      <c r="CR638" s="167">
        <v>0</v>
      </c>
      <c r="CS638" s="167">
        <v>0</v>
      </c>
      <c r="CT638" s="167">
        <v>0</v>
      </c>
      <c r="CU638" s="167">
        <v>0</v>
      </c>
      <c r="CV638" s="167">
        <v>0</v>
      </c>
      <c r="CW638" s="167">
        <v>0</v>
      </c>
      <c r="CX638" s="167">
        <f>SUM(CD638:CH638)</f>
        <v>3</v>
      </c>
      <c r="CY638" s="167">
        <f>SUM(CD638:CM638)</f>
        <v>3</v>
      </c>
    </row>
    <row r="639" spans="1:103" ht="12.75" customHeight="1" x14ac:dyDescent="0.2">
      <c r="A639" s="81">
        <v>6243</v>
      </c>
      <c r="B639" s="165" t="s">
        <v>1908</v>
      </c>
      <c r="C639" s="165" t="s">
        <v>964</v>
      </c>
      <c r="E639" s="165" t="s">
        <v>3634</v>
      </c>
      <c r="G639" s="81">
        <v>527415</v>
      </c>
      <c r="H639" s="81">
        <v>176656</v>
      </c>
      <c r="I639" s="165" t="s">
        <v>257</v>
      </c>
      <c r="J639" s="349">
        <v>42825</v>
      </c>
      <c r="L639" s="166">
        <v>1</v>
      </c>
      <c r="M639" s="166">
        <v>1</v>
      </c>
      <c r="N639" s="166">
        <v>0</v>
      </c>
      <c r="O639" s="166">
        <v>1</v>
      </c>
      <c r="P639" s="166">
        <v>0</v>
      </c>
      <c r="R639" s="165" t="s">
        <v>965</v>
      </c>
      <c r="S639" s="81" t="s">
        <v>113</v>
      </c>
      <c r="T639" s="349">
        <v>42338</v>
      </c>
      <c r="U639" s="349">
        <v>42534</v>
      </c>
      <c r="W639" s="81" t="s">
        <v>114</v>
      </c>
      <c r="Y639" s="81" t="s">
        <v>115</v>
      </c>
      <c r="Z639" s="81" t="s">
        <v>116</v>
      </c>
      <c r="AA639" s="81" t="s">
        <v>117</v>
      </c>
      <c r="AB639" s="81" t="s">
        <v>218</v>
      </c>
      <c r="AC639" s="166">
        <v>1.4000000432133701E-2</v>
      </c>
      <c r="AD639" s="349">
        <v>42825</v>
      </c>
      <c r="AG639" s="81" t="s">
        <v>238</v>
      </c>
      <c r="AH639" s="81" t="s">
        <v>118</v>
      </c>
      <c r="AK639" s="166">
        <v>0</v>
      </c>
      <c r="AM639" s="166">
        <v>0</v>
      </c>
      <c r="AO639" s="166">
        <v>0</v>
      </c>
      <c r="AP639" s="166">
        <v>-1</v>
      </c>
      <c r="AQ639" s="166">
        <v>0</v>
      </c>
      <c r="AR639" s="166">
        <v>0</v>
      </c>
      <c r="AS639" s="166">
        <v>1</v>
      </c>
      <c r="AT639" s="166">
        <v>0</v>
      </c>
      <c r="AU639" s="166">
        <v>0</v>
      </c>
      <c r="AV639" s="166">
        <v>0</v>
      </c>
      <c r="AW639" s="166">
        <v>0</v>
      </c>
      <c r="AX639" s="166">
        <v>0</v>
      </c>
      <c r="AY639" s="166">
        <v>0</v>
      </c>
      <c r="AZ639" s="166">
        <v>0</v>
      </c>
      <c r="BA639" s="166">
        <v>0</v>
      </c>
      <c r="BB639" s="166">
        <v>0</v>
      </c>
      <c r="BC639" s="166">
        <v>0</v>
      </c>
      <c r="BD639" s="166">
        <v>-1</v>
      </c>
      <c r="BE639" s="166">
        <v>0</v>
      </c>
      <c r="BF639" s="166">
        <v>0</v>
      </c>
      <c r="BG639" s="166">
        <v>1</v>
      </c>
      <c r="BH639" s="166">
        <v>0</v>
      </c>
      <c r="BI639" s="166">
        <v>0</v>
      </c>
      <c r="BJ639" s="166">
        <v>0</v>
      </c>
      <c r="BK639" s="166">
        <v>0</v>
      </c>
      <c r="BL639" s="166">
        <v>0</v>
      </c>
      <c r="BM639" s="166">
        <v>0</v>
      </c>
      <c r="BN639" s="166">
        <v>0</v>
      </c>
      <c r="BO639" s="166">
        <v>0</v>
      </c>
      <c r="BP639" s="166">
        <v>0</v>
      </c>
      <c r="BQ639" s="81" t="s">
        <v>1757</v>
      </c>
      <c r="BZ639" s="81" t="s">
        <v>155</v>
      </c>
      <c r="CA639" s="81" t="s">
        <v>3976</v>
      </c>
      <c r="CC639" s="167">
        <v>0</v>
      </c>
      <c r="CD639" s="167">
        <f>N639</f>
        <v>0</v>
      </c>
      <c r="CE639" s="167">
        <v>0</v>
      </c>
      <c r="CF639" s="167">
        <v>0</v>
      </c>
      <c r="CG639" s="167">
        <v>0</v>
      </c>
      <c r="CH639" s="167">
        <v>0</v>
      </c>
      <c r="CI639" s="167">
        <v>0</v>
      </c>
      <c r="CJ639" s="167">
        <v>0</v>
      </c>
      <c r="CK639" s="167">
        <v>0</v>
      </c>
      <c r="CL639" s="167">
        <v>0</v>
      </c>
      <c r="CM639" s="167">
        <v>0</v>
      </c>
      <c r="CN639" s="167">
        <v>0</v>
      </c>
      <c r="CO639" s="167">
        <v>0</v>
      </c>
      <c r="CP639" s="167">
        <v>0</v>
      </c>
      <c r="CQ639" s="167">
        <v>0</v>
      </c>
      <c r="CR639" s="167">
        <v>0</v>
      </c>
      <c r="CS639" s="167">
        <v>0</v>
      </c>
      <c r="CT639" s="167">
        <v>0</v>
      </c>
      <c r="CU639" s="167">
        <v>0</v>
      </c>
      <c r="CV639" s="167">
        <v>0</v>
      </c>
      <c r="CW639" s="167">
        <v>0</v>
      </c>
      <c r="CX639" s="167">
        <f>SUM(CD639:CH639)</f>
        <v>0</v>
      </c>
      <c r="CY639" s="167">
        <f>SUM(CD639:CM639)</f>
        <v>0</v>
      </c>
    </row>
    <row r="640" spans="1:103" x14ac:dyDescent="0.2">
      <c r="A640" s="81">
        <v>6247</v>
      </c>
      <c r="B640" s="165" t="s">
        <v>1908</v>
      </c>
      <c r="C640" s="165" t="s">
        <v>1210</v>
      </c>
      <c r="E640" s="165" t="s">
        <v>3636</v>
      </c>
      <c r="G640" s="81">
        <v>524772</v>
      </c>
      <c r="H640" s="81">
        <v>174597</v>
      </c>
      <c r="I640" s="165" t="s">
        <v>250</v>
      </c>
      <c r="J640" s="349">
        <v>43190</v>
      </c>
      <c r="L640" s="166">
        <v>0</v>
      </c>
      <c r="M640" s="166">
        <v>4</v>
      </c>
      <c r="N640" s="166">
        <v>4</v>
      </c>
      <c r="O640" s="166">
        <v>4</v>
      </c>
      <c r="P640" s="166">
        <v>4</v>
      </c>
      <c r="R640" s="165" t="s">
        <v>1211</v>
      </c>
      <c r="S640" s="81" t="s">
        <v>113</v>
      </c>
      <c r="T640" s="349">
        <v>42474</v>
      </c>
      <c r="U640" s="349">
        <v>42549</v>
      </c>
      <c r="W640" s="81" t="s">
        <v>114</v>
      </c>
      <c r="Y640" s="81" t="s">
        <v>115</v>
      </c>
      <c r="Z640" s="81" t="s">
        <v>116</v>
      </c>
      <c r="AA640" s="81" t="s">
        <v>117</v>
      </c>
      <c r="AB640" s="81" t="s">
        <v>218</v>
      </c>
      <c r="AC640" s="166">
        <v>4.80000004172325E-2</v>
      </c>
      <c r="AD640" s="349">
        <v>43190</v>
      </c>
      <c r="AE640" s="81" t="s">
        <v>155</v>
      </c>
      <c r="AG640" s="81" t="s">
        <v>238</v>
      </c>
      <c r="AH640" s="81" t="s">
        <v>118</v>
      </c>
      <c r="AK640" s="166">
        <v>4</v>
      </c>
      <c r="AM640" s="166">
        <v>0</v>
      </c>
      <c r="AO640" s="166">
        <v>0</v>
      </c>
      <c r="AP640" s="166">
        <v>2</v>
      </c>
      <c r="AQ640" s="166">
        <v>2</v>
      </c>
      <c r="AR640" s="166">
        <v>0</v>
      </c>
      <c r="AS640" s="166">
        <v>0</v>
      </c>
      <c r="AT640" s="166">
        <v>0</v>
      </c>
      <c r="AU640" s="166">
        <v>0</v>
      </c>
      <c r="AV640" s="166">
        <v>0</v>
      </c>
      <c r="AW640" s="166">
        <v>2</v>
      </c>
      <c r="AX640" s="166">
        <v>2</v>
      </c>
      <c r="AY640" s="166">
        <v>0</v>
      </c>
      <c r="AZ640" s="166">
        <v>0</v>
      </c>
      <c r="BA640" s="166">
        <v>0</v>
      </c>
      <c r="BB640" s="166">
        <v>0</v>
      </c>
      <c r="BC640" s="166">
        <v>0</v>
      </c>
      <c r="BD640" s="166">
        <v>0</v>
      </c>
      <c r="BE640" s="166">
        <v>0</v>
      </c>
      <c r="BF640" s="166">
        <v>0</v>
      </c>
      <c r="BG640" s="166">
        <v>0</v>
      </c>
      <c r="BH640" s="166">
        <v>0</v>
      </c>
      <c r="BI640" s="166">
        <v>0</v>
      </c>
      <c r="BJ640" s="166">
        <v>0</v>
      </c>
      <c r="BK640" s="166">
        <v>0</v>
      </c>
      <c r="BL640" s="166">
        <v>0</v>
      </c>
      <c r="BM640" s="166">
        <v>0</v>
      </c>
      <c r="BN640" s="166">
        <v>0</v>
      </c>
      <c r="BO640" s="166">
        <v>0</v>
      </c>
      <c r="BP640" s="166">
        <v>0</v>
      </c>
      <c r="BQ640" s="81" t="s">
        <v>1758</v>
      </c>
      <c r="BZ640" s="81" t="s">
        <v>155</v>
      </c>
      <c r="CA640" s="81" t="s">
        <v>3977</v>
      </c>
      <c r="CC640" s="167">
        <v>0</v>
      </c>
      <c r="CD640" s="167">
        <f>$N640/2</f>
        <v>2</v>
      </c>
      <c r="CE640" s="167">
        <f>$N640/2</f>
        <v>2</v>
      </c>
      <c r="CF640" s="167">
        <v>0</v>
      </c>
      <c r="CG640" s="167">
        <v>0</v>
      </c>
      <c r="CH640" s="167">
        <v>0</v>
      </c>
      <c r="CI640" s="167">
        <v>0</v>
      </c>
      <c r="CJ640" s="167">
        <v>0</v>
      </c>
      <c r="CK640" s="167">
        <v>0</v>
      </c>
      <c r="CL640" s="167">
        <v>0</v>
      </c>
      <c r="CM640" s="167">
        <v>0</v>
      </c>
      <c r="CN640" s="167">
        <v>0</v>
      </c>
      <c r="CO640" s="167">
        <v>0</v>
      </c>
      <c r="CP640" s="167">
        <v>0</v>
      </c>
      <c r="CQ640" s="167">
        <v>0</v>
      </c>
      <c r="CR640" s="167">
        <v>0</v>
      </c>
      <c r="CS640" s="167">
        <v>0</v>
      </c>
      <c r="CT640" s="167">
        <v>0</v>
      </c>
      <c r="CU640" s="167">
        <v>0</v>
      </c>
      <c r="CV640" s="167">
        <v>0</v>
      </c>
      <c r="CW640" s="167">
        <v>0</v>
      </c>
      <c r="CX640" s="167">
        <f>SUM(CD640:CH640)</f>
        <v>4</v>
      </c>
      <c r="CY640" s="167">
        <f>SUM(CD640:CM640)</f>
        <v>4</v>
      </c>
    </row>
    <row r="641" spans="1:103" ht="12.75" customHeight="1" x14ac:dyDescent="0.2">
      <c r="A641" s="81">
        <v>6249</v>
      </c>
      <c r="B641" s="165" t="s">
        <v>1908</v>
      </c>
      <c r="C641" s="165" t="s">
        <v>1227</v>
      </c>
      <c r="E641" s="165" t="s">
        <v>3646</v>
      </c>
      <c r="F641" s="165" t="s">
        <v>3647</v>
      </c>
      <c r="G641" s="81">
        <v>527514</v>
      </c>
      <c r="H641" s="81">
        <v>173045</v>
      </c>
      <c r="I641" s="165" t="s">
        <v>260</v>
      </c>
      <c r="J641" s="349">
        <v>42825</v>
      </c>
      <c r="L641" s="166">
        <v>1</v>
      </c>
      <c r="M641" s="166">
        <v>5</v>
      </c>
      <c r="N641" s="166">
        <v>4</v>
      </c>
      <c r="O641" s="166">
        <v>5</v>
      </c>
      <c r="P641" s="166">
        <v>4</v>
      </c>
      <c r="R641" s="165" t="s">
        <v>1228</v>
      </c>
      <c r="S641" s="81" t="s">
        <v>113</v>
      </c>
      <c r="T641" s="349">
        <v>42503</v>
      </c>
      <c r="U641" s="349">
        <v>42576</v>
      </c>
      <c r="W641" s="81" t="s">
        <v>114</v>
      </c>
      <c r="Y641" s="81" t="s">
        <v>115</v>
      </c>
      <c r="Z641" s="81" t="s">
        <v>398</v>
      </c>
      <c r="AA641" s="81" t="s">
        <v>117</v>
      </c>
      <c r="AB641" s="81" t="s">
        <v>218</v>
      </c>
      <c r="AC641" s="166">
        <v>2.9999999329447701E-2</v>
      </c>
      <c r="AD641" s="349">
        <v>42825</v>
      </c>
      <c r="AG641" s="81" t="s">
        <v>238</v>
      </c>
      <c r="AH641" s="81" t="s">
        <v>118</v>
      </c>
      <c r="AK641" s="166">
        <v>0</v>
      </c>
      <c r="AM641" s="166">
        <v>0</v>
      </c>
      <c r="AO641" s="166">
        <v>0</v>
      </c>
      <c r="AP641" s="166">
        <v>0</v>
      </c>
      <c r="AQ641" s="166">
        <v>3</v>
      </c>
      <c r="AR641" s="166">
        <v>2</v>
      </c>
      <c r="AS641" s="166">
        <v>-1</v>
      </c>
      <c r="AT641" s="166">
        <v>0</v>
      </c>
      <c r="AU641" s="166">
        <v>0</v>
      </c>
      <c r="AV641" s="166">
        <v>0</v>
      </c>
      <c r="AW641" s="166">
        <v>0</v>
      </c>
      <c r="AX641" s="166">
        <v>3</v>
      </c>
      <c r="AY641" s="166">
        <v>1</v>
      </c>
      <c r="AZ641" s="166">
        <v>0</v>
      </c>
      <c r="BA641" s="166">
        <v>0</v>
      </c>
      <c r="BB641" s="166">
        <v>0</v>
      </c>
      <c r="BC641" s="166">
        <v>0</v>
      </c>
      <c r="BD641" s="166">
        <v>0</v>
      </c>
      <c r="BE641" s="166">
        <v>0</v>
      </c>
      <c r="BF641" s="166">
        <v>1</v>
      </c>
      <c r="BG641" s="166">
        <v>-1</v>
      </c>
      <c r="BH641" s="166">
        <v>0</v>
      </c>
      <c r="BI641" s="166">
        <v>0</v>
      </c>
      <c r="BJ641" s="166">
        <v>0</v>
      </c>
      <c r="BK641" s="166">
        <v>0</v>
      </c>
      <c r="BL641" s="166">
        <v>0</v>
      </c>
      <c r="BM641" s="166">
        <v>0</v>
      </c>
      <c r="BN641" s="166">
        <v>0</v>
      </c>
      <c r="BO641" s="166">
        <v>0</v>
      </c>
      <c r="BP641" s="166">
        <v>0</v>
      </c>
      <c r="BQ641" s="81" t="s">
        <v>1758</v>
      </c>
      <c r="BZ641" s="81" t="s">
        <v>155</v>
      </c>
      <c r="CA641" s="81" t="s">
        <v>3980</v>
      </c>
      <c r="CC641" s="167">
        <v>0</v>
      </c>
      <c r="CD641" s="167">
        <f>N641</f>
        <v>4</v>
      </c>
      <c r="CE641" s="167">
        <v>0</v>
      </c>
      <c r="CF641" s="167">
        <v>0</v>
      </c>
      <c r="CG641" s="167">
        <v>0</v>
      </c>
      <c r="CH641" s="167">
        <v>0</v>
      </c>
      <c r="CI641" s="167">
        <v>0</v>
      </c>
      <c r="CJ641" s="167">
        <v>0</v>
      </c>
      <c r="CK641" s="167">
        <v>0</v>
      </c>
      <c r="CL641" s="167">
        <v>0</v>
      </c>
      <c r="CM641" s="167">
        <v>0</v>
      </c>
      <c r="CN641" s="167">
        <v>0</v>
      </c>
      <c r="CO641" s="167">
        <v>0</v>
      </c>
      <c r="CP641" s="167">
        <v>0</v>
      </c>
      <c r="CQ641" s="167">
        <v>0</v>
      </c>
      <c r="CR641" s="167">
        <v>0</v>
      </c>
      <c r="CS641" s="167">
        <v>0</v>
      </c>
      <c r="CT641" s="167">
        <v>0</v>
      </c>
      <c r="CU641" s="167">
        <v>0</v>
      </c>
      <c r="CV641" s="167">
        <v>0</v>
      </c>
      <c r="CW641" s="167">
        <v>0</v>
      </c>
      <c r="CX641" s="167">
        <f>SUM(CD641:CH641)</f>
        <v>4</v>
      </c>
      <c r="CY641" s="167">
        <f>SUM(CD641:CM641)</f>
        <v>4</v>
      </c>
    </row>
    <row r="642" spans="1:103" ht="12.75" customHeight="1" x14ac:dyDescent="0.2">
      <c r="A642" s="81">
        <v>6250</v>
      </c>
      <c r="B642" s="165" t="s">
        <v>1908</v>
      </c>
      <c r="C642" s="165" t="s">
        <v>1264</v>
      </c>
      <c r="E642" s="165" t="s">
        <v>3639</v>
      </c>
      <c r="G642" s="81">
        <v>524222</v>
      </c>
      <c r="H642" s="81">
        <v>173822</v>
      </c>
      <c r="I642" s="165" t="s">
        <v>111</v>
      </c>
      <c r="J642" s="349">
        <v>43190</v>
      </c>
      <c r="L642" s="166">
        <v>0</v>
      </c>
      <c r="M642" s="166">
        <v>2</v>
      </c>
      <c r="N642" s="166">
        <v>2</v>
      </c>
      <c r="O642" s="166">
        <v>2</v>
      </c>
      <c r="P642" s="166">
        <v>2</v>
      </c>
      <c r="R642" s="165" t="s">
        <v>1265</v>
      </c>
      <c r="S642" s="81" t="s">
        <v>113</v>
      </c>
      <c r="T642" s="349">
        <v>42515</v>
      </c>
      <c r="U642" s="349">
        <v>42628</v>
      </c>
      <c r="W642" s="81" t="s">
        <v>114</v>
      </c>
      <c r="Y642" s="81" t="s">
        <v>115</v>
      </c>
      <c r="Z642" s="81" t="s">
        <v>116</v>
      </c>
      <c r="AA642" s="81" t="s">
        <v>117</v>
      </c>
      <c r="AB642" s="81" t="s">
        <v>218</v>
      </c>
      <c r="AC642" s="166">
        <v>1.30000002682209E-2</v>
      </c>
      <c r="AD642" s="349">
        <v>43190</v>
      </c>
      <c r="AE642" s="81" t="s">
        <v>155</v>
      </c>
      <c r="AG642" s="81" t="s">
        <v>154</v>
      </c>
      <c r="AH642" s="81" t="s">
        <v>38</v>
      </c>
      <c r="AK642" s="166">
        <v>2</v>
      </c>
      <c r="AM642" s="166">
        <v>2</v>
      </c>
      <c r="AO642" s="166">
        <v>0</v>
      </c>
      <c r="AP642" s="166">
        <v>1</v>
      </c>
      <c r="AQ642" s="166">
        <v>1</v>
      </c>
      <c r="AR642" s="166">
        <v>0</v>
      </c>
      <c r="AS642" s="166">
        <v>0</v>
      </c>
      <c r="AT642" s="166">
        <v>0</v>
      </c>
      <c r="AU642" s="166">
        <v>0</v>
      </c>
      <c r="AV642" s="166">
        <v>0</v>
      </c>
      <c r="AW642" s="166">
        <v>1</v>
      </c>
      <c r="AX642" s="166">
        <v>1</v>
      </c>
      <c r="AY642" s="166">
        <v>0</v>
      </c>
      <c r="AZ642" s="166">
        <v>0</v>
      </c>
      <c r="BA642" s="166">
        <v>0</v>
      </c>
      <c r="BB642" s="166">
        <v>0</v>
      </c>
      <c r="BC642" s="166">
        <v>0</v>
      </c>
      <c r="BD642" s="166">
        <v>0</v>
      </c>
      <c r="BE642" s="166">
        <v>0</v>
      </c>
      <c r="BF642" s="166">
        <v>0</v>
      </c>
      <c r="BG642" s="166">
        <v>0</v>
      </c>
      <c r="BH642" s="166">
        <v>0</v>
      </c>
      <c r="BI642" s="166">
        <v>0</v>
      </c>
      <c r="BJ642" s="166">
        <v>0</v>
      </c>
      <c r="BK642" s="166">
        <v>0</v>
      </c>
      <c r="BL642" s="166">
        <v>0</v>
      </c>
      <c r="BM642" s="166">
        <v>0</v>
      </c>
      <c r="BN642" s="166">
        <v>0</v>
      </c>
      <c r="BO642" s="166">
        <v>0</v>
      </c>
      <c r="BP642" s="166">
        <v>0</v>
      </c>
      <c r="BQ642" s="81" t="s">
        <v>1758</v>
      </c>
      <c r="BZ642" s="81" t="s">
        <v>155</v>
      </c>
      <c r="CA642" s="81" t="s">
        <v>3977</v>
      </c>
      <c r="CC642" s="167">
        <v>0</v>
      </c>
      <c r="CD642" s="167">
        <f>$N642/2</f>
        <v>1</v>
      </c>
      <c r="CE642" s="167">
        <f>$N642/2</f>
        <v>1</v>
      </c>
      <c r="CF642" s="167">
        <v>0</v>
      </c>
      <c r="CG642" s="167">
        <v>0</v>
      </c>
      <c r="CH642" s="167">
        <v>0</v>
      </c>
      <c r="CI642" s="167">
        <v>0</v>
      </c>
      <c r="CJ642" s="167">
        <v>0</v>
      </c>
      <c r="CK642" s="167">
        <v>0</v>
      </c>
      <c r="CL642" s="167">
        <v>0</v>
      </c>
      <c r="CM642" s="167">
        <v>0</v>
      </c>
      <c r="CN642" s="167">
        <v>0</v>
      </c>
      <c r="CO642" s="167">
        <v>0</v>
      </c>
      <c r="CP642" s="167">
        <v>0</v>
      </c>
      <c r="CQ642" s="167">
        <v>0</v>
      </c>
      <c r="CR642" s="167">
        <v>0</v>
      </c>
      <c r="CS642" s="167">
        <v>0</v>
      </c>
      <c r="CT642" s="167">
        <v>0</v>
      </c>
      <c r="CU642" s="167">
        <v>0</v>
      </c>
      <c r="CV642" s="167">
        <v>0</v>
      </c>
      <c r="CW642" s="167">
        <v>0</v>
      </c>
      <c r="CX642" s="167">
        <f>SUM(CD642:CH642)</f>
        <v>2</v>
      </c>
      <c r="CY642" s="167">
        <f>SUM(CD642:CM642)</f>
        <v>2</v>
      </c>
    </row>
    <row r="643" spans="1:103" ht="12.75" customHeight="1" x14ac:dyDescent="0.2">
      <c r="A643" s="81">
        <v>6264</v>
      </c>
      <c r="B643" s="165" t="s">
        <v>1908</v>
      </c>
      <c r="C643" s="165" t="s">
        <v>1564</v>
      </c>
      <c r="E643" s="165" t="s">
        <v>3649</v>
      </c>
      <c r="F643" s="165" t="s">
        <v>1565</v>
      </c>
      <c r="G643" s="81">
        <v>526810</v>
      </c>
      <c r="H643" s="81">
        <v>175111</v>
      </c>
      <c r="I643" s="165" t="s">
        <v>251</v>
      </c>
      <c r="J643" s="349">
        <v>43187</v>
      </c>
      <c r="L643" s="166">
        <v>2</v>
      </c>
      <c r="M643" s="166">
        <v>3</v>
      </c>
      <c r="N643" s="166">
        <v>1</v>
      </c>
      <c r="O643" s="166">
        <v>6</v>
      </c>
      <c r="P643" s="166">
        <v>3</v>
      </c>
      <c r="R643" s="165" t="s">
        <v>1566</v>
      </c>
      <c r="S643" s="81" t="s">
        <v>113</v>
      </c>
      <c r="T643" s="349">
        <v>42662</v>
      </c>
      <c r="U643" s="349">
        <v>42852</v>
      </c>
      <c r="V643" s="81" t="s">
        <v>155</v>
      </c>
      <c r="W643" s="81" t="s">
        <v>114</v>
      </c>
      <c r="Y643" s="81" t="s">
        <v>115</v>
      </c>
      <c r="Z643" s="81" t="s">
        <v>398</v>
      </c>
      <c r="AA643" s="81" t="s">
        <v>117</v>
      </c>
      <c r="AB643" s="81" t="s">
        <v>220</v>
      </c>
      <c r="AC643" s="166">
        <v>1.7999999225139601E-2</v>
      </c>
      <c r="AD643" s="349">
        <v>43187</v>
      </c>
      <c r="AE643" s="81" t="s">
        <v>155</v>
      </c>
      <c r="AG643" s="81" t="s">
        <v>238</v>
      </c>
      <c r="AH643" s="81" t="s">
        <v>118</v>
      </c>
      <c r="AK643" s="166">
        <v>0</v>
      </c>
      <c r="AM643" s="166">
        <v>0</v>
      </c>
      <c r="AO643" s="166">
        <v>0</v>
      </c>
      <c r="AP643" s="166">
        <v>0</v>
      </c>
      <c r="AQ643" s="166">
        <v>2</v>
      </c>
      <c r="AR643" s="166">
        <v>0</v>
      </c>
      <c r="AS643" s="166">
        <v>-1</v>
      </c>
      <c r="AT643" s="166">
        <v>0</v>
      </c>
      <c r="AU643" s="166">
        <v>0</v>
      </c>
      <c r="AV643" s="166">
        <v>0</v>
      </c>
      <c r="AW643" s="166">
        <v>0</v>
      </c>
      <c r="AX643" s="166">
        <v>2</v>
      </c>
      <c r="AY643" s="166">
        <v>0</v>
      </c>
      <c r="AZ643" s="166">
        <v>-1</v>
      </c>
      <c r="BA643" s="166">
        <v>0</v>
      </c>
      <c r="BB643" s="166">
        <v>0</v>
      </c>
      <c r="BC643" s="166">
        <v>0</v>
      </c>
      <c r="BD643" s="166">
        <v>0</v>
      </c>
      <c r="BE643" s="166">
        <v>0</v>
      </c>
      <c r="BF643" s="166">
        <v>0</v>
      </c>
      <c r="BG643" s="166">
        <v>0</v>
      </c>
      <c r="BH643" s="166">
        <v>0</v>
      </c>
      <c r="BI643" s="166">
        <v>0</v>
      </c>
      <c r="BJ643" s="166">
        <v>0</v>
      </c>
      <c r="BK643" s="166">
        <v>0</v>
      </c>
      <c r="BL643" s="166">
        <v>0</v>
      </c>
      <c r="BM643" s="166">
        <v>0</v>
      </c>
      <c r="BN643" s="166">
        <v>0</v>
      </c>
      <c r="BO643" s="166">
        <v>0</v>
      </c>
      <c r="BP643" s="166">
        <v>0</v>
      </c>
      <c r="BQ643" s="81" t="s">
        <v>1758</v>
      </c>
      <c r="BZ643" s="81" t="s">
        <v>155</v>
      </c>
      <c r="CA643" s="81" t="s">
        <v>3981</v>
      </c>
      <c r="CC643" s="167">
        <v>0</v>
      </c>
      <c r="CD643" s="167">
        <f>$N643/2</f>
        <v>0.5</v>
      </c>
      <c r="CE643" s="167">
        <f>$N643/2</f>
        <v>0.5</v>
      </c>
      <c r="CF643" s="167">
        <v>0</v>
      </c>
      <c r="CG643" s="167">
        <v>0</v>
      </c>
      <c r="CH643" s="167">
        <v>0</v>
      </c>
      <c r="CI643" s="167">
        <v>0</v>
      </c>
      <c r="CJ643" s="167">
        <v>0</v>
      </c>
      <c r="CK643" s="167">
        <v>0</v>
      </c>
      <c r="CL643" s="167">
        <v>0</v>
      </c>
      <c r="CM643" s="167">
        <v>0</v>
      </c>
      <c r="CN643" s="167">
        <v>0</v>
      </c>
      <c r="CO643" s="167">
        <v>0</v>
      </c>
      <c r="CP643" s="167">
        <v>0</v>
      </c>
      <c r="CQ643" s="167">
        <v>0</v>
      </c>
      <c r="CR643" s="167">
        <v>0</v>
      </c>
      <c r="CS643" s="167">
        <v>0</v>
      </c>
      <c r="CT643" s="167">
        <v>0</v>
      </c>
      <c r="CU643" s="167">
        <v>0</v>
      </c>
      <c r="CV643" s="167">
        <v>0</v>
      </c>
      <c r="CW643" s="167">
        <v>0</v>
      </c>
      <c r="CX643" s="167">
        <f>SUM(CD643:CH643)</f>
        <v>1</v>
      </c>
      <c r="CY643" s="167">
        <f>SUM(CD643:CM643)</f>
        <v>1</v>
      </c>
    </row>
    <row r="644" spans="1:103" x14ac:dyDescent="0.2">
      <c r="A644" s="81">
        <v>6264</v>
      </c>
      <c r="B644" s="165" t="s">
        <v>1908</v>
      </c>
      <c r="C644" s="165" t="s">
        <v>1564</v>
      </c>
      <c r="E644" s="165" t="s">
        <v>3649</v>
      </c>
      <c r="F644" s="165" t="s">
        <v>1567</v>
      </c>
      <c r="G644" s="81">
        <v>526810</v>
      </c>
      <c r="H644" s="81">
        <v>175111</v>
      </c>
      <c r="I644" s="165" t="s">
        <v>251</v>
      </c>
      <c r="J644" s="349">
        <v>43187</v>
      </c>
      <c r="L644" s="166">
        <v>1</v>
      </c>
      <c r="M644" s="166">
        <v>3</v>
      </c>
      <c r="N644" s="166">
        <v>2</v>
      </c>
      <c r="O644" s="166">
        <v>6</v>
      </c>
      <c r="P644" s="166">
        <v>3</v>
      </c>
      <c r="R644" s="165" t="s">
        <v>1566</v>
      </c>
      <c r="S644" s="81" t="s">
        <v>113</v>
      </c>
      <c r="T644" s="349">
        <v>42662</v>
      </c>
      <c r="U644" s="349">
        <v>42852</v>
      </c>
      <c r="V644" s="81" t="s">
        <v>155</v>
      </c>
      <c r="W644" s="81" t="s">
        <v>114</v>
      </c>
      <c r="Y644" s="81" t="s">
        <v>115</v>
      </c>
      <c r="Z644" s="81" t="s">
        <v>398</v>
      </c>
      <c r="AA644" s="81" t="s">
        <v>117</v>
      </c>
      <c r="AB644" s="81" t="s">
        <v>120</v>
      </c>
      <c r="AC644" s="166">
        <v>1.7999999225139601E-2</v>
      </c>
      <c r="AD644" s="350">
        <v>43187</v>
      </c>
      <c r="AG644" s="81" t="s">
        <v>238</v>
      </c>
      <c r="AH644" s="81" t="s">
        <v>118</v>
      </c>
      <c r="AK644" s="166">
        <v>0</v>
      </c>
      <c r="AM644" s="166">
        <v>0</v>
      </c>
      <c r="AO644" s="166">
        <v>1</v>
      </c>
      <c r="AP644" s="166">
        <v>0</v>
      </c>
      <c r="AQ644" s="166">
        <v>1</v>
      </c>
      <c r="AR644" s="166">
        <v>1</v>
      </c>
      <c r="AS644" s="166">
        <v>0</v>
      </c>
      <c r="AT644" s="166">
        <v>-1</v>
      </c>
      <c r="AU644" s="166">
        <v>0</v>
      </c>
      <c r="AV644" s="166">
        <v>1</v>
      </c>
      <c r="AW644" s="166">
        <v>0</v>
      </c>
      <c r="AX644" s="166">
        <v>1</v>
      </c>
      <c r="AY644" s="166">
        <v>1</v>
      </c>
      <c r="AZ644" s="166">
        <v>0</v>
      </c>
      <c r="BA644" s="166">
        <v>0</v>
      </c>
      <c r="BB644" s="166">
        <v>0</v>
      </c>
      <c r="BC644" s="166">
        <v>0</v>
      </c>
      <c r="BD644" s="166">
        <v>0</v>
      </c>
      <c r="BE644" s="166">
        <v>0</v>
      </c>
      <c r="BF644" s="166">
        <v>0</v>
      </c>
      <c r="BG644" s="166">
        <v>0</v>
      </c>
      <c r="BH644" s="166">
        <v>-1</v>
      </c>
      <c r="BI644" s="166">
        <v>0</v>
      </c>
      <c r="BJ644" s="166">
        <v>0</v>
      </c>
      <c r="BK644" s="166">
        <v>0</v>
      </c>
      <c r="BL644" s="166">
        <v>0</v>
      </c>
      <c r="BM644" s="166">
        <v>0</v>
      </c>
      <c r="BN644" s="166">
        <v>0</v>
      </c>
      <c r="BO644" s="166">
        <v>0</v>
      </c>
      <c r="BP644" s="166">
        <v>0</v>
      </c>
      <c r="BQ644" s="81" t="s">
        <v>1758</v>
      </c>
      <c r="BZ644" s="81" t="s">
        <v>155</v>
      </c>
      <c r="CA644" s="81" t="s">
        <v>3981</v>
      </c>
      <c r="CC644" s="167">
        <v>0</v>
      </c>
      <c r="CD644" s="167">
        <f>$N644/2</f>
        <v>1</v>
      </c>
      <c r="CE644" s="167">
        <f>$N644/2</f>
        <v>1</v>
      </c>
      <c r="CF644" s="167">
        <v>0</v>
      </c>
      <c r="CG644" s="167">
        <v>0</v>
      </c>
      <c r="CH644" s="167">
        <v>0</v>
      </c>
      <c r="CI644" s="167">
        <v>0</v>
      </c>
      <c r="CJ644" s="167">
        <v>0</v>
      </c>
      <c r="CK644" s="167">
        <v>0</v>
      </c>
      <c r="CL644" s="167">
        <v>0</v>
      </c>
      <c r="CM644" s="167">
        <v>0</v>
      </c>
      <c r="CN644" s="167">
        <v>0</v>
      </c>
      <c r="CO644" s="167">
        <v>0</v>
      </c>
      <c r="CP644" s="167">
        <v>0</v>
      </c>
      <c r="CQ644" s="167">
        <v>0</v>
      </c>
      <c r="CR644" s="167">
        <v>0</v>
      </c>
      <c r="CS644" s="167">
        <v>0</v>
      </c>
      <c r="CT644" s="167">
        <v>0</v>
      </c>
      <c r="CU644" s="167">
        <v>0</v>
      </c>
      <c r="CV644" s="167">
        <v>0</v>
      </c>
      <c r="CW644" s="167">
        <v>0</v>
      </c>
      <c r="CX644" s="167">
        <f>SUM(CD644:CH644)</f>
        <v>2</v>
      </c>
      <c r="CY644" s="167">
        <f>SUM(CD644:CM644)</f>
        <v>2</v>
      </c>
    </row>
    <row r="645" spans="1:103" ht="12.75" customHeight="1" x14ac:dyDescent="0.2">
      <c r="A645" s="81">
        <v>6265</v>
      </c>
      <c r="B645" s="165" t="s">
        <v>1908</v>
      </c>
      <c r="C645" s="165" t="s">
        <v>1013</v>
      </c>
      <c r="E645" s="165" t="s">
        <v>3640</v>
      </c>
      <c r="G645" s="81">
        <v>527193</v>
      </c>
      <c r="H645" s="81">
        <v>174782</v>
      </c>
      <c r="I645" s="165" t="s">
        <v>255</v>
      </c>
      <c r="J645" s="349">
        <v>42825</v>
      </c>
      <c r="L645" s="166">
        <v>1</v>
      </c>
      <c r="M645" s="166">
        <v>1</v>
      </c>
      <c r="N645" s="166">
        <v>0</v>
      </c>
      <c r="O645" s="166">
        <v>1</v>
      </c>
      <c r="P645" s="166">
        <v>0</v>
      </c>
      <c r="R645" s="165" t="s">
        <v>1014</v>
      </c>
      <c r="S645" s="81" t="s">
        <v>113</v>
      </c>
      <c r="T645" s="349">
        <v>42527</v>
      </c>
      <c r="U645" s="349">
        <v>42583</v>
      </c>
      <c r="W645" s="81" t="s">
        <v>114</v>
      </c>
      <c r="Y645" s="81" t="s">
        <v>115</v>
      </c>
      <c r="Z645" s="81" t="s">
        <v>116</v>
      </c>
      <c r="AA645" s="81" t="s">
        <v>117</v>
      </c>
      <c r="AB645" s="81" t="s">
        <v>218</v>
      </c>
      <c r="AC645" s="166">
        <v>3.7999998778104803E-2</v>
      </c>
      <c r="AD645" s="349">
        <v>42825</v>
      </c>
      <c r="AG645" s="81" t="s">
        <v>238</v>
      </c>
      <c r="AH645" s="81" t="s">
        <v>118</v>
      </c>
      <c r="AK645" s="166">
        <v>1</v>
      </c>
      <c r="AM645" s="166">
        <v>0</v>
      </c>
      <c r="AO645" s="166">
        <v>0</v>
      </c>
      <c r="AP645" s="166">
        <v>0</v>
      </c>
      <c r="AQ645" s="166">
        <v>-1</v>
      </c>
      <c r="AR645" s="166">
        <v>1</v>
      </c>
      <c r="AS645" s="166">
        <v>0</v>
      </c>
      <c r="AT645" s="166">
        <v>0</v>
      </c>
      <c r="AU645" s="166">
        <v>0</v>
      </c>
      <c r="AV645" s="166">
        <v>0</v>
      </c>
      <c r="AW645" s="166">
        <v>0</v>
      </c>
      <c r="AX645" s="166">
        <v>0</v>
      </c>
      <c r="AY645" s="166">
        <v>0</v>
      </c>
      <c r="AZ645" s="166">
        <v>0</v>
      </c>
      <c r="BA645" s="166">
        <v>0</v>
      </c>
      <c r="BB645" s="166">
        <v>0</v>
      </c>
      <c r="BC645" s="166">
        <v>0</v>
      </c>
      <c r="BD645" s="166">
        <v>0</v>
      </c>
      <c r="BE645" s="166">
        <v>-1</v>
      </c>
      <c r="BF645" s="166">
        <v>1</v>
      </c>
      <c r="BG645" s="166">
        <v>0</v>
      </c>
      <c r="BH645" s="166">
        <v>0</v>
      </c>
      <c r="BI645" s="166">
        <v>0</v>
      </c>
      <c r="BJ645" s="166">
        <v>0</v>
      </c>
      <c r="BK645" s="166">
        <v>0</v>
      </c>
      <c r="BL645" s="166">
        <v>0</v>
      </c>
      <c r="BM645" s="166">
        <v>0</v>
      </c>
      <c r="BN645" s="166">
        <v>0</v>
      </c>
      <c r="BO645" s="166">
        <v>0</v>
      </c>
      <c r="BP645" s="166">
        <v>0</v>
      </c>
      <c r="BQ645" s="81" t="s">
        <v>1757</v>
      </c>
      <c r="BZ645" s="81" t="s">
        <v>155</v>
      </c>
      <c r="CA645" s="81" t="s">
        <v>3976</v>
      </c>
      <c r="CC645" s="167">
        <v>0</v>
      </c>
      <c r="CD645" s="167">
        <f>N645</f>
        <v>0</v>
      </c>
      <c r="CE645" s="167">
        <v>0</v>
      </c>
      <c r="CF645" s="167">
        <v>0</v>
      </c>
      <c r="CG645" s="167">
        <v>0</v>
      </c>
      <c r="CH645" s="167">
        <v>0</v>
      </c>
      <c r="CI645" s="167">
        <v>0</v>
      </c>
      <c r="CJ645" s="167">
        <v>0</v>
      </c>
      <c r="CK645" s="167">
        <v>0</v>
      </c>
      <c r="CL645" s="167">
        <v>0</v>
      </c>
      <c r="CM645" s="167">
        <v>0</v>
      </c>
      <c r="CN645" s="167">
        <v>0</v>
      </c>
      <c r="CO645" s="167">
        <v>0</v>
      </c>
      <c r="CP645" s="167">
        <v>0</v>
      </c>
      <c r="CQ645" s="167">
        <v>0</v>
      </c>
      <c r="CR645" s="167">
        <v>0</v>
      </c>
      <c r="CS645" s="167">
        <v>0</v>
      </c>
      <c r="CT645" s="167">
        <v>0</v>
      </c>
      <c r="CU645" s="167">
        <v>0</v>
      </c>
      <c r="CV645" s="167">
        <v>0</v>
      </c>
      <c r="CW645" s="167">
        <v>0</v>
      </c>
      <c r="CX645" s="167">
        <f>SUM(CD645:CH645)</f>
        <v>0</v>
      </c>
      <c r="CY645" s="167">
        <f>SUM(CD645:CM645)</f>
        <v>0</v>
      </c>
    </row>
    <row r="646" spans="1:103" ht="12.75" customHeight="1" x14ac:dyDescent="0.2">
      <c r="A646" s="81">
        <v>6275</v>
      </c>
      <c r="B646" s="165" t="s">
        <v>1908</v>
      </c>
      <c r="C646" s="165" t="s">
        <v>1041</v>
      </c>
      <c r="E646" s="165" t="s">
        <v>3651</v>
      </c>
      <c r="G646" s="81">
        <v>528526</v>
      </c>
      <c r="H646" s="81">
        <v>174202</v>
      </c>
      <c r="I646" s="165" t="s">
        <v>247</v>
      </c>
      <c r="J646" s="349">
        <v>42825</v>
      </c>
      <c r="L646" s="166">
        <v>1</v>
      </c>
      <c r="M646" s="166">
        <v>5</v>
      </c>
      <c r="N646" s="166">
        <v>4</v>
      </c>
      <c r="O646" s="166">
        <v>5</v>
      </c>
      <c r="P646" s="166">
        <v>4</v>
      </c>
      <c r="R646" s="165" t="s">
        <v>1042</v>
      </c>
      <c r="S646" s="81" t="s">
        <v>113</v>
      </c>
      <c r="T646" s="349">
        <v>42585</v>
      </c>
      <c r="U646" s="349">
        <v>42702</v>
      </c>
      <c r="W646" s="81" t="s">
        <v>114</v>
      </c>
      <c r="Y646" s="81" t="s">
        <v>115</v>
      </c>
      <c r="Z646" s="81" t="s">
        <v>398</v>
      </c>
      <c r="AA646" s="81" t="s">
        <v>117</v>
      </c>
      <c r="AB646" s="81" t="s">
        <v>120</v>
      </c>
      <c r="AC646" s="166">
        <v>2.4000000208616298E-2</v>
      </c>
      <c r="AD646" s="349">
        <v>42825</v>
      </c>
      <c r="AG646" s="81" t="s">
        <v>238</v>
      </c>
      <c r="AH646" s="81" t="s">
        <v>118</v>
      </c>
      <c r="AK646" s="166">
        <v>0</v>
      </c>
      <c r="AM646" s="166">
        <v>0</v>
      </c>
      <c r="AO646" s="166">
        <v>0</v>
      </c>
      <c r="AP646" s="166">
        <v>0</v>
      </c>
      <c r="AQ646" s="166">
        <v>3</v>
      </c>
      <c r="AR646" s="166">
        <v>2</v>
      </c>
      <c r="AS646" s="166">
        <v>0</v>
      </c>
      <c r="AT646" s="166">
        <v>-1</v>
      </c>
      <c r="AU646" s="166">
        <v>0</v>
      </c>
      <c r="AV646" s="166">
        <v>0</v>
      </c>
      <c r="AW646" s="166">
        <v>0</v>
      </c>
      <c r="AX646" s="166">
        <v>3</v>
      </c>
      <c r="AY646" s="166">
        <v>2</v>
      </c>
      <c r="AZ646" s="166">
        <v>0</v>
      </c>
      <c r="BA646" s="166">
        <v>0</v>
      </c>
      <c r="BB646" s="166">
        <v>0</v>
      </c>
      <c r="BC646" s="166">
        <v>0</v>
      </c>
      <c r="BD646" s="166">
        <v>0</v>
      </c>
      <c r="BE646" s="166">
        <v>0</v>
      </c>
      <c r="BF646" s="166">
        <v>0</v>
      </c>
      <c r="BG646" s="166">
        <v>0</v>
      </c>
      <c r="BH646" s="166">
        <v>-1</v>
      </c>
      <c r="BI646" s="166">
        <v>0</v>
      </c>
      <c r="BJ646" s="166">
        <v>0</v>
      </c>
      <c r="BK646" s="166">
        <v>0</v>
      </c>
      <c r="BL646" s="166">
        <v>0</v>
      </c>
      <c r="BM646" s="166">
        <v>0</v>
      </c>
      <c r="BN646" s="166">
        <v>0</v>
      </c>
      <c r="BO646" s="166">
        <v>0</v>
      </c>
      <c r="BP646" s="166">
        <v>0</v>
      </c>
      <c r="BQ646" s="81" t="s">
        <v>1757</v>
      </c>
      <c r="BZ646" s="81" t="s">
        <v>155</v>
      </c>
      <c r="CA646" s="81" t="s">
        <v>3980</v>
      </c>
      <c r="CC646" s="167">
        <v>0</v>
      </c>
      <c r="CD646" s="167">
        <f>N646</f>
        <v>4</v>
      </c>
      <c r="CE646" s="167">
        <v>0</v>
      </c>
      <c r="CF646" s="167">
        <v>0</v>
      </c>
      <c r="CG646" s="167">
        <v>0</v>
      </c>
      <c r="CH646" s="167">
        <v>0</v>
      </c>
      <c r="CI646" s="167">
        <v>0</v>
      </c>
      <c r="CJ646" s="167">
        <v>0</v>
      </c>
      <c r="CK646" s="167">
        <v>0</v>
      </c>
      <c r="CL646" s="167">
        <v>0</v>
      </c>
      <c r="CM646" s="167">
        <v>0</v>
      </c>
      <c r="CN646" s="167">
        <v>0</v>
      </c>
      <c r="CO646" s="167">
        <v>0</v>
      </c>
      <c r="CP646" s="167">
        <v>0</v>
      </c>
      <c r="CQ646" s="167">
        <v>0</v>
      </c>
      <c r="CR646" s="167">
        <v>0</v>
      </c>
      <c r="CS646" s="167">
        <v>0</v>
      </c>
      <c r="CT646" s="167">
        <v>0</v>
      </c>
      <c r="CU646" s="167">
        <v>0</v>
      </c>
      <c r="CV646" s="167">
        <v>0</v>
      </c>
      <c r="CW646" s="167">
        <v>0</v>
      </c>
      <c r="CX646" s="167">
        <f>SUM(CD646:CH646)</f>
        <v>4</v>
      </c>
      <c r="CY646" s="167">
        <f>SUM(CD646:CM646)</f>
        <v>4</v>
      </c>
    </row>
    <row r="647" spans="1:103" ht="12.75" customHeight="1" x14ac:dyDescent="0.2">
      <c r="A647" s="81">
        <v>6281</v>
      </c>
      <c r="B647" s="165" t="s">
        <v>1908</v>
      </c>
      <c r="C647" s="165" t="s">
        <v>1284</v>
      </c>
      <c r="E647" s="165" t="s">
        <v>3235</v>
      </c>
      <c r="G647" s="81">
        <v>522932</v>
      </c>
      <c r="H647" s="81">
        <v>175036</v>
      </c>
      <c r="I647" s="165" t="s">
        <v>59</v>
      </c>
      <c r="J647" s="349">
        <v>43190</v>
      </c>
      <c r="L647" s="166">
        <v>1</v>
      </c>
      <c r="M647" s="166">
        <v>2</v>
      </c>
      <c r="N647" s="166">
        <v>1</v>
      </c>
      <c r="O647" s="166">
        <v>2</v>
      </c>
      <c r="P647" s="166">
        <v>1</v>
      </c>
      <c r="R647" s="165" t="s">
        <v>1285</v>
      </c>
      <c r="S647" s="81" t="s">
        <v>113</v>
      </c>
      <c r="T647" s="349">
        <v>42528</v>
      </c>
      <c r="U647" s="349">
        <v>42584</v>
      </c>
      <c r="W647" s="81" t="s">
        <v>114</v>
      </c>
      <c r="Y647" s="81" t="s">
        <v>115</v>
      </c>
      <c r="Z647" s="81" t="s">
        <v>116</v>
      </c>
      <c r="AA647" s="81" t="s">
        <v>117</v>
      </c>
      <c r="AB647" s="81" t="s">
        <v>218</v>
      </c>
      <c r="AC647" s="166">
        <v>8.6000002920627594E-2</v>
      </c>
      <c r="AD647" s="349">
        <v>43190</v>
      </c>
      <c r="AE647" s="81" t="s">
        <v>155</v>
      </c>
      <c r="AG647" s="81" t="s">
        <v>238</v>
      </c>
      <c r="AH647" s="81" t="s">
        <v>118</v>
      </c>
      <c r="AK647" s="166">
        <v>0</v>
      </c>
      <c r="AM647" s="166">
        <v>0</v>
      </c>
      <c r="AO647" s="166">
        <v>0</v>
      </c>
      <c r="AP647" s="166">
        <v>0</v>
      </c>
      <c r="AQ647" s="166">
        <v>0</v>
      </c>
      <c r="AR647" s="166">
        <v>0</v>
      </c>
      <c r="AS647" s="166">
        <v>1</v>
      </c>
      <c r="AT647" s="166">
        <v>0</v>
      </c>
      <c r="AU647" s="166">
        <v>0</v>
      </c>
      <c r="AV647" s="166">
        <v>0</v>
      </c>
      <c r="AW647" s="166">
        <v>0</v>
      </c>
      <c r="AX647" s="166">
        <v>0</v>
      </c>
      <c r="AY647" s="166">
        <v>0</v>
      </c>
      <c r="AZ647" s="166">
        <v>0</v>
      </c>
      <c r="BA647" s="166">
        <v>0</v>
      </c>
      <c r="BB647" s="166">
        <v>0</v>
      </c>
      <c r="BC647" s="166">
        <v>0</v>
      </c>
      <c r="BD647" s="166">
        <v>0</v>
      </c>
      <c r="BE647" s="166">
        <v>0</v>
      </c>
      <c r="BF647" s="166">
        <v>0</v>
      </c>
      <c r="BG647" s="166">
        <v>1</v>
      </c>
      <c r="BH647" s="166">
        <v>0</v>
      </c>
      <c r="BI647" s="166">
        <v>0</v>
      </c>
      <c r="BJ647" s="166">
        <v>0</v>
      </c>
      <c r="BK647" s="166">
        <v>0</v>
      </c>
      <c r="BL647" s="166">
        <v>0</v>
      </c>
      <c r="BM647" s="166">
        <v>0</v>
      </c>
      <c r="BN647" s="166">
        <v>0</v>
      </c>
      <c r="BO647" s="166">
        <v>0</v>
      </c>
      <c r="BP647" s="166">
        <v>0</v>
      </c>
      <c r="BQ647" s="81" t="s">
        <v>1758</v>
      </c>
      <c r="BZ647" s="81" t="s">
        <v>155</v>
      </c>
      <c r="CA647" s="81" t="s">
        <v>3977</v>
      </c>
      <c r="CC647" s="167">
        <v>0</v>
      </c>
      <c r="CD647" s="167">
        <f>$N647/2</f>
        <v>0.5</v>
      </c>
      <c r="CE647" s="167">
        <f>$N647/2</f>
        <v>0.5</v>
      </c>
      <c r="CF647" s="167">
        <v>0</v>
      </c>
      <c r="CG647" s="167">
        <v>0</v>
      </c>
      <c r="CH647" s="167">
        <v>0</v>
      </c>
      <c r="CI647" s="167">
        <v>0</v>
      </c>
      <c r="CJ647" s="167">
        <v>0</v>
      </c>
      <c r="CK647" s="167">
        <v>0</v>
      </c>
      <c r="CL647" s="167">
        <v>0</v>
      </c>
      <c r="CM647" s="167">
        <v>0</v>
      </c>
      <c r="CN647" s="167">
        <v>0</v>
      </c>
      <c r="CO647" s="167">
        <v>0</v>
      </c>
      <c r="CP647" s="167">
        <v>0</v>
      </c>
      <c r="CQ647" s="167">
        <v>0</v>
      </c>
      <c r="CR647" s="167">
        <v>0</v>
      </c>
      <c r="CS647" s="167">
        <v>0</v>
      </c>
      <c r="CT647" s="167">
        <v>0</v>
      </c>
      <c r="CU647" s="167">
        <v>0</v>
      </c>
      <c r="CV647" s="167">
        <v>0</v>
      </c>
      <c r="CW647" s="167">
        <v>0</v>
      </c>
      <c r="CX647" s="167">
        <f>SUM(CD647:CH647)</f>
        <v>1</v>
      </c>
      <c r="CY647" s="167">
        <f>SUM(CD647:CM647)</f>
        <v>1</v>
      </c>
    </row>
    <row r="648" spans="1:103" ht="12.75" customHeight="1" x14ac:dyDescent="0.2">
      <c r="A648" s="81">
        <v>6290</v>
      </c>
      <c r="B648" s="165" t="s">
        <v>1908</v>
      </c>
      <c r="C648" s="165" t="s">
        <v>3643</v>
      </c>
      <c r="E648" s="165" t="s">
        <v>3644</v>
      </c>
      <c r="G648" s="81">
        <v>521162</v>
      </c>
      <c r="H648" s="81">
        <v>174661</v>
      </c>
      <c r="I648" s="165" t="s">
        <v>877</v>
      </c>
      <c r="J648" s="349">
        <v>42940</v>
      </c>
      <c r="L648" s="166">
        <v>0</v>
      </c>
      <c r="M648" s="166">
        <v>1</v>
      </c>
      <c r="N648" s="166">
        <v>1</v>
      </c>
      <c r="O648" s="166">
        <v>1</v>
      </c>
      <c r="P648" s="166">
        <v>1</v>
      </c>
      <c r="R648" s="165" t="s">
        <v>3645</v>
      </c>
      <c r="S648" s="81" t="s">
        <v>113</v>
      </c>
      <c r="T648" s="349">
        <v>42843</v>
      </c>
      <c r="U648" s="349">
        <v>42909</v>
      </c>
      <c r="V648" s="81" t="s">
        <v>155</v>
      </c>
      <c r="W648" s="81" t="s">
        <v>114</v>
      </c>
      <c r="Y648" s="81" t="s">
        <v>115</v>
      </c>
      <c r="Z648" s="81" t="s">
        <v>116</v>
      </c>
      <c r="AA648" s="81" t="s">
        <v>117</v>
      </c>
      <c r="AB648" s="81" t="s">
        <v>218</v>
      </c>
      <c r="AC648" s="166">
        <v>0.15700000524520899</v>
      </c>
      <c r="AD648" s="349">
        <v>42940</v>
      </c>
      <c r="AE648" s="81" t="s">
        <v>155</v>
      </c>
      <c r="AG648" s="81" t="s">
        <v>238</v>
      </c>
      <c r="AH648" s="81" t="s">
        <v>118</v>
      </c>
      <c r="AK648" s="166">
        <v>0</v>
      </c>
      <c r="AM648" s="166">
        <v>0</v>
      </c>
      <c r="AO648" s="166">
        <v>0</v>
      </c>
      <c r="AP648" s="166">
        <v>0</v>
      </c>
      <c r="AQ648" s="166">
        <v>0</v>
      </c>
      <c r="AR648" s="166">
        <v>0</v>
      </c>
      <c r="AS648" s="166">
        <v>0</v>
      </c>
      <c r="AT648" s="166">
        <v>1</v>
      </c>
      <c r="AU648" s="166">
        <v>0</v>
      </c>
      <c r="AV648" s="166">
        <v>0</v>
      </c>
      <c r="AW648" s="166">
        <v>0</v>
      </c>
      <c r="AX648" s="166">
        <v>0</v>
      </c>
      <c r="AY648" s="166">
        <v>0</v>
      </c>
      <c r="AZ648" s="166">
        <v>0</v>
      </c>
      <c r="BA648" s="166">
        <v>0</v>
      </c>
      <c r="BB648" s="166">
        <v>0</v>
      </c>
      <c r="BC648" s="166">
        <v>0</v>
      </c>
      <c r="BD648" s="166">
        <v>0</v>
      </c>
      <c r="BE648" s="166">
        <v>0</v>
      </c>
      <c r="BF648" s="166">
        <v>0</v>
      </c>
      <c r="BG648" s="166">
        <v>0</v>
      </c>
      <c r="BH648" s="166">
        <v>1</v>
      </c>
      <c r="BI648" s="166">
        <v>0</v>
      </c>
      <c r="BJ648" s="166">
        <v>0</v>
      </c>
      <c r="BK648" s="166">
        <v>0</v>
      </c>
      <c r="BL648" s="166">
        <v>0</v>
      </c>
      <c r="BM648" s="166">
        <v>0</v>
      </c>
      <c r="BN648" s="166">
        <v>0</v>
      </c>
      <c r="BO648" s="166">
        <v>0</v>
      </c>
      <c r="BP648" s="166">
        <v>0</v>
      </c>
      <c r="BQ648" s="81" t="s">
        <v>1758</v>
      </c>
      <c r="BZ648" s="81" t="s">
        <v>155</v>
      </c>
      <c r="CA648" s="81" t="s">
        <v>3976</v>
      </c>
      <c r="CC648" s="167">
        <v>0</v>
      </c>
      <c r="CD648" s="167">
        <f>N648</f>
        <v>1</v>
      </c>
      <c r="CE648" s="167">
        <v>0</v>
      </c>
      <c r="CF648" s="167">
        <v>0</v>
      </c>
      <c r="CG648" s="167">
        <v>0</v>
      </c>
      <c r="CH648" s="167">
        <v>0</v>
      </c>
      <c r="CI648" s="167">
        <v>0</v>
      </c>
      <c r="CJ648" s="167">
        <v>0</v>
      </c>
      <c r="CK648" s="167">
        <v>0</v>
      </c>
      <c r="CL648" s="167">
        <v>0</v>
      </c>
      <c r="CM648" s="167">
        <v>0</v>
      </c>
      <c r="CN648" s="167">
        <v>0</v>
      </c>
      <c r="CO648" s="167">
        <v>0</v>
      </c>
      <c r="CP648" s="167">
        <v>0</v>
      </c>
      <c r="CQ648" s="167">
        <v>0</v>
      </c>
      <c r="CR648" s="167">
        <v>0</v>
      </c>
      <c r="CS648" s="167">
        <v>0</v>
      </c>
      <c r="CT648" s="167">
        <v>0</v>
      </c>
      <c r="CU648" s="167">
        <v>0</v>
      </c>
      <c r="CV648" s="167">
        <v>0</v>
      </c>
      <c r="CW648" s="167">
        <v>0</v>
      </c>
      <c r="CX648" s="167">
        <f>SUM(CD648:CH648)</f>
        <v>1</v>
      </c>
      <c r="CY648" s="167">
        <f>SUM(CD648:CM648)</f>
        <v>1</v>
      </c>
    </row>
    <row r="649" spans="1:103" x14ac:dyDescent="0.2">
      <c r="A649" s="81">
        <v>6298</v>
      </c>
      <c r="B649" s="165" t="s">
        <v>1908</v>
      </c>
      <c r="C649" s="165" t="s">
        <v>1025</v>
      </c>
      <c r="E649" s="165" t="s">
        <v>3654</v>
      </c>
      <c r="G649" s="81">
        <v>527332</v>
      </c>
      <c r="H649" s="81">
        <v>171706</v>
      </c>
      <c r="I649" s="165" t="s">
        <v>242</v>
      </c>
      <c r="J649" s="349">
        <v>42825</v>
      </c>
      <c r="L649" s="166">
        <v>1</v>
      </c>
      <c r="M649" s="166">
        <v>2</v>
      </c>
      <c r="N649" s="166">
        <v>1</v>
      </c>
      <c r="O649" s="166">
        <v>2</v>
      </c>
      <c r="P649" s="166">
        <v>1</v>
      </c>
      <c r="R649" s="165" t="s">
        <v>1026</v>
      </c>
      <c r="S649" s="81" t="s">
        <v>113</v>
      </c>
      <c r="T649" s="349">
        <v>42551</v>
      </c>
      <c r="U649" s="349">
        <v>42607</v>
      </c>
      <c r="W649" s="81" t="s">
        <v>114</v>
      </c>
      <c r="Y649" s="81" t="s">
        <v>115</v>
      </c>
      <c r="Z649" s="81" t="s">
        <v>398</v>
      </c>
      <c r="AA649" s="81" t="s">
        <v>117</v>
      </c>
      <c r="AB649" s="81" t="s">
        <v>120</v>
      </c>
      <c r="AC649" s="166">
        <v>1.2000000104308101E-2</v>
      </c>
      <c r="AD649" s="349">
        <v>42825</v>
      </c>
      <c r="AG649" s="81" t="s">
        <v>238</v>
      </c>
      <c r="AH649" s="81" t="s">
        <v>118</v>
      </c>
      <c r="AK649" s="166">
        <v>0</v>
      </c>
      <c r="AM649" s="166">
        <v>0</v>
      </c>
      <c r="AO649" s="166">
        <v>0</v>
      </c>
      <c r="AP649" s="166">
        <v>0</v>
      </c>
      <c r="AQ649" s="166">
        <v>1</v>
      </c>
      <c r="AR649" s="166">
        <v>0</v>
      </c>
      <c r="AS649" s="166">
        <v>0</v>
      </c>
      <c r="AT649" s="166">
        <v>0</v>
      </c>
      <c r="AU649" s="166">
        <v>0</v>
      </c>
      <c r="AV649" s="166">
        <v>0</v>
      </c>
      <c r="AW649" s="166">
        <v>0</v>
      </c>
      <c r="AX649" s="166">
        <v>1</v>
      </c>
      <c r="AY649" s="166">
        <v>1</v>
      </c>
      <c r="AZ649" s="166">
        <v>0</v>
      </c>
      <c r="BA649" s="166">
        <v>0</v>
      </c>
      <c r="BB649" s="166">
        <v>0</v>
      </c>
      <c r="BC649" s="166">
        <v>0</v>
      </c>
      <c r="BD649" s="166">
        <v>0</v>
      </c>
      <c r="BE649" s="166">
        <v>0</v>
      </c>
      <c r="BF649" s="166">
        <v>-1</v>
      </c>
      <c r="BG649" s="166">
        <v>0</v>
      </c>
      <c r="BH649" s="166">
        <v>0</v>
      </c>
      <c r="BI649" s="166">
        <v>0</v>
      </c>
      <c r="BJ649" s="166">
        <v>0</v>
      </c>
      <c r="BK649" s="166">
        <v>0</v>
      </c>
      <c r="BL649" s="166">
        <v>0</v>
      </c>
      <c r="BM649" s="166">
        <v>0</v>
      </c>
      <c r="BN649" s="166">
        <v>0</v>
      </c>
      <c r="BO649" s="166">
        <v>0</v>
      </c>
      <c r="BP649" s="166">
        <v>0</v>
      </c>
      <c r="BQ649" s="81" t="s">
        <v>1757</v>
      </c>
      <c r="BZ649" s="81" t="s">
        <v>155</v>
      </c>
      <c r="CA649" s="81" t="s">
        <v>3980</v>
      </c>
      <c r="CC649" s="167">
        <v>0</v>
      </c>
      <c r="CD649" s="167">
        <f>N649</f>
        <v>1</v>
      </c>
      <c r="CE649" s="167">
        <v>0</v>
      </c>
      <c r="CF649" s="167">
        <v>0</v>
      </c>
      <c r="CG649" s="167">
        <v>0</v>
      </c>
      <c r="CH649" s="167">
        <v>0</v>
      </c>
      <c r="CI649" s="167">
        <v>0</v>
      </c>
      <c r="CJ649" s="167">
        <v>0</v>
      </c>
      <c r="CK649" s="167">
        <v>0</v>
      </c>
      <c r="CL649" s="167">
        <v>0</v>
      </c>
      <c r="CM649" s="167">
        <v>0</v>
      </c>
      <c r="CN649" s="167">
        <v>0</v>
      </c>
      <c r="CO649" s="167">
        <v>0</v>
      </c>
      <c r="CP649" s="167">
        <v>0</v>
      </c>
      <c r="CQ649" s="167">
        <v>0</v>
      </c>
      <c r="CR649" s="167">
        <v>0</v>
      </c>
      <c r="CS649" s="167">
        <v>0</v>
      </c>
      <c r="CT649" s="167">
        <v>0</v>
      </c>
      <c r="CU649" s="167">
        <v>0</v>
      </c>
      <c r="CV649" s="167">
        <v>0</v>
      </c>
      <c r="CW649" s="167">
        <v>0</v>
      </c>
      <c r="CX649" s="167">
        <f>SUM(CD649:CH649)</f>
        <v>1</v>
      </c>
      <c r="CY649" s="167">
        <f>SUM(CD649:CM649)</f>
        <v>1</v>
      </c>
    </row>
    <row r="650" spans="1:103" x14ac:dyDescent="0.2">
      <c r="A650" s="81">
        <v>6299</v>
      </c>
      <c r="B650" s="165" t="s">
        <v>1908</v>
      </c>
      <c r="C650" s="165" t="s">
        <v>1328</v>
      </c>
      <c r="E650" s="165" t="s">
        <v>3648</v>
      </c>
      <c r="G650" s="81">
        <v>522733</v>
      </c>
      <c r="H650" s="81">
        <v>175277</v>
      </c>
      <c r="I650" s="165" t="s">
        <v>59</v>
      </c>
      <c r="J650" s="349">
        <v>43190</v>
      </c>
      <c r="L650" s="166">
        <v>1</v>
      </c>
      <c r="M650" s="166">
        <v>1</v>
      </c>
      <c r="N650" s="166">
        <v>0</v>
      </c>
      <c r="O650" s="166">
        <v>1</v>
      </c>
      <c r="P650" s="166">
        <v>0</v>
      </c>
      <c r="R650" s="165" t="s">
        <v>1329</v>
      </c>
      <c r="S650" s="81" t="s">
        <v>113</v>
      </c>
      <c r="T650" s="349">
        <v>42556</v>
      </c>
      <c r="U650" s="349">
        <v>42669</v>
      </c>
      <c r="W650" s="81" t="s">
        <v>114</v>
      </c>
      <c r="Y650" s="81" t="s">
        <v>115</v>
      </c>
      <c r="Z650" s="81" t="s">
        <v>116</v>
      </c>
      <c r="AA650" s="81" t="s">
        <v>117</v>
      </c>
      <c r="AB650" s="81" t="s">
        <v>218</v>
      </c>
      <c r="AC650" s="166">
        <v>3.5000000149011598E-2</v>
      </c>
      <c r="AD650" s="349">
        <v>43190</v>
      </c>
      <c r="AE650" s="81" t="s">
        <v>155</v>
      </c>
      <c r="AG650" s="81" t="s">
        <v>238</v>
      </c>
      <c r="AH650" s="81" t="s">
        <v>118</v>
      </c>
      <c r="AK650" s="166">
        <v>1</v>
      </c>
      <c r="AM650" s="166">
        <v>0</v>
      </c>
      <c r="AO650" s="166">
        <v>0</v>
      </c>
      <c r="AP650" s="166">
        <v>0</v>
      </c>
      <c r="AQ650" s="166">
        <v>0</v>
      </c>
      <c r="AR650" s="166">
        <v>-1</v>
      </c>
      <c r="AS650" s="166">
        <v>0</v>
      </c>
      <c r="AT650" s="166">
        <v>1</v>
      </c>
      <c r="AU650" s="166">
        <v>0</v>
      </c>
      <c r="AV650" s="166">
        <v>0</v>
      </c>
      <c r="AW650" s="166">
        <v>0</v>
      </c>
      <c r="AX650" s="166">
        <v>0</v>
      </c>
      <c r="AY650" s="166">
        <v>0</v>
      </c>
      <c r="AZ650" s="166">
        <v>0</v>
      </c>
      <c r="BA650" s="166">
        <v>0</v>
      </c>
      <c r="BB650" s="166">
        <v>0</v>
      </c>
      <c r="BC650" s="166">
        <v>0</v>
      </c>
      <c r="BD650" s="166">
        <v>0</v>
      </c>
      <c r="BE650" s="166">
        <v>0</v>
      </c>
      <c r="BF650" s="166">
        <v>-1</v>
      </c>
      <c r="BG650" s="166">
        <v>0</v>
      </c>
      <c r="BH650" s="166">
        <v>1</v>
      </c>
      <c r="BI650" s="166">
        <v>0</v>
      </c>
      <c r="BJ650" s="166">
        <v>0</v>
      </c>
      <c r="BK650" s="166">
        <v>0</v>
      </c>
      <c r="BL650" s="166">
        <v>0</v>
      </c>
      <c r="BM650" s="166">
        <v>0</v>
      </c>
      <c r="BN650" s="166">
        <v>0</v>
      </c>
      <c r="BO650" s="166">
        <v>0</v>
      </c>
      <c r="BP650" s="166">
        <v>0</v>
      </c>
      <c r="BQ650" s="81" t="s">
        <v>1758</v>
      </c>
      <c r="BZ650" s="81" t="s">
        <v>155</v>
      </c>
      <c r="CA650" s="81" t="s">
        <v>3977</v>
      </c>
      <c r="CC650" s="167">
        <v>0</v>
      </c>
      <c r="CD650" s="167">
        <f>$N650/2</f>
        <v>0</v>
      </c>
      <c r="CE650" s="167">
        <f>$N650/2</f>
        <v>0</v>
      </c>
      <c r="CF650" s="167">
        <v>0</v>
      </c>
      <c r="CG650" s="167">
        <v>0</v>
      </c>
      <c r="CH650" s="167">
        <v>0</v>
      </c>
      <c r="CI650" s="167">
        <v>0</v>
      </c>
      <c r="CJ650" s="167">
        <v>0</v>
      </c>
      <c r="CK650" s="167">
        <v>0</v>
      </c>
      <c r="CL650" s="167">
        <v>0</v>
      </c>
      <c r="CM650" s="167">
        <v>0</v>
      </c>
      <c r="CN650" s="167">
        <v>0</v>
      </c>
      <c r="CO650" s="167">
        <v>0</v>
      </c>
      <c r="CP650" s="167">
        <v>0</v>
      </c>
      <c r="CQ650" s="167">
        <v>0</v>
      </c>
      <c r="CR650" s="167">
        <v>0</v>
      </c>
      <c r="CS650" s="167">
        <v>0</v>
      </c>
      <c r="CT650" s="167">
        <v>0</v>
      </c>
      <c r="CU650" s="167">
        <v>0</v>
      </c>
      <c r="CV650" s="167">
        <v>0</v>
      </c>
      <c r="CW650" s="167">
        <v>0</v>
      </c>
      <c r="CX650" s="167">
        <f>SUM(CD650:CH650)</f>
        <v>0</v>
      </c>
      <c r="CY650" s="167">
        <f>SUM(CD650:CM650)</f>
        <v>0</v>
      </c>
    </row>
    <row r="651" spans="1:103" ht="12.75" customHeight="1" x14ac:dyDescent="0.2">
      <c r="A651" s="81">
        <v>6308</v>
      </c>
      <c r="B651" s="165" t="s">
        <v>1908</v>
      </c>
      <c r="C651" s="165" t="s">
        <v>1664</v>
      </c>
      <c r="E651" s="165" t="s">
        <v>3658</v>
      </c>
      <c r="G651" s="81">
        <v>528835</v>
      </c>
      <c r="H651" s="81">
        <v>173118</v>
      </c>
      <c r="I651" s="165" t="s">
        <v>247</v>
      </c>
      <c r="J651" s="349">
        <v>43019</v>
      </c>
      <c r="L651" s="166">
        <v>1</v>
      </c>
      <c r="M651" s="166">
        <v>4</v>
      </c>
      <c r="N651" s="166">
        <v>3</v>
      </c>
      <c r="O651" s="166">
        <v>4</v>
      </c>
      <c r="P651" s="166">
        <v>3</v>
      </c>
      <c r="R651" s="165" t="s">
        <v>1665</v>
      </c>
      <c r="S651" s="81" t="s">
        <v>113</v>
      </c>
      <c r="T651" s="349">
        <v>42803</v>
      </c>
      <c r="U651" s="349">
        <v>42929</v>
      </c>
      <c r="V651" s="81" t="s">
        <v>155</v>
      </c>
      <c r="W651" s="81" t="s">
        <v>114</v>
      </c>
      <c r="Y651" s="81" t="s">
        <v>115</v>
      </c>
      <c r="Z651" s="81" t="s">
        <v>119</v>
      </c>
      <c r="AA651" s="81" t="s">
        <v>117</v>
      </c>
      <c r="AB651" s="81" t="s">
        <v>220</v>
      </c>
      <c r="AC651" s="166">
        <v>2.19999998807907E-2</v>
      </c>
      <c r="AD651" s="349">
        <v>43019</v>
      </c>
      <c r="AE651" s="81" t="s">
        <v>155</v>
      </c>
      <c r="AG651" s="81" t="s">
        <v>238</v>
      </c>
      <c r="AH651" s="81" t="s">
        <v>118</v>
      </c>
      <c r="AK651" s="166">
        <v>0</v>
      </c>
      <c r="AM651" s="166">
        <v>0</v>
      </c>
      <c r="AO651" s="166">
        <v>1</v>
      </c>
      <c r="AP651" s="166">
        <v>1</v>
      </c>
      <c r="AQ651" s="166">
        <v>1</v>
      </c>
      <c r="AR651" s="166">
        <v>0</v>
      </c>
      <c r="AS651" s="166">
        <v>0</v>
      </c>
      <c r="AT651" s="166">
        <v>0</v>
      </c>
      <c r="AU651" s="166">
        <v>0</v>
      </c>
      <c r="AV651" s="166">
        <v>1</v>
      </c>
      <c r="AW651" s="166">
        <v>1</v>
      </c>
      <c r="AX651" s="166">
        <v>1</v>
      </c>
      <c r="AY651" s="166">
        <v>0</v>
      </c>
      <c r="AZ651" s="166">
        <v>0</v>
      </c>
      <c r="BA651" s="166">
        <v>0</v>
      </c>
      <c r="BB651" s="166">
        <v>0</v>
      </c>
      <c r="BC651" s="166">
        <v>0</v>
      </c>
      <c r="BD651" s="166">
        <v>0</v>
      </c>
      <c r="BE651" s="166">
        <v>0</v>
      </c>
      <c r="BF651" s="166">
        <v>0</v>
      </c>
      <c r="BG651" s="166">
        <v>0</v>
      </c>
      <c r="BH651" s="166">
        <v>0</v>
      </c>
      <c r="BI651" s="166">
        <v>0</v>
      </c>
      <c r="BJ651" s="166">
        <v>0</v>
      </c>
      <c r="BK651" s="166">
        <v>0</v>
      </c>
      <c r="BL651" s="166">
        <v>0</v>
      </c>
      <c r="BM651" s="166">
        <v>0</v>
      </c>
      <c r="BN651" s="166">
        <v>0</v>
      </c>
      <c r="BO651" s="166">
        <v>0</v>
      </c>
      <c r="BP651" s="166">
        <v>0</v>
      </c>
      <c r="BQ651" s="81" t="s">
        <v>1757</v>
      </c>
      <c r="BZ651" s="81" t="s">
        <v>155</v>
      </c>
      <c r="CA651" s="81" t="s">
        <v>3981</v>
      </c>
      <c r="CC651" s="167">
        <v>0</v>
      </c>
      <c r="CD651" s="167">
        <f>$N651/2</f>
        <v>1.5</v>
      </c>
      <c r="CE651" s="167">
        <f>$N651/2</f>
        <v>1.5</v>
      </c>
      <c r="CF651" s="167">
        <v>0</v>
      </c>
      <c r="CG651" s="167">
        <v>0</v>
      </c>
      <c r="CH651" s="167">
        <v>0</v>
      </c>
      <c r="CI651" s="167">
        <v>0</v>
      </c>
      <c r="CJ651" s="167">
        <v>0</v>
      </c>
      <c r="CK651" s="167">
        <v>0</v>
      </c>
      <c r="CL651" s="167">
        <v>0</v>
      </c>
      <c r="CM651" s="167">
        <v>0</v>
      </c>
      <c r="CN651" s="167">
        <v>0</v>
      </c>
      <c r="CO651" s="167">
        <v>0</v>
      </c>
      <c r="CP651" s="167">
        <v>0</v>
      </c>
      <c r="CQ651" s="167">
        <v>0</v>
      </c>
      <c r="CR651" s="167">
        <v>0</v>
      </c>
      <c r="CS651" s="167">
        <v>0</v>
      </c>
      <c r="CT651" s="167">
        <v>0</v>
      </c>
      <c r="CU651" s="167">
        <v>0</v>
      </c>
      <c r="CV651" s="167">
        <v>0</v>
      </c>
      <c r="CW651" s="167">
        <v>0</v>
      </c>
      <c r="CX651" s="167">
        <f>SUM(CD651:CH651)</f>
        <v>3</v>
      </c>
      <c r="CY651" s="167">
        <f>SUM(CD651:CM651)</f>
        <v>3</v>
      </c>
    </row>
    <row r="652" spans="1:103" ht="12.75" customHeight="1" x14ac:dyDescent="0.2">
      <c r="A652" s="81">
        <v>6311</v>
      </c>
      <c r="B652" s="165" t="s">
        <v>1908</v>
      </c>
      <c r="C652" s="165" t="s">
        <v>1465</v>
      </c>
      <c r="E652" s="165" t="s">
        <v>3659</v>
      </c>
      <c r="G652" s="81">
        <v>527604</v>
      </c>
      <c r="H652" s="81">
        <v>172607</v>
      </c>
      <c r="I652" s="165" t="s">
        <v>254</v>
      </c>
      <c r="J652" s="349">
        <v>43047</v>
      </c>
      <c r="L652" s="166">
        <v>4</v>
      </c>
      <c r="M652" s="166">
        <v>1</v>
      </c>
      <c r="N652" s="166">
        <v>-3</v>
      </c>
      <c r="O652" s="166">
        <v>1</v>
      </c>
      <c r="P652" s="166">
        <v>-3</v>
      </c>
      <c r="R652" s="165" t="s">
        <v>1466</v>
      </c>
      <c r="S652" s="81" t="s">
        <v>113</v>
      </c>
      <c r="T652" s="349">
        <v>42670</v>
      </c>
      <c r="U652" s="349">
        <v>42725</v>
      </c>
      <c r="W652" s="81" t="s">
        <v>114</v>
      </c>
      <c r="Y652" s="81" t="s">
        <v>115</v>
      </c>
      <c r="Z652" s="81" t="s">
        <v>119</v>
      </c>
      <c r="AA652" s="81" t="s">
        <v>117</v>
      </c>
      <c r="AB652" s="81" t="s">
        <v>336</v>
      </c>
      <c r="AC652" s="166">
        <v>2.8000000864267301E-2</v>
      </c>
      <c r="AD652" s="349">
        <v>43047</v>
      </c>
      <c r="AE652" s="81" t="s">
        <v>155</v>
      </c>
      <c r="AG652" s="81" t="s">
        <v>238</v>
      </c>
      <c r="AH652" s="81" t="s">
        <v>118</v>
      </c>
      <c r="AK652" s="166">
        <v>0</v>
      </c>
      <c r="AM652" s="166">
        <v>0</v>
      </c>
      <c r="AO652" s="166">
        <v>0</v>
      </c>
      <c r="AP652" s="166">
        <v>-2</v>
      </c>
      <c r="AQ652" s="166">
        <v>-2</v>
      </c>
      <c r="AR652" s="166">
        <v>0</v>
      </c>
      <c r="AS652" s="166">
        <v>0</v>
      </c>
      <c r="AT652" s="166">
        <v>1</v>
      </c>
      <c r="AU652" s="166">
        <v>0</v>
      </c>
      <c r="AV652" s="166">
        <v>0</v>
      </c>
      <c r="AW652" s="166">
        <v>-2</v>
      </c>
      <c r="AX652" s="166">
        <v>-2</v>
      </c>
      <c r="AY652" s="166">
        <v>0</v>
      </c>
      <c r="AZ652" s="166">
        <v>0</v>
      </c>
      <c r="BA652" s="166">
        <v>0</v>
      </c>
      <c r="BB652" s="166">
        <v>0</v>
      </c>
      <c r="BC652" s="166">
        <v>0</v>
      </c>
      <c r="BD652" s="166">
        <v>0</v>
      </c>
      <c r="BE652" s="166">
        <v>0</v>
      </c>
      <c r="BF652" s="166">
        <v>0</v>
      </c>
      <c r="BG652" s="166">
        <v>0</v>
      </c>
      <c r="BH652" s="166">
        <v>1</v>
      </c>
      <c r="BI652" s="166">
        <v>0</v>
      </c>
      <c r="BJ652" s="166">
        <v>0</v>
      </c>
      <c r="BK652" s="166">
        <v>0</v>
      </c>
      <c r="BL652" s="166">
        <v>0</v>
      </c>
      <c r="BM652" s="166">
        <v>0</v>
      </c>
      <c r="BN652" s="166">
        <v>0</v>
      </c>
      <c r="BO652" s="166">
        <v>0</v>
      </c>
      <c r="BP652" s="166">
        <v>0</v>
      </c>
      <c r="BQ652" s="81" t="s">
        <v>1757</v>
      </c>
      <c r="BZ652" s="81" t="s">
        <v>155</v>
      </c>
      <c r="CA652" s="81" t="s">
        <v>3981</v>
      </c>
      <c r="CC652" s="167">
        <v>0</v>
      </c>
      <c r="CD652" s="167">
        <f>$N652/2</f>
        <v>-1.5</v>
      </c>
      <c r="CE652" s="167">
        <f>$N652/2</f>
        <v>-1.5</v>
      </c>
      <c r="CF652" s="167">
        <v>0</v>
      </c>
      <c r="CG652" s="167">
        <v>0</v>
      </c>
      <c r="CH652" s="167">
        <v>0</v>
      </c>
      <c r="CI652" s="167">
        <v>0</v>
      </c>
      <c r="CJ652" s="167">
        <v>0</v>
      </c>
      <c r="CK652" s="167">
        <v>0</v>
      </c>
      <c r="CL652" s="167">
        <v>0</v>
      </c>
      <c r="CM652" s="167">
        <v>0</v>
      </c>
      <c r="CN652" s="167">
        <v>0</v>
      </c>
      <c r="CO652" s="167">
        <v>0</v>
      </c>
      <c r="CP652" s="167">
        <v>0</v>
      </c>
      <c r="CQ652" s="167">
        <v>0</v>
      </c>
      <c r="CR652" s="167">
        <v>0</v>
      </c>
      <c r="CS652" s="167">
        <v>0</v>
      </c>
      <c r="CT652" s="167">
        <v>0</v>
      </c>
      <c r="CU652" s="167">
        <v>0</v>
      </c>
      <c r="CV652" s="167">
        <v>0</v>
      </c>
      <c r="CW652" s="167">
        <v>0</v>
      </c>
      <c r="CX652" s="167">
        <f>SUM(CD652:CH652)</f>
        <v>-3</v>
      </c>
      <c r="CY652" s="167">
        <f>SUM(CD652:CM652)</f>
        <v>-3</v>
      </c>
    </row>
    <row r="653" spans="1:103" ht="12.75" customHeight="1" x14ac:dyDescent="0.2">
      <c r="A653" s="81">
        <v>6323</v>
      </c>
      <c r="B653" s="165" t="s">
        <v>1908</v>
      </c>
      <c r="C653" s="165" t="s">
        <v>1033</v>
      </c>
      <c r="E653" s="165" t="s">
        <v>3660</v>
      </c>
      <c r="G653" s="81">
        <v>527777</v>
      </c>
      <c r="H653" s="81">
        <v>175664</v>
      </c>
      <c r="I653" s="165" t="s">
        <v>256</v>
      </c>
      <c r="J653" s="349">
        <v>42825</v>
      </c>
      <c r="L653" s="166">
        <v>1</v>
      </c>
      <c r="M653" s="166">
        <v>2</v>
      </c>
      <c r="N653" s="166">
        <v>1</v>
      </c>
      <c r="O653" s="166">
        <v>2</v>
      </c>
      <c r="P653" s="166">
        <v>1</v>
      </c>
      <c r="R653" s="165" t="s">
        <v>1034</v>
      </c>
      <c r="S653" s="81" t="s">
        <v>113</v>
      </c>
      <c r="T653" s="349">
        <v>42572</v>
      </c>
      <c r="U653" s="349">
        <v>42628</v>
      </c>
      <c r="W653" s="81" t="s">
        <v>114</v>
      </c>
      <c r="Y653" s="81" t="s">
        <v>115</v>
      </c>
      <c r="Z653" s="81" t="s">
        <v>398</v>
      </c>
      <c r="AA653" s="81" t="s">
        <v>117</v>
      </c>
      <c r="AB653" s="81" t="s">
        <v>218</v>
      </c>
      <c r="AC653" s="166">
        <v>6.0000000521540598E-3</v>
      </c>
      <c r="AD653" s="349">
        <v>42825</v>
      </c>
      <c r="AG653" s="81" t="s">
        <v>238</v>
      </c>
      <c r="AH653" s="81" t="s">
        <v>118</v>
      </c>
      <c r="AK653" s="166">
        <v>0</v>
      </c>
      <c r="AM653" s="166">
        <v>0</v>
      </c>
      <c r="AO653" s="166">
        <v>0</v>
      </c>
      <c r="AP653" s="166">
        <v>0</v>
      </c>
      <c r="AQ653" s="166">
        <v>0</v>
      </c>
      <c r="AR653" s="166">
        <v>1</v>
      </c>
      <c r="AS653" s="166">
        <v>0</v>
      </c>
      <c r="AT653" s="166">
        <v>0</v>
      </c>
      <c r="AU653" s="166">
        <v>0</v>
      </c>
      <c r="AV653" s="166">
        <v>0</v>
      </c>
      <c r="AW653" s="166">
        <v>0</v>
      </c>
      <c r="AX653" s="166">
        <v>0</v>
      </c>
      <c r="AY653" s="166">
        <v>1</v>
      </c>
      <c r="AZ653" s="166">
        <v>0</v>
      </c>
      <c r="BA653" s="166">
        <v>0</v>
      </c>
      <c r="BB653" s="166">
        <v>0</v>
      </c>
      <c r="BC653" s="166">
        <v>0</v>
      </c>
      <c r="BD653" s="166">
        <v>0</v>
      </c>
      <c r="BE653" s="166">
        <v>0</v>
      </c>
      <c r="BF653" s="166">
        <v>0</v>
      </c>
      <c r="BG653" s="166">
        <v>0</v>
      </c>
      <c r="BH653" s="166">
        <v>0</v>
      </c>
      <c r="BI653" s="166">
        <v>0</v>
      </c>
      <c r="BJ653" s="166">
        <v>0</v>
      </c>
      <c r="BK653" s="166">
        <v>0</v>
      </c>
      <c r="BL653" s="166">
        <v>0</v>
      </c>
      <c r="BM653" s="166">
        <v>0</v>
      </c>
      <c r="BN653" s="166">
        <v>0</v>
      </c>
      <c r="BO653" s="166">
        <v>0</v>
      </c>
      <c r="BP653" s="166">
        <v>0</v>
      </c>
      <c r="BQ653" s="81" t="s">
        <v>1757</v>
      </c>
      <c r="BZ653" s="81" t="s">
        <v>155</v>
      </c>
      <c r="CA653" s="81" t="s">
        <v>3980</v>
      </c>
      <c r="CC653" s="167">
        <v>0</v>
      </c>
      <c r="CD653" s="167">
        <f>N653</f>
        <v>1</v>
      </c>
      <c r="CE653" s="167">
        <v>0</v>
      </c>
      <c r="CF653" s="167">
        <v>0</v>
      </c>
      <c r="CG653" s="167">
        <v>0</v>
      </c>
      <c r="CH653" s="167">
        <v>0</v>
      </c>
      <c r="CI653" s="167">
        <v>0</v>
      </c>
      <c r="CJ653" s="167">
        <v>0</v>
      </c>
      <c r="CK653" s="167">
        <v>0</v>
      </c>
      <c r="CL653" s="167">
        <v>0</v>
      </c>
      <c r="CM653" s="167">
        <v>0</v>
      </c>
      <c r="CN653" s="167">
        <v>0</v>
      </c>
      <c r="CO653" s="167">
        <v>0</v>
      </c>
      <c r="CP653" s="167">
        <v>0</v>
      </c>
      <c r="CQ653" s="167">
        <v>0</v>
      </c>
      <c r="CR653" s="167">
        <v>0</v>
      </c>
      <c r="CS653" s="167">
        <v>0</v>
      </c>
      <c r="CT653" s="167">
        <v>0</v>
      </c>
      <c r="CU653" s="167">
        <v>0</v>
      </c>
      <c r="CV653" s="167">
        <v>0</v>
      </c>
      <c r="CW653" s="167">
        <v>0</v>
      </c>
      <c r="CX653" s="167">
        <f>SUM(CD653:CH653)</f>
        <v>1</v>
      </c>
      <c r="CY653" s="167">
        <f>SUM(CD653:CM653)</f>
        <v>1</v>
      </c>
    </row>
    <row r="654" spans="1:103" ht="12.75" customHeight="1" x14ac:dyDescent="0.2">
      <c r="A654" s="81">
        <v>6324</v>
      </c>
      <c r="B654" s="165" t="s">
        <v>1908</v>
      </c>
      <c r="C654" s="165" t="s">
        <v>1021</v>
      </c>
      <c r="E654" s="165" t="s">
        <v>3661</v>
      </c>
      <c r="G654" s="81">
        <v>527264</v>
      </c>
      <c r="H654" s="81">
        <v>171574</v>
      </c>
      <c r="I654" s="165" t="s">
        <v>242</v>
      </c>
      <c r="J654" s="349">
        <v>42825</v>
      </c>
      <c r="L654" s="166">
        <v>1</v>
      </c>
      <c r="M654" s="166">
        <v>3</v>
      </c>
      <c r="N654" s="166">
        <v>2</v>
      </c>
      <c r="O654" s="166">
        <v>3</v>
      </c>
      <c r="P654" s="166">
        <v>2</v>
      </c>
      <c r="R654" s="165" t="s">
        <v>1022</v>
      </c>
      <c r="S654" s="81" t="s">
        <v>113</v>
      </c>
      <c r="T654" s="349">
        <v>42556</v>
      </c>
      <c r="U654" s="349">
        <v>42612</v>
      </c>
      <c r="W654" s="81" t="s">
        <v>114</v>
      </c>
      <c r="Y654" s="81" t="s">
        <v>115</v>
      </c>
      <c r="Z654" s="81" t="s">
        <v>398</v>
      </c>
      <c r="AA654" s="81" t="s">
        <v>117</v>
      </c>
      <c r="AB654" s="81" t="s">
        <v>120</v>
      </c>
      <c r="AC654" s="166">
        <v>1.7000000923872001E-2</v>
      </c>
      <c r="AD654" s="349">
        <v>42825</v>
      </c>
      <c r="AG654" s="81" t="s">
        <v>238</v>
      </c>
      <c r="AH654" s="81" t="s">
        <v>118</v>
      </c>
      <c r="AK654" s="166">
        <v>0</v>
      </c>
      <c r="AM654" s="166">
        <v>0</v>
      </c>
      <c r="AO654" s="166">
        <v>1</v>
      </c>
      <c r="AP654" s="166">
        <v>1</v>
      </c>
      <c r="AQ654" s="166">
        <v>0</v>
      </c>
      <c r="AR654" s="166">
        <v>1</v>
      </c>
      <c r="AS654" s="166">
        <v>0</v>
      </c>
      <c r="AT654" s="166">
        <v>-1</v>
      </c>
      <c r="AU654" s="166">
        <v>0</v>
      </c>
      <c r="AV654" s="166">
        <v>1</v>
      </c>
      <c r="AW654" s="166">
        <v>1</v>
      </c>
      <c r="AX654" s="166">
        <v>0</v>
      </c>
      <c r="AY654" s="166">
        <v>1</v>
      </c>
      <c r="AZ654" s="166">
        <v>0</v>
      </c>
      <c r="BA654" s="166">
        <v>0</v>
      </c>
      <c r="BB654" s="166">
        <v>0</v>
      </c>
      <c r="BC654" s="166">
        <v>0</v>
      </c>
      <c r="BD654" s="166">
        <v>0</v>
      </c>
      <c r="BE654" s="166">
        <v>0</v>
      </c>
      <c r="BF654" s="166">
        <v>0</v>
      </c>
      <c r="BG654" s="166">
        <v>0</v>
      </c>
      <c r="BH654" s="166">
        <v>-1</v>
      </c>
      <c r="BI654" s="166">
        <v>0</v>
      </c>
      <c r="BJ654" s="166">
        <v>0</v>
      </c>
      <c r="BK654" s="166">
        <v>0</v>
      </c>
      <c r="BL654" s="166">
        <v>0</v>
      </c>
      <c r="BM654" s="166">
        <v>0</v>
      </c>
      <c r="BN654" s="166">
        <v>0</v>
      </c>
      <c r="BO654" s="166">
        <v>0</v>
      </c>
      <c r="BP654" s="166">
        <v>0</v>
      </c>
      <c r="BQ654" s="81" t="s">
        <v>1757</v>
      </c>
      <c r="BZ654" s="81" t="s">
        <v>155</v>
      </c>
      <c r="CA654" s="81" t="s">
        <v>3980</v>
      </c>
      <c r="CC654" s="167">
        <v>0</v>
      </c>
      <c r="CD654" s="167">
        <f>N654</f>
        <v>2</v>
      </c>
      <c r="CE654" s="167">
        <v>0</v>
      </c>
      <c r="CF654" s="167">
        <v>0</v>
      </c>
      <c r="CG654" s="167">
        <v>0</v>
      </c>
      <c r="CH654" s="167">
        <v>0</v>
      </c>
      <c r="CI654" s="167">
        <v>0</v>
      </c>
      <c r="CJ654" s="167">
        <v>0</v>
      </c>
      <c r="CK654" s="167">
        <v>0</v>
      </c>
      <c r="CL654" s="167">
        <v>0</v>
      </c>
      <c r="CM654" s="167">
        <v>0</v>
      </c>
      <c r="CN654" s="167">
        <v>0</v>
      </c>
      <c r="CO654" s="167">
        <v>0</v>
      </c>
      <c r="CP654" s="167">
        <v>0</v>
      </c>
      <c r="CQ654" s="167">
        <v>0</v>
      </c>
      <c r="CR654" s="167">
        <v>0</v>
      </c>
      <c r="CS654" s="167">
        <v>0</v>
      </c>
      <c r="CT654" s="167">
        <v>0</v>
      </c>
      <c r="CU654" s="167">
        <v>0</v>
      </c>
      <c r="CV654" s="167">
        <v>0</v>
      </c>
      <c r="CW654" s="167">
        <v>0</v>
      </c>
      <c r="CX654" s="167">
        <f>SUM(CD654:CH654)</f>
        <v>2</v>
      </c>
      <c r="CY654" s="167">
        <f>SUM(CD654:CM654)</f>
        <v>2</v>
      </c>
    </row>
    <row r="655" spans="1:103" ht="12.75" customHeight="1" x14ac:dyDescent="0.2">
      <c r="A655" s="81">
        <v>6340</v>
      </c>
      <c r="B655" s="165" t="s">
        <v>1908</v>
      </c>
      <c r="C655" s="165" t="s">
        <v>1341</v>
      </c>
      <c r="E655" s="165" t="s">
        <v>3662</v>
      </c>
      <c r="G655" s="81">
        <v>529469</v>
      </c>
      <c r="H655" s="81">
        <v>171072</v>
      </c>
      <c r="I655" s="165" t="s">
        <v>252</v>
      </c>
      <c r="J655" s="349">
        <v>42948</v>
      </c>
      <c r="L655" s="166">
        <v>1</v>
      </c>
      <c r="M655" s="166">
        <v>3</v>
      </c>
      <c r="N655" s="166">
        <v>2</v>
      </c>
      <c r="O655" s="166">
        <v>3</v>
      </c>
      <c r="P655" s="166">
        <v>2</v>
      </c>
      <c r="R655" s="165" t="s">
        <v>1342</v>
      </c>
      <c r="S655" s="81" t="s">
        <v>113</v>
      </c>
      <c r="T655" s="349">
        <v>42579</v>
      </c>
      <c r="U655" s="349">
        <v>42635</v>
      </c>
      <c r="W655" s="81" t="s">
        <v>114</v>
      </c>
      <c r="Y655" s="81" t="s">
        <v>115</v>
      </c>
      <c r="Z655" s="81" t="s">
        <v>398</v>
      </c>
      <c r="AA655" s="81" t="s">
        <v>117</v>
      </c>
      <c r="AB655" s="81" t="s">
        <v>120</v>
      </c>
      <c r="AC655" s="166">
        <v>2.8000000864267301E-2</v>
      </c>
      <c r="AD655" s="349">
        <v>42948</v>
      </c>
      <c r="AE655" s="81" t="s">
        <v>155</v>
      </c>
      <c r="AG655" s="81" t="s">
        <v>238</v>
      </c>
      <c r="AH655" s="81" t="s">
        <v>118</v>
      </c>
      <c r="AK655" s="166">
        <v>0</v>
      </c>
      <c r="AM655" s="166">
        <v>0</v>
      </c>
      <c r="AO655" s="166">
        <v>0</v>
      </c>
      <c r="AP655" s="166">
        <v>1</v>
      </c>
      <c r="AQ655" s="166">
        <v>1</v>
      </c>
      <c r="AR655" s="166">
        <v>1</v>
      </c>
      <c r="AS655" s="166">
        <v>-1</v>
      </c>
      <c r="AT655" s="166">
        <v>0</v>
      </c>
      <c r="AU655" s="166">
        <v>0</v>
      </c>
      <c r="AV655" s="166">
        <v>0</v>
      </c>
      <c r="AW655" s="166">
        <v>1</v>
      </c>
      <c r="AX655" s="166">
        <v>1</v>
      </c>
      <c r="AY655" s="166">
        <v>1</v>
      </c>
      <c r="AZ655" s="166">
        <v>0</v>
      </c>
      <c r="BA655" s="166">
        <v>0</v>
      </c>
      <c r="BB655" s="166">
        <v>0</v>
      </c>
      <c r="BC655" s="166">
        <v>0</v>
      </c>
      <c r="BD655" s="166">
        <v>0</v>
      </c>
      <c r="BE655" s="166">
        <v>0</v>
      </c>
      <c r="BF655" s="166">
        <v>0</v>
      </c>
      <c r="BG655" s="166">
        <v>-1</v>
      </c>
      <c r="BH655" s="166">
        <v>0</v>
      </c>
      <c r="BI655" s="166">
        <v>0</v>
      </c>
      <c r="BJ655" s="166">
        <v>0</v>
      </c>
      <c r="BK655" s="166">
        <v>0</v>
      </c>
      <c r="BL655" s="166">
        <v>0</v>
      </c>
      <c r="BM655" s="166">
        <v>0</v>
      </c>
      <c r="BN655" s="166">
        <v>0</v>
      </c>
      <c r="BO655" s="166">
        <v>0</v>
      </c>
      <c r="BP655" s="166">
        <v>0</v>
      </c>
      <c r="BQ655" s="81" t="s">
        <v>1757</v>
      </c>
      <c r="BZ655" s="81" t="s">
        <v>155</v>
      </c>
      <c r="CA655" s="81" t="s">
        <v>3980</v>
      </c>
      <c r="CC655" s="167">
        <v>0</v>
      </c>
      <c r="CD655" s="167">
        <f>N655</f>
        <v>2</v>
      </c>
      <c r="CE655" s="167">
        <v>0</v>
      </c>
      <c r="CF655" s="167">
        <v>0</v>
      </c>
      <c r="CG655" s="167">
        <v>0</v>
      </c>
      <c r="CH655" s="167">
        <v>0</v>
      </c>
      <c r="CI655" s="167">
        <v>0</v>
      </c>
      <c r="CJ655" s="167">
        <v>0</v>
      </c>
      <c r="CK655" s="167">
        <v>0</v>
      </c>
      <c r="CL655" s="167">
        <v>0</v>
      </c>
      <c r="CM655" s="167">
        <v>0</v>
      </c>
      <c r="CN655" s="167">
        <v>0</v>
      </c>
      <c r="CO655" s="167">
        <v>0</v>
      </c>
      <c r="CP655" s="167">
        <v>0</v>
      </c>
      <c r="CQ655" s="167">
        <v>0</v>
      </c>
      <c r="CR655" s="167">
        <v>0</v>
      </c>
      <c r="CS655" s="167">
        <v>0</v>
      </c>
      <c r="CT655" s="167">
        <v>0</v>
      </c>
      <c r="CU655" s="167">
        <v>0</v>
      </c>
      <c r="CV655" s="167">
        <v>0</v>
      </c>
      <c r="CW655" s="167">
        <v>0</v>
      </c>
      <c r="CX655" s="167">
        <f>SUM(CD655:CH655)</f>
        <v>2</v>
      </c>
      <c r="CY655" s="167">
        <f>SUM(CD655:CM655)</f>
        <v>2</v>
      </c>
    </row>
    <row r="656" spans="1:103" ht="12.75" customHeight="1" x14ac:dyDescent="0.2">
      <c r="A656" s="81">
        <v>6342</v>
      </c>
      <c r="B656" s="165" t="s">
        <v>1908</v>
      </c>
      <c r="C656" s="165" t="s">
        <v>1043</v>
      </c>
      <c r="E656" s="165" t="s">
        <v>3663</v>
      </c>
      <c r="G656" s="81">
        <v>528447</v>
      </c>
      <c r="H656" s="81">
        <v>172503</v>
      </c>
      <c r="I656" s="165" t="s">
        <v>248</v>
      </c>
      <c r="J656" s="349">
        <v>42825</v>
      </c>
      <c r="L656" s="166">
        <v>6</v>
      </c>
      <c r="M656" s="166">
        <v>1</v>
      </c>
      <c r="N656" s="166">
        <v>-5</v>
      </c>
      <c r="O656" s="166">
        <v>1</v>
      </c>
      <c r="P656" s="166">
        <v>-5</v>
      </c>
      <c r="R656" s="165" t="s">
        <v>1044</v>
      </c>
      <c r="S656" s="81" t="s">
        <v>113</v>
      </c>
      <c r="T656" s="349">
        <v>42598</v>
      </c>
      <c r="U656" s="349">
        <v>42653</v>
      </c>
      <c r="W656" s="81" t="s">
        <v>114</v>
      </c>
      <c r="Y656" s="81" t="s">
        <v>115</v>
      </c>
      <c r="Z656" s="81" t="s">
        <v>119</v>
      </c>
      <c r="AA656" s="81" t="s">
        <v>117</v>
      </c>
      <c r="AB656" s="81" t="s">
        <v>336</v>
      </c>
      <c r="AC656" s="166">
        <v>2.3000000044703501E-2</v>
      </c>
      <c r="AD656" s="349">
        <v>42825</v>
      </c>
      <c r="AG656" s="81" t="s">
        <v>238</v>
      </c>
      <c r="AH656" s="81" t="s">
        <v>118</v>
      </c>
      <c r="AK656" s="166">
        <v>0</v>
      </c>
      <c r="AM656" s="166">
        <v>0</v>
      </c>
      <c r="AO656" s="166">
        <v>0</v>
      </c>
      <c r="AP656" s="166">
        <v>-6</v>
      </c>
      <c r="AQ656" s="166">
        <v>0</v>
      </c>
      <c r="AR656" s="166">
        <v>0</v>
      </c>
      <c r="AS656" s="166">
        <v>0</v>
      </c>
      <c r="AT656" s="166">
        <v>1</v>
      </c>
      <c r="AU656" s="166">
        <v>0</v>
      </c>
      <c r="AV656" s="166">
        <v>0</v>
      </c>
      <c r="AW656" s="166">
        <v>-6</v>
      </c>
      <c r="AX656" s="166">
        <v>0</v>
      </c>
      <c r="AY656" s="166">
        <v>0</v>
      </c>
      <c r="AZ656" s="166">
        <v>0</v>
      </c>
      <c r="BA656" s="166">
        <v>0</v>
      </c>
      <c r="BB656" s="166">
        <v>0</v>
      </c>
      <c r="BC656" s="166">
        <v>0</v>
      </c>
      <c r="BD656" s="166">
        <v>0</v>
      </c>
      <c r="BE656" s="166">
        <v>0</v>
      </c>
      <c r="BF656" s="166">
        <v>0</v>
      </c>
      <c r="BG656" s="166">
        <v>0</v>
      </c>
      <c r="BH656" s="166">
        <v>1</v>
      </c>
      <c r="BI656" s="166">
        <v>0</v>
      </c>
      <c r="BJ656" s="166">
        <v>0</v>
      </c>
      <c r="BK656" s="166">
        <v>0</v>
      </c>
      <c r="BL656" s="166">
        <v>0</v>
      </c>
      <c r="BM656" s="166">
        <v>0</v>
      </c>
      <c r="BN656" s="166">
        <v>0</v>
      </c>
      <c r="BO656" s="166">
        <v>0</v>
      </c>
      <c r="BP656" s="166">
        <v>0</v>
      </c>
      <c r="BQ656" s="81" t="s">
        <v>1757</v>
      </c>
      <c r="BZ656" s="81" t="s">
        <v>155</v>
      </c>
      <c r="CA656" s="81" t="s">
        <v>3980</v>
      </c>
      <c r="CC656" s="167">
        <v>0</v>
      </c>
      <c r="CD656" s="167">
        <f>N656</f>
        <v>-5</v>
      </c>
      <c r="CE656" s="167">
        <v>0</v>
      </c>
      <c r="CF656" s="167">
        <v>0</v>
      </c>
      <c r="CG656" s="167">
        <v>0</v>
      </c>
      <c r="CH656" s="167">
        <v>0</v>
      </c>
      <c r="CI656" s="167">
        <v>0</v>
      </c>
      <c r="CJ656" s="167">
        <v>0</v>
      </c>
      <c r="CK656" s="167">
        <v>0</v>
      </c>
      <c r="CL656" s="167">
        <v>0</v>
      </c>
      <c r="CM656" s="167">
        <v>0</v>
      </c>
      <c r="CN656" s="167">
        <v>0</v>
      </c>
      <c r="CO656" s="167">
        <v>0</v>
      </c>
      <c r="CP656" s="167">
        <v>0</v>
      </c>
      <c r="CQ656" s="167">
        <v>0</v>
      </c>
      <c r="CR656" s="167">
        <v>0</v>
      </c>
      <c r="CS656" s="167">
        <v>0</v>
      </c>
      <c r="CT656" s="167">
        <v>0</v>
      </c>
      <c r="CU656" s="167">
        <v>0</v>
      </c>
      <c r="CV656" s="167">
        <v>0</v>
      </c>
      <c r="CW656" s="167">
        <v>0</v>
      </c>
      <c r="CX656" s="167">
        <f>SUM(CD656:CH656)</f>
        <v>-5</v>
      </c>
      <c r="CY656" s="167">
        <f>SUM(CD656:CM656)</f>
        <v>-5</v>
      </c>
    </row>
    <row r="657" spans="1:103" ht="12.75" customHeight="1" x14ac:dyDescent="0.2">
      <c r="A657" s="81">
        <v>6344</v>
      </c>
      <c r="B657" s="165" t="s">
        <v>1908</v>
      </c>
      <c r="C657" s="165" t="s">
        <v>1364</v>
      </c>
      <c r="E657" s="165" t="s">
        <v>3664</v>
      </c>
      <c r="G657" s="81">
        <v>527166</v>
      </c>
      <c r="H657" s="81">
        <v>171035</v>
      </c>
      <c r="I657" s="165" t="s">
        <v>242</v>
      </c>
      <c r="J657" s="349">
        <v>43190</v>
      </c>
      <c r="L657" s="166">
        <v>2</v>
      </c>
      <c r="M657" s="166">
        <v>5</v>
      </c>
      <c r="N657" s="166">
        <v>3</v>
      </c>
      <c r="O657" s="166">
        <v>5</v>
      </c>
      <c r="P657" s="166">
        <v>3</v>
      </c>
      <c r="R657" s="165" t="s">
        <v>1365</v>
      </c>
      <c r="S657" s="81" t="s">
        <v>113</v>
      </c>
      <c r="T657" s="349">
        <v>42599</v>
      </c>
      <c r="U657" s="349">
        <v>42793</v>
      </c>
      <c r="W657" s="81" t="s">
        <v>114</v>
      </c>
      <c r="Y657" s="81" t="s">
        <v>115</v>
      </c>
      <c r="Z657" s="81" t="s">
        <v>398</v>
      </c>
      <c r="AA657" s="81" t="s">
        <v>117</v>
      </c>
      <c r="AB657" s="81" t="s">
        <v>218</v>
      </c>
      <c r="AC657" s="166">
        <v>2.0999999716877899E-2</v>
      </c>
      <c r="AD657" s="349">
        <v>43190</v>
      </c>
      <c r="AE657" s="81" t="s">
        <v>155</v>
      </c>
      <c r="AG657" s="81" t="s">
        <v>238</v>
      </c>
      <c r="AH657" s="81" t="s">
        <v>118</v>
      </c>
      <c r="AK657" s="166">
        <v>0</v>
      </c>
      <c r="AM657" s="166">
        <v>0</v>
      </c>
      <c r="AO657" s="166">
        <v>0</v>
      </c>
      <c r="AP657" s="166">
        <v>2</v>
      </c>
      <c r="AQ657" s="166">
        <v>3</v>
      </c>
      <c r="AR657" s="166">
        <v>0</v>
      </c>
      <c r="AS657" s="166">
        <v>-2</v>
      </c>
      <c r="AT657" s="166">
        <v>0</v>
      </c>
      <c r="AU657" s="166">
        <v>0</v>
      </c>
      <c r="AV657" s="166">
        <v>0</v>
      </c>
      <c r="AW657" s="166">
        <v>2</v>
      </c>
      <c r="AX657" s="166">
        <v>3</v>
      </c>
      <c r="AY657" s="166">
        <v>0</v>
      </c>
      <c r="AZ657" s="166">
        <v>-1</v>
      </c>
      <c r="BA657" s="166">
        <v>0</v>
      </c>
      <c r="BB657" s="166">
        <v>0</v>
      </c>
      <c r="BC657" s="166">
        <v>0</v>
      </c>
      <c r="BD657" s="166">
        <v>0</v>
      </c>
      <c r="BE657" s="166">
        <v>0</v>
      </c>
      <c r="BF657" s="166">
        <v>0</v>
      </c>
      <c r="BG657" s="166">
        <v>0</v>
      </c>
      <c r="BH657" s="166">
        <v>0</v>
      </c>
      <c r="BI657" s="166">
        <v>0</v>
      </c>
      <c r="BJ657" s="166">
        <v>0</v>
      </c>
      <c r="BK657" s="166">
        <v>0</v>
      </c>
      <c r="BL657" s="166">
        <v>0</v>
      </c>
      <c r="BM657" s="166">
        <v>0</v>
      </c>
      <c r="BN657" s="166">
        <v>-1</v>
      </c>
      <c r="BO657" s="166">
        <v>0</v>
      </c>
      <c r="BP657" s="166">
        <v>0</v>
      </c>
      <c r="BQ657" s="81" t="s">
        <v>1757</v>
      </c>
      <c r="BZ657" s="81" t="s">
        <v>155</v>
      </c>
      <c r="CA657" s="81" t="s">
        <v>3981</v>
      </c>
      <c r="CC657" s="167">
        <v>0</v>
      </c>
      <c r="CD657" s="167">
        <f>$N657/2</f>
        <v>1.5</v>
      </c>
      <c r="CE657" s="167">
        <f>$N657/2</f>
        <v>1.5</v>
      </c>
      <c r="CF657" s="167">
        <v>0</v>
      </c>
      <c r="CG657" s="167">
        <v>0</v>
      </c>
      <c r="CH657" s="167">
        <v>0</v>
      </c>
      <c r="CI657" s="167">
        <v>0</v>
      </c>
      <c r="CJ657" s="167">
        <v>0</v>
      </c>
      <c r="CK657" s="167">
        <v>0</v>
      </c>
      <c r="CL657" s="167">
        <v>0</v>
      </c>
      <c r="CM657" s="167">
        <v>0</v>
      </c>
      <c r="CN657" s="167">
        <v>0</v>
      </c>
      <c r="CO657" s="167">
        <v>0</v>
      </c>
      <c r="CP657" s="167">
        <v>0</v>
      </c>
      <c r="CQ657" s="167">
        <v>0</v>
      </c>
      <c r="CR657" s="167">
        <v>0</v>
      </c>
      <c r="CS657" s="167">
        <v>0</v>
      </c>
      <c r="CT657" s="167">
        <v>0</v>
      </c>
      <c r="CU657" s="167">
        <v>0</v>
      </c>
      <c r="CV657" s="167">
        <v>0</v>
      </c>
      <c r="CW657" s="167">
        <v>0</v>
      </c>
      <c r="CX657" s="167">
        <f>SUM(CD657:CH657)</f>
        <v>3</v>
      </c>
      <c r="CY657" s="167">
        <f>SUM(CD657:CM657)</f>
        <v>3</v>
      </c>
    </row>
    <row r="658" spans="1:103" x14ac:dyDescent="0.2">
      <c r="A658" s="81">
        <v>6347</v>
      </c>
      <c r="B658" s="165" t="s">
        <v>1908</v>
      </c>
      <c r="C658" s="165" t="s">
        <v>1047</v>
      </c>
      <c r="E658" s="165" t="s">
        <v>3665</v>
      </c>
      <c r="G658" s="81">
        <v>528380</v>
      </c>
      <c r="H658" s="81">
        <v>172124</v>
      </c>
      <c r="I658" s="165" t="s">
        <v>248</v>
      </c>
      <c r="J658" s="349">
        <v>42825</v>
      </c>
      <c r="L658" s="166">
        <v>1</v>
      </c>
      <c r="M658" s="166">
        <v>2</v>
      </c>
      <c r="N658" s="166">
        <v>1</v>
      </c>
      <c r="O658" s="166">
        <v>2</v>
      </c>
      <c r="P658" s="166">
        <v>1</v>
      </c>
      <c r="R658" s="165" t="s">
        <v>1048</v>
      </c>
      <c r="S658" s="81" t="s">
        <v>113</v>
      </c>
      <c r="T658" s="349">
        <v>42670</v>
      </c>
      <c r="U658" s="349">
        <v>42725</v>
      </c>
      <c r="W658" s="81" t="s">
        <v>114</v>
      </c>
      <c r="Y658" s="81" t="s">
        <v>115</v>
      </c>
      <c r="Z658" s="81" t="s">
        <v>398</v>
      </c>
      <c r="AA658" s="81" t="s">
        <v>117</v>
      </c>
      <c r="AB658" s="81" t="s">
        <v>120</v>
      </c>
      <c r="AC658" s="166">
        <v>1.7000000923872001E-2</v>
      </c>
      <c r="AD658" s="349">
        <v>42825</v>
      </c>
      <c r="AG658" s="81" t="s">
        <v>238</v>
      </c>
      <c r="AH658" s="81" t="s">
        <v>118</v>
      </c>
      <c r="AK658" s="166">
        <v>0</v>
      </c>
      <c r="AM658" s="166">
        <v>0</v>
      </c>
      <c r="AO658" s="166">
        <v>0</v>
      </c>
      <c r="AP658" s="166">
        <v>0</v>
      </c>
      <c r="AQ658" s="166">
        <v>0</v>
      </c>
      <c r="AR658" s="166">
        <v>2</v>
      </c>
      <c r="AS658" s="166">
        <v>0</v>
      </c>
      <c r="AT658" s="166">
        <v>-1</v>
      </c>
      <c r="AU658" s="166">
        <v>0</v>
      </c>
      <c r="AV658" s="166">
        <v>0</v>
      </c>
      <c r="AW658" s="166">
        <v>0</v>
      </c>
      <c r="AX658" s="166">
        <v>0</v>
      </c>
      <c r="AY658" s="166">
        <v>2</v>
      </c>
      <c r="AZ658" s="166">
        <v>0</v>
      </c>
      <c r="BA658" s="166">
        <v>0</v>
      </c>
      <c r="BB658" s="166">
        <v>0</v>
      </c>
      <c r="BC658" s="166">
        <v>0</v>
      </c>
      <c r="BD658" s="166">
        <v>0</v>
      </c>
      <c r="BE658" s="166">
        <v>0</v>
      </c>
      <c r="BF658" s="166">
        <v>0</v>
      </c>
      <c r="BG658" s="166">
        <v>0</v>
      </c>
      <c r="BH658" s="166">
        <v>-1</v>
      </c>
      <c r="BI658" s="166">
        <v>0</v>
      </c>
      <c r="BJ658" s="166">
        <v>0</v>
      </c>
      <c r="BK658" s="166">
        <v>0</v>
      </c>
      <c r="BL658" s="166">
        <v>0</v>
      </c>
      <c r="BM658" s="166">
        <v>0</v>
      </c>
      <c r="BN658" s="166">
        <v>0</v>
      </c>
      <c r="BO658" s="166">
        <v>0</v>
      </c>
      <c r="BP658" s="166">
        <v>0</v>
      </c>
      <c r="BQ658" s="81" t="s">
        <v>1757</v>
      </c>
      <c r="BZ658" s="81" t="s">
        <v>155</v>
      </c>
      <c r="CA658" s="81" t="s">
        <v>3980</v>
      </c>
      <c r="CC658" s="167">
        <v>0</v>
      </c>
      <c r="CD658" s="167">
        <f>N658</f>
        <v>1</v>
      </c>
      <c r="CE658" s="167">
        <v>0</v>
      </c>
      <c r="CF658" s="167">
        <v>0</v>
      </c>
      <c r="CG658" s="167">
        <v>0</v>
      </c>
      <c r="CH658" s="167">
        <v>0</v>
      </c>
      <c r="CI658" s="167">
        <v>0</v>
      </c>
      <c r="CJ658" s="167">
        <v>0</v>
      </c>
      <c r="CK658" s="167">
        <v>0</v>
      </c>
      <c r="CL658" s="167">
        <v>0</v>
      </c>
      <c r="CM658" s="167">
        <v>0</v>
      </c>
      <c r="CN658" s="167">
        <v>0</v>
      </c>
      <c r="CO658" s="167">
        <v>0</v>
      </c>
      <c r="CP658" s="167">
        <v>0</v>
      </c>
      <c r="CQ658" s="167">
        <v>0</v>
      </c>
      <c r="CR658" s="167">
        <v>0</v>
      </c>
      <c r="CS658" s="167">
        <v>0</v>
      </c>
      <c r="CT658" s="167">
        <v>0</v>
      </c>
      <c r="CU658" s="167">
        <v>0</v>
      </c>
      <c r="CV658" s="167">
        <v>0</v>
      </c>
      <c r="CW658" s="167">
        <v>0</v>
      </c>
      <c r="CX658" s="167">
        <f>SUM(CD658:CH658)</f>
        <v>1</v>
      </c>
      <c r="CY658" s="167">
        <f>SUM(CD658:CM658)</f>
        <v>1</v>
      </c>
    </row>
    <row r="659" spans="1:103" ht="12.75" customHeight="1" x14ac:dyDescent="0.2">
      <c r="A659" s="81">
        <v>6356</v>
      </c>
      <c r="B659" s="165" t="s">
        <v>1908</v>
      </c>
      <c r="C659" s="165" t="s">
        <v>1408</v>
      </c>
      <c r="E659" s="165" t="s">
        <v>3650</v>
      </c>
      <c r="G659" s="81">
        <v>525993</v>
      </c>
      <c r="H659" s="81">
        <v>172744</v>
      </c>
      <c r="I659" s="165" t="s">
        <v>249</v>
      </c>
      <c r="J659" s="349">
        <v>42825</v>
      </c>
      <c r="L659" s="166">
        <v>0</v>
      </c>
      <c r="M659" s="166">
        <v>2</v>
      </c>
      <c r="N659" s="166">
        <v>2</v>
      </c>
      <c r="O659" s="166">
        <v>2</v>
      </c>
      <c r="P659" s="166">
        <v>2</v>
      </c>
      <c r="R659" s="165" t="s">
        <v>1409</v>
      </c>
      <c r="S659" s="81" t="s">
        <v>113</v>
      </c>
      <c r="T659" s="349">
        <v>42619</v>
      </c>
      <c r="U659" s="349">
        <v>42674</v>
      </c>
      <c r="W659" s="81" t="s">
        <v>114</v>
      </c>
      <c r="Y659" s="81" t="s">
        <v>115</v>
      </c>
      <c r="Z659" s="81" t="s">
        <v>116</v>
      </c>
      <c r="AA659" s="81" t="s">
        <v>117</v>
      </c>
      <c r="AB659" s="81" t="s">
        <v>218</v>
      </c>
      <c r="AC659" s="166">
        <v>2.4000000208616298E-2</v>
      </c>
      <c r="AD659" s="349">
        <v>42825</v>
      </c>
      <c r="AG659" s="81" t="s">
        <v>238</v>
      </c>
      <c r="AH659" s="81" t="s">
        <v>118</v>
      </c>
      <c r="AK659" s="166">
        <v>0</v>
      </c>
      <c r="AM659" s="166">
        <v>0</v>
      </c>
      <c r="AO659" s="166">
        <v>0</v>
      </c>
      <c r="AP659" s="166">
        <v>0</v>
      </c>
      <c r="AQ659" s="166">
        <v>0</v>
      </c>
      <c r="AR659" s="166">
        <v>2</v>
      </c>
      <c r="AS659" s="166">
        <v>0</v>
      </c>
      <c r="AT659" s="166">
        <v>0</v>
      </c>
      <c r="AU659" s="166">
        <v>0</v>
      </c>
      <c r="AV659" s="166">
        <v>0</v>
      </c>
      <c r="AW659" s="166">
        <v>0</v>
      </c>
      <c r="AX659" s="166">
        <v>0</v>
      </c>
      <c r="AY659" s="166">
        <v>0</v>
      </c>
      <c r="AZ659" s="166">
        <v>0</v>
      </c>
      <c r="BA659" s="166">
        <v>0</v>
      </c>
      <c r="BB659" s="166">
        <v>0</v>
      </c>
      <c r="BC659" s="166">
        <v>0</v>
      </c>
      <c r="BD659" s="166">
        <v>0</v>
      </c>
      <c r="BE659" s="166">
        <v>0</v>
      </c>
      <c r="BF659" s="166">
        <v>2</v>
      </c>
      <c r="BG659" s="166">
        <v>0</v>
      </c>
      <c r="BH659" s="166">
        <v>0</v>
      </c>
      <c r="BI659" s="166">
        <v>0</v>
      </c>
      <c r="BJ659" s="166">
        <v>0</v>
      </c>
      <c r="BK659" s="166">
        <v>0</v>
      </c>
      <c r="BL659" s="166">
        <v>0</v>
      </c>
      <c r="BM659" s="166">
        <v>0</v>
      </c>
      <c r="BN659" s="166">
        <v>0</v>
      </c>
      <c r="BO659" s="166">
        <v>0</v>
      </c>
      <c r="BP659" s="166">
        <v>0</v>
      </c>
      <c r="BQ659" s="81" t="s">
        <v>1758</v>
      </c>
      <c r="BZ659" s="81" t="s">
        <v>155</v>
      </c>
      <c r="CA659" s="81" t="s">
        <v>3976</v>
      </c>
      <c r="CC659" s="167">
        <v>0</v>
      </c>
      <c r="CD659" s="167">
        <f>N659</f>
        <v>2</v>
      </c>
      <c r="CE659" s="167">
        <v>0</v>
      </c>
      <c r="CF659" s="167">
        <v>0</v>
      </c>
      <c r="CG659" s="167">
        <v>0</v>
      </c>
      <c r="CH659" s="167">
        <v>0</v>
      </c>
      <c r="CI659" s="167">
        <v>0</v>
      </c>
      <c r="CJ659" s="167">
        <v>0</v>
      </c>
      <c r="CK659" s="167">
        <v>0</v>
      </c>
      <c r="CL659" s="167">
        <v>0</v>
      </c>
      <c r="CM659" s="167">
        <v>0</v>
      </c>
      <c r="CN659" s="167">
        <v>0</v>
      </c>
      <c r="CO659" s="167">
        <v>0</v>
      </c>
      <c r="CP659" s="167">
        <v>0</v>
      </c>
      <c r="CQ659" s="167">
        <v>0</v>
      </c>
      <c r="CR659" s="167">
        <v>0</v>
      </c>
      <c r="CS659" s="167">
        <v>0</v>
      </c>
      <c r="CT659" s="167">
        <v>0</v>
      </c>
      <c r="CU659" s="167">
        <v>0</v>
      </c>
      <c r="CV659" s="167">
        <v>0</v>
      </c>
      <c r="CW659" s="167">
        <v>0</v>
      </c>
      <c r="CX659" s="167">
        <f>SUM(CD659:CH659)</f>
        <v>2</v>
      </c>
      <c r="CY659" s="167">
        <f>SUM(CD659:CM659)</f>
        <v>2</v>
      </c>
    </row>
    <row r="660" spans="1:103" x14ac:dyDescent="0.2">
      <c r="A660" s="81">
        <v>6362</v>
      </c>
      <c r="B660" s="165" t="s">
        <v>1908</v>
      </c>
      <c r="C660" s="165" t="s">
        <v>1055</v>
      </c>
      <c r="E660" s="165" t="s">
        <v>3667</v>
      </c>
      <c r="G660" s="81">
        <v>527854</v>
      </c>
      <c r="H660" s="81">
        <v>175303</v>
      </c>
      <c r="I660" s="165" t="s">
        <v>256</v>
      </c>
      <c r="J660" s="349">
        <v>42825</v>
      </c>
      <c r="L660" s="166">
        <v>1</v>
      </c>
      <c r="M660" s="166">
        <v>3</v>
      </c>
      <c r="N660" s="166">
        <v>2</v>
      </c>
      <c r="O660" s="166">
        <v>3</v>
      </c>
      <c r="P660" s="166">
        <v>2</v>
      </c>
      <c r="R660" s="165" t="s">
        <v>1056</v>
      </c>
      <c r="S660" s="81" t="s">
        <v>113</v>
      </c>
      <c r="T660" s="349">
        <v>42612</v>
      </c>
      <c r="U660" s="349">
        <v>42702</v>
      </c>
      <c r="W660" s="81" t="s">
        <v>114</v>
      </c>
      <c r="Y660" s="81" t="s">
        <v>115</v>
      </c>
      <c r="Z660" s="81" t="s">
        <v>398</v>
      </c>
      <c r="AA660" s="81" t="s">
        <v>117</v>
      </c>
      <c r="AB660" s="81" t="s">
        <v>120</v>
      </c>
      <c r="AC660" s="166">
        <v>1.09999999403954E-2</v>
      </c>
      <c r="AD660" s="349">
        <v>42825</v>
      </c>
      <c r="AG660" s="81" t="s">
        <v>238</v>
      </c>
      <c r="AH660" s="81" t="s">
        <v>118</v>
      </c>
      <c r="AK660" s="166">
        <v>0</v>
      </c>
      <c r="AM660" s="166">
        <v>0</v>
      </c>
      <c r="AO660" s="166">
        <v>0</v>
      </c>
      <c r="AP660" s="166">
        <v>2</v>
      </c>
      <c r="AQ660" s="166">
        <v>0</v>
      </c>
      <c r="AR660" s="166">
        <v>1</v>
      </c>
      <c r="AS660" s="166">
        <v>-1</v>
      </c>
      <c r="AT660" s="166">
        <v>0</v>
      </c>
      <c r="AU660" s="166">
        <v>0</v>
      </c>
      <c r="AV660" s="166">
        <v>0</v>
      </c>
      <c r="AW660" s="166">
        <v>2</v>
      </c>
      <c r="AX660" s="166">
        <v>0</v>
      </c>
      <c r="AY660" s="166">
        <v>1</v>
      </c>
      <c r="AZ660" s="166">
        <v>0</v>
      </c>
      <c r="BA660" s="166">
        <v>0</v>
      </c>
      <c r="BB660" s="166">
        <v>0</v>
      </c>
      <c r="BC660" s="166">
        <v>0</v>
      </c>
      <c r="BD660" s="166">
        <v>0</v>
      </c>
      <c r="BE660" s="166">
        <v>0</v>
      </c>
      <c r="BF660" s="166">
        <v>0</v>
      </c>
      <c r="BG660" s="166">
        <v>-1</v>
      </c>
      <c r="BH660" s="166">
        <v>0</v>
      </c>
      <c r="BI660" s="166">
        <v>0</v>
      </c>
      <c r="BJ660" s="166">
        <v>0</v>
      </c>
      <c r="BK660" s="166">
        <v>0</v>
      </c>
      <c r="BL660" s="166">
        <v>0</v>
      </c>
      <c r="BM660" s="166">
        <v>0</v>
      </c>
      <c r="BN660" s="166">
        <v>0</v>
      </c>
      <c r="BO660" s="166">
        <v>0</v>
      </c>
      <c r="BP660" s="166">
        <v>0</v>
      </c>
      <c r="BQ660" s="81" t="s">
        <v>1757</v>
      </c>
      <c r="BZ660" s="81" t="s">
        <v>155</v>
      </c>
      <c r="CA660" s="81" t="s">
        <v>3980</v>
      </c>
      <c r="CC660" s="167">
        <v>0</v>
      </c>
      <c r="CD660" s="167">
        <f>N660</f>
        <v>2</v>
      </c>
      <c r="CE660" s="167">
        <v>0</v>
      </c>
      <c r="CF660" s="167">
        <v>0</v>
      </c>
      <c r="CG660" s="167">
        <v>0</v>
      </c>
      <c r="CH660" s="167">
        <v>0</v>
      </c>
      <c r="CI660" s="167">
        <v>0</v>
      </c>
      <c r="CJ660" s="167">
        <v>0</v>
      </c>
      <c r="CK660" s="167">
        <v>0</v>
      </c>
      <c r="CL660" s="167">
        <v>0</v>
      </c>
      <c r="CM660" s="167">
        <v>0</v>
      </c>
      <c r="CN660" s="167">
        <v>0</v>
      </c>
      <c r="CO660" s="167">
        <v>0</v>
      </c>
      <c r="CP660" s="167">
        <v>0</v>
      </c>
      <c r="CQ660" s="167">
        <v>0</v>
      </c>
      <c r="CR660" s="167">
        <v>0</v>
      </c>
      <c r="CS660" s="167">
        <v>0</v>
      </c>
      <c r="CT660" s="167">
        <v>0</v>
      </c>
      <c r="CU660" s="167">
        <v>0</v>
      </c>
      <c r="CV660" s="167">
        <v>0</v>
      </c>
      <c r="CW660" s="167">
        <v>0</v>
      </c>
      <c r="CX660" s="167">
        <f>SUM(CD660:CH660)</f>
        <v>2</v>
      </c>
      <c r="CY660" s="167">
        <f>SUM(CD660:CM660)</f>
        <v>2</v>
      </c>
    </row>
    <row r="661" spans="1:103" ht="12.75" customHeight="1" x14ac:dyDescent="0.2">
      <c r="A661" s="81">
        <v>6363</v>
      </c>
      <c r="B661" s="165" t="s">
        <v>1908</v>
      </c>
      <c r="C661" s="165" t="s">
        <v>1717</v>
      </c>
      <c r="E661" s="165" t="s">
        <v>3652</v>
      </c>
      <c r="F661" s="165" t="s">
        <v>1556</v>
      </c>
      <c r="G661" s="81">
        <v>526647</v>
      </c>
      <c r="H661" s="81">
        <v>173996</v>
      </c>
      <c r="I661" s="165" t="s">
        <v>260</v>
      </c>
      <c r="J661" s="349">
        <v>42979</v>
      </c>
      <c r="L661" s="166">
        <v>0</v>
      </c>
      <c r="M661" s="166">
        <v>14</v>
      </c>
      <c r="N661" s="166">
        <v>14</v>
      </c>
      <c r="O661" s="166">
        <v>18</v>
      </c>
      <c r="P661" s="166">
        <v>18</v>
      </c>
      <c r="Q661" s="81" t="s">
        <v>155</v>
      </c>
      <c r="R661" s="165" t="s">
        <v>1718</v>
      </c>
      <c r="S661" s="81" t="s">
        <v>104</v>
      </c>
      <c r="T661" s="349">
        <v>42614</v>
      </c>
      <c r="U661" s="349">
        <v>42899</v>
      </c>
      <c r="V661" s="81" t="s">
        <v>155</v>
      </c>
      <c r="W661" s="81" t="s">
        <v>114</v>
      </c>
      <c r="Y661" s="81" t="s">
        <v>115</v>
      </c>
      <c r="Z661" s="81" t="s">
        <v>116</v>
      </c>
      <c r="AA661" s="81" t="s">
        <v>116</v>
      </c>
      <c r="AB661" s="81" t="s">
        <v>117</v>
      </c>
      <c r="AC661" s="166">
        <v>0.29100000858306901</v>
      </c>
      <c r="AD661" s="349">
        <v>42979</v>
      </c>
      <c r="AE661" s="81" t="s">
        <v>155</v>
      </c>
      <c r="AG661" s="81" t="s">
        <v>238</v>
      </c>
      <c r="AH661" s="81" t="s">
        <v>118</v>
      </c>
      <c r="AI661" s="81" t="s">
        <v>3653</v>
      </c>
      <c r="AK661" s="166">
        <v>0</v>
      </c>
      <c r="AL661" s="166">
        <v>14</v>
      </c>
      <c r="AM661" s="166">
        <v>0</v>
      </c>
      <c r="AO661" s="166">
        <v>0</v>
      </c>
      <c r="AP661" s="166">
        <v>2</v>
      </c>
      <c r="AQ661" s="166">
        <v>3</v>
      </c>
      <c r="AR661" s="166">
        <v>3</v>
      </c>
      <c r="AS661" s="166">
        <v>6</v>
      </c>
      <c r="AT661" s="166">
        <v>0</v>
      </c>
      <c r="AU661" s="166">
        <v>0</v>
      </c>
      <c r="AV661" s="166">
        <v>0</v>
      </c>
      <c r="AW661" s="166">
        <v>2</v>
      </c>
      <c r="AX661" s="166">
        <v>3</v>
      </c>
      <c r="AY661" s="166">
        <v>3</v>
      </c>
      <c r="AZ661" s="166">
        <v>0</v>
      </c>
      <c r="BA661" s="166">
        <v>0</v>
      </c>
      <c r="BB661" s="166">
        <v>0</v>
      </c>
      <c r="BC661" s="166">
        <v>0</v>
      </c>
      <c r="BD661" s="166">
        <v>0</v>
      </c>
      <c r="BE661" s="166">
        <v>0</v>
      </c>
      <c r="BF661" s="166">
        <v>0</v>
      </c>
      <c r="BG661" s="166">
        <v>6</v>
      </c>
      <c r="BH661" s="166">
        <v>0</v>
      </c>
      <c r="BI661" s="166">
        <v>0</v>
      </c>
      <c r="BJ661" s="166">
        <v>0</v>
      </c>
      <c r="BK661" s="166">
        <v>0</v>
      </c>
      <c r="BL661" s="166">
        <v>0</v>
      </c>
      <c r="BM661" s="166">
        <v>0</v>
      </c>
      <c r="BN661" s="166">
        <v>0</v>
      </c>
      <c r="BO661" s="166">
        <v>0</v>
      </c>
      <c r="BP661" s="166">
        <v>0</v>
      </c>
      <c r="BQ661" s="81" t="s">
        <v>1758</v>
      </c>
      <c r="BZ661" s="81" t="s">
        <v>155</v>
      </c>
      <c r="CA661" s="81" t="s">
        <v>3976</v>
      </c>
      <c r="CC661" s="167">
        <v>0</v>
      </c>
      <c r="CD661" s="167">
        <f>N661</f>
        <v>14</v>
      </c>
      <c r="CE661" s="167">
        <v>0</v>
      </c>
      <c r="CF661" s="167">
        <v>0</v>
      </c>
      <c r="CG661" s="167">
        <v>0</v>
      </c>
      <c r="CH661" s="167">
        <v>0</v>
      </c>
      <c r="CI661" s="167">
        <v>0</v>
      </c>
      <c r="CJ661" s="167">
        <v>0</v>
      </c>
      <c r="CK661" s="167">
        <v>0</v>
      </c>
      <c r="CL661" s="167">
        <v>0</v>
      </c>
      <c r="CM661" s="167">
        <v>0</v>
      </c>
      <c r="CN661" s="167">
        <v>0</v>
      </c>
      <c r="CO661" s="167">
        <v>0</v>
      </c>
      <c r="CP661" s="167">
        <v>0</v>
      </c>
      <c r="CQ661" s="167">
        <v>0</v>
      </c>
      <c r="CR661" s="167">
        <v>0</v>
      </c>
      <c r="CS661" s="167">
        <v>0</v>
      </c>
      <c r="CT661" s="167">
        <v>0</v>
      </c>
      <c r="CU661" s="167">
        <v>0</v>
      </c>
      <c r="CV661" s="167">
        <v>0</v>
      </c>
      <c r="CW661" s="167">
        <v>0</v>
      </c>
      <c r="CX661" s="167">
        <f>SUM(CD661:CH661)</f>
        <v>14</v>
      </c>
      <c r="CY661" s="167">
        <f>SUM(CD661:CM661)</f>
        <v>14</v>
      </c>
    </row>
    <row r="662" spans="1:103" ht="12.75" customHeight="1" x14ac:dyDescent="0.2">
      <c r="A662" s="81">
        <v>6363</v>
      </c>
      <c r="B662" s="165" t="s">
        <v>1908</v>
      </c>
      <c r="C662" s="165" t="s">
        <v>1717</v>
      </c>
      <c r="E662" s="165" t="s">
        <v>3652</v>
      </c>
      <c r="F662" s="165" t="s">
        <v>1719</v>
      </c>
      <c r="G662" s="81">
        <v>526647</v>
      </c>
      <c r="H662" s="81">
        <v>173996</v>
      </c>
      <c r="I662" s="165" t="s">
        <v>260</v>
      </c>
      <c r="J662" s="349">
        <v>42979</v>
      </c>
      <c r="L662" s="166">
        <v>0</v>
      </c>
      <c r="M662" s="166">
        <v>4</v>
      </c>
      <c r="N662" s="166">
        <v>4</v>
      </c>
      <c r="O662" s="166">
        <v>18</v>
      </c>
      <c r="P662" s="166">
        <v>18</v>
      </c>
      <c r="Q662" s="81" t="s">
        <v>155</v>
      </c>
      <c r="R662" s="165" t="s">
        <v>1718</v>
      </c>
      <c r="S662" s="81" t="s">
        <v>104</v>
      </c>
      <c r="T662" s="349">
        <v>42614</v>
      </c>
      <c r="U662" s="349">
        <v>42899</v>
      </c>
      <c r="V662" s="81" t="s">
        <v>155</v>
      </c>
      <c r="W662" s="81" t="s">
        <v>114</v>
      </c>
      <c r="Y662" s="81" t="s">
        <v>115</v>
      </c>
      <c r="Z662" s="81" t="s">
        <v>116</v>
      </c>
      <c r="AA662" s="81" t="s">
        <v>116</v>
      </c>
      <c r="AB662" s="81" t="s">
        <v>117</v>
      </c>
      <c r="AC662" s="166">
        <v>8.2999996840953799E-2</v>
      </c>
      <c r="AD662" s="349">
        <v>42979</v>
      </c>
      <c r="AE662" s="81" t="s">
        <v>155</v>
      </c>
      <c r="AG662" s="81" t="s">
        <v>74</v>
      </c>
      <c r="AH662" s="81" t="s">
        <v>1913</v>
      </c>
      <c r="AI662" s="81" t="s">
        <v>3653</v>
      </c>
      <c r="AK662" s="166">
        <v>0</v>
      </c>
      <c r="AL662" s="166">
        <v>4</v>
      </c>
      <c r="AM662" s="166">
        <v>0</v>
      </c>
      <c r="AO662" s="166">
        <v>0</v>
      </c>
      <c r="AP662" s="166">
        <v>1</v>
      </c>
      <c r="AQ662" s="166">
        <v>2</v>
      </c>
      <c r="AR662" s="166">
        <v>1</v>
      </c>
      <c r="AS662" s="166">
        <v>0</v>
      </c>
      <c r="AT662" s="166">
        <v>0</v>
      </c>
      <c r="AU662" s="166">
        <v>0</v>
      </c>
      <c r="AV662" s="166">
        <v>0</v>
      </c>
      <c r="AW662" s="166">
        <v>1</v>
      </c>
      <c r="AX662" s="166">
        <v>2</v>
      </c>
      <c r="AY662" s="166">
        <v>1</v>
      </c>
      <c r="AZ662" s="166">
        <v>0</v>
      </c>
      <c r="BA662" s="166">
        <v>0</v>
      </c>
      <c r="BB662" s="166">
        <v>0</v>
      </c>
      <c r="BC662" s="166">
        <v>0</v>
      </c>
      <c r="BD662" s="166">
        <v>0</v>
      </c>
      <c r="BE662" s="166">
        <v>0</v>
      </c>
      <c r="BF662" s="166">
        <v>0</v>
      </c>
      <c r="BG662" s="166">
        <v>0</v>
      </c>
      <c r="BH662" s="166">
        <v>0</v>
      </c>
      <c r="BI662" s="166">
        <v>0</v>
      </c>
      <c r="BJ662" s="166">
        <v>0</v>
      </c>
      <c r="BK662" s="166">
        <v>0</v>
      </c>
      <c r="BL662" s="166">
        <v>0</v>
      </c>
      <c r="BM662" s="166">
        <v>0</v>
      </c>
      <c r="BN662" s="166">
        <v>0</v>
      </c>
      <c r="BO662" s="166">
        <v>0</v>
      </c>
      <c r="BP662" s="166">
        <v>0</v>
      </c>
      <c r="BQ662" s="81" t="s">
        <v>1758</v>
      </c>
      <c r="BZ662" s="81" t="s">
        <v>155</v>
      </c>
      <c r="CA662" s="81" t="s">
        <v>3976</v>
      </c>
      <c r="CC662" s="167">
        <v>0</v>
      </c>
      <c r="CD662" s="167">
        <f>N662</f>
        <v>4</v>
      </c>
      <c r="CE662" s="167">
        <v>0</v>
      </c>
      <c r="CF662" s="167">
        <v>0</v>
      </c>
      <c r="CG662" s="167">
        <v>0</v>
      </c>
      <c r="CH662" s="167">
        <v>0</v>
      </c>
      <c r="CI662" s="167">
        <v>0</v>
      </c>
      <c r="CJ662" s="167">
        <v>0</v>
      </c>
      <c r="CK662" s="167">
        <v>0</v>
      </c>
      <c r="CL662" s="167">
        <v>0</v>
      </c>
      <c r="CM662" s="167">
        <v>0</v>
      </c>
      <c r="CN662" s="167">
        <v>0</v>
      </c>
      <c r="CO662" s="167">
        <v>0</v>
      </c>
      <c r="CP662" s="167">
        <v>0</v>
      </c>
      <c r="CQ662" s="167">
        <v>0</v>
      </c>
      <c r="CR662" s="167">
        <v>0</v>
      </c>
      <c r="CS662" s="167">
        <v>0</v>
      </c>
      <c r="CT662" s="167">
        <v>0</v>
      </c>
      <c r="CU662" s="167">
        <v>0</v>
      </c>
      <c r="CV662" s="167">
        <v>0</v>
      </c>
      <c r="CW662" s="167">
        <v>0</v>
      </c>
      <c r="CX662" s="167">
        <f>SUM(CD662:CH662)</f>
        <v>4</v>
      </c>
      <c r="CY662" s="167">
        <f>SUM(CD662:CM662)</f>
        <v>4</v>
      </c>
    </row>
    <row r="663" spans="1:103" ht="12.75" customHeight="1" x14ac:dyDescent="0.2">
      <c r="A663" s="81">
        <v>6371</v>
      </c>
      <c r="B663" s="165" t="s">
        <v>1908</v>
      </c>
      <c r="C663" s="165" t="s">
        <v>1479</v>
      </c>
      <c r="E663" s="165" t="s">
        <v>3668</v>
      </c>
      <c r="G663" s="81">
        <v>525949</v>
      </c>
      <c r="H663" s="81">
        <v>174999</v>
      </c>
      <c r="I663" s="165" t="s">
        <v>251</v>
      </c>
      <c r="J663" s="349">
        <v>43190</v>
      </c>
      <c r="L663" s="166">
        <v>0</v>
      </c>
      <c r="M663" s="166">
        <v>3</v>
      </c>
      <c r="N663" s="166">
        <v>3</v>
      </c>
      <c r="O663" s="166">
        <v>3</v>
      </c>
      <c r="P663" s="166">
        <v>3</v>
      </c>
      <c r="R663" s="165" t="s">
        <v>1480</v>
      </c>
      <c r="S663" s="81" t="s">
        <v>113</v>
      </c>
      <c r="T663" s="349">
        <v>42683</v>
      </c>
      <c r="U663" s="349">
        <v>42823</v>
      </c>
      <c r="W663" s="81" t="s">
        <v>114</v>
      </c>
      <c r="Y663" s="81" t="s">
        <v>115</v>
      </c>
      <c r="Z663" s="81" t="s">
        <v>398</v>
      </c>
      <c r="AA663" s="81" t="s">
        <v>117</v>
      </c>
      <c r="AB663" s="81" t="s">
        <v>399</v>
      </c>
      <c r="AC663" s="166">
        <v>7.0000002160668399E-3</v>
      </c>
      <c r="AD663" s="349">
        <v>43190</v>
      </c>
      <c r="AE663" s="81" t="s">
        <v>155</v>
      </c>
      <c r="AG663" s="81" t="s">
        <v>238</v>
      </c>
      <c r="AH663" s="81" t="s">
        <v>118</v>
      </c>
      <c r="AK663" s="166">
        <v>0</v>
      </c>
      <c r="AM663" s="166">
        <v>0</v>
      </c>
      <c r="AO663" s="166">
        <v>0</v>
      </c>
      <c r="AP663" s="166">
        <v>1</v>
      </c>
      <c r="AQ663" s="166">
        <v>1</v>
      </c>
      <c r="AR663" s="166">
        <v>1</v>
      </c>
      <c r="AS663" s="166">
        <v>0</v>
      </c>
      <c r="AT663" s="166">
        <v>0</v>
      </c>
      <c r="AU663" s="166">
        <v>0</v>
      </c>
      <c r="AV663" s="166">
        <v>0</v>
      </c>
      <c r="AW663" s="166">
        <v>1</v>
      </c>
      <c r="AX663" s="166">
        <v>1</v>
      </c>
      <c r="AY663" s="166">
        <v>1</v>
      </c>
      <c r="AZ663" s="166">
        <v>0</v>
      </c>
      <c r="BA663" s="166">
        <v>0</v>
      </c>
      <c r="BB663" s="166">
        <v>0</v>
      </c>
      <c r="BC663" s="166">
        <v>0</v>
      </c>
      <c r="BD663" s="166">
        <v>0</v>
      </c>
      <c r="BE663" s="166">
        <v>0</v>
      </c>
      <c r="BF663" s="166">
        <v>0</v>
      </c>
      <c r="BG663" s="166">
        <v>0</v>
      </c>
      <c r="BH663" s="166">
        <v>0</v>
      </c>
      <c r="BI663" s="166">
        <v>0</v>
      </c>
      <c r="BJ663" s="166">
        <v>0</v>
      </c>
      <c r="BK663" s="166">
        <v>0</v>
      </c>
      <c r="BL663" s="166">
        <v>0</v>
      </c>
      <c r="BM663" s="166">
        <v>0</v>
      </c>
      <c r="BN663" s="166">
        <v>0</v>
      </c>
      <c r="BO663" s="166">
        <v>0</v>
      </c>
      <c r="BP663" s="166">
        <v>0</v>
      </c>
      <c r="BQ663" s="81" t="s">
        <v>1758</v>
      </c>
      <c r="BZ663" s="81" t="s">
        <v>155</v>
      </c>
      <c r="CA663" s="81" t="s">
        <v>3981</v>
      </c>
      <c r="CC663" s="167">
        <v>0</v>
      </c>
      <c r="CD663" s="167">
        <f>$N663/2</f>
        <v>1.5</v>
      </c>
      <c r="CE663" s="167">
        <f>$N663/2</f>
        <v>1.5</v>
      </c>
      <c r="CF663" s="167">
        <v>0</v>
      </c>
      <c r="CG663" s="167">
        <v>0</v>
      </c>
      <c r="CH663" s="167">
        <v>0</v>
      </c>
      <c r="CI663" s="167">
        <v>0</v>
      </c>
      <c r="CJ663" s="167">
        <v>0</v>
      </c>
      <c r="CK663" s="167">
        <v>0</v>
      </c>
      <c r="CL663" s="167">
        <v>0</v>
      </c>
      <c r="CM663" s="167">
        <v>0</v>
      </c>
      <c r="CN663" s="167">
        <v>0</v>
      </c>
      <c r="CO663" s="167">
        <v>0</v>
      </c>
      <c r="CP663" s="167">
        <v>0</v>
      </c>
      <c r="CQ663" s="167">
        <v>0</v>
      </c>
      <c r="CR663" s="167">
        <v>0</v>
      </c>
      <c r="CS663" s="167">
        <v>0</v>
      </c>
      <c r="CT663" s="167">
        <v>0</v>
      </c>
      <c r="CU663" s="167">
        <v>0</v>
      </c>
      <c r="CV663" s="167">
        <v>0</v>
      </c>
      <c r="CW663" s="167">
        <v>0</v>
      </c>
      <c r="CX663" s="167">
        <f>SUM(CD663:CH663)</f>
        <v>3</v>
      </c>
      <c r="CY663" s="167">
        <f>SUM(CD663:CM663)</f>
        <v>3</v>
      </c>
    </row>
    <row r="664" spans="1:103" ht="12.75" customHeight="1" x14ac:dyDescent="0.2">
      <c r="A664" s="81">
        <v>6371</v>
      </c>
      <c r="B664" s="165" t="s">
        <v>1908</v>
      </c>
      <c r="C664" s="165" t="s">
        <v>1481</v>
      </c>
      <c r="E664" s="165" t="s">
        <v>3668</v>
      </c>
      <c r="G664" s="81">
        <v>525949</v>
      </c>
      <c r="H664" s="81">
        <v>174999</v>
      </c>
      <c r="I664" s="165" t="s">
        <v>251</v>
      </c>
      <c r="J664" s="349">
        <v>43190</v>
      </c>
      <c r="L664" s="166">
        <v>0</v>
      </c>
      <c r="M664" s="166">
        <v>1</v>
      </c>
      <c r="N664" s="166">
        <v>1</v>
      </c>
      <c r="O664" s="166">
        <v>1</v>
      </c>
      <c r="P664" s="166">
        <v>1</v>
      </c>
      <c r="R664" s="165" t="s">
        <v>1482</v>
      </c>
      <c r="S664" s="81" t="s">
        <v>110</v>
      </c>
      <c r="T664" s="349">
        <v>42683</v>
      </c>
      <c r="U664" s="349">
        <v>42739</v>
      </c>
      <c r="W664" s="81" t="s">
        <v>114</v>
      </c>
      <c r="Y664" s="81" t="s">
        <v>115</v>
      </c>
      <c r="Z664" s="81" t="s">
        <v>310</v>
      </c>
      <c r="AA664" s="81" t="s">
        <v>117</v>
      </c>
      <c r="AB664" s="81" t="s">
        <v>399</v>
      </c>
      <c r="AC664" s="166">
        <v>7.0000002160668399E-3</v>
      </c>
      <c r="AD664" s="349">
        <v>43190</v>
      </c>
      <c r="AE664" s="81" t="s">
        <v>155</v>
      </c>
      <c r="AG664" s="81" t="s">
        <v>238</v>
      </c>
      <c r="AH664" s="81" t="s">
        <v>118</v>
      </c>
      <c r="AK664" s="166">
        <v>0</v>
      </c>
      <c r="AM664" s="166">
        <v>0</v>
      </c>
      <c r="AO664" s="166">
        <v>0</v>
      </c>
      <c r="AP664" s="166">
        <v>1</v>
      </c>
      <c r="AQ664" s="166">
        <v>0</v>
      </c>
      <c r="AR664" s="166">
        <v>0</v>
      </c>
      <c r="AS664" s="166">
        <v>0</v>
      </c>
      <c r="AT664" s="166">
        <v>0</v>
      </c>
      <c r="AU664" s="166">
        <v>0</v>
      </c>
      <c r="AV664" s="166">
        <v>0</v>
      </c>
      <c r="AW664" s="166">
        <v>1</v>
      </c>
      <c r="AX664" s="166">
        <v>0</v>
      </c>
      <c r="AY664" s="166">
        <v>0</v>
      </c>
      <c r="AZ664" s="166">
        <v>0</v>
      </c>
      <c r="BA664" s="166">
        <v>0</v>
      </c>
      <c r="BB664" s="166">
        <v>0</v>
      </c>
      <c r="BC664" s="166">
        <v>0</v>
      </c>
      <c r="BD664" s="166">
        <v>0</v>
      </c>
      <c r="BE664" s="166">
        <v>0</v>
      </c>
      <c r="BF664" s="166">
        <v>0</v>
      </c>
      <c r="BG664" s="166">
        <v>0</v>
      </c>
      <c r="BH664" s="166">
        <v>0</v>
      </c>
      <c r="BI664" s="166">
        <v>0</v>
      </c>
      <c r="BJ664" s="166">
        <v>0</v>
      </c>
      <c r="BK664" s="166">
        <v>0</v>
      </c>
      <c r="BL664" s="166">
        <v>0</v>
      </c>
      <c r="BM664" s="166">
        <v>0</v>
      </c>
      <c r="BN664" s="166">
        <v>0</v>
      </c>
      <c r="BO664" s="166">
        <v>0</v>
      </c>
      <c r="BP664" s="166">
        <v>0</v>
      </c>
      <c r="BQ664" s="81" t="s">
        <v>1758</v>
      </c>
      <c r="BZ664" s="81" t="s">
        <v>155</v>
      </c>
      <c r="CA664" s="81" t="s">
        <v>3981</v>
      </c>
      <c r="CC664" s="167">
        <v>0</v>
      </c>
      <c r="CD664" s="167">
        <f>$N664/2</f>
        <v>0.5</v>
      </c>
      <c r="CE664" s="167">
        <f>$N664/2</f>
        <v>0.5</v>
      </c>
      <c r="CF664" s="167">
        <v>0</v>
      </c>
      <c r="CG664" s="167">
        <v>0</v>
      </c>
      <c r="CH664" s="167">
        <v>0</v>
      </c>
      <c r="CI664" s="167">
        <v>0</v>
      </c>
      <c r="CJ664" s="167">
        <v>0</v>
      </c>
      <c r="CK664" s="167">
        <v>0</v>
      </c>
      <c r="CL664" s="167">
        <v>0</v>
      </c>
      <c r="CM664" s="167">
        <v>0</v>
      </c>
      <c r="CN664" s="167">
        <v>0</v>
      </c>
      <c r="CO664" s="167">
        <v>0</v>
      </c>
      <c r="CP664" s="167">
        <v>0</v>
      </c>
      <c r="CQ664" s="167">
        <v>0</v>
      </c>
      <c r="CR664" s="167">
        <v>0</v>
      </c>
      <c r="CS664" s="167">
        <v>0</v>
      </c>
      <c r="CT664" s="167">
        <v>0</v>
      </c>
      <c r="CU664" s="167">
        <v>0</v>
      </c>
      <c r="CV664" s="167">
        <v>0</v>
      </c>
      <c r="CW664" s="167">
        <v>0</v>
      </c>
      <c r="CX664" s="167">
        <f>SUM(CD664:CH664)</f>
        <v>1</v>
      </c>
      <c r="CY664" s="167">
        <f>SUM(CD664:CM664)</f>
        <v>1</v>
      </c>
    </row>
    <row r="665" spans="1:103" x14ac:dyDescent="0.2">
      <c r="A665" s="81">
        <v>6375</v>
      </c>
      <c r="B665" s="165" t="s">
        <v>1908</v>
      </c>
      <c r="C665" s="165" t="s">
        <v>1366</v>
      </c>
      <c r="E665" s="165" t="s">
        <v>3248</v>
      </c>
      <c r="G665" s="81">
        <v>523565</v>
      </c>
      <c r="H665" s="81">
        <v>175816</v>
      </c>
      <c r="I665" s="165" t="s">
        <v>259</v>
      </c>
      <c r="J665" s="349">
        <v>42983</v>
      </c>
      <c r="L665" s="166">
        <v>1</v>
      </c>
      <c r="M665" s="166">
        <v>2</v>
      </c>
      <c r="N665" s="166">
        <v>1</v>
      </c>
      <c r="O665" s="166">
        <v>2</v>
      </c>
      <c r="P665" s="166">
        <v>1</v>
      </c>
      <c r="R665" s="165" t="s">
        <v>1367</v>
      </c>
      <c r="S665" s="81" t="s">
        <v>513</v>
      </c>
      <c r="T665" s="349">
        <v>42583</v>
      </c>
      <c r="U665" s="349">
        <v>42660</v>
      </c>
      <c r="W665" s="81" t="s">
        <v>114</v>
      </c>
      <c r="Y665" s="81" t="s">
        <v>115</v>
      </c>
      <c r="Z665" s="81" t="s">
        <v>310</v>
      </c>
      <c r="AA665" s="81" t="s">
        <v>117</v>
      </c>
      <c r="AB665" s="81" t="s">
        <v>298</v>
      </c>
      <c r="AC665" s="166">
        <v>7.0000002160668399E-3</v>
      </c>
      <c r="AD665" s="349">
        <v>42983</v>
      </c>
      <c r="AE665" s="81" t="s">
        <v>155</v>
      </c>
      <c r="AG665" s="81" t="s">
        <v>238</v>
      </c>
      <c r="AH665" s="81" t="s">
        <v>118</v>
      </c>
      <c r="AK665" s="166">
        <v>0</v>
      </c>
      <c r="AM665" s="166">
        <v>0</v>
      </c>
      <c r="AO665" s="166">
        <v>0</v>
      </c>
      <c r="AP665" s="166">
        <v>0</v>
      </c>
      <c r="AQ665" s="166">
        <v>2</v>
      </c>
      <c r="AR665" s="166">
        <v>0</v>
      </c>
      <c r="AS665" s="166">
        <v>0</v>
      </c>
      <c r="AT665" s="166">
        <v>-1</v>
      </c>
      <c r="AU665" s="166">
        <v>0</v>
      </c>
      <c r="AV665" s="166">
        <v>0</v>
      </c>
      <c r="AW665" s="166">
        <v>0</v>
      </c>
      <c r="AX665" s="166">
        <v>2</v>
      </c>
      <c r="AY665" s="166">
        <v>0</v>
      </c>
      <c r="AZ665" s="166">
        <v>0</v>
      </c>
      <c r="BA665" s="166">
        <v>-1</v>
      </c>
      <c r="BB665" s="166">
        <v>0</v>
      </c>
      <c r="BC665" s="166">
        <v>0</v>
      </c>
      <c r="BD665" s="166">
        <v>0</v>
      </c>
      <c r="BE665" s="166">
        <v>0</v>
      </c>
      <c r="BF665" s="166">
        <v>0</v>
      </c>
      <c r="BG665" s="166">
        <v>0</v>
      </c>
      <c r="BH665" s="166">
        <v>0</v>
      </c>
      <c r="BI665" s="166">
        <v>0</v>
      </c>
      <c r="BJ665" s="166">
        <v>0</v>
      </c>
      <c r="BK665" s="166">
        <v>0</v>
      </c>
      <c r="BL665" s="166">
        <v>0</v>
      </c>
      <c r="BM665" s="166">
        <v>0</v>
      </c>
      <c r="BN665" s="166">
        <v>0</v>
      </c>
      <c r="BO665" s="166">
        <v>0</v>
      </c>
      <c r="BP665" s="166">
        <v>0</v>
      </c>
      <c r="BQ665" s="81" t="s">
        <v>1758</v>
      </c>
      <c r="BZ665" s="81" t="s">
        <v>155</v>
      </c>
      <c r="CA665" s="81" t="s">
        <v>3980</v>
      </c>
      <c r="CC665" s="167">
        <v>0</v>
      </c>
      <c r="CD665" s="167">
        <f>N665</f>
        <v>1</v>
      </c>
      <c r="CE665" s="167">
        <v>0</v>
      </c>
      <c r="CF665" s="167">
        <v>0</v>
      </c>
      <c r="CG665" s="167">
        <v>0</v>
      </c>
      <c r="CH665" s="167">
        <v>0</v>
      </c>
      <c r="CI665" s="167">
        <v>0</v>
      </c>
      <c r="CJ665" s="167">
        <v>0</v>
      </c>
      <c r="CK665" s="167">
        <v>0</v>
      </c>
      <c r="CL665" s="167">
        <v>0</v>
      </c>
      <c r="CM665" s="167">
        <v>0</v>
      </c>
      <c r="CN665" s="167">
        <v>0</v>
      </c>
      <c r="CO665" s="167">
        <v>0</v>
      </c>
      <c r="CP665" s="167">
        <v>0</v>
      </c>
      <c r="CQ665" s="167">
        <v>0</v>
      </c>
      <c r="CR665" s="167">
        <v>0</v>
      </c>
      <c r="CS665" s="167">
        <v>0</v>
      </c>
      <c r="CT665" s="167">
        <v>0</v>
      </c>
      <c r="CU665" s="167">
        <v>0</v>
      </c>
      <c r="CV665" s="167">
        <v>0</v>
      </c>
      <c r="CW665" s="167">
        <v>0</v>
      </c>
      <c r="CX665" s="167">
        <f>SUM(CD665:CH665)</f>
        <v>1</v>
      </c>
      <c r="CY665" s="167">
        <f>SUM(CD665:CM665)</f>
        <v>1</v>
      </c>
    </row>
    <row r="666" spans="1:103" ht="12.75" customHeight="1" x14ac:dyDescent="0.2">
      <c r="A666" s="81">
        <v>6386</v>
      </c>
      <c r="B666" s="165" t="s">
        <v>1908</v>
      </c>
      <c r="C666" s="165" t="s">
        <v>3655</v>
      </c>
      <c r="E666" s="165" t="s">
        <v>3656</v>
      </c>
      <c r="G666" s="81">
        <v>528405</v>
      </c>
      <c r="H666" s="81">
        <v>175607</v>
      </c>
      <c r="I666" s="165" t="s">
        <v>256</v>
      </c>
      <c r="J666" s="349">
        <v>43190</v>
      </c>
      <c r="L666" s="166">
        <v>0</v>
      </c>
      <c r="M666" s="166">
        <v>4</v>
      </c>
      <c r="N666" s="166">
        <v>4</v>
      </c>
      <c r="O666" s="166">
        <v>4</v>
      </c>
      <c r="P666" s="166">
        <v>4</v>
      </c>
      <c r="R666" s="165" t="s">
        <v>3657</v>
      </c>
      <c r="S666" s="81" t="s">
        <v>113</v>
      </c>
      <c r="T666" s="349">
        <v>42905</v>
      </c>
      <c r="U666" s="349">
        <v>42978</v>
      </c>
      <c r="V666" s="81" t="s">
        <v>155</v>
      </c>
      <c r="W666" s="81" t="s">
        <v>114</v>
      </c>
      <c r="Y666" s="81" t="s">
        <v>115</v>
      </c>
      <c r="Z666" s="81" t="s">
        <v>116</v>
      </c>
      <c r="AA666" s="81" t="s">
        <v>117</v>
      </c>
      <c r="AB666" s="81" t="s">
        <v>218</v>
      </c>
      <c r="AC666" s="166">
        <v>1.7000000923872001E-2</v>
      </c>
      <c r="AD666" s="349">
        <v>43190</v>
      </c>
      <c r="AE666" s="81" t="s">
        <v>155</v>
      </c>
      <c r="AG666" s="81" t="s">
        <v>238</v>
      </c>
      <c r="AH666" s="81" t="s">
        <v>118</v>
      </c>
      <c r="AK666" s="166">
        <v>0</v>
      </c>
      <c r="AM666" s="166">
        <v>0</v>
      </c>
      <c r="AO666" s="166">
        <v>0</v>
      </c>
      <c r="AP666" s="166">
        <v>1</v>
      </c>
      <c r="AQ666" s="166">
        <v>3</v>
      </c>
      <c r="AR666" s="166">
        <v>0</v>
      </c>
      <c r="AS666" s="166">
        <v>0</v>
      </c>
      <c r="AT666" s="166">
        <v>0</v>
      </c>
      <c r="AU666" s="166">
        <v>0</v>
      </c>
      <c r="AV666" s="166">
        <v>0</v>
      </c>
      <c r="AW666" s="166">
        <v>1</v>
      </c>
      <c r="AX666" s="166">
        <v>3</v>
      </c>
      <c r="AY666" s="166">
        <v>0</v>
      </c>
      <c r="AZ666" s="166">
        <v>0</v>
      </c>
      <c r="BA666" s="166">
        <v>0</v>
      </c>
      <c r="BB666" s="166">
        <v>0</v>
      </c>
      <c r="BC666" s="166">
        <v>0</v>
      </c>
      <c r="BD666" s="166">
        <v>0</v>
      </c>
      <c r="BE666" s="166">
        <v>0</v>
      </c>
      <c r="BF666" s="166">
        <v>0</v>
      </c>
      <c r="BG666" s="166">
        <v>0</v>
      </c>
      <c r="BH666" s="166">
        <v>0</v>
      </c>
      <c r="BI666" s="166">
        <v>0</v>
      </c>
      <c r="BJ666" s="166">
        <v>0</v>
      </c>
      <c r="BK666" s="166">
        <v>0</v>
      </c>
      <c r="BL666" s="166">
        <v>0</v>
      </c>
      <c r="BM666" s="166">
        <v>0</v>
      </c>
      <c r="BN666" s="166">
        <v>0</v>
      </c>
      <c r="BO666" s="166">
        <v>0</v>
      </c>
      <c r="BP666" s="166">
        <v>0</v>
      </c>
      <c r="BQ666" s="81" t="s">
        <v>1757</v>
      </c>
      <c r="BZ666" s="81" t="s">
        <v>155</v>
      </c>
      <c r="CA666" s="81" t="s">
        <v>3977</v>
      </c>
      <c r="CC666" s="167">
        <v>0</v>
      </c>
      <c r="CD666" s="167">
        <f>$N666/2</f>
        <v>2</v>
      </c>
      <c r="CE666" s="167">
        <f>$N666/2</f>
        <v>2</v>
      </c>
      <c r="CF666" s="167">
        <v>0</v>
      </c>
      <c r="CG666" s="167">
        <v>0</v>
      </c>
      <c r="CH666" s="167">
        <v>0</v>
      </c>
      <c r="CI666" s="167">
        <v>0</v>
      </c>
      <c r="CJ666" s="167">
        <v>0</v>
      </c>
      <c r="CK666" s="167">
        <v>0</v>
      </c>
      <c r="CL666" s="167">
        <v>0</v>
      </c>
      <c r="CM666" s="167">
        <v>0</v>
      </c>
      <c r="CN666" s="167">
        <v>0</v>
      </c>
      <c r="CO666" s="167">
        <v>0</v>
      </c>
      <c r="CP666" s="167">
        <v>0</v>
      </c>
      <c r="CQ666" s="167">
        <v>0</v>
      </c>
      <c r="CR666" s="167">
        <v>0</v>
      </c>
      <c r="CS666" s="167">
        <v>0</v>
      </c>
      <c r="CT666" s="167">
        <v>0</v>
      </c>
      <c r="CU666" s="167">
        <v>0</v>
      </c>
      <c r="CV666" s="167">
        <v>0</v>
      </c>
      <c r="CW666" s="167">
        <v>0</v>
      </c>
      <c r="CX666" s="167">
        <f>SUM(CD666:CH666)</f>
        <v>4</v>
      </c>
      <c r="CY666" s="167">
        <f>SUM(CD666:CM666)</f>
        <v>4</v>
      </c>
    </row>
    <row r="667" spans="1:103" ht="12.75" customHeight="1" x14ac:dyDescent="0.2">
      <c r="A667" s="81">
        <v>6398</v>
      </c>
      <c r="B667" s="165" t="s">
        <v>1908</v>
      </c>
      <c r="C667" s="165" t="s">
        <v>3670</v>
      </c>
      <c r="E667" s="165" t="s">
        <v>3671</v>
      </c>
      <c r="G667" s="81">
        <v>527962</v>
      </c>
      <c r="H667" s="81">
        <v>170754</v>
      </c>
      <c r="I667" s="165" t="s">
        <v>253</v>
      </c>
      <c r="J667" s="349">
        <v>42874</v>
      </c>
      <c r="L667" s="166">
        <v>3</v>
      </c>
      <c r="M667" s="166">
        <v>6</v>
      </c>
      <c r="N667" s="166">
        <v>3</v>
      </c>
      <c r="O667" s="166">
        <v>6</v>
      </c>
      <c r="P667" s="166">
        <v>3</v>
      </c>
      <c r="R667" s="165" t="s">
        <v>3672</v>
      </c>
      <c r="S667" s="81" t="s">
        <v>113</v>
      </c>
      <c r="T667" s="349">
        <v>42894</v>
      </c>
      <c r="U667" s="349">
        <v>42950</v>
      </c>
      <c r="V667" s="81" t="s">
        <v>155</v>
      </c>
      <c r="W667" s="81" t="s">
        <v>114</v>
      </c>
      <c r="Y667" s="81" t="s">
        <v>115</v>
      </c>
      <c r="Z667" s="81" t="s">
        <v>398</v>
      </c>
      <c r="AA667" s="81" t="s">
        <v>117</v>
      </c>
      <c r="AB667" s="81" t="s">
        <v>220</v>
      </c>
      <c r="AC667" s="166">
        <v>2.3000000044703501E-2</v>
      </c>
      <c r="AD667" s="349">
        <v>42874</v>
      </c>
      <c r="AE667" s="81" t="s">
        <v>155</v>
      </c>
      <c r="AG667" s="81" t="s">
        <v>238</v>
      </c>
      <c r="AH667" s="81" t="s">
        <v>118</v>
      </c>
      <c r="AK667" s="166">
        <v>0</v>
      </c>
      <c r="AM667" s="166">
        <v>0</v>
      </c>
      <c r="AO667" s="166">
        <v>0</v>
      </c>
      <c r="AP667" s="166">
        <v>-1</v>
      </c>
      <c r="AQ667" s="166">
        <v>4</v>
      </c>
      <c r="AR667" s="166">
        <v>0</v>
      </c>
      <c r="AS667" s="166">
        <v>0</v>
      </c>
      <c r="AT667" s="166">
        <v>0</v>
      </c>
      <c r="AU667" s="166">
        <v>0</v>
      </c>
      <c r="AV667" s="166">
        <v>0</v>
      </c>
      <c r="AW667" s="166">
        <v>-1</v>
      </c>
      <c r="AX667" s="166">
        <v>4</v>
      </c>
      <c r="AY667" s="166">
        <v>0</v>
      </c>
      <c r="AZ667" s="166">
        <v>0</v>
      </c>
      <c r="BA667" s="166">
        <v>0</v>
      </c>
      <c r="BB667" s="166">
        <v>0</v>
      </c>
      <c r="BC667" s="166">
        <v>0</v>
      </c>
      <c r="BD667" s="166">
        <v>0</v>
      </c>
      <c r="BE667" s="166">
        <v>0</v>
      </c>
      <c r="BF667" s="166">
        <v>0</v>
      </c>
      <c r="BG667" s="166">
        <v>0</v>
      </c>
      <c r="BH667" s="166">
        <v>0</v>
      </c>
      <c r="BI667" s="166">
        <v>0</v>
      </c>
      <c r="BJ667" s="166">
        <v>0</v>
      </c>
      <c r="BK667" s="166">
        <v>0</v>
      </c>
      <c r="BL667" s="166">
        <v>0</v>
      </c>
      <c r="BM667" s="166">
        <v>0</v>
      </c>
      <c r="BN667" s="166">
        <v>0</v>
      </c>
      <c r="BO667" s="166">
        <v>0</v>
      </c>
      <c r="BP667" s="166">
        <v>0</v>
      </c>
      <c r="BQ667" s="81" t="s">
        <v>1757</v>
      </c>
      <c r="BZ667" s="81" t="s">
        <v>155</v>
      </c>
      <c r="CA667" s="81" t="s">
        <v>3980</v>
      </c>
      <c r="CC667" s="167">
        <v>0</v>
      </c>
      <c r="CD667" s="167">
        <f>N667</f>
        <v>3</v>
      </c>
      <c r="CE667" s="167">
        <v>0</v>
      </c>
      <c r="CF667" s="167">
        <v>0</v>
      </c>
      <c r="CG667" s="167">
        <v>0</v>
      </c>
      <c r="CH667" s="167">
        <v>0</v>
      </c>
      <c r="CI667" s="167">
        <v>0</v>
      </c>
      <c r="CJ667" s="167">
        <v>0</v>
      </c>
      <c r="CK667" s="167">
        <v>0</v>
      </c>
      <c r="CL667" s="167">
        <v>0</v>
      </c>
      <c r="CM667" s="167">
        <v>0</v>
      </c>
      <c r="CN667" s="167">
        <v>0</v>
      </c>
      <c r="CO667" s="167">
        <v>0</v>
      </c>
      <c r="CP667" s="167">
        <v>0</v>
      </c>
      <c r="CQ667" s="167">
        <v>0</v>
      </c>
      <c r="CR667" s="167">
        <v>0</v>
      </c>
      <c r="CS667" s="167">
        <v>0</v>
      </c>
      <c r="CT667" s="167">
        <v>0</v>
      </c>
      <c r="CU667" s="167">
        <v>0</v>
      </c>
      <c r="CV667" s="167">
        <v>0</v>
      </c>
      <c r="CW667" s="167">
        <v>0</v>
      </c>
      <c r="CX667" s="167">
        <f>SUM(CD667:CH667)</f>
        <v>3</v>
      </c>
      <c r="CY667" s="167">
        <f>SUM(CD667:CM667)</f>
        <v>3</v>
      </c>
    </row>
    <row r="668" spans="1:103" ht="12.75" customHeight="1" x14ac:dyDescent="0.2">
      <c r="A668" s="81">
        <v>6399</v>
      </c>
      <c r="B668" s="165" t="s">
        <v>1908</v>
      </c>
      <c r="C668" s="165" t="s">
        <v>1707</v>
      </c>
      <c r="E668" s="165" t="s">
        <v>3673</v>
      </c>
      <c r="G668" s="81">
        <v>527919</v>
      </c>
      <c r="H668" s="81">
        <v>172496</v>
      </c>
      <c r="I668" s="165" t="s">
        <v>254</v>
      </c>
      <c r="J668" s="349">
        <v>42837</v>
      </c>
      <c r="L668" s="166">
        <v>1</v>
      </c>
      <c r="M668" s="166">
        <v>3</v>
      </c>
      <c r="N668" s="166">
        <v>2</v>
      </c>
      <c r="O668" s="166">
        <v>3</v>
      </c>
      <c r="P668" s="166">
        <v>2</v>
      </c>
      <c r="R668" s="165" t="s">
        <v>1708</v>
      </c>
      <c r="S668" s="81" t="s">
        <v>113</v>
      </c>
      <c r="T668" s="349">
        <v>42654</v>
      </c>
      <c r="U668" s="349">
        <v>42753</v>
      </c>
      <c r="W668" s="81" t="s">
        <v>114</v>
      </c>
      <c r="Y668" s="81" t="s">
        <v>115</v>
      </c>
      <c r="Z668" s="81" t="s">
        <v>398</v>
      </c>
      <c r="AA668" s="81" t="s">
        <v>117</v>
      </c>
      <c r="AB668" s="81" t="s">
        <v>120</v>
      </c>
      <c r="AC668" s="166">
        <v>1.7999999225139601E-2</v>
      </c>
      <c r="AD668" s="349">
        <v>42837</v>
      </c>
      <c r="AE668" s="81" t="s">
        <v>155</v>
      </c>
      <c r="AG668" s="81" t="s">
        <v>238</v>
      </c>
      <c r="AH668" s="81" t="s">
        <v>118</v>
      </c>
      <c r="AK668" s="166">
        <v>0</v>
      </c>
      <c r="AM668" s="166">
        <v>0</v>
      </c>
      <c r="AO668" s="166">
        <v>0</v>
      </c>
      <c r="AP668" s="166">
        <v>2</v>
      </c>
      <c r="AQ668" s="166">
        <v>0</v>
      </c>
      <c r="AR668" s="166">
        <v>1</v>
      </c>
      <c r="AS668" s="166">
        <v>-1</v>
      </c>
      <c r="AT668" s="166">
        <v>0</v>
      </c>
      <c r="AU668" s="166">
        <v>0</v>
      </c>
      <c r="AV668" s="166">
        <v>0</v>
      </c>
      <c r="AW668" s="166">
        <v>2</v>
      </c>
      <c r="AX668" s="166">
        <v>0</v>
      </c>
      <c r="AY668" s="166">
        <v>1</v>
      </c>
      <c r="AZ668" s="166">
        <v>0</v>
      </c>
      <c r="BA668" s="166">
        <v>0</v>
      </c>
      <c r="BB668" s="166">
        <v>0</v>
      </c>
      <c r="BC668" s="166">
        <v>0</v>
      </c>
      <c r="BD668" s="166">
        <v>0</v>
      </c>
      <c r="BE668" s="166">
        <v>0</v>
      </c>
      <c r="BF668" s="166">
        <v>0</v>
      </c>
      <c r="BG668" s="166">
        <v>-1</v>
      </c>
      <c r="BH668" s="166">
        <v>0</v>
      </c>
      <c r="BI668" s="166">
        <v>0</v>
      </c>
      <c r="BJ668" s="166">
        <v>0</v>
      </c>
      <c r="BK668" s="166">
        <v>0</v>
      </c>
      <c r="BL668" s="166">
        <v>0</v>
      </c>
      <c r="BM668" s="166">
        <v>0</v>
      </c>
      <c r="BN668" s="166">
        <v>0</v>
      </c>
      <c r="BO668" s="166">
        <v>0</v>
      </c>
      <c r="BP668" s="166">
        <v>0</v>
      </c>
      <c r="BQ668" s="81" t="s">
        <v>1757</v>
      </c>
      <c r="BZ668" s="81" t="s">
        <v>155</v>
      </c>
      <c r="CA668" s="81" t="s">
        <v>3980</v>
      </c>
      <c r="CC668" s="167">
        <v>0</v>
      </c>
      <c r="CD668" s="167">
        <f>N668</f>
        <v>2</v>
      </c>
      <c r="CE668" s="167">
        <v>0</v>
      </c>
      <c r="CF668" s="167">
        <v>0</v>
      </c>
      <c r="CG668" s="167">
        <v>0</v>
      </c>
      <c r="CH668" s="167">
        <v>0</v>
      </c>
      <c r="CI668" s="167">
        <v>0</v>
      </c>
      <c r="CJ668" s="167">
        <v>0</v>
      </c>
      <c r="CK668" s="167">
        <v>0</v>
      </c>
      <c r="CL668" s="167">
        <v>0</v>
      </c>
      <c r="CM668" s="167">
        <v>0</v>
      </c>
      <c r="CN668" s="167">
        <v>0</v>
      </c>
      <c r="CO668" s="167">
        <v>0</v>
      </c>
      <c r="CP668" s="167">
        <v>0</v>
      </c>
      <c r="CQ668" s="167">
        <v>0</v>
      </c>
      <c r="CR668" s="167">
        <v>0</v>
      </c>
      <c r="CS668" s="167">
        <v>0</v>
      </c>
      <c r="CT668" s="167">
        <v>0</v>
      </c>
      <c r="CU668" s="167">
        <v>0</v>
      </c>
      <c r="CV668" s="167">
        <v>0</v>
      </c>
      <c r="CW668" s="167">
        <v>0</v>
      </c>
      <c r="CX668" s="167">
        <f>SUM(CD668:CH668)</f>
        <v>2</v>
      </c>
      <c r="CY668" s="167">
        <f>SUM(CD668:CM668)</f>
        <v>2</v>
      </c>
    </row>
    <row r="669" spans="1:103" x14ac:dyDescent="0.2">
      <c r="A669" s="81">
        <v>6400</v>
      </c>
      <c r="B669" s="165" t="s">
        <v>1908</v>
      </c>
      <c r="C669" s="165" t="s">
        <v>3674</v>
      </c>
      <c r="E669" s="165" t="s">
        <v>3675</v>
      </c>
      <c r="G669" s="81">
        <v>529268</v>
      </c>
      <c r="H669" s="81">
        <v>171015</v>
      </c>
      <c r="I669" s="165" t="s">
        <v>252</v>
      </c>
      <c r="J669" s="349">
        <v>43190</v>
      </c>
      <c r="L669" s="166">
        <v>0</v>
      </c>
      <c r="M669" s="166">
        <v>3</v>
      </c>
      <c r="N669" s="166">
        <v>3</v>
      </c>
      <c r="O669" s="166">
        <v>4</v>
      </c>
      <c r="P669" s="166">
        <v>4</v>
      </c>
      <c r="R669" s="165" t="s">
        <v>3676</v>
      </c>
      <c r="S669" s="81" t="s">
        <v>113</v>
      </c>
      <c r="T669" s="349">
        <v>42851</v>
      </c>
      <c r="U669" s="349">
        <v>43006</v>
      </c>
      <c r="V669" s="81" t="s">
        <v>155</v>
      </c>
      <c r="W669" s="81" t="s">
        <v>114</v>
      </c>
      <c r="Y669" s="81" t="s">
        <v>115</v>
      </c>
      <c r="Z669" s="81" t="s">
        <v>398</v>
      </c>
      <c r="AA669" s="81" t="s">
        <v>117</v>
      </c>
      <c r="AB669" s="81" t="s">
        <v>218</v>
      </c>
      <c r="AC669" s="166">
        <v>1.30000002682209E-2</v>
      </c>
      <c r="AD669" s="349">
        <v>43190</v>
      </c>
      <c r="AE669" s="81" t="s">
        <v>155</v>
      </c>
      <c r="AG669" s="81" t="s">
        <v>238</v>
      </c>
      <c r="AH669" s="81" t="s">
        <v>118</v>
      </c>
      <c r="AK669" s="166">
        <v>3</v>
      </c>
      <c r="AM669" s="166">
        <v>0</v>
      </c>
      <c r="AO669" s="166">
        <v>0</v>
      </c>
      <c r="AP669" s="166">
        <v>2</v>
      </c>
      <c r="AQ669" s="166">
        <v>1</v>
      </c>
      <c r="AR669" s="166">
        <v>0</v>
      </c>
      <c r="AS669" s="166">
        <v>0</v>
      </c>
      <c r="AT669" s="166">
        <v>0</v>
      </c>
      <c r="AU669" s="166">
        <v>0</v>
      </c>
      <c r="AV669" s="166">
        <v>0</v>
      </c>
      <c r="AW669" s="166">
        <v>2</v>
      </c>
      <c r="AX669" s="166">
        <v>1</v>
      </c>
      <c r="AY669" s="166">
        <v>0</v>
      </c>
      <c r="AZ669" s="166">
        <v>0</v>
      </c>
      <c r="BA669" s="166">
        <v>0</v>
      </c>
      <c r="BB669" s="166">
        <v>0</v>
      </c>
      <c r="BC669" s="166">
        <v>0</v>
      </c>
      <c r="BD669" s="166">
        <v>0</v>
      </c>
      <c r="BE669" s="166">
        <v>0</v>
      </c>
      <c r="BF669" s="166">
        <v>0</v>
      </c>
      <c r="BG669" s="166">
        <v>0</v>
      </c>
      <c r="BH669" s="166">
        <v>0</v>
      </c>
      <c r="BI669" s="166">
        <v>0</v>
      </c>
      <c r="BJ669" s="166">
        <v>0</v>
      </c>
      <c r="BK669" s="166">
        <v>0</v>
      </c>
      <c r="BL669" s="166">
        <v>0</v>
      </c>
      <c r="BM669" s="166">
        <v>0</v>
      </c>
      <c r="BN669" s="166">
        <v>0</v>
      </c>
      <c r="BO669" s="166">
        <v>0</v>
      </c>
      <c r="BP669" s="166">
        <v>0</v>
      </c>
      <c r="BQ669" s="81" t="s">
        <v>1757</v>
      </c>
      <c r="BZ669" s="81" t="s">
        <v>155</v>
      </c>
      <c r="CA669" s="81" t="s">
        <v>3981</v>
      </c>
      <c r="CC669" s="167">
        <v>0</v>
      </c>
      <c r="CD669" s="167">
        <f>$N669/2</f>
        <v>1.5</v>
      </c>
      <c r="CE669" s="167">
        <f>$N669/2</f>
        <v>1.5</v>
      </c>
      <c r="CF669" s="167">
        <v>0</v>
      </c>
      <c r="CG669" s="167">
        <v>0</v>
      </c>
      <c r="CH669" s="167">
        <v>0</v>
      </c>
      <c r="CI669" s="167">
        <v>0</v>
      </c>
      <c r="CJ669" s="167">
        <v>0</v>
      </c>
      <c r="CK669" s="167">
        <v>0</v>
      </c>
      <c r="CL669" s="167">
        <v>0</v>
      </c>
      <c r="CM669" s="167">
        <v>0</v>
      </c>
      <c r="CN669" s="167">
        <v>0</v>
      </c>
      <c r="CO669" s="167">
        <v>0</v>
      </c>
      <c r="CP669" s="167">
        <v>0</v>
      </c>
      <c r="CQ669" s="167">
        <v>0</v>
      </c>
      <c r="CR669" s="167">
        <v>0</v>
      </c>
      <c r="CS669" s="167">
        <v>0</v>
      </c>
      <c r="CT669" s="167">
        <v>0</v>
      </c>
      <c r="CU669" s="167">
        <v>0</v>
      </c>
      <c r="CV669" s="167">
        <v>0</v>
      </c>
      <c r="CW669" s="167">
        <v>0</v>
      </c>
      <c r="CX669" s="167">
        <f>SUM(CD669:CH669)</f>
        <v>3</v>
      </c>
      <c r="CY669" s="167">
        <f>SUM(CD669:CM669)</f>
        <v>3</v>
      </c>
    </row>
    <row r="670" spans="1:103" ht="12.75" customHeight="1" x14ac:dyDescent="0.2">
      <c r="A670" s="81">
        <v>6400</v>
      </c>
      <c r="B670" s="165" t="s">
        <v>1908</v>
      </c>
      <c r="C670" s="165" t="s">
        <v>3674</v>
      </c>
      <c r="E670" s="165" t="s">
        <v>3675</v>
      </c>
      <c r="G670" s="81">
        <v>529268</v>
      </c>
      <c r="H670" s="81">
        <v>171015</v>
      </c>
      <c r="I670" s="165" t="s">
        <v>252</v>
      </c>
      <c r="J670" s="349">
        <v>43190</v>
      </c>
      <c r="L670" s="166">
        <v>0</v>
      </c>
      <c r="M670" s="166">
        <v>1</v>
      </c>
      <c r="N670" s="166">
        <v>1</v>
      </c>
      <c r="O670" s="166">
        <v>4</v>
      </c>
      <c r="P670" s="166">
        <v>4</v>
      </c>
      <c r="R670" s="165" t="s">
        <v>3676</v>
      </c>
      <c r="S670" s="81" t="s">
        <v>113</v>
      </c>
      <c r="T670" s="349">
        <v>42851</v>
      </c>
      <c r="U670" s="349">
        <v>43006</v>
      </c>
      <c r="V670" s="81" t="s">
        <v>155</v>
      </c>
      <c r="W670" s="81" t="s">
        <v>114</v>
      </c>
      <c r="Y670" s="81" t="s">
        <v>115</v>
      </c>
      <c r="Z670" s="81" t="s">
        <v>398</v>
      </c>
      <c r="AA670" s="81" t="s">
        <v>117</v>
      </c>
      <c r="AB670" s="81" t="s">
        <v>102</v>
      </c>
      <c r="AC670" s="166">
        <v>6.0000000521540598E-3</v>
      </c>
      <c r="AD670" s="349">
        <v>43190</v>
      </c>
      <c r="AE670" s="81" t="s">
        <v>155</v>
      </c>
      <c r="AG670" s="81" t="s">
        <v>238</v>
      </c>
      <c r="AH670" s="81" t="s">
        <v>118</v>
      </c>
      <c r="AK670" s="166">
        <v>1</v>
      </c>
      <c r="AM670" s="166">
        <v>0</v>
      </c>
      <c r="AO670" s="166">
        <v>0</v>
      </c>
      <c r="AP670" s="166">
        <v>0</v>
      </c>
      <c r="AQ670" s="166">
        <v>1</v>
      </c>
      <c r="AR670" s="166">
        <v>0</v>
      </c>
      <c r="AS670" s="166">
        <v>0</v>
      </c>
      <c r="AT670" s="166">
        <v>0</v>
      </c>
      <c r="AU670" s="166">
        <v>0</v>
      </c>
      <c r="AV670" s="166">
        <v>0</v>
      </c>
      <c r="AW670" s="166">
        <v>0</v>
      </c>
      <c r="AX670" s="166">
        <v>1</v>
      </c>
      <c r="AY670" s="166">
        <v>0</v>
      </c>
      <c r="AZ670" s="166">
        <v>0</v>
      </c>
      <c r="BA670" s="166">
        <v>0</v>
      </c>
      <c r="BB670" s="166">
        <v>0</v>
      </c>
      <c r="BC670" s="166">
        <v>0</v>
      </c>
      <c r="BD670" s="166">
        <v>0</v>
      </c>
      <c r="BE670" s="166">
        <v>0</v>
      </c>
      <c r="BF670" s="166">
        <v>0</v>
      </c>
      <c r="BG670" s="166">
        <v>0</v>
      </c>
      <c r="BH670" s="166">
        <v>0</v>
      </c>
      <c r="BI670" s="166">
        <v>0</v>
      </c>
      <c r="BJ670" s="166">
        <v>0</v>
      </c>
      <c r="BK670" s="166">
        <v>0</v>
      </c>
      <c r="BL670" s="166">
        <v>0</v>
      </c>
      <c r="BM670" s="166">
        <v>0</v>
      </c>
      <c r="BN670" s="166">
        <v>0</v>
      </c>
      <c r="BO670" s="166">
        <v>0</v>
      </c>
      <c r="BP670" s="166">
        <v>0</v>
      </c>
      <c r="BQ670" s="81" t="s">
        <v>1757</v>
      </c>
      <c r="BZ670" s="81" t="s">
        <v>155</v>
      </c>
      <c r="CA670" s="81" t="s">
        <v>3981</v>
      </c>
      <c r="CC670" s="167">
        <v>0</v>
      </c>
      <c r="CD670" s="167">
        <f>$N670/2</f>
        <v>0.5</v>
      </c>
      <c r="CE670" s="167">
        <f>$N670/2</f>
        <v>0.5</v>
      </c>
      <c r="CF670" s="167">
        <v>0</v>
      </c>
      <c r="CG670" s="167">
        <v>0</v>
      </c>
      <c r="CH670" s="167">
        <v>0</v>
      </c>
      <c r="CI670" s="167">
        <v>0</v>
      </c>
      <c r="CJ670" s="167">
        <v>0</v>
      </c>
      <c r="CK670" s="167">
        <v>0</v>
      </c>
      <c r="CL670" s="167">
        <v>0</v>
      </c>
      <c r="CM670" s="167">
        <v>0</v>
      </c>
      <c r="CN670" s="167">
        <v>0</v>
      </c>
      <c r="CO670" s="167">
        <v>0</v>
      </c>
      <c r="CP670" s="167">
        <v>0</v>
      </c>
      <c r="CQ670" s="167">
        <v>0</v>
      </c>
      <c r="CR670" s="167">
        <v>0</v>
      </c>
      <c r="CS670" s="167">
        <v>0</v>
      </c>
      <c r="CT670" s="167">
        <v>0</v>
      </c>
      <c r="CU670" s="167">
        <v>0</v>
      </c>
      <c r="CV670" s="167">
        <v>0</v>
      </c>
      <c r="CW670" s="167">
        <v>0</v>
      </c>
      <c r="CX670" s="167">
        <f>SUM(CD670:CH670)</f>
        <v>1</v>
      </c>
      <c r="CY670" s="167">
        <f>SUM(CD670:CM670)</f>
        <v>1</v>
      </c>
    </row>
    <row r="671" spans="1:103" x14ac:dyDescent="0.2">
      <c r="A671" s="81">
        <v>6408</v>
      </c>
      <c r="B671" s="165" t="s">
        <v>1908</v>
      </c>
      <c r="C671" s="165" t="s">
        <v>1499</v>
      </c>
      <c r="E671" s="165" t="s">
        <v>3677</v>
      </c>
      <c r="G671" s="81">
        <v>523763</v>
      </c>
      <c r="H671" s="81">
        <v>175632</v>
      </c>
      <c r="I671" s="165" t="s">
        <v>259</v>
      </c>
      <c r="J671" s="349">
        <v>43190</v>
      </c>
      <c r="L671" s="166">
        <v>0</v>
      </c>
      <c r="M671" s="166">
        <v>1</v>
      </c>
      <c r="N671" s="166">
        <v>1</v>
      </c>
      <c r="O671" s="166">
        <v>1</v>
      </c>
      <c r="P671" s="166">
        <v>1</v>
      </c>
      <c r="R671" s="165" t="s">
        <v>1500</v>
      </c>
      <c r="S671" s="81" t="s">
        <v>113</v>
      </c>
      <c r="T671" s="349">
        <v>42712</v>
      </c>
      <c r="U671" s="349">
        <v>42768</v>
      </c>
      <c r="W671" s="81" t="s">
        <v>114</v>
      </c>
      <c r="Y671" s="81" t="s">
        <v>115</v>
      </c>
      <c r="Z671" s="81" t="s">
        <v>398</v>
      </c>
      <c r="AA671" s="81" t="s">
        <v>117</v>
      </c>
      <c r="AB671" s="81" t="s">
        <v>311</v>
      </c>
      <c r="AC671" s="166">
        <v>8.0000003799796104E-3</v>
      </c>
      <c r="AD671" s="349">
        <v>43190</v>
      </c>
      <c r="AE671" s="81" t="s">
        <v>155</v>
      </c>
      <c r="AG671" s="81" t="s">
        <v>238</v>
      </c>
      <c r="AH671" s="81" t="s">
        <v>118</v>
      </c>
      <c r="AK671" s="166">
        <v>0</v>
      </c>
      <c r="AM671" s="166">
        <v>0</v>
      </c>
      <c r="AO671" s="166">
        <v>0</v>
      </c>
      <c r="AP671" s="166">
        <v>0</v>
      </c>
      <c r="AQ671" s="166">
        <v>1</v>
      </c>
      <c r="AR671" s="166">
        <v>0</v>
      </c>
      <c r="AS671" s="166">
        <v>0</v>
      </c>
      <c r="AT671" s="166">
        <v>0</v>
      </c>
      <c r="AU671" s="166">
        <v>0</v>
      </c>
      <c r="AV671" s="166">
        <v>0</v>
      </c>
      <c r="AW671" s="166">
        <v>0</v>
      </c>
      <c r="AX671" s="166">
        <v>1</v>
      </c>
      <c r="AY671" s="166">
        <v>0</v>
      </c>
      <c r="AZ671" s="166">
        <v>0</v>
      </c>
      <c r="BA671" s="166">
        <v>0</v>
      </c>
      <c r="BB671" s="166">
        <v>0</v>
      </c>
      <c r="BC671" s="166">
        <v>0</v>
      </c>
      <c r="BD671" s="166">
        <v>0</v>
      </c>
      <c r="BE671" s="166">
        <v>0</v>
      </c>
      <c r="BF671" s="166">
        <v>0</v>
      </c>
      <c r="BG671" s="166">
        <v>0</v>
      </c>
      <c r="BH671" s="166">
        <v>0</v>
      </c>
      <c r="BI671" s="166">
        <v>0</v>
      </c>
      <c r="BJ671" s="166">
        <v>0</v>
      </c>
      <c r="BK671" s="166">
        <v>0</v>
      </c>
      <c r="BL671" s="166">
        <v>0</v>
      </c>
      <c r="BM671" s="166">
        <v>0</v>
      </c>
      <c r="BN671" s="166">
        <v>0</v>
      </c>
      <c r="BO671" s="166">
        <v>0</v>
      </c>
      <c r="BP671" s="166">
        <v>0</v>
      </c>
      <c r="BQ671" s="81" t="s">
        <v>1758</v>
      </c>
      <c r="BZ671" s="81" t="s">
        <v>155</v>
      </c>
      <c r="CA671" s="81" t="s">
        <v>3981</v>
      </c>
      <c r="CC671" s="167">
        <v>0</v>
      </c>
      <c r="CD671" s="167">
        <f>$N671/2</f>
        <v>0.5</v>
      </c>
      <c r="CE671" s="167">
        <f>$N671/2</f>
        <v>0.5</v>
      </c>
      <c r="CF671" s="167">
        <v>0</v>
      </c>
      <c r="CG671" s="167">
        <v>0</v>
      </c>
      <c r="CH671" s="167">
        <v>0</v>
      </c>
      <c r="CI671" s="167">
        <v>0</v>
      </c>
      <c r="CJ671" s="167">
        <v>0</v>
      </c>
      <c r="CK671" s="167">
        <v>0</v>
      </c>
      <c r="CL671" s="167">
        <v>0</v>
      </c>
      <c r="CM671" s="167">
        <v>0</v>
      </c>
      <c r="CN671" s="167">
        <v>0</v>
      </c>
      <c r="CO671" s="167">
        <v>0</v>
      </c>
      <c r="CP671" s="167">
        <v>0</v>
      </c>
      <c r="CQ671" s="167">
        <v>0</v>
      </c>
      <c r="CR671" s="167">
        <v>0</v>
      </c>
      <c r="CS671" s="167">
        <v>0</v>
      </c>
      <c r="CT671" s="167">
        <v>0</v>
      </c>
      <c r="CU671" s="167">
        <v>0</v>
      </c>
      <c r="CV671" s="167">
        <v>0</v>
      </c>
      <c r="CW671" s="167">
        <v>0</v>
      </c>
      <c r="CX671" s="167">
        <f>SUM(CD671:CH671)</f>
        <v>1</v>
      </c>
      <c r="CY671" s="167">
        <f>SUM(CD671:CM671)</f>
        <v>1</v>
      </c>
    </row>
    <row r="672" spans="1:103" ht="12.75" customHeight="1" x14ac:dyDescent="0.2">
      <c r="A672" s="81">
        <v>6412</v>
      </c>
      <c r="B672" s="165" t="s">
        <v>1908</v>
      </c>
      <c r="C672" s="165" t="s">
        <v>3678</v>
      </c>
      <c r="E672" s="165" t="s">
        <v>3679</v>
      </c>
      <c r="G672" s="81">
        <v>527972</v>
      </c>
      <c r="H672" s="81">
        <v>175255</v>
      </c>
      <c r="I672" s="165" t="s">
        <v>256</v>
      </c>
      <c r="J672" s="349">
        <v>42947</v>
      </c>
      <c r="L672" s="166">
        <v>1</v>
      </c>
      <c r="M672" s="166">
        <v>3</v>
      </c>
      <c r="N672" s="166">
        <v>2</v>
      </c>
      <c r="O672" s="166">
        <v>3</v>
      </c>
      <c r="P672" s="166">
        <v>2</v>
      </c>
      <c r="R672" s="165" t="s">
        <v>3680</v>
      </c>
      <c r="S672" s="81" t="s">
        <v>113</v>
      </c>
      <c r="T672" s="349">
        <v>42821</v>
      </c>
      <c r="U672" s="349">
        <v>42947</v>
      </c>
      <c r="V672" s="81" t="s">
        <v>155</v>
      </c>
      <c r="W672" s="81" t="s">
        <v>114</v>
      </c>
      <c r="Y672" s="81" t="s">
        <v>115</v>
      </c>
      <c r="Z672" s="81" t="s">
        <v>398</v>
      </c>
      <c r="AA672" s="81" t="s">
        <v>117</v>
      </c>
      <c r="AB672" s="81" t="s">
        <v>120</v>
      </c>
      <c r="AC672" s="166">
        <v>1.09999999403954E-2</v>
      </c>
      <c r="AD672" s="349">
        <v>42947</v>
      </c>
      <c r="AE672" s="81" t="s">
        <v>155</v>
      </c>
      <c r="AG672" s="81" t="s">
        <v>238</v>
      </c>
      <c r="AH672" s="81" t="s">
        <v>118</v>
      </c>
      <c r="AK672" s="166">
        <v>0</v>
      </c>
      <c r="AM672" s="166">
        <v>0</v>
      </c>
      <c r="AO672" s="166">
        <v>0</v>
      </c>
      <c r="AP672" s="166">
        <v>1</v>
      </c>
      <c r="AQ672" s="166">
        <v>1</v>
      </c>
      <c r="AR672" s="166">
        <v>1</v>
      </c>
      <c r="AS672" s="166">
        <v>0</v>
      </c>
      <c r="AT672" s="166">
        <v>-1</v>
      </c>
      <c r="AU672" s="166">
        <v>0</v>
      </c>
      <c r="AV672" s="166">
        <v>0</v>
      </c>
      <c r="AW672" s="166">
        <v>1</v>
      </c>
      <c r="AX672" s="166">
        <v>1</v>
      </c>
      <c r="AY672" s="166">
        <v>1</v>
      </c>
      <c r="AZ672" s="166">
        <v>0</v>
      </c>
      <c r="BA672" s="166">
        <v>0</v>
      </c>
      <c r="BB672" s="166">
        <v>0</v>
      </c>
      <c r="BC672" s="166">
        <v>0</v>
      </c>
      <c r="BD672" s="166">
        <v>0</v>
      </c>
      <c r="BE672" s="166">
        <v>0</v>
      </c>
      <c r="BF672" s="166">
        <v>0</v>
      </c>
      <c r="BG672" s="166">
        <v>0</v>
      </c>
      <c r="BH672" s="166">
        <v>-1</v>
      </c>
      <c r="BI672" s="166">
        <v>0</v>
      </c>
      <c r="BJ672" s="166">
        <v>0</v>
      </c>
      <c r="BK672" s="166">
        <v>0</v>
      </c>
      <c r="BL672" s="166">
        <v>0</v>
      </c>
      <c r="BM672" s="166">
        <v>0</v>
      </c>
      <c r="BN672" s="166">
        <v>0</v>
      </c>
      <c r="BO672" s="166">
        <v>0</v>
      </c>
      <c r="BP672" s="166">
        <v>0</v>
      </c>
      <c r="BQ672" s="81" t="s">
        <v>1757</v>
      </c>
      <c r="BZ672" s="81" t="s">
        <v>155</v>
      </c>
      <c r="CA672" s="81" t="s">
        <v>3980</v>
      </c>
      <c r="CC672" s="167">
        <v>0</v>
      </c>
      <c r="CD672" s="167">
        <f>N672</f>
        <v>2</v>
      </c>
      <c r="CE672" s="167">
        <v>0</v>
      </c>
      <c r="CF672" s="167">
        <v>0</v>
      </c>
      <c r="CG672" s="167">
        <v>0</v>
      </c>
      <c r="CH672" s="167">
        <v>0</v>
      </c>
      <c r="CI672" s="167">
        <v>0</v>
      </c>
      <c r="CJ672" s="167">
        <v>0</v>
      </c>
      <c r="CK672" s="167">
        <v>0</v>
      </c>
      <c r="CL672" s="167">
        <v>0</v>
      </c>
      <c r="CM672" s="167">
        <v>0</v>
      </c>
      <c r="CN672" s="167">
        <v>0</v>
      </c>
      <c r="CO672" s="167">
        <v>0</v>
      </c>
      <c r="CP672" s="167">
        <v>0</v>
      </c>
      <c r="CQ672" s="167">
        <v>0</v>
      </c>
      <c r="CR672" s="167">
        <v>0</v>
      </c>
      <c r="CS672" s="167">
        <v>0</v>
      </c>
      <c r="CT672" s="167">
        <v>0</v>
      </c>
      <c r="CU672" s="167">
        <v>0</v>
      </c>
      <c r="CV672" s="167">
        <v>0</v>
      </c>
      <c r="CW672" s="167">
        <v>0</v>
      </c>
      <c r="CX672" s="167">
        <f>SUM(CD672:CH672)</f>
        <v>2</v>
      </c>
      <c r="CY672" s="167">
        <f>SUM(CD672:CM672)</f>
        <v>2</v>
      </c>
    </row>
    <row r="673" spans="1:103" ht="12.75" customHeight="1" x14ac:dyDescent="0.2">
      <c r="A673" s="81">
        <v>6425</v>
      </c>
      <c r="B673" s="165" t="s">
        <v>1908</v>
      </c>
      <c r="C673" s="165" t="s">
        <v>1534</v>
      </c>
      <c r="E673" s="165" t="s">
        <v>3681</v>
      </c>
      <c r="G673" s="81">
        <v>528377</v>
      </c>
      <c r="H673" s="81">
        <v>172130</v>
      </c>
      <c r="I673" s="165" t="s">
        <v>248</v>
      </c>
      <c r="J673" s="349">
        <v>43190</v>
      </c>
      <c r="L673" s="166">
        <v>1</v>
      </c>
      <c r="M673" s="166">
        <v>3</v>
      </c>
      <c r="N673" s="166">
        <v>2</v>
      </c>
      <c r="O673" s="166">
        <v>3</v>
      </c>
      <c r="P673" s="166">
        <v>2</v>
      </c>
      <c r="R673" s="165" t="s">
        <v>1535</v>
      </c>
      <c r="S673" s="81" t="s">
        <v>113</v>
      </c>
      <c r="T673" s="349">
        <v>42765</v>
      </c>
      <c r="U673" s="349">
        <v>42821</v>
      </c>
      <c r="W673" s="81" t="s">
        <v>114</v>
      </c>
      <c r="Y673" s="81" t="s">
        <v>115</v>
      </c>
      <c r="Z673" s="81" t="s">
        <v>398</v>
      </c>
      <c r="AA673" s="81" t="s">
        <v>117</v>
      </c>
      <c r="AB673" s="81" t="s">
        <v>120</v>
      </c>
      <c r="AC673" s="166">
        <v>1.7000000923872001E-2</v>
      </c>
      <c r="AD673" s="349">
        <v>43190</v>
      </c>
      <c r="AE673" s="81" t="s">
        <v>155</v>
      </c>
      <c r="AG673" s="81" t="s">
        <v>238</v>
      </c>
      <c r="AH673" s="81" t="s">
        <v>118</v>
      </c>
      <c r="AK673" s="166">
        <v>0</v>
      </c>
      <c r="AM673" s="166">
        <v>0</v>
      </c>
      <c r="AO673" s="166">
        <v>0</v>
      </c>
      <c r="AP673" s="166">
        <v>1</v>
      </c>
      <c r="AQ673" s="166">
        <v>1</v>
      </c>
      <c r="AR673" s="166">
        <v>1</v>
      </c>
      <c r="AS673" s="166">
        <v>-1</v>
      </c>
      <c r="AT673" s="166">
        <v>0</v>
      </c>
      <c r="AU673" s="166">
        <v>0</v>
      </c>
      <c r="AV673" s="166">
        <v>0</v>
      </c>
      <c r="AW673" s="166">
        <v>1</v>
      </c>
      <c r="AX673" s="166">
        <v>1</v>
      </c>
      <c r="AY673" s="166">
        <v>1</v>
      </c>
      <c r="AZ673" s="166">
        <v>0</v>
      </c>
      <c r="BA673" s="166">
        <v>0</v>
      </c>
      <c r="BB673" s="166">
        <v>0</v>
      </c>
      <c r="BC673" s="166">
        <v>0</v>
      </c>
      <c r="BD673" s="166">
        <v>0</v>
      </c>
      <c r="BE673" s="166">
        <v>0</v>
      </c>
      <c r="BF673" s="166">
        <v>0</v>
      </c>
      <c r="BG673" s="166">
        <v>-1</v>
      </c>
      <c r="BH673" s="166">
        <v>0</v>
      </c>
      <c r="BI673" s="166">
        <v>0</v>
      </c>
      <c r="BJ673" s="166">
        <v>0</v>
      </c>
      <c r="BK673" s="166">
        <v>0</v>
      </c>
      <c r="BL673" s="166">
        <v>0</v>
      </c>
      <c r="BM673" s="166">
        <v>0</v>
      </c>
      <c r="BN673" s="166">
        <v>0</v>
      </c>
      <c r="BO673" s="166">
        <v>0</v>
      </c>
      <c r="BP673" s="166">
        <v>0</v>
      </c>
      <c r="BQ673" s="81" t="s">
        <v>1757</v>
      </c>
      <c r="BZ673" s="81" t="s">
        <v>155</v>
      </c>
      <c r="CA673" s="81" t="s">
        <v>3981</v>
      </c>
      <c r="CC673" s="167">
        <v>0</v>
      </c>
      <c r="CD673" s="167">
        <f>$N673/2</f>
        <v>1</v>
      </c>
      <c r="CE673" s="167">
        <f>$N673/2</f>
        <v>1</v>
      </c>
      <c r="CF673" s="167">
        <v>0</v>
      </c>
      <c r="CG673" s="167">
        <v>0</v>
      </c>
      <c r="CH673" s="167">
        <v>0</v>
      </c>
      <c r="CI673" s="167">
        <v>0</v>
      </c>
      <c r="CJ673" s="167">
        <v>0</v>
      </c>
      <c r="CK673" s="167">
        <v>0</v>
      </c>
      <c r="CL673" s="167">
        <v>0</v>
      </c>
      <c r="CM673" s="167">
        <v>0</v>
      </c>
      <c r="CN673" s="167">
        <v>0</v>
      </c>
      <c r="CO673" s="167">
        <v>0</v>
      </c>
      <c r="CP673" s="167">
        <v>0</v>
      </c>
      <c r="CQ673" s="167">
        <v>0</v>
      </c>
      <c r="CR673" s="167">
        <v>0</v>
      </c>
      <c r="CS673" s="167">
        <v>0</v>
      </c>
      <c r="CT673" s="167">
        <v>0</v>
      </c>
      <c r="CU673" s="167">
        <v>0</v>
      </c>
      <c r="CV673" s="167">
        <v>0</v>
      </c>
      <c r="CW673" s="167">
        <v>0</v>
      </c>
      <c r="CX673" s="167">
        <f>SUM(CD673:CH673)</f>
        <v>2</v>
      </c>
      <c r="CY673" s="167">
        <f>SUM(CD673:CM673)</f>
        <v>2</v>
      </c>
    </row>
    <row r="674" spans="1:103" ht="12.75" customHeight="1" x14ac:dyDescent="0.2">
      <c r="A674" s="81">
        <v>6431</v>
      </c>
      <c r="B674" s="165" t="s">
        <v>1908</v>
      </c>
      <c r="C674" s="165" t="s">
        <v>1070</v>
      </c>
      <c r="E674" s="165" t="s">
        <v>3666</v>
      </c>
      <c r="G674" s="81">
        <v>524445</v>
      </c>
      <c r="H674" s="81">
        <v>174363</v>
      </c>
      <c r="I674" s="165" t="s">
        <v>250</v>
      </c>
      <c r="J674" s="349">
        <v>42825</v>
      </c>
      <c r="L674" s="166">
        <v>1</v>
      </c>
      <c r="M674" s="166">
        <v>9</v>
      </c>
      <c r="N674" s="166">
        <v>8</v>
      </c>
      <c r="O674" s="166">
        <v>9</v>
      </c>
      <c r="P674" s="166">
        <v>8</v>
      </c>
      <c r="R674" s="165" t="s">
        <v>1071</v>
      </c>
      <c r="S674" s="81" t="s">
        <v>113</v>
      </c>
      <c r="T674" s="349">
        <v>42663</v>
      </c>
      <c r="U674" s="349">
        <v>42818</v>
      </c>
      <c r="W674" s="81" t="s">
        <v>114</v>
      </c>
      <c r="Y674" s="81" t="s">
        <v>115</v>
      </c>
      <c r="Z674" s="81" t="s">
        <v>116</v>
      </c>
      <c r="AA674" s="81" t="s">
        <v>117</v>
      </c>
      <c r="AB674" s="81" t="s">
        <v>218</v>
      </c>
      <c r="AC674" s="166">
        <v>7.8000001609325395E-2</v>
      </c>
      <c r="AD674" s="349">
        <v>42825</v>
      </c>
      <c r="AG674" s="81" t="s">
        <v>238</v>
      </c>
      <c r="AH674" s="81" t="s">
        <v>118</v>
      </c>
      <c r="AK674" s="166">
        <v>0</v>
      </c>
      <c r="AM674" s="166">
        <v>0</v>
      </c>
      <c r="AO674" s="166">
        <v>0</v>
      </c>
      <c r="AP674" s="166">
        <v>1</v>
      </c>
      <c r="AQ674" s="166">
        <v>4</v>
      </c>
      <c r="AR674" s="166">
        <v>4</v>
      </c>
      <c r="AS674" s="166">
        <v>-1</v>
      </c>
      <c r="AT674" s="166">
        <v>0</v>
      </c>
      <c r="AU674" s="166">
        <v>0</v>
      </c>
      <c r="AV674" s="166">
        <v>0</v>
      </c>
      <c r="AW674" s="166">
        <v>1</v>
      </c>
      <c r="AX674" s="166">
        <v>4</v>
      </c>
      <c r="AY674" s="166">
        <v>4</v>
      </c>
      <c r="AZ674" s="166">
        <v>0</v>
      </c>
      <c r="BA674" s="166">
        <v>0</v>
      </c>
      <c r="BB674" s="166">
        <v>0</v>
      </c>
      <c r="BC674" s="166">
        <v>0</v>
      </c>
      <c r="BD674" s="166">
        <v>0</v>
      </c>
      <c r="BE674" s="166">
        <v>0</v>
      </c>
      <c r="BF674" s="166">
        <v>0</v>
      </c>
      <c r="BG674" s="166">
        <v>-1</v>
      </c>
      <c r="BH674" s="166">
        <v>0</v>
      </c>
      <c r="BI674" s="166">
        <v>0</v>
      </c>
      <c r="BJ674" s="166">
        <v>0</v>
      </c>
      <c r="BK674" s="166">
        <v>0</v>
      </c>
      <c r="BL674" s="166">
        <v>0</v>
      </c>
      <c r="BM674" s="166">
        <v>0</v>
      </c>
      <c r="BN674" s="166">
        <v>0</v>
      </c>
      <c r="BO674" s="166">
        <v>0</v>
      </c>
      <c r="BP674" s="166">
        <v>0</v>
      </c>
      <c r="BQ674" s="81" t="s">
        <v>1758</v>
      </c>
      <c r="BZ674" s="81" t="s">
        <v>155</v>
      </c>
      <c r="CA674" s="81" t="s">
        <v>3976</v>
      </c>
      <c r="CC674" s="167">
        <v>0</v>
      </c>
      <c r="CD674" s="167">
        <f>N674</f>
        <v>8</v>
      </c>
      <c r="CE674" s="167">
        <v>0</v>
      </c>
      <c r="CF674" s="167">
        <v>0</v>
      </c>
      <c r="CG674" s="167">
        <v>0</v>
      </c>
      <c r="CH674" s="167">
        <v>0</v>
      </c>
      <c r="CI674" s="167">
        <v>0</v>
      </c>
      <c r="CJ674" s="167">
        <v>0</v>
      </c>
      <c r="CK674" s="167">
        <v>0</v>
      </c>
      <c r="CL674" s="167">
        <v>0</v>
      </c>
      <c r="CM674" s="167">
        <v>0</v>
      </c>
      <c r="CN674" s="167">
        <v>0</v>
      </c>
      <c r="CO674" s="167">
        <v>0</v>
      </c>
      <c r="CP674" s="167">
        <v>0</v>
      </c>
      <c r="CQ674" s="167">
        <v>0</v>
      </c>
      <c r="CR674" s="167">
        <v>0</v>
      </c>
      <c r="CS674" s="167">
        <v>0</v>
      </c>
      <c r="CT674" s="167">
        <v>0</v>
      </c>
      <c r="CU674" s="167">
        <v>0</v>
      </c>
      <c r="CV674" s="167">
        <v>0</v>
      </c>
      <c r="CW674" s="167">
        <v>0</v>
      </c>
      <c r="CX674" s="167">
        <f>SUM(CD674:CH674)</f>
        <v>8</v>
      </c>
      <c r="CY674" s="167">
        <f>SUM(CD674:CM674)</f>
        <v>8</v>
      </c>
    </row>
    <row r="675" spans="1:103" ht="12.75" customHeight="1" x14ac:dyDescent="0.2">
      <c r="A675" s="81">
        <v>6432</v>
      </c>
      <c r="B675" s="165" t="s">
        <v>1908</v>
      </c>
      <c r="C675" s="165" t="s">
        <v>1489</v>
      </c>
      <c r="E675" s="165" t="s">
        <v>3669</v>
      </c>
      <c r="G675" s="81">
        <v>527816</v>
      </c>
      <c r="H675" s="81">
        <v>171144</v>
      </c>
      <c r="I675" s="165" t="s">
        <v>253</v>
      </c>
      <c r="J675" s="349">
        <v>42825</v>
      </c>
      <c r="L675" s="166">
        <v>0</v>
      </c>
      <c r="M675" s="166">
        <v>5</v>
      </c>
      <c r="N675" s="166">
        <v>5</v>
      </c>
      <c r="O675" s="166">
        <v>5</v>
      </c>
      <c r="P675" s="166">
        <v>5</v>
      </c>
      <c r="R675" s="165" t="s">
        <v>1490</v>
      </c>
      <c r="S675" s="81" t="s">
        <v>113</v>
      </c>
      <c r="T675" s="349">
        <v>42699</v>
      </c>
      <c r="U675" s="349">
        <v>42825</v>
      </c>
      <c r="W675" s="81" t="s">
        <v>114</v>
      </c>
      <c r="Y675" s="81" t="s">
        <v>115</v>
      </c>
      <c r="Z675" s="81" t="s">
        <v>116</v>
      </c>
      <c r="AA675" s="81" t="s">
        <v>117</v>
      </c>
      <c r="AB675" s="81" t="s">
        <v>218</v>
      </c>
      <c r="AC675" s="166">
        <v>2.70000007003546E-2</v>
      </c>
      <c r="AD675" s="349">
        <v>42826</v>
      </c>
      <c r="AE675" s="81" t="s">
        <v>155</v>
      </c>
      <c r="AG675" s="81" t="s">
        <v>238</v>
      </c>
      <c r="AH675" s="81" t="s">
        <v>118</v>
      </c>
      <c r="AK675" s="166">
        <v>0</v>
      </c>
      <c r="AM675" s="166">
        <v>5</v>
      </c>
      <c r="AO675" s="166">
        <v>0</v>
      </c>
      <c r="AP675" s="166">
        <v>5</v>
      </c>
      <c r="AQ675" s="166">
        <v>0</v>
      </c>
      <c r="AR675" s="166">
        <v>0</v>
      </c>
      <c r="AS675" s="166">
        <v>0</v>
      </c>
      <c r="AT675" s="166">
        <v>0</v>
      </c>
      <c r="AU675" s="166">
        <v>0</v>
      </c>
      <c r="AV675" s="166">
        <v>0</v>
      </c>
      <c r="AW675" s="166">
        <v>0</v>
      </c>
      <c r="AX675" s="166">
        <v>0</v>
      </c>
      <c r="AY675" s="166">
        <v>0</v>
      </c>
      <c r="AZ675" s="166">
        <v>0</v>
      </c>
      <c r="BA675" s="166">
        <v>0</v>
      </c>
      <c r="BB675" s="166">
        <v>0</v>
      </c>
      <c r="BC675" s="166">
        <v>0</v>
      </c>
      <c r="BD675" s="166">
        <v>5</v>
      </c>
      <c r="BE675" s="166">
        <v>0</v>
      </c>
      <c r="BF675" s="166">
        <v>0</v>
      </c>
      <c r="BG675" s="166">
        <v>0</v>
      </c>
      <c r="BH675" s="166">
        <v>0</v>
      </c>
      <c r="BI675" s="166">
        <v>0</v>
      </c>
      <c r="BJ675" s="166">
        <v>0</v>
      </c>
      <c r="BK675" s="166">
        <v>0</v>
      </c>
      <c r="BL675" s="166">
        <v>0</v>
      </c>
      <c r="BM675" s="166">
        <v>0</v>
      </c>
      <c r="BN675" s="166">
        <v>0</v>
      </c>
      <c r="BO675" s="166">
        <v>0</v>
      </c>
      <c r="BP675" s="166">
        <v>0</v>
      </c>
      <c r="BQ675" s="81" t="s">
        <v>1757</v>
      </c>
      <c r="BZ675" s="81" t="s">
        <v>155</v>
      </c>
      <c r="CA675" s="81" t="s">
        <v>3976</v>
      </c>
      <c r="CC675" s="167">
        <v>0</v>
      </c>
      <c r="CD675" s="167">
        <f>N675</f>
        <v>5</v>
      </c>
      <c r="CE675" s="167">
        <v>0</v>
      </c>
      <c r="CF675" s="167">
        <v>0</v>
      </c>
      <c r="CG675" s="167">
        <v>0</v>
      </c>
      <c r="CH675" s="167">
        <v>0</v>
      </c>
      <c r="CI675" s="167">
        <v>0</v>
      </c>
      <c r="CJ675" s="167">
        <v>0</v>
      </c>
      <c r="CK675" s="167">
        <v>0</v>
      </c>
      <c r="CL675" s="167">
        <v>0</v>
      </c>
      <c r="CM675" s="167">
        <v>0</v>
      </c>
      <c r="CN675" s="167">
        <v>0</v>
      </c>
      <c r="CO675" s="167">
        <v>0</v>
      </c>
      <c r="CP675" s="167">
        <v>0</v>
      </c>
      <c r="CQ675" s="167">
        <v>0</v>
      </c>
      <c r="CR675" s="167">
        <v>0</v>
      </c>
      <c r="CS675" s="167">
        <v>0</v>
      </c>
      <c r="CT675" s="167">
        <v>0</v>
      </c>
      <c r="CU675" s="167">
        <v>0</v>
      </c>
      <c r="CV675" s="167">
        <v>0</v>
      </c>
      <c r="CW675" s="167">
        <v>0</v>
      </c>
      <c r="CX675" s="167">
        <f>SUM(CD675:CH675)</f>
        <v>5</v>
      </c>
      <c r="CY675" s="167">
        <f>SUM(CD675:CM675)</f>
        <v>5</v>
      </c>
    </row>
    <row r="676" spans="1:103" x14ac:dyDescent="0.2">
      <c r="A676" s="81">
        <v>6433</v>
      </c>
      <c r="B676" s="165" t="s">
        <v>1908</v>
      </c>
      <c r="C676" s="165" t="s">
        <v>1511</v>
      </c>
      <c r="E676" s="165" t="s">
        <v>3682</v>
      </c>
      <c r="G676" s="81">
        <v>522309</v>
      </c>
      <c r="H676" s="81">
        <v>173207</v>
      </c>
      <c r="I676" s="165" t="s">
        <v>877</v>
      </c>
      <c r="J676" s="349">
        <v>43190</v>
      </c>
      <c r="L676" s="166">
        <v>1</v>
      </c>
      <c r="M676" s="166">
        <v>6</v>
      </c>
      <c r="N676" s="166">
        <v>5</v>
      </c>
      <c r="O676" s="166">
        <v>6</v>
      </c>
      <c r="P676" s="166">
        <v>5</v>
      </c>
      <c r="R676" s="165" t="s">
        <v>1512</v>
      </c>
      <c r="S676" s="81" t="s">
        <v>113</v>
      </c>
      <c r="T676" s="349">
        <v>42741</v>
      </c>
      <c r="U676" s="349">
        <v>42818</v>
      </c>
      <c r="W676" s="81" t="s">
        <v>114</v>
      </c>
      <c r="Y676" s="81" t="s">
        <v>115</v>
      </c>
      <c r="Z676" s="81" t="s">
        <v>116</v>
      </c>
      <c r="AA676" s="81" t="s">
        <v>117</v>
      </c>
      <c r="AB676" s="81" t="s">
        <v>218</v>
      </c>
      <c r="AC676" s="166">
        <v>3.20000015199184E-2</v>
      </c>
      <c r="AD676" s="349">
        <v>43190</v>
      </c>
      <c r="AE676" s="81" t="s">
        <v>155</v>
      </c>
      <c r="AG676" s="81" t="s">
        <v>238</v>
      </c>
      <c r="AH676" s="81" t="s">
        <v>118</v>
      </c>
      <c r="AK676" s="166">
        <v>0</v>
      </c>
      <c r="AM676" s="166">
        <v>0</v>
      </c>
      <c r="AO676" s="166">
        <v>0</v>
      </c>
      <c r="AP676" s="166">
        <v>3</v>
      </c>
      <c r="AQ676" s="166">
        <v>3</v>
      </c>
      <c r="AR676" s="166">
        <v>0</v>
      </c>
      <c r="AS676" s="166">
        <v>0</v>
      </c>
      <c r="AT676" s="166">
        <v>0</v>
      </c>
      <c r="AU676" s="166">
        <v>-1</v>
      </c>
      <c r="AV676" s="166">
        <v>0</v>
      </c>
      <c r="AW676" s="166">
        <v>3</v>
      </c>
      <c r="AX676" s="166">
        <v>3</v>
      </c>
      <c r="AY676" s="166">
        <v>0</v>
      </c>
      <c r="AZ676" s="166">
        <v>0</v>
      </c>
      <c r="BA676" s="166">
        <v>0</v>
      </c>
      <c r="BB676" s="166">
        <v>0</v>
      </c>
      <c r="BC676" s="166">
        <v>0</v>
      </c>
      <c r="BD676" s="166">
        <v>0</v>
      </c>
      <c r="BE676" s="166">
        <v>0</v>
      </c>
      <c r="BF676" s="166">
        <v>0</v>
      </c>
      <c r="BG676" s="166">
        <v>0</v>
      </c>
      <c r="BH676" s="166">
        <v>0</v>
      </c>
      <c r="BI676" s="166">
        <v>-1</v>
      </c>
      <c r="BJ676" s="166">
        <v>0</v>
      </c>
      <c r="BK676" s="166">
        <v>0</v>
      </c>
      <c r="BL676" s="166">
        <v>0</v>
      </c>
      <c r="BM676" s="166">
        <v>0</v>
      </c>
      <c r="BN676" s="166">
        <v>0</v>
      </c>
      <c r="BO676" s="166">
        <v>0</v>
      </c>
      <c r="BP676" s="166">
        <v>0</v>
      </c>
      <c r="BQ676" s="81" t="s">
        <v>1758</v>
      </c>
      <c r="BZ676" s="81" t="s">
        <v>155</v>
      </c>
      <c r="CA676" s="81" t="s">
        <v>3977</v>
      </c>
      <c r="CC676" s="167">
        <v>0</v>
      </c>
      <c r="CD676" s="167">
        <f>$N676/2</f>
        <v>2.5</v>
      </c>
      <c r="CE676" s="167">
        <f>$N676/2</f>
        <v>2.5</v>
      </c>
      <c r="CF676" s="167">
        <v>0</v>
      </c>
      <c r="CG676" s="167">
        <v>0</v>
      </c>
      <c r="CH676" s="167">
        <v>0</v>
      </c>
      <c r="CI676" s="167">
        <v>0</v>
      </c>
      <c r="CJ676" s="167">
        <v>0</v>
      </c>
      <c r="CK676" s="167">
        <v>0</v>
      </c>
      <c r="CL676" s="167">
        <v>0</v>
      </c>
      <c r="CM676" s="167">
        <v>0</v>
      </c>
      <c r="CN676" s="167">
        <v>0</v>
      </c>
      <c r="CO676" s="167">
        <v>0</v>
      </c>
      <c r="CP676" s="167">
        <v>0</v>
      </c>
      <c r="CQ676" s="167">
        <v>0</v>
      </c>
      <c r="CR676" s="167">
        <v>0</v>
      </c>
      <c r="CS676" s="167">
        <v>0</v>
      </c>
      <c r="CT676" s="167">
        <v>0</v>
      </c>
      <c r="CU676" s="167">
        <v>0</v>
      </c>
      <c r="CV676" s="167">
        <v>0</v>
      </c>
      <c r="CW676" s="167">
        <v>0</v>
      </c>
      <c r="CX676" s="167">
        <f>SUM(CD676:CH676)</f>
        <v>5</v>
      </c>
      <c r="CY676" s="167">
        <f>SUM(CD676:CM676)</f>
        <v>5</v>
      </c>
    </row>
    <row r="677" spans="1:103" x14ac:dyDescent="0.2">
      <c r="A677" s="81">
        <v>6485</v>
      </c>
      <c r="B677" s="165" t="s">
        <v>1908</v>
      </c>
      <c r="C677" s="165" t="s">
        <v>1657</v>
      </c>
      <c r="E677" s="165" t="s">
        <v>3685</v>
      </c>
      <c r="G677" s="81">
        <v>525849</v>
      </c>
      <c r="H677" s="81">
        <v>173219</v>
      </c>
      <c r="I677" s="165" t="s">
        <v>249</v>
      </c>
      <c r="J677" s="349">
        <v>43190</v>
      </c>
      <c r="L677" s="166">
        <v>2</v>
      </c>
      <c r="M677" s="166">
        <v>3</v>
      </c>
      <c r="N677" s="166">
        <v>1</v>
      </c>
      <c r="O677" s="166">
        <v>3</v>
      </c>
      <c r="P677" s="166">
        <v>1</v>
      </c>
      <c r="R677" s="165" t="s">
        <v>1658</v>
      </c>
      <c r="S677" s="81" t="s">
        <v>113</v>
      </c>
      <c r="T677" s="349">
        <v>42790</v>
      </c>
      <c r="U677" s="349">
        <v>42846</v>
      </c>
      <c r="V677" s="81" t="s">
        <v>155</v>
      </c>
      <c r="W677" s="81" t="s">
        <v>114</v>
      </c>
      <c r="Y677" s="81" t="s">
        <v>115</v>
      </c>
      <c r="Z677" s="81" t="s">
        <v>398</v>
      </c>
      <c r="AA677" s="81" t="s">
        <v>117</v>
      </c>
      <c r="AB677" s="81" t="s">
        <v>220</v>
      </c>
      <c r="AC677" s="166">
        <v>8.9999996125698107E-3</v>
      </c>
      <c r="AD677" s="350">
        <v>43190</v>
      </c>
      <c r="AG677" s="81" t="s">
        <v>238</v>
      </c>
      <c r="AH677" s="81" t="s">
        <v>118</v>
      </c>
      <c r="AK677" s="166">
        <v>0</v>
      </c>
      <c r="AM677" s="166">
        <v>0</v>
      </c>
      <c r="AO677" s="166">
        <v>1</v>
      </c>
      <c r="AP677" s="166">
        <v>0</v>
      </c>
      <c r="AQ677" s="166">
        <v>1</v>
      </c>
      <c r="AR677" s="166">
        <v>-1</v>
      </c>
      <c r="AS677" s="166">
        <v>0</v>
      </c>
      <c r="AT677" s="166">
        <v>0</v>
      </c>
      <c r="AU677" s="166">
        <v>0</v>
      </c>
      <c r="AV677" s="166">
        <v>1</v>
      </c>
      <c r="AW677" s="166">
        <v>0</v>
      </c>
      <c r="AX677" s="166">
        <v>1</v>
      </c>
      <c r="AY677" s="166">
        <v>-1</v>
      </c>
      <c r="AZ677" s="166">
        <v>0</v>
      </c>
      <c r="BA677" s="166">
        <v>0</v>
      </c>
      <c r="BB677" s="166">
        <v>0</v>
      </c>
      <c r="BC677" s="166">
        <v>0</v>
      </c>
      <c r="BD677" s="166">
        <v>0</v>
      </c>
      <c r="BE677" s="166">
        <v>0</v>
      </c>
      <c r="BF677" s="166">
        <v>0</v>
      </c>
      <c r="BG677" s="166">
        <v>0</v>
      </c>
      <c r="BH677" s="166">
        <v>0</v>
      </c>
      <c r="BI677" s="166">
        <v>0</v>
      </c>
      <c r="BJ677" s="166">
        <v>0</v>
      </c>
      <c r="BK677" s="166">
        <v>0</v>
      </c>
      <c r="BL677" s="166">
        <v>0</v>
      </c>
      <c r="BM677" s="166">
        <v>0</v>
      </c>
      <c r="BN677" s="166">
        <v>0</v>
      </c>
      <c r="BO677" s="166">
        <v>0</v>
      </c>
      <c r="BP677" s="166">
        <v>0</v>
      </c>
      <c r="BQ677" s="81" t="s">
        <v>1758</v>
      </c>
      <c r="BY677" s="81" t="s">
        <v>155</v>
      </c>
      <c r="BZ677" s="81" t="s">
        <v>155</v>
      </c>
      <c r="CA677" s="81" t="s">
        <v>3981</v>
      </c>
      <c r="CC677" s="167">
        <v>0</v>
      </c>
      <c r="CD677" s="167">
        <f>$N677/2</f>
        <v>0.5</v>
      </c>
      <c r="CE677" s="167">
        <f>$N677/2</f>
        <v>0.5</v>
      </c>
      <c r="CF677" s="167">
        <v>0</v>
      </c>
      <c r="CG677" s="167">
        <v>0</v>
      </c>
      <c r="CH677" s="167">
        <v>0</v>
      </c>
      <c r="CI677" s="167">
        <v>0</v>
      </c>
      <c r="CJ677" s="167">
        <v>0</v>
      </c>
      <c r="CK677" s="167">
        <v>0</v>
      </c>
      <c r="CL677" s="167">
        <v>0</v>
      </c>
      <c r="CM677" s="167">
        <v>0</v>
      </c>
      <c r="CN677" s="167">
        <v>0</v>
      </c>
      <c r="CO677" s="167">
        <v>0</v>
      </c>
      <c r="CP677" s="167">
        <v>0</v>
      </c>
      <c r="CQ677" s="167">
        <v>0</v>
      </c>
      <c r="CR677" s="167">
        <v>0</v>
      </c>
      <c r="CS677" s="167">
        <v>0</v>
      </c>
      <c r="CT677" s="167">
        <v>0</v>
      </c>
      <c r="CU677" s="167">
        <v>0</v>
      </c>
      <c r="CV677" s="167">
        <v>0</v>
      </c>
      <c r="CW677" s="167">
        <v>0</v>
      </c>
      <c r="CX677" s="167">
        <f>SUM(CD677:CH677)</f>
        <v>1</v>
      </c>
      <c r="CY677" s="167">
        <f>SUM(CD677:CM677)</f>
        <v>1</v>
      </c>
    </row>
    <row r="678" spans="1:103" ht="12.75" customHeight="1" x14ac:dyDescent="0.2">
      <c r="A678" s="81">
        <v>6486</v>
      </c>
      <c r="B678" s="165" t="s">
        <v>1908</v>
      </c>
      <c r="C678" s="165" t="s">
        <v>1640</v>
      </c>
      <c r="E678" s="165" t="s">
        <v>3686</v>
      </c>
      <c r="G678" s="81">
        <v>528829</v>
      </c>
      <c r="H678" s="81">
        <v>176973</v>
      </c>
      <c r="I678" s="165" t="s">
        <v>240</v>
      </c>
      <c r="J678" s="349">
        <v>42859</v>
      </c>
      <c r="L678" s="166">
        <v>0</v>
      </c>
      <c r="M678" s="166">
        <v>3</v>
      </c>
      <c r="N678" s="166">
        <v>3</v>
      </c>
      <c r="O678" s="166">
        <v>3</v>
      </c>
      <c r="P678" s="166">
        <v>3</v>
      </c>
      <c r="R678" s="165" t="s">
        <v>1641</v>
      </c>
      <c r="S678" s="81" t="s">
        <v>110</v>
      </c>
      <c r="T678" s="349">
        <v>42797</v>
      </c>
      <c r="U678" s="349">
        <v>42859</v>
      </c>
      <c r="V678" s="81" t="s">
        <v>155</v>
      </c>
      <c r="W678" s="81" t="s">
        <v>114</v>
      </c>
      <c r="Y678" s="81" t="s">
        <v>115</v>
      </c>
      <c r="Z678" s="81" t="s">
        <v>310</v>
      </c>
      <c r="AA678" s="81" t="s">
        <v>117</v>
      </c>
      <c r="AB678" s="81" t="s">
        <v>399</v>
      </c>
      <c r="AC678" s="166">
        <v>4.0000001899898104E-3</v>
      </c>
      <c r="AD678" s="349">
        <v>42859</v>
      </c>
      <c r="AE678" s="81" t="s">
        <v>155</v>
      </c>
      <c r="AG678" s="81" t="s">
        <v>238</v>
      </c>
      <c r="AH678" s="81" t="s">
        <v>118</v>
      </c>
      <c r="AK678" s="166">
        <v>0</v>
      </c>
      <c r="AM678" s="166">
        <v>0</v>
      </c>
      <c r="AO678" s="166">
        <v>0</v>
      </c>
      <c r="AP678" s="166">
        <v>1</v>
      </c>
      <c r="AQ678" s="166">
        <v>2</v>
      </c>
      <c r="AR678" s="166">
        <v>0</v>
      </c>
      <c r="AS678" s="166">
        <v>0</v>
      </c>
      <c r="AT678" s="166">
        <v>0</v>
      </c>
      <c r="AU678" s="166">
        <v>0</v>
      </c>
      <c r="AV678" s="166">
        <v>0</v>
      </c>
      <c r="AW678" s="166">
        <v>1</v>
      </c>
      <c r="AX678" s="166">
        <v>2</v>
      </c>
      <c r="AY678" s="166">
        <v>0</v>
      </c>
      <c r="AZ678" s="166">
        <v>0</v>
      </c>
      <c r="BA678" s="166">
        <v>0</v>
      </c>
      <c r="BB678" s="166">
        <v>0</v>
      </c>
      <c r="BC678" s="166">
        <v>0</v>
      </c>
      <c r="BD678" s="166">
        <v>0</v>
      </c>
      <c r="BE678" s="166">
        <v>0</v>
      </c>
      <c r="BF678" s="166">
        <v>0</v>
      </c>
      <c r="BG678" s="166">
        <v>0</v>
      </c>
      <c r="BH678" s="166">
        <v>0</v>
      </c>
      <c r="BI678" s="166">
        <v>0</v>
      </c>
      <c r="BJ678" s="166">
        <v>0</v>
      </c>
      <c r="BK678" s="166">
        <v>0</v>
      </c>
      <c r="BL678" s="166">
        <v>0</v>
      </c>
      <c r="BM678" s="166">
        <v>0</v>
      </c>
      <c r="BN678" s="166">
        <v>0</v>
      </c>
      <c r="BO678" s="166">
        <v>0</v>
      </c>
      <c r="BP678" s="166">
        <v>0</v>
      </c>
      <c r="BQ678" s="81" t="s">
        <v>1759</v>
      </c>
      <c r="BS678" s="81" t="s">
        <v>155</v>
      </c>
      <c r="BZ678" s="81" t="s">
        <v>155</v>
      </c>
      <c r="CA678" s="81" t="s">
        <v>3980</v>
      </c>
      <c r="CC678" s="167">
        <v>0</v>
      </c>
      <c r="CD678" s="167">
        <f>N678</f>
        <v>3</v>
      </c>
      <c r="CE678" s="167">
        <v>0</v>
      </c>
      <c r="CF678" s="167">
        <v>0</v>
      </c>
      <c r="CG678" s="167">
        <v>0</v>
      </c>
      <c r="CH678" s="167">
        <v>0</v>
      </c>
      <c r="CI678" s="167">
        <v>0</v>
      </c>
      <c r="CJ678" s="167">
        <v>0</v>
      </c>
      <c r="CK678" s="167">
        <v>0</v>
      </c>
      <c r="CL678" s="167">
        <v>0</v>
      </c>
      <c r="CM678" s="167">
        <v>0</v>
      </c>
      <c r="CN678" s="167">
        <v>0</v>
      </c>
      <c r="CO678" s="167">
        <v>0</v>
      </c>
      <c r="CP678" s="167">
        <v>0</v>
      </c>
      <c r="CQ678" s="167">
        <v>0</v>
      </c>
      <c r="CR678" s="167">
        <v>0</v>
      </c>
      <c r="CS678" s="167">
        <v>0</v>
      </c>
      <c r="CT678" s="167">
        <v>0</v>
      </c>
      <c r="CU678" s="167">
        <v>0</v>
      </c>
      <c r="CV678" s="167">
        <v>0</v>
      </c>
      <c r="CW678" s="167">
        <v>0</v>
      </c>
      <c r="CX678" s="167">
        <f>SUM(CD678:CH678)</f>
        <v>3</v>
      </c>
      <c r="CY678" s="167">
        <f>SUM(CD678:CM678)</f>
        <v>3</v>
      </c>
    </row>
    <row r="679" spans="1:103" ht="12.75" customHeight="1" x14ac:dyDescent="0.2">
      <c r="A679" s="81">
        <v>6486</v>
      </c>
      <c r="B679" s="165" t="s">
        <v>1908</v>
      </c>
      <c r="C679" s="165" t="s">
        <v>3687</v>
      </c>
      <c r="E679" s="165" t="s">
        <v>3686</v>
      </c>
      <c r="G679" s="81">
        <v>528829</v>
      </c>
      <c r="H679" s="81">
        <v>176973</v>
      </c>
      <c r="I679" s="165" t="s">
        <v>240</v>
      </c>
      <c r="J679" s="349">
        <v>43035</v>
      </c>
      <c r="L679" s="166">
        <v>0</v>
      </c>
      <c r="M679" s="166">
        <v>1</v>
      </c>
      <c r="N679" s="166">
        <v>1</v>
      </c>
      <c r="O679" s="166">
        <v>1</v>
      </c>
      <c r="P679" s="166">
        <v>1</v>
      </c>
      <c r="R679" s="165" t="s">
        <v>3688</v>
      </c>
      <c r="S679" s="81" t="s">
        <v>113</v>
      </c>
      <c r="T679" s="349">
        <v>42891</v>
      </c>
      <c r="U679" s="349">
        <v>43035</v>
      </c>
      <c r="V679" s="81" t="s">
        <v>155</v>
      </c>
      <c r="W679" s="81" t="s">
        <v>114</v>
      </c>
      <c r="Y679" s="81" t="s">
        <v>115</v>
      </c>
      <c r="Z679" s="81" t="s">
        <v>219</v>
      </c>
      <c r="AA679" s="81" t="s">
        <v>117</v>
      </c>
      <c r="AB679" s="81" t="s">
        <v>3889</v>
      </c>
      <c r="AC679" s="166">
        <v>3.0000000260770299E-3</v>
      </c>
      <c r="AD679" s="349">
        <v>43035</v>
      </c>
      <c r="AE679" s="81" t="s">
        <v>155</v>
      </c>
      <c r="AG679" s="81" t="s">
        <v>238</v>
      </c>
      <c r="AH679" s="81" t="s">
        <v>118</v>
      </c>
      <c r="AK679" s="166">
        <v>0</v>
      </c>
      <c r="AM679" s="166">
        <v>0</v>
      </c>
      <c r="AO679" s="166">
        <v>1</v>
      </c>
      <c r="AP679" s="166">
        <v>0</v>
      </c>
      <c r="AQ679" s="166">
        <v>0</v>
      </c>
      <c r="AR679" s="166">
        <v>0</v>
      </c>
      <c r="AS679" s="166">
        <v>0</v>
      </c>
      <c r="AT679" s="166">
        <v>0</v>
      </c>
      <c r="AU679" s="166">
        <v>0</v>
      </c>
      <c r="AV679" s="166">
        <v>1</v>
      </c>
      <c r="AW679" s="166">
        <v>0</v>
      </c>
      <c r="AX679" s="166">
        <v>0</v>
      </c>
      <c r="AY679" s="166">
        <v>0</v>
      </c>
      <c r="AZ679" s="166">
        <v>0</v>
      </c>
      <c r="BA679" s="166">
        <v>0</v>
      </c>
      <c r="BB679" s="166">
        <v>0</v>
      </c>
      <c r="BC679" s="166">
        <v>0</v>
      </c>
      <c r="BD679" s="166">
        <v>0</v>
      </c>
      <c r="BE679" s="166">
        <v>0</v>
      </c>
      <c r="BF679" s="166">
        <v>0</v>
      </c>
      <c r="BG679" s="166">
        <v>0</v>
      </c>
      <c r="BH679" s="166">
        <v>0</v>
      </c>
      <c r="BI679" s="166">
        <v>0</v>
      </c>
      <c r="BJ679" s="166">
        <v>0</v>
      </c>
      <c r="BK679" s="166">
        <v>0</v>
      </c>
      <c r="BL679" s="166">
        <v>0</v>
      </c>
      <c r="BM679" s="166">
        <v>0</v>
      </c>
      <c r="BN679" s="166">
        <v>0</v>
      </c>
      <c r="BO679" s="166">
        <v>0</v>
      </c>
      <c r="BP679" s="166">
        <v>0</v>
      </c>
      <c r="BQ679" s="81" t="s">
        <v>1759</v>
      </c>
      <c r="BS679" s="81" t="s">
        <v>155</v>
      </c>
      <c r="BZ679" s="81" t="s">
        <v>155</v>
      </c>
      <c r="CA679" s="81" t="s">
        <v>3981</v>
      </c>
      <c r="CC679" s="167">
        <v>0</v>
      </c>
      <c r="CD679" s="167">
        <f>$N679/2</f>
        <v>0.5</v>
      </c>
      <c r="CE679" s="167">
        <f>$N679/2</f>
        <v>0.5</v>
      </c>
      <c r="CF679" s="167">
        <v>0</v>
      </c>
      <c r="CG679" s="167">
        <v>0</v>
      </c>
      <c r="CH679" s="167">
        <v>0</v>
      </c>
      <c r="CI679" s="167">
        <v>0</v>
      </c>
      <c r="CJ679" s="167">
        <v>0</v>
      </c>
      <c r="CK679" s="167">
        <v>0</v>
      </c>
      <c r="CL679" s="167">
        <v>0</v>
      </c>
      <c r="CM679" s="167">
        <v>0</v>
      </c>
      <c r="CN679" s="167">
        <v>0</v>
      </c>
      <c r="CO679" s="167">
        <v>0</v>
      </c>
      <c r="CP679" s="167">
        <v>0</v>
      </c>
      <c r="CQ679" s="167">
        <v>0</v>
      </c>
      <c r="CR679" s="167">
        <v>0</v>
      </c>
      <c r="CS679" s="167">
        <v>0</v>
      </c>
      <c r="CT679" s="167">
        <v>0</v>
      </c>
      <c r="CU679" s="167">
        <v>0</v>
      </c>
      <c r="CV679" s="167">
        <v>0</v>
      </c>
      <c r="CW679" s="167">
        <v>0</v>
      </c>
      <c r="CX679" s="167">
        <f>SUM(CD679:CH679)</f>
        <v>1</v>
      </c>
      <c r="CY679" s="167">
        <f>SUM(CD679:CM679)</f>
        <v>1</v>
      </c>
    </row>
    <row r="680" spans="1:103" ht="12.75" customHeight="1" x14ac:dyDescent="0.2">
      <c r="A680" s="81">
        <v>6496</v>
      </c>
      <c r="B680" s="165" t="s">
        <v>1908</v>
      </c>
      <c r="C680" s="165" t="s">
        <v>1598</v>
      </c>
      <c r="E680" s="165" t="s">
        <v>3689</v>
      </c>
      <c r="G680" s="81">
        <v>529005</v>
      </c>
      <c r="H680" s="81">
        <v>173304</v>
      </c>
      <c r="I680" s="165" t="s">
        <v>247</v>
      </c>
      <c r="J680" s="349">
        <v>43190</v>
      </c>
      <c r="L680" s="166">
        <v>0</v>
      </c>
      <c r="M680" s="166">
        <v>2</v>
      </c>
      <c r="N680" s="166">
        <v>2</v>
      </c>
      <c r="O680" s="166">
        <v>2</v>
      </c>
      <c r="P680" s="166">
        <v>2</v>
      </c>
      <c r="R680" s="165" t="s">
        <v>1599</v>
      </c>
      <c r="S680" s="81" t="s">
        <v>113</v>
      </c>
      <c r="T680" s="349">
        <v>42759</v>
      </c>
      <c r="U680" s="349">
        <v>42852</v>
      </c>
      <c r="V680" s="81" t="s">
        <v>155</v>
      </c>
      <c r="W680" s="81" t="s">
        <v>114</v>
      </c>
      <c r="Y680" s="81" t="s">
        <v>115</v>
      </c>
      <c r="Z680" s="81" t="s">
        <v>398</v>
      </c>
      <c r="AA680" s="81" t="s">
        <v>117</v>
      </c>
      <c r="AB680" s="81" t="s">
        <v>399</v>
      </c>
      <c r="AC680" s="166">
        <v>9.9999997764825804E-3</v>
      </c>
      <c r="AD680" s="349">
        <v>43190</v>
      </c>
      <c r="AE680" s="81" t="s">
        <v>155</v>
      </c>
      <c r="AG680" s="81" t="s">
        <v>238</v>
      </c>
      <c r="AH680" s="81" t="s">
        <v>118</v>
      </c>
      <c r="AK680" s="166">
        <v>0</v>
      </c>
      <c r="AM680" s="166">
        <v>0</v>
      </c>
      <c r="AO680" s="166">
        <v>0</v>
      </c>
      <c r="AP680" s="166">
        <v>0</v>
      </c>
      <c r="AQ680" s="166">
        <v>2</v>
      </c>
      <c r="AR680" s="166">
        <v>0</v>
      </c>
      <c r="AS680" s="166">
        <v>0</v>
      </c>
      <c r="AT680" s="166">
        <v>0</v>
      </c>
      <c r="AU680" s="166">
        <v>0</v>
      </c>
      <c r="AV680" s="166">
        <v>0</v>
      </c>
      <c r="AW680" s="166">
        <v>0</v>
      </c>
      <c r="AX680" s="166">
        <v>2</v>
      </c>
      <c r="AY680" s="166">
        <v>0</v>
      </c>
      <c r="AZ680" s="166">
        <v>0</v>
      </c>
      <c r="BA680" s="166">
        <v>0</v>
      </c>
      <c r="BB680" s="166">
        <v>0</v>
      </c>
      <c r="BC680" s="166">
        <v>0</v>
      </c>
      <c r="BD680" s="166">
        <v>0</v>
      </c>
      <c r="BE680" s="166">
        <v>0</v>
      </c>
      <c r="BF680" s="166">
        <v>0</v>
      </c>
      <c r="BG680" s="166">
        <v>0</v>
      </c>
      <c r="BH680" s="166">
        <v>0</v>
      </c>
      <c r="BI680" s="166">
        <v>0</v>
      </c>
      <c r="BJ680" s="166">
        <v>0</v>
      </c>
      <c r="BK680" s="166">
        <v>0</v>
      </c>
      <c r="BL680" s="166">
        <v>0</v>
      </c>
      <c r="BM680" s="166">
        <v>0</v>
      </c>
      <c r="BN680" s="166">
        <v>0</v>
      </c>
      <c r="BO680" s="166">
        <v>0</v>
      </c>
      <c r="BP680" s="166">
        <v>0</v>
      </c>
      <c r="BQ680" s="81" t="s">
        <v>1757</v>
      </c>
      <c r="BZ680" s="81" t="s">
        <v>155</v>
      </c>
      <c r="CA680" s="81" t="s">
        <v>3981</v>
      </c>
      <c r="CC680" s="167">
        <v>0</v>
      </c>
      <c r="CD680" s="167">
        <f>$N680/2</f>
        <v>1</v>
      </c>
      <c r="CE680" s="167">
        <f>$N680/2</f>
        <v>1</v>
      </c>
      <c r="CF680" s="167">
        <v>0</v>
      </c>
      <c r="CG680" s="167">
        <v>0</v>
      </c>
      <c r="CH680" s="167">
        <v>0</v>
      </c>
      <c r="CI680" s="167">
        <v>0</v>
      </c>
      <c r="CJ680" s="167">
        <v>0</v>
      </c>
      <c r="CK680" s="167">
        <v>0</v>
      </c>
      <c r="CL680" s="167">
        <v>0</v>
      </c>
      <c r="CM680" s="167">
        <v>0</v>
      </c>
      <c r="CN680" s="167">
        <v>0</v>
      </c>
      <c r="CO680" s="167">
        <v>0</v>
      </c>
      <c r="CP680" s="167">
        <v>0</v>
      </c>
      <c r="CQ680" s="167">
        <v>0</v>
      </c>
      <c r="CR680" s="167">
        <v>0</v>
      </c>
      <c r="CS680" s="167">
        <v>0</v>
      </c>
      <c r="CT680" s="167">
        <v>0</v>
      </c>
      <c r="CU680" s="167">
        <v>0</v>
      </c>
      <c r="CV680" s="167">
        <v>0</v>
      </c>
      <c r="CW680" s="167">
        <v>0</v>
      </c>
      <c r="CX680" s="167">
        <f>SUM(CD680:CH680)</f>
        <v>2</v>
      </c>
      <c r="CY680" s="167">
        <f>SUM(CD680:CM680)</f>
        <v>2</v>
      </c>
    </row>
    <row r="681" spans="1:103" ht="12.75" customHeight="1" x14ac:dyDescent="0.2">
      <c r="A681" s="81">
        <v>6511</v>
      </c>
      <c r="B681" s="165" t="s">
        <v>1908</v>
      </c>
      <c r="C681" s="165" t="s">
        <v>1572</v>
      </c>
      <c r="E681" s="165" t="s">
        <v>3690</v>
      </c>
      <c r="G681" s="81">
        <v>525953</v>
      </c>
      <c r="H681" s="81">
        <v>175002</v>
      </c>
      <c r="I681" s="165" t="s">
        <v>251</v>
      </c>
      <c r="J681" s="349">
        <v>43190</v>
      </c>
      <c r="L681" s="166">
        <v>2</v>
      </c>
      <c r="M681" s="166">
        <v>4</v>
      </c>
      <c r="N681" s="166">
        <v>2</v>
      </c>
      <c r="O681" s="166">
        <v>4</v>
      </c>
      <c r="P681" s="166">
        <v>2</v>
      </c>
      <c r="R681" s="165" t="s">
        <v>1573</v>
      </c>
      <c r="S681" s="81" t="s">
        <v>113</v>
      </c>
      <c r="T681" s="349">
        <v>42683</v>
      </c>
      <c r="U681" s="349">
        <v>42888</v>
      </c>
      <c r="V681" s="81" t="s">
        <v>155</v>
      </c>
      <c r="W681" s="81" t="s">
        <v>114</v>
      </c>
      <c r="Y681" s="81" t="s">
        <v>115</v>
      </c>
      <c r="Z681" s="81" t="s">
        <v>398</v>
      </c>
      <c r="AA681" s="81" t="s">
        <v>117</v>
      </c>
      <c r="AB681" s="81" t="s">
        <v>399</v>
      </c>
      <c r="AC681" s="166">
        <v>9.9999997764825804E-3</v>
      </c>
      <c r="AD681" s="349">
        <v>43190</v>
      </c>
      <c r="AE681" s="81" t="s">
        <v>155</v>
      </c>
      <c r="AG681" s="81" t="s">
        <v>238</v>
      </c>
      <c r="AH681" s="81" t="s">
        <v>118</v>
      </c>
      <c r="AK681" s="166">
        <v>0</v>
      </c>
      <c r="AM681" s="166">
        <v>0</v>
      </c>
      <c r="AO681" s="166">
        <v>0</v>
      </c>
      <c r="AP681" s="166">
        <v>1</v>
      </c>
      <c r="AQ681" s="166">
        <v>3</v>
      </c>
      <c r="AR681" s="166">
        <v>0</v>
      </c>
      <c r="AS681" s="166">
        <v>0</v>
      </c>
      <c r="AT681" s="166">
        <v>0</v>
      </c>
      <c r="AU681" s="166">
        <v>-2</v>
      </c>
      <c r="AV681" s="166">
        <v>0</v>
      </c>
      <c r="AW681" s="166">
        <v>1</v>
      </c>
      <c r="AX681" s="166">
        <v>3</v>
      </c>
      <c r="AY681" s="166">
        <v>0</v>
      </c>
      <c r="AZ681" s="166">
        <v>0</v>
      </c>
      <c r="BA681" s="166">
        <v>0</v>
      </c>
      <c r="BB681" s="166">
        <v>-2</v>
      </c>
      <c r="BC681" s="166">
        <v>0</v>
      </c>
      <c r="BD681" s="166">
        <v>0</v>
      </c>
      <c r="BE681" s="166">
        <v>0</v>
      </c>
      <c r="BF681" s="166">
        <v>0</v>
      </c>
      <c r="BG681" s="166">
        <v>0</v>
      </c>
      <c r="BH681" s="166">
        <v>0</v>
      </c>
      <c r="BI681" s="166">
        <v>0</v>
      </c>
      <c r="BJ681" s="166">
        <v>0</v>
      </c>
      <c r="BK681" s="166">
        <v>0</v>
      </c>
      <c r="BL681" s="166">
        <v>0</v>
      </c>
      <c r="BM681" s="166">
        <v>0</v>
      </c>
      <c r="BN681" s="166">
        <v>0</v>
      </c>
      <c r="BO681" s="166">
        <v>0</v>
      </c>
      <c r="BP681" s="166">
        <v>0</v>
      </c>
      <c r="BQ681" s="81" t="s">
        <v>1758</v>
      </c>
      <c r="BZ681" s="81" t="s">
        <v>155</v>
      </c>
      <c r="CA681" s="81" t="s">
        <v>3981</v>
      </c>
      <c r="CC681" s="167">
        <v>0</v>
      </c>
      <c r="CD681" s="167">
        <f>$N681/2</f>
        <v>1</v>
      </c>
      <c r="CE681" s="167">
        <f>$N681/2</f>
        <v>1</v>
      </c>
      <c r="CF681" s="167">
        <v>0</v>
      </c>
      <c r="CG681" s="167">
        <v>0</v>
      </c>
      <c r="CH681" s="167">
        <v>0</v>
      </c>
      <c r="CI681" s="167">
        <v>0</v>
      </c>
      <c r="CJ681" s="167">
        <v>0</v>
      </c>
      <c r="CK681" s="167">
        <v>0</v>
      </c>
      <c r="CL681" s="167">
        <v>0</v>
      </c>
      <c r="CM681" s="167">
        <v>0</v>
      </c>
      <c r="CN681" s="167">
        <v>0</v>
      </c>
      <c r="CO681" s="167">
        <v>0</v>
      </c>
      <c r="CP681" s="167">
        <v>0</v>
      </c>
      <c r="CQ681" s="167">
        <v>0</v>
      </c>
      <c r="CR681" s="167">
        <v>0</v>
      </c>
      <c r="CS681" s="167">
        <v>0</v>
      </c>
      <c r="CT681" s="167">
        <v>0</v>
      </c>
      <c r="CU681" s="167">
        <v>0</v>
      </c>
      <c r="CV681" s="167">
        <v>0</v>
      </c>
      <c r="CW681" s="167">
        <v>0</v>
      </c>
      <c r="CX681" s="167">
        <f>SUM(CD681:CH681)</f>
        <v>2</v>
      </c>
      <c r="CY681" s="167">
        <f>SUM(CD681:CM681)</f>
        <v>2</v>
      </c>
    </row>
    <row r="682" spans="1:103" ht="12.75" customHeight="1" x14ac:dyDescent="0.2">
      <c r="A682" s="81">
        <v>6517</v>
      </c>
      <c r="B682" s="165" t="s">
        <v>1908</v>
      </c>
      <c r="C682" s="165" t="s">
        <v>1590</v>
      </c>
      <c r="E682" s="165" t="s">
        <v>3683</v>
      </c>
      <c r="G682" s="81">
        <v>525437</v>
      </c>
      <c r="H682" s="81">
        <v>175256</v>
      </c>
      <c r="I682" s="165" t="s">
        <v>259</v>
      </c>
      <c r="J682" s="349">
        <v>43110</v>
      </c>
      <c r="L682" s="166">
        <v>0</v>
      </c>
      <c r="M682" s="166">
        <v>93</v>
      </c>
      <c r="N682" s="166">
        <v>93</v>
      </c>
      <c r="O682" s="166">
        <v>172</v>
      </c>
      <c r="P682" s="166">
        <v>172</v>
      </c>
      <c r="Q682" s="81" t="s">
        <v>155</v>
      </c>
      <c r="R682" s="165" t="s">
        <v>1591</v>
      </c>
      <c r="S682" s="81" t="s">
        <v>104</v>
      </c>
      <c r="T682" s="349">
        <v>42744</v>
      </c>
      <c r="U682" s="349">
        <v>43090</v>
      </c>
      <c r="V682" s="81" t="s">
        <v>155</v>
      </c>
      <c r="W682" s="81" t="s">
        <v>114</v>
      </c>
      <c r="Y682" s="81" t="s">
        <v>115</v>
      </c>
      <c r="Z682" s="81" t="s">
        <v>116</v>
      </c>
      <c r="AA682" s="81" t="s">
        <v>116</v>
      </c>
      <c r="AB682" s="81" t="s">
        <v>117</v>
      </c>
      <c r="AC682" s="166">
        <v>2.1600000560283699E-2</v>
      </c>
      <c r="AD682" s="349">
        <v>43110</v>
      </c>
      <c r="AE682" s="81" t="s">
        <v>155</v>
      </c>
      <c r="AG682" s="81" t="s">
        <v>74</v>
      </c>
      <c r="AH682" s="81" t="s">
        <v>990</v>
      </c>
      <c r="AI682" s="81" t="s">
        <v>3684</v>
      </c>
      <c r="AK682" s="166">
        <v>0</v>
      </c>
      <c r="AL682" s="166">
        <v>84</v>
      </c>
      <c r="AM682" s="166">
        <v>0</v>
      </c>
      <c r="AN682" s="166">
        <v>9</v>
      </c>
      <c r="AO682" s="166">
        <v>1</v>
      </c>
      <c r="AP682" s="166">
        <v>21</v>
      </c>
      <c r="AQ682" s="166">
        <v>71</v>
      </c>
      <c r="AR682" s="166">
        <v>0</v>
      </c>
      <c r="AS682" s="166">
        <v>0</v>
      </c>
      <c r="AT682" s="166">
        <v>0</v>
      </c>
      <c r="AU682" s="166">
        <v>0</v>
      </c>
      <c r="AV682" s="166">
        <v>1</v>
      </c>
      <c r="AW682" s="166">
        <v>21</v>
      </c>
      <c r="AX682" s="166">
        <v>71</v>
      </c>
      <c r="AY682" s="166">
        <v>0</v>
      </c>
      <c r="AZ682" s="166">
        <v>0</v>
      </c>
      <c r="BA682" s="166">
        <v>0</v>
      </c>
      <c r="BB682" s="166">
        <v>0</v>
      </c>
      <c r="BC682" s="166">
        <v>0</v>
      </c>
      <c r="BD682" s="166">
        <v>0</v>
      </c>
      <c r="BE682" s="166">
        <v>0</v>
      </c>
      <c r="BF682" s="166">
        <v>0</v>
      </c>
      <c r="BG682" s="166">
        <v>0</v>
      </c>
      <c r="BH682" s="166">
        <v>0</v>
      </c>
      <c r="BI682" s="166">
        <v>0</v>
      </c>
      <c r="BJ682" s="166">
        <v>0</v>
      </c>
      <c r="BK682" s="166">
        <v>0</v>
      </c>
      <c r="BL682" s="166">
        <v>0</v>
      </c>
      <c r="BM682" s="166">
        <v>0</v>
      </c>
      <c r="BN682" s="166">
        <v>0</v>
      </c>
      <c r="BO682" s="166">
        <v>0</v>
      </c>
      <c r="BP682" s="166">
        <v>0</v>
      </c>
      <c r="BQ682" s="81" t="s">
        <v>1758</v>
      </c>
      <c r="BT682" s="81" t="s">
        <v>155</v>
      </c>
      <c r="BZ682" s="81" t="s">
        <v>155</v>
      </c>
      <c r="CA682" s="81" t="s">
        <v>3934</v>
      </c>
      <c r="CC682" s="167">
        <v>0</v>
      </c>
      <c r="CD682" s="167">
        <v>0</v>
      </c>
      <c r="CE682" s="167">
        <f>N682</f>
        <v>93</v>
      </c>
      <c r="CF682" s="167">
        <v>0</v>
      </c>
      <c r="CG682" s="167">
        <v>0</v>
      </c>
      <c r="CH682" s="167">
        <v>0</v>
      </c>
      <c r="CI682" s="167">
        <v>0</v>
      </c>
      <c r="CJ682" s="167">
        <v>0</v>
      </c>
      <c r="CK682" s="167">
        <v>0</v>
      </c>
      <c r="CL682" s="167">
        <v>0</v>
      </c>
      <c r="CM682" s="167">
        <v>0</v>
      </c>
      <c r="CN682" s="167">
        <v>0</v>
      </c>
      <c r="CO682" s="167">
        <v>0</v>
      </c>
      <c r="CP682" s="167">
        <v>0</v>
      </c>
      <c r="CQ682" s="167">
        <v>0</v>
      </c>
      <c r="CR682" s="167">
        <v>0</v>
      </c>
      <c r="CS682" s="167">
        <v>0</v>
      </c>
      <c r="CT682" s="167">
        <v>0</v>
      </c>
      <c r="CU682" s="167">
        <v>0</v>
      </c>
      <c r="CV682" s="167">
        <v>0</v>
      </c>
      <c r="CW682" s="167">
        <v>0</v>
      </c>
      <c r="CX682" s="167">
        <f>SUM(CD682:CH682)</f>
        <v>93</v>
      </c>
      <c r="CY682" s="167">
        <f>SUM(CD682:CM682)</f>
        <v>93</v>
      </c>
    </row>
    <row r="683" spans="1:103" ht="12.75" customHeight="1" x14ac:dyDescent="0.2">
      <c r="A683" s="81">
        <v>6517</v>
      </c>
      <c r="B683" s="165" t="s">
        <v>1908</v>
      </c>
      <c r="C683" s="165" t="s">
        <v>1590</v>
      </c>
      <c r="E683" s="165" t="s">
        <v>3683</v>
      </c>
      <c r="G683" s="81">
        <v>525437</v>
      </c>
      <c r="H683" s="81">
        <v>175256</v>
      </c>
      <c r="I683" s="165" t="s">
        <v>259</v>
      </c>
      <c r="J683" s="349">
        <v>43110</v>
      </c>
      <c r="L683" s="166">
        <v>0</v>
      </c>
      <c r="M683" s="166">
        <v>79</v>
      </c>
      <c r="N683" s="166">
        <v>79</v>
      </c>
      <c r="O683" s="166">
        <v>172</v>
      </c>
      <c r="P683" s="166">
        <v>172</v>
      </c>
      <c r="Q683" s="81" t="s">
        <v>155</v>
      </c>
      <c r="R683" s="165" t="s">
        <v>1591</v>
      </c>
      <c r="S683" s="81" t="s">
        <v>104</v>
      </c>
      <c r="T683" s="349">
        <v>42744</v>
      </c>
      <c r="U683" s="349">
        <v>43090</v>
      </c>
      <c r="V683" s="81" t="s">
        <v>155</v>
      </c>
      <c r="W683" s="81" t="s">
        <v>114</v>
      </c>
      <c r="Y683" s="81" t="s">
        <v>115</v>
      </c>
      <c r="Z683" s="81" t="s">
        <v>116</v>
      </c>
      <c r="AA683" s="81" t="s">
        <v>116</v>
      </c>
      <c r="AB683" s="81" t="s">
        <v>117</v>
      </c>
      <c r="AC683" s="166">
        <v>0.222000002861023</v>
      </c>
      <c r="AD683" s="349">
        <v>43110</v>
      </c>
      <c r="AE683" s="81" t="s">
        <v>155</v>
      </c>
      <c r="AG683" s="81" t="s">
        <v>238</v>
      </c>
      <c r="AH683" s="81" t="s">
        <v>118</v>
      </c>
      <c r="AI683" s="81" t="s">
        <v>3684</v>
      </c>
      <c r="AK683" s="166">
        <v>0</v>
      </c>
      <c r="AL683" s="166">
        <v>71</v>
      </c>
      <c r="AM683" s="166">
        <v>0</v>
      </c>
      <c r="AN683" s="166">
        <v>8</v>
      </c>
      <c r="AO683" s="166">
        <v>0</v>
      </c>
      <c r="AP683" s="166">
        <v>6</v>
      </c>
      <c r="AQ683" s="166">
        <v>73</v>
      </c>
      <c r="AR683" s="166">
        <v>0</v>
      </c>
      <c r="AS683" s="166">
        <v>0</v>
      </c>
      <c r="AT683" s="166">
        <v>0</v>
      </c>
      <c r="AU683" s="166">
        <v>0</v>
      </c>
      <c r="AV683" s="166">
        <v>0</v>
      </c>
      <c r="AW683" s="166">
        <v>6</v>
      </c>
      <c r="AX683" s="166">
        <v>73</v>
      </c>
      <c r="AY683" s="166">
        <v>0</v>
      </c>
      <c r="AZ683" s="166">
        <v>0</v>
      </c>
      <c r="BA683" s="166">
        <v>0</v>
      </c>
      <c r="BB683" s="166">
        <v>0</v>
      </c>
      <c r="BC683" s="166">
        <v>0</v>
      </c>
      <c r="BD683" s="166">
        <v>0</v>
      </c>
      <c r="BE683" s="166">
        <v>0</v>
      </c>
      <c r="BF683" s="166">
        <v>0</v>
      </c>
      <c r="BG683" s="166">
        <v>0</v>
      </c>
      <c r="BH683" s="166">
        <v>0</v>
      </c>
      <c r="BI683" s="166">
        <v>0</v>
      </c>
      <c r="BJ683" s="166">
        <v>0</v>
      </c>
      <c r="BK683" s="166">
        <v>0</v>
      </c>
      <c r="BL683" s="166">
        <v>0</v>
      </c>
      <c r="BM683" s="166">
        <v>0</v>
      </c>
      <c r="BN683" s="166">
        <v>0</v>
      </c>
      <c r="BO683" s="166">
        <v>0</v>
      </c>
      <c r="BP683" s="166">
        <v>0</v>
      </c>
      <c r="BQ683" s="81" t="s">
        <v>1758</v>
      </c>
      <c r="BT683" s="81" t="s">
        <v>155</v>
      </c>
      <c r="BZ683" s="81" t="s">
        <v>155</v>
      </c>
      <c r="CA683" s="81" t="s">
        <v>3934</v>
      </c>
      <c r="CC683" s="167">
        <v>0</v>
      </c>
      <c r="CD683" s="167">
        <v>0</v>
      </c>
      <c r="CE683" s="167">
        <f>N683</f>
        <v>79</v>
      </c>
      <c r="CF683" s="167">
        <v>0</v>
      </c>
      <c r="CG683" s="167">
        <v>0</v>
      </c>
      <c r="CH683" s="167">
        <v>0</v>
      </c>
      <c r="CI683" s="167">
        <v>0</v>
      </c>
      <c r="CJ683" s="167">
        <v>0</v>
      </c>
      <c r="CK683" s="167">
        <v>0</v>
      </c>
      <c r="CL683" s="167">
        <v>0</v>
      </c>
      <c r="CM683" s="167">
        <v>0</v>
      </c>
      <c r="CN683" s="167">
        <v>0</v>
      </c>
      <c r="CO683" s="167">
        <v>0</v>
      </c>
      <c r="CP683" s="167">
        <v>0</v>
      </c>
      <c r="CQ683" s="167">
        <v>0</v>
      </c>
      <c r="CR683" s="167">
        <v>0</v>
      </c>
      <c r="CS683" s="167">
        <v>0</v>
      </c>
      <c r="CT683" s="167">
        <v>0</v>
      </c>
      <c r="CU683" s="167">
        <v>0</v>
      </c>
      <c r="CV683" s="167">
        <v>0</v>
      </c>
      <c r="CW683" s="167">
        <v>0</v>
      </c>
      <c r="CX683" s="167">
        <f>SUM(CD683:CH683)</f>
        <v>79</v>
      </c>
      <c r="CY683" s="167">
        <f>SUM(CD683:CM683)</f>
        <v>79</v>
      </c>
    </row>
    <row r="684" spans="1:103" ht="12.75" customHeight="1" x14ac:dyDescent="0.2">
      <c r="A684" s="81">
        <v>6530</v>
      </c>
      <c r="B684" s="165" t="s">
        <v>1908</v>
      </c>
      <c r="C684" s="165" t="s">
        <v>1659</v>
      </c>
      <c r="E684" s="165" t="s">
        <v>3691</v>
      </c>
      <c r="G684" s="81">
        <v>522247</v>
      </c>
      <c r="H684" s="81">
        <v>175326</v>
      </c>
      <c r="I684" s="165" t="s">
        <v>59</v>
      </c>
      <c r="J684" s="349">
        <v>43167</v>
      </c>
      <c r="L684" s="166">
        <v>2</v>
      </c>
      <c r="M684" s="166">
        <v>1</v>
      </c>
      <c r="N684" s="166">
        <v>-1</v>
      </c>
      <c r="O684" s="166">
        <v>1</v>
      </c>
      <c r="P684" s="166">
        <v>-1</v>
      </c>
      <c r="R684" s="165" t="s">
        <v>3692</v>
      </c>
      <c r="S684" s="81" t="s">
        <v>113</v>
      </c>
      <c r="T684" s="349">
        <v>42811</v>
      </c>
      <c r="U684" s="349">
        <v>42909</v>
      </c>
      <c r="V684" s="81" t="s">
        <v>155</v>
      </c>
      <c r="W684" s="81" t="s">
        <v>114</v>
      </c>
      <c r="Y684" s="81" t="s">
        <v>115</v>
      </c>
      <c r="Z684" s="81" t="s">
        <v>119</v>
      </c>
      <c r="AA684" s="81" t="s">
        <v>117</v>
      </c>
      <c r="AB684" s="81" t="s">
        <v>336</v>
      </c>
      <c r="AC684" s="166">
        <v>3.8400001823902102E-2</v>
      </c>
      <c r="AD684" s="349">
        <v>43167</v>
      </c>
      <c r="AE684" s="81" t="s">
        <v>155</v>
      </c>
      <c r="AG684" s="81" t="s">
        <v>238</v>
      </c>
      <c r="AH684" s="81" t="s">
        <v>118</v>
      </c>
      <c r="AK684" s="166">
        <v>0</v>
      </c>
      <c r="AM684" s="166">
        <v>0</v>
      </c>
      <c r="AO684" s="166">
        <v>0</v>
      </c>
      <c r="AP684" s="166">
        <v>0</v>
      </c>
      <c r="AQ684" s="166">
        <v>-1</v>
      </c>
      <c r="AR684" s="166">
        <v>-1</v>
      </c>
      <c r="AS684" s="166">
        <v>0</v>
      </c>
      <c r="AT684" s="166">
        <v>1</v>
      </c>
      <c r="AU684" s="166">
        <v>0</v>
      </c>
      <c r="AV684" s="166">
        <v>0</v>
      </c>
      <c r="AW684" s="166">
        <v>0</v>
      </c>
      <c r="AX684" s="166">
        <v>-1</v>
      </c>
      <c r="AY684" s="166">
        <v>-1</v>
      </c>
      <c r="AZ684" s="166">
        <v>0</v>
      </c>
      <c r="BA684" s="166">
        <v>0</v>
      </c>
      <c r="BB684" s="166">
        <v>0</v>
      </c>
      <c r="BC684" s="166">
        <v>0</v>
      </c>
      <c r="BD684" s="166">
        <v>0</v>
      </c>
      <c r="BE684" s="166">
        <v>0</v>
      </c>
      <c r="BF684" s="166">
        <v>0</v>
      </c>
      <c r="BG684" s="166">
        <v>0</v>
      </c>
      <c r="BH684" s="166">
        <v>1</v>
      </c>
      <c r="BI684" s="166">
        <v>0</v>
      </c>
      <c r="BJ684" s="166">
        <v>0</v>
      </c>
      <c r="BK684" s="166">
        <v>0</v>
      </c>
      <c r="BL684" s="166">
        <v>0</v>
      </c>
      <c r="BM684" s="166">
        <v>0</v>
      </c>
      <c r="BN684" s="166">
        <v>0</v>
      </c>
      <c r="BO684" s="166">
        <v>0</v>
      </c>
      <c r="BP684" s="166">
        <v>0</v>
      </c>
      <c r="BQ684" s="81" t="s">
        <v>1758</v>
      </c>
      <c r="BZ684" s="81" t="s">
        <v>155</v>
      </c>
      <c r="CA684" s="81" t="s">
        <v>3981</v>
      </c>
      <c r="CC684" s="167">
        <v>0</v>
      </c>
      <c r="CD684" s="167">
        <f>$N684/2</f>
        <v>-0.5</v>
      </c>
      <c r="CE684" s="167">
        <f>$N684/2</f>
        <v>-0.5</v>
      </c>
      <c r="CF684" s="167">
        <v>0</v>
      </c>
      <c r="CG684" s="167">
        <v>0</v>
      </c>
      <c r="CH684" s="167">
        <v>0</v>
      </c>
      <c r="CI684" s="167">
        <v>0</v>
      </c>
      <c r="CJ684" s="167">
        <v>0</v>
      </c>
      <c r="CK684" s="167">
        <v>0</v>
      </c>
      <c r="CL684" s="167">
        <v>0</v>
      </c>
      <c r="CM684" s="167">
        <v>0</v>
      </c>
      <c r="CN684" s="167">
        <v>0</v>
      </c>
      <c r="CO684" s="167">
        <v>0</v>
      </c>
      <c r="CP684" s="167">
        <v>0</v>
      </c>
      <c r="CQ684" s="167">
        <v>0</v>
      </c>
      <c r="CR684" s="167">
        <v>0</v>
      </c>
      <c r="CS684" s="167">
        <v>0</v>
      </c>
      <c r="CT684" s="167">
        <v>0</v>
      </c>
      <c r="CU684" s="167">
        <v>0</v>
      </c>
      <c r="CV684" s="167">
        <v>0</v>
      </c>
      <c r="CW684" s="167">
        <v>0</v>
      </c>
      <c r="CX684" s="167">
        <f>SUM(CD684:CH684)</f>
        <v>-1</v>
      </c>
      <c r="CY684" s="167">
        <f>SUM(CD684:CM684)</f>
        <v>-1</v>
      </c>
    </row>
    <row r="685" spans="1:103" ht="12.75" customHeight="1" x14ac:dyDescent="0.2">
      <c r="A685" s="81">
        <v>6532</v>
      </c>
      <c r="B685" s="165" t="s">
        <v>1908</v>
      </c>
      <c r="C685" s="165" t="s">
        <v>1670</v>
      </c>
      <c r="E685" s="165" t="s">
        <v>3693</v>
      </c>
      <c r="G685" s="81">
        <v>522110</v>
      </c>
      <c r="H685" s="81">
        <v>172801</v>
      </c>
      <c r="I685" s="165" t="s">
        <v>877</v>
      </c>
      <c r="J685" s="349">
        <v>42888</v>
      </c>
      <c r="L685" s="166">
        <v>1</v>
      </c>
      <c r="M685" s="166">
        <v>3</v>
      </c>
      <c r="N685" s="166">
        <v>2</v>
      </c>
      <c r="O685" s="166">
        <v>3</v>
      </c>
      <c r="P685" s="166">
        <v>2</v>
      </c>
      <c r="R685" s="165" t="s">
        <v>1671</v>
      </c>
      <c r="S685" s="81" t="s">
        <v>113</v>
      </c>
      <c r="T685" s="349">
        <v>42803</v>
      </c>
      <c r="U685" s="349">
        <v>42859</v>
      </c>
      <c r="V685" s="81" t="s">
        <v>155</v>
      </c>
      <c r="W685" s="81" t="s">
        <v>114</v>
      </c>
      <c r="Y685" s="81" t="s">
        <v>115</v>
      </c>
      <c r="Z685" s="81" t="s">
        <v>119</v>
      </c>
      <c r="AA685" s="81" t="s">
        <v>117</v>
      </c>
      <c r="AB685" s="81" t="s">
        <v>120</v>
      </c>
      <c r="AC685" s="166">
        <v>3.29999998211861E-2</v>
      </c>
      <c r="AD685" s="349">
        <v>42888</v>
      </c>
      <c r="AE685" s="81" t="s">
        <v>155</v>
      </c>
      <c r="AG685" s="81" t="s">
        <v>238</v>
      </c>
      <c r="AH685" s="81" t="s">
        <v>118</v>
      </c>
      <c r="AK685" s="166">
        <v>0</v>
      </c>
      <c r="AM685" s="166">
        <v>0</v>
      </c>
      <c r="AO685" s="166">
        <v>0</v>
      </c>
      <c r="AP685" s="166">
        <v>1</v>
      </c>
      <c r="AQ685" s="166">
        <v>0</v>
      </c>
      <c r="AR685" s="166">
        <v>1</v>
      </c>
      <c r="AS685" s="166">
        <v>1</v>
      </c>
      <c r="AT685" s="166">
        <v>-1</v>
      </c>
      <c r="AU685" s="166">
        <v>0</v>
      </c>
      <c r="AV685" s="166">
        <v>0</v>
      </c>
      <c r="AW685" s="166">
        <v>1</v>
      </c>
      <c r="AX685" s="166">
        <v>0</v>
      </c>
      <c r="AY685" s="166">
        <v>1</v>
      </c>
      <c r="AZ685" s="166">
        <v>1</v>
      </c>
      <c r="BA685" s="166">
        <v>0</v>
      </c>
      <c r="BB685" s="166">
        <v>0</v>
      </c>
      <c r="BC685" s="166">
        <v>0</v>
      </c>
      <c r="BD685" s="166">
        <v>0</v>
      </c>
      <c r="BE685" s="166">
        <v>0</v>
      </c>
      <c r="BF685" s="166">
        <v>0</v>
      </c>
      <c r="BG685" s="166">
        <v>0</v>
      </c>
      <c r="BH685" s="166">
        <v>-1</v>
      </c>
      <c r="BI685" s="166">
        <v>0</v>
      </c>
      <c r="BJ685" s="166">
        <v>0</v>
      </c>
      <c r="BK685" s="166">
        <v>0</v>
      </c>
      <c r="BL685" s="166">
        <v>0</v>
      </c>
      <c r="BM685" s="166">
        <v>0</v>
      </c>
      <c r="BN685" s="166">
        <v>0</v>
      </c>
      <c r="BO685" s="166">
        <v>0</v>
      </c>
      <c r="BP685" s="166">
        <v>0</v>
      </c>
      <c r="BQ685" s="81" t="s">
        <v>1758</v>
      </c>
      <c r="BZ685" s="81" t="s">
        <v>155</v>
      </c>
      <c r="CA685" s="81" t="s">
        <v>3980</v>
      </c>
      <c r="CC685" s="167">
        <v>0</v>
      </c>
      <c r="CD685" s="167">
        <f>N685</f>
        <v>2</v>
      </c>
      <c r="CE685" s="167">
        <v>0</v>
      </c>
      <c r="CF685" s="167">
        <v>0</v>
      </c>
      <c r="CG685" s="167">
        <v>0</v>
      </c>
      <c r="CH685" s="167">
        <v>0</v>
      </c>
      <c r="CI685" s="167">
        <v>0</v>
      </c>
      <c r="CJ685" s="167">
        <v>0</v>
      </c>
      <c r="CK685" s="167">
        <v>0</v>
      </c>
      <c r="CL685" s="167">
        <v>0</v>
      </c>
      <c r="CM685" s="167">
        <v>0</v>
      </c>
      <c r="CN685" s="167">
        <v>0</v>
      </c>
      <c r="CO685" s="167">
        <v>0</v>
      </c>
      <c r="CP685" s="167">
        <v>0</v>
      </c>
      <c r="CQ685" s="167">
        <v>0</v>
      </c>
      <c r="CR685" s="167">
        <v>0</v>
      </c>
      <c r="CS685" s="167">
        <v>0</v>
      </c>
      <c r="CT685" s="167">
        <v>0</v>
      </c>
      <c r="CU685" s="167">
        <v>0</v>
      </c>
      <c r="CV685" s="167">
        <v>0</v>
      </c>
      <c r="CW685" s="167">
        <v>0</v>
      </c>
      <c r="CX685" s="167">
        <f>SUM(CD685:CH685)</f>
        <v>2</v>
      </c>
      <c r="CY685" s="167">
        <f>SUM(CD685:CM685)</f>
        <v>2</v>
      </c>
    </row>
    <row r="686" spans="1:103" ht="12.75" customHeight="1" x14ac:dyDescent="0.2">
      <c r="A686" s="81">
        <v>6548</v>
      </c>
      <c r="B686" s="165" t="s">
        <v>1908</v>
      </c>
      <c r="C686" s="165" t="s">
        <v>3694</v>
      </c>
      <c r="E686" s="165" t="s">
        <v>3695</v>
      </c>
      <c r="G686" s="81">
        <v>526176</v>
      </c>
      <c r="H686" s="81">
        <v>172864</v>
      </c>
      <c r="I686" s="165" t="s">
        <v>249</v>
      </c>
      <c r="J686" s="349">
        <v>43190</v>
      </c>
      <c r="L686" s="166">
        <v>3</v>
      </c>
      <c r="M686" s="166">
        <v>9</v>
      </c>
      <c r="N686" s="166">
        <v>6</v>
      </c>
      <c r="O686" s="166">
        <v>9</v>
      </c>
      <c r="P686" s="166">
        <v>6</v>
      </c>
      <c r="R686" s="165" t="s">
        <v>3696</v>
      </c>
      <c r="S686" s="81" t="s">
        <v>113</v>
      </c>
      <c r="T686" s="349">
        <v>42810</v>
      </c>
      <c r="U686" s="349">
        <v>42942</v>
      </c>
      <c r="V686" s="81" t="s">
        <v>155</v>
      </c>
      <c r="W686" s="81" t="s">
        <v>114</v>
      </c>
      <c r="Y686" s="81" t="s">
        <v>115</v>
      </c>
      <c r="Z686" s="81" t="s">
        <v>116</v>
      </c>
      <c r="AA686" s="81" t="s">
        <v>117</v>
      </c>
      <c r="AB686" s="81" t="s">
        <v>218</v>
      </c>
      <c r="AC686" s="166">
        <v>4.39999997615814E-2</v>
      </c>
      <c r="AD686" s="349">
        <v>43190</v>
      </c>
      <c r="AE686" s="81" t="s">
        <v>155</v>
      </c>
      <c r="AG686" s="81" t="s">
        <v>238</v>
      </c>
      <c r="AH686" s="81" t="s">
        <v>118</v>
      </c>
      <c r="AK686" s="166">
        <v>0</v>
      </c>
      <c r="AM686" s="166">
        <v>0</v>
      </c>
      <c r="AO686" s="166">
        <v>1</v>
      </c>
      <c r="AP686" s="166">
        <v>2</v>
      </c>
      <c r="AQ686" s="166">
        <v>5</v>
      </c>
      <c r="AR686" s="166">
        <v>1</v>
      </c>
      <c r="AS686" s="166">
        <v>-3</v>
      </c>
      <c r="AT686" s="166">
        <v>0</v>
      </c>
      <c r="AU686" s="166">
        <v>0</v>
      </c>
      <c r="AV686" s="166">
        <v>1</v>
      </c>
      <c r="AW686" s="166">
        <v>2</v>
      </c>
      <c r="AX686" s="166">
        <v>5</v>
      </c>
      <c r="AY686" s="166">
        <v>1</v>
      </c>
      <c r="AZ686" s="166">
        <v>-3</v>
      </c>
      <c r="BA686" s="166">
        <v>0</v>
      </c>
      <c r="BB686" s="166">
        <v>0</v>
      </c>
      <c r="BC686" s="166">
        <v>0</v>
      </c>
      <c r="BD686" s="166">
        <v>0</v>
      </c>
      <c r="BE686" s="166">
        <v>0</v>
      </c>
      <c r="BF686" s="166">
        <v>0</v>
      </c>
      <c r="BG686" s="166">
        <v>0</v>
      </c>
      <c r="BH686" s="166">
        <v>0</v>
      </c>
      <c r="BI686" s="166">
        <v>0</v>
      </c>
      <c r="BJ686" s="166">
        <v>0</v>
      </c>
      <c r="BK686" s="166">
        <v>0</v>
      </c>
      <c r="BL686" s="166">
        <v>0</v>
      </c>
      <c r="BM686" s="166">
        <v>0</v>
      </c>
      <c r="BN686" s="166">
        <v>0</v>
      </c>
      <c r="BO686" s="166">
        <v>0</v>
      </c>
      <c r="BP686" s="166">
        <v>0</v>
      </c>
      <c r="BQ686" s="81" t="s">
        <v>1758</v>
      </c>
      <c r="BZ686" s="81" t="s">
        <v>155</v>
      </c>
      <c r="CA686" s="81" t="s">
        <v>3977</v>
      </c>
      <c r="CC686" s="167">
        <v>0</v>
      </c>
      <c r="CD686" s="167">
        <f>$N686/2</f>
        <v>3</v>
      </c>
      <c r="CE686" s="167">
        <f>$N686/2</f>
        <v>3</v>
      </c>
      <c r="CF686" s="167">
        <v>0</v>
      </c>
      <c r="CG686" s="167">
        <v>0</v>
      </c>
      <c r="CH686" s="167">
        <v>0</v>
      </c>
      <c r="CI686" s="167">
        <v>0</v>
      </c>
      <c r="CJ686" s="167">
        <v>0</v>
      </c>
      <c r="CK686" s="167">
        <v>0</v>
      </c>
      <c r="CL686" s="167">
        <v>0</v>
      </c>
      <c r="CM686" s="167">
        <v>0</v>
      </c>
      <c r="CN686" s="167">
        <v>0</v>
      </c>
      <c r="CO686" s="167">
        <v>0</v>
      </c>
      <c r="CP686" s="167">
        <v>0</v>
      </c>
      <c r="CQ686" s="167">
        <v>0</v>
      </c>
      <c r="CR686" s="167">
        <v>0</v>
      </c>
      <c r="CS686" s="167">
        <v>0</v>
      </c>
      <c r="CT686" s="167">
        <v>0</v>
      </c>
      <c r="CU686" s="167">
        <v>0</v>
      </c>
      <c r="CV686" s="167">
        <v>0</v>
      </c>
      <c r="CW686" s="167">
        <v>0</v>
      </c>
      <c r="CX686" s="167">
        <f>SUM(CD686:CH686)</f>
        <v>6</v>
      </c>
      <c r="CY686" s="167">
        <f>SUM(CD686:CM686)</f>
        <v>6</v>
      </c>
    </row>
    <row r="687" spans="1:103" ht="12.75" customHeight="1" x14ac:dyDescent="0.2">
      <c r="A687" s="81">
        <v>6581</v>
      </c>
      <c r="B687" s="165" t="s">
        <v>1908</v>
      </c>
      <c r="C687" s="165" t="s">
        <v>3697</v>
      </c>
      <c r="E687" s="165" t="s">
        <v>3698</v>
      </c>
      <c r="G687" s="81">
        <v>524402</v>
      </c>
      <c r="H687" s="81">
        <v>175210</v>
      </c>
      <c r="I687" s="165" t="s">
        <v>259</v>
      </c>
      <c r="J687" s="349">
        <v>43021</v>
      </c>
      <c r="L687" s="166">
        <v>2</v>
      </c>
      <c r="M687" s="166">
        <v>1</v>
      </c>
      <c r="N687" s="166">
        <v>-1</v>
      </c>
      <c r="O687" s="166">
        <v>1</v>
      </c>
      <c r="P687" s="166">
        <v>-1</v>
      </c>
      <c r="R687" s="165" t="s">
        <v>3699</v>
      </c>
      <c r="S687" s="81" t="s">
        <v>113</v>
      </c>
      <c r="T687" s="349">
        <v>42838</v>
      </c>
      <c r="U687" s="349">
        <v>42906</v>
      </c>
      <c r="V687" s="81" t="s">
        <v>155</v>
      </c>
      <c r="W687" s="81" t="s">
        <v>114</v>
      </c>
      <c r="Y687" s="81" t="s">
        <v>115</v>
      </c>
      <c r="Z687" s="81" t="s">
        <v>398</v>
      </c>
      <c r="AA687" s="81" t="s">
        <v>117</v>
      </c>
      <c r="AB687" s="81" t="s">
        <v>336</v>
      </c>
      <c r="AC687" s="166">
        <v>1.4000000432133701E-2</v>
      </c>
      <c r="AD687" s="349">
        <v>43021</v>
      </c>
      <c r="AE687" s="81" t="s">
        <v>155</v>
      </c>
      <c r="AG687" s="81" t="s">
        <v>238</v>
      </c>
      <c r="AH687" s="81" t="s">
        <v>118</v>
      </c>
      <c r="AK687" s="166">
        <v>0</v>
      </c>
      <c r="AM687" s="166">
        <v>0</v>
      </c>
      <c r="AO687" s="166">
        <v>0</v>
      </c>
      <c r="AP687" s="166">
        <v>-2</v>
      </c>
      <c r="AQ687" s="166">
        <v>0</v>
      </c>
      <c r="AR687" s="166">
        <v>1</v>
      </c>
      <c r="AS687" s="166">
        <v>0</v>
      </c>
      <c r="AT687" s="166">
        <v>0</v>
      </c>
      <c r="AU687" s="166">
        <v>0</v>
      </c>
      <c r="AV687" s="166">
        <v>0</v>
      </c>
      <c r="AW687" s="166">
        <v>-2</v>
      </c>
      <c r="AX687" s="166">
        <v>0</v>
      </c>
      <c r="AY687" s="166">
        <v>0</v>
      </c>
      <c r="AZ687" s="166">
        <v>0</v>
      </c>
      <c r="BA687" s="166">
        <v>0</v>
      </c>
      <c r="BB687" s="166">
        <v>0</v>
      </c>
      <c r="BC687" s="166">
        <v>0</v>
      </c>
      <c r="BD687" s="166">
        <v>0</v>
      </c>
      <c r="BE687" s="166">
        <v>0</v>
      </c>
      <c r="BF687" s="166">
        <v>1</v>
      </c>
      <c r="BG687" s="166">
        <v>0</v>
      </c>
      <c r="BH687" s="166">
        <v>0</v>
      </c>
      <c r="BI687" s="166">
        <v>0</v>
      </c>
      <c r="BJ687" s="166">
        <v>0</v>
      </c>
      <c r="BK687" s="166">
        <v>0</v>
      </c>
      <c r="BL687" s="166">
        <v>0</v>
      </c>
      <c r="BM687" s="166">
        <v>0</v>
      </c>
      <c r="BN687" s="166">
        <v>0</v>
      </c>
      <c r="BO687" s="166">
        <v>0</v>
      </c>
      <c r="BP687" s="166">
        <v>0</v>
      </c>
      <c r="BQ687" s="81" t="s">
        <v>1758</v>
      </c>
      <c r="BZ687" s="81" t="s">
        <v>155</v>
      </c>
      <c r="CA687" s="81" t="s">
        <v>3981</v>
      </c>
      <c r="CC687" s="167">
        <v>0</v>
      </c>
      <c r="CD687" s="167">
        <f>$N687/2</f>
        <v>-0.5</v>
      </c>
      <c r="CE687" s="167">
        <f>$N687/2</f>
        <v>-0.5</v>
      </c>
      <c r="CF687" s="167">
        <v>0</v>
      </c>
      <c r="CG687" s="167">
        <v>0</v>
      </c>
      <c r="CH687" s="167">
        <v>0</v>
      </c>
      <c r="CI687" s="167">
        <v>0</v>
      </c>
      <c r="CJ687" s="167">
        <v>0</v>
      </c>
      <c r="CK687" s="167">
        <v>0</v>
      </c>
      <c r="CL687" s="167">
        <v>0</v>
      </c>
      <c r="CM687" s="167">
        <v>0</v>
      </c>
      <c r="CN687" s="167">
        <v>0</v>
      </c>
      <c r="CO687" s="167">
        <v>0</v>
      </c>
      <c r="CP687" s="167">
        <v>0</v>
      </c>
      <c r="CQ687" s="167">
        <v>0</v>
      </c>
      <c r="CR687" s="167">
        <v>0</v>
      </c>
      <c r="CS687" s="167">
        <v>0</v>
      </c>
      <c r="CT687" s="167">
        <v>0</v>
      </c>
      <c r="CU687" s="167">
        <v>0</v>
      </c>
      <c r="CV687" s="167">
        <v>0</v>
      </c>
      <c r="CW687" s="167">
        <v>0</v>
      </c>
      <c r="CX687" s="167">
        <f>SUM(CD687:CH687)</f>
        <v>-1</v>
      </c>
      <c r="CY687" s="167">
        <f>SUM(CD687:CM687)</f>
        <v>-1</v>
      </c>
    </row>
    <row r="688" spans="1:103" ht="12.75" customHeight="1" x14ac:dyDescent="0.2">
      <c r="A688" s="81">
        <v>6582</v>
      </c>
      <c r="B688" s="165" t="s">
        <v>1908</v>
      </c>
      <c r="C688" s="165" t="s">
        <v>3700</v>
      </c>
      <c r="E688" s="165" t="s">
        <v>3701</v>
      </c>
      <c r="G688" s="81">
        <v>527193</v>
      </c>
      <c r="H688" s="81">
        <v>171540</v>
      </c>
      <c r="I688" s="165" t="s">
        <v>242</v>
      </c>
      <c r="J688" s="349">
        <v>43190</v>
      </c>
      <c r="L688" s="166">
        <v>2</v>
      </c>
      <c r="M688" s="166">
        <v>3</v>
      </c>
      <c r="N688" s="166">
        <v>1</v>
      </c>
      <c r="O688" s="166">
        <v>3</v>
      </c>
      <c r="P688" s="166">
        <v>1</v>
      </c>
      <c r="R688" s="165" t="s">
        <v>3702</v>
      </c>
      <c r="S688" s="81" t="s">
        <v>113</v>
      </c>
      <c r="T688" s="349">
        <v>42845</v>
      </c>
      <c r="U688" s="349">
        <v>42947</v>
      </c>
      <c r="V688" s="81" t="s">
        <v>155</v>
      </c>
      <c r="W688" s="81" t="s">
        <v>114</v>
      </c>
      <c r="Y688" s="81" t="s">
        <v>115</v>
      </c>
      <c r="Z688" s="81" t="s">
        <v>398</v>
      </c>
      <c r="AA688" s="81" t="s">
        <v>117</v>
      </c>
      <c r="AB688" s="81" t="s">
        <v>220</v>
      </c>
      <c r="AC688" s="166">
        <v>1.30000002682209E-2</v>
      </c>
      <c r="AD688" s="349">
        <v>43190</v>
      </c>
      <c r="AE688" s="81" t="s">
        <v>155</v>
      </c>
      <c r="AG688" s="81" t="s">
        <v>238</v>
      </c>
      <c r="AH688" s="81" t="s">
        <v>118</v>
      </c>
      <c r="AK688" s="166">
        <v>0</v>
      </c>
      <c r="AM688" s="166">
        <v>0</v>
      </c>
      <c r="AO688" s="166">
        <v>0</v>
      </c>
      <c r="AP688" s="166">
        <v>1</v>
      </c>
      <c r="AQ688" s="166">
        <v>-1</v>
      </c>
      <c r="AR688" s="166">
        <v>1</v>
      </c>
      <c r="AS688" s="166">
        <v>0</v>
      </c>
      <c r="AT688" s="166">
        <v>0</v>
      </c>
      <c r="AU688" s="166">
        <v>0</v>
      </c>
      <c r="AV688" s="166">
        <v>0</v>
      </c>
      <c r="AW688" s="166">
        <v>1</v>
      </c>
      <c r="AX688" s="166">
        <v>-1</v>
      </c>
      <c r="AY688" s="166">
        <v>1</v>
      </c>
      <c r="AZ688" s="166">
        <v>0</v>
      </c>
      <c r="BA688" s="166">
        <v>0</v>
      </c>
      <c r="BB688" s="166">
        <v>0</v>
      </c>
      <c r="BC688" s="166">
        <v>0</v>
      </c>
      <c r="BD688" s="166">
        <v>0</v>
      </c>
      <c r="BE688" s="166">
        <v>0</v>
      </c>
      <c r="BF688" s="166">
        <v>0</v>
      </c>
      <c r="BG688" s="166">
        <v>0</v>
      </c>
      <c r="BH688" s="166">
        <v>0</v>
      </c>
      <c r="BI688" s="166">
        <v>0</v>
      </c>
      <c r="BJ688" s="166">
        <v>0</v>
      </c>
      <c r="BK688" s="166">
        <v>0</v>
      </c>
      <c r="BL688" s="166">
        <v>0</v>
      </c>
      <c r="BM688" s="166">
        <v>0</v>
      </c>
      <c r="BN688" s="166">
        <v>0</v>
      </c>
      <c r="BO688" s="166">
        <v>0</v>
      </c>
      <c r="BP688" s="166">
        <v>0</v>
      </c>
      <c r="BQ688" s="81" t="s">
        <v>1757</v>
      </c>
      <c r="BZ688" s="81" t="s">
        <v>155</v>
      </c>
      <c r="CA688" s="81" t="s">
        <v>3981</v>
      </c>
      <c r="CC688" s="167">
        <v>0</v>
      </c>
      <c r="CD688" s="167">
        <f>$N688/2</f>
        <v>0.5</v>
      </c>
      <c r="CE688" s="167">
        <f>$N688/2</f>
        <v>0.5</v>
      </c>
      <c r="CF688" s="167">
        <v>0</v>
      </c>
      <c r="CG688" s="167">
        <v>0</v>
      </c>
      <c r="CH688" s="167">
        <v>0</v>
      </c>
      <c r="CI688" s="167">
        <v>0</v>
      </c>
      <c r="CJ688" s="167">
        <v>0</v>
      </c>
      <c r="CK688" s="167">
        <v>0</v>
      </c>
      <c r="CL688" s="167">
        <v>0</v>
      </c>
      <c r="CM688" s="167">
        <v>0</v>
      </c>
      <c r="CN688" s="167">
        <v>0</v>
      </c>
      <c r="CO688" s="167">
        <v>0</v>
      </c>
      <c r="CP688" s="167">
        <v>0</v>
      </c>
      <c r="CQ688" s="167">
        <v>0</v>
      </c>
      <c r="CR688" s="167">
        <v>0</v>
      </c>
      <c r="CS688" s="167">
        <v>0</v>
      </c>
      <c r="CT688" s="167">
        <v>0</v>
      </c>
      <c r="CU688" s="167">
        <v>0</v>
      </c>
      <c r="CV688" s="167">
        <v>0</v>
      </c>
      <c r="CW688" s="167">
        <v>0</v>
      </c>
      <c r="CX688" s="167">
        <f>SUM(CD688:CH688)</f>
        <v>1</v>
      </c>
      <c r="CY688" s="167">
        <f>SUM(CD688:CM688)</f>
        <v>1</v>
      </c>
    </row>
    <row r="689" spans="1:103" ht="12.75" customHeight="1" x14ac:dyDescent="0.2">
      <c r="A689" s="81">
        <v>6590</v>
      </c>
      <c r="B689" s="165" t="s">
        <v>1908</v>
      </c>
      <c r="C689" s="165" t="s">
        <v>3703</v>
      </c>
      <c r="E689" s="165" t="s">
        <v>3704</v>
      </c>
      <c r="G689" s="81">
        <v>527583</v>
      </c>
      <c r="H689" s="81">
        <v>174634</v>
      </c>
      <c r="I689" s="165" t="s">
        <v>255</v>
      </c>
      <c r="J689" s="349">
        <v>43190</v>
      </c>
      <c r="L689" s="166">
        <v>1</v>
      </c>
      <c r="M689" s="166">
        <v>2</v>
      </c>
      <c r="N689" s="166">
        <v>1</v>
      </c>
      <c r="O689" s="166">
        <v>2</v>
      </c>
      <c r="P689" s="166">
        <v>1</v>
      </c>
      <c r="R689" s="165" t="s">
        <v>3705</v>
      </c>
      <c r="S689" s="81" t="s">
        <v>113</v>
      </c>
      <c r="T689" s="349">
        <v>42965</v>
      </c>
      <c r="U689" s="349">
        <v>43021</v>
      </c>
      <c r="V689" s="81" t="s">
        <v>155</v>
      </c>
      <c r="W689" s="81" t="s">
        <v>114</v>
      </c>
      <c r="Y689" s="81" t="s">
        <v>115</v>
      </c>
      <c r="Z689" s="81" t="s">
        <v>398</v>
      </c>
      <c r="AA689" s="81" t="s">
        <v>117</v>
      </c>
      <c r="AB689" s="81" t="s">
        <v>220</v>
      </c>
      <c r="AC689" s="166">
        <v>1.09999999403954E-2</v>
      </c>
      <c r="AD689" s="349">
        <v>43190</v>
      </c>
      <c r="AE689" s="81" t="s">
        <v>155</v>
      </c>
      <c r="AG689" s="81" t="s">
        <v>238</v>
      </c>
      <c r="AH689" s="81" t="s">
        <v>118</v>
      </c>
      <c r="AK689" s="166">
        <v>0</v>
      </c>
      <c r="AM689" s="166">
        <v>0</v>
      </c>
      <c r="AO689" s="166">
        <v>0</v>
      </c>
      <c r="AP689" s="166">
        <v>1</v>
      </c>
      <c r="AQ689" s="166">
        <v>1</v>
      </c>
      <c r="AR689" s="166">
        <v>-1</v>
      </c>
      <c r="AS689" s="166">
        <v>0</v>
      </c>
      <c r="AT689" s="166">
        <v>0</v>
      </c>
      <c r="AU689" s="166">
        <v>0</v>
      </c>
      <c r="AV689" s="166">
        <v>0</v>
      </c>
      <c r="AW689" s="166">
        <v>1</v>
      </c>
      <c r="AX689" s="166">
        <v>1</v>
      </c>
      <c r="AY689" s="166">
        <v>-1</v>
      </c>
      <c r="AZ689" s="166">
        <v>0</v>
      </c>
      <c r="BA689" s="166">
        <v>0</v>
      </c>
      <c r="BB689" s="166">
        <v>0</v>
      </c>
      <c r="BC689" s="166">
        <v>0</v>
      </c>
      <c r="BD689" s="166">
        <v>0</v>
      </c>
      <c r="BE689" s="166">
        <v>0</v>
      </c>
      <c r="BF689" s="166">
        <v>0</v>
      </c>
      <c r="BG689" s="166">
        <v>0</v>
      </c>
      <c r="BH689" s="166">
        <v>0</v>
      </c>
      <c r="BI689" s="166">
        <v>0</v>
      </c>
      <c r="BJ689" s="166">
        <v>0</v>
      </c>
      <c r="BK689" s="166">
        <v>0</v>
      </c>
      <c r="BL689" s="166">
        <v>0</v>
      </c>
      <c r="BM689" s="166">
        <v>0</v>
      </c>
      <c r="BN689" s="166">
        <v>0</v>
      </c>
      <c r="BO689" s="166">
        <v>0</v>
      </c>
      <c r="BP689" s="166">
        <v>0</v>
      </c>
      <c r="BQ689" s="81" t="s">
        <v>1757</v>
      </c>
      <c r="BZ689" s="81" t="s">
        <v>155</v>
      </c>
      <c r="CA689" s="81" t="s">
        <v>3981</v>
      </c>
      <c r="CC689" s="167">
        <v>0</v>
      </c>
      <c r="CD689" s="167">
        <f>$N689/2</f>
        <v>0.5</v>
      </c>
      <c r="CE689" s="167">
        <f>$N689/2</f>
        <v>0.5</v>
      </c>
      <c r="CF689" s="167">
        <v>0</v>
      </c>
      <c r="CG689" s="167">
        <v>0</v>
      </c>
      <c r="CH689" s="167">
        <v>0</v>
      </c>
      <c r="CI689" s="167">
        <v>0</v>
      </c>
      <c r="CJ689" s="167">
        <v>0</v>
      </c>
      <c r="CK689" s="167">
        <v>0</v>
      </c>
      <c r="CL689" s="167">
        <v>0</v>
      </c>
      <c r="CM689" s="167">
        <v>0</v>
      </c>
      <c r="CN689" s="167">
        <v>0</v>
      </c>
      <c r="CO689" s="167">
        <v>0</v>
      </c>
      <c r="CP689" s="167">
        <v>0</v>
      </c>
      <c r="CQ689" s="167">
        <v>0</v>
      </c>
      <c r="CR689" s="167">
        <v>0</v>
      </c>
      <c r="CS689" s="167">
        <v>0</v>
      </c>
      <c r="CT689" s="167">
        <v>0</v>
      </c>
      <c r="CU689" s="167">
        <v>0</v>
      </c>
      <c r="CV689" s="167">
        <v>0</v>
      </c>
      <c r="CW689" s="167">
        <v>0</v>
      </c>
      <c r="CX689" s="167">
        <f>SUM(CD689:CH689)</f>
        <v>1</v>
      </c>
      <c r="CY689" s="167">
        <f>SUM(CD689:CM689)</f>
        <v>1</v>
      </c>
    </row>
    <row r="690" spans="1:103" ht="12.75" customHeight="1" x14ac:dyDescent="0.2">
      <c r="A690" s="81">
        <v>6598</v>
      </c>
      <c r="B690" s="165" t="s">
        <v>1908</v>
      </c>
      <c r="C690" s="165" t="s">
        <v>3706</v>
      </c>
      <c r="E690" s="165" t="s">
        <v>3707</v>
      </c>
      <c r="G690" s="81">
        <v>525154</v>
      </c>
      <c r="H690" s="81">
        <v>173412</v>
      </c>
      <c r="I690" s="165" t="s">
        <v>258</v>
      </c>
      <c r="J690" s="349">
        <v>43190</v>
      </c>
      <c r="L690" s="166">
        <v>0</v>
      </c>
      <c r="M690" s="166">
        <v>1</v>
      </c>
      <c r="N690" s="166">
        <v>1</v>
      </c>
      <c r="O690" s="166">
        <v>1</v>
      </c>
      <c r="P690" s="166">
        <v>1</v>
      </c>
      <c r="R690" s="165" t="s">
        <v>3708</v>
      </c>
      <c r="S690" s="81" t="s">
        <v>113</v>
      </c>
      <c r="T690" s="349">
        <v>42885</v>
      </c>
      <c r="U690" s="349">
        <v>42941</v>
      </c>
      <c r="V690" s="81" t="s">
        <v>155</v>
      </c>
      <c r="W690" s="81" t="s">
        <v>114</v>
      </c>
      <c r="Y690" s="81" t="s">
        <v>115</v>
      </c>
      <c r="Z690" s="81" t="s">
        <v>116</v>
      </c>
      <c r="AA690" s="81" t="s">
        <v>117</v>
      </c>
      <c r="AB690" s="81" t="s">
        <v>218</v>
      </c>
      <c r="AC690" s="166">
        <v>7.0000002160668399E-3</v>
      </c>
      <c r="AD690" s="349">
        <v>43190</v>
      </c>
      <c r="AE690" s="81" t="s">
        <v>155</v>
      </c>
      <c r="AG690" s="81" t="s">
        <v>238</v>
      </c>
      <c r="AH690" s="81" t="s">
        <v>118</v>
      </c>
      <c r="AK690" s="166">
        <v>0</v>
      </c>
      <c r="AM690" s="166">
        <v>0</v>
      </c>
      <c r="AO690" s="166">
        <v>0</v>
      </c>
      <c r="AP690" s="166">
        <v>0</v>
      </c>
      <c r="AQ690" s="166">
        <v>1</v>
      </c>
      <c r="AR690" s="166">
        <v>0</v>
      </c>
      <c r="AS690" s="166">
        <v>0</v>
      </c>
      <c r="AT690" s="166">
        <v>0</v>
      </c>
      <c r="AU690" s="166">
        <v>0</v>
      </c>
      <c r="AV690" s="166">
        <v>0</v>
      </c>
      <c r="AW690" s="166">
        <v>0</v>
      </c>
      <c r="AX690" s="166">
        <v>0</v>
      </c>
      <c r="AY690" s="166">
        <v>0</v>
      </c>
      <c r="AZ690" s="166">
        <v>0</v>
      </c>
      <c r="BA690" s="166">
        <v>0</v>
      </c>
      <c r="BB690" s="166">
        <v>0</v>
      </c>
      <c r="BC690" s="166">
        <v>0</v>
      </c>
      <c r="BD690" s="166">
        <v>0</v>
      </c>
      <c r="BE690" s="166">
        <v>1</v>
      </c>
      <c r="BF690" s="166">
        <v>0</v>
      </c>
      <c r="BG690" s="166">
        <v>0</v>
      </c>
      <c r="BH690" s="166">
        <v>0</v>
      </c>
      <c r="BI690" s="166">
        <v>0</v>
      </c>
      <c r="BJ690" s="166">
        <v>0</v>
      </c>
      <c r="BK690" s="166">
        <v>0</v>
      </c>
      <c r="BL690" s="166">
        <v>0</v>
      </c>
      <c r="BM690" s="166">
        <v>0</v>
      </c>
      <c r="BN690" s="166">
        <v>0</v>
      </c>
      <c r="BO690" s="166">
        <v>0</v>
      </c>
      <c r="BP690" s="166">
        <v>0</v>
      </c>
      <c r="BQ690" s="81" t="s">
        <v>1758</v>
      </c>
      <c r="BZ690" s="81" t="s">
        <v>155</v>
      </c>
      <c r="CA690" s="81" t="s">
        <v>3977</v>
      </c>
      <c r="CC690" s="167">
        <v>0</v>
      </c>
      <c r="CD690" s="167">
        <f>$N690/2</f>
        <v>0.5</v>
      </c>
      <c r="CE690" s="167">
        <f>$N690/2</f>
        <v>0.5</v>
      </c>
      <c r="CF690" s="167">
        <v>0</v>
      </c>
      <c r="CG690" s="167">
        <v>0</v>
      </c>
      <c r="CH690" s="167">
        <v>0</v>
      </c>
      <c r="CI690" s="167">
        <v>0</v>
      </c>
      <c r="CJ690" s="167">
        <v>0</v>
      </c>
      <c r="CK690" s="167">
        <v>0</v>
      </c>
      <c r="CL690" s="167">
        <v>0</v>
      </c>
      <c r="CM690" s="167">
        <v>0</v>
      </c>
      <c r="CN690" s="167">
        <v>0</v>
      </c>
      <c r="CO690" s="167">
        <v>0</v>
      </c>
      <c r="CP690" s="167">
        <v>0</v>
      </c>
      <c r="CQ690" s="167">
        <v>0</v>
      </c>
      <c r="CR690" s="167">
        <v>0</v>
      </c>
      <c r="CS690" s="167">
        <v>0</v>
      </c>
      <c r="CT690" s="167">
        <v>0</v>
      </c>
      <c r="CU690" s="167">
        <v>0</v>
      </c>
      <c r="CV690" s="167">
        <v>0</v>
      </c>
      <c r="CW690" s="167">
        <v>0</v>
      </c>
      <c r="CX690" s="167">
        <f>SUM(CD690:CH690)</f>
        <v>1</v>
      </c>
      <c r="CY690" s="167">
        <f>SUM(CD690:CM690)</f>
        <v>1</v>
      </c>
    </row>
    <row r="691" spans="1:103" ht="12.75" customHeight="1" x14ac:dyDescent="0.2">
      <c r="A691" s="81">
        <v>6615</v>
      </c>
      <c r="B691" s="165" t="s">
        <v>1908</v>
      </c>
      <c r="C691" s="165" t="s">
        <v>3709</v>
      </c>
      <c r="E691" s="165" t="s">
        <v>3710</v>
      </c>
      <c r="G691" s="81">
        <v>528918</v>
      </c>
      <c r="H691" s="81">
        <v>174074</v>
      </c>
      <c r="I691" s="165" t="s">
        <v>247</v>
      </c>
      <c r="J691" s="349">
        <v>43190</v>
      </c>
      <c r="L691" s="166">
        <v>1</v>
      </c>
      <c r="M691" s="166">
        <v>2</v>
      </c>
      <c r="N691" s="166">
        <v>1</v>
      </c>
      <c r="O691" s="166">
        <v>2</v>
      </c>
      <c r="P691" s="166">
        <v>1</v>
      </c>
      <c r="R691" s="165" t="s">
        <v>3711</v>
      </c>
      <c r="S691" s="81" t="s">
        <v>113</v>
      </c>
      <c r="T691" s="349">
        <v>42892</v>
      </c>
      <c r="U691" s="349">
        <v>42962</v>
      </c>
      <c r="V691" s="81" t="s">
        <v>155</v>
      </c>
      <c r="W691" s="81" t="s">
        <v>114</v>
      </c>
      <c r="Y691" s="81" t="s">
        <v>115</v>
      </c>
      <c r="Z691" s="81" t="s">
        <v>398</v>
      </c>
      <c r="AA691" s="81" t="s">
        <v>117</v>
      </c>
      <c r="AB691" s="81" t="s">
        <v>120</v>
      </c>
      <c r="AC691" s="166">
        <v>1.09999999403954E-2</v>
      </c>
      <c r="AD691" s="349">
        <v>43190</v>
      </c>
      <c r="AE691" s="81" t="s">
        <v>155</v>
      </c>
      <c r="AG691" s="81" t="s">
        <v>238</v>
      </c>
      <c r="AH691" s="81" t="s">
        <v>118</v>
      </c>
      <c r="AK691" s="166">
        <v>0</v>
      </c>
      <c r="AM691" s="166">
        <v>0</v>
      </c>
      <c r="AO691" s="166">
        <v>0</v>
      </c>
      <c r="AP691" s="166">
        <v>0</v>
      </c>
      <c r="AQ691" s="166">
        <v>0</v>
      </c>
      <c r="AR691" s="166">
        <v>1</v>
      </c>
      <c r="AS691" s="166">
        <v>0</v>
      </c>
      <c r="AT691" s="166">
        <v>0</v>
      </c>
      <c r="AU691" s="166">
        <v>0</v>
      </c>
      <c r="AV691" s="166">
        <v>0</v>
      </c>
      <c r="AW691" s="166">
        <v>0</v>
      </c>
      <c r="AX691" s="166">
        <v>0</v>
      </c>
      <c r="AY691" s="166">
        <v>2</v>
      </c>
      <c r="AZ691" s="166">
        <v>0</v>
      </c>
      <c r="BA691" s="166">
        <v>0</v>
      </c>
      <c r="BB691" s="166">
        <v>0</v>
      </c>
      <c r="BC691" s="166">
        <v>0</v>
      </c>
      <c r="BD691" s="166">
        <v>0</v>
      </c>
      <c r="BE691" s="166">
        <v>0</v>
      </c>
      <c r="BF691" s="166">
        <v>-1</v>
      </c>
      <c r="BG691" s="166">
        <v>0</v>
      </c>
      <c r="BH691" s="166">
        <v>0</v>
      </c>
      <c r="BI691" s="166">
        <v>0</v>
      </c>
      <c r="BJ691" s="166">
        <v>0</v>
      </c>
      <c r="BK691" s="166">
        <v>0</v>
      </c>
      <c r="BL691" s="166">
        <v>0</v>
      </c>
      <c r="BM691" s="166">
        <v>0</v>
      </c>
      <c r="BN691" s="166">
        <v>0</v>
      </c>
      <c r="BO691" s="166">
        <v>0</v>
      </c>
      <c r="BP691" s="166">
        <v>0</v>
      </c>
      <c r="BQ691" s="81" t="s">
        <v>1757</v>
      </c>
      <c r="BZ691" s="81" t="s">
        <v>155</v>
      </c>
      <c r="CA691" s="81" t="s">
        <v>3981</v>
      </c>
      <c r="CC691" s="167">
        <v>0</v>
      </c>
      <c r="CD691" s="167">
        <f>$N691/2</f>
        <v>0.5</v>
      </c>
      <c r="CE691" s="167">
        <f>$N691/2</f>
        <v>0.5</v>
      </c>
      <c r="CF691" s="167">
        <v>0</v>
      </c>
      <c r="CG691" s="167">
        <v>0</v>
      </c>
      <c r="CH691" s="167">
        <v>0</v>
      </c>
      <c r="CI691" s="167">
        <v>0</v>
      </c>
      <c r="CJ691" s="167">
        <v>0</v>
      </c>
      <c r="CK691" s="167">
        <v>0</v>
      </c>
      <c r="CL691" s="167">
        <v>0</v>
      </c>
      <c r="CM691" s="167">
        <v>0</v>
      </c>
      <c r="CN691" s="167">
        <v>0</v>
      </c>
      <c r="CO691" s="167">
        <v>0</v>
      </c>
      <c r="CP691" s="167">
        <v>0</v>
      </c>
      <c r="CQ691" s="167">
        <v>0</v>
      </c>
      <c r="CR691" s="167">
        <v>0</v>
      </c>
      <c r="CS691" s="167">
        <v>0</v>
      </c>
      <c r="CT691" s="167">
        <v>0</v>
      </c>
      <c r="CU691" s="167">
        <v>0</v>
      </c>
      <c r="CV691" s="167">
        <v>0</v>
      </c>
      <c r="CW691" s="167">
        <v>0</v>
      </c>
      <c r="CX691" s="167">
        <f>SUM(CD691:CH691)</f>
        <v>1</v>
      </c>
      <c r="CY691" s="167">
        <f>SUM(CD691:CM691)</f>
        <v>1</v>
      </c>
    </row>
    <row r="692" spans="1:103" x14ac:dyDescent="0.2">
      <c r="A692" s="81">
        <v>6621</v>
      </c>
      <c r="B692" s="165" t="s">
        <v>1908</v>
      </c>
      <c r="C692" s="165" t="s">
        <v>3712</v>
      </c>
      <c r="E692" s="165" t="s">
        <v>3713</v>
      </c>
      <c r="G692" s="81">
        <v>523351</v>
      </c>
      <c r="H692" s="81">
        <v>175746</v>
      </c>
      <c r="I692" s="165" t="s">
        <v>259</v>
      </c>
      <c r="J692" s="349">
        <v>43190</v>
      </c>
      <c r="L692" s="166">
        <v>2</v>
      </c>
      <c r="M692" s="166">
        <v>1</v>
      </c>
      <c r="N692" s="166">
        <v>-1</v>
      </c>
      <c r="O692" s="166">
        <v>1</v>
      </c>
      <c r="P692" s="166">
        <v>-1</v>
      </c>
      <c r="R692" s="165" t="s">
        <v>3714</v>
      </c>
      <c r="S692" s="81" t="s">
        <v>113</v>
      </c>
      <c r="T692" s="349">
        <v>42895</v>
      </c>
      <c r="U692" s="349">
        <v>42951</v>
      </c>
      <c r="V692" s="81" t="s">
        <v>155</v>
      </c>
      <c r="W692" s="81" t="s">
        <v>114</v>
      </c>
      <c r="Y692" s="81" t="s">
        <v>115</v>
      </c>
      <c r="Z692" s="81" t="s">
        <v>398</v>
      </c>
      <c r="AA692" s="81" t="s">
        <v>117</v>
      </c>
      <c r="AB692" s="81" t="s">
        <v>336</v>
      </c>
      <c r="AC692" s="166">
        <v>1.2000000104308101E-2</v>
      </c>
      <c r="AD692" s="349">
        <v>43190</v>
      </c>
      <c r="AE692" s="81" t="s">
        <v>155</v>
      </c>
      <c r="AG692" s="81" t="s">
        <v>238</v>
      </c>
      <c r="AH692" s="81" t="s">
        <v>118</v>
      </c>
      <c r="AK692" s="166">
        <v>0</v>
      </c>
      <c r="AM692" s="166">
        <v>0</v>
      </c>
      <c r="AO692" s="166">
        <v>0</v>
      </c>
      <c r="AP692" s="166">
        <v>-1</v>
      </c>
      <c r="AQ692" s="166">
        <v>0</v>
      </c>
      <c r="AR692" s="166">
        <v>-1</v>
      </c>
      <c r="AS692" s="166">
        <v>0</v>
      </c>
      <c r="AT692" s="166">
        <v>1</v>
      </c>
      <c r="AU692" s="166">
        <v>0</v>
      </c>
      <c r="AV692" s="166">
        <v>0</v>
      </c>
      <c r="AW692" s="166">
        <v>-1</v>
      </c>
      <c r="AX692" s="166">
        <v>0</v>
      </c>
      <c r="AY692" s="166">
        <v>-1</v>
      </c>
      <c r="AZ692" s="166">
        <v>0</v>
      </c>
      <c r="BA692" s="166">
        <v>0</v>
      </c>
      <c r="BB692" s="166">
        <v>0</v>
      </c>
      <c r="BC692" s="166">
        <v>0</v>
      </c>
      <c r="BD692" s="166">
        <v>0</v>
      </c>
      <c r="BE692" s="166">
        <v>0</v>
      </c>
      <c r="BF692" s="166">
        <v>0</v>
      </c>
      <c r="BG692" s="166">
        <v>0</v>
      </c>
      <c r="BH692" s="166">
        <v>1</v>
      </c>
      <c r="BI692" s="166">
        <v>0</v>
      </c>
      <c r="BJ692" s="166">
        <v>0</v>
      </c>
      <c r="BK692" s="166">
        <v>0</v>
      </c>
      <c r="BL692" s="166">
        <v>0</v>
      </c>
      <c r="BM692" s="166">
        <v>0</v>
      </c>
      <c r="BN692" s="166">
        <v>0</v>
      </c>
      <c r="BO692" s="166">
        <v>0</v>
      </c>
      <c r="BP692" s="166">
        <v>0</v>
      </c>
      <c r="BQ692" s="81" t="s">
        <v>1758</v>
      </c>
      <c r="BZ692" s="81" t="s">
        <v>155</v>
      </c>
      <c r="CA692" s="81" t="s">
        <v>3981</v>
      </c>
      <c r="CC692" s="167">
        <v>0</v>
      </c>
      <c r="CD692" s="167">
        <f>$N692/2</f>
        <v>-0.5</v>
      </c>
      <c r="CE692" s="167">
        <f>$N692/2</f>
        <v>-0.5</v>
      </c>
      <c r="CF692" s="167">
        <v>0</v>
      </c>
      <c r="CG692" s="167">
        <v>0</v>
      </c>
      <c r="CH692" s="167">
        <v>0</v>
      </c>
      <c r="CI692" s="167">
        <v>0</v>
      </c>
      <c r="CJ692" s="167">
        <v>0</v>
      </c>
      <c r="CK692" s="167">
        <v>0</v>
      </c>
      <c r="CL692" s="167">
        <v>0</v>
      </c>
      <c r="CM692" s="167">
        <v>0</v>
      </c>
      <c r="CN692" s="167">
        <v>0</v>
      </c>
      <c r="CO692" s="167">
        <v>0</v>
      </c>
      <c r="CP692" s="167">
        <v>0</v>
      </c>
      <c r="CQ692" s="167">
        <v>0</v>
      </c>
      <c r="CR692" s="167">
        <v>0</v>
      </c>
      <c r="CS692" s="167">
        <v>0</v>
      </c>
      <c r="CT692" s="167">
        <v>0</v>
      </c>
      <c r="CU692" s="167">
        <v>0</v>
      </c>
      <c r="CV692" s="167">
        <v>0</v>
      </c>
      <c r="CW692" s="167">
        <v>0</v>
      </c>
      <c r="CX692" s="167">
        <f>SUM(CD692:CH692)</f>
        <v>-1</v>
      </c>
      <c r="CY692" s="167">
        <f>SUM(CD692:CM692)</f>
        <v>-1</v>
      </c>
    </row>
    <row r="693" spans="1:103" x14ac:dyDescent="0.2">
      <c r="A693" s="81">
        <v>6630</v>
      </c>
      <c r="B693" s="165" t="s">
        <v>1908</v>
      </c>
      <c r="C693" s="165" t="s">
        <v>3715</v>
      </c>
      <c r="E693" s="165" t="s">
        <v>3716</v>
      </c>
      <c r="G693" s="81">
        <v>524488</v>
      </c>
      <c r="H693" s="81">
        <v>175048</v>
      </c>
      <c r="I693" s="165" t="s">
        <v>259</v>
      </c>
      <c r="J693" s="349">
        <v>43190</v>
      </c>
      <c r="L693" s="166">
        <v>0</v>
      </c>
      <c r="M693" s="166">
        <v>1</v>
      </c>
      <c r="N693" s="166">
        <v>1</v>
      </c>
      <c r="O693" s="166">
        <v>1</v>
      </c>
      <c r="P693" s="166">
        <v>1</v>
      </c>
      <c r="R693" s="165" t="s">
        <v>3717</v>
      </c>
      <c r="S693" s="81" t="s">
        <v>113</v>
      </c>
      <c r="T693" s="349">
        <v>43026</v>
      </c>
      <c r="U693" s="349">
        <v>43133</v>
      </c>
      <c r="V693" s="81" t="s">
        <v>155</v>
      </c>
      <c r="W693" s="81" t="s">
        <v>114</v>
      </c>
      <c r="Y693" s="81" t="s">
        <v>115</v>
      </c>
      <c r="Z693" s="81" t="s">
        <v>398</v>
      </c>
      <c r="AA693" s="81" t="s">
        <v>117</v>
      </c>
      <c r="AB693" s="81" t="s">
        <v>218</v>
      </c>
      <c r="AC693" s="166">
        <v>6.0000000521540598E-3</v>
      </c>
      <c r="AD693" s="349">
        <v>43190</v>
      </c>
      <c r="AE693" s="81" t="s">
        <v>155</v>
      </c>
      <c r="AG693" s="81" t="s">
        <v>238</v>
      </c>
      <c r="AH693" s="81" t="s">
        <v>118</v>
      </c>
      <c r="AK693" s="166">
        <v>0</v>
      </c>
      <c r="AM693" s="166">
        <v>0</v>
      </c>
      <c r="AO693" s="166">
        <v>0</v>
      </c>
      <c r="AP693" s="166">
        <v>0</v>
      </c>
      <c r="AQ693" s="166">
        <v>0</v>
      </c>
      <c r="AR693" s="166">
        <v>1</v>
      </c>
      <c r="AS693" s="166">
        <v>0</v>
      </c>
      <c r="AT693" s="166">
        <v>0</v>
      </c>
      <c r="AU693" s="166">
        <v>0</v>
      </c>
      <c r="AV693" s="166">
        <v>0</v>
      </c>
      <c r="AW693" s="166">
        <v>0</v>
      </c>
      <c r="AX693" s="166">
        <v>0</v>
      </c>
      <c r="AY693" s="166">
        <v>1</v>
      </c>
      <c r="AZ693" s="166">
        <v>0</v>
      </c>
      <c r="BA693" s="166">
        <v>0</v>
      </c>
      <c r="BB693" s="166">
        <v>0</v>
      </c>
      <c r="BC693" s="166">
        <v>0</v>
      </c>
      <c r="BD693" s="166">
        <v>0</v>
      </c>
      <c r="BE693" s="166">
        <v>0</v>
      </c>
      <c r="BF693" s="166">
        <v>0</v>
      </c>
      <c r="BG693" s="166">
        <v>0</v>
      </c>
      <c r="BH693" s="166">
        <v>0</v>
      </c>
      <c r="BI693" s="166">
        <v>0</v>
      </c>
      <c r="BJ693" s="166">
        <v>0</v>
      </c>
      <c r="BK693" s="166">
        <v>0</v>
      </c>
      <c r="BL693" s="166">
        <v>0</v>
      </c>
      <c r="BM693" s="166">
        <v>0</v>
      </c>
      <c r="BN693" s="166">
        <v>0</v>
      </c>
      <c r="BO693" s="166">
        <v>0</v>
      </c>
      <c r="BP693" s="166">
        <v>0</v>
      </c>
      <c r="BQ693" s="81" t="s">
        <v>1758</v>
      </c>
      <c r="BZ693" s="81" t="s">
        <v>155</v>
      </c>
      <c r="CA693" s="81" t="s">
        <v>3981</v>
      </c>
      <c r="CC693" s="167">
        <v>0</v>
      </c>
      <c r="CD693" s="167">
        <f>$N693/2</f>
        <v>0.5</v>
      </c>
      <c r="CE693" s="167">
        <f>$N693/2</f>
        <v>0.5</v>
      </c>
      <c r="CF693" s="167">
        <v>0</v>
      </c>
      <c r="CG693" s="167">
        <v>0</v>
      </c>
      <c r="CH693" s="167">
        <v>0</v>
      </c>
      <c r="CI693" s="167">
        <v>0</v>
      </c>
      <c r="CJ693" s="167">
        <v>0</v>
      </c>
      <c r="CK693" s="167">
        <v>0</v>
      </c>
      <c r="CL693" s="167">
        <v>0</v>
      </c>
      <c r="CM693" s="167">
        <v>0</v>
      </c>
      <c r="CN693" s="167">
        <v>0</v>
      </c>
      <c r="CO693" s="167">
        <v>0</v>
      </c>
      <c r="CP693" s="167">
        <v>0</v>
      </c>
      <c r="CQ693" s="167">
        <v>0</v>
      </c>
      <c r="CR693" s="167">
        <v>0</v>
      </c>
      <c r="CS693" s="167">
        <v>0</v>
      </c>
      <c r="CT693" s="167">
        <v>0</v>
      </c>
      <c r="CU693" s="167">
        <v>0</v>
      </c>
      <c r="CV693" s="167">
        <v>0</v>
      </c>
      <c r="CW693" s="167">
        <v>0</v>
      </c>
      <c r="CX693" s="167">
        <f>SUM(CD693:CH693)</f>
        <v>1</v>
      </c>
      <c r="CY693" s="167">
        <f>SUM(CD693:CM693)</f>
        <v>1</v>
      </c>
    </row>
    <row r="694" spans="1:103" ht="12.75" customHeight="1" x14ac:dyDescent="0.2">
      <c r="A694" s="81">
        <v>6636</v>
      </c>
      <c r="B694" s="165" t="s">
        <v>1908</v>
      </c>
      <c r="C694" s="165" t="s">
        <v>3718</v>
      </c>
      <c r="E694" s="165" t="s">
        <v>3719</v>
      </c>
      <c r="G694" s="81">
        <v>527555</v>
      </c>
      <c r="H694" s="81">
        <v>175030</v>
      </c>
      <c r="I694" s="165" t="s">
        <v>255</v>
      </c>
      <c r="J694" s="349">
        <v>43190</v>
      </c>
      <c r="L694" s="166">
        <v>1</v>
      </c>
      <c r="M694" s="166">
        <v>3</v>
      </c>
      <c r="N694" s="166">
        <v>2</v>
      </c>
      <c r="O694" s="166">
        <v>3</v>
      </c>
      <c r="P694" s="166">
        <v>2</v>
      </c>
      <c r="R694" s="165" t="s">
        <v>3720</v>
      </c>
      <c r="S694" s="81" t="s">
        <v>113</v>
      </c>
      <c r="T694" s="349">
        <v>42906</v>
      </c>
      <c r="U694" s="349">
        <v>43003</v>
      </c>
      <c r="V694" s="81" t="s">
        <v>155</v>
      </c>
      <c r="W694" s="81" t="s">
        <v>114</v>
      </c>
      <c r="Y694" s="81" t="s">
        <v>115</v>
      </c>
      <c r="Z694" s="81" t="s">
        <v>119</v>
      </c>
      <c r="AA694" s="81" t="s">
        <v>117</v>
      </c>
      <c r="AB694" s="81" t="s">
        <v>120</v>
      </c>
      <c r="AC694" s="166">
        <v>1.2000000104308101E-2</v>
      </c>
      <c r="AD694" s="349">
        <v>43190</v>
      </c>
      <c r="AE694" s="81" t="s">
        <v>155</v>
      </c>
      <c r="AG694" s="81" t="s">
        <v>238</v>
      </c>
      <c r="AH694" s="81" t="s">
        <v>118</v>
      </c>
      <c r="AK694" s="166">
        <v>0</v>
      </c>
      <c r="AM694" s="166">
        <v>0</v>
      </c>
      <c r="AO694" s="166">
        <v>0</v>
      </c>
      <c r="AP694" s="166">
        <v>1</v>
      </c>
      <c r="AQ694" s="166">
        <v>1</v>
      </c>
      <c r="AR694" s="166">
        <v>1</v>
      </c>
      <c r="AS694" s="166">
        <v>-1</v>
      </c>
      <c r="AT694" s="166">
        <v>0</v>
      </c>
      <c r="AU694" s="166">
        <v>0</v>
      </c>
      <c r="AV694" s="166">
        <v>0</v>
      </c>
      <c r="AW694" s="166">
        <v>1</v>
      </c>
      <c r="AX694" s="166">
        <v>1</v>
      </c>
      <c r="AY694" s="166">
        <v>1</v>
      </c>
      <c r="AZ694" s="166">
        <v>0</v>
      </c>
      <c r="BA694" s="166">
        <v>0</v>
      </c>
      <c r="BB694" s="166">
        <v>0</v>
      </c>
      <c r="BC694" s="166">
        <v>0</v>
      </c>
      <c r="BD694" s="166">
        <v>0</v>
      </c>
      <c r="BE694" s="166">
        <v>0</v>
      </c>
      <c r="BF694" s="166">
        <v>0</v>
      </c>
      <c r="BG694" s="166">
        <v>-1</v>
      </c>
      <c r="BH694" s="166">
        <v>0</v>
      </c>
      <c r="BI694" s="166">
        <v>0</v>
      </c>
      <c r="BJ694" s="166">
        <v>0</v>
      </c>
      <c r="BK694" s="166">
        <v>0</v>
      </c>
      <c r="BL694" s="166">
        <v>0</v>
      </c>
      <c r="BM694" s="166">
        <v>0</v>
      </c>
      <c r="BN694" s="166">
        <v>0</v>
      </c>
      <c r="BO694" s="166">
        <v>0</v>
      </c>
      <c r="BP694" s="166">
        <v>0</v>
      </c>
      <c r="BQ694" s="81" t="s">
        <v>1757</v>
      </c>
      <c r="BZ694" s="81" t="s">
        <v>155</v>
      </c>
      <c r="CA694" s="81" t="s">
        <v>3981</v>
      </c>
      <c r="CC694" s="167">
        <v>0</v>
      </c>
      <c r="CD694" s="167">
        <f>$N694/2</f>
        <v>1</v>
      </c>
      <c r="CE694" s="167">
        <f>$N694/2</f>
        <v>1</v>
      </c>
      <c r="CF694" s="167">
        <v>0</v>
      </c>
      <c r="CG694" s="167">
        <v>0</v>
      </c>
      <c r="CH694" s="167">
        <v>0</v>
      </c>
      <c r="CI694" s="167">
        <v>0</v>
      </c>
      <c r="CJ694" s="167">
        <v>0</v>
      </c>
      <c r="CK694" s="167">
        <v>0</v>
      </c>
      <c r="CL694" s="167">
        <v>0</v>
      </c>
      <c r="CM694" s="167">
        <v>0</v>
      </c>
      <c r="CN694" s="167">
        <v>0</v>
      </c>
      <c r="CO694" s="167">
        <v>0</v>
      </c>
      <c r="CP694" s="167">
        <v>0</v>
      </c>
      <c r="CQ694" s="167">
        <v>0</v>
      </c>
      <c r="CR694" s="167">
        <v>0</v>
      </c>
      <c r="CS694" s="167">
        <v>0</v>
      </c>
      <c r="CT694" s="167">
        <v>0</v>
      </c>
      <c r="CU694" s="167">
        <v>0</v>
      </c>
      <c r="CV694" s="167">
        <v>0</v>
      </c>
      <c r="CW694" s="167">
        <v>0</v>
      </c>
      <c r="CX694" s="167">
        <f>SUM(CD694:CH694)</f>
        <v>2</v>
      </c>
      <c r="CY694" s="167">
        <f>SUM(CD694:CM694)</f>
        <v>2</v>
      </c>
    </row>
    <row r="695" spans="1:103" ht="12.75" customHeight="1" x14ac:dyDescent="0.2">
      <c r="A695" s="81">
        <v>6638</v>
      </c>
      <c r="B695" s="165" t="s">
        <v>1908</v>
      </c>
      <c r="C695" s="165" t="s">
        <v>3721</v>
      </c>
      <c r="E695" s="165" t="s">
        <v>3722</v>
      </c>
      <c r="G695" s="81">
        <v>529477</v>
      </c>
      <c r="H695" s="81">
        <v>170860</v>
      </c>
      <c r="I695" s="165" t="s">
        <v>252</v>
      </c>
      <c r="J695" s="349">
        <v>43190</v>
      </c>
      <c r="L695" s="166">
        <v>0</v>
      </c>
      <c r="M695" s="166">
        <v>1</v>
      </c>
      <c r="N695" s="166">
        <v>1</v>
      </c>
      <c r="O695" s="166">
        <v>1</v>
      </c>
      <c r="P695" s="166">
        <v>1</v>
      </c>
      <c r="R695" s="165" t="s">
        <v>3723</v>
      </c>
      <c r="S695" s="81" t="s">
        <v>113</v>
      </c>
      <c r="T695" s="349">
        <v>43006</v>
      </c>
      <c r="U695" s="349">
        <v>43028</v>
      </c>
      <c r="V695" s="81" t="s">
        <v>155</v>
      </c>
      <c r="W695" s="81" t="s">
        <v>114</v>
      </c>
      <c r="Y695" s="81" t="s">
        <v>115</v>
      </c>
      <c r="Z695" s="81" t="s">
        <v>219</v>
      </c>
      <c r="AA695" s="81" t="s">
        <v>117</v>
      </c>
      <c r="AB695" s="81" t="s">
        <v>3889</v>
      </c>
      <c r="AC695" s="166">
        <v>1.00000004749745E-3</v>
      </c>
      <c r="AD695" s="349">
        <v>43190</v>
      </c>
      <c r="AE695" s="81" t="s">
        <v>155</v>
      </c>
      <c r="AG695" s="81" t="s">
        <v>238</v>
      </c>
      <c r="AH695" s="81" t="s">
        <v>118</v>
      </c>
      <c r="AK695" s="166">
        <v>0</v>
      </c>
      <c r="AM695" s="166">
        <v>0</v>
      </c>
      <c r="AO695" s="166">
        <v>0</v>
      </c>
      <c r="AP695" s="166">
        <v>1</v>
      </c>
      <c r="AQ695" s="166">
        <v>0</v>
      </c>
      <c r="AR695" s="166">
        <v>0</v>
      </c>
      <c r="AS695" s="166">
        <v>0</v>
      </c>
      <c r="AT695" s="166">
        <v>0</v>
      </c>
      <c r="AU695" s="166">
        <v>0</v>
      </c>
      <c r="AV695" s="166">
        <v>0</v>
      </c>
      <c r="AW695" s="166">
        <v>1</v>
      </c>
      <c r="AX695" s="166">
        <v>0</v>
      </c>
      <c r="AY695" s="166">
        <v>0</v>
      </c>
      <c r="AZ695" s="166">
        <v>0</v>
      </c>
      <c r="BA695" s="166">
        <v>0</v>
      </c>
      <c r="BB695" s="166">
        <v>0</v>
      </c>
      <c r="BC695" s="166">
        <v>0</v>
      </c>
      <c r="BD695" s="166">
        <v>0</v>
      </c>
      <c r="BE695" s="166">
        <v>0</v>
      </c>
      <c r="BF695" s="166">
        <v>0</v>
      </c>
      <c r="BG695" s="166">
        <v>0</v>
      </c>
      <c r="BH695" s="166">
        <v>0</v>
      </c>
      <c r="BI695" s="166">
        <v>0</v>
      </c>
      <c r="BJ695" s="166">
        <v>0</v>
      </c>
      <c r="BK695" s="166">
        <v>0</v>
      </c>
      <c r="BL695" s="166">
        <v>0</v>
      </c>
      <c r="BM695" s="166">
        <v>0</v>
      </c>
      <c r="BN695" s="166">
        <v>0</v>
      </c>
      <c r="BO695" s="166">
        <v>0</v>
      </c>
      <c r="BP695" s="166">
        <v>0</v>
      </c>
      <c r="BQ695" s="81" t="s">
        <v>1757</v>
      </c>
      <c r="BZ695" s="81" t="s">
        <v>155</v>
      </c>
      <c r="CA695" s="81" t="s">
        <v>3981</v>
      </c>
      <c r="CC695" s="167">
        <v>0</v>
      </c>
      <c r="CD695" s="167">
        <f>$N695/2</f>
        <v>0.5</v>
      </c>
      <c r="CE695" s="167">
        <f>$N695/2</f>
        <v>0.5</v>
      </c>
      <c r="CF695" s="167">
        <v>0</v>
      </c>
      <c r="CG695" s="167">
        <v>0</v>
      </c>
      <c r="CH695" s="167">
        <v>0</v>
      </c>
      <c r="CI695" s="167">
        <v>0</v>
      </c>
      <c r="CJ695" s="167">
        <v>0</v>
      </c>
      <c r="CK695" s="167">
        <v>0</v>
      </c>
      <c r="CL695" s="167">
        <v>0</v>
      </c>
      <c r="CM695" s="167">
        <v>0</v>
      </c>
      <c r="CN695" s="167">
        <v>0</v>
      </c>
      <c r="CO695" s="167">
        <v>0</v>
      </c>
      <c r="CP695" s="167">
        <v>0</v>
      </c>
      <c r="CQ695" s="167">
        <v>0</v>
      </c>
      <c r="CR695" s="167">
        <v>0</v>
      </c>
      <c r="CS695" s="167">
        <v>0</v>
      </c>
      <c r="CT695" s="167">
        <v>0</v>
      </c>
      <c r="CU695" s="167">
        <v>0</v>
      </c>
      <c r="CV695" s="167">
        <v>0</v>
      </c>
      <c r="CW695" s="167">
        <v>0</v>
      </c>
      <c r="CX695" s="167">
        <f>SUM(CD695:CH695)</f>
        <v>1</v>
      </c>
      <c r="CY695" s="167">
        <f>SUM(CD695:CM695)</f>
        <v>1</v>
      </c>
    </row>
    <row r="696" spans="1:103" x14ac:dyDescent="0.2">
      <c r="A696" s="81">
        <v>6650</v>
      </c>
      <c r="B696" s="165" t="s">
        <v>1908</v>
      </c>
      <c r="C696" s="165" t="s">
        <v>3724</v>
      </c>
      <c r="E696" s="165" t="s">
        <v>3725</v>
      </c>
      <c r="G696" s="81">
        <v>527614</v>
      </c>
      <c r="H696" s="81">
        <v>175033</v>
      </c>
      <c r="I696" s="165" t="s">
        <v>255</v>
      </c>
      <c r="J696" s="349">
        <v>43190</v>
      </c>
      <c r="L696" s="166">
        <v>1</v>
      </c>
      <c r="M696" s="166">
        <v>3</v>
      </c>
      <c r="N696" s="166">
        <v>2</v>
      </c>
      <c r="O696" s="166">
        <v>3</v>
      </c>
      <c r="P696" s="166">
        <v>2</v>
      </c>
      <c r="R696" s="165" t="s">
        <v>3726</v>
      </c>
      <c r="S696" s="81" t="s">
        <v>113</v>
      </c>
      <c r="T696" s="349">
        <v>42923</v>
      </c>
      <c r="U696" s="349">
        <v>42979</v>
      </c>
      <c r="V696" s="81" t="s">
        <v>155</v>
      </c>
      <c r="W696" s="81" t="s">
        <v>114</v>
      </c>
      <c r="Y696" s="81" t="s">
        <v>115</v>
      </c>
      <c r="Z696" s="81" t="s">
        <v>398</v>
      </c>
      <c r="AA696" s="81" t="s">
        <v>117</v>
      </c>
      <c r="AB696" s="81" t="s">
        <v>120</v>
      </c>
      <c r="AC696" s="166">
        <v>1.09999999403954E-2</v>
      </c>
      <c r="AD696" s="349">
        <v>43190</v>
      </c>
      <c r="AE696" s="81" t="s">
        <v>155</v>
      </c>
      <c r="AG696" s="81" t="s">
        <v>238</v>
      </c>
      <c r="AH696" s="81" t="s">
        <v>118</v>
      </c>
      <c r="AK696" s="166">
        <v>0</v>
      </c>
      <c r="AM696" s="166">
        <v>0</v>
      </c>
      <c r="AO696" s="166">
        <v>1</v>
      </c>
      <c r="AP696" s="166">
        <v>0</v>
      </c>
      <c r="AQ696" s="166">
        <v>1</v>
      </c>
      <c r="AR696" s="166">
        <v>1</v>
      </c>
      <c r="AS696" s="166">
        <v>-1</v>
      </c>
      <c r="AT696" s="166">
        <v>0</v>
      </c>
      <c r="AU696" s="166">
        <v>0</v>
      </c>
      <c r="AV696" s="166">
        <v>1</v>
      </c>
      <c r="AW696" s="166">
        <v>0</v>
      </c>
      <c r="AX696" s="166">
        <v>1</v>
      </c>
      <c r="AY696" s="166">
        <v>1</v>
      </c>
      <c r="AZ696" s="166">
        <v>0</v>
      </c>
      <c r="BA696" s="166">
        <v>0</v>
      </c>
      <c r="BB696" s="166">
        <v>0</v>
      </c>
      <c r="BC696" s="166">
        <v>0</v>
      </c>
      <c r="BD696" s="166">
        <v>0</v>
      </c>
      <c r="BE696" s="166">
        <v>0</v>
      </c>
      <c r="BF696" s="166">
        <v>0</v>
      </c>
      <c r="BG696" s="166">
        <v>-1</v>
      </c>
      <c r="BH696" s="166">
        <v>0</v>
      </c>
      <c r="BI696" s="166">
        <v>0</v>
      </c>
      <c r="BJ696" s="166">
        <v>0</v>
      </c>
      <c r="BK696" s="166">
        <v>0</v>
      </c>
      <c r="BL696" s="166">
        <v>0</v>
      </c>
      <c r="BM696" s="166">
        <v>0</v>
      </c>
      <c r="BN696" s="166">
        <v>0</v>
      </c>
      <c r="BO696" s="166">
        <v>0</v>
      </c>
      <c r="BP696" s="166">
        <v>0</v>
      </c>
      <c r="BQ696" s="81" t="s">
        <v>1757</v>
      </c>
      <c r="BZ696" s="81" t="s">
        <v>155</v>
      </c>
      <c r="CA696" s="81" t="s">
        <v>3981</v>
      </c>
      <c r="CC696" s="167">
        <v>0</v>
      </c>
      <c r="CD696" s="167">
        <f>$N696/2</f>
        <v>1</v>
      </c>
      <c r="CE696" s="167">
        <f>$N696/2</f>
        <v>1</v>
      </c>
      <c r="CF696" s="167">
        <v>0</v>
      </c>
      <c r="CG696" s="167">
        <v>0</v>
      </c>
      <c r="CH696" s="167">
        <v>0</v>
      </c>
      <c r="CI696" s="167">
        <v>0</v>
      </c>
      <c r="CJ696" s="167">
        <v>0</v>
      </c>
      <c r="CK696" s="167">
        <v>0</v>
      </c>
      <c r="CL696" s="167">
        <v>0</v>
      </c>
      <c r="CM696" s="167">
        <v>0</v>
      </c>
      <c r="CN696" s="167">
        <v>0</v>
      </c>
      <c r="CO696" s="167">
        <v>0</v>
      </c>
      <c r="CP696" s="167">
        <v>0</v>
      </c>
      <c r="CQ696" s="167">
        <v>0</v>
      </c>
      <c r="CR696" s="167">
        <v>0</v>
      </c>
      <c r="CS696" s="167">
        <v>0</v>
      </c>
      <c r="CT696" s="167">
        <v>0</v>
      </c>
      <c r="CU696" s="167">
        <v>0</v>
      </c>
      <c r="CV696" s="167">
        <v>0</v>
      </c>
      <c r="CW696" s="167">
        <v>0</v>
      </c>
      <c r="CX696" s="167">
        <f>SUM(CD696:CH696)</f>
        <v>2</v>
      </c>
      <c r="CY696" s="167">
        <f>SUM(CD696:CM696)</f>
        <v>2</v>
      </c>
    </row>
    <row r="697" spans="1:103" ht="12.75" customHeight="1" x14ac:dyDescent="0.2">
      <c r="A697" s="81">
        <v>6677</v>
      </c>
      <c r="B697" s="165" t="s">
        <v>1908</v>
      </c>
      <c r="C697" s="165" t="s">
        <v>3727</v>
      </c>
      <c r="E697" s="165" t="s">
        <v>3728</v>
      </c>
      <c r="G697" s="81">
        <v>527272</v>
      </c>
      <c r="H697" s="81">
        <v>175730</v>
      </c>
      <c r="I697" s="165" t="s">
        <v>241</v>
      </c>
      <c r="J697" s="349">
        <v>43190</v>
      </c>
      <c r="L697" s="166">
        <v>1</v>
      </c>
      <c r="M697" s="166">
        <v>2</v>
      </c>
      <c r="N697" s="166">
        <v>1</v>
      </c>
      <c r="O697" s="166">
        <v>2</v>
      </c>
      <c r="P697" s="166">
        <v>1</v>
      </c>
      <c r="R697" s="165" t="s">
        <v>3729</v>
      </c>
      <c r="S697" s="81" t="s">
        <v>113</v>
      </c>
      <c r="T697" s="349">
        <v>42941</v>
      </c>
      <c r="U697" s="349">
        <v>42997</v>
      </c>
      <c r="V697" s="81" t="s">
        <v>155</v>
      </c>
      <c r="W697" s="81" t="s">
        <v>114</v>
      </c>
      <c r="Y697" s="81" t="s">
        <v>115</v>
      </c>
      <c r="Z697" s="81" t="s">
        <v>398</v>
      </c>
      <c r="AA697" s="81" t="s">
        <v>117</v>
      </c>
      <c r="AB697" s="81" t="s">
        <v>220</v>
      </c>
      <c r="AC697" s="166">
        <v>6.0000000521540598E-3</v>
      </c>
      <c r="AD697" s="349">
        <v>43190</v>
      </c>
      <c r="AE697" s="81" t="s">
        <v>155</v>
      </c>
      <c r="AG697" s="81" t="s">
        <v>238</v>
      </c>
      <c r="AH697" s="81" t="s">
        <v>118</v>
      </c>
      <c r="AK697" s="166">
        <v>0</v>
      </c>
      <c r="AM697" s="166">
        <v>0</v>
      </c>
      <c r="AO697" s="166">
        <v>0</v>
      </c>
      <c r="AP697" s="166">
        <v>1</v>
      </c>
      <c r="AQ697" s="166">
        <v>1</v>
      </c>
      <c r="AR697" s="166">
        <v>-1</v>
      </c>
      <c r="AS697" s="166">
        <v>0</v>
      </c>
      <c r="AT697" s="166">
        <v>0</v>
      </c>
      <c r="AU697" s="166">
        <v>0</v>
      </c>
      <c r="AV697" s="166">
        <v>0</v>
      </c>
      <c r="AW697" s="166">
        <v>1</v>
      </c>
      <c r="AX697" s="166">
        <v>1</v>
      </c>
      <c r="AY697" s="166">
        <v>-1</v>
      </c>
      <c r="AZ697" s="166">
        <v>0</v>
      </c>
      <c r="BA697" s="166">
        <v>0</v>
      </c>
      <c r="BB697" s="166">
        <v>0</v>
      </c>
      <c r="BC697" s="166">
        <v>0</v>
      </c>
      <c r="BD697" s="166">
        <v>0</v>
      </c>
      <c r="BE697" s="166">
        <v>0</v>
      </c>
      <c r="BF697" s="166">
        <v>0</v>
      </c>
      <c r="BG697" s="166">
        <v>0</v>
      </c>
      <c r="BH697" s="166">
        <v>0</v>
      </c>
      <c r="BI697" s="166">
        <v>0</v>
      </c>
      <c r="BJ697" s="166">
        <v>0</v>
      </c>
      <c r="BK697" s="166">
        <v>0</v>
      </c>
      <c r="BL697" s="166">
        <v>0</v>
      </c>
      <c r="BM697" s="166">
        <v>0</v>
      </c>
      <c r="BN697" s="166">
        <v>0</v>
      </c>
      <c r="BO697" s="166">
        <v>0</v>
      </c>
      <c r="BP697" s="166">
        <v>0</v>
      </c>
      <c r="BQ697" s="81" t="s">
        <v>1757</v>
      </c>
      <c r="BZ697" s="81" t="s">
        <v>155</v>
      </c>
      <c r="CA697" s="81" t="s">
        <v>3981</v>
      </c>
      <c r="CC697" s="167">
        <v>0</v>
      </c>
      <c r="CD697" s="167">
        <f>$N697/2</f>
        <v>0.5</v>
      </c>
      <c r="CE697" s="167">
        <f>$N697/2</f>
        <v>0.5</v>
      </c>
      <c r="CF697" s="167">
        <v>0</v>
      </c>
      <c r="CG697" s="167">
        <v>0</v>
      </c>
      <c r="CH697" s="167">
        <v>0</v>
      </c>
      <c r="CI697" s="167">
        <v>0</v>
      </c>
      <c r="CJ697" s="167">
        <v>0</v>
      </c>
      <c r="CK697" s="167">
        <v>0</v>
      </c>
      <c r="CL697" s="167">
        <v>0</v>
      </c>
      <c r="CM697" s="167">
        <v>0</v>
      </c>
      <c r="CN697" s="167">
        <v>0</v>
      </c>
      <c r="CO697" s="167">
        <v>0</v>
      </c>
      <c r="CP697" s="167">
        <v>0</v>
      </c>
      <c r="CQ697" s="167">
        <v>0</v>
      </c>
      <c r="CR697" s="167">
        <v>0</v>
      </c>
      <c r="CS697" s="167">
        <v>0</v>
      </c>
      <c r="CT697" s="167">
        <v>0</v>
      </c>
      <c r="CU697" s="167">
        <v>0</v>
      </c>
      <c r="CV697" s="167">
        <v>0</v>
      </c>
      <c r="CW697" s="167">
        <v>0</v>
      </c>
      <c r="CX697" s="167">
        <f>SUM(CD697:CH697)</f>
        <v>1</v>
      </c>
      <c r="CY697" s="167">
        <f>SUM(CD697:CM697)</f>
        <v>1</v>
      </c>
    </row>
    <row r="698" spans="1:103" ht="12.75" customHeight="1" x14ac:dyDescent="0.2">
      <c r="A698" s="81">
        <v>6693</v>
      </c>
      <c r="B698" s="165" t="s">
        <v>1908</v>
      </c>
      <c r="C698" s="165" t="s">
        <v>3730</v>
      </c>
      <c r="E698" s="165" t="s">
        <v>3731</v>
      </c>
      <c r="G698" s="81">
        <v>528847</v>
      </c>
      <c r="H698" s="81">
        <v>172948</v>
      </c>
      <c r="I698" s="165" t="s">
        <v>248</v>
      </c>
      <c r="J698" s="349">
        <v>43190</v>
      </c>
      <c r="L698" s="166">
        <v>0</v>
      </c>
      <c r="M698" s="166">
        <v>3</v>
      </c>
      <c r="N698" s="166">
        <v>3</v>
      </c>
      <c r="O698" s="166">
        <v>3</v>
      </c>
      <c r="P698" s="166">
        <v>3</v>
      </c>
      <c r="R698" s="165" t="s">
        <v>3732</v>
      </c>
      <c r="S698" s="81" t="s">
        <v>113</v>
      </c>
      <c r="T698" s="349">
        <v>42955</v>
      </c>
      <c r="U698" s="349">
        <v>43082</v>
      </c>
      <c r="V698" s="81" t="s">
        <v>155</v>
      </c>
      <c r="W698" s="81" t="s">
        <v>114</v>
      </c>
      <c r="Y698" s="81" t="s">
        <v>115</v>
      </c>
      <c r="Z698" s="81" t="s">
        <v>398</v>
      </c>
      <c r="AA698" s="81" t="s">
        <v>117</v>
      </c>
      <c r="AB698" s="81" t="s">
        <v>311</v>
      </c>
      <c r="AC698" s="166">
        <v>2.8999999165535001E-2</v>
      </c>
      <c r="AD698" s="349">
        <v>43190</v>
      </c>
      <c r="AE698" s="81" t="s">
        <v>155</v>
      </c>
      <c r="AG698" s="81" t="s">
        <v>238</v>
      </c>
      <c r="AH698" s="81" t="s">
        <v>118</v>
      </c>
      <c r="AK698" s="166">
        <v>0</v>
      </c>
      <c r="AM698" s="166">
        <v>0</v>
      </c>
      <c r="AO698" s="166">
        <v>0</v>
      </c>
      <c r="AP698" s="166">
        <v>0</v>
      </c>
      <c r="AQ698" s="166">
        <v>2</v>
      </c>
      <c r="AR698" s="166">
        <v>1</v>
      </c>
      <c r="AS698" s="166">
        <v>0</v>
      </c>
      <c r="AT698" s="166">
        <v>0</v>
      </c>
      <c r="AU698" s="166">
        <v>0</v>
      </c>
      <c r="AV698" s="166">
        <v>0</v>
      </c>
      <c r="AW698" s="166">
        <v>0</v>
      </c>
      <c r="AX698" s="166">
        <v>2</v>
      </c>
      <c r="AY698" s="166">
        <v>1</v>
      </c>
      <c r="AZ698" s="166">
        <v>0</v>
      </c>
      <c r="BA698" s="166">
        <v>0</v>
      </c>
      <c r="BB698" s="166">
        <v>0</v>
      </c>
      <c r="BC698" s="166">
        <v>0</v>
      </c>
      <c r="BD698" s="166">
        <v>0</v>
      </c>
      <c r="BE698" s="166">
        <v>0</v>
      </c>
      <c r="BF698" s="166">
        <v>0</v>
      </c>
      <c r="BG698" s="166">
        <v>0</v>
      </c>
      <c r="BH698" s="166">
        <v>0</v>
      </c>
      <c r="BI698" s="166">
        <v>0</v>
      </c>
      <c r="BJ698" s="166">
        <v>0</v>
      </c>
      <c r="BK698" s="166">
        <v>0</v>
      </c>
      <c r="BL698" s="166">
        <v>0</v>
      </c>
      <c r="BM698" s="166">
        <v>0</v>
      </c>
      <c r="BN698" s="166">
        <v>0</v>
      </c>
      <c r="BO698" s="166">
        <v>0</v>
      </c>
      <c r="BP698" s="166">
        <v>0</v>
      </c>
      <c r="BQ698" s="81" t="s">
        <v>1757</v>
      </c>
      <c r="BZ698" s="81" t="s">
        <v>155</v>
      </c>
      <c r="CA698" s="81" t="s">
        <v>3981</v>
      </c>
      <c r="CC698" s="167">
        <v>0</v>
      </c>
      <c r="CD698" s="167">
        <f>$N698/2</f>
        <v>1.5</v>
      </c>
      <c r="CE698" s="167">
        <f>$N698/2</f>
        <v>1.5</v>
      </c>
      <c r="CF698" s="167">
        <v>0</v>
      </c>
      <c r="CG698" s="167">
        <v>0</v>
      </c>
      <c r="CH698" s="167">
        <v>0</v>
      </c>
      <c r="CI698" s="167">
        <v>0</v>
      </c>
      <c r="CJ698" s="167">
        <v>0</v>
      </c>
      <c r="CK698" s="167">
        <v>0</v>
      </c>
      <c r="CL698" s="167">
        <v>0</v>
      </c>
      <c r="CM698" s="167">
        <v>0</v>
      </c>
      <c r="CN698" s="167">
        <v>0</v>
      </c>
      <c r="CO698" s="167">
        <v>0</v>
      </c>
      <c r="CP698" s="167">
        <v>0</v>
      </c>
      <c r="CQ698" s="167">
        <v>0</v>
      </c>
      <c r="CR698" s="167">
        <v>0</v>
      </c>
      <c r="CS698" s="167">
        <v>0</v>
      </c>
      <c r="CT698" s="167">
        <v>0</v>
      </c>
      <c r="CU698" s="167">
        <v>0</v>
      </c>
      <c r="CV698" s="167">
        <v>0</v>
      </c>
      <c r="CW698" s="167">
        <v>0</v>
      </c>
      <c r="CX698" s="167">
        <f>SUM(CD698:CH698)</f>
        <v>3</v>
      </c>
      <c r="CY698" s="167">
        <f>SUM(CD698:CM698)</f>
        <v>3</v>
      </c>
    </row>
    <row r="699" spans="1:103" ht="12.75" customHeight="1" x14ac:dyDescent="0.2">
      <c r="A699" s="81">
        <v>6703</v>
      </c>
      <c r="B699" s="165" t="s">
        <v>1908</v>
      </c>
      <c r="C699" s="165" t="s">
        <v>3733</v>
      </c>
      <c r="E699" s="165" t="s">
        <v>3734</v>
      </c>
      <c r="G699" s="81">
        <v>527632</v>
      </c>
      <c r="H699" s="81">
        <v>170817</v>
      </c>
      <c r="I699" s="165" t="s">
        <v>253</v>
      </c>
      <c r="J699" s="349">
        <v>43066</v>
      </c>
      <c r="L699" s="166">
        <v>2</v>
      </c>
      <c r="M699" s="166">
        <v>1</v>
      </c>
      <c r="N699" s="166">
        <v>-1</v>
      </c>
      <c r="O699" s="166">
        <v>1</v>
      </c>
      <c r="P699" s="166">
        <v>-1</v>
      </c>
      <c r="R699" s="165" t="s">
        <v>3735</v>
      </c>
      <c r="S699" s="81" t="s">
        <v>113</v>
      </c>
      <c r="T699" s="349">
        <v>42951</v>
      </c>
      <c r="U699" s="349">
        <v>43006</v>
      </c>
      <c r="V699" s="81" t="s">
        <v>155</v>
      </c>
      <c r="W699" s="81" t="s">
        <v>114</v>
      </c>
      <c r="Y699" s="81" t="s">
        <v>115</v>
      </c>
      <c r="Z699" s="81" t="s">
        <v>119</v>
      </c>
      <c r="AA699" s="81" t="s">
        <v>117</v>
      </c>
      <c r="AB699" s="81" t="s">
        <v>336</v>
      </c>
      <c r="AC699" s="166">
        <v>1.7000000923872001E-2</v>
      </c>
      <c r="AD699" s="349">
        <v>43066</v>
      </c>
      <c r="AE699" s="81" t="s">
        <v>155</v>
      </c>
      <c r="AG699" s="81" t="s">
        <v>238</v>
      </c>
      <c r="AH699" s="81" t="s">
        <v>118</v>
      </c>
      <c r="AK699" s="166">
        <v>0</v>
      </c>
      <c r="AM699" s="166">
        <v>0</v>
      </c>
      <c r="AO699" s="166">
        <v>0</v>
      </c>
      <c r="AP699" s="166">
        <v>-2</v>
      </c>
      <c r="AQ699" s="166">
        <v>0</v>
      </c>
      <c r="AR699" s="166">
        <v>0</v>
      </c>
      <c r="AS699" s="166">
        <v>0</v>
      </c>
      <c r="AT699" s="166">
        <v>1</v>
      </c>
      <c r="AU699" s="166">
        <v>0</v>
      </c>
      <c r="AV699" s="166">
        <v>0</v>
      </c>
      <c r="AW699" s="166">
        <v>-2</v>
      </c>
      <c r="AX699" s="166">
        <v>0</v>
      </c>
      <c r="AY699" s="166">
        <v>0</v>
      </c>
      <c r="AZ699" s="166">
        <v>0</v>
      </c>
      <c r="BA699" s="166">
        <v>0</v>
      </c>
      <c r="BB699" s="166">
        <v>0</v>
      </c>
      <c r="BC699" s="166">
        <v>0</v>
      </c>
      <c r="BD699" s="166">
        <v>0</v>
      </c>
      <c r="BE699" s="166">
        <v>0</v>
      </c>
      <c r="BF699" s="166">
        <v>0</v>
      </c>
      <c r="BG699" s="166">
        <v>0</v>
      </c>
      <c r="BH699" s="166">
        <v>1</v>
      </c>
      <c r="BI699" s="166">
        <v>0</v>
      </c>
      <c r="BJ699" s="166">
        <v>0</v>
      </c>
      <c r="BK699" s="166">
        <v>0</v>
      </c>
      <c r="BL699" s="166">
        <v>0</v>
      </c>
      <c r="BM699" s="166">
        <v>0</v>
      </c>
      <c r="BN699" s="166">
        <v>0</v>
      </c>
      <c r="BO699" s="166">
        <v>0</v>
      </c>
      <c r="BP699" s="166">
        <v>0</v>
      </c>
      <c r="BQ699" s="81" t="s">
        <v>1757</v>
      </c>
      <c r="BZ699" s="81" t="s">
        <v>155</v>
      </c>
      <c r="CA699" s="81" t="s">
        <v>3981</v>
      </c>
      <c r="CC699" s="167">
        <v>0</v>
      </c>
      <c r="CD699" s="167">
        <f>$N699/2</f>
        <v>-0.5</v>
      </c>
      <c r="CE699" s="167">
        <f>$N699/2</f>
        <v>-0.5</v>
      </c>
      <c r="CF699" s="167">
        <v>0</v>
      </c>
      <c r="CG699" s="167">
        <v>0</v>
      </c>
      <c r="CH699" s="167">
        <v>0</v>
      </c>
      <c r="CI699" s="167">
        <v>0</v>
      </c>
      <c r="CJ699" s="167">
        <v>0</v>
      </c>
      <c r="CK699" s="167">
        <v>0</v>
      </c>
      <c r="CL699" s="167">
        <v>0</v>
      </c>
      <c r="CM699" s="167">
        <v>0</v>
      </c>
      <c r="CN699" s="167">
        <v>0</v>
      </c>
      <c r="CO699" s="167">
        <v>0</v>
      </c>
      <c r="CP699" s="167">
        <v>0</v>
      </c>
      <c r="CQ699" s="167">
        <v>0</v>
      </c>
      <c r="CR699" s="167">
        <v>0</v>
      </c>
      <c r="CS699" s="167">
        <v>0</v>
      </c>
      <c r="CT699" s="167">
        <v>0</v>
      </c>
      <c r="CU699" s="167">
        <v>0</v>
      </c>
      <c r="CV699" s="167">
        <v>0</v>
      </c>
      <c r="CW699" s="167">
        <v>0</v>
      </c>
      <c r="CX699" s="167">
        <f>SUM(CD699:CH699)</f>
        <v>-1</v>
      </c>
      <c r="CY699" s="167">
        <f>SUM(CD699:CM699)</f>
        <v>-1</v>
      </c>
    </row>
    <row r="700" spans="1:103" ht="12.75" customHeight="1" x14ac:dyDescent="0.2">
      <c r="A700" s="81">
        <v>6722</v>
      </c>
      <c r="B700" s="165" t="s">
        <v>1908</v>
      </c>
      <c r="C700" s="165" t="s">
        <v>3736</v>
      </c>
      <c r="E700" s="165" t="s">
        <v>3737</v>
      </c>
      <c r="G700" s="81">
        <v>527248</v>
      </c>
      <c r="H700" s="81">
        <v>171364</v>
      </c>
      <c r="I700" s="165" t="s">
        <v>242</v>
      </c>
      <c r="J700" s="349">
        <v>43190</v>
      </c>
      <c r="L700" s="166">
        <v>2</v>
      </c>
      <c r="M700" s="166">
        <v>3</v>
      </c>
      <c r="N700" s="166">
        <v>1</v>
      </c>
      <c r="O700" s="166">
        <v>3</v>
      </c>
      <c r="P700" s="166">
        <v>1</v>
      </c>
      <c r="R700" s="165" t="s">
        <v>3738</v>
      </c>
      <c r="S700" s="81" t="s">
        <v>113</v>
      </c>
      <c r="T700" s="349">
        <v>43021</v>
      </c>
      <c r="U700" s="349">
        <v>43118</v>
      </c>
      <c r="V700" s="81" t="s">
        <v>155</v>
      </c>
      <c r="W700" s="81" t="s">
        <v>114</v>
      </c>
      <c r="Y700" s="81" t="s">
        <v>115</v>
      </c>
      <c r="Z700" s="81" t="s">
        <v>398</v>
      </c>
      <c r="AA700" s="81" t="s">
        <v>117</v>
      </c>
      <c r="AB700" s="81" t="s">
        <v>220</v>
      </c>
      <c r="AC700" s="166">
        <v>9.9999997764825804E-3</v>
      </c>
      <c r="AD700" s="349">
        <v>43190</v>
      </c>
      <c r="AE700" s="81" t="s">
        <v>155</v>
      </c>
      <c r="AG700" s="81" t="s">
        <v>238</v>
      </c>
      <c r="AH700" s="81" t="s">
        <v>118</v>
      </c>
      <c r="AK700" s="166">
        <v>0</v>
      </c>
      <c r="AM700" s="166">
        <v>0</v>
      </c>
      <c r="AO700" s="166">
        <v>0</v>
      </c>
      <c r="AP700" s="166">
        <v>1</v>
      </c>
      <c r="AQ700" s="166">
        <v>0</v>
      </c>
      <c r="AR700" s="166">
        <v>1</v>
      </c>
      <c r="AS700" s="166">
        <v>-1</v>
      </c>
      <c r="AT700" s="166">
        <v>0</v>
      </c>
      <c r="AU700" s="166">
        <v>0</v>
      </c>
      <c r="AV700" s="166">
        <v>0</v>
      </c>
      <c r="AW700" s="166">
        <v>1</v>
      </c>
      <c r="AX700" s="166">
        <v>0</v>
      </c>
      <c r="AY700" s="166">
        <v>1</v>
      </c>
      <c r="AZ700" s="166">
        <v>-1</v>
      </c>
      <c r="BA700" s="166">
        <v>0</v>
      </c>
      <c r="BB700" s="166">
        <v>0</v>
      </c>
      <c r="BC700" s="166">
        <v>0</v>
      </c>
      <c r="BD700" s="166">
        <v>0</v>
      </c>
      <c r="BE700" s="166">
        <v>0</v>
      </c>
      <c r="BF700" s="166">
        <v>0</v>
      </c>
      <c r="BG700" s="166">
        <v>0</v>
      </c>
      <c r="BH700" s="166">
        <v>0</v>
      </c>
      <c r="BI700" s="166">
        <v>0</v>
      </c>
      <c r="BJ700" s="166">
        <v>0</v>
      </c>
      <c r="BK700" s="166">
        <v>0</v>
      </c>
      <c r="BL700" s="166">
        <v>0</v>
      </c>
      <c r="BM700" s="166">
        <v>0</v>
      </c>
      <c r="BN700" s="166">
        <v>0</v>
      </c>
      <c r="BO700" s="166">
        <v>0</v>
      </c>
      <c r="BP700" s="166">
        <v>0</v>
      </c>
      <c r="BQ700" s="81" t="s">
        <v>1757</v>
      </c>
      <c r="BZ700" s="81" t="s">
        <v>155</v>
      </c>
      <c r="CA700" s="81" t="s">
        <v>3981</v>
      </c>
      <c r="CC700" s="167">
        <v>0</v>
      </c>
      <c r="CD700" s="167">
        <f>$N700/2</f>
        <v>0.5</v>
      </c>
      <c r="CE700" s="167">
        <f>$N700/2</f>
        <v>0.5</v>
      </c>
      <c r="CF700" s="167">
        <v>0</v>
      </c>
      <c r="CG700" s="167">
        <v>0</v>
      </c>
      <c r="CH700" s="167">
        <v>0</v>
      </c>
      <c r="CI700" s="167">
        <v>0</v>
      </c>
      <c r="CJ700" s="167">
        <v>0</v>
      </c>
      <c r="CK700" s="167">
        <v>0</v>
      </c>
      <c r="CL700" s="167">
        <v>0</v>
      </c>
      <c r="CM700" s="167">
        <v>0</v>
      </c>
      <c r="CN700" s="167">
        <v>0</v>
      </c>
      <c r="CO700" s="167">
        <v>0</v>
      </c>
      <c r="CP700" s="167">
        <v>0</v>
      </c>
      <c r="CQ700" s="167">
        <v>0</v>
      </c>
      <c r="CR700" s="167">
        <v>0</v>
      </c>
      <c r="CS700" s="167">
        <v>0</v>
      </c>
      <c r="CT700" s="167">
        <v>0</v>
      </c>
      <c r="CU700" s="167">
        <v>0</v>
      </c>
      <c r="CV700" s="167">
        <v>0</v>
      </c>
      <c r="CW700" s="167">
        <v>0</v>
      </c>
      <c r="CX700" s="167">
        <f>SUM(CD700:CH700)</f>
        <v>1</v>
      </c>
      <c r="CY700" s="167">
        <f>SUM(CD700:CM700)</f>
        <v>1</v>
      </c>
    </row>
    <row r="701" spans="1:103" ht="12.75" customHeight="1" x14ac:dyDescent="0.2">
      <c r="A701" s="81">
        <v>6740</v>
      </c>
      <c r="B701" s="165" t="s">
        <v>1908</v>
      </c>
      <c r="C701" s="165" t="s">
        <v>3739</v>
      </c>
      <c r="E701" s="165" t="s">
        <v>3740</v>
      </c>
      <c r="G701" s="81">
        <v>528278</v>
      </c>
      <c r="H701" s="81">
        <v>173009</v>
      </c>
      <c r="I701" s="165" t="s">
        <v>254</v>
      </c>
      <c r="J701" s="349">
        <v>43190</v>
      </c>
      <c r="L701" s="166">
        <v>0</v>
      </c>
      <c r="M701" s="166">
        <v>1</v>
      </c>
      <c r="N701" s="166">
        <v>1</v>
      </c>
      <c r="O701" s="166">
        <v>1</v>
      </c>
      <c r="P701" s="166">
        <v>1</v>
      </c>
      <c r="R701" s="165" t="s">
        <v>1494</v>
      </c>
      <c r="S701" s="81" t="s">
        <v>110</v>
      </c>
      <c r="T701" s="349">
        <v>43052</v>
      </c>
      <c r="U701" s="349">
        <v>43108</v>
      </c>
      <c r="V701" s="81" t="s">
        <v>155</v>
      </c>
      <c r="W701" s="81" t="s">
        <v>114</v>
      </c>
      <c r="Y701" s="81" t="s">
        <v>115</v>
      </c>
      <c r="Z701" s="81" t="s">
        <v>310</v>
      </c>
      <c r="AA701" s="81" t="s">
        <v>117</v>
      </c>
      <c r="AB701" s="81" t="s">
        <v>102</v>
      </c>
      <c r="AC701" s="166">
        <v>8.0000003799796104E-3</v>
      </c>
      <c r="AD701" s="349">
        <v>43190</v>
      </c>
      <c r="AE701" s="81" t="s">
        <v>155</v>
      </c>
      <c r="AG701" s="81" t="s">
        <v>238</v>
      </c>
      <c r="AH701" s="81" t="s">
        <v>118</v>
      </c>
      <c r="AK701" s="166">
        <v>0</v>
      </c>
      <c r="AM701" s="166">
        <v>0</v>
      </c>
      <c r="AO701" s="166">
        <v>0</v>
      </c>
      <c r="AP701" s="166">
        <v>0</v>
      </c>
      <c r="AQ701" s="166">
        <v>1</v>
      </c>
      <c r="AR701" s="166">
        <v>0</v>
      </c>
      <c r="AS701" s="166">
        <v>0</v>
      </c>
      <c r="AT701" s="166">
        <v>0</v>
      </c>
      <c r="AU701" s="166">
        <v>0</v>
      </c>
      <c r="AV701" s="166">
        <v>0</v>
      </c>
      <c r="AW701" s="166">
        <v>0</v>
      </c>
      <c r="AX701" s="166">
        <v>1</v>
      </c>
      <c r="AY701" s="166">
        <v>0</v>
      </c>
      <c r="AZ701" s="166">
        <v>0</v>
      </c>
      <c r="BA701" s="166">
        <v>0</v>
      </c>
      <c r="BB701" s="166">
        <v>0</v>
      </c>
      <c r="BC701" s="166">
        <v>0</v>
      </c>
      <c r="BD701" s="166">
        <v>0</v>
      </c>
      <c r="BE701" s="166">
        <v>0</v>
      </c>
      <c r="BF701" s="166">
        <v>0</v>
      </c>
      <c r="BG701" s="166">
        <v>0</v>
      </c>
      <c r="BH701" s="166">
        <v>0</v>
      </c>
      <c r="BI701" s="166">
        <v>0</v>
      </c>
      <c r="BJ701" s="166">
        <v>0</v>
      </c>
      <c r="BK701" s="166">
        <v>0</v>
      </c>
      <c r="BL701" s="166">
        <v>0</v>
      </c>
      <c r="BM701" s="166">
        <v>0</v>
      </c>
      <c r="BN701" s="166">
        <v>0</v>
      </c>
      <c r="BO701" s="166">
        <v>0</v>
      </c>
      <c r="BP701" s="166">
        <v>0</v>
      </c>
      <c r="BQ701" s="81" t="s">
        <v>1757</v>
      </c>
      <c r="BZ701" s="81" t="s">
        <v>155</v>
      </c>
      <c r="CA701" s="81" t="s">
        <v>3981</v>
      </c>
      <c r="CC701" s="167">
        <v>0</v>
      </c>
      <c r="CD701" s="167">
        <f>$N701/2</f>
        <v>0.5</v>
      </c>
      <c r="CE701" s="167">
        <f>$N701/2</f>
        <v>0.5</v>
      </c>
      <c r="CF701" s="167">
        <v>0</v>
      </c>
      <c r="CG701" s="167">
        <v>0</v>
      </c>
      <c r="CH701" s="167">
        <v>0</v>
      </c>
      <c r="CI701" s="167">
        <v>0</v>
      </c>
      <c r="CJ701" s="167">
        <v>0</v>
      </c>
      <c r="CK701" s="167">
        <v>0</v>
      </c>
      <c r="CL701" s="167">
        <v>0</v>
      </c>
      <c r="CM701" s="167">
        <v>0</v>
      </c>
      <c r="CN701" s="167">
        <v>0</v>
      </c>
      <c r="CO701" s="167">
        <v>0</v>
      </c>
      <c r="CP701" s="167">
        <v>0</v>
      </c>
      <c r="CQ701" s="167">
        <v>0</v>
      </c>
      <c r="CR701" s="167">
        <v>0</v>
      </c>
      <c r="CS701" s="167">
        <v>0</v>
      </c>
      <c r="CT701" s="167">
        <v>0</v>
      </c>
      <c r="CU701" s="167">
        <v>0</v>
      </c>
      <c r="CV701" s="167">
        <v>0</v>
      </c>
      <c r="CW701" s="167">
        <v>0</v>
      </c>
      <c r="CX701" s="167">
        <f>SUM(CD701:CH701)</f>
        <v>1</v>
      </c>
      <c r="CY701" s="167">
        <f>SUM(CD701:CM701)</f>
        <v>1</v>
      </c>
    </row>
    <row r="702" spans="1:103" ht="12.75" customHeight="1" x14ac:dyDescent="0.2">
      <c r="A702" s="81">
        <v>6741</v>
      </c>
      <c r="B702" s="165" t="s">
        <v>1908</v>
      </c>
      <c r="C702" s="165" t="s">
        <v>3741</v>
      </c>
      <c r="E702" s="165" t="s">
        <v>3742</v>
      </c>
      <c r="G702" s="81">
        <v>525163</v>
      </c>
      <c r="H702" s="81">
        <v>173398</v>
      </c>
      <c r="I702" s="165" t="s">
        <v>258</v>
      </c>
      <c r="J702" s="349">
        <v>43190</v>
      </c>
      <c r="L702" s="166">
        <v>0</v>
      </c>
      <c r="M702" s="166">
        <v>1</v>
      </c>
      <c r="N702" s="166">
        <v>1</v>
      </c>
      <c r="O702" s="166">
        <v>1</v>
      </c>
      <c r="P702" s="166">
        <v>1</v>
      </c>
      <c r="R702" s="165" t="s">
        <v>3743</v>
      </c>
      <c r="S702" s="81" t="s">
        <v>113</v>
      </c>
      <c r="T702" s="349">
        <v>43049</v>
      </c>
      <c r="U702" s="349">
        <v>43153</v>
      </c>
      <c r="V702" s="81" t="s">
        <v>155</v>
      </c>
      <c r="W702" s="81" t="s">
        <v>114</v>
      </c>
      <c r="Y702" s="81" t="s">
        <v>115</v>
      </c>
      <c r="Z702" s="81" t="s">
        <v>310</v>
      </c>
      <c r="AA702" s="81" t="s">
        <v>117</v>
      </c>
      <c r="AB702" s="81" t="s">
        <v>311</v>
      </c>
      <c r="AC702" s="166">
        <v>4.0000001899898104E-3</v>
      </c>
      <c r="AD702" s="349">
        <v>43190</v>
      </c>
      <c r="AE702" s="81" t="s">
        <v>155</v>
      </c>
      <c r="AG702" s="81" t="s">
        <v>238</v>
      </c>
      <c r="AH702" s="81" t="s">
        <v>118</v>
      </c>
      <c r="AK702" s="166">
        <v>0</v>
      </c>
      <c r="AM702" s="166">
        <v>0</v>
      </c>
      <c r="AO702" s="166">
        <v>0</v>
      </c>
      <c r="AP702" s="166">
        <v>1</v>
      </c>
      <c r="AQ702" s="166">
        <v>0</v>
      </c>
      <c r="AR702" s="166">
        <v>0</v>
      </c>
      <c r="AS702" s="166">
        <v>0</v>
      </c>
      <c r="AT702" s="166">
        <v>0</v>
      </c>
      <c r="AU702" s="166">
        <v>0</v>
      </c>
      <c r="AV702" s="166">
        <v>0</v>
      </c>
      <c r="AW702" s="166">
        <v>1</v>
      </c>
      <c r="AX702" s="166">
        <v>0</v>
      </c>
      <c r="AY702" s="166">
        <v>0</v>
      </c>
      <c r="AZ702" s="166">
        <v>0</v>
      </c>
      <c r="BA702" s="166">
        <v>0</v>
      </c>
      <c r="BB702" s="166">
        <v>0</v>
      </c>
      <c r="BC702" s="166">
        <v>0</v>
      </c>
      <c r="BD702" s="166">
        <v>0</v>
      </c>
      <c r="BE702" s="166">
        <v>0</v>
      </c>
      <c r="BF702" s="166">
        <v>0</v>
      </c>
      <c r="BG702" s="166">
        <v>0</v>
      </c>
      <c r="BH702" s="166">
        <v>0</v>
      </c>
      <c r="BI702" s="166">
        <v>0</v>
      </c>
      <c r="BJ702" s="166">
        <v>0</v>
      </c>
      <c r="BK702" s="166">
        <v>0</v>
      </c>
      <c r="BL702" s="166">
        <v>0</v>
      </c>
      <c r="BM702" s="166">
        <v>0</v>
      </c>
      <c r="BN702" s="166">
        <v>0</v>
      </c>
      <c r="BO702" s="166">
        <v>0</v>
      </c>
      <c r="BP702" s="166">
        <v>0</v>
      </c>
      <c r="BQ702" s="81" t="s">
        <v>1758</v>
      </c>
      <c r="BZ702" s="81" t="s">
        <v>155</v>
      </c>
      <c r="CA702" s="81" t="s">
        <v>3981</v>
      </c>
      <c r="CC702" s="167">
        <v>0</v>
      </c>
      <c r="CD702" s="167">
        <f>$N702/2</f>
        <v>0.5</v>
      </c>
      <c r="CE702" s="167">
        <f>$N702/2</f>
        <v>0.5</v>
      </c>
      <c r="CF702" s="167">
        <v>0</v>
      </c>
      <c r="CG702" s="167">
        <v>0</v>
      </c>
      <c r="CH702" s="167">
        <v>0</v>
      </c>
      <c r="CI702" s="167">
        <v>0</v>
      </c>
      <c r="CJ702" s="167">
        <v>0</v>
      </c>
      <c r="CK702" s="167">
        <v>0</v>
      </c>
      <c r="CL702" s="167">
        <v>0</v>
      </c>
      <c r="CM702" s="167">
        <v>0</v>
      </c>
      <c r="CN702" s="167">
        <v>0</v>
      </c>
      <c r="CO702" s="167">
        <v>0</v>
      </c>
      <c r="CP702" s="167">
        <v>0</v>
      </c>
      <c r="CQ702" s="167">
        <v>0</v>
      </c>
      <c r="CR702" s="167">
        <v>0</v>
      </c>
      <c r="CS702" s="167">
        <v>0</v>
      </c>
      <c r="CT702" s="167">
        <v>0</v>
      </c>
      <c r="CU702" s="167">
        <v>0</v>
      </c>
      <c r="CV702" s="167">
        <v>0</v>
      </c>
      <c r="CW702" s="167">
        <v>0</v>
      </c>
      <c r="CX702" s="167">
        <f>SUM(CD702:CH702)</f>
        <v>1</v>
      </c>
      <c r="CY702" s="167">
        <f>SUM(CD702:CM702)</f>
        <v>1</v>
      </c>
    </row>
    <row r="703" spans="1:103" x14ac:dyDescent="0.2">
      <c r="A703" s="81">
        <v>6760</v>
      </c>
      <c r="B703" s="165" t="s">
        <v>1908</v>
      </c>
      <c r="C703" s="165" t="s">
        <v>3744</v>
      </c>
      <c r="E703" s="165" t="s">
        <v>3745</v>
      </c>
      <c r="G703" s="81">
        <v>527635</v>
      </c>
      <c r="H703" s="81">
        <v>175238</v>
      </c>
      <c r="I703" s="165" t="s">
        <v>256</v>
      </c>
      <c r="J703" s="349">
        <v>43190</v>
      </c>
      <c r="L703" s="166">
        <v>1</v>
      </c>
      <c r="M703" s="166">
        <v>3</v>
      </c>
      <c r="N703" s="166">
        <v>2</v>
      </c>
      <c r="O703" s="166">
        <v>3</v>
      </c>
      <c r="P703" s="166">
        <v>2</v>
      </c>
      <c r="R703" s="165" t="s">
        <v>3746</v>
      </c>
      <c r="S703" s="81" t="s">
        <v>113</v>
      </c>
      <c r="T703" s="349">
        <v>43076</v>
      </c>
      <c r="U703" s="349">
        <v>43132</v>
      </c>
      <c r="V703" s="81" t="s">
        <v>155</v>
      </c>
      <c r="W703" s="81" t="s">
        <v>114</v>
      </c>
      <c r="Y703" s="81" t="s">
        <v>115</v>
      </c>
      <c r="Z703" s="81" t="s">
        <v>398</v>
      </c>
      <c r="AA703" s="81" t="s">
        <v>117</v>
      </c>
      <c r="AB703" s="81" t="s">
        <v>120</v>
      </c>
      <c r="AC703" s="166">
        <v>1.2000000104308101E-2</v>
      </c>
      <c r="AD703" s="349">
        <v>43190</v>
      </c>
      <c r="AE703" s="81" t="s">
        <v>155</v>
      </c>
      <c r="AG703" s="81" t="s">
        <v>238</v>
      </c>
      <c r="AH703" s="81" t="s">
        <v>118</v>
      </c>
      <c r="AK703" s="166">
        <v>0</v>
      </c>
      <c r="AM703" s="166">
        <v>0</v>
      </c>
      <c r="AO703" s="166">
        <v>0</v>
      </c>
      <c r="AP703" s="166">
        <v>1</v>
      </c>
      <c r="AQ703" s="166">
        <v>1</v>
      </c>
      <c r="AR703" s="166">
        <v>1</v>
      </c>
      <c r="AS703" s="166">
        <v>-1</v>
      </c>
      <c r="AT703" s="166">
        <v>0</v>
      </c>
      <c r="AU703" s="166">
        <v>0</v>
      </c>
      <c r="AV703" s="166">
        <v>0</v>
      </c>
      <c r="AW703" s="166">
        <v>1</v>
      </c>
      <c r="AX703" s="166">
        <v>1</v>
      </c>
      <c r="AY703" s="166">
        <v>1</v>
      </c>
      <c r="AZ703" s="166">
        <v>0</v>
      </c>
      <c r="BA703" s="166">
        <v>0</v>
      </c>
      <c r="BB703" s="166">
        <v>0</v>
      </c>
      <c r="BC703" s="166">
        <v>0</v>
      </c>
      <c r="BD703" s="166">
        <v>0</v>
      </c>
      <c r="BE703" s="166">
        <v>0</v>
      </c>
      <c r="BF703" s="166">
        <v>0</v>
      </c>
      <c r="BG703" s="166">
        <v>-1</v>
      </c>
      <c r="BH703" s="166">
        <v>0</v>
      </c>
      <c r="BI703" s="166">
        <v>0</v>
      </c>
      <c r="BJ703" s="166">
        <v>0</v>
      </c>
      <c r="BK703" s="166">
        <v>0</v>
      </c>
      <c r="BL703" s="166">
        <v>0</v>
      </c>
      <c r="BM703" s="166">
        <v>0</v>
      </c>
      <c r="BN703" s="166">
        <v>0</v>
      </c>
      <c r="BO703" s="166">
        <v>0</v>
      </c>
      <c r="BP703" s="166">
        <v>0</v>
      </c>
      <c r="BQ703" s="81" t="s">
        <v>1757</v>
      </c>
      <c r="BZ703" s="81" t="s">
        <v>155</v>
      </c>
      <c r="CA703" s="81" t="s">
        <v>3981</v>
      </c>
      <c r="CC703" s="167">
        <v>0</v>
      </c>
      <c r="CD703" s="167">
        <f>$N703/2</f>
        <v>1</v>
      </c>
      <c r="CE703" s="167">
        <f>$N703/2</f>
        <v>1</v>
      </c>
      <c r="CF703" s="167">
        <v>0</v>
      </c>
      <c r="CG703" s="167">
        <v>0</v>
      </c>
      <c r="CH703" s="167">
        <v>0</v>
      </c>
      <c r="CI703" s="167">
        <v>0</v>
      </c>
      <c r="CJ703" s="167">
        <v>0</v>
      </c>
      <c r="CK703" s="167">
        <v>0</v>
      </c>
      <c r="CL703" s="167">
        <v>0</v>
      </c>
      <c r="CM703" s="167">
        <v>0</v>
      </c>
      <c r="CN703" s="167">
        <v>0</v>
      </c>
      <c r="CO703" s="167">
        <v>0</v>
      </c>
      <c r="CP703" s="167">
        <v>0</v>
      </c>
      <c r="CQ703" s="167">
        <v>0</v>
      </c>
      <c r="CR703" s="167">
        <v>0</v>
      </c>
      <c r="CS703" s="167">
        <v>0</v>
      </c>
      <c r="CT703" s="167">
        <v>0</v>
      </c>
      <c r="CU703" s="167">
        <v>0</v>
      </c>
      <c r="CV703" s="167">
        <v>0</v>
      </c>
      <c r="CW703" s="167">
        <v>0</v>
      </c>
      <c r="CX703" s="167">
        <f>SUM(CD703:CH703)</f>
        <v>2</v>
      </c>
      <c r="CY703" s="167">
        <f>SUM(CD703:CM703)</f>
        <v>2</v>
      </c>
    </row>
    <row r="704" spans="1:103" ht="12.75" customHeight="1" x14ac:dyDescent="0.2">
      <c r="A704" s="81">
        <v>35</v>
      </c>
      <c r="B704" s="165" t="s">
        <v>1930</v>
      </c>
      <c r="C704" s="165" t="s">
        <v>1343</v>
      </c>
      <c r="D704" s="165" t="s">
        <v>314</v>
      </c>
      <c r="E704" s="165" t="s">
        <v>2407</v>
      </c>
      <c r="G704" s="81">
        <v>527443</v>
      </c>
      <c r="H704" s="81">
        <v>175002</v>
      </c>
      <c r="I704" s="165" t="s">
        <v>255</v>
      </c>
      <c r="L704" s="166">
        <v>0</v>
      </c>
      <c r="M704" s="166">
        <v>2</v>
      </c>
      <c r="N704" s="166">
        <v>2</v>
      </c>
      <c r="O704" s="166">
        <v>2</v>
      </c>
      <c r="P704" s="166">
        <v>2</v>
      </c>
      <c r="R704" s="165" t="s">
        <v>1344</v>
      </c>
      <c r="S704" s="81" t="s">
        <v>113</v>
      </c>
      <c r="T704" s="349">
        <v>42578</v>
      </c>
      <c r="U704" s="349">
        <v>42664</v>
      </c>
      <c r="W704" s="81" t="s">
        <v>114</v>
      </c>
      <c r="Y704" s="81" t="s">
        <v>115</v>
      </c>
      <c r="Z704" s="81" t="s">
        <v>116</v>
      </c>
      <c r="AA704" s="81" t="s">
        <v>117</v>
      </c>
      <c r="AB704" s="81" t="s">
        <v>218</v>
      </c>
      <c r="AC704" s="166">
        <v>6.0000000521540598E-3</v>
      </c>
      <c r="AG704" s="81" t="s">
        <v>238</v>
      </c>
      <c r="AH704" s="81" t="s">
        <v>118</v>
      </c>
      <c r="AK704" s="166">
        <v>2</v>
      </c>
      <c r="AM704" s="166">
        <v>0</v>
      </c>
      <c r="AO704" s="166">
        <v>0</v>
      </c>
      <c r="AP704" s="166">
        <v>0</v>
      </c>
      <c r="AQ704" s="166">
        <v>2</v>
      </c>
      <c r="AR704" s="166">
        <v>0</v>
      </c>
      <c r="AS704" s="166">
        <v>0</v>
      </c>
      <c r="AT704" s="166">
        <v>0</v>
      </c>
      <c r="AU704" s="166">
        <v>0</v>
      </c>
      <c r="AV704" s="166">
        <v>0</v>
      </c>
      <c r="AW704" s="166">
        <v>0</v>
      </c>
      <c r="AX704" s="166">
        <v>2</v>
      </c>
      <c r="AY704" s="166">
        <v>0</v>
      </c>
      <c r="AZ704" s="166">
        <v>0</v>
      </c>
      <c r="BA704" s="166">
        <v>0</v>
      </c>
      <c r="BB704" s="166">
        <v>0</v>
      </c>
      <c r="BC704" s="166">
        <v>0</v>
      </c>
      <c r="BD704" s="166">
        <v>0</v>
      </c>
      <c r="BE704" s="166">
        <v>0</v>
      </c>
      <c r="BF704" s="166">
        <v>0</v>
      </c>
      <c r="BG704" s="166">
        <v>0</v>
      </c>
      <c r="BH704" s="166">
        <v>0</v>
      </c>
      <c r="BI704" s="166">
        <v>0</v>
      </c>
      <c r="BJ704" s="166">
        <v>0</v>
      </c>
      <c r="BK704" s="166">
        <v>0</v>
      </c>
      <c r="BL704" s="166">
        <v>0</v>
      </c>
      <c r="BM704" s="166">
        <v>0</v>
      </c>
      <c r="BN704" s="166">
        <v>0</v>
      </c>
      <c r="BO704" s="166">
        <v>0</v>
      </c>
      <c r="BP704" s="166">
        <v>0</v>
      </c>
      <c r="BQ704" s="81" t="s">
        <v>1757</v>
      </c>
      <c r="BR704" s="81" t="s">
        <v>160</v>
      </c>
      <c r="BZ704" s="81" t="s">
        <v>155</v>
      </c>
      <c r="CA704" s="81">
        <v>4</v>
      </c>
      <c r="CC704" s="167">
        <v>0</v>
      </c>
      <c r="CD704" s="167">
        <v>0</v>
      </c>
      <c r="CE704" s="167">
        <f>$N704/4</f>
        <v>0.5</v>
      </c>
      <c r="CF704" s="167">
        <f>$N704/4</f>
        <v>0.5</v>
      </c>
      <c r="CG704" s="167">
        <f>$N704/4</f>
        <v>0.5</v>
      </c>
      <c r="CH704" s="167">
        <f>$N704/4</f>
        <v>0.5</v>
      </c>
      <c r="CI704" s="167">
        <v>0</v>
      </c>
      <c r="CJ704" s="167">
        <v>0</v>
      </c>
      <c r="CK704" s="167">
        <v>0</v>
      </c>
      <c r="CL704" s="167">
        <v>0</v>
      </c>
      <c r="CM704" s="167">
        <v>0</v>
      </c>
      <c r="CN704" s="167">
        <v>0</v>
      </c>
      <c r="CO704" s="167">
        <v>0</v>
      </c>
      <c r="CP704" s="167">
        <v>0</v>
      </c>
      <c r="CQ704" s="167">
        <v>0</v>
      </c>
      <c r="CR704" s="167">
        <v>0</v>
      </c>
      <c r="CS704" s="167">
        <v>0</v>
      </c>
      <c r="CT704" s="167">
        <v>0</v>
      </c>
      <c r="CU704" s="167">
        <v>0</v>
      </c>
      <c r="CV704" s="167">
        <v>0</v>
      </c>
      <c r="CW704" s="167">
        <v>0</v>
      </c>
      <c r="CX704" s="167">
        <f>SUM(CD704:CH704)</f>
        <v>2</v>
      </c>
      <c r="CY704" s="167">
        <f>SUM(CD704:CM704)</f>
        <v>2</v>
      </c>
    </row>
    <row r="705" spans="1:103" ht="12.75" customHeight="1" x14ac:dyDescent="0.2">
      <c r="A705" s="81">
        <v>54</v>
      </c>
      <c r="B705" s="165" t="s">
        <v>1930</v>
      </c>
      <c r="C705" s="165" t="s">
        <v>2408</v>
      </c>
      <c r="D705" s="165" t="s">
        <v>2107</v>
      </c>
      <c r="E705" s="165" t="s">
        <v>2409</v>
      </c>
      <c r="G705" s="81">
        <v>527320</v>
      </c>
      <c r="H705" s="81">
        <v>177144</v>
      </c>
      <c r="I705" s="165" t="s">
        <v>257</v>
      </c>
      <c r="L705" s="166">
        <v>0</v>
      </c>
      <c r="M705" s="166">
        <v>5</v>
      </c>
      <c r="N705" s="166">
        <v>5</v>
      </c>
      <c r="O705" s="166">
        <v>5</v>
      </c>
      <c r="P705" s="166">
        <v>5</v>
      </c>
      <c r="R705" s="165" t="s">
        <v>2410</v>
      </c>
      <c r="S705" s="81" t="s">
        <v>113</v>
      </c>
      <c r="T705" s="349">
        <v>42765</v>
      </c>
      <c r="U705" s="349">
        <v>43087</v>
      </c>
      <c r="V705" s="81" t="s">
        <v>155</v>
      </c>
      <c r="W705" s="81" t="s">
        <v>114</v>
      </c>
      <c r="Y705" s="81" t="s">
        <v>115</v>
      </c>
      <c r="Z705" s="81" t="s">
        <v>219</v>
      </c>
      <c r="AA705" s="81" t="s">
        <v>117</v>
      </c>
      <c r="AB705" s="81" t="s">
        <v>3889</v>
      </c>
      <c r="AC705" s="166">
        <v>2.70000007003546E-2</v>
      </c>
      <c r="AG705" s="81" t="s">
        <v>238</v>
      </c>
      <c r="AH705" s="81" t="s">
        <v>118</v>
      </c>
      <c r="AK705" s="166">
        <v>0</v>
      </c>
      <c r="AM705" s="166">
        <v>0</v>
      </c>
      <c r="AO705" s="166">
        <v>0</v>
      </c>
      <c r="AP705" s="166">
        <v>1</v>
      </c>
      <c r="AQ705" s="166">
        <v>0</v>
      </c>
      <c r="AR705" s="166">
        <v>4</v>
      </c>
      <c r="AS705" s="166">
        <v>0</v>
      </c>
      <c r="AT705" s="166">
        <v>0</v>
      </c>
      <c r="AU705" s="166">
        <v>0</v>
      </c>
      <c r="AV705" s="166">
        <v>0</v>
      </c>
      <c r="AW705" s="166">
        <v>1</v>
      </c>
      <c r="AX705" s="166">
        <v>0</v>
      </c>
      <c r="AY705" s="166">
        <v>4</v>
      </c>
      <c r="AZ705" s="166">
        <v>0</v>
      </c>
      <c r="BA705" s="166">
        <v>0</v>
      </c>
      <c r="BB705" s="166">
        <v>0</v>
      </c>
      <c r="BC705" s="166">
        <v>0</v>
      </c>
      <c r="BD705" s="166">
        <v>0</v>
      </c>
      <c r="BE705" s="166">
        <v>0</v>
      </c>
      <c r="BF705" s="166">
        <v>0</v>
      </c>
      <c r="BG705" s="166">
        <v>0</v>
      </c>
      <c r="BH705" s="166">
        <v>0</v>
      </c>
      <c r="BI705" s="166">
        <v>0</v>
      </c>
      <c r="BJ705" s="166">
        <v>0</v>
      </c>
      <c r="BK705" s="166">
        <v>0</v>
      </c>
      <c r="BL705" s="166">
        <v>0</v>
      </c>
      <c r="BM705" s="166">
        <v>0</v>
      </c>
      <c r="BN705" s="166">
        <v>0</v>
      </c>
      <c r="BO705" s="166">
        <v>0</v>
      </c>
      <c r="BP705" s="166">
        <v>0</v>
      </c>
      <c r="BQ705" s="81" t="s">
        <v>1757</v>
      </c>
      <c r="BX705" s="81" t="s">
        <v>155</v>
      </c>
      <c r="BZ705" s="81" t="s">
        <v>155</v>
      </c>
      <c r="CA705" s="81" t="s">
        <v>1937</v>
      </c>
      <c r="CC705" s="167">
        <v>0</v>
      </c>
      <c r="CD705" s="167">
        <f>$N705/4</f>
        <v>1.25</v>
      </c>
      <c r="CE705" s="167">
        <f>$N705/4</f>
        <v>1.25</v>
      </c>
      <c r="CF705" s="167">
        <f>$N705/4</f>
        <v>1.25</v>
      </c>
      <c r="CG705" s="167">
        <f>$N705/4</f>
        <v>1.25</v>
      </c>
      <c r="CH705" s="167">
        <v>0</v>
      </c>
      <c r="CI705" s="167">
        <v>0</v>
      </c>
      <c r="CJ705" s="167">
        <v>0</v>
      </c>
      <c r="CK705" s="167">
        <v>0</v>
      </c>
      <c r="CL705" s="167">
        <v>0</v>
      </c>
      <c r="CM705" s="167">
        <v>0</v>
      </c>
      <c r="CN705" s="167">
        <v>0</v>
      </c>
      <c r="CO705" s="167">
        <v>0</v>
      </c>
      <c r="CP705" s="167">
        <v>0</v>
      </c>
      <c r="CQ705" s="167">
        <v>0</v>
      </c>
      <c r="CR705" s="167">
        <v>0</v>
      </c>
      <c r="CS705" s="167">
        <v>0</v>
      </c>
      <c r="CT705" s="167">
        <v>0</v>
      </c>
      <c r="CU705" s="167">
        <v>0</v>
      </c>
      <c r="CV705" s="167">
        <v>0</v>
      </c>
      <c r="CW705" s="167">
        <v>0</v>
      </c>
      <c r="CX705" s="167">
        <f>SUM(CD705:CH705)</f>
        <v>5</v>
      </c>
      <c r="CY705" s="167">
        <f>SUM(CD705:CM705)</f>
        <v>5</v>
      </c>
    </row>
    <row r="706" spans="1:103" x14ac:dyDescent="0.2">
      <c r="A706" s="81">
        <v>170</v>
      </c>
      <c r="B706" s="165" t="s">
        <v>1930</v>
      </c>
      <c r="C706" s="165" t="s">
        <v>541</v>
      </c>
      <c r="E706" s="165" t="s">
        <v>2411</v>
      </c>
      <c r="G706" s="81">
        <v>528164</v>
      </c>
      <c r="H706" s="81">
        <v>176634</v>
      </c>
      <c r="I706" s="165" t="s">
        <v>240</v>
      </c>
      <c r="L706" s="166">
        <v>0</v>
      </c>
      <c r="M706" s="166">
        <v>5</v>
      </c>
      <c r="N706" s="166">
        <v>5</v>
      </c>
      <c r="O706" s="166">
        <v>5</v>
      </c>
      <c r="P706" s="166">
        <v>5</v>
      </c>
      <c r="R706" s="165" t="s">
        <v>542</v>
      </c>
      <c r="S706" s="81" t="s">
        <v>113</v>
      </c>
      <c r="T706" s="349">
        <v>42121</v>
      </c>
      <c r="U706" s="349">
        <v>42230</v>
      </c>
      <c r="W706" s="81" t="s">
        <v>114</v>
      </c>
      <c r="Y706" s="81" t="s">
        <v>115</v>
      </c>
      <c r="Z706" s="81" t="s">
        <v>398</v>
      </c>
      <c r="AA706" s="81" t="s">
        <v>117</v>
      </c>
      <c r="AB706" s="81" t="s">
        <v>218</v>
      </c>
      <c r="AC706" s="166">
        <v>1.2000000104308101E-2</v>
      </c>
      <c r="AG706" s="81" t="s">
        <v>238</v>
      </c>
      <c r="AH706" s="81" t="s">
        <v>118</v>
      </c>
      <c r="AK706" s="166">
        <v>5</v>
      </c>
      <c r="AM706" s="166">
        <v>0</v>
      </c>
      <c r="AO706" s="166">
        <v>0</v>
      </c>
      <c r="AP706" s="166">
        <v>0</v>
      </c>
      <c r="AQ706" s="166">
        <v>4</v>
      </c>
      <c r="AR706" s="166">
        <v>1</v>
      </c>
      <c r="AS706" s="166">
        <v>0</v>
      </c>
      <c r="AT706" s="166">
        <v>0</v>
      </c>
      <c r="AU706" s="166">
        <v>0</v>
      </c>
      <c r="AV706" s="166">
        <v>0</v>
      </c>
      <c r="AW706" s="166">
        <v>0</v>
      </c>
      <c r="AX706" s="166">
        <v>4</v>
      </c>
      <c r="AY706" s="166">
        <v>1</v>
      </c>
      <c r="AZ706" s="166">
        <v>0</v>
      </c>
      <c r="BA706" s="166">
        <v>0</v>
      </c>
      <c r="BB706" s="166">
        <v>0</v>
      </c>
      <c r="BC706" s="166">
        <v>0</v>
      </c>
      <c r="BD706" s="166">
        <v>0</v>
      </c>
      <c r="BE706" s="166">
        <v>0</v>
      </c>
      <c r="BF706" s="166">
        <v>0</v>
      </c>
      <c r="BG706" s="166">
        <v>0</v>
      </c>
      <c r="BH706" s="166">
        <v>0</v>
      </c>
      <c r="BI706" s="166">
        <v>0</v>
      </c>
      <c r="BJ706" s="166">
        <v>0</v>
      </c>
      <c r="BK706" s="166">
        <v>0</v>
      </c>
      <c r="BL706" s="166">
        <v>0</v>
      </c>
      <c r="BM706" s="166">
        <v>0</v>
      </c>
      <c r="BN706" s="166">
        <v>0</v>
      </c>
      <c r="BO706" s="166">
        <v>0</v>
      </c>
      <c r="BP706" s="166">
        <v>0</v>
      </c>
      <c r="BQ706" s="81" t="s">
        <v>1757</v>
      </c>
      <c r="BZ706" s="81" t="s">
        <v>155</v>
      </c>
      <c r="CA706" s="81" t="s">
        <v>1937</v>
      </c>
      <c r="CC706" s="167">
        <v>0</v>
      </c>
      <c r="CD706" s="167">
        <f>$N706/4</f>
        <v>1.25</v>
      </c>
      <c r="CE706" s="167">
        <f>$N706/4</f>
        <v>1.25</v>
      </c>
      <c r="CF706" s="167">
        <f>$N706/4</f>
        <v>1.25</v>
      </c>
      <c r="CG706" s="167">
        <f>$N706/4</f>
        <v>1.25</v>
      </c>
      <c r="CH706" s="167">
        <v>0</v>
      </c>
      <c r="CI706" s="167">
        <v>0</v>
      </c>
      <c r="CJ706" s="167">
        <v>0</v>
      </c>
      <c r="CK706" s="167">
        <v>0</v>
      </c>
      <c r="CL706" s="167">
        <v>0</v>
      </c>
      <c r="CM706" s="167">
        <v>0</v>
      </c>
      <c r="CN706" s="167">
        <v>0</v>
      </c>
      <c r="CO706" s="167">
        <v>0</v>
      </c>
      <c r="CP706" s="167">
        <v>0</v>
      </c>
      <c r="CQ706" s="167">
        <v>0</v>
      </c>
      <c r="CR706" s="167">
        <v>0</v>
      </c>
      <c r="CS706" s="167">
        <v>0</v>
      </c>
      <c r="CT706" s="167">
        <v>0</v>
      </c>
      <c r="CU706" s="167">
        <v>0</v>
      </c>
      <c r="CV706" s="167">
        <v>0</v>
      </c>
      <c r="CW706" s="167">
        <v>0</v>
      </c>
      <c r="CX706" s="167">
        <f>SUM(CD706:CH706)</f>
        <v>5</v>
      </c>
      <c r="CY706" s="167">
        <f>SUM(CD706:CM706)</f>
        <v>5</v>
      </c>
    </row>
    <row r="707" spans="1:103" ht="12.75" customHeight="1" x14ac:dyDescent="0.2">
      <c r="A707" s="81">
        <v>180</v>
      </c>
      <c r="B707" s="165" t="s">
        <v>1930</v>
      </c>
      <c r="C707" s="165" t="s">
        <v>1735</v>
      </c>
      <c r="D707" s="165" t="s">
        <v>1736</v>
      </c>
      <c r="E707" s="165" t="s">
        <v>1931</v>
      </c>
      <c r="G707" s="81">
        <v>527950</v>
      </c>
      <c r="H707" s="81">
        <v>176519</v>
      </c>
      <c r="I707" s="165" t="s">
        <v>241</v>
      </c>
      <c r="L707" s="166">
        <v>1</v>
      </c>
      <c r="M707" s="166">
        <v>31</v>
      </c>
      <c r="N707" s="166">
        <v>30</v>
      </c>
      <c r="O707" s="166">
        <v>39</v>
      </c>
      <c r="P707" s="166">
        <v>38</v>
      </c>
      <c r="Q707" s="81" t="s">
        <v>155</v>
      </c>
      <c r="R707" s="165" t="s">
        <v>1932</v>
      </c>
      <c r="S707" s="81" t="s">
        <v>104</v>
      </c>
      <c r="T707" s="349">
        <v>42583</v>
      </c>
      <c r="U707" s="349">
        <v>42989</v>
      </c>
      <c r="V707" s="81" t="s">
        <v>155</v>
      </c>
      <c r="W707" s="81" t="s">
        <v>114</v>
      </c>
      <c r="Y707" s="81" t="s">
        <v>115</v>
      </c>
      <c r="Z707" s="81" t="s">
        <v>116</v>
      </c>
      <c r="AA707" s="81" t="s">
        <v>116</v>
      </c>
      <c r="AB707" s="81" t="s">
        <v>117</v>
      </c>
      <c r="AC707" s="166">
        <v>0.104000002145767</v>
      </c>
      <c r="AG707" s="81" t="s">
        <v>238</v>
      </c>
      <c r="AH707" s="81" t="s">
        <v>118</v>
      </c>
      <c r="AK707" s="166">
        <v>31</v>
      </c>
      <c r="AM707" s="166">
        <v>0</v>
      </c>
      <c r="AO707" s="166">
        <v>0</v>
      </c>
      <c r="AP707" s="166">
        <v>14</v>
      </c>
      <c r="AQ707" s="166">
        <v>15</v>
      </c>
      <c r="AR707" s="166">
        <v>1</v>
      </c>
      <c r="AS707" s="166">
        <v>0</v>
      </c>
      <c r="AT707" s="166">
        <v>0</v>
      </c>
      <c r="AU707" s="166">
        <v>0</v>
      </c>
      <c r="AV707" s="166">
        <v>0</v>
      </c>
      <c r="AW707" s="166">
        <v>14</v>
      </c>
      <c r="AX707" s="166">
        <v>15</v>
      </c>
      <c r="AY707" s="166">
        <v>2</v>
      </c>
      <c r="AZ707" s="166">
        <v>0</v>
      </c>
      <c r="BA707" s="166">
        <v>0</v>
      </c>
      <c r="BB707" s="166">
        <v>0</v>
      </c>
      <c r="BC707" s="166">
        <v>0</v>
      </c>
      <c r="BD707" s="166">
        <v>0</v>
      </c>
      <c r="BE707" s="166">
        <v>0</v>
      </c>
      <c r="BF707" s="166">
        <v>-1</v>
      </c>
      <c r="BG707" s="166">
        <v>0</v>
      </c>
      <c r="BH707" s="166">
        <v>0</v>
      </c>
      <c r="BI707" s="166">
        <v>0</v>
      </c>
      <c r="BJ707" s="166">
        <v>0</v>
      </c>
      <c r="BK707" s="166">
        <v>0</v>
      </c>
      <c r="BL707" s="166">
        <v>0</v>
      </c>
      <c r="BM707" s="166">
        <v>0</v>
      </c>
      <c r="BN707" s="166">
        <v>0</v>
      </c>
      <c r="BO707" s="166">
        <v>0</v>
      </c>
      <c r="BP707" s="166">
        <v>0</v>
      </c>
      <c r="BQ707" s="81" t="s">
        <v>1757</v>
      </c>
      <c r="BZ707" s="81" t="s">
        <v>155</v>
      </c>
      <c r="CA707" s="81" t="s">
        <v>3936</v>
      </c>
      <c r="CC707" s="167">
        <v>0</v>
      </c>
      <c r="CD707" s="167">
        <v>0</v>
      </c>
      <c r="CE707" s="167">
        <v>0</v>
      </c>
      <c r="CF707" s="167">
        <f>N707</f>
        <v>30</v>
      </c>
      <c r="CG707" s="167">
        <v>0</v>
      </c>
      <c r="CH707" s="167">
        <v>0</v>
      </c>
      <c r="CI707" s="167">
        <v>0</v>
      </c>
      <c r="CJ707" s="167">
        <v>0</v>
      </c>
      <c r="CK707" s="167">
        <v>0</v>
      </c>
      <c r="CL707" s="167">
        <v>0</v>
      </c>
      <c r="CM707" s="167">
        <v>0</v>
      </c>
      <c r="CN707" s="167">
        <v>0</v>
      </c>
      <c r="CO707" s="167">
        <v>0</v>
      </c>
      <c r="CP707" s="167">
        <v>0</v>
      </c>
      <c r="CQ707" s="167">
        <v>0</v>
      </c>
      <c r="CR707" s="167">
        <v>0</v>
      </c>
      <c r="CS707" s="167">
        <v>0</v>
      </c>
      <c r="CT707" s="167">
        <v>0</v>
      </c>
      <c r="CU707" s="167">
        <v>0</v>
      </c>
      <c r="CV707" s="167">
        <v>0</v>
      </c>
      <c r="CW707" s="167">
        <v>0</v>
      </c>
      <c r="CX707" s="167">
        <f>SUM(CD707:CH707)</f>
        <v>30</v>
      </c>
      <c r="CY707" s="167">
        <f>SUM(CD707:CM707)</f>
        <v>30</v>
      </c>
    </row>
    <row r="708" spans="1:103" ht="12.75" customHeight="1" x14ac:dyDescent="0.2">
      <c r="A708" s="81">
        <v>180</v>
      </c>
      <c r="B708" s="165" t="s">
        <v>1930</v>
      </c>
      <c r="C708" s="165" t="s">
        <v>1735</v>
      </c>
      <c r="D708" s="165" t="s">
        <v>1736</v>
      </c>
      <c r="E708" s="165" t="s">
        <v>1931</v>
      </c>
      <c r="G708" s="81">
        <v>527950</v>
      </c>
      <c r="H708" s="81">
        <v>176519</v>
      </c>
      <c r="I708" s="165" t="s">
        <v>241</v>
      </c>
      <c r="L708" s="166">
        <v>0</v>
      </c>
      <c r="M708" s="166">
        <v>4</v>
      </c>
      <c r="N708" s="166">
        <v>4</v>
      </c>
      <c r="O708" s="166">
        <v>39</v>
      </c>
      <c r="P708" s="166">
        <v>38</v>
      </c>
      <c r="Q708" s="81" t="s">
        <v>155</v>
      </c>
      <c r="R708" s="165" t="s">
        <v>1932</v>
      </c>
      <c r="S708" s="81" t="s">
        <v>104</v>
      </c>
      <c r="T708" s="349">
        <v>42583</v>
      </c>
      <c r="U708" s="349">
        <v>42989</v>
      </c>
      <c r="V708" s="81" t="s">
        <v>155</v>
      </c>
      <c r="W708" s="81" t="s">
        <v>114</v>
      </c>
      <c r="Y708" s="81" t="s">
        <v>115</v>
      </c>
      <c r="Z708" s="81" t="s">
        <v>116</v>
      </c>
      <c r="AA708" s="81" t="s">
        <v>116</v>
      </c>
      <c r="AB708" s="81" t="s">
        <v>117</v>
      </c>
      <c r="AC708" s="166">
        <v>1.4000000432133701E-2</v>
      </c>
      <c r="AG708" s="81" t="s">
        <v>74</v>
      </c>
      <c r="AH708" s="81" t="s">
        <v>990</v>
      </c>
      <c r="AK708" s="166">
        <v>4</v>
      </c>
      <c r="AL708" s="166">
        <v>4</v>
      </c>
      <c r="AM708" s="166">
        <v>0</v>
      </c>
      <c r="AN708" s="166">
        <v>0</v>
      </c>
      <c r="AO708" s="166">
        <v>0</v>
      </c>
      <c r="AP708" s="166">
        <v>2</v>
      </c>
      <c r="AQ708" s="166">
        <v>2</v>
      </c>
      <c r="AR708" s="166">
        <v>0</v>
      </c>
      <c r="AS708" s="166">
        <v>0</v>
      </c>
      <c r="AT708" s="166">
        <v>0</v>
      </c>
      <c r="AU708" s="166">
        <v>0</v>
      </c>
      <c r="AV708" s="166">
        <v>0</v>
      </c>
      <c r="AW708" s="166">
        <v>2</v>
      </c>
      <c r="AX708" s="166">
        <v>2</v>
      </c>
      <c r="AY708" s="166">
        <v>0</v>
      </c>
      <c r="AZ708" s="166">
        <v>0</v>
      </c>
      <c r="BA708" s="166">
        <v>0</v>
      </c>
      <c r="BB708" s="166">
        <v>0</v>
      </c>
      <c r="BC708" s="166">
        <v>0</v>
      </c>
      <c r="BD708" s="166">
        <v>0</v>
      </c>
      <c r="BE708" s="166">
        <v>0</v>
      </c>
      <c r="BF708" s="166">
        <v>0</v>
      </c>
      <c r="BG708" s="166">
        <v>0</v>
      </c>
      <c r="BH708" s="166">
        <v>0</v>
      </c>
      <c r="BI708" s="166">
        <v>0</v>
      </c>
      <c r="BJ708" s="166">
        <v>0</v>
      </c>
      <c r="BK708" s="166">
        <v>0</v>
      </c>
      <c r="BL708" s="166">
        <v>0</v>
      </c>
      <c r="BM708" s="166">
        <v>0</v>
      </c>
      <c r="BN708" s="166">
        <v>0</v>
      </c>
      <c r="BO708" s="166">
        <v>0</v>
      </c>
      <c r="BP708" s="166">
        <v>0</v>
      </c>
      <c r="BQ708" s="81" t="s">
        <v>1757</v>
      </c>
      <c r="BZ708" s="81" t="s">
        <v>155</v>
      </c>
      <c r="CA708" s="81" t="s">
        <v>3936</v>
      </c>
      <c r="CC708" s="167">
        <v>0</v>
      </c>
      <c r="CD708" s="167">
        <v>0</v>
      </c>
      <c r="CE708" s="167">
        <v>0</v>
      </c>
      <c r="CF708" s="167">
        <f>N708</f>
        <v>4</v>
      </c>
      <c r="CG708" s="167">
        <v>0</v>
      </c>
      <c r="CH708" s="167">
        <v>0</v>
      </c>
      <c r="CI708" s="167">
        <v>0</v>
      </c>
      <c r="CJ708" s="167">
        <v>0</v>
      </c>
      <c r="CK708" s="167">
        <v>0</v>
      </c>
      <c r="CL708" s="167">
        <v>0</v>
      </c>
      <c r="CM708" s="167">
        <v>0</v>
      </c>
      <c r="CN708" s="167">
        <v>0</v>
      </c>
      <c r="CO708" s="167">
        <v>0</v>
      </c>
      <c r="CP708" s="167">
        <v>0</v>
      </c>
      <c r="CQ708" s="167">
        <v>0</v>
      </c>
      <c r="CR708" s="167">
        <v>0</v>
      </c>
      <c r="CS708" s="167">
        <v>0</v>
      </c>
      <c r="CT708" s="167">
        <v>0</v>
      </c>
      <c r="CU708" s="167">
        <v>0</v>
      </c>
      <c r="CV708" s="167">
        <v>0</v>
      </c>
      <c r="CW708" s="167">
        <v>0</v>
      </c>
      <c r="CX708" s="167">
        <f>SUM(CD708:CH708)</f>
        <v>4</v>
      </c>
      <c r="CY708" s="167">
        <f>SUM(CD708:CM708)</f>
        <v>4</v>
      </c>
    </row>
    <row r="709" spans="1:103" ht="12.75" customHeight="1" x14ac:dyDescent="0.2">
      <c r="A709" s="81">
        <v>180</v>
      </c>
      <c r="B709" s="165" t="s">
        <v>1930</v>
      </c>
      <c r="C709" s="165" t="s">
        <v>1735</v>
      </c>
      <c r="D709" s="165" t="s">
        <v>1736</v>
      </c>
      <c r="E709" s="165" t="s">
        <v>1931</v>
      </c>
      <c r="G709" s="81">
        <v>527950</v>
      </c>
      <c r="H709" s="81">
        <v>176519</v>
      </c>
      <c r="I709" s="165" t="s">
        <v>241</v>
      </c>
      <c r="L709" s="166">
        <v>0</v>
      </c>
      <c r="M709" s="166">
        <v>4</v>
      </c>
      <c r="N709" s="166">
        <v>4</v>
      </c>
      <c r="O709" s="166">
        <v>39</v>
      </c>
      <c r="P709" s="166">
        <v>38</v>
      </c>
      <c r="Q709" s="81" t="s">
        <v>155</v>
      </c>
      <c r="R709" s="165" t="s">
        <v>1932</v>
      </c>
      <c r="S709" s="81" t="s">
        <v>104</v>
      </c>
      <c r="T709" s="349">
        <v>42583</v>
      </c>
      <c r="U709" s="349">
        <v>42989</v>
      </c>
      <c r="V709" s="81" t="s">
        <v>155</v>
      </c>
      <c r="W709" s="81" t="s">
        <v>114</v>
      </c>
      <c r="Y709" s="81" t="s">
        <v>115</v>
      </c>
      <c r="Z709" s="81" t="s">
        <v>116</v>
      </c>
      <c r="AA709" s="81" t="s">
        <v>116</v>
      </c>
      <c r="AB709" s="81" t="s">
        <v>117</v>
      </c>
      <c r="AC709" s="166">
        <v>1.4000000432133701E-2</v>
      </c>
      <c r="AG709" s="81" t="s">
        <v>74</v>
      </c>
      <c r="AH709" s="81" t="s">
        <v>895</v>
      </c>
      <c r="AK709" s="166">
        <v>4</v>
      </c>
      <c r="AL709" s="166">
        <v>4</v>
      </c>
      <c r="AM709" s="166">
        <v>1</v>
      </c>
      <c r="AN709" s="166">
        <v>1</v>
      </c>
      <c r="AO709" s="166">
        <v>0</v>
      </c>
      <c r="AP709" s="166">
        <v>2</v>
      </c>
      <c r="AQ709" s="166">
        <v>2</v>
      </c>
      <c r="AR709" s="166">
        <v>0</v>
      </c>
      <c r="AS709" s="166">
        <v>0</v>
      </c>
      <c r="AT709" s="166">
        <v>0</v>
      </c>
      <c r="AU709" s="166">
        <v>0</v>
      </c>
      <c r="AV709" s="166">
        <v>0</v>
      </c>
      <c r="AW709" s="166">
        <v>2</v>
      </c>
      <c r="AX709" s="166">
        <v>2</v>
      </c>
      <c r="AY709" s="166">
        <v>0</v>
      </c>
      <c r="AZ709" s="166">
        <v>0</v>
      </c>
      <c r="BA709" s="166">
        <v>0</v>
      </c>
      <c r="BB709" s="166">
        <v>0</v>
      </c>
      <c r="BC709" s="166">
        <v>0</v>
      </c>
      <c r="BD709" s="166">
        <v>0</v>
      </c>
      <c r="BE709" s="166">
        <v>0</v>
      </c>
      <c r="BF709" s="166">
        <v>0</v>
      </c>
      <c r="BG709" s="166">
        <v>0</v>
      </c>
      <c r="BH709" s="166">
        <v>0</v>
      </c>
      <c r="BI709" s="166">
        <v>0</v>
      </c>
      <c r="BJ709" s="166">
        <v>0</v>
      </c>
      <c r="BK709" s="166">
        <v>0</v>
      </c>
      <c r="BL709" s="166">
        <v>0</v>
      </c>
      <c r="BM709" s="166">
        <v>0</v>
      </c>
      <c r="BN709" s="166">
        <v>0</v>
      </c>
      <c r="BO709" s="166">
        <v>0</v>
      </c>
      <c r="BP709" s="166">
        <v>0</v>
      </c>
      <c r="BQ709" s="81" t="s">
        <v>1757</v>
      </c>
      <c r="BZ709" s="81" t="s">
        <v>155</v>
      </c>
      <c r="CA709" s="81" t="s">
        <v>3936</v>
      </c>
      <c r="CC709" s="167">
        <v>0</v>
      </c>
      <c r="CD709" s="167">
        <v>0</v>
      </c>
      <c r="CE709" s="167">
        <v>0</v>
      </c>
      <c r="CF709" s="167">
        <f>N709</f>
        <v>4</v>
      </c>
      <c r="CG709" s="167">
        <v>0</v>
      </c>
      <c r="CH709" s="167">
        <v>0</v>
      </c>
      <c r="CI709" s="167">
        <v>0</v>
      </c>
      <c r="CJ709" s="167">
        <v>0</v>
      </c>
      <c r="CK709" s="167">
        <v>0</v>
      </c>
      <c r="CL709" s="167">
        <v>0</v>
      </c>
      <c r="CM709" s="167">
        <v>0</v>
      </c>
      <c r="CN709" s="167">
        <v>0</v>
      </c>
      <c r="CO709" s="167">
        <v>0</v>
      </c>
      <c r="CP709" s="167">
        <v>0</v>
      </c>
      <c r="CQ709" s="167">
        <v>0</v>
      </c>
      <c r="CR709" s="167">
        <v>0</v>
      </c>
      <c r="CS709" s="167">
        <v>0</v>
      </c>
      <c r="CT709" s="167">
        <v>0</v>
      </c>
      <c r="CU709" s="167">
        <v>0</v>
      </c>
      <c r="CV709" s="167">
        <v>0</v>
      </c>
      <c r="CW709" s="167">
        <v>0</v>
      </c>
      <c r="CX709" s="167">
        <f>SUM(CD709:CH709)</f>
        <v>4</v>
      </c>
      <c r="CY709" s="167">
        <f>SUM(CD709:CM709)</f>
        <v>4</v>
      </c>
    </row>
    <row r="710" spans="1:103" ht="12.75" customHeight="1" x14ac:dyDescent="0.2">
      <c r="A710" s="81">
        <v>213</v>
      </c>
      <c r="B710" s="165" t="s">
        <v>1930</v>
      </c>
      <c r="C710" s="165" t="s">
        <v>1934</v>
      </c>
      <c r="E710" s="165" t="s">
        <v>1935</v>
      </c>
      <c r="G710" s="81">
        <v>523620</v>
      </c>
      <c r="H710" s="81">
        <v>175154</v>
      </c>
      <c r="I710" s="165" t="s">
        <v>250</v>
      </c>
      <c r="L710" s="166">
        <v>0</v>
      </c>
      <c r="M710" s="166">
        <v>1</v>
      </c>
      <c r="N710" s="166">
        <v>1</v>
      </c>
      <c r="O710" s="166">
        <v>1</v>
      </c>
      <c r="P710" s="166">
        <v>1</v>
      </c>
      <c r="R710" s="165" t="s">
        <v>1936</v>
      </c>
      <c r="S710" s="81" t="s">
        <v>113</v>
      </c>
      <c r="T710" s="349">
        <v>42872</v>
      </c>
      <c r="U710" s="349">
        <v>42929</v>
      </c>
      <c r="V710" s="81" t="s">
        <v>155</v>
      </c>
      <c r="W710" s="81" t="s">
        <v>114</v>
      </c>
      <c r="Y710" s="81" t="s">
        <v>115</v>
      </c>
      <c r="Z710" s="81" t="s">
        <v>310</v>
      </c>
      <c r="AA710" s="81" t="s">
        <v>117</v>
      </c>
      <c r="AB710" s="81" t="s">
        <v>311</v>
      </c>
      <c r="AC710" s="166">
        <v>2.8000000864267301E-2</v>
      </c>
      <c r="AG710" s="81" t="s">
        <v>238</v>
      </c>
      <c r="AH710" s="81" t="s">
        <v>118</v>
      </c>
      <c r="AK710" s="166">
        <v>0</v>
      </c>
      <c r="AM710" s="166">
        <v>0</v>
      </c>
      <c r="AO710" s="166">
        <v>0</v>
      </c>
      <c r="AP710" s="166">
        <v>0</v>
      </c>
      <c r="AQ710" s="166">
        <v>1</v>
      </c>
      <c r="AR710" s="166">
        <v>0</v>
      </c>
      <c r="AS710" s="166">
        <v>0</v>
      </c>
      <c r="AT710" s="166">
        <v>0</v>
      </c>
      <c r="AU710" s="166">
        <v>0</v>
      </c>
      <c r="AV710" s="166">
        <v>0</v>
      </c>
      <c r="AW710" s="166">
        <v>0</v>
      </c>
      <c r="AX710" s="166">
        <v>1</v>
      </c>
      <c r="AY710" s="166">
        <v>0</v>
      </c>
      <c r="AZ710" s="166">
        <v>0</v>
      </c>
      <c r="BA710" s="166">
        <v>0</v>
      </c>
      <c r="BB710" s="166">
        <v>0</v>
      </c>
      <c r="BC710" s="166">
        <v>0</v>
      </c>
      <c r="BD710" s="166">
        <v>0</v>
      </c>
      <c r="BE710" s="166">
        <v>0</v>
      </c>
      <c r="BF710" s="166">
        <v>0</v>
      </c>
      <c r="BG710" s="166">
        <v>0</v>
      </c>
      <c r="BH710" s="166">
        <v>0</v>
      </c>
      <c r="BI710" s="166">
        <v>0</v>
      </c>
      <c r="BJ710" s="166">
        <v>0</v>
      </c>
      <c r="BK710" s="166">
        <v>0</v>
      </c>
      <c r="BL710" s="166">
        <v>0</v>
      </c>
      <c r="BM710" s="166">
        <v>0</v>
      </c>
      <c r="BN710" s="166">
        <v>0</v>
      </c>
      <c r="BO710" s="166">
        <v>0</v>
      </c>
      <c r="BP710" s="166">
        <v>0</v>
      </c>
      <c r="BQ710" s="81" t="s">
        <v>1758</v>
      </c>
      <c r="BR710" s="81" t="s">
        <v>161</v>
      </c>
      <c r="BZ710" s="81" t="s">
        <v>155</v>
      </c>
      <c r="CA710" s="81" t="s">
        <v>1937</v>
      </c>
      <c r="CC710" s="167">
        <v>0</v>
      </c>
      <c r="CD710" s="167">
        <f>$N710/4</f>
        <v>0.25</v>
      </c>
      <c r="CE710" s="167">
        <f>$N710/4</f>
        <v>0.25</v>
      </c>
      <c r="CF710" s="167">
        <f>$N710/4</f>
        <v>0.25</v>
      </c>
      <c r="CG710" s="167">
        <f>$N710/4</f>
        <v>0.25</v>
      </c>
      <c r="CH710" s="167">
        <v>0</v>
      </c>
      <c r="CI710" s="167">
        <v>0</v>
      </c>
      <c r="CJ710" s="167">
        <v>0</v>
      </c>
      <c r="CK710" s="167">
        <v>0</v>
      </c>
      <c r="CL710" s="167">
        <v>0</v>
      </c>
      <c r="CM710" s="167">
        <v>0</v>
      </c>
      <c r="CN710" s="167">
        <v>0</v>
      </c>
      <c r="CO710" s="167">
        <v>0</v>
      </c>
      <c r="CP710" s="167">
        <v>0</v>
      </c>
      <c r="CQ710" s="167">
        <v>0</v>
      </c>
      <c r="CR710" s="167">
        <v>0</v>
      </c>
      <c r="CS710" s="167">
        <v>0</v>
      </c>
      <c r="CT710" s="167">
        <v>0</v>
      </c>
      <c r="CU710" s="167">
        <v>0</v>
      </c>
      <c r="CV710" s="167">
        <v>0</v>
      </c>
      <c r="CW710" s="167">
        <v>0</v>
      </c>
      <c r="CX710" s="167">
        <f>SUM(CD710:CH710)</f>
        <v>1</v>
      </c>
      <c r="CY710" s="167">
        <f>SUM(CD710:CM710)</f>
        <v>1</v>
      </c>
    </row>
    <row r="711" spans="1:103" ht="12.75" customHeight="1" x14ac:dyDescent="0.2">
      <c r="A711" s="81">
        <v>244</v>
      </c>
      <c r="B711" s="165" t="s">
        <v>1930</v>
      </c>
      <c r="C711" s="165" t="s">
        <v>1316</v>
      </c>
      <c r="D711" s="165" t="s">
        <v>876</v>
      </c>
      <c r="E711" s="165" t="s">
        <v>1938</v>
      </c>
      <c r="G711" s="81">
        <v>526455</v>
      </c>
      <c r="H711" s="81">
        <v>175748</v>
      </c>
      <c r="I711" s="165" t="s">
        <v>257</v>
      </c>
      <c r="L711" s="166">
        <v>0</v>
      </c>
      <c r="M711" s="166">
        <v>4</v>
      </c>
      <c r="N711" s="166">
        <v>4</v>
      </c>
      <c r="O711" s="166">
        <v>4</v>
      </c>
      <c r="P711" s="166">
        <v>4</v>
      </c>
      <c r="R711" s="165" t="s">
        <v>1317</v>
      </c>
      <c r="S711" s="81" t="s">
        <v>270</v>
      </c>
      <c r="T711" s="349">
        <v>42548</v>
      </c>
      <c r="U711" s="349">
        <v>42604</v>
      </c>
      <c r="W711" s="81" t="s">
        <v>114</v>
      </c>
      <c r="Y711" s="81" t="s">
        <v>115</v>
      </c>
      <c r="Z711" s="81" t="s">
        <v>310</v>
      </c>
      <c r="AA711" s="81" t="s">
        <v>117</v>
      </c>
      <c r="AB711" s="81" t="s">
        <v>399</v>
      </c>
      <c r="AC711" s="166">
        <v>1.4999999664723899E-2</v>
      </c>
      <c r="AG711" s="81" t="s">
        <v>238</v>
      </c>
      <c r="AH711" s="81" t="s">
        <v>118</v>
      </c>
      <c r="AI711" s="81" t="s">
        <v>1939</v>
      </c>
      <c r="AK711" s="166">
        <v>0</v>
      </c>
      <c r="AM711" s="166">
        <v>0</v>
      </c>
      <c r="AO711" s="166">
        <v>0</v>
      </c>
      <c r="AP711" s="166">
        <v>4</v>
      </c>
      <c r="AQ711" s="166">
        <v>0</v>
      </c>
      <c r="AR711" s="166">
        <v>0</v>
      </c>
      <c r="AS711" s="166">
        <v>0</v>
      </c>
      <c r="AT711" s="166">
        <v>0</v>
      </c>
      <c r="AU711" s="166">
        <v>0</v>
      </c>
      <c r="AV711" s="166">
        <v>0</v>
      </c>
      <c r="AW711" s="166">
        <v>4</v>
      </c>
      <c r="AX711" s="166">
        <v>0</v>
      </c>
      <c r="AY711" s="166">
        <v>0</v>
      </c>
      <c r="AZ711" s="166">
        <v>0</v>
      </c>
      <c r="BA711" s="166">
        <v>0</v>
      </c>
      <c r="BB711" s="166">
        <v>0</v>
      </c>
      <c r="BC711" s="166">
        <v>0</v>
      </c>
      <c r="BD711" s="166">
        <v>0</v>
      </c>
      <c r="BE711" s="166">
        <v>0</v>
      </c>
      <c r="BF711" s="166">
        <v>0</v>
      </c>
      <c r="BG711" s="166">
        <v>0</v>
      </c>
      <c r="BH711" s="166">
        <v>0</v>
      </c>
      <c r="BI711" s="166">
        <v>0</v>
      </c>
      <c r="BJ711" s="166">
        <v>0</v>
      </c>
      <c r="BK711" s="166">
        <v>0</v>
      </c>
      <c r="BL711" s="166">
        <v>0</v>
      </c>
      <c r="BM711" s="166">
        <v>0</v>
      </c>
      <c r="BN711" s="166">
        <v>0</v>
      </c>
      <c r="BO711" s="166">
        <v>0</v>
      </c>
      <c r="BP711" s="166">
        <v>0</v>
      </c>
      <c r="BQ711" s="81" t="s">
        <v>1757</v>
      </c>
      <c r="BX711" s="81" t="s">
        <v>155</v>
      </c>
      <c r="BZ711" s="81" t="s">
        <v>155</v>
      </c>
      <c r="CA711" s="81" t="s">
        <v>3972</v>
      </c>
      <c r="CC711" s="167">
        <v>0</v>
      </c>
      <c r="CD711" s="167">
        <f>$N711/4</f>
        <v>1</v>
      </c>
      <c r="CE711" s="167">
        <f>$N711/4</f>
        <v>1</v>
      </c>
      <c r="CF711" s="167">
        <f>$N711/4</f>
        <v>1</v>
      </c>
      <c r="CG711" s="167">
        <f>$N711/4</f>
        <v>1</v>
      </c>
      <c r="CH711" s="167">
        <v>0</v>
      </c>
      <c r="CI711" s="167">
        <v>0</v>
      </c>
      <c r="CJ711" s="167">
        <v>0</v>
      </c>
      <c r="CK711" s="167">
        <v>0</v>
      </c>
      <c r="CL711" s="167">
        <v>0</v>
      </c>
      <c r="CM711" s="167">
        <v>0</v>
      </c>
      <c r="CN711" s="167">
        <v>0</v>
      </c>
      <c r="CO711" s="167">
        <v>0</v>
      </c>
      <c r="CP711" s="167">
        <v>0</v>
      </c>
      <c r="CQ711" s="167">
        <v>0</v>
      </c>
      <c r="CR711" s="167">
        <v>0</v>
      </c>
      <c r="CS711" s="167">
        <v>0</v>
      </c>
      <c r="CT711" s="167">
        <v>0</v>
      </c>
      <c r="CU711" s="167">
        <v>0</v>
      </c>
      <c r="CV711" s="167">
        <v>0</v>
      </c>
      <c r="CW711" s="167">
        <v>0</v>
      </c>
      <c r="CX711" s="167">
        <f>SUM(CD711:CH711)</f>
        <v>4</v>
      </c>
      <c r="CY711" s="167">
        <f>SUM(CD711:CM711)</f>
        <v>4</v>
      </c>
    </row>
    <row r="712" spans="1:103" ht="12.75" customHeight="1" x14ac:dyDescent="0.2">
      <c r="A712" s="81">
        <v>280</v>
      </c>
      <c r="B712" s="165" t="s">
        <v>1930</v>
      </c>
      <c r="C712" s="165" t="s">
        <v>1360</v>
      </c>
      <c r="E712" s="165" t="s">
        <v>2415</v>
      </c>
      <c r="G712" s="81">
        <v>528689</v>
      </c>
      <c r="H712" s="81">
        <v>173240</v>
      </c>
      <c r="I712" s="165" t="s">
        <v>247</v>
      </c>
      <c r="L712" s="166">
        <v>1</v>
      </c>
      <c r="M712" s="166">
        <v>3</v>
      </c>
      <c r="N712" s="166">
        <v>2</v>
      </c>
      <c r="O712" s="166">
        <v>3</v>
      </c>
      <c r="P712" s="166">
        <v>2</v>
      </c>
      <c r="R712" s="165" t="s">
        <v>1361</v>
      </c>
      <c r="S712" s="81" t="s">
        <v>113</v>
      </c>
      <c r="T712" s="349">
        <v>42579</v>
      </c>
      <c r="U712" s="349">
        <v>42635</v>
      </c>
      <c r="W712" s="81" t="s">
        <v>114</v>
      </c>
      <c r="Y712" s="81" t="s">
        <v>115</v>
      </c>
      <c r="Z712" s="81" t="s">
        <v>398</v>
      </c>
      <c r="AA712" s="81" t="s">
        <v>117</v>
      </c>
      <c r="AB712" s="81" t="s">
        <v>120</v>
      </c>
      <c r="AC712" s="166">
        <v>1.09999999403954E-2</v>
      </c>
      <c r="AG712" s="81" t="s">
        <v>238</v>
      </c>
      <c r="AH712" s="81" t="s">
        <v>118</v>
      </c>
      <c r="AK712" s="166">
        <v>0</v>
      </c>
      <c r="AM712" s="166">
        <v>0</v>
      </c>
      <c r="AO712" s="166">
        <v>0</v>
      </c>
      <c r="AP712" s="166">
        <v>1</v>
      </c>
      <c r="AQ712" s="166">
        <v>1</v>
      </c>
      <c r="AR712" s="166">
        <v>0</v>
      </c>
      <c r="AS712" s="166">
        <v>0</v>
      </c>
      <c r="AT712" s="166">
        <v>0</v>
      </c>
      <c r="AU712" s="166">
        <v>0</v>
      </c>
      <c r="AV712" s="166">
        <v>0</v>
      </c>
      <c r="AW712" s="166">
        <v>1</v>
      </c>
      <c r="AX712" s="166">
        <v>1</v>
      </c>
      <c r="AY712" s="166">
        <v>1</v>
      </c>
      <c r="AZ712" s="166">
        <v>0</v>
      </c>
      <c r="BA712" s="166">
        <v>0</v>
      </c>
      <c r="BB712" s="166">
        <v>0</v>
      </c>
      <c r="BC712" s="166">
        <v>0</v>
      </c>
      <c r="BD712" s="166">
        <v>0</v>
      </c>
      <c r="BE712" s="166">
        <v>0</v>
      </c>
      <c r="BF712" s="166">
        <v>-1</v>
      </c>
      <c r="BG712" s="166">
        <v>0</v>
      </c>
      <c r="BH712" s="166">
        <v>0</v>
      </c>
      <c r="BI712" s="166">
        <v>0</v>
      </c>
      <c r="BJ712" s="166">
        <v>0</v>
      </c>
      <c r="BK712" s="166">
        <v>0</v>
      </c>
      <c r="BL712" s="166">
        <v>0</v>
      </c>
      <c r="BM712" s="166">
        <v>0</v>
      </c>
      <c r="BN712" s="166">
        <v>0</v>
      </c>
      <c r="BO712" s="166">
        <v>0</v>
      </c>
      <c r="BP712" s="166">
        <v>0</v>
      </c>
      <c r="BQ712" s="81" t="s">
        <v>1757</v>
      </c>
      <c r="BZ712" s="81" t="s">
        <v>155</v>
      </c>
      <c r="CA712" s="81" t="s">
        <v>1937</v>
      </c>
      <c r="CC712" s="167">
        <v>0</v>
      </c>
      <c r="CD712" s="167">
        <f>$N712/4</f>
        <v>0.5</v>
      </c>
      <c r="CE712" s="167">
        <f>$N712/4</f>
        <v>0.5</v>
      </c>
      <c r="CF712" s="167">
        <f>$N712/4</f>
        <v>0.5</v>
      </c>
      <c r="CG712" s="167">
        <f>$N712/4</f>
        <v>0.5</v>
      </c>
      <c r="CH712" s="167">
        <v>0</v>
      </c>
      <c r="CI712" s="167">
        <v>0</v>
      </c>
      <c r="CJ712" s="167">
        <v>0</v>
      </c>
      <c r="CK712" s="167">
        <v>0</v>
      </c>
      <c r="CL712" s="167">
        <v>0</v>
      </c>
      <c r="CM712" s="167">
        <v>0</v>
      </c>
      <c r="CN712" s="167">
        <v>0</v>
      </c>
      <c r="CO712" s="167">
        <v>0</v>
      </c>
      <c r="CP712" s="167">
        <v>0</v>
      </c>
      <c r="CQ712" s="167">
        <v>0</v>
      </c>
      <c r="CR712" s="167">
        <v>0</v>
      </c>
      <c r="CS712" s="167">
        <v>0</v>
      </c>
      <c r="CT712" s="167">
        <v>0</v>
      </c>
      <c r="CU712" s="167">
        <v>0</v>
      </c>
      <c r="CV712" s="167">
        <v>0</v>
      </c>
      <c r="CW712" s="167">
        <v>0</v>
      </c>
      <c r="CX712" s="167">
        <f>SUM(CD712:CH712)</f>
        <v>2</v>
      </c>
      <c r="CY712" s="167">
        <f>SUM(CD712:CM712)</f>
        <v>2</v>
      </c>
    </row>
    <row r="713" spans="1:103" ht="12.75" customHeight="1" x14ac:dyDescent="0.2">
      <c r="A713" s="81">
        <v>411</v>
      </c>
      <c r="B713" s="165" t="s">
        <v>1930</v>
      </c>
      <c r="C713" s="165" t="s">
        <v>436</v>
      </c>
      <c r="E713" s="165" t="s">
        <v>2414</v>
      </c>
      <c r="G713" s="81">
        <v>528848</v>
      </c>
      <c r="H713" s="81">
        <v>176719</v>
      </c>
      <c r="I713" s="165" t="s">
        <v>240</v>
      </c>
      <c r="L713" s="166">
        <v>0</v>
      </c>
      <c r="M713" s="166">
        <v>4</v>
      </c>
      <c r="N713" s="166">
        <v>4</v>
      </c>
      <c r="O713" s="166">
        <v>4</v>
      </c>
      <c r="P713" s="166">
        <v>4</v>
      </c>
      <c r="R713" s="165" t="s">
        <v>437</v>
      </c>
      <c r="S713" s="81" t="s">
        <v>270</v>
      </c>
      <c r="T713" s="349">
        <v>42087</v>
      </c>
      <c r="U713" s="349">
        <v>42165</v>
      </c>
      <c r="W713" s="81" t="s">
        <v>114</v>
      </c>
      <c r="Y713" s="81" t="s">
        <v>115</v>
      </c>
      <c r="Z713" s="81" t="s">
        <v>310</v>
      </c>
      <c r="AA713" s="81" t="s">
        <v>117</v>
      </c>
      <c r="AB713" s="81" t="s">
        <v>399</v>
      </c>
      <c r="AC713" s="166">
        <v>5.9999998658895499E-2</v>
      </c>
      <c r="AG713" s="81" t="s">
        <v>238</v>
      </c>
      <c r="AH713" s="81" t="s">
        <v>118</v>
      </c>
      <c r="AK713" s="166">
        <v>0</v>
      </c>
      <c r="AM713" s="166">
        <v>0</v>
      </c>
      <c r="AO713" s="166">
        <v>0</v>
      </c>
      <c r="AP713" s="166">
        <v>4</v>
      </c>
      <c r="AQ713" s="166">
        <v>0</v>
      </c>
      <c r="AR713" s="166">
        <v>0</v>
      </c>
      <c r="AS713" s="166">
        <v>0</v>
      </c>
      <c r="AT713" s="166">
        <v>0</v>
      </c>
      <c r="AU713" s="166">
        <v>0</v>
      </c>
      <c r="AV713" s="166">
        <v>0</v>
      </c>
      <c r="AW713" s="166">
        <v>4</v>
      </c>
      <c r="AX713" s="166">
        <v>0</v>
      </c>
      <c r="AY713" s="166">
        <v>0</v>
      </c>
      <c r="AZ713" s="166">
        <v>0</v>
      </c>
      <c r="BA713" s="166">
        <v>0</v>
      </c>
      <c r="BB713" s="166">
        <v>0</v>
      </c>
      <c r="BC713" s="166">
        <v>0</v>
      </c>
      <c r="BD713" s="166">
        <v>0</v>
      </c>
      <c r="BE713" s="166">
        <v>0</v>
      </c>
      <c r="BF713" s="166">
        <v>0</v>
      </c>
      <c r="BG713" s="166">
        <v>0</v>
      </c>
      <c r="BH713" s="166">
        <v>0</v>
      </c>
      <c r="BI713" s="166">
        <v>0</v>
      </c>
      <c r="BJ713" s="166">
        <v>0</v>
      </c>
      <c r="BK713" s="166">
        <v>0</v>
      </c>
      <c r="BL713" s="166">
        <v>0</v>
      </c>
      <c r="BM713" s="166">
        <v>0</v>
      </c>
      <c r="BN713" s="166">
        <v>0</v>
      </c>
      <c r="BO713" s="166">
        <v>0</v>
      </c>
      <c r="BP713" s="166">
        <v>0</v>
      </c>
      <c r="BQ713" s="81" t="s">
        <v>1759</v>
      </c>
      <c r="BS713" s="81" t="s">
        <v>155</v>
      </c>
      <c r="BZ713" s="81" t="s">
        <v>155</v>
      </c>
      <c r="CA713" s="81" t="s">
        <v>1937</v>
      </c>
      <c r="CC713" s="167">
        <v>0</v>
      </c>
      <c r="CD713" s="167">
        <f>$N713/4</f>
        <v>1</v>
      </c>
      <c r="CE713" s="167">
        <f>$N713/4</f>
        <v>1</v>
      </c>
      <c r="CF713" s="167">
        <f>$N713/4</f>
        <v>1</v>
      </c>
      <c r="CG713" s="167">
        <f>$N713/4</f>
        <v>1</v>
      </c>
      <c r="CH713" s="167">
        <v>0</v>
      </c>
      <c r="CI713" s="167">
        <v>0</v>
      </c>
      <c r="CJ713" s="167">
        <v>0</v>
      </c>
      <c r="CK713" s="167">
        <v>0</v>
      </c>
      <c r="CL713" s="167">
        <v>0</v>
      </c>
      <c r="CM713" s="167">
        <v>0</v>
      </c>
      <c r="CN713" s="167">
        <v>0</v>
      </c>
      <c r="CO713" s="167">
        <v>0</v>
      </c>
      <c r="CP713" s="167">
        <v>0</v>
      </c>
      <c r="CQ713" s="167">
        <v>0</v>
      </c>
      <c r="CR713" s="167">
        <v>0</v>
      </c>
      <c r="CS713" s="167">
        <v>0</v>
      </c>
      <c r="CT713" s="167">
        <v>0</v>
      </c>
      <c r="CU713" s="167">
        <v>0</v>
      </c>
      <c r="CV713" s="167">
        <v>0</v>
      </c>
      <c r="CW713" s="167">
        <v>0</v>
      </c>
      <c r="CX713" s="167">
        <f>SUM(CD713:CH713)</f>
        <v>4</v>
      </c>
      <c r="CY713" s="167">
        <f>SUM(CD713:CM713)</f>
        <v>4</v>
      </c>
    </row>
    <row r="714" spans="1:103" ht="12.75" customHeight="1" x14ac:dyDescent="0.2">
      <c r="A714" s="81">
        <v>419</v>
      </c>
      <c r="B714" s="165" t="s">
        <v>1930</v>
      </c>
      <c r="C714" s="165" t="s">
        <v>2419</v>
      </c>
      <c r="E714" s="165" t="s">
        <v>2420</v>
      </c>
      <c r="G714" s="81">
        <v>527797</v>
      </c>
      <c r="H714" s="81">
        <v>172208</v>
      </c>
      <c r="I714" s="165" t="s">
        <v>242</v>
      </c>
      <c r="L714" s="166">
        <v>0</v>
      </c>
      <c r="M714" s="166">
        <v>4</v>
      </c>
      <c r="N714" s="166">
        <v>4</v>
      </c>
      <c r="O714" s="166">
        <v>4</v>
      </c>
      <c r="P714" s="166">
        <v>4</v>
      </c>
      <c r="R714" s="165" t="s">
        <v>2421</v>
      </c>
      <c r="S714" s="81" t="s">
        <v>113</v>
      </c>
      <c r="T714" s="349">
        <v>42983</v>
      </c>
      <c r="U714" s="349">
        <v>43087</v>
      </c>
      <c r="V714" s="81" t="s">
        <v>155</v>
      </c>
      <c r="W714" s="81" t="s">
        <v>114</v>
      </c>
      <c r="Y714" s="81" t="s">
        <v>115</v>
      </c>
      <c r="Z714" s="81" t="s">
        <v>116</v>
      </c>
      <c r="AA714" s="81" t="s">
        <v>117</v>
      </c>
      <c r="AB714" s="81" t="s">
        <v>218</v>
      </c>
      <c r="AC714" s="166">
        <v>2.3000000044703501E-2</v>
      </c>
      <c r="AG714" s="81" t="s">
        <v>238</v>
      </c>
      <c r="AH714" s="81" t="s">
        <v>118</v>
      </c>
      <c r="AK714" s="166">
        <v>0</v>
      </c>
      <c r="AM714" s="166">
        <v>0</v>
      </c>
      <c r="AO714" s="166">
        <v>0</v>
      </c>
      <c r="AP714" s="166">
        <v>1</v>
      </c>
      <c r="AQ714" s="166">
        <v>2</v>
      </c>
      <c r="AR714" s="166">
        <v>1</v>
      </c>
      <c r="AS714" s="166">
        <v>0</v>
      </c>
      <c r="AT714" s="166">
        <v>0</v>
      </c>
      <c r="AU714" s="166">
        <v>0</v>
      </c>
      <c r="AV714" s="166">
        <v>0</v>
      </c>
      <c r="AW714" s="166">
        <v>1</v>
      </c>
      <c r="AX714" s="166">
        <v>2</v>
      </c>
      <c r="AY714" s="166">
        <v>1</v>
      </c>
      <c r="AZ714" s="166">
        <v>0</v>
      </c>
      <c r="BA714" s="166">
        <v>0</v>
      </c>
      <c r="BB714" s="166">
        <v>0</v>
      </c>
      <c r="BC714" s="166">
        <v>0</v>
      </c>
      <c r="BD714" s="166">
        <v>0</v>
      </c>
      <c r="BE714" s="166">
        <v>0</v>
      </c>
      <c r="BF714" s="166">
        <v>0</v>
      </c>
      <c r="BG714" s="166">
        <v>0</v>
      </c>
      <c r="BH714" s="166">
        <v>0</v>
      </c>
      <c r="BI714" s="166">
        <v>0</v>
      </c>
      <c r="BJ714" s="166">
        <v>0</v>
      </c>
      <c r="BK714" s="166">
        <v>0</v>
      </c>
      <c r="BL714" s="166">
        <v>0</v>
      </c>
      <c r="BM714" s="166">
        <v>0</v>
      </c>
      <c r="BN714" s="166">
        <v>0</v>
      </c>
      <c r="BO714" s="166">
        <v>0</v>
      </c>
      <c r="BP714" s="166">
        <v>0</v>
      </c>
      <c r="BQ714" s="81" t="s">
        <v>1757</v>
      </c>
      <c r="BZ714" s="81" t="s">
        <v>155</v>
      </c>
      <c r="CA714" s="81">
        <v>4</v>
      </c>
      <c r="CC714" s="167">
        <v>0</v>
      </c>
      <c r="CD714" s="167">
        <v>0</v>
      </c>
      <c r="CE714" s="167">
        <f>$N714/4</f>
        <v>1</v>
      </c>
      <c r="CF714" s="167">
        <f>$N714/4</f>
        <v>1</v>
      </c>
      <c r="CG714" s="167">
        <f>$N714/4</f>
        <v>1</v>
      </c>
      <c r="CH714" s="167">
        <f>$N714/4</f>
        <v>1</v>
      </c>
      <c r="CI714" s="167">
        <v>0</v>
      </c>
      <c r="CJ714" s="167">
        <v>0</v>
      </c>
      <c r="CK714" s="167">
        <v>0</v>
      </c>
      <c r="CL714" s="167">
        <v>0</v>
      </c>
      <c r="CM714" s="167">
        <v>0</v>
      </c>
      <c r="CN714" s="167">
        <v>0</v>
      </c>
      <c r="CO714" s="167">
        <v>0</v>
      </c>
      <c r="CP714" s="167">
        <v>0</v>
      </c>
      <c r="CQ714" s="167">
        <v>0</v>
      </c>
      <c r="CR714" s="167">
        <v>0</v>
      </c>
      <c r="CS714" s="167">
        <v>0</v>
      </c>
      <c r="CT714" s="167">
        <v>0</v>
      </c>
      <c r="CU714" s="167">
        <v>0</v>
      </c>
      <c r="CV714" s="167">
        <v>0</v>
      </c>
      <c r="CW714" s="167">
        <v>0</v>
      </c>
      <c r="CX714" s="167">
        <f>SUM(CD714:CH714)</f>
        <v>4</v>
      </c>
      <c r="CY714" s="167">
        <f>SUM(CD714:CM714)</f>
        <v>4</v>
      </c>
    </row>
    <row r="715" spans="1:103" ht="12.75" customHeight="1" x14ac:dyDescent="0.2">
      <c r="A715" s="81">
        <v>457</v>
      </c>
      <c r="B715" s="165" t="s">
        <v>1930</v>
      </c>
      <c r="C715" s="165" t="s">
        <v>2422</v>
      </c>
      <c r="E715" s="165" t="s">
        <v>2423</v>
      </c>
      <c r="G715" s="81">
        <v>529185</v>
      </c>
      <c r="H715" s="81">
        <v>170570</v>
      </c>
      <c r="I715" s="165" t="s">
        <v>252</v>
      </c>
      <c r="L715" s="166">
        <v>0</v>
      </c>
      <c r="M715" s="166">
        <v>1</v>
      </c>
      <c r="N715" s="166">
        <v>1</v>
      </c>
      <c r="O715" s="166">
        <v>1</v>
      </c>
      <c r="P715" s="166">
        <v>1</v>
      </c>
      <c r="R715" s="165" t="s">
        <v>2424</v>
      </c>
      <c r="S715" s="81" t="s">
        <v>113</v>
      </c>
      <c r="T715" s="349">
        <v>42900</v>
      </c>
      <c r="U715" s="349">
        <v>43032</v>
      </c>
      <c r="V715" s="81" t="s">
        <v>155</v>
      </c>
      <c r="W715" s="81" t="s">
        <v>114</v>
      </c>
      <c r="Y715" s="81" t="s">
        <v>115</v>
      </c>
      <c r="Z715" s="81" t="s">
        <v>116</v>
      </c>
      <c r="AA715" s="81" t="s">
        <v>117</v>
      </c>
      <c r="AB715" s="81" t="s">
        <v>218</v>
      </c>
      <c r="AC715" s="166">
        <v>1.60000007599592E-2</v>
      </c>
      <c r="AG715" s="81" t="s">
        <v>238</v>
      </c>
      <c r="AH715" s="81" t="s">
        <v>118</v>
      </c>
      <c r="AK715" s="166">
        <v>0</v>
      </c>
      <c r="AM715" s="166">
        <v>0</v>
      </c>
      <c r="AO715" s="166">
        <v>0</v>
      </c>
      <c r="AP715" s="166">
        <v>1</v>
      </c>
      <c r="AQ715" s="166">
        <v>0</v>
      </c>
      <c r="AR715" s="166">
        <v>0</v>
      </c>
      <c r="AS715" s="166">
        <v>0</v>
      </c>
      <c r="AT715" s="166">
        <v>0</v>
      </c>
      <c r="AU715" s="166">
        <v>0</v>
      </c>
      <c r="AV715" s="166">
        <v>0</v>
      </c>
      <c r="AW715" s="166">
        <v>0</v>
      </c>
      <c r="AX715" s="166">
        <v>0</v>
      </c>
      <c r="AY715" s="166">
        <v>0</v>
      </c>
      <c r="AZ715" s="166">
        <v>0</v>
      </c>
      <c r="BA715" s="166">
        <v>0</v>
      </c>
      <c r="BB715" s="166">
        <v>0</v>
      </c>
      <c r="BC715" s="166">
        <v>0</v>
      </c>
      <c r="BD715" s="166">
        <v>1</v>
      </c>
      <c r="BE715" s="166">
        <v>0</v>
      </c>
      <c r="BF715" s="166">
        <v>0</v>
      </c>
      <c r="BG715" s="166">
        <v>0</v>
      </c>
      <c r="BH715" s="166">
        <v>0</v>
      </c>
      <c r="BI715" s="166">
        <v>0</v>
      </c>
      <c r="BJ715" s="166">
        <v>0</v>
      </c>
      <c r="BK715" s="166">
        <v>0</v>
      </c>
      <c r="BL715" s="166">
        <v>0</v>
      </c>
      <c r="BM715" s="166">
        <v>0</v>
      </c>
      <c r="BN715" s="166">
        <v>0</v>
      </c>
      <c r="BO715" s="166">
        <v>0</v>
      </c>
      <c r="BP715" s="166">
        <v>0</v>
      </c>
      <c r="BQ715" s="81" t="s">
        <v>1757</v>
      </c>
      <c r="BZ715" s="81" t="s">
        <v>155</v>
      </c>
      <c r="CA715" s="81">
        <v>4</v>
      </c>
      <c r="CC715" s="167">
        <v>0</v>
      </c>
      <c r="CD715" s="167">
        <v>0</v>
      </c>
      <c r="CE715" s="167">
        <f>$N715/4</f>
        <v>0.25</v>
      </c>
      <c r="CF715" s="167">
        <f>$N715/4</f>
        <v>0.25</v>
      </c>
      <c r="CG715" s="167">
        <f>$N715/4</f>
        <v>0.25</v>
      </c>
      <c r="CH715" s="167">
        <f>$N715/4</f>
        <v>0.25</v>
      </c>
      <c r="CI715" s="167">
        <v>0</v>
      </c>
      <c r="CJ715" s="167">
        <v>0</v>
      </c>
      <c r="CK715" s="167">
        <v>0</v>
      </c>
      <c r="CL715" s="167">
        <v>0</v>
      </c>
      <c r="CM715" s="167">
        <v>0</v>
      </c>
      <c r="CN715" s="167">
        <v>0</v>
      </c>
      <c r="CO715" s="167">
        <v>0</v>
      </c>
      <c r="CP715" s="167">
        <v>0</v>
      </c>
      <c r="CQ715" s="167">
        <v>0</v>
      </c>
      <c r="CR715" s="167">
        <v>0</v>
      </c>
      <c r="CS715" s="167">
        <v>0</v>
      </c>
      <c r="CT715" s="167">
        <v>0</v>
      </c>
      <c r="CU715" s="167">
        <v>0</v>
      </c>
      <c r="CV715" s="167">
        <v>0</v>
      </c>
      <c r="CW715" s="167">
        <v>0</v>
      </c>
      <c r="CX715" s="167">
        <f>SUM(CD715:CH715)</f>
        <v>1</v>
      </c>
      <c r="CY715" s="167">
        <f>SUM(CD715:CM715)</f>
        <v>1</v>
      </c>
    </row>
    <row r="716" spans="1:103" ht="12.75" customHeight="1" x14ac:dyDescent="0.2">
      <c r="A716" s="81">
        <v>466</v>
      </c>
      <c r="B716" s="165" t="s">
        <v>1930</v>
      </c>
      <c r="C716" s="165" t="s">
        <v>2416</v>
      </c>
      <c r="E716" s="165" t="s">
        <v>2417</v>
      </c>
      <c r="G716" s="81">
        <v>528790</v>
      </c>
      <c r="H716" s="81">
        <v>173785</v>
      </c>
      <c r="I716" s="165" t="s">
        <v>247</v>
      </c>
      <c r="L716" s="166">
        <v>1</v>
      </c>
      <c r="M716" s="166">
        <v>2</v>
      </c>
      <c r="N716" s="166">
        <v>1</v>
      </c>
      <c r="O716" s="166">
        <v>2</v>
      </c>
      <c r="P716" s="166">
        <v>1</v>
      </c>
      <c r="R716" s="165" t="s">
        <v>2418</v>
      </c>
      <c r="S716" s="81" t="s">
        <v>113</v>
      </c>
      <c r="T716" s="349">
        <v>43124</v>
      </c>
      <c r="U716" s="349">
        <v>43180</v>
      </c>
      <c r="V716" s="81" t="s">
        <v>155</v>
      </c>
      <c r="W716" s="81" t="s">
        <v>114</v>
      </c>
      <c r="Y716" s="81" t="s">
        <v>115</v>
      </c>
      <c r="Z716" s="81" t="s">
        <v>119</v>
      </c>
      <c r="AA716" s="81" t="s">
        <v>117</v>
      </c>
      <c r="AB716" s="81" t="s">
        <v>220</v>
      </c>
      <c r="AC716" s="166">
        <v>6.0000000521540598E-3</v>
      </c>
      <c r="AG716" s="81" t="s">
        <v>238</v>
      </c>
      <c r="AH716" s="81" t="s">
        <v>118</v>
      </c>
      <c r="AK716" s="166">
        <v>0</v>
      </c>
      <c r="AM716" s="166">
        <v>0</v>
      </c>
      <c r="AO716" s="166">
        <v>0</v>
      </c>
      <c r="AP716" s="166">
        <v>2</v>
      </c>
      <c r="AQ716" s="166">
        <v>0</v>
      </c>
      <c r="AR716" s="166">
        <v>0</v>
      </c>
      <c r="AS716" s="166">
        <v>-1</v>
      </c>
      <c r="AT716" s="166">
        <v>0</v>
      </c>
      <c r="AU716" s="166">
        <v>0</v>
      </c>
      <c r="AV716" s="166">
        <v>0</v>
      </c>
      <c r="AW716" s="166">
        <v>2</v>
      </c>
      <c r="AX716" s="166">
        <v>0</v>
      </c>
      <c r="AY716" s="166">
        <v>0</v>
      </c>
      <c r="AZ716" s="166">
        <v>-1</v>
      </c>
      <c r="BA716" s="166">
        <v>0</v>
      </c>
      <c r="BB716" s="166">
        <v>0</v>
      </c>
      <c r="BC716" s="166">
        <v>0</v>
      </c>
      <c r="BD716" s="166">
        <v>0</v>
      </c>
      <c r="BE716" s="166">
        <v>0</v>
      </c>
      <c r="BF716" s="166">
        <v>0</v>
      </c>
      <c r="BG716" s="166">
        <v>0</v>
      </c>
      <c r="BH716" s="166">
        <v>0</v>
      </c>
      <c r="BI716" s="166">
        <v>0</v>
      </c>
      <c r="BJ716" s="166">
        <v>0</v>
      </c>
      <c r="BK716" s="166">
        <v>0</v>
      </c>
      <c r="BL716" s="166">
        <v>0</v>
      </c>
      <c r="BM716" s="166">
        <v>0</v>
      </c>
      <c r="BN716" s="166">
        <v>0</v>
      </c>
      <c r="BO716" s="166">
        <v>0</v>
      </c>
      <c r="BP716" s="166">
        <v>0</v>
      </c>
      <c r="BQ716" s="81" t="s">
        <v>1757</v>
      </c>
      <c r="BZ716" s="81" t="s">
        <v>155</v>
      </c>
      <c r="CA716" s="81" t="s">
        <v>1937</v>
      </c>
      <c r="CC716" s="167">
        <v>0</v>
      </c>
      <c r="CD716" s="167">
        <f>$N716/4</f>
        <v>0.25</v>
      </c>
      <c r="CE716" s="167">
        <f>$N716/4</f>
        <v>0.25</v>
      </c>
      <c r="CF716" s="167">
        <f>$N716/4</f>
        <v>0.25</v>
      </c>
      <c r="CG716" s="167">
        <f>$N716/4</f>
        <v>0.25</v>
      </c>
      <c r="CH716" s="167">
        <v>0</v>
      </c>
      <c r="CI716" s="167">
        <v>0</v>
      </c>
      <c r="CJ716" s="167">
        <v>0</v>
      </c>
      <c r="CK716" s="167">
        <v>0</v>
      </c>
      <c r="CL716" s="167">
        <v>0</v>
      </c>
      <c r="CM716" s="167">
        <v>0</v>
      </c>
      <c r="CN716" s="167">
        <v>0</v>
      </c>
      <c r="CO716" s="167">
        <v>0</v>
      </c>
      <c r="CP716" s="167">
        <v>0</v>
      </c>
      <c r="CQ716" s="167">
        <v>0</v>
      </c>
      <c r="CR716" s="167">
        <v>0</v>
      </c>
      <c r="CS716" s="167">
        <v>0</v>
      </c>
      <c r="CT716" s="167">
        <v>0</v>
      </c>
      <c r="CU716" s="167">
        <v>0</v>
      </c>
      <c r="CV716" s="167">
        <v>0</v>
      </c>
      <c r="CW716" s="167">
        <v>0</v>
      </c>
      <c r="CX716" s="167">
        <f>SUM(CD716:CH716)</f>
        <v>1</v>
      </c>
      <c r="CY716" s="167">
        <f>SUM(CD716:CM716)</f>
        <v>1</v>
      </c>
    </row>
    <row r="717" spans="1:103" ht="12.75" customHeight="1" x14ac:dyDescent="0.2">
      <c r="A717" s="81">
        <v>470</v>
      </c>
      <c r="B717" s="165" t="s">
        <v>1930</v>
      </c>
      <c r="C717" s="165" t="s">
        <v>2428</v>
      </c>
      <c r="E717" s="165" t="s">
        <v>2429</v>
      </c>
      <c r="G717" s="81">
        <v>527370</v>
      </c>
      <c r="H717" s="81">
        <v>171395</v>
      </c>
      <c r="I717" s="165" t="s">
        <v>242</v>
      </c>
      <c r="L717" s="166">
        <v>0</v>
      </c>
      <c r="M717" s="166">
        <v>1</v>
      </c>
      <c r="N717" s="166">
        <v>1</v>
      </c>
      <c r="O717" s="166">
        <v>1</v>
      </c>
      <c r="P717" s="166">
        <v>1</v>
      </c>
      <c r="R717" s="165" t="s">
        <v>2430</v>
      </c>
      <c r="S717" s="81" t="s">
        <v>113</v>
      </c>
      <c r="T717" s="349">
        <v>43041</v>
      </c>
      <c r="U717" s="349">
        <v>43167</v>
      </c>
      <c r="V717" s="81" t="s">
        <v>155</v>
      </c>
      <c r="W717" s="81" t="s">
        <v>114</v>
      </c>
      <c r="Y717" s="81" t="s">
        <v>115</v>
      </c>
      <c r="Z717" s="81" t="s">
        <v>116</v>
      </c>
      <c r="AA717" s="81" t="s">
        <v>117</v>
      </c>
      <c r="AB717" s="81" t="s">
        <v>218</v>
      </c>
      <c r="AC717" s="166">
        <v>4.9999998882412902E-3</v>
      </c>
      <c r="AG717" s="81" t="s">
        <v>238</v>
      </c>
      <c r="AH717" s="81" t="s">
        <v>118</v>
      </c>
      <c r="AK717" s="166">
        <v>0</v>
      </c>
      <c r="AM717" s="166">
        <v>0</v>
      </c>
      <c r="AO717" s="166">
        <v>0</v>
      </c>
      <c r="AP717" s="166">
        <v>0</v>
      </c>
      <c r="AQ717" s="166">
        <v>0</v>
      </c>
      <c r="AR717" s="166">
        <v>1</v>
      </c>
      <c r="AS717" s="166">
        <v>0</v>
      </c>
      <c r="AT717" s="166">
        <v>0</v>
      </c>
      <c r="AU717" s="166">
        <v>0</v>
      </c>
      <c r="AV717" s="166">
        <v>0</v>
      </c>
      <c r="AW717" s="166">
        <v>0</v>
      </c>
      <c r="AX717" s="166">
        <v>0</v>
      </c>
      <c r="AY717" s="166">
        <v>0</v>
      </c>
      <c r="AZ717" s="166">
        <v>0</v>
      </c>
      <c r="BA717" s="166">
        <v>0</v>
      </c>
      <c r="BB717" s="166">
        <v>0</v>
      </c>
      <c r="BC717" s="166">
        <v>0</v>
      </c>
      <c r="BD717" s="166">
        <v>0</v>
      </c>
      <c r="BE717" s="166">
        <v>0</v>
      </c>
      <c r="BF717" s="166">
        <v>1</v>
      </c>
      <c r="BG717" s="166">
        <v>0</v>
      </c>
      <c r="BH717" s="166">
        <v>0</v>
      </c>
      <c r="BI717" s="166">
        <v>0</v>
      </c>
      <c r="BJ717" s="166">
        <v>0</v>
      </c>
      <c r="BK717" s="166">
        <v>0</v>
      </c>
      <c r="BL717" s="166">
        <v>0</v>
      </c>
      <c r="BM717" s="166">
        <v>0</v>
      </c>
      <c r="BN717" s="166">
        <v>0</v>
      </c>
      <c r="BO717" s="166">
        <v>0</v>
      </c>
      <c r="BP717" s="166">
        <v>0</v>
      </c>
      <c r="BQ717" s="81" t="s">
        <v>1757</v>
      </c>
      <c r="BR717" s="81" t="s">
        <v>242</v>
      </c>
      <c r="BZ717" s="81" t="s">
        <v>155</v>
      </c>
      <c r="CA717" s="81">
        <v>4</v>
      </c>
      <c r="CC717" s="167">
        <v>0</v>
      </c>
      <c r="CD717" s="167">
        <v>0</v>
      </c>
      <c r="CE717" s="167">
        <f>$N717/4</f>
        <v>0.25</v>
      </c>
      <c r="CF717" s="167">
        <f>$N717/4</f>
        <v>0.25</v>
      </c>
      <c r="CG717" s="167">
        <f>$N717/4</f>
        <v>0.25</v>
      </c>
      <c r="CH717" s="167">
        <f>$N717/4</f>
        <v>0.25</v>
      </c>
      <c r="CI717" s="167">
        <v>0</v>
      </c>
      <c r="CJ717" s="167">
        <v>0</v>
      </c>
      <c r="CK717" s="167">
        <v>0</v>
      </c>
      <c r="CL717" s="167">
        <v>0</v>
      </c>
      <c r="CM717" s="167">
        <v>0</v>
      </c>
      <c r="CN717" s="167">
        <v>0</v>
      </c>
      <c r="CO717" s="167">
        <v>0</v>
      </c>
      <c r="CP717" s="167">
        <v>0</v>
      </c>
      <c r="CQ717" s="167">
        <v>0</v>
      </c>
      <c r="CR717" s="167">
        <v>0</v>
      </c>
      <c r="CS717" s="167">
        <v>0</v>
      </c>
      <c r="CT717" s="167">
        <v>0</v>
      </c>
      <c r="CU717" s="167">
        <v>0</v>
      </c>
      <c r="CV717" s="167">
        <v>0</v>
      </c>
      <c r="CW717" s="167">
        <v>0</v>
      </c>
      <c r="CX717" s="167">
        <f>SUM(CD717:CH717)</f>
        <v>1</v>
      </c>
      <c r="CY717" s="167">
        <f>SUM(CD717:CM717)</f>
        <v>1</v>
      </c>
    </row>
    <row r="718" spans="1:103" x14ac:dyDescent="0.2">
      <c r="A718" s="81">
        <v>501</v>
      </c>
      <c r="B718" s="165" t="s">
        <v>1930</v>
      </c>
      <c r="C718" s="165" t="s">
        <v>2425</v>
      </c>
      <c r="E718" s="165" t="s">
        <v>2426</v>
      </c>
      <c r="G718" s="81">
        <v>523779</v>
      </c>
      <c r="H718" s="81">
        <v>175125</v>
      </c>
      <c r="I718" s="165" t="s">
        <v>259</v>
      </c>
      <c r="L718" s="166">
        <v>0</v>
      </c>
      <c r="M718" s="166">
        <v>1</v>
      </c>
      <c r="N718" s="166">
        <v>1</v>
      </c>
      <c r="O718" s="166">
        <v>1</v>
      </c>
      <c r="P718" s="166">
        <v>1</v>
      </c>
      <c r="R718" s="165" t="s">
        <v>2427</v>
      </c>
      <c r="S718" s="81" t="s">
        <v>113</v>
      </c>
      <c r="T718" s="349">
        <v>42901</v>
      </c>
      <c r="U718" s="349">
        <v>42971</v>
      </c>
      <c r="V718" s="81" t="s">
        <v>155</v>
      </c>
      <c r="W718" s="81" t="s">
        <v>114</v>
      </c>
      <c r="Y718" s="81" t="s">
        <v>115</v>
      </c>
      <c r="Z718" s="81" t="s">
        <v>310</v>
      </c>
      <c r="AA718" s="81" t="s">
        <v>117</v>
      </c>
      <c r="AB718" s="81" t="s">
        <v>102</v>
      </c>
      <c r="AC718" s="166">
        <v>8.9999996125698107E-3</v>
      </c>
      <c r="AG718" s="81" t="s">
        <v>238</v>
      </c>
      <c r="AH718" s="81" t="s">
        <v>118</v>
      </c>
      <c r="AK718" s="166">
        <v>0</v>
      </c>
      <c r="AM718" s="166">
        <v>0</v>
      </c>
      <c r="AO718" s="166">
        <v>0</v>
      </c>
      <c r="AP718" s="166">
        <v>0</v>
      </c>
      <c r="AQ718" s="166">
        <v>1</v>
      </c>
      <c r="AR718" s="166">
        <v>0</v>
      </c>
      <c r="AS718" s="166">
        <v>0</v>
      </c>
      <c r="AT718" s="166">
        <v>0</v>
      </c>
      <c r="AU718" s="166">
        <v>0</v>
      </c>
      <c r="AV718" s="166">
        <v>0</v>
      </c>
      <c r="AW718" s="166">
        <v>0</v>
      </c>
      <c r="AX718" s="166">
        <v>1</v>
      </c>
      <c r="AY718" s="166">
        <v>0</v>
      </c>
      <c r="AZ718" s="166">
        <v>0</v>
      </c>
      <c r="BA718" s="166">
        <v>0</v>
      </c>
      <c r="BB718" s="166">
        <v>0</v>
      </c>
      <c r="BC718" s="166">
        <v>0</v>
      </c>
      <c r="BD718" s="166">
        <v>0</v>
      </c>
      <c r="BE718" s="166">
        <v>0</v>
      </c>
      <c r="BF718" s="166">
        <v>0</v>
      </c>
      <c r="BG718" s="166">
        <v>0</v>
      </c>
      <c r="BH718" s="166">
        <v>0</v>
      </c>
      <c r="BI718" s="166">
        <v>0</v>
      </c>
      <c r="BJ718" s="166">
        <v>0</v>
      </c>
      <c r="BK718" s="166">
        <v>0</v>
      </c>
      <c r="BL718" s="166">
        <v>0</v>
      </c>
      <c r="BM718" s="166">
        <v>0</v>
      </c>
      <c r="BN718" s="166">
        <v>0</v>
      </c>
      <c r="BO718" s="166">
        <v>0</v>
      </c>
      <c r="BP718" s="166">
        <v>0</v>
      </c>
      <c r="BQ718" s="81" t="s">
        <v>1758</v>
      </c>
      <c r="BR718" s="81" t="s">
        <v>161</v>
      </c>
      <c r="BZ718" s="81" t="s">
        <v>155</v>
      </c>
      <c r="CA718" s="81" t="s">
        <v>1937</v>
      </c>
      <c r="CC718" s="167">
        <v>0</v>
      </c>
      <c r="CD718" s="167">
        <f>$N718/4</f>
        <v>0.25</v>
      </c>
      <c r="CE718" s="167">
        <f>$N718/4</f>
        <v>0.25</v>
      </c>
      <c r="CF718" s="167">
        <f>$N718/4</f>
        <v>0.25</v>
      </c>
      <c r="CG718" s="167">
        <f>$N718/4</f>
        <v>0.25</v>
      </c>
      <c r="CH718" s="167">
        <v>0</v>
      </c>
      <c r="CI718" s="167">
        <v>0</v>
      </c>
      <c r="CJ718" s="167">
        <v>0</v>
      </c>
      <c r="CK718" s="167">
        <v>0</v>
      </c>
      <c r="CL718" s="167">
        <v>0</v>
      </c>
      <c r="CM718" s="167">
        <v>0</v>
      </c>
      <c r="CN718" s="167">
        <v>0</v>
      </c>
      <c r="CO718" s="167">
        <v>0</v>
      </c>
      <c r="CP718" s="167">
        <v>0</v>
      </c>
      <c r="CQ718" s="167">
        <v>0</v>
      </c>
      <c r="CR718" s="167">
        <v>0</v>
      </c>
      <c r="CS718" s="167">
        <v>0</v>
      </c>
      <c r="CT718" s="167">
        <v>0</v>
      </c>
      <c r="CU718" s="167">
        <v>0</v>
      </c>
      <c r="CV718" s="167">
        <v>0</v>
      </c>
      <c r="CW718" s="167">
        <v>0</v>
      </c>
      <c r="CX718" s="167">
        <f>SUM(CD718:CH718)</f>
        <v>1</v>
      </c>
      <c r="CY718" s="167">
        <f>SUM(CD718:CM718)</f>
        <v>1</v>
      </c>
    </row>
    <row r="719" spans="1:103" ht="12.75" customHeight="1" x14ac:dyDescent="0.2">
      <c r="A719" s="81">
        <v>518</v>
      </c>
      <c r="B719" s="165" t="s">
        <v>1930</v>
      </c>
      <c r="C719" s="165" t="s">
        <v>547</v>
      </c>
      <c r="E719" s="165" t="s">
        <v>2432</v>
      </c>
      <c r="F719" s="165" t="s">
        <v>548</v>
      </c>
      <c r="G719" s="81">
        <v>527485</v>
      </c>
      <c r="H719" s="81">
        <v>171424</v>
      </c>
      <c r="I719" s="165" t="s">
        <v>253</v>
      </c>
      <c r="L719" s="166">
        <v>0</v>
      </c>
      <c r="M719" s="166">
        <v>1</v>
      </c>
      <c r="N719" s="166">
        <v>1</v>
      </c>
      <c r="O719" s="166">
        <v>5</v>
      </c>
      <c r="P719" s="166">
        <v>5</v>
      </c>
      <c r="R719" s="165" t="s">
        <v>1130</v>
      </c>
      <c r="S719" s="81" t="s">
        <v>113</v>
      </c>
      <c r="T719" s="349">
        <v>42135</v>
      </c>
      <c r="U719" s="349">
        <v>42304</v>
      </c>
      <c r="W719" s="81" t="s">
        <v>114</v>
      </c>
      <c r="Y719" s="81" t="s">
        <v>115</v>
      </c>
      <c r="Z719" s="81" t="s">
        <v>398</v>
      </c>
      <c r="AA719" s="81" t="s">
        <v>117</v>
      </c>
      <c r="AB719" s="81" t="s">
        <v>218</v>
      </c>
      <c r="AC719" s="166">
        <v>0</v>
      </c>
      <c r="AG719" s="81" t="s">
        <v>238</v>
      </c>
      <c r="AH719" s="81" t="s">
        <v>118</v>
      </c>
      <c r="AK719" s="166">
        <v>0</v>
      </c>
      <c r="AM719" s="166">
        <v>0</v>
      </c>
      <c r="AO719" s="166">
        <v>0</v>
      </c>
      <c r="AP719" s="166">
        <v>0</v>
      </c>
      <c r="AQ719" s="166">
        <v>0</v>
      </c>
      <c r="AR719" s="166">
        <v>1</v>
      </c>
      <c r="AS719" s="166">
        <v>0</v>
      </c>
      <c r="AT719" s="166">
        <v>0</v>
      </c>
      <c r="AU719" s="166">
        <v>0</v>
      </c>
      <c r="AV719" s="166">
        <v>0</v>
      </c>
      <c r="AW719" s="166">
        <v>0</v>
      </c>
      <c r="AX719" s="166">
        <v>0</v>
      </c>
      <c r="AY719" s="166">
        <v>1</v>
      </c>
      <c r="AZ719" s="166">
        <v>0</v>
      </c>
      <c r="BA719" s="166">
        <v>0</v>
      </c>
      <c r="BB719" s="166">
        <v>0</v>
      </c>
      <c r="BC719" s="166">
        <v>0</v>
      </c>
      <c r="BD719" s="166">
        <v>0</v>
      </c>
      <c r="BE719" s="166">
        <v>0</v>
      </c>
      <c r="BF719" s="166">
        <v>0</v>
      </c>
      <c r="BG719" s="166">
        <v>0</v>
      </c>
      <c r="BH719" s="166">
        <v>0</v>
      </c>
      <c r="BI719" s="166">
        <v>0</v>
      </c>
      <c r="BJ719" s="166">
        <v>0</v>
      </c>
      <c r="BK719" s="166">
        <v>0</v>
      </c>
      <c r="BL719" s="166">
        <v>0</v>
      </c>
      <c r="BM719" s="166">
        <v>0</v>
      </c>
      <c r="BN719" s="166">
        <v>0</v>
      </c>
      <c r="BO719" s="166">
        <v>0</v>
      </c>
      <c r="BP719" s="166">
        <v>0</v>
      </c>
      <c r="BQ719" s="81" t="s">
        <v>1757</v>
      </c>
      <c r="BR719" s="81" t="s">
        <v>242</v>
      </c>
      <c r="BZ719" s="81" t="s">
        <v>155</v>
      </c>
      <c r="CA719" s="81" t="s">
        <v>1937</v>
      </c>
      <c r="CC719" s="167">
        <v>0</v>
      </c>
      <c r="CD719" s="167">
        <f>$N719/4</f>
        <v>0.25</v>
      </c>
      <c r="CE719" s="167">
        <f>$N719/4</f>
        <v>0.25</v>
      </c>
      <c r="CF719" s="167">
        <f>$N719/4</f>
        <v>0.25</v>
      </c>
      <c r="CG719" s="167">
        <f>$N719/4</f>
        <v>0.25</v>
      </c>
      <c r="CH719" s="167">
        <v>0</v>
      </c>
      <c r="CI719" s="167">
        <v>0</v>
      </c>
      <c r="CJ719" s="167">
        <v>0</v>
      </c>
      <c r="CK719" s="167">
        <v>0</v>
      </c>
      <c r="CL719" s="167">
        <v>0</v>
      </c>
      <c r="CM719" s="167">
        <v>0</v>
      </c>
      <c r="CN719" s="167">
        <v>0</v>
      </c>
      <c r="CO719" s="167">
        <v>0</v>
      </c>
      <c r="CP719" s="167">
        <v>0</v>
      </c>
      <c r="CQ719" s="167">
        <v>0</v>
      </c>
      <c r="CR719" s="167">
        <v>0</v>
      </c>
      <c r="CS719" s="167">
        <v>0</v>
      </c>
      <c r="CT719" s="167">
        <v>0</v>
      </c>
      <c r="CU719" s="167">
        <v>0</v>
      </c>
      <c r="CV719" s="167">
        <v>0</v>
      </c>
      <c r="CW719" s="167">
        <v>0</v>
      </c>
      <c r="CX719" s="167">
        <f>SUM(CD719:CH719)</f>
        <v>1</v>
      </c>
      <c r="CY719" s="167">
        <f>SUM(CD719:CM719)</f>
        <v>1</v>
      </c>
    </row>
    <row r="720" spans="1:103" ht="12.75" customHeight="1" x14ac:dyDescent="0.2">
      <c r="A720" s="81">
        <v>518</v>
      </c>
      <c r="B720" s="165" t="s">
        <v>1930</v>
      </c>
      <c r="C720" s="165" t="s">
        <v>547</v>
      </c>
      <c r="E720" s="165" t="s">
        <v>2432</v>
      </c>
      <c r="F720" s="165" t="s">
        <v>549</v>
      </c>
      <c r="G720" s="81">
        <v>527485</v>
      </c>
      <c r="H720" s="81">
        <v>171424</v>
      </c>
      <c r="I720" s="165" t="s">
        <v>253</v>
      </c>
      <c r="L720" s="166">
        <v>0</v>
      </c>
      <c r="M720" s="166">
        <v>4</v>
      </c>
      <c r="N720" s="166">
        <v>4</v>
      </c>
      <c r="O720" s="166">
        <v>5</v>
      </c>
      <c r="P720" s="166">
        <v>5</v>
      </c>
      <c r="R720" s="165" t="s">
        <v>1130</v>
      </c>
      <c r="S720" s="81" t="s">
        <v>113</v>
      </c>
      <c r="T720" s="349">
        <v>42135</v>
      </c>
      <c r="U720" s="349">
        <v>42304</v>
      </c>
      <c r="W720" s="81" t="s">
        <v>114</v>
      </c>
      <c r="Y720" s="81" t="s">
        <v>115</v>
      </c>
      <c r="Z720" s="81" t="s">
        <v>398</v>
      </c>
      <c r="AA720" s="81" t="s">
        <v>117</v>
      </c>
      <c r="AB720" s="81" t="s">
        <v>218</v>
      </c>
      <c r="AC720" s="166">
        <v>1.9999999552965199E-2</v>
      </c>
      <c r="AG720" s="81" t="s">
        <v>238</v>
      </c>
      <c r="AH720" s="81" t="s">
        <v>118</v>
      </c>
      <c r="AK720" s="166">
        <v>0</v>
      </c>
      <c r="AM720" s="166">
        <v>0</v>
      </c>
      <c r="AO720" s="166">
        <v>0</v>
      </c>
      <c r="AP720" s="166">
        <v>0</v>
      </c>
      <c r="AQ720" s="166">
        <v>4</v>
      </c>
      <c r="AR720" s="166">
        <v>0</v>
      </c>
      <c r="AS720" s="166">
        <v>0</v>
      </c>
      <c r="AT720" s="166">
        <v>0</v>
      </c>
      <c r="AU720" s="166">
        <v>0</v>
      </c>
      <c r="AV720" s="166">
        <v>0</v>
      </c>
      <c r="AW720" s="166">
        <v>0</v>
      </c>
      <c r="AX720" s="166">
        <v>4</v>
      </c>
      <c r="AY720" s="166">
        <v>0</v>
      </c>
      <c r="AZ720" s="166">
        <v>0</v>
      </c>
      <c r="BA720" s="166">
        <v>0</v>
      </c>
      <c r="BB720" s="166">
        <v>0</v>
      </c>
      <c r="BC720" s="166">
        <v>0</v>
      </c>
      <c r="BD720" s="166">
        <v>0</v>
      </c>
      <c r="BE720" s="166">
        <v>0</v>
      </c>
      <c r="BF720" s="166">
        <v>0</v>
      </c>
      <c r="BG720" s="166">
        <v>0</v>
      </c>
      <c r="BH720" s="166">
        <v>0</v>
      </c>
      <c r="BI720" s="166">
        <v>0</v>
      </c>
      <c r="BJ720" s="166">
        <v>0</v>
      </c>
      <c r="BK720" s="166">
        <v>0</v>
      </c>
      <c r="BL720" s="166">
        <v>0</v>
      </c>
      <c r="BM720" s="166">
        <v>0</v>
      </c>
      <c r="BN720" s="166">
        <v>0</v>
      </c>
      <c r="BO720" s="166">
        <v>0</v>
      </c>
      <c r="BP720" s="166">
        <v>0</v>
      </c>
      <c r="BQ720" s="81" t="s">
        <v>1757</v>
      </c>
      <c r="BR720" s="81" t="s">
        <v>242</v>
      </c>
      <c r="BZ720" s="81" t="s">
        <v>155</v>
      </c>
      <c r="CA720" s="81" t="s">
        <v>1937</v>
      </c>
      <c r="CC720" s="167">
        <v>0</v>
      </c>
      <c r="CD720" s="167">
        <f>$N720/4</f>
        <v>1</v>
      </c>
      <c r="CE720" s="167">
        <f>$N720/4</f>
        <v>1</v>
      </c>
      <c r="CF720" s="167">
        <f>$N720/4</f>
        <v>1</v>
      </c>
      <c r="CG720" s="167">
        <f>$N720/4</f>
        <v>1</v>
      </c>
      <c r="CH720" s="167">
        <v>0</v>
      </c>
      <c r="CI720" s="167">
        <v>0</v>
      </c>
      <c r="CJ720" s="167">
        <v>0</v>
      </c>
      <c r="CK720" s="167">
        <v>0</v>
      </c>
      <c r="CL720" s="167">
        <v>0</v>
      </c>
      <c r="CM720" s="167">
        <v>0</v>
      </c>
      <c r="CN720" s="167">
        <v>0</v>
      </c>
      <c r="CO720" s="167">
        <v>0</v>
      </c>
      <c r="CP720" s="167">
        <v>0</v>
      </c>
      <c r="CQ720" s="167">
        <v>0</v>
      </c>
      <c r="CR720" s="167">
        <v>0</v>
      </c>
      <c r="CS720" s="167">
        <v>0</v>
      </c>
      <c r="CT720" s="167">
        <v>0</v>
      </c>
      <c r="CU720" s="167">
        <v>0</v>
      </c>
      <c r="CV720" s="167">
        <v>0</v>
      </c>
      <c r="CW720" s="167">
        <v>0</v>
      </c>
      <c r="CX720" s="167">
        <f>SUM(CD720:CH720)</f>
        <v>4</v>
      </c>
      <c r="CY720" s="167">
        <f>SUM(CD720:CM720)</f>
        <v>4</v>
      </c>
    </row>
    <row r="721" spans="1:103" x14ac:dyDescent="0.2">
      <c r="A721" s="81">
        <v>530</v>
      </c>
      <c r="B721" s="165" t="s">
        <v>1930</v>
      </c>
      <c r="C721" s="165" t="s">
        <v>1180</v>
      </c>
      <c r="E721" s="165" t="s">
        <v>2433</v>
      </c>
      <c r="G721" s="81">
        <v>528474</v>
      </c>
      <c r="H721" s="81">
        <v>173296</v>
      </c>
      <c r="I721" s="165" t="s">
        <v>254</v>
      </c>
      <c r="L721" s="166">
        <v>1</v>
      </c>
      <c r="M721" s="166">
        <v>2</v>
      </c>
      <c r="N721" s="166">
        <v>1</v>
      </c>
      <c r="O721" s="166">
        <v>2</v>
      </c>
      <c r="P721" s="166">
        <v>1</v>
      </c>
      <c r="R721" s="165" t="s">
        <v>1181</v>
      </c>
      <c r="S721" s="81" t="s">
        <v>296</v>
      </c>
      <c r="T721" s="349">
        <v>42460</v>
      </c>
      <c r="U721" s="349">
        <v>42516</v>
      </c>
      <c r="W721" s="81" t="s">
        <v>297</v>
      </c>
      <c r="X721" s="349">
        <v>42677</v>
      </c>
      <c r="Y721" s="81" t="s">
        <v>115</v>
      </c>
      <c r="Z721" s="81" t="s">
        <v>398</v>
      </c>
      <c r="AA721" s="81" t="s">
        <v>117</v>
      </c>
      <c r="AB721" s="81" t="s">
        <v>220</v>
      </c>
      <c r="AC721" s="166">
        <v>6.0000000521540598E-3</v>
      </c>
      <c r="AG721" s="81" t="s">
        <v>238</v>
      </c>
      <c r="AH721" s="81" t="s">
        <v>118</v>
      </c>
      <c r="AK721" s="166">
        <v>0</v>
      </c>
      <c r="AM721" s="166">
        <v>0</v>
      </c>
      <c r="AO721" s="166">
        <v>0</v>
      </c>
      <c r="AP721" s="166">
        <v>1</v>
      </c>
      <c r="AQ721" s="166">
        <v>1</v>
      </c>
      <c r="AR721" s="166">
        <v>0</v>
      </c>
      <c r="AS721" s="166">
        <v>-1</v>
      </c>
      <c r="AT721" s="166">
        <v>0</v>
      </c>
      <c r="AU721" s="166">
        <v>0</v>
      </c>
      <c r="AV721" s="166">
        <v>0</v>
      </c>
      <c r="AW721" s="166">
        <v>1</v>
      </c>
      <c r="AX721" s="166">
        <v>1</v>
      </c>
      <c r="AY721" s="166">
        <v>0</v>
      </c>
      <c r="AZ721" s="166">
        <v>-1</v>
      </c>
      <c r="BA721" s="166">
        <v>0</v>
      </c>
      <c r="BB721" s="166">
        <v>0</v>
      </c>
      <c r="BC721" s="166">
        <v>0</v>
      </c>
      <c r="BD721" s="166">
        <v>0</v>
      </c>
      <c r="BE721" s="166">
        <v>0</v>
      </c>
      <c r="BF721" s="166">
        <v>0</v>
      </c>
      <c r="BG721" s="166">
        <v>0</v>
      </c>
      <c r="BH721" s="166">
        <v>0</v>
      </c>
      <c r="BI721" s="166">
        <v>0</v>
      </c>
      <c r="BJ721" s="166">
        <v>0</v>
      </c>
      <c r="BK721" s="166">
        <v>0</v>
      </c>
      <c r="BL721" s="166">
        <v>0</v>
      </c>
      <c r="BM721" s="166">
        <v>0</v>
      </c>
      <c r="BN721" s="166">
        <v>0</v>
      </c>
      <c r="BO721" s="166">
        <v>0</v>
      </c>
      <c r="BP721" s="166">
        <v>0</v>
      </c>
      <c r="BQ721" s="81" t="s">
        <v>1757</v>
      </c>
      <c r="BR721" s="81" t="s">
        <v>247</v>
      </c>
      <c r="BZ721" s="81" t="s">
        <v>155</v>
      </c>
      <c r="CA721" s="81" t="s">
        <v>1937</v>
      </c>
      <c r="CC721" s="167">
        <v>0</v>
      </c>
      <c r="CD721" s="167">
        <f>$N721/4</f>
        <v>0.25</v>
      </c>
      <c r="CE721" s="167">
        <f>$N721/4</f>
        <v>0.25</v>
      </c>
      <c r="CF721" s="167">
        <f>$N721/4</f>
        <v>0.25</v>
      </c>
      <c r="CG721" s="167">
        <f>$N721/4</f>
        <v>0.25</v>
      </c>
      <c r="CH721" s="167">
        <v>0</v>
      </c>
      <c r="CI721" s="167">
        <v>0</v>
      </c>
      <c r="CJ721" s="167">
        <v>0</v>
      </c>
      <c r="CK721" s="167">
        <v>0</v>
      </c>
      <c r="CL721" s="167">
        <v>0</v>
      </c>
      <c r="CM721" s="167">
        <v>0</v>
      </c>
      <c r="CN721" s="167">
        <v>0</v>
      </c>
      <c r="CO721" s="167">
        <v>0</v>
      </c>
      <c r="CP721" s="167">
        <v>0</v>
      </c>
      <c r="CQ721" s="167">
        <v>0</v>
      </c>
      <c r="CR721" s="167">
        <v>0</v>
      </c>
      <c r="CS721" s="167">
        <v>0</v>
      </c>
      <c r="CT721" s="167">
        <v>0</v>
      </c>
      <c r="CU721" s="167">
        <v>0</v>
      </c>
      <c r="CV721" s="167">
        <v>0</v>
      </c>
      <c r="CW721" s="167">
        <v>0</v>
      </c>
      <c r="CX721" s="167">
        <f>SUM(CD721:CH721)</f>
        <v>1</v>
      </c>
      <c r="CY721" s="167">
        <f>SUM(CD721:CM721)</f>
        <v>1</v>
      </c>
    </row>
    <row r="722" spans="1:103" ht="12.75" customHeight="1" x14ac:dyDescent="0.2">
      <c r="A722" s="81">
        <v>536</v>
      </c>
      <c r="B722" s="165" t="s">
        <v>1930</v>
      </c>
      <c r="C722" s="165" t="s">
        <v>1326</v>
      </c>
      <c r="E722" s="165" t="s">
        <v>1956</v>
      </c>
      <c r="G722" s="81">
        <v>525441</v>
      </c>
      <c r="H722" s="81">
        <v>174750</v>
      </c>
      <c r="I722" s="165" t="s">
        <v>251</v>
      </c>
      <c r="L722" s="166">
        <v>0</v>
      </c>
      <c r="M722" s="166">
        <v>9</v>
      </c>
      <c r="N722" s="166">
        <v>9</v>
      </c>
      <c r="O722" s="166">
        <v>9</v>
      </c>
      <c r="P722" s="166">
        <v>9</v>
      </c>
      <c r="R722" s="165" t="s">
        <v>1327</v>
      </c>
      <c r="S722" s="81" t="s">
        <v>270</v>
      </c>
      <c r="T722" s="349">
        <v>42545</v>
      </c>
      <c r="U722" s="349">
        <v>42601</v>
      </c>
      <c r="W722" s="81" t="s">
        <v>114</v>
      </c>
      <c r="Y722" s="81" t="s">
        <v>115</v>
      </c>
      <c r="Z722" s="81" t="s">
        <v>310</v>
      </c>
      <c r="AA722" s="81" t="s">
        <v>117</v>
      </c>
      <c r="AB722" s="81" t="s">
        <v>399</v>
      </c>
      <c r="AC722" s="166">
        <v>5.0000000745058101E-2</v>
      </c>
      <c r="AG722" s="81" t="s">
        <v>238</v>
      </c>
      <c r="AH722" s="81" t="s">
        <v>118</v>
      </c>
      <c r="AK722" s="166">
        <v>0</v>
      </c>
      <c r="AM722" s="166">
        <v>0</v>
      </c>
      <c r="AO722" s="166">
        <v>1</v>
      </c>
      <c r="AP722" s="166">
        <v>5</v>
      </c>
      <c r="AQ722" s="166">
        <v>3</v>
      </c>
      <c r="AR722" s="166">
        <v>0</v>
      </c>
      <c r="AS722" s="166">
        <v>0</v>
      </c>
      <c r="AT722" s="166">
        <v>0</v>
      </c>
      <c r="AU722" s="166">
        <v>0</v>
      </c>
      <c r="AV722" s="166">
        <v>1</v>
      </c>
      <c r="AW722" s="166">
        <v>5</v>
      </c>
      <c r="AX722" s="166">
        <v>3</v>
      </c>
      <c r="AY722" s="166">
        <v>0</v>
      </c>
      <c r="AZ722" s="166">
        <v>0</v>
      </c>
      <c r="BA722" s="166">
        <v>0</v>
      </c>
      <c r="BB722" s="166">
        <v>0</v>
      </c>
      <c r="BC722" s="166">
        <v>0</v>
      </c>
      <c r="BD722" s="166">
        <v>0</v>
      </c>
      <c r="BE722" s="166">
        <v>0</v>
      </c>
      <c r="BF722" s="166">
        <v>0</v>
      </c>
      <c r="BG722" s="166">
        <v>0</v>
      </c>
      <c r="BH722" s="166">
        <v>0</v>
      </c>
      <c r="BI722" s="166">
        <v>0</v>
      </c>
      <c r="BJ722" s="166">
        <v>0</v>
      </c>
      <c r="BK722" s="166">
        <v>0</v>
      </c>
      <c r="BL722" s="166">
        <v>0</v>
      </c>
      <c r="BM722" s="166">
        <v>0</v>
      </c>
      <c r="BN722" s="166">
        <v>0</v>
      </c>
      <c r="BO722" s="166">
        <v>0</v>
      </c>
      <c r="BP722" s="166">
        <v>0</v>
      </c>
      <c r="BQ722" s="81" t="s">
        <v>1758</v>
      </c>
      <c r="BR722" s="81" t="s">
        <v>202</v>
      </c>
      <c r="BT722" s="81" t="s">
        <v>155</v>
      </c>
      <c r="BZ722" s="81" t="s">
        <v>155</v>
      </c>
      <c r="CA722" s="81" t="s">
        <v>3972</v>
      </c>
      <c r="CC722" s="167">
        <v>0</v>
      </c>
      <c r="CD722" s="167">
        <f>$N722/4</f>
        <v>2.25</v>
      </c>
      <c r="CE722" s="167">
        <f>$N722/4</f>
        <v>2.25</v>
      </c>
      <c r="CF722" s="167">
        <f>$N722/4</f>
        <v>2.25</v>
      </c>
      <c r="CG722" s="167">
        <f>$N722/4</f>
        <v>2.25</v>
      </c>
      <c r="CH722" s="167">
        <v>0</v>
      </c>
      <c r="CI722" s="167">
        <v>0</v>
      </c>
      <c r="CJ722" s="167">
        <v>0</v>
      </c>
      <c r="CK722" s="167">
        <v>0</v>
      </c>
      <c r="CL722" s="167">
        <v>0</v>
      </c>
      <c r="CM722" s="167">
        <v>0</v>
      </c>
      <c r="CN722" s="167">
        <v>0</v>
      </c>
      <c r="CO722" s="167">
        <v>0</v>
      </c>
      <c r="CP722" s="167">
        <v>0</v>
      </c>
      <c r="CQ722" s="167">
        <v>0</v>
      </c>
      <c r="CR722" s="167">
        <v>0</v>
      </c>
      <c r="CS722" s="167">
        <v>0</v>
      </c>
      <c r="CT722" s="167">
        <v>0</v>
      </c>
      <c r="CU722" s="167">
        <v>0</v>
      </c>
      <c r="CV722" s="167">
        <v>0</v>
      </c>
      <c r="CW722" s="167">
        <v>0</v>
      </c>
      <c r="CX722" s="167">
        <f>SUM(CD722:CH722)</f>
        <v>9</v>
      </c>
      <c r="CY722" s="167">
        <f>SUM(CD722:CM722)</f>
        <v>9</v>
      </c>
    </row>
    <row r="723" spans="1:103" ht="12.75" customHeight="1" x14ac:dyDescent="0.2">
      <c r="A723" s="81">
        <v>615</v>
      </c>
      <c r="B723" s="165" t="s">
        <v>1930</v>
      </c>
      <c r="C723" s="165" t="s">
        <v>2434</v>
      </c>
      <c r="E723" s="165" t="s">
        <v>2435</v>
      </c>
      <c r="G723" s="81">
        <v>528241</v>
      </c>
      <c r="H723" s="81">
        <v>172875</v>
      </c>
      <c r="I723" s="165" t="s">
        <v>254</v>
      </c>
      <c r="L723" s="166">
        <v>0</v>
      </c>
      <c r="M723" s="166">
        <v>1</v>
      </c>
      <c r="N723" s="166">
        <v>1</v>
      </c>
      <c r="O723" s="166">
        <v>1</v>
      </c>
      <c r="P723" s="166">
        <v>1</v>
      </c>
      <c r="R723" s="165" t="s">
        <v>2436</v>
      </c>
      <c r="S723" s="81" t="s">
        <v>113</v>
      </c>
      <c r="T723" s="349">
        <v>42851</v>
      </c>
      <c r="U723" s="349">
        <v>43003</v>
      </c>
      <c r="V723" s="81" t="s">
        <v>155</v>
      </c>
      <c r="W723" s="81" t="s">
        <v>114</v>
      </c>
      <c r="Y723" s="81" t="s">
        <v>115</v>
      </c>
      <c r="Z723" s="81" t="s">
        <v>219</v>
      </c>
      <c r="AA723" s="81" t="s">
        <v>117</v>
      </c>
      <c r="AB723" s="81" t="s">
        <v>3889</v>
      </c>
      <c r="AC723" s="166">
        <v>7.0000002160668399E-3</v>
      </c>
      <c r="AG723" s="81" t="s">
        <v>238</v>
      </c>
      <c r="AH723" s="81" t="s">
        <v>118</v>
      </c>
      <c r="AK723" s="166">
        <v>0</v>
      </c>
      <c r="AM723" s="166">
        <v>0</v>
      </c>
      <c r="AO723" s="166">
        <v>0</v>
      </c>
      <c r="AP723" s="166">
        <v>0</v>
      </c>
      <c r="AQ723" s="166">
        <v>1</v>
      </c>
      <c r="AR723" s="166">
        <v>0</v>
      </c>
      <c r="AS723" s="166">
        <v>0</v>
      </c>
      <c r="AT723" s="166">
        <v>0</v>
      </c>
      <c r="AU723" s="166">
        <v>0</v>
      </c>
      <c r="AV723" s="166">
        <v>0</v>
      </c>
      <c r="AW723" s="166">
        <v>0</v>
      </c>
      <c r="AX723" s="166">
        <v>1</v>
      </c>
      <c r="AY723" s="166">
        <v>0</v>
      </c>
      <c r="AZ723" s="166">
        <v>0</v>
      </c>
      <c r="BA723" s="166">
        <v>0</v>
      </c>
      <c r="BB723" s="166">
        <v>0</v>
      </c>
      <c r="BC723" s="166">
        <v>0</v>
      </c>
      <c r="BD723" s="166">
        <v>0</v>
      </c>
      <c r="BE723" s="166">
        <v>0</v>
      </c>
      <c r="BF723" s="166">
        <v>0</v>
      </c>
      <c r="BG723" s="166">
        <v>0</v>
      </c>
      <c r="BH723" s="166">
        <v>0</v>
      </c>
      <c r="BI723" s="166">
        <v>0</v>
      </c>
      <c r="BJ723" s="166">
        <v>0</v>
      </c>
      <c r="BK723" s="166">
        <v>0</v>
      </c>
      <c r="BL723" s="166">
        <v>0</v>
      </c>
      <c r="BM723" s="166">
        <v>0</v>
      </c>
      <c r="BN723" s="166">
        <v>0</v>
      </c>
      <c r="BO723" s="166">
        <v>0</v>
      </c>
      <c r="BP723" s="166">
        <v>0</v>
      </c>
      <c r="BQ723" s="81" t="s">
        <v>1757</v>
      </c>
      <c r="BZ723" s="81" t="s">
        <v>155</v>
      </c>
      <c r="CA723" s="81" t="s">
        <v>1937</v>
      </c>
      <c r="CC723" s="167">
        <v>0</v>
      </c>
      <c r="CD723" s="167">
        <f>$N723/4</f>
        <v>0.25</v>
      </c>
      <c r="CE723" s="167">
        <f>$N723/4</f>
        <v>0.25</v>
      </c>
      <c r="CF723" s="167">
        <f>$N723/4</f>
        <v>0.25</v>
      </c>
      <c r="CG723" s="167">
        <f>$N723/4</f>
        <v>0.25</v>
      </c>
      <c r="CH723" s="167">
        <v>0</v>
      </c>
      <c r="CI723" s="167">
        <v>0</v>
      </c>
      <c r="CJ723" s="167">
        <v>0</v>
      </c>
      <c r="CK723" s="167">
        <v>0</v>
      </c>
      <c r="CL723" s="167">
        <v>0</v>
      </c>
      <c r="CM723" s="167">
        <v>0</v>
      </c>
      <c r="CN723" s="167">
        <v>0</v>
      </c>
      <c r="CO723" s="167">
        <v>0</v>
      </c>
      <c r="CP723" s="167">
        <v>0</v>
      </c>
      <c r="CQ723" s="167">
        <v>0</v>
      </c>
      <c r="CR723" s="167">
        <v>0</v>
      </c>
      <c r="CS723" s="167">
        <v>0</v>
      </c>
      <c r="CT723" s="167">
        <v>0</v>
      </c>
      <c r="CU723" s="167">
        <v>0</v>
      </c>
      <c r="CV723" s="167">
        <v>0</v>
      </c>
      <c r="CW723" s="167">
        <v>0</v>
      </c>
      <c r="CX723" s="167">
        <f>SUM(CD723:CH723)</f>
        <v>1</v>
      </c>
      <c r="CY723" s="167">
        <f>SUM(CD723:CM723)</f>
        <v>1</v>
      </c>
    </row>
    <row r="724" spans="1:103" ht="12.75" customHeight="1" x14ac:dyDescent="0.2">
      <c r="A724" s="81">
        <v>730</v>
      </c>
      <c r="B724" s="165" t="s">
        <v>1930</v>
      </c>
      <c r="C724" s="165" t="s">
        <v>97</v>
      </c>
      <c r="E724" s="165" t="s">
        <v>2437</v>
      </c>
      <c r="G724" s="81">
        <v>527663</v>
      </c>
      <c r="H724" s="81">
        <v>174345</v>
      </c>
      <c r="I724" s="165" t="s">
        <v>255</v>
      </c>
      <c r="L724" s="166">
        <v>0</v>
      </c>
      <c r="M724" s="166">
        <v>1</v>
      </c>
      <c r="N724" s="166">
        <v>1</v>
      </c>
      <c r="O724" s="166">
        <v>1</v>
      </c>
      <c r="P724" s="166">
        <v>1</v>
      </c>
      <c r="R724" s="165" t="s">
        <v>1122</v>
      </c>
      <c r="S724" s="81" t="s">
        <v>113</v>
      </c>
      <c r="T724" s="349">
        <v>41988</v>
      </c>
      <c r="U724" s="349">
        <v>42094</v>
      </c>
      <c r="W724" s="81" t="s">
        <v>114</v>
      </c>
      <c r="Y724" s="81" t="s">
        <v>115</v>
      </c>
      <c r="Z724" s="81" t="s">
        <v>398</v>
      </c>
      <c r="AA724" s="81" t="s">
        <v>117</v>
      </c>
      <c r="AB724" s="81" t="s">
        <v>218</v>
      </c>
      <c r="AC724" s="166">
        <v>7.0000002160668399E-3</v>
      </c>
      <c r="AG724" s="81" t="s">
        <v>238</v>
      </c>
      <c r="AH724" s="81" t="s">
        <v>118</v>
      </c>
      <c r="AK724" s="166">
        <v>0</v>
      </c>
      <c r="AM724" s="166">
        <v>0</v>
      </c>
      <c r="AO724" s="166">
        <v>0</v>
      </c>
      <c r="AP724" s="166">
        <v>1</v>
      </c>
      <c r="AQ724" s="166">
        <v>0</v>
      </c>
      <c r="AR724" s="166">
        <v>0</v>
      </c>
      <c r="AS724" s="166">
        <v>0</v>
      </c>
      <c r="AT724" s="166">
        <v>0</v>
      </c>
      <c r="AU724" s="166">
        <v>0</v>
      </c>
      <c r="AV724" s="166">
        <v>0</v>
      </c>
      <c r="AW724" s="166">
        <v>0</v>
      </c>
      <c r="AX724" s="166">
        <v>0</v>
      </c>
      <c r="AY724" s="166">
        <v>0</v>
      </c>
      <c r="AZ724" s="166">
        <v>0</v>
      </c>
      <c r="BA724" s="166">
        <v>0</v>
      </c>
      <c r="BB724" s="166">
        <v>0</v>
      </c>
      <c r="BC724" s="166">
        <v>0</v>
      </c>
      <c r="BD724" s="166">
        <v>1</v>
      </c>
      <c r="BE724" s="166">
        <v>0</v>
      </c>
      <c r="BF724" s="166">
        <v>0</v>
      </c>
      <c r="BG724" s="166">
        <v>0</v>
      </c>
      <c r="BH724" s="166">
        <v>0</v>
      </c>
      <c r="BI724" s="166">
        <v>0</v>
      </c>
      <c r="BJ724" s="166">
        <v>0</v>
      </c>
      <c r="BK724" s="166">
        <v>0</v>
      </c>
      <c r="BL724" s="166">
        <v>0</v>
      </c>
      <c r="BM724" s="166">
        <v>0</v>
      </c>
      <c r="BN724" s="166">
        <v>0</v>
      </c>
      <c r="BO724" s="166">
        <v>0</v>
      </c>
      <c r="BP724" s="166">
        <v>0</v>
      </c>
      <c r="BQ724" s="81" t="s">
        <v>1757</v>
      </c>
      <c r="BZ724" s="81" t="s">
        <v>155</v>
      </c>
      <c r="CA724" s="81" t="s">
        <v>1937</v>
      </c>
      <c r="CC724" s="167">
        <v>0</v>
      </c>
      <c r="CD724" s="167">
        <f>$N724/4</f>
        <v>0.25</v>
      </c>
      <c r="CE724" s="167">
        <f>$N724/4</f>
        <v>0.25</v>
      </c>
      <c r="CF724" s="167">
        <f>$N724/4</f>
        <v>0.25</v>
      </c>
      <c r="CG724" s="167">
        <f>$N724/4</f>
        <v>0.25</v>
      </c>
      <c r="CH724" s="167">
        <v>0</v>
      </c>
      <c r="CI724" s="167">
        <v>0</v>
      </c>
      <c r="CJ724" s="167">
        <v>0</v>
      </c>
      <c r="CK724" s="167">
        <v>0</v>
      </c>
      <c r="CL724" s="167">
        <v>0</v>
      </c>
      <c r="CM724" s="167">
        <v>0</v>
      </c>
      <c r="CN724" s="167">
        <v>0</v>
      </c>
      <c r="CO724" s="167">
        <v>0</v>
      </c>
      <c r="CP724" s="167">
        <v>0</v>
      </c>
      <c r="CQ724" s="167">
        <v>0</v>
      </c>
      <c r="CR724" s="167">
        <v>0</v>
      </c>
      <c r="CS724" s="167">
        <v>0</v>
      </c>
      <c r="CT724" s="167">
        <v>0</v>
      </c>
      <c r="CU724" s="167">
        <v>0</v>
      </c>
      <c r="CV724" s="167">
        <v>0</v>
      </c>
      <c r="CW724" s="167">
        <v>0</v>
      </c>
      <c r="CX724" s="167">
        <f>SUM(CD724:CH724)</f>
        <v>1</v>
      </c>
      <c r="CY724" s="167">
        <f>SUM(CD724:CM724)</f>
        <v>1</v>
      </c>
    </row>
    <row r="725" spans="1:103" ht="12.75" customHeight="1" x14ac:dyDescent="0.2">
      <c r="A725" s="81">
        <v>751</v>
      </c>
      <c r="B725" s="165" t="s">
        <v>1930</v>
      </c>
      <c r="C725" s="165" t="s">
        <v>728</v>
      </c>
      <c r="E725" s="165" t="s">
        <v>2438</v>
      </c>
      <c r="G725" s="81">
        <v>528410</v>
      </c>
      <c r="H725" s="81">
        <v>175764</v>
      </c>
      <c r="I725" s="165" t="s">
        <v>256</v>
      </c>
      <c r="L725" s="166">
        <v>1</v>
      </c>
      <c r="M725" s="166">
        <v>2</v>
      </c>
      <c r="N725" s="166">
        <v>1</v>
      </c>
      <c r="O725" s="166">
        <v>2</v>
      </c>
      <c r="P725" s="166">
        <v>1</v>
      </c>
      <c r="R725" s="165" t="s">
        <v>658</v>
      </c>
      <c r="S725" s="81" t="s">
        <v>113</v>
      </c>
      <c r="T725" s="349">
        <v>42394</v>
      </c>
      <c r="U725" s="349">
        <v>42450</v>
      </c>
      <c r="W725" s="81" t="s">
        <v>114</v>
      </c>
      <c r="Y725" s="81" t="s">
        <v>115</v>
      </c>
      <c r="Z725" s="81" t="s">
        <v>398</v>
      </c>
      <c r="AA725" s="81" t="s">
        <v>117</v>
      </c>
      <c r="AB725" s="81" t="s">
        <v>220</v>
      </c>
      <c r="AC725" s="166">
        <v>8.9999996125698107E-3</v>
      </c>
      <c r="AG725" s="81" t="s">
        <v>238</v>
      </c>
      <c r="AH725" s="81" t="s">
        <v>118</v>
      </c>
      <c r="AK725" s="166">
        <v>0</v>
      </c>
      <c r="AM725" s="166">
        <v>0</v>
      </c>
      <c r="AO725" s="166">
        <v>1</v>
      </c>
      <c r="AP725" s="166">
        <v>0</v>
      </c>
      <c r="AQ725" s="166">
        <v>0</v>
      </c>
      <c r="AR725" s="166">
        <v>0</v>
      </c>
      <c r="AS725" s="166">
        <v>0</v>
      </c>
      <c r="AT725" s="166">
        <v>0</v>
      </c>
      <c r="AU725" s="166">
        <v>0</v>
      </c>
      <c r="AV725" s="166">
        <v>1</v>
      </c>
      <c r="AW725" s="166">
        <v>0</v>
      </c>
      <c r="AX725" s="166">
        <v>0</v>
      </c>
      <c r="AY725" s="166">
        <v>0</v>
      </c>
      <c r="AZ725" s="166">
        <v>0</v>
      </c>
      <c r="BA725" s="166">
        <v>0</v>
      </c>
      <c r="BB725" s="166">
        <v>0</v>
      </c>
      <c r="BC725" s="166">
        <v>0</v>
      </c>
      <c r="BD725" s="166">
        <v>0</v>
      </c>
      <c r="BE725" s="166">
        <v>0</v>
      </c>
      <c r="BF725" s="166">
        <v>0</v>
      </c>
      <c r="BG725" s="166">
        <v>0</v>
      </c>
      <c r="BH725" s="166">
        <v>0</v>
      </c>
      <c r="BI725" s="166">
        <v>0</v>
      </c>
      <c r="BJ725" s="166">
        <v>0</v>
      </c>
      <c r="BK725" s="166">
        <v>0</v>
      </c>
      <c r="BL725" s="166">
        <v>0</v>
      </c>
      <c r="BM725" s="166">
        <v>0</v>
      </c>
      <c r="BN725" s="166">
        <v>0</v>
      </c>
      <c r="BO725" s="166">
        <v>0</v>
      </c>
      <c r="BP725" s="166">
        <v>0</v>
      </c>
      <c r="BQ725" s="81" t="s">
        <v>1757</v>
      </c>
      <c r="BZ725" s="81" t="s">
        <v>155</v>
      </c>
      <c r="CA725" s="81" t="s">
        <v>1937</v>
      </c>
      <c r="CC725" s="167">
        <v>0</v>
      </c>
      <c r="CD725" s="167">
        <f>$N725/4</f>
        <v>0.25</v>
      </c>
      <c r="CE725" s="167">
        <f>$N725/4</f>
        <v>0.25</v>
      </c>
      <c r="CF725" s="167">
        <f>$N725/4</f>
        <v>0.25</v>
      </c>
      <c r="CG725" s="167">
        <f>$N725/4</f>
        <v>0.25</v>
      </c>
      <c r="CH725" s="167">
        <v>0</v>
      </c>
      <c r="CI725" s="167">
        <v>0</v>
      </c>
      <c r="CJ725" s="167">
        <v>0</v>
      </c>
      <c r="CK725" s="167">
        <v>0</v>
      </c>
      <c r="CL725" s="167">
        <v>0</v>
      </c>
      <c r="CM725" s="167">
        <v>0</v>
      </c>
      <c r="CN725" s="167">
        <v>0</v>
      </c>
      <c r="CO725" s="167">
        <v>0</v>
      </c>
      <c r="CP725" s="167">
        <v>0</v>
      </c>
      <c r="CQ725" s="167">
        <v>0</v>
      </c>
      <c r="CR725" s="167">
        <v>0</v>
      </c>
      <c r="CS725" s="167">
        <v>0</v>
      </c>
      <c r="CT725" s="167">
        <v>0</v>
      </c>
      <c r="CU725" s="167">
        <v>0</v>
      </c>
      <c r="CV725" s="167">
        <v>0</v>
      </c>
      <c r="CW725" s="167">
        <v>0</v>
      </c>
      <c r="CX725" s="167">
        <f>SUM(CD725:CH725)</f>
        <v>1</v>
      </c>
      <c r="CY725" s="167">
        <f>SUM(CD725:CM725)</f>
        <v>1</v>
      </c>
    </row>
    <row r="726" spans="1:103" x14ac:dyDescent="0.2">
      <c r="A726" s="81">
        <v>751</v>
      </c>
      <c r="B726" s="165" t="s">
        <v>1930</v>
      </c>
      <c r="C726" s="165" t="s">
        <v>729</v>
      </c>
      <c r="E726" s="165" t="s">
        <v>2438</v>
      </c>
      <c r="G726" s="81">
        <v>528410</v>
      </c>
      <c r="H726" s="81">
        <v>175764</v>
      </c>
      <c r="I726" s="165" t="s">
        <v>256</v>
      </c>
      <c r="L726" s="166">
        <v>1</v>
      </c>
      <c r="M726" s="166">
        <v>1</v>
      </c>
      <c r="N726" s="166">
        <v>0</v>
      </c>
      <c r="O726" s="166">
        <v>1</v>
      </c>
      <c r="P726" s="166">
        <v>0</v>
      </c>
      <c r="R726" s="165" t="s">
        <v>658</v>
      </c>
      <c r="S726" s="81" t="s">
        <v>113</v>
      </c>
      <c r="T726" s="349">
        <v>42389</v>
      </c>
      <c r="U726" s="349">
        <v>42445</v>
      </c>
      <c r="W726" s="81" t="s">
        <v>114</v>
      </c>
      <c r="Y726" s="81" t="s">
        <v>115</v>
      </c>
      <c r="Z726" s="81" t="s">
        <v>398</v>
      </c>
      <c r="AA726" s="81" t="s">
        <v>117</v>
      </c>
      <c r="AB726" s="81" t="s">
        <v>220</v>
      </c>
      <c r="AC726" s="166">
        <v>1.09999999403954E-2</v>
      </c>
      <c r="AG726" s="81" t="s">
        <v>238</v>
      </c>
      <c r="AH726" s="81" t="s">
        <v>118</v>
      </c>
      <c r="AK726" s="166">
        <v>0</v>
      </c>
      <c r="AM726" s="166">
        <v>0</v>
      </c>
      <c r="AO726" s="166">
        <v>1</v>
      </c>
      <c r="AP726" s="166">
        <v>0</v>
      </c>
      <c r="AQ726" s="166">
        <v>0</v>
      </c>
      <c r="AR726" s="166">
        <v>-1</v>
      </c>
      <c r="AS726" s="166">
        <v>0</v>
      </c>
      <c r="AT726" s="166">
        <v>0</v>
      </c>
      <c r="AU726" s="166">
        <v>0</v>
      </c>
      <c r="AV726" s="166">
        <v>1</v>
      </c>
      <c r="AW726" s="166">
        <v>0</v>
      </c>
      <c r="AX726" s="166">
        <v>0</v>
      </c>
      <c r="AY726" s="166">
        <v>-1</v>
      </c>
      <c r="AZ726" s="166">
        <v>0</v>
      </c>
      <c r="BA726" s="166">
        <v>0</v>
      </c>
      <c r="BB726" s="166">
        <v>0</v>
      </c>
      <c r="BC726" s="166">
        <v>0</v>
      </c>
      <c r="BD726" s="166">
        <v>0</v>
      </c>
      <c r="BE726" s="166">
        <v>0</v>
      </c>
      <c r="BF726" s="166">
        <v>0</v>
      </c>
      <c r="BG726" s="166">
        <v>0</v>
      </c>
      <c r="BH726" s="166">
        <v>0</v>
      </c>
      <c r="BI726" s="166">
        <v>0</v>
      </c>
      <c r="BJ726" s="166">
        <v>0</v>
      </c>
      <c r="BK726" s="166">
        <v>0</v>
      </c>
      <c r="BL726" s="166">
        <v>0</v>
      </c>
      <c r="BM726" s="166">
        <v>0</v>
      </c>
      <c r="BN726" s="166">
        <v>0</v>
      </c>
      <c r="BO726" s="166">
        <v>0</v>
      </c>
      <c r="BP726" s="166">
        <v>0</v>
      </c>
      <c r="BQ726" s="81" t="s">
        <v>1757</v>
      </c>
      <c r="BZ726" s="81" t="s">
        <v>155</v>
      </c>
      <c r="CA726" s="81" t="s">
        <v>1937</v>
      </c>
      <c r="CC726" s="167">
        <v>0</v>
      </c>
      <c r="CD726" s="167">
        <f>$N726/4</f>
        <v>0</v>
      </c>
      <c r="CE726" s="167">
        <f>$N726/4</f>
        <v>0</v>
      </c>
      <c r="CF726" s="167">
        <f>$N726/4</f>
        <v>0</v>
      </c>
      <c r="CG726" s="167">
        <f>$N726/4</f>
        <v>0</v>
      </c>
      <c r="CH726" s="167">
        <v>0</v>
      </c>
      <c r="CI726" s="167">
        <v>0</v>
      </c>
      <c r="CJ726" s="167">
        <v>0</v>
      </c>
      <c r="CK726" s="167">
        <v>0</v>
      </c>
      <c r="CL726" s="167">
        <v>0</v>
      </c>
      <c r="CM726" s="167">
        <v>0</v>
      </c>
      <c r="CN726" s="167">
        <v>0</v>
      </c>
      <c r="CO726" s="167">
        <v>0</v>
      </c>
      <c r="CP726" s="167">
        <v>0</v>
      </c>
      <c r="CQ726" s="167">
        <v>0</v>
      </c>
      <c r="CR726" s="167">
        <v>0</v>
      </c>
      <c r="CS726" s="167">
        <v>0</v>
      </c>
      <c r="CT726" s="167">
        <v>0</v>
      </c>
      <c r="CU726" s="167">
        <v>0</v>
      </c>
      <c r="CV726" s="167">
        <v>0</v>
      </c>
      <c r="CW726" s="167">
        <v>0</v>
      </c>
      <c r="CX726" s="167">
        <f>SUM(CD726:CH726)</f>
        <v>0</v>
      </c>
      <c r="CY726" s="167">
        <f>SUM(CD726:CM726)</f>
        <v>0</v>
      </c>
    </row>
    <row r="727" spans="1:103" x14ac:dyDescent="0.2">
      <c r="A727" s="81">
        <v>805</v>
      </c>
      <c r="B727" s="165" t="s">
        <v>1930</v>
      </c>
      <c r="C727" s="165" t="s">
        <v>2439</v>
      </c>
      <c r="E727" s="165" t="s">
        <v>2440</v>
      </c>
      <c r="G727" s="81">
        <v>524046</v>
      </c>
      <c r="H727" s="81">
        <v>175290</v>
      </c>
      <c r="I727" s="165" t="s">
        <v>259</v>
      </c>
      <c r="L727" s="166">
        <v>0</v>
      </c>
      <c r="M727" s="166">
        <v>4</v>
      </c>
      <c r="N727" s="166">
        <v>4</v>
      </c>
      <c r="O727" s="166">
        <v>5</v>
      </c>
      <c r="P727" s="166">
        <v>5</v>
      </c>
      <c r="R727" s="165" t="s">
        <v>2441</v>
      </c>
      <c r="S727" s="81" t="s">
        <v>113</v>
      </c>
      <c r="T727" s="349">
        <v>42958</v>
      </c>
      <c r="U727" s="349">
        <v>43011</v>
      </c>
      <c r="V727" s="81" t="s">
        <v>155</v>
      </c>
      <c r="W727" s="81" t="s">
        <v>114</v>
      </c>
      <c r="Y727" s="81" t="s">
        <v>115</v>
      </c>
      <c r="Z727" s="81" t="s">
        <v>398</v>
      </c>
      <c r="AA727" s="81" t="s">
        <v>117</v>
      </c>
      <c r="AB727" s="81" t="s">
        <v>102</v>
      </c>
      <c r="AC727" s="166">
        <v>1.4000000432133701E-2</v>
      </c>
      <c r="AG727" s="81" t="s">
        <v>238</v>
      </c>
      <c r="AH727" s="81" t="s">
        <v>118</v>
      </c>
      <c r="AK727" s="166">
        <v>0</v>
      </c>
      <c r="AM727" s="166">
        <v>0</v>
      </c>
      <c r="AO727" s="166">
        <v>0</v>
      </c>
      <c r="AP727" s="166">
        <v>1</v>
      </c>
      <c r="AQ727" s="166">
        <v>3</v>
      </c>
      <c r="AR727" s="166">
        <v>0</v>
      </c>
      <c r="AS727" s="166">
        <v>0</v>
      </c>
      <c r="AT727" s="166">
        <v>0</v>
      </c>
      <c r="AU727" s="166">
        <v>0</v>
      </c>
      <c r="AV727" s="166">
        <v>0</v>
      </c>
      <c r="AW727" s="166">
        <v>1</v>
      </c>
      <c r="AX727" s="166">
        <v>3</v>
      </c>
      <c r="AY727" s="166">
        <v>0</v>
      </c>
      <c r="AZ727" s="166">
        <v>0</v>
      </c>
      <c r="BA727" s="166">
        <v>0</v>
      </c>
      <c r="BB727" s="166">
        <v>0</v>
      </c>
      <c r="BC727" s="166">
        <v>0</v>
      </c>
      <c r="BD727" s="166">
        <v>0</v>
      </c>
      <c r="BE727" s="166">
        <v>0</v>
      </c>
      <c r="BF727" s="166">
        <v>0</v>
      </c>
      <c r="BG727" s="166">
        <v>0</v>
      </c>
      <c r="BH727" s="166">
        <v>0</v>
      </c>
      <c r="BI727" s="166">
        <v>0</v>
      </c>
      <c r="BJ727" s="166">
        <v>0</v>
      </c>
      <c r="BK727" s="166">
        <v>0</v>
      </c>
      <c r="BL727" s="166">
        <v>0</v>
      </c>
      <c r="BM727" s="166">
        <v>0</v>
      </c>
      <c r="BN727" s="166">
        <v>0</v>
      </c>
      <c r="BO727" s="166">
        <v>0</v>
      </c>
      <c r="BP727" s="166">
        <v>0</v>
      </c>
      <c r="BQ727" s="81" t="s">
        <v>1758</v>
      </c>
      <c r="BR727" s="81" t="s">
        <v>161</v>
      </c>
      <c r="BZ727" s="81" t="s">
        <v>155</v>
      </c>
      <c r="CA727" s="81" t="s">
        <v>1937</v>
      </c>
      <c r="CC727" s="167">
        <v>0</v>
      </c>
      <c r="CD727" s="167">
        <f>$N727/4</f>
        <v>1</v>
      </c>
      <c r="CE727" s="167">
        <f>$N727/4</f>
        <v>1</v>
      </c>
      <c r="CF727" s="167">
        <f>$N727/4</f>
        <v>1</v>
      </c>
      <c r="CG727" s="167">
        <f>$N727/4</f>
        <v>1</v>
      </c>
      <c r="CH727" s="167">
        <v>0</v>
      </c>
      <c r="CI727" s="167">
        <v>0</v>
      </c>
      <c r="CJ727" s="167">
        <v>0</v>
      </c>
      <c r="CK727" s="167">
        <v>0</v>
      </c>
      <c r="CL727" s="167">
        <v>0</v>
      </c>
      <c r="CM727" s="167">
        <v>0</v>
      </c>
      <c r="CN727" s="167">
        <v>0</v>
      </c>
      <c r="CO727" s="167">
        <v>0</v>
      </c>
      <c r="CP727" s="167">
        <v>0</v>
      </c>
      <c r="CQ727" s="167">
        <v>0</v>
      </c>
      <c r="CR727" s="167">
        <v>0</v>
      </c>
      <c r="CS727" s="167">
        <v>0</v>
      </c>
      <c r="CT727" s="167">
        <v>0</v>
      </c>
      <c r="CU727" s="167">
        <v>0</v>
      </c>
      <c r="CV727" s="167">
        <v>0</v>
      </c>
      <c r="CW727" s="167">
        <v>0</v>
      </c>
      <c r="CX727" s="167">
        <f>SUM(CD727:CH727)</f>
        <v>4</v>
      </c>
      <c r="CY727" s="167">
        <f>SUM(CD727:CM727)</f>
        <v>4</v>
      </c>
    </row>
    <row r="728" spans="1:103" ht="12.75" customHeight="1" x14ac:dyDescent="0.2">
      <c r="A728" s="81">
        <v>805</v>
      </c>
      <c r="B728" s="165" t="s">
        <v>1930</v>
      </c>
      <c r="C728" s="165" t="s">
        <v>2439</v>
      </c>
      <c r="E728" s="165" t="s">
        <v>2440</v>
      </c>
      <c r="G728" s="81">
        <v>524046</v>
      </c>
      <c r="H728" s="81">
        <v>175290</v>
      </c>
      <c r="I728" s="165" t="s">
        <v>259</v>
      </c>
      <c r="L728" s="166">
        <v>0</v>
      </c>
      <c r="M728" s="166">
        <v>1</v>
      </c>
      <c r="N728" s="166">
        <v>1</v>
      </c>
      <c r="O728" s="166">
        <v>5</v>
      </c>
      <c r="P728" s="166">
        <v>5</v>
      </c>
      <c r="R728" s="165" t="s">
        <v>2441</v>
      </c>
      <c r="S728" s="81" t="s">
        <v>113</v>
      </c>
      <c r="T728" s="349">
        <v>42958</v>
      </c>
      <c r="U728" s="349">
        <v>43011</v>
      </c>
      <c r="V728" s="81" t="s">
        <v>155</v>
      </c>
      <c r="W728" s="81" t="s">
        <v>114</v>
      </c>
      <c r="Y728" s="81" t="s">
        <v>115</v>
      </c>
      <c r="Z728" s="81" t="s">
        <v>398</v>
      </c>
      <c r="AA728" s="81" t="s">
        <v>117</v>
      </c>
      <c r="AB728" s="81" t="s">
        <v>218</v>
      </c>
      <c r="AC728" s="166">
        <v>4.0000001899898104E-3</v>
      </c>
      <c r="AG728" s="81" t="s">
        <v>238</v>
      </c>
      <c r="AH728" s="81" t="s">
        <v>118</v>
      </c>
      <c r="AK728" s="166">
        <v>0</v>
      </c>
      <c r="AM728" s="166">
        <v>0</v>
      </c>
      <c r="AO728" s="166">
        <v>0</v>
      </c>
      <c r="AP728" s="166">
        <v>0</v>
      </c>
      <c r="AQ728" s="166">
        <v>1</v>
      </c>
      <c r="AR728" s="166">
        <v>0</v>
      </c>
      <c r="AS728" s="166">
        <v>0</v>
      </c>
      <c r="AT728" s="166">
        <v>0</v>
      </c>
      <c r="AU728" s="166">
        <v>0</v>
      </c>
      <c r="AV728" s="166">
        <v>0</v>
      </c>
      <c r="AW728" s="166">
        <v>0</v>
      </c>
      <c r="AX728" s="166">
        <v>1</v>
      </c>
      <c r="AY728" s="166">
        <v>0</v>
      </c>
      <c r="AZ728" s="166">
        <v>0</v>
      </c>
      <c r="BA728" s="166">
        <v>0</v>
      </c>
      <c r="BB728" s="166">
        <v>0</v>
      </c>
      <c r="BC728" s="166">
        <v>0</v>
      </c>
      <c r="BD728" s="166">
        <v>0</v>
      </c>
      <c r="BE728" s="166">
        <v>0</v>
      </c>
      <c r="BF728" s="166">
        <v>0</v>
      </c>
      <c r="BG728" s="166">
        <v>0</v>
      </c>
      <c r="BH728" s="166">
        <v>0</v>
      </c>
      <c r="BI728" s="166">
        <v>0</v>
      </c>
      <c r="BJ728" s="166">
        <v>0</v>
      </c>
      <c r="BK728" s="166">
        <v>0</v>
      </c>
      <c r="BL728" s="166">
        <v>0</v>
      </c>
      <c r="BM728" s="166">
        <v>0</v>
      </c>
      <c r="BN728" s="166">
        <v>0</v>
      </c>
      <c r="BO728" s="166">
        <v>0</v>
      </c>
      <c r="BP728" s="166">
        <v>0</v>
      </c>
      <c r="BQ728" s="81" t="s">
        <v>1758</v>
      </c>
      <c r="BR728" s="81" t="s">
        <v>161</v>
      </c>
      <c r="BZ728" s="81" t="s">
        <v>155</v>
      </c>
      <c r="CA728" s="81" t="s">
        <v>1937</v>
      </c>
      <c r="CC728" s="167">
        <v>0</v>
      </c>
      <c r="CD728" s="167">
        <f>$N728/4</f>
        <v>0.25</v>
      </c>
      <c r="CE728" s="167">
        <f>$N728/4</f>
        <v>0.25</v>
      </c>
      <c r="CF728" s="167">
        <f>$N728/4</f>
        <v>0.25</v>
      </c>
      <c r="CG728" s="167">
        <f>$N728/4</f>
        <v>0.25</v>
      </c>
      <c r="CH728" s="167">
        <v>0</v>
      </c>
      <c r="CI728" s="167">
        <v>0</v>
      </c>
      <c r="CJ728" s="167">
        <v>0</v>
      </c>
      <c r="CK728" s="167">
        <v>0</v>
      </c>
      <c r="CL728" s="167">
        <v>0</v>
      </c>
      <c r="CM728" s="167">
        <v>0</v>
      </c>
      <c r="CN728" s="167">
        <v>0</v>
      </c>
      <c r="CO728" s="167">
        <v>0</v>
      </c>
      <c r="CP728" s="167">
        <v>0</v>
      </c>
      <c r="CQ728" s="167">
        <v>0</v>
      </c>
      <c r="CR728" s="167">
        <v>0</v>
      </c>
      <c r="CS728" s="167">
        <v>0</v>
      </c>
      <c r="CT728" s="167">
        <v>0</v>
      </c>
      <c r="CU728" s="167">
        <v>0</v>
      </c>
      <c r="CV728" s="167">
        <v>0</v>
      </c>
      <c r="CW728" s="167">
        <v>0</v>
      </c>
      <c r="CX728" s="167">
        <f>SUM(CD728:CH728)</f>
        <v>1</v>
      </c>
      <c r="CY728" s="167">
        <f>SUM(CD728:CM728)</f>
        <v>1</v>
      </c>
    </row>
    <row r="729" spans="1:103" ht="12.75" customHeight="1" x14ac:dyDescent="0.2">
      <c r="A729" s="81">
        <v>983</v>
      </c>
      <c r="B729" s="165" t="s">
        <v>1930</v>
      </c>
      <c r="C729" s="165" t="s">
        <v>20</v>
      </c>
      <c r="E729" s="165" t="s">
        <v>2431</v>
      </c>
      <c r="G729" s="81">
        <v>527864</v>
      </c>
      <c r="H729" s="81">
        <v>176587</v>
      </c>
      <c r="I729" s="165" t="s">
        <v>241</v>
      </c>
      <c r="L729" s="166">
        <v>0</v>
      </c>
      <c r="M729" s="166">
        <v>1</v>
      </c>
      <c r="N729" s="166">
        <v>1</v>
      </c>
      <c r="O729" s="166">
        <v>1</v>
      </c>
      <c r="P729" s="166">
        <v>1</v>
      </c>
      <c r="R729" s="165" t="s">
        <v>21</v>
      </c>
      <c r="S729" s="81" t="s">
        <v>110</v>
      </c>
      <c r="T729" s="349">
        <v>41759</v>
      </c>
      <c r="U729" s="349">
        <v>41815</v>
      </c>
      <c r="W729" s="81" t="s">
        <v>114</v>
      </c>
      <c r="Y729" s="81" t="s">
        <v>115</v>
      </c>
      <c r="Z729" s="81" t="s">
        <v>310</v>
      </c>
      <c r="AA729" s="81" t="s">
        <v>117</v>
      </c>
      <c r="AB729" s="81" t="s">
        <v>399</v>
      </c>
      <c r="AC729" s="166">
        <v>3.0000000260770299E-3</v>
      </c>
      <c r="AG729" s="81" t="s">
        <v>238</v>
      </c>
      <c r="AH729" s="81" t="s">
        <v>118</v>
      </c>
      <c r="AK729" s="166">
        <v>0</v>
      </c>
      <c r="AM729" s="166">
        <v>0</v>
      </c>
      <c r="AO729" s="166">
        <v>1</v>
      </c>
      <c r="AP729" s="166">
        <v>0</v>
      </c>
      <c r="AQ729" s="166">
        <v>0</v>
      </c>
      <c r="AR729" s="166">
        <v>0</v>
      </c>
      <c r="AS729" s="166">
        <v>0</v>
      </c>
      <c r="AT729" s="166">
        <v>0</v>
      </c>
      <c r="AU729" s="166">
        <v>0</v>
      </c>
      <c r="AV729" s="166">
        <v>1</v>
      </c>
      <c r="AW729" s="166">
        <v>0</v>
      </c>
      <c r="AX729" s="166">
        <v>0</v>
      </c>
      <c r="AY729" s="166">
        <v>0</v>
      </c>
      <c r="AZ729" s="166">
        <v>0</v>
      </c>
      <c r="BA729" s="166">
        <v>0</v>
      </c>
      <c r="BB729" s="166">
        <v>0</v>
      </c>
      <c r="BC729" s="166">
        <v>0</v>
      </c>
      <c r="BD729" s="166">
        <v>0</v>
      </c>
      <c r="BE729" s="166">
        <v>0</v>
      </c>
      <c r="BF729" s="166">
        <v>0</v>
      </c>
      <c r="BG729" s="166">
        <v>0</v>
      </c>
      <c r="BH729" s="166">
        <v>0</v>
      </c>
      <c r="BI729" s="166">
        <v>0</v>
      </c>
      <c r="BJ729" s="166">
        <v>0</v>
      </c>
      <c r="BK729" s="166">
        <v>0</v>
      </c>
      <c r="BL729" s="166">
        <v>0</v>
      </c>
      <c r="BM729" s="166">
        <v>0</v>
      </c>
      <c r="BN729" s="166">
        <v>0</v>
      </c>
      <c r="BO729" s="166">
        <v>0</v>
      </c>
      <c r="BP729" s="166">
        <v>0</v>
      </c>
      <c r="BQ729" s="81" t="s">
        <v>1757</v>
      </c>
      <c r="BZ729" s="81" t="s">
        <v>155</v>
      </c>
      <c r="CA729" s="81" t="s">
        <v>1937</v>
      </c>
      <c r="CC729" s="167">
        <v>0</v>
      </c>
      <c r="CD729" s="167">
        <f>$N729/4</f>
        <v>0.25</v>
      </c>
      <c r="CE729" s="167">
        <f>$N729/4</f>
        <v>0.25</v>
      </c>
      <c r="CF729" s="167">
        <f>$N729/4</f>
        <v>0.25</v>
      </c>
      <c r="CG729" s="167">
        <f>$N729/4</f>
        <v>0.25</v>
      </c>
      <c r="CH729" s="167">
        <v>0</v>
      </c>
      <c r="CI729" s="167">
        <v>0</v>
      </c>
      <c r="CJ729" s="167">
        <v>0</v>
      </c>
      <c r="CK729" s="167">
        <v>0</v>
      </c>
      <c r="CL729" s="167">
        <v>0</v>
      </c>
      <c r="CM729" s="167">
        <v>0</v>
      </c>
      <c r="CN729" s="167">
        <v>0</v>
      </c>
      <c r="CO729" s="167">
        <v>0</v>
      </c>
      <c r="CP729" s="167">
        <v>0</v>
      </c>
      <c r="CQ729" s="167">
        <v>0</v>
      </c>
      <c r="CR729" s="167">
        <v>0</v>
      </c>
      <c r="CS729" s="167">
        <v>0</v>
      </c>
      <c r="CT729" s="167">
        <v>0</v>
      </c>
      <c r="CU729" s="167">
        <v>0</v>
      </c>
      <c r="CV729" s="167">
        <v>0</v>
      </c>
      <c r="CW729" s="167">
        <v>0</v>
      </c>
      <c r="CX729" s="167">
        <f>SUM(CD729:CH729)</f>
        <v>1</v>
      </c>
      <c r="CY729" s="167">
        <f>SUM(CD729:CM729)</f>
        <v>1</v>
      </c>
    </row>
    <row r="730" spans="1:103" ht="12.75" customHeight="1" x14ac:dyDescent="0.2">
      <c r="A730" s="81">
        <v>999</v>
      </c>
      <c r="B730" s="165" t="s">
        <v>1930</v>
      </c>
      <c r="C730" s="165" t="s">
        <v>429</v>
      </c>
      <c r="E730" s="165" t="s">
        <v>2443</v>
      </c>
      <c r="G730" s="81">
        <v>528491</v>
      </c>
      <c r="H730" s="81">
        <v>173293</v>
      </c>
      <c r="I730" s="165" t="s">
        <v>254</v>
      </c>
      <c r="L730" s="166">
        <v>1</v>
      </c>
      <c r="M730" s="166">
        <v>5</v>
      </c>
      <c r="N730" s="166">
        <v>4</v>
      </c>
      <c r="O730" s="166">
        <v>5</v>
      </c>
      <c r="P730" s="166">
        <v>4</v>
      </c>
      <c r="R730" s="165" t="s">
        <v>1126</v>
      </c>
      <c r="S730" s="81" t="s">
        <v>113</v>
      </c>
      <c r="T730" s="349">
        <v>42073</v>
      </c>
      <c r="U730" s="349">
        <v>42195</v>
      </c>
      <c r="W730" s="81" t="s">
        <v>114</v>
      </c>
      <c r="Y730" s="81" t="s">
        <v>115</v>
      </c>
      <c r="Z730" s="81" t="s">
        <v>219</v>
      </c>
      <c r="AA730" s="81" t="s">
        <v>117</v>
      </c>
      <c r="AB730" s="81" t="s">
        <v>3889</v>
      </c>
      <c r="AC730" s="166">
        <v>1.09999999403954E-2</v>
      </c>
      <c r="AG730" s="81" t="s">
        <v>238</v>
      </c>
      <c r="AH730" s="81" t="s">
        <v>118</v>
      </c>
      <c r="AK730" s="166">
        <v>5</v>
      </c>
      <c r="AM730" s="166">
        <v>0</v>
      </c>
      <c r="AO730" s="166">
        <v>0</v>
      </c>
      <c r="AP730" s="166">
        <v>3</v>
      </c>
      <c r="AQ730" s="166">
        <v>1</v>
      </c>
      <c r="AR730" s="166">
        <v>0</v>
      </c>
      <c r="AS730" s="166">
        <v>0</v>
      </c>
      <c r="AT730" s="166">
        <v>0</v>
      </c>
      <c r="AU730" s="166">
        <v>0</v>
      </c>
      <c r="AV730" s="166">
        <v>0</v>
      </c>
      <c r="AW730" s="166">
        <v>3</v>
      </c>
      <c r="AX730" s="166">
        <v>1</v>
      </c>
      <c r="AY730" s="166">
        <v>0</v>
      </c>
      <c r="AZ730" s="166">
        <v>0</v>
      </c>
      <c r="BA730" s="166">
        <v>0</v>
      </c>
      <c r="BB730" s="166">
        <v>0</v>
      </c>
      <c r="BC730" s="166">
        <v>0</v>
      </c>
      <c r="BD730" s="166">
        <v>0</v>
      </c>
      <c r="BE730" s="166">
        <v>0</v>
      </c>
      <c r="BF730" s="166">
        <v>0</v>
      </c>
      <c r="BG730" s="166">
        <v>0</v>
      </c>
      <c r="BH730" s="166">
        <v>0</v>
      </c>
      <c r="BI730" s="166">
        <v>0</v>
      </c>
      <c r="BJ730" s="166">
        <v>0</v>
      </c>
      <c r="BK730" s="166">
        <v>0</v>
      </c>
      <c r="BL730" s="166">
        <v>0</v>
      </c>
      <c r="BM730" s="166">
        <v>0</v>
      </c>
      <c r="BN730" s="166">
        <v>0</v>
      </c>
      <c r="BO730" s="166">
        <v>0</v>
      </c>
      <c r="BP730" s="166">
        <v>0</v>
      </c>
      <c r="BQ730" s="81" t="s">
        <v>1757</v>
      </c>
      <c r="BR730" s="81" t="s">
        <v>247</v>
      </c>
      <c r="BZ730" s="81" t="s">
        <v>155</v>
      </c>
      <c r="CA730" s="81" t="s">
        <v>1937</v>
      </c>
      <c r="CC730" s="167">
        <v>0</v>
      </c>
      <c r="CD730" s="167">
        <f>$N730/4</f>
        <v>1</v>
      </c>
      <c r="CE730" s="167">
        <f>$N730/4</f>
        <v>1</v>
      </c>
      <c r="CF730" s="167">
        <f>$N730/4</f>
        <v>1</v>
      </c>
      <c r="CG730" s="167">
        <f>$N730/4</f>
        <v>1</v>
      </c>
      <c r="CH730" s="167">
        <v>0</v>
      </c>
      <c r="CI730" s="167">
        <v>0</v>
      </c>
      <c r="CJ730" s="167">
        <v>0</v>
      </c>
      <c r="CK730" s="167">
        <v>0</v>
      </c>
      <c r="CL730" s="167">
        <v>0</v>
      </c>
      <c r="CM730" s="167">
        <v>0</v>
      </c>
      <c r="CN730" s="167">
        <v>0</v>
      </c>
      <c r="CO730" s="167">
        <v>0</v>
      </c>
      <c r="CP730" s="167">
        <v>0</v>
      </c>
      <c r="CQ730" s="167">
        <v>0</v>
      </c>
      <c r="CR730" s="167">
        <v>0</v>
      </c>
      <c r="CS730" s="167">
        <v>0</v>
      </c>
      <c r="CT730" s="167">
        <v>0</v>
      </c>
      <c r="CU730" s="167">
        <v>0</v>
      </c>
      <c r="CV730" s="167">
        <v>0</v>
      </c>
      <c r="CW730" s="167">
        <v>0</v>
      </c>
      <c r="CX730" s="167">
        <f>SUM(CD730:CH730)</f>
        <v>4</v>
      </c>
      <c r="CY730" s="167">
        <f>SUM(CD730:CM730)</f>
        <v>4</v>
      </c>
    </row>
    <row r="731" spans="1:103" ht="12.75" customHeight="1" x14ac:dyDescent="0.2">
      <c r="A731" s="81">
        <v>1090</v>
      </c>
      <c r="B731" s="165" t="s">
        <v>1930</v>
      </c>
      <c r="C731" s="165" t="s">
        <v>1582</v>
      </c>
      <c r="E731" s="165" t="s">
        <v>2444</v>
      </c>
      <c r="G731" s="81">
        <v>527564</v>
      </c>
      <c r="H731" s="81">
        <v>171696</v>
      </c>
      <c r="I731" s="165" t="s">
        <v>242</v>
      </c>
      <c r="L731" s="166">
        <v>0</v>
      </c>
      <c r="M731" s="166">
        <v>1</v>
      </c>
      <c r="N731" s="166">
        <v>1</v>
      </c>
      <c r="O731" s="166">
        <v>2</v>
      </c>
      <c r="P731" s="166">
        <v>1</v>
      </c>
      <c r="R731" s="165" t="s">
        <v>1583</v>
      </c>
      <c r="S731" s="81" t="s">
        <v>296</v>
      </c>
      <c r="T731" s="349">
        <v>42724</v>
      </c>
      <c r="U731" s="349">
        <v>42870</v>
      </c>
      <c r="V731" s="81" t="s">
        <v>155</v>
      </c>
      <c r="W731" s="81" t="s">
        <v>297</v>
      </c>
      <c r="X731" s="349">
        <v>43024</v>
      </c>
      <c r="Y731" s="81" t="s">
        <v>115</v>
      </c>
      <c r="Z731" s="81" t="s">
        <v>219</v>
      </c>
      <c r="AA731" s="81" t="s">
        <v>117</v>
      </c>
      <c r="AB731" s="81" t="s">
        <v>3889</v>
      </c>
      <c r="AC731" s="166">
        <v>7.0000002160668399E-3</v>
      </c>
      <c r="AG731" s="81" t="s">
        <v>238</v>
      </c>
      <c r="AH731" s="81" t="s">
        <v>118</v>
      </c>
      <c r="AK731" s="166">
        <v>0</v>
      </c>
      <c r="AM731" s="166">
        <v>0</v>
      </c>
      <c r="AO731" s="166">
        <v>0</v>
      </c>
      <c r="AP731" s="166">
        <v>1</v>
      </c>
      <c r="AQ731" s="166">
        <v>0</v>
      </c>
      <c r="AR731" s="166">
        <v>0</v>
      </c>
      <c r="AS731" s="166">
        <v>0</v>
      </c>
      <c r="AT731" s="166">
        <v>0</v>
      </c>
      <c r="AU731" s="166">
        <v>0</v>
      </c>
      <c r="AV731" s="166">
        <v>0</v>
      </c>
      <c r="AW731" s="166">
        <v>1</v>
      </c>
      <c r="AX731" s="166">
        <v>0</v>
      </c>
      <c r="AY731" s="166">
        <v>0</v>
      </c>
      <c r="AZ731" s="166">
        <v>0</v>
      </c>
      <c r="BA731" s="166">
        <v>0</v>
      </c>
      <c r="BB731" s="166">
        <v>0</v>
      </c>
      <c r="BC731" s="166">
        <v>0</v>
      </c>
      <c r="BD731" s="166">
        <v>0</v>
      </c>
      <c r="BE731" s="166">
        <v>0</v>
      </c>
      <c r="BF731" s="166">
        <v>0</v>
      </c>
      <c r="BG731" s="166">
        <v>0</v>
      </c>
      <c r="BH731" s="166">
        <v>0</v>
      </c>
      <c r="BI731" s="166">
        <v>0</v>
      </c>
      <c r="BJ731" s="166">
        <v>0</v>
      </c>
      <c r="BK731" s="166">
        <v>0</v>
      </c>
      <c r="BL731" s="166">
        <v>0</v>
      </c>
      <c r="BM731" s="166">
        <v>0</v>
      </c>
      <c r="BN731" s="166">
        <v>0</v>
      </c>
      <c r="BO731" s="166">
        <v>0</v>
      </c>
      <c r="BP731" s="166">
        <v>0</v>
      </c>
      <c r="BQ731" s="81" t="s">
        <v>1757</v>
      </c>
      <c r="BR731" s="81" t="s">
        <v>242</v>
      </c>
      <c r="BZ731" s="81" t="s">
        <v>155</v>
      </c>
      <c r="CA731" s="81" t="s">
        <v>1937</v>
      </c>
      <c r="CC731" s="167">
        <v>0</v>
      </c>
      <c r="CD731" s="167">
        <f>$N731/4</f>
        <v>0.25</v>
      </c>
      <c r="CE731" s="167">
        <f>$N731/4</f>
        <v>0.25</v>
      </c>
      <c r="CF731" s="167">
        <f>$N731/4</f>
        <v>0.25</v>
      </c>
      <c r="CG731" s="167">
        <f>$N731/4</f>
        <v>0.25</v>
      </c>
      <c r="CH731" s="167">
        <v>0</v>
      </c>
      <c r="CI731" s="167">
        <v>0</v>
      </c>
      <c r="CJ731" s="167">
        <v>0</v>
      </c>
      <c r="CK731" s="167">
        <v>0</v>
      </c>
      <c r="CL731" s="167">
        <v>0</v>
      </c>
      <c r="CM731" s="167">
        <v>0</v>
      </c>
      <c r="CN731" s="167">
        <v>0</v>
      </c>
      <c r="CO731" s="167">
        <v>0</v>
      </c>
      <c r="CP731" s="167">
        <v>0</v>
      </c>
      <c r="CQ731" s="167">
        <v>0</v>
      </c>
      <c r="CR731" s="167">
        <v>0</v>
      </c>
      <c r="CS731" s="167">
        <v>0</v>
      </c>
      <c r="CT731" s="167">
        <v>0</v>
      </c>
      <c r="CU731" s="167">
        <v>0</v>
      </c>
      <c r="CV731" s="167">
        <v>0</v>
      </c>
      <c r="CW731" s="167">
        <v>0</v>
      </c>
      <c r="CX731" s="167">
        <f>SUM(CD731:CH731)</f>
        <v>1</v>
      </c>
      <c r="CY731" s="167">
        <f>SUM(CD731:CM731)</f>
        <v>1</v>
      </c>
    </row>
    <row r="732" spans="1:103" ht="12.75" customHeight="1" x14ac:dyDescent="0.2">
      <c r="A732" s="81">
        <v>1090</v>
      </c>
      <c r="B732" s="165" t="s">
        <v>1930</v>
      </c>
      <c r="C732" s="165" t="s">
        <v>1582</v>
      </c>
      <c r="E732" s="165" t="s">
        <v>2444</v>
      </c>
      <c r="G732" s="81">
        <v>527564</v>
      </c>
      <c r="H732" s="81">
        <v>171696</v>
      </c>
      <c r="I732" s="165" t="s">
        <v>242</v>
      </c>
      <c r="L732" s="166">
        <v>1</v>
      </c>
      <c r="M732" s="166">
        <v>1</v>
      </c>
      <c r="N732" s="166">
        <v>0</v>
      </c>
      <c r="O732" s="166">
        <v>2</v>
      </c>
      <c r="P732" s="166">
        <v>1</v>
      </c>
      <c r="R732" s="165" t="s">
        <v>1583</v>
      </c>
      <c r="S732" s="81" t="s">
        <v>296</v>
      </c>
      <c r="T732" s="349">
        <v>42724</v>
      </c>
      <c r="U732" s="349">
        <v>42870</v>
      </c>
      <c r="V732" s="81" t="s">
        <v>155</v>
      </c>
      <c r="W732" s="81" t="s">
        <v>297</v>
      </c>
      <c r="X732" s="349">
        <v>43024</v>
      </c>
      <c r="Y732" s="81" t="s">
        <v>115</v>
      </c>
      <c r="Z732" s="81" t="s">
        <v>219</v>
      </c>
      <c r="AA732" s="81" t="s">
        <v>117</v>
      </c>
      <c r="AB732" s="81" t="s">
        <v>220</v>
      </c>
      <c r="AC732" s="166">
        <v>8.9999996125698107E-3</v>
      </c>
      <c r="AG732" s="81" t="s">
        <v>238</v>
      </c>
      <c r="AH732" s="81" t="s">
        <v>118</v>
      </c>
      <c r="AK732" s="166">
        <v>0</v>
      </c>
      <c r="AM732" s="166">
        <v>0</v>
      </c>
      <c r="AO732" s="166">
        <v>0</v>
      </c>
      <c r="AP732" s="166">
        <v>-1</v>
      </c>
      <c r="AQ732" s="166">
        <v>1</v>
      </c>
      <c r="AR732" s="166">
        <v>0</v>
      </c>
      <c r="AS732" s="166">
        <v>0</v>
      </c>
      <c r="AT732" s="166">
        <v>0</v>
      </c>
      <c r="AU732" s="166">
        <v>0</v>
      </c>
      <c r="AV732" s="166">
        <v>0</v>
      </c>
      <c r="AW732" s="166">
        <v>-1</v>
      </c>
      <c r="AX732" s="166">
        <v>1</v>
      </c>
      <c r="AY732" s="166">
        <v>0</v>
      </c>
      <c r="AZ732" s="166">
        <v>0</v>
      </c>
      <c r="BA732" s="166">
        <v>0</v>
      </c>
      <c r="BB732" s="166">
        <v>0</v>
      </c>
      <c r="BC732" s="166">
        <v>0</v>
      </c>
      <c r="BD732" s="166">
        <v>0</v>
      </c>
      <c r="BE732" s="166">
        <v>0</v>
      </c>
      <c r="BF732" s="166">
        <v>0</v>
      </c>
      <c r="BG732" s="166">
        <v>0</v>
      </c>
      <c r="BH732" s="166">
        <v>0</v>
      </c>
      <c r="BI732" s="166">
        <v>0</v>
      </c>
      <c r="BJ732" s="166">
        <v>0</v>
      </c>
      <c r="BK732" s="166">
        <v>0</v>
      </c>
      <c r="BL732" s="166">
        <v>0</v>
      </c>
      <c r="BM732" s="166">
        <v>0</v>
      </c>
      <c r="BN732" s="166">
        <v>0</v>
      </c>
      <c r="BO732" s="166">
        <v>0</v>
      </c>
      <c r="BP732" s="166">
        <v>0</v>
      </c>
      <c r="BQ732" s="81" t="s">
        <v>1757</v>
      </c>
      <c r="BR732" s="81" t="s">
        <v>242</v>
      </c>
      <c r="BZ732" s="81" t="s">
        <v>155</v>
      </c>
      <c r="CA732" s="81" t="s">
        <v>1937</v>
      </c>
      <c r="CC732" s="167">
        <v>0</v>
      </c>
      <c r="CD732" s="167">
        <f>$N732/4</f>
        <v>0</v>
      </c>
      <c r="CE732" s="167">
        <f>$N732/4</f>
        <v>0</v>
      </c>
      <c r="CF732" s="167">
        <f>$N732/4</f>
        <v>0</v>
      </c>
      <c r="CG732" s="167">
        <f>$N732/4</f>
        <v>0</v>
      </c>
      <c r="CH732" s="167">
        <v>0</v>
      </c>
      <c r="CI732" s="167">
        <v>0</v>
      </c>
      <c r="CJ732" s="167">
        <v>0</v>
      </c>
      <c r="CK732" s="167">
        <v>0</v>
      </c>
      <c r="CL732" s="167">
        <v>0</v>
      </c>
      <c r="CM732" s="167">
        <v>0</v>
      </c>
      <c r="CN732" s="167">
        <v>0</v>
      </c>
      <c r="CO732" s="167">
        <v>0</v>
      </c>
      <c r="CP732" s="167">
        <v>0</v>
      </c>
      <c r="CQ732" s="167">
        <v>0</v>
      </c>
      <c r="CR732" s="167">
        <v>0</v>
      </c>
      <c r="CS732" s="167">
        <v>0</v>
      </c>
      <c r="CT732" s="167">
        <v>0</v>
      </c>
      <c r="CU732" s="167">
        <v>0</v>
      </c>
      <c r="CV732" s="167">
        <v>0</v>
      </c>
      <c r="CW732" s="167">
        <v>0</v>
      </c>
      <c r="CX732" s="167">
        <f>SUM(CD732:CH732)</f>
        <v>0</v>
      </c>
      <c r="CY732" s="167">
        <f>SUM(CD732:CM732)</f>
        <v>0</v>
      </c>
    </row>
    <row r="733" spans="1:103" ht="12.75" customHeight="1" x14ac:dyDescent="0.2">
      <c r="A733" s="81">
        <v>1426</v>
      </c>
      <c r="B733" s="165" t="s">
        <v>1930</v>
      </c>
      <c r="C733" s="165" t="s">
        <v>2445</v>
      </c>
      <c r="E733" s="165" t="s">
        <v>2446</v>
      </c>
      <c r="G733" s="81">
        <v>527486</v>
      </c>
      <c r="H733" s="81">
        <v>171495</v>
      </c>
      <c r="I733" s="165" t="s">
        <v>253</v>
      </c>
      <c r="L733" s="166">
        <v>2</v>
      </c>
      <c r="M733" s="166">
        <v>5</v>
      </c>
      <c r="N733" s="166">
        <v>3</v>
      </c>
      <c r="O733" s="166">
        <v>5</v>
      </c>
      <c r="P733" s="166">
        <v>3</v>
      </c>
      <c r="R733" s="165" t="s">
        <v>2447</v>
      </c>
      <c r="S733" s="81" t="s">
        <v>113</v>
      </c>
      <c r="T733" s="349">
        <v>42935</v>
      </c>
      <c r="U733" s="349">
        <v>43077</v>
      </c>
      <c r="V733" s="81" t="s">
        <v>155</v>
      </c>
      <c r="W733" s="81" t="s">
        <v>114</v>
      </c>
      <c r="Y733" s="81" t="s">
        <v>115</v>
      </c>
      <c r="Z733" s="81" t="s">
        <v>398</v>
      </c>
      <c r="AA733" s="81" t="s">
        <v>117</v>
      </c>
      <c r="AB733" s="81" t="s">
        <v>220</v>
      </c>
      <c r="AC733" s="166">
        <v>8.0000003799796104E-3</v>
      </c>
      <c r="AG733" s="81" t="s">
        <v>238</v>
      </c>
      <c r="AH733" s="81" t="s">
        <v>118</v>
      </c>
      <c r="AI733" s="81" t="s">
        <v>2448</v>
      </c>
      <c r="AK733" s="166">
        <v>0</v>
      </c>
      <c r="AM733" s="166">
        <v>0</v>
      </c>
      <c r="AO733" s="166">
        <v>0</v>
      </c>
      <c r="AP733" s="166">
        <v>4</v>
      </c>
      <c r="AQ733" s="166">
        <v>-2</v>
      </c>
      <c r="AR733" s="166">
        <v>1</v>
      </c>
      <c r="AS733" s="166">
        <v>0</v>
      </c>
      <c r="AT733" s="166">
        <v>0</v>
      </c>
      <c r="AU733" s="166">
        <v>0</v>
      </c>
      <c r="AV733" s="166">
        <v>0</v>
      </c>
      <c r="AW733" s="166">
        <v>4</v>
      </c>
      <c r="AX733" s="166">
        <v>-2</v>
      </c>
      <c r="AY733" s="166">
        <v>1</v>
      </c>
      <c r="AZ733" s="166">
        <v>0</v>
      </c>
      <c r="BA733" s="166">
        <v>0</v>
      </c>
      <c r="BB733" s="166">
        <v>0</v>
      </c>
      <c r="BC733" s="166">
        <v>0</v>
      </c>
      <c r="BD733" s="166">
        <v>0</v>
      </c>
      <c r="BE733" s="166">
        <v>0</v>
      </c>
      <c r="BF733" s="166">
        <v>0</v>
      </c>
      <c r="BG733" s="166">
        <v>0</v>
      </c>
      <c r="BH733" s="166">
        <v>0</v>
      </c>
      <c r="BI733" s="166">
        <v>0</v>
      </c>
      <c r="BJ733" s="166">
        <v>0</v>
      </c>
      <c r="BK733" s="166">
        <v>0</v>
      </c>
      <c r="BL733" s="166">
        <v>0</v>
      </c>
      <c r="BM733" s="166">
        <v>0</v>
      </c>
      <c r="BN733" s="166">
        <v>0</v>
      </c>
      <c r="BO733" s="166">
        <v>0</v>
      </c>
      <c r="BP733" s="166">
        <v>0</v>
      </c>
      <c r="BQ733" s="81" t="s">
        <v>1757</v>
      </c>
      <c r="BR733" s="81" t="s">
        <v>242</v>
      </c>
      <c r="BZ733" s="81" t="s">
        <v>155</v>
      </c>
      <c r="CA733" s="81" t="s">
        <v>1937</v>
      </c>
      <c r="CC733" s="167">
        <v>0</v>
      </c>
      <c r="CD733" s="167">
        <f>$N733/4</f>
        <v>0.75</v>
      </c>
      <c r="CE733" s="167">
        <f>$N733/4</f>
        <v>0.75</v>
      </c>
      <c r="CF733" s="167">
        <f>$N733/4</f>
        <v>0.75</v>
      </c>
      <c r="CG733" s="167">
        <f>$N733/4</f>
        <v>0.75</v>
      </c>
      <c r="CH733" s="167">
        <v>0</v>
      </c>
      <c r="CI733" s="167">
        <v>0</v>
      </c>
      <c r="CJ733" s="167">
        <v>0</v>
      </c>
      <c r="CK733" s="167">
        <v>0</v>
      </c>
      <c r="CL733" s="167">
        <v>0</v>
      </c>
      <c r="CM733" s="167">
        <v>0</v>
      </c>
      <c r="CN733" s="167">
        <v>0</v>
      </c>
      <c r="CO733" s="167">
        <v>0</v>
      </c>
      <c r="CP733" s="167">
        <v>0</v>
      </c>
      <c r="CQ733" s="167">
        <v>0</v>
      </c>
      <c r="CR733" s="167">
        <v>0</v>
      </c>
      <c r="CS733" s="167">
        <v>0</v>
      </c>
      <c r="CT733" s="167">
        <v>0</v>
      </c>
      <c r="CU733" s="167">
        <v>0</v>
      </c>
      <c r="CV733" s="167">
        <v>0</v>
      </c>
      <c r="CW733" s="167">
        <v>0</v>
      </c>
      <c r="CX733" s="167">
        <f>SUM(CD733:CH733)</f>
        <v>3</v>
      </c>
      <c r="CY733" s="167">
        <f>SUM(CD733:CM733)</f>
        <v>3</v>
      </c>
    </row>
    <row r="734" spans="1:103" ht="12.75" customHeight="1" x14ac:dyDescent="0.2">
      <c r="A734" s="81">
        <v>1433</v>
      </c>
      <c r="B734" s="165" t="s">
        <v>1930</v>
      </c>
      <c r="C734" s="165" t="s">
        <v>2449</v>
      </c>
      <c r="E734" s="165" t="s">
        <v>2450</v>
      </c>
      <c r="G734" s="81">
        <v>525363</v>
      </c>
      <c r="H734" s="81">
        <v>174695</v>
      </c>
      <c r="I734" s="165" t="s">
        <v>251</v>
      </c>
      <c r="L734" s="166">
        <v>0</v>
      </c>
      <c r="M734" s="166">
        <v>2</v>
      </c>
      <c r="N734" s="166">
        <v>2</v>
      </c>
      <c r="O734" s="166">
        <v>2</v>
      </c>
      <c r="P734" s="166">
        <v>2</v>
      </c>
      <c r="R734" s="165" t="s">
        <v>2451</v>
      </c>
      <c r="S734" s="81" t="s">
        <v>113</v>
      </c>
      <c r="T734" s="349">
        <v>43108</v>
      </c>
      <c r="U734" s="349">
        <v>43164</v>
      </c>
      <c r="V734" s="81" t="s">
        <v>155</v>
      </c>
      <c r="W734" s="81" t="s">
        <v>114</v>
      </c>
      <c r="Y734" s="81" t="s">
        <v>115</v>
      </c>
      <c r="Z734" s="81" t="s">
        <v>219</v>
      </c>
      <c r="AA734" s="81" t="s">
        <v>117</v>
      </c>
      <c r="AB734" s="81" t="s">
        <v>3889</v>
      </c>
      <c r="AC734" s="166">
        <v>4.9999998882412902E-3</v>
      </c>
      <c r="AG734" s="81" t="s">
        <v>238</v>
      </c>
      <c r="AH734" s="81" t="s">
        <v>118</v>
      </c>
      <c r="AK734" s="166">
        <v>0</v>
      </c>
      <c r="AM734" s="166">
        <v>0</v>
      </c>
      <c r="AO734" s="166">
        <v>0</v>
      </c>
      <c r="AP734" s="166">
        <v>0</v>
      </c>
      <c r="AQ734" s="166">
        <v>2</v>
      </c>
      <c r="AR734" s="166">
        <v>0</v>
      </c>
      <c r="AS734" s="166">
        <v>0</v>
      </c>
      <c r="AT734" s="166">
        <v>0</v>
      </c>
      <c r="AU734" s="166">
        <v>0</v>
      </c>
      <c r="AV734" s="166">
        <v>0</v>
      </c>
      <c r="AW734" s="166">
        <v>0</v>
      </c>
      <c r="AX734" s="166">
        <v>2</v>
      </c>
      <c r="AY734" s="166">
        <v>0</v>
      </c>
      <c r="AZ734" s="166">
        <v>0</v>
      </c>
      <c r="BA734" s="166">
        <v>0</v>
      </c>
      <c r="BB734" s="166">
        <v>0</v>
      </c>
      <c r="BC734" s="166">
        <v>0</v>
      </c>
      <c r="BD734" s="166">
        <v>0</v>
      </c>
      <c r="BE734" s="166">
        <v>0</v>
      </c>
      <c r="BF734" s="166">
        <v>0</v>
      </c>
      <c r="BG734" s="166">
        <v>0</v>
      </c>
      <c r="BH734" s="166">
        <v>0</v>
      </c>
      <c r="BI734" s="166">
        <v>0</v>
      </c>
      <c r="BJ734" s="166">
        <v>0</v>
      </c>
      <c r="BK734" s="166">
        <v>0</v>
      </c>
      <c r="BL734" s="166">
        <v>0</v>
      </c>
      <c r="BM734" s="166">
        <v>0</v>
      </c>
      <c r="BN734" s="166">
        <v>0</v>
      </c>
      <c r="BO734" s="166">
        <v>0</v>
      </c>
      <c r="BP734" s="166">
        <v>0</v>
      </c>
      <c r="BQ734" s="81" t="s">
        <v>1758</v>
      </c>
      <c r="BR734" s="81" t="s">
        <v>202</v>
      </c>
      <c r="BT734" s="81" t="s">
        <v>155</v>
      </c>
      <c r="BZ734" s="81" t="s">
        <v>155</v>
      </c>
      <c r="CA734" s="81" t="s">
        <v>1937</v>
      </c>
      <c r="CC734" s="167">
        <v>0</v>
      </c>
      <c r="CD734" s="167">
        <f>$N734/4</f>
        <v>0.5</v>
      </c>
      <c r="CE734" s="167">
        <f>$N734/4</f>
        <v>0.5</v>
      </c>
      <c r="CF734" s="167">
        <f>$N734/4</f>
        <v>0.5</v>
      </c>
      <c r="CG734" s="167">
        <f>$N734/4</f>
        <v>0.5</v>
      </c>
      <c r="CH734" s="167">
        <v>0</v>
      </c>
      <c r="CI734" s="167">
        <v>0</v>
      </c>
      <c r="CJ734" s="167">
        <v>0</v>
      </c>
      <c r="CK734" s="167">
        <v>0</v>
      </c>
      <c r="CL734" s="167">
        <v>0</v>
      </c>
      <c r="CM734" s="167">
        <v>0</v>
      </c>
      <c r="CN734" s="167">
        <v>0</v>
      </c>
      <c r="CO734" s="167">
        <v>0</v>
      </c>
      <c r="CP734" s="167">
        <v>0</v>
      </c>
      <c r="CQ734" s="167">
        <v>0</v>
      </c>
      <c r="CR734" s="167">
        <v>0</v>
      </c>
      <c r="CS734" s="167">
        <v>0</v>
      </c>
      <c r="CT734" s="167">
        <v>0</v>
      </c>
      <c r="CU734" s="167">
        <v>0</v>
      </c>
      <c r="CV734" s="167">
        <v>0</v>
      </c>
      <c r="CW734" s="167">
        <v>0</v>
      </c>
      <c r="CX734" s="167">
        <f>SUM(CD734:CH734)</f>
        <v>2</v>
      </c>
      <c r="CY734" s="167">
        <f>SUM(CD734:CM734)</f>
        <v>2</v>
      </c>
    </row>
    <row r="735" spans="1:103" ht="12.75" customHeight="1" x14ac:dyDescent="0.2">
      <c r="A735" s="81">
        <v>1623</v>
      </c>
      <c r="B735" s="165" t="s">
        <v>1930</v>
      </c>
      <c r="C735" s="165" t="s">
        <v>2452</v>
      </c>
      <c r="D735" s="165" t="s">
        <v>2453</v>
      </c>
      <c r="E735" s="165" t="s">
        <v>2454</v>
      </c>
      <c r="G735" s="81">
        <v>523905</v>
      </c>
      <c r="H735" s="81">
        <v>174935</v>
      </c>
      <c r="I735" s="165" t="s">
        <v>250</v>
      </c>
      <c r="L735" s="166">
        <v>1</v>
      </c>
      <c r="M735" s="166">
        <v>2</v>
      </c>
      <c r="N735" s="166">
        <v>1</v>
      </c>
      <c r="O735" s="166">
        <v>2</v>
      </c>
      <c r="P735" s="166">
        <v>1</v>
      </c>
      <c r="R735" s="165" t="s">
        <v>2455</v>
      </c>
      <c r="S735" s="81" t="s">
        <v>296</v>
      </c>
      <c r="T735" s="349">
        <v>42759</v>
      </c>
      <c r="U735" s="349">
        <v>42815</v>
      </c>
      <c r="V735" s="81" t="s">
        <v>155</v>
      </c>
      <c r="W735" s="81" t="s">
        <v>297</v>
      </c>
      <c r="X735" s="349">
        <v>42962</v>
      </c>
      <c r="Y735" s="81" t="s">
        <v>115</v>
      </c>
      <c r="Z735" s="81" t="s">
        <v>116</v>
      </c>
      <c r="AA735" s="81" t="s">
        <v>117</v>
      </c>
      <c r="AB735" s="81" t="s">
        <v>218</v>
      </c>
      <c r="AC735" s="166">
        <v>9.9999997764825804E-3</v>
      </c>
      <c r="AG735" s="81" t="s">
        <v>238</v>
      </c>
      <c r="AH735" s="81" t="s">
        <v>118</v>
      </c>
      <c r="AK735" s="166">
        <v>0</v>
      </c>
      <c r="AM735" s="166">
        <v>1</v>
      </c>
      <c r="AO735" s="166">
        <v>-1</v>
      </c>
      <c r="AP735" s="166">
        <v>2</v>
      </c>
      <c r="AQ735" s="166">
        <v>0</v>
      </c>
      <c r="AR735" s="166">
        <v>0</v>
      </c>
      <c r="AS735" s="166">
        <v>0</v>
      </c>
      <c r="AT735" s="166">
        <v>0</v>
      </c>
      <c r="AU735" s="166">
        <v>0</v>
      </c>
      <c r="AV735" s="166">
        <v>-1</v>
      </c>
      <c r="AW735" s="166">
        <v>2</v>
      </c>
      <c r="AX735" s="166">
        <v>0</v>
      </c>
      <c r="AY735" s="166">
        <v>0</v>
      </c>
      <c r="AZ735" s="166">
        <v>0</v>
      </c>
      <c r="BA735" s="166">
        <v>0</v>
      </c>
      <c r="BB735" s="166">
        <v>0</v>
      </c>
      <c r="BC735" s="166">
        <v>0</v>
      </c>
      <c r="BD735" s="166">
        <v>0</v>
      </c>
      <c r="BE735" s="166">
        <v>0</v>
      </c>
      <c r="BF735" s="166">
        <v>0</v>
      </c>
      <c r="BG735" s="166">
        <v>0</v>
      </c>
      <c r="BH735" s="166">
        <v>0</v>
      </c>
      <c r="BI735" s="166">
        <v>0</v>
      </c>
      <c r="BJ735" s="166">
        <v>0</v>
      </c>
      <c r="BK735" s="166">
        <v>0</v>
      </c>
      <c r="BL735" s="166">
        <v>0</v>
      </c>
      <c r="BM735" s="166">
        <v>0</v>
      </c>
      <c r="BN735" s="166">
        <v>0</v>
      </c>
      <c r="BO735" s="166">
        <v>0</v>
      </c>
      <c r="BP735" s="166">
        <v>0</v>
      </c>
      <c r="BQ735" s="81" t="s">
        <v>1758</v>
      </c>
      <c r="BZ735" s="81" t="s">
        <v>155</v>
      </c>
      <c r="CA735" s="81">
        <v>4</v>
      </c>
      <c r="CC735" s="167">
        <v>0</v>
      </c>
      <c r="CD735" s="167">
        <v>0</v>
      </c>
      <c r="CE735" s="167">
        <f>$N735/4</f>
        <v>0.25</v>
      </c>
      <c r="CF735" s="167">
        <f>$N735/4</f>
        <v>0.25</v>
      </c>
      <c r="CG735" s="167">
        <f>$N735/4</f>
        <v>0.25</v>
      </c>
      <c r="CH735" s="167">
        <f>$N735/4</f>
        <v>0.25</v>
      </c>
      <c r="CI735" s="167">
        <v>0</v>
      </c>
      <c r="CJ735" s="167">
        <v>0</v>
      </c>
      <c r="CK735" s="167">
        <v>0</v>
      </c>
      <c r="CL735" s="167">
        <v>0</v>
      </c>
      <c r="CM735" s="167">
        <v>0</v>
      </c>
      <c r="CN735" s="167">
        <v>0</v>
      </c>
      <c r="CO735" s="167">
        <v>0</v>
      </c>
      <c r="CP735" s="167">
        <v>0</v>
      </c>
      <c r="CQ735" s="167">
        <v>0</v>
      </c>
      <c r="CR735" s="167">
        <v>0</v>
      </c>
      <c r="CS735" s="167">
        <v>0</v>
      </c>
      <c r="CT735" s="167">
        <v>0</v>
      </c>
      <c r="CU735" s="167">
        <v>0</v>
      </c>
      <c r="CV735" s="167">
        <v>0</v>
      </c>
      <c r="CW735" s="167">
        <v>0</v>
      </c>
      <c r="CX735" s="167">
        <f>SUM(CD735:CH735)</f>
        <v>1</v>
      </c>
      <c r="CY735" s="167">
        <f>SUM(CD735:CM735)</f>
        <v>1</v>
      </c>
    </row>
    <row r="736" spans="1:103" ht="12.75" customHeight="1" x14ac:dyDescent="0.2">
      <c r="A736" s="81">
        <v>1877</v>
      </c>
      <c r="B736" s="165" t="s">
        <v>1930</v>
      </c>
      <c r="C736" s="165" t="s">
        <v>686</v>
      </c>
      <c r="D736" s="165" t="s">
        <v>334</v>
      </c>
      <c r="E736" s="165" t="s">
        <v>2442</v>
      </c>
      <c r="G736" s="81">
        <v>526819</v>
      </c>
      <c r="H736" s="81">
        <v>176644</v>
      </c>
      <c r="I736" s="165" t="s">
        <v>257</v>
      </c>
      <c r="L736" s="166">
        <v>0</v>
      </c>
      <c r="M736" s="166">
        <v>3</v>
      </c>
      <c r="N736" s="166">
        <v>3</v>
      </c>
      <c r="O736" s="166">
        <v>3</v>
      </c>
      <c r="P736" s="166">
        <v>3</v>
      </c>
      <c r="R736" s="165" t="s">
        <v>687</v>
      </c>
      <c r="S736" s="81" t="s">
        <v>110</v>
      </c>
      <c r="T736" s="349">
        <v>42293</v>
      </c>
      <c r="U736" s="349">
        <v>42348</v>
      </c>
      <c r="W736" s="81" t="s">
        <v>114</v>
      </c>
      <c r="Y736" s="81" t="s">
        <v>115</v>
      </c>
      <c r="Z736" s="81" t="s">
        <v>310</v>
      </c>
      <c r="AA736" s="81" t="s">
        <v>117</v>
      </c>
      <c r="AB736" s="81" t="s">
        <v>399</v>
      </c>
      <c r="AC736" s="166">
        <v>3.70000004768372E-2</v>
      </c>
      <c r="AG736" s="81" t="s">
        <v>238</v>
      </c>
      <c r="AH736" s="81" t="s">
        <v>118</v>
      </c>
      <c r="AK736" s="166">
        <v>0</v>
      </c>
      <c r="AM736" s="166">
        <v>0</v>
      </c>
      <c r="AO736" s="166">
        <v>0</v>
      </c>
      <c r="AP736" s="166">
        <v>2</v>
      </c>
      <c r="AQ736" s="166">
        <v>1</v>
      </c>
      <c r="AR736" s="166">
        <v>0</v>
      </c>
      <c r="AS736" s="166">
        <v>0</v>
      </c>
      <c r="AT736" s="166">
        <v>0</v>
      </c>
      <c r="AU736" s="166">
        <v>0</v>
      </c>
      <c r="AV736" s="166">
        <v>0</v>
      </c>
      <c r="AW736" s="166">
        <v>2</v>
      </c>
      <c r="AX736" s="166">
        <v>1</v>
      </c>
      <c r="AY736" s="166">
        <v>0</v>
      </c>
      <c r="AZ736" s="166">
        <v>0</v>
      </c>
      <c r="BA736" s="166">
        <v>0</v>
      </c>
      <c r="BB736" s="166">
        <v>0</v>
      </c>
      <c r="BC736" s="166">
        <v>0</v>
      </c>
      <c r="BD736" s="166">
        <v>0</v>
      </c>
      <c r="BE736" s="166">
        <v>0</v>
      </c>
      <c r="BF736" s="166">
        <v>0</v>
      </c>
      <c r="BG736" s="166">
        <v>0</v>
      </c>
      <c r="BH736" s="166">
        <v>0</v>
      </c>
      <c r="BI736" s="166">
        <v>0</v>
      </c>
      <c r="BJ736" s="166">
        <v>0</v>
      </c>
      <c r="BK736" s="166">
        <v>0</v>
      </c>
      <c r="BL736" s="166">
        <v>0</v>
      </c>
      <c r="BM736" s="166">
        <v>0</v>
      </c>
      <c r="BN736" s="166">
        <v>0</v>
      </c>
      <c r="BO736" s="166">
        <v>0</v>
      </c>
      <c r="BP736" s="166">
        <v>0</v>
      </c>
      <c r="BQ736" s="81" t="s">
        <v>1757</v>
      </c>
      <c r="BZ736" s="81" t="s">
        <v>155</v>
      </c>
      <c r="CA736" s="81" t="s">
        <v>1937</v>
      </c>
      <c r="CC736" s="167">
        <v>0</v>
      </c>
      <c r="CD736" s="167">
        <f>$N736/4</f>
        <v>0.75</v>
      </c>
      <c r="CE736" s="167">
        <f>$N736/4</f>
        <v>0.75</v>
      </c>
      <c r="CF736" s="167">
        <f>$N736/4</f>
        <v>0.75</v>
      </c>
      <c r="CG736" s="167">
        <f>$N736/4</f>
        <v>0.75</v>
      </c>
      <c r="CH736" s="167">
        <v>0</v>
      </c>
      <c r="CI736" s="167">
        <v>0</v>
      </c>
      <c r="CJ736" s="167">
        <v>0</v>
      </c>
      <c r="CK736" s="167">
        <v>0</v>
      </c>
      <c r="CL736" s="167">
        <v>0</v>
      </c>
      <c r="CM736" s="167">
        <v>0</v>
      </c>
      <c r="CN736" s="167">
        <v>0</v>
      </c>
      <c r="CO736" s="167">
        <v>0</v>
      </c>
      <c r="CP736" s="167">
        <v>0</v>
      </c>
      <c r="CQ736" s="167">
        <v>0</v>
      </c>
      <c r="CR736" s="167">
        <v>0</v>
      </c>
      <c r="CS736" s="167">
        <v>0</v>
      </c>
      <c r="CT736" s="167">
        <v>0</v>
      </c>
      <c r="CU736" s="167">
        <v>0</v>
      </c>
      <c r="CV736" s="167">
        <v>0</v>
      </c>
      <c r="CW736" s="167">
        <v>0</v>
      </c>
      <c r="CX736" s="167">
        <f>SUM(CD736:CH736)</f>
        <v>3</v>
      </c>
      <c r="CY736" s="167">
        <f>SUM(CD736:CM736)</f>
        <v>3</v>
      </c>
    </row>
    <row r="737" spans="1:103" ht="12.75" customHeight="1" x14ac:dyDescent="0.2">
      <c r="A737" s="81">
        <v>1886</v>
      </c>
      <c r="B737" s="165" t="s">
        <v>1930</v>
      </c>
      <c r="C737" s="165" t="s">
        <v>1368</v>
      </c>
      <c r="E737" s="165" t="s">
        <v>2457</v>
      </c>
      <c r="G737" s="81">
        <v>528075</v>
      </c>
      <c r="H737" s="81">
        <v>172371</v>
      </c>
      <c r="I737" s="165" t="s">
        <v>248</v>
      </c>
      <c r="L737" s="166">
        <v>0</v>
      </c>
      <c r="M737" s="166">
        <v>2</v>
      </c>
      <c r="N737" s="166">
        <v>2</v>
      </c>
      <c r="O737" s="166">
        <v>2</v>
      </c>
      <c r="P737" s="166">
        <v>2</v>
      </c>
      <c r="R737" s="165" t="s">
        <v>1369</v>
      </c>
      <c r="S737" s="81" t="s">
        <v>113</v>
      </c>
      <c r="T737" s="349">
        <v>42613</v>
      </c>
      <c r="U737" s="349">
        <v>42699</v>
      </c>
      <c r="W737" s="81" t="s">
        <v>114</v>
      </c>
      <c r="Y737" s="81" t="s">
        <v>115</v>
      </c>
      <c r="Z737" s="81" t="s">
        <v>219</v>
      </c>
      <c r="AA737" s="81" t="s">
        <v>117</v>
      </c>
      <c r="AB737" s="81" t="s">
        <v>3889</v>
      </c>
      <c r="AC737" s="166">
        <v>8.9999996125698107E-3</v>
      </c>
      <c r="AG737" s="81" t="s">
        <v>238</v>
      </c>
      <c r="AH737" s="81" t="s">
        <v>118</v>
      </c>
      <c r="AK737" s="166">
        <v>0</v>
      </c>
      <c r="AM737" s="166">
        <v>0</v>
      </c>
      <c r="AO737" s="166">
        <v>0</v>
      </c>
      <c r="AP737" s="166">
        <v>2</v>
      </c>
      <c r="AQ737" s="166">
        <v>0</v>
      </c>
      <c r="AR737" s="166">
        <v>0</v>
      </c>
      <c r="AS737" s="166">
        <v>0</v>
      </c>
      <c r="AT737" s="166">
        <v>0</v>
      </c>
      <c r="AU737" s="166">
        <v>0</v>
      </c>
      <c r="AV737" s="166">
        <v>0</v>
      </c>
      <c r="AW737" s="166">
        <v>2</v>
      </c>
      <c r="AX737" s="166">
        <v>0</v>
      </c>
      <c r="AY737" s="166">
        <v>0</v>
      </c>
      <c r="AZ737" s="166">
        <v>0</v>
      </c>
      <c r="BA737" s="166">
        <v>0</v>
      </c>
      <c r="BB737" s="166">
        <v>0</v>
      </c>
      <c r="BC737" s="166">
        <v>0</v>
      </c>
      <c r="BD737" s="166">
        <v>0</v>
      </c>
      <c r="BE737" s="166">
        <v>0</v>
      </c>
      <c r="BF737" s="166">
        <v>0</v>
      </c>
      <c r="BG737" s="166">
        <v>0</v>
      </c>
      <c r="BH737" s="166">
        <v>0</v>
      </c>
      <c r="BI737" s="166">
        <v>0</v>
      </c>
      <c r="BJ737" s="166">
        <v>0</v>
      </c>
      <c r="BK737" s="166">
        <v>0</v>
      </c>
      <c r="BL737" s="166">
        <v>0</v>
      </c>
      <c r="BM737" s="166">
        <v>0</v>
      </c>
      <c r="BN737" s="166">
        <v>0</v>
      </c>
      <c r="BO737" s="166">
        <v>0</v>
      </c>
      <c r="BP737" s="166">
        <v>0</v>
      </c>
      <c r="BQ737" s="81" t="s">
        <v>1757</v>
      </c>
      <c r="BZ737" s="81" t="s">
        <v>155</v>
      </c>
      <c r="CA737" s="81" t="s">
        <v>1937</v>
      </c>
      <c r="CC737" s="167">
        <v>0</v>
      </c>
      <c r="CD737" s="167">
        <f>$N737/4</f>
        <v>0.5</v>
      </c>
      <c r="CE737" s="167">
        <f>$N737/4</f>
        <v>0.5</v>
      </c>
      <c r="CF737" s="167">
        <f>$N737/4</f>
        <v>0.5</v>
      </c>
      <c r="CG737" s="167">
        <f>$N737/4</f>
        <v>0.5</v>
      </c>
      <c r="CH737" s="167">
        <v>0</v>
      </c>
      <c r="CI737" s="167">
        <v>0</v>
      </c>
      <c r="CJ737" s="167">
        <v>0</v>
      </c>
      <c r="CK737" s="167">
        <v>0</v>
      </c>
      <c r="CL737" s="167">
        <v>0</v>
      </c>
      <c r="CM737" s="167">
        <v>0</v>
      </c>
      <c r="CN737" s="167">
        <v>0</v>
      </c>
      <c r="CO737" s="167">
        <v>0</v>
      </c>
      <c r="CP737" s="167">
        <v>0</v>
      </c>
      <c r="CQ737" s="167">
        <v>0</v>
      </c>
      <c r="CR737" s="167">
        <v>0</v>
      </c>
      <c r="CS737" s="167">
        <v>0</v>
      </c>
      <c r="CT737" s="167">
        <v>0</v>
      </c>
      <c r="CU737" s="167">
        <v>0</v>
      </c>
      <c r="CV737" s="167">
        <v>0</v>
      </c>
      <c r="CW737" s="167">
        <v>0</v>
      </c>
      <c r="CX737" s="167">
        <f>SUM(CD737:CH737)</f>
        <v>2</v>
      </c>
      <c r="CY737" s="167">
        <f>SUM(CD737:CM737)</f>
        <v>2</v>
      </c>
    </row>
    <row r="738" spans="1:103" ht="12.75" customHeight="1" x14ac:dyDescent="0.2">
      <c r="A738" s="81">
        <v>1912</v>
      </c>
      <c r="B738" s="165" t="s">
        <v>1930</v>
      </c>
      <c r="C738" s="165" t="s">
        <v>2458</v>
      </c>
      <c r="E738" s="165" t="s">
        <v>2459</v>
      </c>
      <c r="G738" s="81">
        <v>528924</v>
      </c>
      <c r="H738" s="81">
        <v>173571</v>
      </c>
      <c r="I738" s="165" t="s">
        <v>247</v>
      </c>
      <c r="L738" s="166">
        <v>0</v>
      </c>
      <c r="M738" s="166">
        <v>8</v>
      </c>
      <c r="N738" s="166">
        <v>8</v>
      </c>
      <c r="O738" s="166">
        <v>8</v>
      </c>
      <c r="P738" s="166">
        <v>8</v>
      </c>
      <c r="R738" s="165" t="s">
        <v>2460</v>
      </c>
      <c r="S738" s="81" t="s">
        <v>113</v>
      </c>
      <c r="T738" s="349">
        <v>42879</v>
      </c>
      <c r="U738" s="349">
        <v>43003</v>
      </c>
      <c r="V738" s="81" t="s">
        <v>155</v>
      </c>
      <c r="W738" s="81" t="s">
        <v>114</v>
      </c>
      <c r="Y738" s="81" t="s">
        <v>115</v>
      </c>
      <c r="Z738" s="81" t="s">
        <v>116</v>
      </c>
      <c r="AA738" s="81" t="s">
        <v>117</v>
      </c>
      <c r="AB738" s="81" t="s">
        <v>218</v>
      </c>
      <c r="AC738" s="166">
        <v>6.8999998271465302E-2</v>
      </c>
      <c r="AG738" s="81" t="s">
        <v>238</v>
      </c>
      <c r="AH738" s="81" t="s">
        <v>118</v>
      </c>
      <c r="AK738" s="166">
        <v>8</v>
      </c>
      <c r="AM738" s="166">
        <v>0</v>
      </c>
      <c r="AO738" s="166">
        <v>0</v>
      </c>
      <c r="AP738" s="166">
        <v>0</v>
      </c>
      <c r="AQ738" s="166">
        <v>0</v>
      </c>
      <c r="AR738" s="166">
        <v>0</v>
      </c>
      <c r="AS738" s="166">
        <v>8</v>
      </c>
      <c r="AT738" s="166">
        <v>0</v>
      </c>
      <c r="AU738" s="166">
        <v>0</v>
      </c>
      <c r="AV738" s="166">
        <v>0</v>
      </c>
      <c r="AW738" s="166">
        <v>0</v>
      </c>
      <c r="AX738" s="166">
        <v>0</v>
      </c>
      <c r="AY738" s="166">
        <v>0</v>
      </c>
      <c r="AZ738" s="166">
        <v>0</v>
      </c>
      <c r="BA738" s="166">
        <v>0</v>
      </c>
      <c r="BB738" s="166">
        <v>0</v>
      </c>
      <c r="BC738" s="166">
        <v>0</v>
      </c>
      <c r="BD738" s="166">
        <v>0</v>
      </c>
      <c r="BE738" s="166">
        <v>0</v>
      </c>
      <c r="BF738" s="166">
        <v>0</v>
      </c>
      <c r="BG738" s="166">
        <v>8</v>
      </c>
      <c r="BH738" s="166">
        <v>0</v>
      </c>
      <c r="BI738" s="166">
        <v>0</v>
      </c>
      <c r="BJ738" s="166">
        <v>0</v>
      </c>
      <c r="BK738" s="166">
        <v>0</v>
      </c>
      <c r="BL738" s="166">
        <v>0</v>
      </c>
      <c r="BM738" s="166">
        <v>0</v>
      </c>
      <c r="BN738" s="166">
        <v>0</v>
      </c>
      <c r="BO738" s="166">
        <v>0</v>
      </c>
      <c r="BP738" s="166">
        <v>0</v>
      </c>
      <c r="BQ738" s="81" t="s">
        <v>1757</v>
      </c>
      <c r="BZ738" s="81" t="s">
        <v>155</v>
      </c>
      <c r="CA738" s="81" t="s">
        <v>3968</v>
      </c>
      <c r="CC738" s="167">
        <v>0</v>
      </c>
      <c r="CD738" s="167">
        <v>0</v>
      </c>
      <c r="CE738" s="167">
        <v>0</v>
      </c>
      <c r="CF738" s="167">
        <v>0</v>
      </c>
      <c r="CG738" s="167">
        <f>$N738/3</f>
        <v>2.6666666666666665</v>
      </c>
      <c r="CH738" s="167">
        <f>$N738/3</f>
        <v>2.6666666666666665</v>
      </c>
      <c r="CI738" s="167">
        <f>$N738/3</f>
        <v>2.6666666666666665</v>
      </c>
      <c r="CJ738" s="167">
        <v>0</v>
      </c>
      <c r="CK738" s="167">
        <v>0</v>
      </c>
      <c r="CL738" s="167">
        <v>0</v>
      </c>
      <c r="CM738" s="167">
        <v>0</v>
      </c>
      <c r="CN738" s="167">
        <v>0</v>
      </c>
      <c r="CO738" s="167">
        <v>0</v>
      </c>
      <c r="CP738" s="167">
        <v>0</v>
      </c>
      <c r="CQ738" s="167">
        <v>0</v>
      </c>
      <c r="CR738" s="167">
        <v>0</v>
      </c>
      <c r="CS738" s="167">
        <v>0</v>
      </c>
      <c r="CT738" s="167">
        <v>0</v>
      </c>
      <c r="CU738" s="167">
        <v>0</v>
      </c>
      <c r="CV738" s="167">
        <v>0</v>
      </c>
      <c r="CW738" s="167">
        <v>0</v>
      </c>
      <c r="CX738" s="167">
        <f>SUM(CD738:CH738)</f>
        <v>5.333333333333333</v>
      </c>
      <c r="CY738" s="167">
        <f>SUM(CD738:CM738)</f>
        <v>8</v>
      </c>
    </row>
    <row r="739" spans="1:103" ht="12.75" customHeight="1" x14ac:dyDescent="0.2">
      <c r="A739" s="81">
        <v>1950</v>
      </c>
      <c r="B739" s="165" t="s">
        <v>1930</v>
      </c>
      <c r="C739" s="165" t="s">
        <v>1462</v>
      </c>
      <c r="D739" s="165" t="s">
        <v>1463</v>
      </c>
      <c r="E739" s="165" t="s">
        <v>2461</v>
      </c>
      <c r="G739" s="81">
        <v>527686</v>
      </c>
      <c r="H739" s="81">
        <v>175796</v>
      </c>
      <c r="I739" s="165" t="s">
        <v>256</v>
      </c>
      <c r="L739" s="166">
        <v>0</v>
      </c>
      <c r="M739" s="166">
        <v>1</v>
      </c>
      <c r="N739" s="166">
        <v>1</v>
      </c>
      <c r="O739" s="166">
        <v>1</v>
      </c>
      <c r="P739" s="166">
        <v>1</v>
      </c>
      <c r="R739" s="165" t="s">
        <v>1464</v>
      </c>
      <c r="S739" s="81" t="s">
        <v>113</v>
      </c>
      <c r="T739" s="349">
        <v>42678</v>
      </c>
      <c r="U739" s="349">
        <v>42759</v>
      </c>
      <c r="W739" s="81" t="s">
        <v>114</v>
      </c>
      <c r="Y739" s="81" t="s">
        <v>115</v>
      </c>
      <c r="Z739" s="81" t="s">
        <v>398</v>
      </c>
      <c r="AA739" s="81" t="s">
        <v>117</v>
      </c>
      <c r="AB739" s="81" t="s">
        <v>218</v>
      </c>
      <c r="AC739" s="166">
        <v>8.0000003799796104E-3</v>
      </c>
      <c r="AG739" s="81" t="s">
        <v>238</v>
      </c>
      <c r="AH739" s="81" t="s">
        <v>118</v>
      </c>
      <c r="AK739" s="166">
        <v>0</v>
      </c>
      <c r="AM739" s="166">
        <v>0</v>
      </c>
      <c r="AO739" s="166">
        <v>0</v>
      </c>
      <c r="AP739" s="166">
        <v>1</v>
      </c>
      <c r="AQ739" s="166">
        <v>0</v>
      </c>
      <c r="AR739" s="166">
        <v>0</v>
      </c>
      <c r="AS739" s="166">
        <v>0</v>
      </c>
      <c r="AT739" s="166">
        <v>0</v>
      </c>
      <c r="AU739" s="166">
        <v>0</v>
      </c>
      <c r="AV739" s="166">
        <v>0</v>
      </c>
      <c r="AW739" s="166">
        <v>1</v>
      </c>
      <c r="AX739" s="166">
        <v>0</v>
      </c>
      <c r="AY739" s="166">
        <v>0</v>
      </c>
      <c r="AZ739" s="166">
        <v>0</v>
      </c>
      <c r="BA739" s="166">
        <v>0</v>
      </c>
      <c r="BB739" s="166">
        <v>0</v>
      </c>
      <c r="BC739" s="166">
        <v>0</v>
      </c>
      <c r="BD739" s="166">
        <v>0</v>
      </c>
      <c r="BE739" s="166">
        <v>0</v>
      </c>
      <c r="BF739" s="166">
        <v>0</v>
      </c>
      <c r="BG739" s="166">
        <v>0</v>
      </c>
      <c r="BH739" s="166">
        <v>0</v>
      </c>
      <c r="BI739" s="166">
        <v>0</v>
      </c>
      <c r="BJ739" s="166">
        <v>0</v>
      </c>
      <c r="BK739" s="166">
        <v>0</v>
      </c>
      <c r="BL739" s="166">
        <v>0</v>
      </c>
      <c r="BM739" s="166">
        <v>0</v>
      </c>
      <c r="BN739" s="166">
        <v>0</v>
      </c>
      <c r="BO739" s="166">
        <v>0</v>
      </c>
      <c r="BP739" s="166">
        <v>0</v>
      </c>
      <c r="BQ739" s="81" t="s">
        <v>1757</v>
      </c>
      <c r="BZ739" s="81" t="s">
        <v>155</v>
      </c>
      <c r="CA739" s="81" t="s">
        <v>1937</v>
      </c>
      <c r="CC739" s="167">
        <v>0</v>
      </c>
      <c r="CD739" s="167">
        <f>$N739/4</f>
        <v>0.25</v>
      </c>
      <c r="CE739" s="167">
        <f>$N739/4</f>
        <v>0.25</v>
      </c>
      <c r="CF739" s="167">
        <f>$N739/4</f>
        <v>0.25</v>
      </c>
      <c r="CG739" s="167">
        <f>$N739/4</f>
        <v>0.25</v>
      </c>
      <c r="CH739" s="167">
        <v>0</v>
      </c>
      <c r="CI739" s="167">
        <v>0</v>
      </c>
      <c r="CJ739" s="167">
        <v>0</v>
      </c>
      <c r="CK739" s="167">
        <v>0</v>
      </c>
      <c r="CL739" s="167">
        <v>0</v>
      </c>
      <c r="CM739" s="167">
        <v>0</v>
      </c>
      <c r="CN739" s="167">
        <v>0</v>
      </c>
      <c r="CO739" s="167">
        <v>0</v>
      </c>
      <c r="CP739" s="167">
        <v>0</v>
      </c>
      <c r="CQ739" s="167">
        <v>0</v>
      </c>
      <c r="CR739" s="167">
        <v>0</v>
      </c>
      <c r="CS739" s="167">
        <v>0</v>
      </c>
      <c r="CT739" s="167">
        <v>0</v>
      </c>
      <c r="CU739" s="167">
        <v>0</v>
      </c>
      <c r="CV739" s="167">
        <v>0</v>
      </c>
      <c r="CW739" s="167">
        <v>0</v>
      </c>
      <c r="CX739" s="167">
        <f>SUM(CD739:CH739)</f>
        <v>1</v>
      </c>
      <c r="CY739" s="167">
        <f>SUM(CD739:CM739)</f>
        <v>1</v>
      </c>
    </row>
    <row r="740" spans="1:103" ht="12.75" customHeight="1" x14ac:dyDescent="0.2">
      <c r="A740" s="81">
        <v>1971</v>
      </c>
      <c r="B740" s="165" t="s">
        <v>1930</v>
      </c>
      <c r="C740" s="165" t="s">
        <v>1558</v>
      </c>
      <c r="E740" s="165" t="s">
        <v>1970</v>
      </c>
      <c r="F740" s="165" t="s">
        <v>1971</v>
      </c>
      <c r="G740" s="81">
        <v>527831</v>
      </c>
      <c r="H740" s="81">
        <v>172116</v>
      </c>
      <c r="I740" s="165" t="s">
        <v>242</v>
      </c>
      <c r="L740" s="166">
        <v>0</v>
      </c>
      <c r="M740" s="166">
        <v>6</v>
      </c>
      <c r="N740" s="166">
        <v>6</v>
      </c>
      <c r="O740" s="166">
        <v>18</v>
      </c>
      <c r="P740" s="166">
        <v>18</v>
      </c>
      <c r="Q740" s="81" t="s">
        <v>155</v>
      </c>
      <c r="R740" s="165" t="s">
        <v>1559</v>
      </c>
      <c r="S740" s="81" t="s">
        <v>104</v>
      </c>
      <c r="T740" s="349">
        <v>42635</v>
      </c>
      <c r="U740" s="349">
        <v>43089</v>
      </c>
      <c r="V740" s="81" t="s">
        <v>155</v>
      </c>
      <c r="W740" s="81" t="s">
        <v>114</v>
      </c>
      <c r="Y740" s="81" t="s">
        <v>115</v>
      </c>
      <c r="Z740" s="81" t="s">
        <v>116</v>
      </c>
      <c r="AA740" s="81" t="s">
        <v>116</v>
      </c>
      <c r="AB740" s="81" t="s">
        <v>117</v>
      </c>
      <c r="AC740" s="166">
        <v>4.1999999433755902E-2</v>
      </c>
      <c r="AG740" s="81" t="s">
        <v>74</v>
      </c>
      <c r="AH740" s="81" t="s">
        <v>990</v>
      </c>
      <c r="AK740" s="166">
        <v>0</v>
      </c>
      <c r="AL740" s="166">
        <v>6</v>
      </c>
      <c r="AM740" s="166">
        <v>0</v>
      </c>
      <c r="AO740" s="166">
        <v>0</v>
      </c>
      <c r="AP740" s="166">
        <v>2</v>
      </c>
      <c r="AQ740" s="166">
        <v>4</v>
      </c>
      <c r="AR740" s="166">
        <v>0</v>
      </c>
      <c r="AS740" s="166">
        <v>0</v>
      </c>
      <c r="AT740" s="166">
        <v>0</v>
      </c>
      <c r="AU740" s="166">
        <v>0</v>
      </c>
      <c r="AV740" s="166">
        <v>0</v>
      </c>
      <c r="AW740" s="166">
        <v>2</v>
      </c>
      <c r="AX740" s="166">
        <v>4</v>
      </c>
      <c r="AY740" s="166">
        <v>0</v>
      </c>
      <c r="AZ740" s="166">
        <v>0</v>
      </c>
      <c r="BA740" s="166">
        <v>0</v>
      </c>
      <c r="BB740" s="166">
        <v>0</v>
      </c>
      <c r="BC740" s="166">
        <v>0</v>
      </c>
      <c r="BD740" s="166">
        <v>0</v>
      </c>
      <c r="BE740" s="166">
        <v>0</v>
      </c>
      <c r="BF740" s="166">
        <v>0</v>
      </c>
      <c r="BG740" s="166">
        <v>0</v>
      </c>
      <c r="BH740" s="166">
        <v>0</v>
      </c>
      <c r="BI740" s="166">
        <v>0</v>
      </c>
      <c r="BJ740" s="166">
        <v>0</v>
      </c>
      <c r="BK740" s="166">
        <v>0</v>
      </c>
      <c r="BL740" s="166">
        <v>0</v>
      </c>
      <c r="BM740" s="166">
        <v>0</v>
      </c>
      <c r="BN740" s="166">
        <v>0</v>
      </c>
      <c r="BO740" s="166">
        <v>0</v>
      </c>
      <c r="BP740" s="166">
        <v>0</v>
      </c>
      <c r="BQ740" s="81" t="s">
        <v>1757</v>
      </c>
      <c r="BZ740" s="81" t="s">
        <v>155</v>
      </c>
      <c r="CA740" s="81" t="s">
        <v>3968</v>
      </c>
      <c r="CC740" s="167">
        <v>0</v>
      </c>
      <c r="CD740" s="167">
        <v>0</v>
      </c>
      <c r="CE740" s="167">
        <v>0</v>
      </c>
      <c r="CF740" s="167">
        <v>0</v>
      </c>
      <c r="CG740" s="167">
        <f>$N740/3</f>
        <v>2</v>
      </c>
      <c r="CH740" s="167">
        <f>$N740/3</f>
        <v>2</v>
      </c>
      <c r="CI740" s="167">
        <f>$N740/3</f>
        <v>2</v>
      </c>
      <c r="CJ740" s="167">
        <v>0</v>
      </c>
      <c r="CK740" s="167">
        <v>0</v>
      </c>
      <c r="CL740" s="167">
        <v>0</v>
      </c>
      <c r="CM740" s="167">
        <v>0</v>
      </c>
      <c r="CN740" s="167">
        <v>0</v>
      </c>
      <c r="CO740" s="167">
        <v>0</v>
      </c>
      <c r="CP740" s="167">
        <v>0</v>
      </c>
      <c r="CQ740" s="167">
        <v>0</v>
      </c>
      <c r="CR740" s="167">
        <v>0</v>
      </c>
      <c r="CS740" s="167">
        <v>0</v>
      </c>
      <c r="CT740" s="167">
        <v>0</v>
      </c>
      <c r="CU740" s="167">
        <v>0</v>
      </c>
      <c r="CV740" s="167">
        <v>0</v>
      </c>
      <c r="CW740" s="167">
        <v>0</v>
      </c>
      <c r="CX740" s="167">
        <f>SUM(CD740:CH740)</f>
        <v>4</v>
      </c>
      <c r="CY740" s="167">
        <f>SUM(CD740:CM740)</f>
        <v>6</v>
      </c>
    </row>
    <row r="741" spans="1:103" ht="12.75" customHeight="1" x14ac:dyDescent="0.2">
      <c r="A741" s="81">
        <v>1971</v>
      </c>
      <c r="B741" s="165" t="s">
        <v>1930</v>
      </c>
      <c r="C741" s="165" t="s">
        <v>1558</v>
      </c>
      <c r="E741" s="165" t="s">
        <v>1970</v>
      </c>
      <c r="F741" s="165" t="s">
        <v>1556</v>
      </c>
      <c r="G741" s="81">
        <v>527831</v>
      </c>
      <c r="H741" s="81">
        <v>172116</v>
      </c>
      <c r="I741" s="165" t="s">
        <v>242</v>
      </c>
      <c r="L741" s="166">
        <v>0</v>
      </c>
      <c r="M741" s="166">
        <v>12</v>
      </c>
      <c r="N741" s="166">
        <v>12</v>
      </c>
      <c r="O741" s="166">
        <v>18</v>
      </c>
      <c r="P741" s="166">
        <v>18</v>
      </c>
      <c r="Q741" s="81" t="s">
        <v>155</v>
      </c>
      <c r="R741" s="165" t="s">
        <v>1559</v>
      </c>
      <c r="S741" s="81" t="s">
        <v>104</v>
      </c>
      <c r="T741" s="349">
        <v>42635</v>
      </c>
      <c r="U741" s="349">
        <v>43089</v>
      </c>
      <c r="V741" s="81" t="s">
        <v>155</v>
      </c>
      <c r="W741" s="81" t="s">
        <v>114</v>
      </c>
      <c r="Y741" s="81" t="s">
        <v>115</v>
      </c>
      <c r="Z741" s="81" t="s">
        <v>116</v>
      </c>
      <c r="AA741" s="81" t="s">
        <v>116</v>
      </c>
      <c r="AB741" s="81" t="s">
        <v>117</v>
      </c>
      <c r="AC741" s="166">
        <v>4.5000001788139302E-2</v>
      </c>
      <c r="AG741" s="81" t="s">
        <v>238</v>
      </c>
      <c r="AH741" s="81" t="s">
        <v>118</v>
      </c>
      <c r="AK741" s="166">
        <v>0</v>
      </c>
      <c r="AL741" s="166">
        <v>9</v>
      </c>
      <c r="AM741" s="166">
        <v>0</v>
      </c>
      <c r="AN741" s="166">
        <v>3</v>
      </c>
      <c r="AO741" s="166">
        <v>0</v>
      </c>
      <c r="AP741" s="166">
        <v>5</v>
      </c>
      <c r="AQ741" s="166">
        <v>6</v>
      </c>
      <c r="AR741" s="166">
        <v>1</v>
      </c>
      <c r="AS741" s="166">
        <v>0</v>
      </c>
      <c r="AT741" s="166">
        <v>0</v>
      </c>
      <c r="AU741" s="166">
        <v>0</v>
      </c>
      <c r="AV741" s="166">
        <v>0</v>
      </c>
      <c r="AW741" s="166">
        <v>5</v>
      </c>
      <c r="AX741" s="166">
        <v>6</v>
      </c>
      <c r="AY741" s="166">
        <v>0</v>
      </c>
      <c r="AZ741" s="166">
        <v>0</v>
      </c>
      <c r="BA741" s="166">
        <v>0</v>
      </c>
      <c r="BB741" s="166">
        <v>0</v>
      </c>
      <c r="BC741" s="166">
        <v>0</v>
      </c>
      <c r="BD741" s="166">
        <v>0</v>
      </c>
      <c r="BE741" s="166">
        <v>0</v>
      </c>
      <c r="BF741" s="166">
        <v>1</v>
      </c>
      <c r="BG741" s="166">
        <v>0</v>
      </c>
      <c r="BH741" s="166">
        <v>0</v>
      </c>
      <c r="BI741" s="166">
        <v>0</v>
      </c>
      <c r="BJ741" s="166">
        <v>0</v>
      </c>
      <c r="BK741" s="166">
        <v>0</v>
      </c>
      <c r="BL741" s="166">
        <v>0</v>
      </c>
      <c r="BM741" s="166">
        <v>0</v>
      </c>
      <c r="BN741" s="166">
        <v>0</v>
      </c>
      <c r="BO741" s="166">
        <v>0</v>
      </c>
      <c r="BP741" s="166">
        <v>0</v>
      </c>
      <c r="BQ741" s="81" t="s">
        <v>1757</v>
      </c>
      <c r="BZ741" s="81" t="s">
        <v>155</v>
      </c>
      <c r="CA741" s="81" t="s">
        <v>3968</v>
      </c>
      <c r="CC741" s="167">
        <v>0</v>
      </c>
      <c r="CD741" s="167">
        <v>0</v>
      </c>
      <c r="CE741" s="167">
        <v>0</v>
      </c>
      <c r="CF741" s="167">
        <v>0</v>
      </c>
      <c r="CG741" s="167">
        <f>$N741/3</f>
        <v>4</v>
      </c>
      <c r="CH741" s="167">
        <f>$N741/3</f>
        <v>4</v>
      </c>
      <c r="CI741" s="167">
        <f>$N741/3</f>
        <v>4</v>
      </c>
      <c r="CJ741" s="167">
        <v>0</v>
      </c>
      <c r="CK741" s="167">
        <v>0</v>
      </c>
      <c r="CL741" s="167">
        <v>0</v>
      </c>
      <c r="CM741" s="167">
        <v>0</v>
      </c>
      <c r="CN741" s="167">
        <v>0</v>
      </c>
      <c r="CO741" s="167">
        <v>0</v>
      </c>
      <c r="CP741" s="167">
        <v>0</v>
      </c>
      <c r="CQ741" s="167">
        <v>0</v>
      </c>
      <c r="CR741" s="167">
        <v>0</v>
      </c>
      <c r="CS741" s="167">
        <v>0</v>
      </c>
      <c r="CT741" s="167">
        <v>0</v>
      </c>
      <c r="CU741" s="167">
        <v>0</v>
      </c>
      <c r="CV741" s="167">
        <v>0</v>
      </c>
      <c r="CW741" s="167">
        <v>0</v>
      </c>
      <c r="CX741" s="167">
        <f>SUM(CD741:CH741)</f>
        <v>8</v>
      </c>
      <c r="CY741" s="167">
        <f>SUM(CD741:CM741)</f>
        <v>12</v>
      </c>
    </row>
    <row r="742" spans="1:103" ht="12.75" customHeight="1" x14ac:dyDescent="0.2">
      <c r="A742" s="81">
        <v>1998</v>
      </c>
      <c r="B742" s="165" t="s">
        <v>1930</v>
      </c>
      <c r="C742" s="165" t="s">
        <v>2462</v>
      </c>
      <c r="E742" s="165" t="s">
        <v>2043</v>
      </c>
      <c r="G742" s="81">
        <v>529304</v>
      </c>
      <c r="H742" s="81">
        <v>172598</v>
      </c>
      <c r="I742" s="165" t="s">
        <v>248</v>
      </c>
      <c r="L742" s="166">
        <v>0</v>
      </c>
      <c r="M742" s="166">
        <v>1</v>
      </c>
      <c r="N742" s="166">
        <v>1</v>
      </c>
      <c r="O742" s="166">
        <v>1</v>
      </c>
      <c r="P742" s="166">
        <v>1</v>
      </c>
      <c r="R742" s="165" t="s">
        <v>2463</v>
      </c>
      <c r="S742" s="81" t="s">
        <v>113</v>
      </c>
      <c r="T742" s="349">
        <v>42814</v>
      </c>
      <c r="U742" s="349">
        <v>42919</v>
      </c>
      <c r="V742" s="81" t="s">
        <v>155</v>
      </c>
      <c r="W742" s="81" t="s">
        <v>114</v>
      </c>
      <c r="Y742" s="81" t="s">
        <v>115</v>
      </c>
      <c r="Z742" s="81" t="s">
        <v>116</v>
      </c>
      <c r="AA742" s="81" t="s">
        <v>117</v>
      </c>
      <c r="AB742" s="81" t="s">
        <v>218</v>
      </c>
      <c r="AC742" s="166">
        <v>6.5999999642372104E-2</v>
      </c>
      <c r="AG742" s="81" t="s">
        <v>238</v>
      </c>
      <c r="AH742" s="81" t="s">
        <v>118</v>
      </c>
      <c r="AK742" s="166">
        <v>0</v>
      </c>
      <c r="AM742" s="166">
        <v>0</v>
      </c>
      <c r="AO742" s="166">
        <v>0</v>
      </c>
      <c r="AP742" s="166">
        <v>0</v>
      </c>
      <c r="AQ742" s="166">
        <v>0</v>
      </c>
      <c r="AR742" s="166">
        <v>0</v>
      </c>
      <c r="AS742" s="166">
        <v>1</v>
      </c>
      <c r="AT742" s="166">
        <v>0</v>
      </c>
      <c r="AU742" s="166">
        <v>0</v>
      </c>
      <c r="AV742" s="166">
        <v>0</v>
      </c>
      <c r="AW742" s="166">
        <v>0</v>
      </c>
      <c r="AX742" s="166">
        <v>0</v>
      </c>
      <c r="AY742" s="166">
        <v>0</v>
      </c>
      <c r="AZ742" s="166">
        <v>0</v>
      </c>
      <c r="BA742" s="166">
        <v>0</v>
      </c>
      <c r="BB742" s="166">
        <v>0</v>
      </c>
      <c r="BC742" s="166">
        <v>0</v>
      </c>
      <c r="BD742" s="166">
        <v>0</v>
      </c>
      <c r="BE742" s="166">
        <v>0</v>
      </c>
      <c r="BF742" s="166">
        <v>0</v>
      </c>
      <c r="BG742" s="166">
        <v>1</v>
      </c>
      <c r="BH742" s="166">
        <v>0</v>
      </c>
      <c r="BI742" s="166">
        <v>0</v>
      </c>
      <c r="BJ742" s="166">
        <v>0</v>
      </c>
      <c r="BK742" s="166">
        <v>0</v>
      </c>
      <c r="BL742" s="166">
        <v>0</v>
      </c>
      <c r="BM742" s="166">
        <v>0</v>
      </c>
      <c r="BN742" s="166">
        <v>0</v>
      </c>
      <c r="BO742" s="166">
        <v>0</v>
      </c>
      <c r="BP742" s="166">
        <v>0</v>
      </c>
      <c r="BQ742" s="81" t="s">
        <v>1757</v>
      </c>
      <c r="BZ742" s="81" t="s">
        <v>155</v>
      </c>
      <c r="CA742" s="81">
        <v>4</v>
      </c>
      <c r="CC742" s="167">
        <v>0</v>
      </c>
      <c r="CD742" s="167">
        <v>0</v>
      </c>
      <c r="CE742" s="167">
        <f>$N742/4</f>
        <v>0.25</v>
      </c>
      <c r="CF742" s="167">
        <f>$N742/4</f>
        <v>0.25</v>
      </c>
      <c r="CG742" s="167">
        <f>$N742/4</f>
        <v>0.25</v>
      </c>
      <c r="CH742" s="167">
        <f>$N742/4</f>
        <v>0.25</v>
      </c>
      <c r="CI742" s="167">
        <v>0</v>
      </c>
      <c r="CJ742" s="167">
        <v>0</v>
      </c>
      <c r="CK742" s="167">
        <v>0</v>
      </c>
      <c r="CL742" s="167">
        <v>0</v>
      </c>
      <c r="CM742" s="167">
        <v>0</v>
      </c>
      <c r="CN742" s="167">
        <v>0</v>
      </c>
      <c r="CO742" s="167">
        <v>0</v>
      </c>
      <c r="CP742" s="167">
        <v>0</v>
      </c>
      <c r="CQ742" s="167">
        <v>0</v>
      </c>
      <c r="CR742" s="167">
        <v>0</v>
      </c>
      <c r="CS742" s="167">
        <v>0</v>
      </c>
      <c r="CT742" s="167">
        <v>0</v>
      </c>
      <c r="CU742" s="167">
        <v>0</v>
      </c>
      <c r="CV742" s="167">
        <v>0</v>
      </c>
      <c r="CW742" s="167">
        <v>0</v>
      </c>
      <c r="CX742" s="167">
        <f>SUM(CD742:CH742)</f>
        <v>1</v>
      </c>
      <c r="CY742" s="167">
        <f>SUM(CD742:CM742)</f>
        <v>1</v>
      </c>
    </row>
    <row r="743" spans="1:103" ht="12.75" customHeight="1" x14ac:dyDescent="0.2">
      <c r="A743" s="81">
        <v>2034</v>
      </c>
      <c r="B743" s="165" t="s">
        <v>1930</v>
      </c>
      <c r="C743" s="165" t="s">
        <v>1206</v>
      </c>
      <c r="E743" s="165" t="s">
        <v>2456</v>
      </c>
      <c r="G743" s="81">
        <v>528686</v>
      </c>
      <c r="H743" s="81">
        <v>177627</v>
      </c>
      <c r="I743" s="165" t="s">
        <v>240</v>
      </c>
      <c r="L743" s="166">
        <v>2</v>
      </c>
      <c r="M743" s="166">
        <v>1</v>
      </c>
      <c r="N743" s="166">
        <v>-1</v>
      </c>
      <c r="O743" s="166">
        <v>1</v>
      </c>
      <c r="P743" s="166">
        <v>-1</v>
      </c>
      <c r="R743" s="165" t="s">
        <v>1207</v>
      </c>
      <c r="S743" s="81" t="s">
        <v>113</v>
      </c>
      <c r="T743" s="349">
        <v>42502</v>
      </c>
      <c r="U743" s="349">
        <v>42528</v>
      </c>
      <c r="W743" s="81" t="s">
        <v>114</v>
      </c>
      <c r="Y743" s="81" t="s">
        <v>115</v>
      </c>
      <c r="Z743" s="81" t="s">
        <v>119</v>
      </c>
      <c r="AA743" s="81" t="s">
        <v>117</v>
      </c>
      <c r="AB743" s="81" t="s">
        <v>300</v>
      </c>
      <c r="AC743" s="166">
        <v>1.60000007599592E-2</v>
      </c>
      <c r="AG743" s="81" t="s">
        <v>238</v>
      </c>
      <c r="AH743" s="81" t="s">
        <v>118</v>
      </c>
      <c r="AK743" s="166">
        <v>0</v>
      </c>
      <c r="AM743" s="166">
        <v>0</v>
      </c>
      <c r="AO743" s="166">
        <v>0</v>
      </c>
      <c r="AP743" s="166">
        <v>-1</v>
      </c>
      <c r="AQ743" s="166">
        <v>-1</v>
      </c>
      <c r="AR743" s="166">
        <v>1</v>
      </c>
      <c r="AS743" s="166">
        <v>0</v>
      </c>
      <c r="AT743" s="166">
        <v>0</v>
      </c>
      <c r="AU743" s="166">
        <v>0</v>
      </c>
      <c r="AV743" s="166">
        <v>0</v>
      </c>
      <c r="AW743" s="166">
        <v>-1</v>
      </c>
      <c r="AX743" s="166">
        <v>-1</v>
      </c>
      <c r="AY743" s="166">
        <v>1</v>
      </c>
      <c r="AZ743" s="166">
        <v>0</v>
      </c>
      <c r="BA743" s="166">
        <v>0</v>
      </c>
      <c r="BB743" s="166">
        <v>0</v>
      </c>
      <c r="BC743" s="166">
        <v>0</v>
      </c>
      <c r="BD743" s="166">
        <v>0</v>
      </c>
      <c r="BE743" s="166">
        <v>0</v>
      </c>
      <c r="BF743" s="166">
        <v>0</v>
      </c>
      <c r="BG743" s="166">
        <v>0</v>
      </c>
      <c r="BH743" s="166">
        <v>0</v>
      </c>
      <c r="BI743" s="166">
        <v>0</v>
      </c>
      <c r="BJ743" s="166">
        <v>0</v>
      </c>
      <c r="BK743" s="166">
        <v>0</v>
      </c>
      <c r="BL743" s="166">
        <v>0</v>
      </c>
      <c r="BM743" s="166">
        <v>0</v>
      </c>
      <c r="BN743" s="166">
        <v>0</v>
      </c>
      <c r="BO743" s="166">
        <v>0</v>
      </c>
      <c r="BP743" s="166">
        <v>0</v>
      </c>
      <c r="BQ743" s="81" t="s">
        <v>1759</v>
      </c>
      <c r="BS743" s="81" t="s">
        <v>155</v>
      </c>
      <c r="BZ743" s="81" t="s">
        <v>155</v>
      </c>
      <c r="CA743" s="81" t="s">
        <v>1937</v>
      </c>
      <c r="CC743" s="167">
        <v>0</v>
      </c>
      <c r="CD743" s="167">
        <f>$N743/4</f>
        <v>-0.25</v>
      </c>
      <c r="CE743" s="167">
        <f>$N743/4</f>
        <v>-0.25</v>
      </c>
      <c r="CF743" s="167">
        <f>$N743/4</f>
        <v>-0.25</v>
      </c>
      <c r="CG743" s="167">
        <f>$N743/4</f>
        <v>-0.25</v>
      </c>
      <c r="CH743" s="167">
        <v>0</v>
      </c>
      <c r="CI743" s="167">
        <v>0</v>
      </c>
      <c r="CJ743" s="167">
        <v>0</v>
      </c>
      <c r="CK743" s="167">
        <v>0</v>
      </c>
      <c r="CL743" s="167">
        <v>0</v>
      </c>
      <c r="CM743" s="167">
        <v>0</v>
      </c>
      <c r="CN743" s="167">
        <v>0</v>
      </c>
      <c r="CO743" s="167">
        <v>0</v>
      </c>
      <c r="CP743" s="167">
        <v>0</v>
      </c>
      <c r="CQ743" s="167">
        <v>0</v>
      </c>
      <c r="CR743" s="167">
        <v>0</v>
      </c>
      <c r="CS743" s="167">
        <v>0</v>
      </c>
      <c r="CT743" s="167">
        <v>0</v>
      </c>
      <c r="CU743" s="167">
        <v>0</v>
      </c>
      <c r="CV743" s="167">
        <v>0</v>
      </c>
      <c r="CW743" s="167">
        <v>0</v>
      </c>
      <c r="CX743" s="167">
        <f>SUM(CD743:CH743)</f>
        <v>-1</v>
      </c>
      <c r="CY743" s="167">
        <f>SUM(CD743:CM743)</f>
        <v>-1</v>
      </c>
    </row>
    <row r="744" spans="1:103" ht="12.75" customHeight="1" x14ac:dyDescent="0.2">
      <c r="A744" s="81">
        <v>2059</v>
      </c>
      <c r="B744" s="165" t="s">
        <v>1930</v>
      </c>
      <c r="C744" s="165" t="s">
        <v>1646</v>
      </c>
      <c r="E744" s="165" t="s">
        <v>2465</v>
      </c>
      <c r="G744" s="81">
        <v>523779</v>
      </c>
      <c r="H744" s="81">
        <v>172570</v>
      </c>
      <c r="I744" s="165" t="s">
        <v>111</v>
      </c>
      <c r="L744" s="166">
        <v>0</v>
      </c>
      <c r="M744" s="166">
        <v>2</v>
      </c>
      <c r="N744" s="166">
        <v>2</v>
      </c>
      <c r="O744" s="166">
        <v>2</v>
      </c>
      <c r="P744" s="166">
        <v>2</v>
      </c>
      <c r="R744" s="165" t="s">
        <v>1647</v>
      </c>
      <c r="S744" s="81" t="s">
        <v>292</v>
      </c>
      <c r="T744" s="349">
        <v>42797</v>
      </c>
      <c r="U744" s="349">
        <v>42971</v>
      </c>
      <c r="V744" s="81" t="s">
        <v>155</v>
      </c>
      <c r="W744" s="81" t="s">
        <v>114</v>
      </c>
      <c r="Y744" s="81" t="s">
        <v>397</v>
      </c>
      <c r="Z744" s="81" t="s">
        <v>116</v>
      </c>
      <c r="AA744" s="81" t="s">
        <v>117</v>
      </c>
      <c r="AB744" s="81" t="s">
        <v>218</v>
      </c>
      <c r="AC744" s="166">
        <v>0.119999997317791</v>
      </c>
      <c r="AG744" s="81" t="s">
        <v>238</v>
      </c>
      <c r="AH744" s="81" t="s">
        <v>118</v>
      </c>
      <c r="AK744" s="166">
        <v>2</v>
      </c>
      <c r="AM744" s="166">
        <v>0</v>
      </c>
      <c r="AO744" s="166">
        <v>0</v>
      </c>
      <c r="AP744" s="166">
        <v>0</v>
      </c>
      <c r="AQ744" s="166">
        <v>0</v>
      </c>
      <c r="AR744" s="166">
        <v>0</v>
      </c>
      <c r="AS744" s="166">
        <v>2</v>
      </c>
      <c r="AT744" s="166">
        <v>0</v>
      </c>
      <c r="AU744" s="166">
        <v>0</v>
      </c>
      <c r="AV744" s="166">
        <v>0</v>
      </c>
      <c r="AW744" s="166">
        <v>0</v>
      </c>
      <c r="AX744" s="166">
        <v>0</v>
      </c>
      <c r="AY744" s="166">
        <v>0</v>
      </c>
      <c r="AZ744" s="166">
        <v>0</v>
      </c>
      <c r="BA744" s="166">
        <v>0</v>
      </c>
      <c r="BB744" s="166">
        <v>0</v>
      </c>
      <c r="BC744" s="166">
        <v>0</v>
      </c>
      <c r="BD744" s="166">
        <v>0</v>
      </c>
      <c r="BE744" s="166">
        <v>0</v>
      </c>
      <c r="BF744" s="166">
        <v>0</v>
      </c>
      <c r="BG744" s="166">
        <v>2</v>
      </c>
      <c r="BH744" s="166">
        <v>0</v>
      </c>
      <c r="BI744" s="166">
        <v>0</v>
      </c>
      <c r="BJ744" s="166">
        <v>0</v>
      </c>
      <c r="BK744" s="166">
        <v>0</v>
      </c>
      <c r="BL744" s="166">
        <v>0</v>
      </c>
      <c r="BM744" s="166">
        <v>0</v>
      </c>
      <c r="BN744" s="166">
        <v>0</v>
      </c>
      <c r="BO744" s="166">
        <v>0</v>
      </c>
      <c r="BP744" s="166">
        <v>0</v>
      </c>
      <c r="BQ744" s="81" t="s">
        <v>1758</v>
      </c>
      <c r="BZ744" s="81" t="s">
        <v>155</v>
      </c>
      <c r="CA744" s="81">
        <v>4</v>
      </c>
      <c r="CC744" s="167">
        <v>0</v>
      </c>
      <c r="CD744" s="167">
        <v>0</v>
      </c>
      <c r="CE744" s="167">
        <f>$N744/4</f>
        <v>0.5</v>
      </c>
      <c r="CF744" s="167">
        <f>$N744/4</f>
        <v>0.5</v>
      </c>
      <c r="CG744" s="167">
        <f>$N744/4</f>
        <v>0.5</v>
      </c>
      <c r="CH744" s="167">
        <f>$N744/4</f>
        <v>0.5</v>
      </c>
      <c r="CI744" s="167">
        <v>0</v>
      </c>
      <c r="CJ744" s="167">
        <v>0</v>
      </c>
      <c r="CK744" s="167">
        <v>0</v>
      </c>
      <c r="CL744" s="167">
        <v>0</v>
      </c>
      <c r="CM744" s="167">
        <v>0</v>
      </c>
      <c r="CN744" s="167">
        <v>0</v>
      </c>
      <c r="CO744" s="167">
        <v>0</v>
      </c>
      <c r="CP744" s="167">
        <v>0</v>
      </c>
      <c r="CQ744" s="167">
        <v>0</v>
      </c>
      <c r="CR744" s="167">
        <v>0</v>
      </c>
      <c r="CS744" s="167">
        <v>0</v>
      </c>
      <c r="CT744" s="167">
        <v>0</v>
      </c>
      <c r="CU744" s="167">
        <v>0</v>
      </c>
      <c r="CV744" s="167">
        <v>0</v>
      </c>
      <c r="CW744" s="167">
        <v>0</v>
      </c>
      <c r="CX744" s="167">
        <f>SUM(CD744:CH744)</f>
        <v>2</v>
      </c>
      <c r="CY744" s="167">
        <f>SUM(CD744:CM744)</f>
        <v>2</v>
      </c>
    </row>
    <row r="745" spans="1:103" ht="12.75" customHeight="1" x14ac:dyDescent="0.2">
      <c r="A745" s="81">
        <v>2088</v>
      </c>
      <c r="B745" s="165" t="s">
        <v>1930</v>
      </c>
      <c r="C745" s="165" t="s">
        <v>2466</v>
      </c>
      <c r="E745" s="165" t="s">
        <v>2467</v>
      </c>
      <c r="F745" s="165" t="s">
        <v>2468</v>
      </c>
      <c r="G745" s="81">
        <v>527545</v>
      </c>
      <c r="H745" s="81">
        <v>170687</v>
      </c>
      <c r="I745" s="165" t="s">
        <v>253</v>
      </c>
      <c r="L745" s="166">
        <v>0</v>
      </c>
      <c r="M745" s="166">
        <v>5</v>
      </c>
      <c r="N745" s="166">
        <v>5</v>
      </c>
      <c r="O745" s="166">
        <v>9</v>
      </c>
      <c r="P745" s="166">
        <v>9</v>
      </c>
      <c r="R745" s="165" t="s">
        <v>2469</v>
      </c>
      <c r="S745" s="81" t="s">
        <v>113</v>
      </c>
      <c r="T745" s="349">
        <v>42927</v>
      </c>
      <c r="U745" s="349">
        <v>43063</v>
      </c>
      <c r="V745" s="81" t="s">
        <v>155</v>
      </c>
      <c r="W745" s="81" t="s">
        <v>114</v>
      </c>
      <c r="Y745" s="81" t="s">
        <v>115</v>
      </c>
      <c r="Z745" s="81" t="s">
        <v>116</v>
      </c>
      <c r="AA745" s="81" t="s">
        <v>117</v>
      </c>
      <c r="AB745" s="81" t="s">
        <v>218</v>
      </c>
      <c r="AC745" s="166">
        <v>3.9000000804662698E-2</v>
      </c>
      <c r="AG745" s="81" t="s">
        <v>238</v>
      </c>
      <c r="AH745" s="81" t="s">
        <v>118</v>
      </c>
      <c r="AK745" s="166">
        <v>0</v>
      </c>
      <c r="AM745" s="166">
        <v>0</v>
      </c>
      <c r="AO745" s="166">
        <v>0</v>
      </c>
      <c r="AP745" s="166">
        <v>0</v>
      </c>
      <c r="AQ745" s="166">
        <v>5</v>
      </c>
      <c r="AR745" s="166">
        <v>0</v>
      </c>
      <c r="AS745" s="166">
        <v>0</v>
      </c>
      <c r="AT745" s="166">
        <v>0</v>
      </c>
      <c r="AU745" s="166">
        <v>0</v>
      </c>
      <c r="AV745" s="166">
        <v>0</v>
      </c>
      <c r="AW745" s="166">
        <v>0</v>
      </c>
      <c r="AX745" s="166">
        <v>5</v>
      </c>
      <c r="AY745" s="166">
        <v>0</v>
      </c>
      <c r="AZ745" s="166">
        <v>0</v>
      </c>
      <c r="BA745" s="166">
        <v>0</v>
      </c>
      <c r="BB745" s="166">
        <v>0</v>
      </c>
      <c r="BC745" s="166">
        <v>0</v>
      </c>
      <c r="BD745" s="166">
        <v>0</v>
      </c>
      <c r="BE745" s="166">
        <v>0</v>
      </c>
      <c r="BF745" s="166">
        <v>0</v>
      </c>
      <c r="BG745" s="166">
        <v>0</v>
      </c>
      <c r="BH745" s="166">
        <v>0</v>
      </c>
      <c r="BI745" s="166">
        <v>0</v>
      </c>
      <c r="BJ745" s="166">
        <v>0</v>
      </c>
      <c r="BK745" s="166">
        <v>0</v>
      </c>
      <c r="BL745" s="166">
        <v>0</v>
      </c>
      <c r="BM745" s="166">
        <v>0</v>
      </c>
      <c r="BN745" s="166">
        <v>0</v>
      </c>
      <c r="BO745" s="166">
        <v>0</v>
      </c>
      <c r="BP745" s="166">
        <v>0</v>
      </c>
      <c r="BQ745" s="81" t="s">
        <v>1757</v>
      </c>
      <c r="BZ745" s="81" t="s">
        <v>155</v>
      </c>
      <c r="CA745" s="81" t="s">
        <v>3968</v>
      </c>
      <c r="CC745" s="167">
        <v>0</v>
      </c>
      <c r="CD745" s="167">
        <v>0</v>
      </c>
      <c r="CE745" s="167">
        <v>0</v>
      </c>
      <c r="CF745" s="167">
        <v>0</v>
      </c>
      <c r="CG745" s="167">
        <f>$N745/3</f>
        <v>1.6666666666666667</v>
      </c>
      <c r="CH745" s="167">
        <f>$N745/3</f>
        <v>1.6666666666666667</v>
      </c>
      <c r="CI745" s="167">
        <f>$N745/3</f>
        <v>1.6666666666666667</v>
      </c>
      <c r="CJ745" s="167">
        <v>0</v>
      </c>
      <c r="CK745" s="167">
        <v>0</v>
      </c>
      <c r="CL745" s="167">
        <v>0</v>
      </c>
      <c r="CM745" s="167">
        <v>0</v>
      </c>
      <c r="CN745" s="167">
        <v>0</v>
      </c>
      <c r="CO745" s="167">
        <v>0</v>
      </c>
      <c r="CP745" s="167">
        <v>0</v>
      </c>
      <c r="CQ745" s="167">
        <v>0</v>
      </c>
      <c r="CR745" s="167">
        <v>0</v>
      </c>
      <c r="CS745" s="167">
        <v>0</v>
      </c>
      <c r="CT745" s="167">
        <v>0</v>
      </c>
      <c r="CU745" s="167">
        <v>0</v>
      </c>
      <c r="CV745" s="167">
        <v>0</v>
      </c>
      <c r="CW745" s="167">
        <v>0</v>
      </c>
      <c r="CX745" s="167">
        <f>SUM(CD745:CH745)</f>
        <v>3.3333333333333335</v>
      </c>
      <c r="CY745" s="167">
        <f>SUM(CD745:CM745)</f>
        <v>5</v>
      </c>
    </row>
    <row r="746" spans="1:103" ht="12.75" customHeight="1" x14ac:dyDescent="0.2">
      <c r="A746" s="81">
        <v>2088</v>
      </c>
      <c r="B746" s="165" t="s">
        <v>1930</v>
      </c>
      <c r="C746" s="165" t="s">
        <v>2466</v>
      </c>
      <c r="E746" s="165" t="s">
        <v>2467</v>
      </c>
      <c r="F746" s="165" t="s">
        <v>2470</v>
      </c>
      <c r="G746" s="81">
        <v>527545</v>
      </c>
      <c r="H746" s="81">
        <v>170687</v>
      </c>
      <c r="I746" s="165" t="s">
        <v>253</v>
      </c>
      <c r="L746" s="166">
        <v>0</v>
      </c>
      <c r="M746" s="166">
        <v>4</v>
      </c>
      <c r="N746" s="166">
        <v>4</v>
      </c>
      <c r="O746" s="166">
        <v>9</v>
      </c>
      <c r="P746" s="166">
        <v>9</v>
      </c>
      <c r="R746" s="165" t="s">
        <v>2469</v>
      </c>
      <c r="S746" s="81" t="s">
        <v>113</v>
      </c>
      <c r="T746" s="349">
        <v>42927</v>
      </c>
      <c r="U746" s="349">
        <v>43063</v>
      </c>
      <c r="V746" s="81" t="s">
        <v>155</v>
      </c>
      <c r="W746" s="81" t="s">
        <v>114</v>
      </c>
      <c r="Y746" s="81" t="s">
        <v>115</v>
      </c>
      <c r="Z746" s="81" t="s">
        <v>116</v>
      </c>
      <c r="AA746" s="81" t="s">
        <v>117</v>
      </c>
      <c r="AB746" s="81" t="s">
        <v>218</v>
      </c>
      <c r="AC746" s="166">
        <v>3.0999999493360499E-2</v>
      </c>
      <c r="AG746" s="81" t="s">
        <v>238</v>
      </c>
      <c r="AH746" s="81" t="s">
        <v>118</v>
      </c>
      <c r="AK746" s="166">
        <v>0</v>
      </c>
      <c r="AM746" s="166">
        <v>0</v>
      </c>
      <c r="AO746" s="166">
        <v>0</v>
      </c>
      <c r="AP746" s="166">
        <v>1</v>
      </c>
      <c r="AQ746" s="166">
        <v>3</v>
      </c>
      <c r="AR746" s="166">
        <v>0</v>
      </c>
      <c r="AS746" s="166">
        <v>0</v>
      </c>
      <c r="AT746" s="166">
        <v>0</v>
      </c>
      <c r="AU746" s="166">
        <v>0</v>
      </c>
      <c r="AV746" s="166">
        <v>0</v>
      </c>
      <c r="AW746" s="166">
        <v>1</v>
      </c>
      <c r="AX746" s="166">
        <v>3</v>
      </c>
      <c r="AY746" s="166">
        <v>0</v>
      </c>
      <c r="AZ746" s="166">
        <v>0</v>
      </c>
      <c r="BA746" s="166">
        <v>0</v>
      </c>
      <c r="BB746" s="166">
        <v>0</v>
      </c>
      <c r="BC746" s="166">
        <v>0</v>
      </c>
      <c r="BD746" s="166">
        <v>0</v>
      </c>
      <c r="BE746" s="166">
        <v>0</v>
      </c>
      <c r="BF746" s="166">
        <v>0</v>
      </c>
      <c r="BG746" s="166">
        <v>0</v>
      </c>
      <c r="BH746" s="166">
        <v>0</v>
      </c>
      <c r="BI746" s="166">
        <v>0</v>
      </c>
      <c r="BJ746" s="166">
        <v>0</v>
      </c>
      <c r="BK746" s="166">
        <v>0</v>
      </c>
      <c r="BL746" s="166">
        <v>0</v>
      </c>
      <c r="BM746" s="166">
        <v>0</v>
      </c>
      <c r="BN746" s="166">
        <v>0</v>
      </c>
      <c r="BO746" s="166">
        <v>0</v>
      </c>
      <c r="BP746" s="166">
        <v>0</v>
      </c>
      <c r="BQ746" s="81" t="s">
        <v>1757</v>
      </c>
      <c r="BZ746" s="81" t="s">
        <v>155</v>
      </c>
      <c r="CA746" s="81" t="s">
        <v>3968</v>
      </c>
      <c r="CC746" s="167">
        <v>0</v>
      </c>
      <c r="CD746" s="167">
        <v>0</v>
      </c>
      <c r="CE746" s="167">
        <v>0</v>
      </c>
      <c r="CF746" s="167">
        <v>0</v>
      </c>
      <c r="CG746" s="167">
        <f>$N746/3</f>
        <v>1.3333333333333333</v>
      </c>
      <c r="CH746" s="167">
        <f>$N746/3</f>
        <v>1.3333333333333333</v>
      </c>
      <c r="CI746" s="167">
        <f>$N746/3</f>
        <v>1.3333333333333333</v>
      </c>
      <c r="CJ746" s="167">
        <v>0</v>
      </c>
      <c r="CK746" s="167">
        <v>0</v>
      </c>
      <c r="CL746" s="167">
        <v>0</v>
      </c>
      <c r="CM746" s="167">
        <v>0</v>
      </c>
      <c r="CN746" s="167">
        <v>0</v>
      </c>
      <c r="CO746" s="167">
        <v>0</v>
      </c>
      <c r="CP746" s="167">
        <v>0</v>
      </c>
      <c r="CQ746" s="167">
        <v>0</v>
      </c>
      <c r="CR746" s="167">
        <v>0</v>
      </c>
      <c r="CS746" s="167">
        <v>0</v>
      </c>
      <c r="CT746" s="167">
        <v>0</v>
      </c>
      <c r="CU746" s="167">
        <v>0</v>
      </c>
      <c r="CV746" s="167">
        <v>0</v>
      </c>
      <c r="CW746" s="167">
        <v>0</v>
      </c>
      <c r="CX746" s="167">
        <f>SUM(CD746:CH746)</f>
        <v>2.6666666666666665</v>
      </c>
      <c r="CY746" s="167">
        <f>SUM(CD746:CM746)</f>
        <v>4</v>
      </c>
    </row>
    <row r="747" spans="1:103" ht="12.75" customHeight="1" x14ac:dyDescent="0.2">
      <c r="A747" s="81">
        <v>2202</v>
      </c>
      <c r="B747" s="165" t="s">
        <v>1930</v>
      </c>
      <c r="C747" s="165" t="s">
        <v>1509</v>
      </c>
      <c r="E747" s="165" t="s">
        <v>2046</v>
      </c>
      <c r="G747" s="81">
        <v>528351</v>
      </c>
      <c r="H747" s="81">
        <v>173235</v>
      </c>
      <c r="I747" s="165" t="s">
        <v>254</v>
      </c>
      <c r="L747" s="166">
        <v>0</v>
      </c>
      <c r="M747" s="166">
        <v>1</v>
      </c>
      <c r="N747" s="166">
        <v>1</v>
      </c>
      <c r="O747" s="166">
        <v>1</v>
      </c>
      <c r="P747" s="166">
        <v>1</v>
      </c>
      <c r="R747" s="165" t="s">
        <v>1510</v>
      </c>
      <c r="S747" s="81" t="s">
        <v>113</v>
      </c>
      <c r="T747" s="349">
        <v>42716</v>
      </c>
      <c r="U747" s="349">
        <v>42822</v>
      </c>
      <c r="W747" s="81" t="s">
        <v>114</v>
      </c>
      <c r="Y747" s="81" t="s">
        <v>115</v>
      </c>
      <c r="Z747" s="81" t="s">
        <v>116</v>
      </c>
      <c r="AA747" s="81" t="s">
        <v>117</v>
      </c>
      <c r="AB747" s="81" t="s">
        <v>218</v>
      </c>
      <c r="AC747" s="166">
        <v>8.0000003799796104E-3</v>
      </c>
      <c r="AG747" s="81" t="s">
        <v>238</v>
      </c>
      <c r="AH747" s="81" t="s">
        <v>118</v>
      </c>
      <c r="AK747" s="166">
        <v>1</v>
      </c>
      <c r="AM747" s="166">
        <v>0</v>
      </c>
      <c r="AO747" s="166">
        <v>0</v>
      </c>
      <c r="AP747" s="166">
        <v>0</v>
      </c>
      <c r="AQ747" s="166">
        <v>1</v>
      </c>
      <c r="AR747" s="166">
        <v>0</v>
      </c>
      <c r="AS747" s="166">
        <v>0</v>
      </c>
      <c r="AT747" s="166">
        <v>0</v>
      </c>
      <c r="AU747" s="166">
        <v>0</v>
      </c>
      <c r="AV747" s="166">
        <v>0</v>
      </c>
      <c r="AW747" s="166">
        <v>0</v>
      </c>
      <c r="AX747" s="166">
        <v>0</v>
      </c>
      <c r="AY747" s="166">
        <v>0</v>
      </c>
      <c r="AZ747" s="166">
        <v>0</v>
      </c>
      <c r="BA747" s="166">
        <v>0</v>
      </c>
      <c r="BB747" s="166">
        <v>0</v>
      </c>
      <c r="BC747" s="166">
        <v>0</v>
      </c>
      <c r="BD747" s="166">
        <v>0</v>
      </c>
      <c r="BE747" s="166">
        <v>1</v>
      </c>
      <c r="BF747" s="166">
        <v>0</v>
      </c>
      <c r="BG747" s="166">
        <v>0</v>
      </c>
      <c r="BH747" s="166">
        <v>0</v>
      </c>
      <c r="BI747" s="166">
        <v>0</v>
      </c>
      <c r="BJ747" s="166">
        <v>0</v>
      </c>
      <c r="BK747" s="166">
        <v>0</v>
      </c>
      <c r="BL747" s="166">
        <v>0</v>
      </c>
      <c r="BM747" s="166">
        <v>0</v>
      </c>
      <c r="BN747" s="166">
        <v>0</v>
      </c>
      <c r="BO747" s="166">
        <v>0</v>
      </c>
      <c r="BP747" s="166">
        <v>0</v>
      </c>
      <c r="BQ747" s="81" t="s">
        <v>1757</v>
      </c>
      <c r="BZ747" s="81" t="s">
        <v>155</v>
      </c>
      <c r="CA747" s="81">
        <v>4</v>
      </c>
      <c r="CC747" s="167">
        <v>0</v>
      </c>
      <c r="CD747" s="167">
        <v>0</v>
      </c>
      <c r="CE747" s="167">
        <f>$N747/4</f>
        <v>0.25</v>
      </c>
      <c r="CF747" s="167">
        <f>$N747/4</f>
        <v>0.25</v>
      </c>
      <c r="CG747" s="167">
        <f>$N747/4</f>
        <v>0.25</v>
      </c>
      <c r="CH747" s="167">
        <f>$N747/4</f>
        <v>0.25</v>
      </c>
      <c r="CI747" s="167">
        <v>0</v>
      </c>
      <c r="CJ747" s="167">
        <v>0</v>
      </c>
      <c r="CK747" s="167">
        <v>0</v>
      </c>
      <c r="CL747" s="167">
        <v>0</v>
      </c>
      <c r="CM747" s="167">
        <v>0</v>
      </c>
      <c r="CN747" s="167">
        <v>0</v>
      </c>
      <c r="CO747" s="167">
        <v>0</v>
      </c>
      <c r="CP747" s="167">
        <v>0</v>
      </c>
      <c r="CQ747" s="167">
        <v>0</v>
      </c>
      <c r="CR747" s="167">
        <v>0</v>
      </c>
      <c r="CS747" s="167">
        <v>0</v>
      </c>
      <c r="CT747" s="167">
        <v>0</v>
      </c>
      <c r="CU747" s="167">
        <v>0</v>
      </c>
      <c r="CV747" s="167">
        <v>0</v>
      </c>
      <c r="CW747" s="167">
        <v>0</v>
      </c>
      <c r="CX747" s="167">
        <f>SUM(CD747:CH747)</f>
        <v>1</v>
      </c>
      <c r="CY747" s="167">
        <f>SUM(CD747:CM747)</f>
        <v>1</v>
      </c>
    </row>
    <row r="748" spans="1:103" ht="12.75" customHeight="1" x14ac:dyDescent="0.2">
      <c r="A748" s="81">
        <v>2258</v>
      </c>
      <c r="B748" s="165" t="s">
        <v>1930</v>
      </c>
      <c r="C748" s="165" t="s">
        <v>1602</v>
      </c>
      <c r="D748" s="165" t="s">
        <v>1603</v>
      </c>
      <c r="E748" s="165" t="s">
        <v>2464</v>
      </c>
      <c r="G748" s="81">
        <v>527574</v>
      </c>
      <c r="H748" s="81">
        <v>171046</v>
      </c>
      <c r="I748" s="165" t="s">
        <v>253</v>
      </c>
      <c r="L748" s="166">
        <v>0</v>
      </c>
      <c r="M748" s="166">
        <v>1</v>
      </c>
      <c r="N748" s="166">
        <v>1</v>
      </c>
      <c r="O748" s="166">
        <v>1</v>
      </c>
      <c r="P748" s="166">
        <v>1</v>
      </c>
      <c r="R748" s="165" t="s">
        <v>1604</v>
      </c>
      <c r="S748" s="81" t="s">
        <v>113</v>
      </c>
      <c r="T748" s="349">
        <v>42760</v>
      </c>
      <c r="U748" s="349">
        <v>42831</v>
      </c>
      <c r="V748" s="81" t="s">
        <v>155</v>
      </c>
      <c r="W748" s="81" t="s">
        <v>114</v>
      </c>
      <c r="Y748" s="81" t="s">
        <v>115</v>
      </c>
      <c r="Z748" s="81" t="s">
        <v>310</v>
      </c>
      <c r="AA748" s="81" t="s">
        <v>117</v>
      </c>
      <c r="AB748" s="81" t="s">
        <v>399</v>
      </c>
      <c r="AC748" s="166">
        <v>6.0000000521540598E-3</v>
      </c>
      <c r="AG748" s="81" t="s">
        <v>238</v>
      </c>
      <c r="AH748" s="81" t="s">
        <v>118</v>
      </c>
      <c r="AK748" s="166">
        <v>0</v>
      </c>
      <c r="AM748" s="166">
        <v>0</v>
      </c>
      <c r="AO748" s="166">
        <v>0</v>
      </c>
      <c r="AP748" s="166">
        <v>1</v>
      </c>
      <c r="AQ748" s="166">
        <v>0</v>
      </c>
      <c r="AR748" s="166">
        <v>0</v>
      </c>
      <c r="AS748" s="166">
        <v>0</v>
      </c>
      <c r="AT748" s="166">
        <v>0</v>
      </c>
      <c r="AU748" s="166">
        <v>0</v>
      </c>
      <c r="AV748" s="166">
        <v>0</v>
      </c>
      <c r="AW748" s="166">
        <v>1</v>
      </c>
      <c r="AX748" s="166">
        <v>0</v>
      </c>
      <c r="AY748" s="166">
        <v>0</v>
      </c>
      <c r="AZ748" s="166">
        <v>0</v>
      </c>
      <c r="BA748" s="166">
        <v>0</v>
      </c>
      <c r="BB748" s="166">
        <v>0</v>
      </c>
      <c r="BC748" s="166">
        <v>0</v>
      </c>
      <c r="BD748" s="166">
        <v>0</v>
      </c>
      <c r="BE748" s="166">
        <v>0</v>
      </c>
      <c r="BF748" s="166">
        <v>0</v>
      </c>
      <c r="BG748" s="166">
        <v>0</v>
      </c>
      <c r="BH748" s="166">
        <v>0</v>
      </c>
      <c r="BI748" s="166">
        <v>0</v>
      </c>
      <c r="BJ748" s="166">
        <v>0</v>
      </c>
      <c r="BK748" s="166">
        <v>0</v>
      </c>
      <c r="BL748" s="166">
        <v>0</v>
      </c>
      <c r="BM748" s="166">
        <v>0</v>
      </c>
      <c r="BN748" s="166">
        <v>0</v>
      </c>
      <c r="BO748" s="166">
        <v>0</v>
      </c>
      <c r="BP748" s="166">
        <v>0</v>
      </c>
      <c r="BQ748" s="81" t="s">
        <v>1757</v>
      </c>
      <c r="BZ748" s="81" t="s">
        <v>155</v>
      </c>
      <c r="CA748" s="81" t="s">
        <v>1937</v>
      </c>
      <c r="CC748" s="167">
        <v>0</v>
      </c>
      <c r="CD748" s="167">
        <f>$N748/4</f>
        <v>0.25</v>
      </c>
      <c r="CE748" s="167">
        <f>$N748/4</f>
        <v>0.25</v>
      </c>
      <c r="CF748" s="167">
        <f>$N748/4</f>
        <v>0.25</v>
      </c>
      <c r="CG748" s="167">
        <f>$N748/4</f>
        <v>0.25</v>
      </c>
      <c r="CH748" s="167">
        <v>0</v>
      </c>
      <c r="CI748" s="167">
        <v>0</v>
      </c>
      <c r="CJ748" s="167">
        <v>0</v>
      </c>
      <c r="CK748" s="167">
        <v>0</v>
      </c>
      <c r="CL748" s="167">
        <v>0</v>
      </c>
      <c r="CM748" s="167">
        <v>0</v>
      </c>
      <c r="CN748" s="167">
        <v>0</v>
      </c>
      <c r="CO748" s="167">
        <v>0</v>
      </c>
      <c r="CP748" s="167">
        <v>0</v>
      </c>
      <c r="CQ748" s="167">
        <v>0</v>
      </c>
      <c r="CR748" s="167">
        <v>0</v>
      </c>
      <c r="CS748" s="167">
        <v>0</v>
      </c>
      <c r="CT748" s="167">
        <v>0</v>
      </c>
      <c r="CU748" s="167">
        <v>0</v>
      </c>
      <c r="CV748" s="167">
        <v>0</v>
      </c>
      <c r="CW748" s="167">
        <v>0</v>
      </c>
      <c r="CX748" s="167">
        <f>SUM(CD748:CH748)</f>
        <v>1</v>
      </c>
      <c r="CY748" s="167">
        <f>SUM(CD748:CM748)</f>
        <v>1</v>
      </c>
    </row>
    <row r="749" spans="1:103" ht="12.75" customHeight="1" x14ac:dyDescent="0.2">
      <c r="A749" s="81">
        <v>2304</v>
      </c>
      <c r="B749" s="165" t="s">
        <v>1930</v>
      </c>
      <c r="C749" s="165" t="s">
        <v>786</v>
      </c>
      <c r="D749" s="165" t="s">
        <v>787</v>
      </c>
      <c r="E749" s="165" t="s">
        <v>2472</v>
      </c>
      <c r="G749" s="81">
        <v>528666</v>
      </c>
      <c r="H749" s="81">
        <v>177450</v>
      </c>
      <c r="I749" s="165" t="s">
        <v>240</v>
      </c>
      <c r="L749" s="166">
        <v>0</v>
      </c>
      <c r="M749" s="166">
        <v>7</v>
      </c>
      <c r="N749" s="166">
        <v>7</v>
      </c>
      <c r="O749" s="166">
        <v>7</v>
      </c>
      <c r="P749" s="166">
        <v>7</v>
      </c>
      <c r="R749" s="165" t="s">
        <v>788</v>
      </c>
      <c r="S749" s="81" t="s">
        <v>104</v>
      </c>
      <c r="T749" s="349">
        <v>42296</v>
      </c>
      <c r="U749" s="349">
        <v>42465</v>
      </c>
      <c r="W749" s="81" t="s">
        <v>114</v>
      </c>
      <c r="Y749" s="81" t="s">
        <v>115</v>
      </c>
      <c r="Z749" s="81" t="s">
        <v>310</v>
      </c>
      <c r="AA749" s="81" t="s">
        <v>117</v>
      </c>
      <c r="AB749" s="81" t="s">
        <v>399</v>
      </c>
      <c r="AC749" s="166">
        <v>5.9000000357627903E-2</v>
      </c>
      <c r="AG749" s="81" t="s">
        <v>238</v>
      </c>
      <c r="AH749" s="81" t="s">
        <v>118</v>
      </c>
      <c r="AK749" s="166">
        <v>7</v>
      </c>
      <c r="AM749" s="166">
        <v>0</v>
      </c>
      <c r="AO749" s="166">
        <v>0</v>
      </c>
      <c r="AP749" s="166">
        <v>3</v>
      </c>
      <c r="AQ749" s="166">
        <v>4</v>
      </c>
      <c r="AR749" s="166">
        <v>0</v>
      </c>
      <c r="AS749" s="166">
        <v>0</v>
      </c>
      <c r="AT749" s="166">
        <v>0</v>
      </c>
      <c r="AU749" s="166">
        <v>0</v>
      </c>
      <c r="AV749" s="166">
        <v>0</v>
      </c>
      <c r="AW749" s="166">
        <v>3</v>
      </c>
      <c r="AX749" s="166">
        <v>4</v>
      </c>
      <c r="AY749" s="166">
        <v>0</v>
      </c>
      <c r="AZ749" s="166">
        <v>0</v>
      </c>
      <c r="BA749" s="166">
        <v>0</v>
      </c>
      <c r="BB749" s="166">
        <v>0</v>
      </c>
      <c r="BC749" s="166">
        <v>0</v>
      </c>
      <c r="BD749" s="166">
        <v>0</v>
      </c>
      <c r="BE749" s="166">
        <v>0</v>
      </c>
      <c r="BF749" s="166">
        <v>0</v>
      </c>
      <c r="BG749" s="166">
        <v>0</v>
      </c>
      <c r="BH749" s="166">
        <v>0</v>
      </c>
      <c r="BI749" s="166">
        <v>0</v>
      </c>
      <c r="BJ749" s="166">
        <v>0</v>
      </c>
      <c r="BK749" s="166">
        <v>0</v>
      </c>
      <c r="BL749" s="166">
        <v>0</v>
      </c>
      <c r="BM749" s="166">
        <v>0</v>
      </c>
      <c r="BN749" s="166">
        <v>0</v>
      </c>
      <c r="BO749" s="166">
        <v>0</v>
      </c>
      <c r="BP749" s="166">
        <v>0</v>
      </c>
      <c r="BQ749" s="81" t="s">
        <v>1759</v>
      </c>
      <c r="BS749" s="81" t="s">
        <v>155</v>
      </c>
      <c r="BZ749" s="81" t="s">
        <v>155</v>
      </c>
      <c r="CA749" s="81" t="s">
        <v>3972</v>
      </c>
      <c r="CC749" s="167">
        <v>0</v>
      </c>
      <c r="CD749" s="167">
        <f>$N749/4</f>
        <v>1.75</v>
      </c>
      <c r="CE749" s="167">
        <f>$N749/4</f>
        <v>1.75</v>
      </c>
      <c r="CF749" s="167">
        <f>$N749/4</f>
        <v>1.75</v>
      </c>
      <c r="CG749" s="167">
        <f>$N749/4</f>
        <v>1.75</v>
      </c>
      <c r="CH749" s="167">
        <v>0</v>
      </c>
      <c r="CI749" s="167">
        <v>0</v>
      </c>
      <c r="CJ749" s="167">
        <v>0</v>
      </c>
      <c r="CK749" s="167">
        <v>0</v>
      </c>
      <c r="CL749" s="167">
        <v>0</v>
      </c>
      <c r="CM749" s="167">
        <v>0</v>
      </c>
      <c r="CN749" s="167">
        <v>0</v>
      </c>
      <c r="CO749" s="167">
        <v>0</v>
      </c>
      <c r="CP749" s="167">
        <v>0</v>
      </c>
      <c r="CQ749" s="167">
        <v>0</v>
      </c>
      <c r="CR749" s="167">
        <v>0</v>
      </c>
      <c r="CS749" s="167">
        <v>0</v>
      </c>
      <c r="CT749" s="167">
        <v>0</v>
      </c>
      <c r="CU749" s="167">
        <v>0</v>
      </c>
      <c r="CV749" s="167">
        <v>0</v>
      </c>
      <c r="CW749" s="167">
        <v>0</v>
      </c>
      <c r="CX749" s="167">
        <f>SUM(CD749:CH749)</f>
        <v>7</v>
      </c>
      <c r="CY749" s="167">
        <f>SUM(CD749:CM749)</f>
        <v>7</v>
      </c>
    </row>
    <row r="750" spans="1:103" ht="12.75" customHeight="1" x14ac:dyDescent="0.2">
      <c r="A750" s="81">
        <v>2356</v>
      </c>
      <c r="B750" s="165" t="s">
        <v>1930</v>
      </c>
      <c r="C750" s="165" t="s">
        <v>823</v>
      </c>
      <c r="E750" s="165" t="s">
        <v>2471</v>
      </c>
      <c r="G750" s="81">
        <v>525955</v>
      </c>
      <c r="H750" s="81">
        <v>174077</v>
      </c>
      <c r="I750" s="165" t="s">
        <v>251</v>
      </c>
      <c r="L750" s="166">
        <v>0</v>
      </c>
      <c r="M750" s="166">
        <v>4</v>
      </c>
      <c r="N750" s="166">
        <v>4</v>
      </c>
      <c r="O750" s="166">
        <v>4</v>
      </c>
      <c r="P750" s="166">
        <v>4</v>
      </c>
      <c r="R750" s="165" t="s">
        <v>824</v>
      </c>
      <c r="S750" s="81" t="s">
        <v>113</v>
      </c>
      <c r="T750" s="349">
        <v>42439</v>
      </c>
      <c r="U750" s="349">
        <v>42495</v>
      </c>
      <c r="W750" s="81" t="s">
        <v>114</v>
      </c>
      <c r="Y750" s="81" t="s">
        <v>115</v>
      </c>
      <c r="Z750" s="81" t="s">
        <v>310</v>
      </c>
      <c r="AA750" s="81" t="s">
        <v>117</v>
      </c>
      <c r="AB750" s="81" t="s">
        <v>311</v>
      </c>
      <c r="AC750" s="166">
        <v>2.19999998807907E-2</v>
      </c>
      <c r="AG750" s="81" t="s">
        <v>238</v>
      </c>
      <c r="AH750" s="81" t="s">
        <v>118</v>
      </c>
      <c r="AK750" s="166">
        <v>0</v>
      </c>
      <c r="AM750" s="166">
        <v>0</v>
      </c>
      <c r="AO750" s="166">
        <v>0</v>
      </c>
      <c r="AP750" s="166">
        <v>1</v>
      </c>
      <c r="AQ750" s="166">
        <v>3</v>
      </c>
      <c r="AR750" s="166">
        <v>0</v>
      </c>
      <c r="AS750" s="166">
        <v>0</v>
      </c>
      <c r="AT750" s="166">
        <v>0</v>
      </c>
      <c r="AU750" s="166">
        <v>0</v>
      </c>
      <c r="AV750" s="166">
        <v>0</v>
      </c>
      <c r="AW750" s="166">
        <v>1</v>
      </c>
      <c r="AX750" s="166">
        <v>3</v>
      </c>
      <c r="AY750" s="166">
        <v>0</v>
      </c>
      <c r="AZ750" s="166">
        <v>0</v>
      </c>
      <c r="BA750" s="166">
        <v>0</v>
      </c>
      <c r="BB750" s="166">
        <v>0</v>
      </c>
      <c r="BC750" s="166">
        <v>0</v>
      </c>
      <c r="BD750" s="166">
        <v>0</v>
      </c>
      <c r="BE750" s="166">
        <v>0</v>
      </c>
      <c r="BF750" s="166">
        <v>0</v>
      </c>
      <c r="BG750" s="166">
        <v>0</v>
      </c>
      <c r="BH750" s="166">
        <v>0</v>
      </c>
      <c r="BI750" s="166">
        <v>0</v>
      </c>
      <c r="BJ750" s="166">
        <v>0</v>
      </c>
      <c r="BK750" s="166">
        <v>0</v>
      </c>
      <c r="BL750" s="166">
        <v>0</v>
      </c>
      <c r="BM750" s="166">
        <v>0</v>
      </c>
      <c r="BN750" s="166">
        <v>0</v>
      </c>
      <c r="BO750" s="166">
        <v>0</v>
      </c>
      <c r="BP750" s="166">
        <v>0</v>
      </c>
      <c r="BQ750" s="81" t="s">
        <v>1758</v>
      </c>
      <c r="BZ750" s="81" t="s">
        <v>155</v>
      </c>
      <c r="CA750" s="81" t="s">
        <v>1937</v>
      </c>
      <c r="CC750" s="167">
        <v>0</v>
      </c>
      <c r="CD750" s="167">
        <f>$N750/4</f>
        <v>1</v>
      </c>
      <c r="CE750" s="167">
        <f>$N750/4</f>
        <v>1</v>
      </c>
      <c r="CF750" s="167">
        <f>$N750/4</f>
        <v>1</v>
      </c>
      <c r="CG750" s="167">
        <f>$N750/4</f>
        <v>1</v>
      </c>
      <c r="CH750" s="167">
        <v>0</v>
      </c>
      <c r="CI750" s="167">
        <v>0</v>
      </c>
      <c r="CJ750" s="167">
        <v>0</v>
      </c>
      <c r="CK750" s="167">
        <v>0</v>
      </c>
      <c r="CL750" s="167">
        <v>0</v>
      </c>
      <c r="CM750" s="167">
        <v>0</v>
      </c>
      <c r="CN750" s="167">
        <v>0</v>
      </c>
      <c r="CO750" s="167">
        <v>0</v>
      </c>
      <c r="CP750" s="167">
        <v>0</v>
      </c>
      <c r="CQ750" s="167">
        <v>0</v>
      </c>
      <c r="CR750" s="167">
        <v>0</v>
      </c>
      <c r="CS750" s="167">
        <v>0</v>
      </c>
      <c r="CT750" s="167">
        <v>0</v>
      </c>
      <c r="CU750" s="167">
        <v>0</v>
      </c>
      <c r="CV750" s="167">
        <v>0</v>
      </c>
      <c r="CW750" s="167">
        <v>0</v>
      </c>
      <c r="CX750" s="167">
        <f>SUM(CD750:CH750)</f>
        <v>4</v>
      </c>
      <c r="CY750" s="167">
        <f>SUM(CD750:CM750)</f>
        <v>4</v>
      </c>
    </row>
    <row r="751" spans="1:103" ht="12.75" customHeight="1" x14ac:dyDescent="0.2">
      <c r="A751" s="81">
        <v>2410</v>
      </c>
      <c r="B751" s="165" t="s">
        <v>1930</v>
      </c>
      <c r="C751" s="165" t="s">
        <v>2474</v>
      </c>
      <c r="E751" s="165" t="s">
        <v>2475</v>
      </c>
      <c r="G751" s="81">
        <v>527525</v>
      </c>
      <c r="H751" s="81">
        <v>174930</v>
      </c>
      <c r="I751" s="165" t="s">
        <v>255</v>
      </c>
      <c r="L751" s="166">
        <v>0</v>
      </c>
      <c r="M751" s="166">
        <v>1</v>
      </c>
      <c r="N751" s="166">
        <v>1</v>
      </c>
      <c r="O751" s="166">
        <v>1</v>
      </c>
      <c r="P751" s="166">
        <v>1</v>
      </c>
      <c r="R751" s="165" t="s">
        <v>2476</v>
      </c>
      <c r="S751" s="81" t="s">
        <v>113</v>
      </c>
      <c r="T751" s="349">
        <v>42914</v>
      </c>
      <c r="U751" s="349">
        <v>43040</v>
      </c>
      <c r="V751" s="81" t="s">
        <v>155</v>
      </c>
      <c r="W751" s="81" t="s">
        <v>114</v>
      </c>
      <c r="Y751" s="81" t="s">
        <v>115</v>
      </c>
      <c r="Z751" s="81" t="s">
        <v>116</v>
      </c>
      <c r="AA751" s="81" t="s">
        <v>117</v>
      </c>
      <c r="AB751" s="81" t="s">
        <v>218</v>
      </c>
      <c r="AC751" s="166">
        <v>9.9999997764825804E-3</v>
      </c>
      <c r="AG751" s="81" t="s">
        <v>238</v>
      </c>
      <c r="AH751" s="81" t="s">
        <v>118</v>
      </c>
      <c r="AK751" s="166">
        <v>0</v>
      </c>
      <c r="AM751" s="166">
        <v>0</v>
      </c>
      <c r="AO751" s="166">
        <v>0</v>
      </c>
      <c r="AP751" s="166">
        <v>0</v>
      </c>
      <c r="AQ751" s="166">
        <v>0</v>
      </c>
      <c r="AR751" s="166">
        <v>0</v>
      </c>
      <c r="AS751" s="166">
        <v>1</v>
      </c>
      <c r="AT751" s="166">
        <v>0</v>
      </c>
      <c r="AU751" s="166">
        <v>0</v>
      </c>
      <c r="AV751" s="166">
        <v>0</v>
      </c>
      <c r="AW751" s="166">
        <v>0</v>
      </c>
      <c r="AX751" s="166">
        <v>0</v>
      </c>
      <c r="AY751" s="166">
        <v>0</v>
      </c>
      <c r="AZ751" s="166">
        <v>0</v>
      </c>
      <c r="BA751" s="166">
        <v>0</v>
      </c>
      <c r="BB751" s="166">
        <v>0</v>
      </c>
      <c r="BC751" s="166">
        <v>0</v>
      </c>
      <c r="BD751" s="166">
        <v>0</v>
      </c>
      <c r="BE751" s="166">
        <v>0</v>
      </c>
      <c r="BF751" s="166">
        <v>0</v>
      </c>
      <c r="BG751" s="166">
        <v>1</v>
      </c>
      <c r="BH751" s="166">
        <v>0</v>
      </c>
      <c r="BI751" s="166">
        <v>0</v>
      </c>
      <c r="BJ751" s="166">
        <v>0</v>
      </c>
      <c r="BK751" s="166">
        <v>0</v>
      </c>
      <c r="BL751" s="166">
        <v>0</v>
      </c>
      <c r="BM751" s="166">
        <v>0</v>
      </c>
      <c r="BN751" s="166">
        <v>0</v>
      </c>
      <c r="BO751" s="166">
        <v>0</v>
      </c>
      <c r="BP751" s="166">
        <v>0</v>
      </c>
      <c r="BQ751" s="81" t="s">
        <v>1757</v>
      </c>
      <c r="BR751" s="81" t="s">
        <v>160</v>
      </c>
      <c r="BZ751" s="81" t="s">
        <v>155</v>
      </c>
      <c r="CA751" s="81">
        <v>4</v>
      </c>
      <c r="CC751" s="167">
        <v>0</v>
      </c>
      <c r="CD751" s="167">
        <v>0</v>
      </c>
      <c r="CE751" s="167">
        <f>$N751/4</f>
        <v>0.25</v>
      </c>
      <c r="CF751" s="167">
        <f>$N751/4</f>
        <v>0.25</v>
      </c>
      <c r="CG751" s="167">
        <f>$N751/4</f>
        <v>0.25</v>
      </c>
      <c r="CH751" s="167">
        <f>$N751/4</f>
        <v>0.25</v>
      </c>
      <c r="CI751" s="167">
        <v>0</v>
      </c>
      <c r="CJ751" s="167">
        <v>0</v>
      </c>
      <c r="CK751" s="167">
        <v>0</v>
      </c>
      <c r="CL751" s="167">
        <v>0</v>
      </c>
      <c r="CM751" s="167">
        <v>0</v>
      </c>
      <c r="CN751" s="167">
        <v>0</v>
      </c>
      <c r="CO751" s="167">
        <v>0</v>
      </c>
      <c r="CP751" s="167">
        <v>0</v>
      </c>
      <c r="CQ751" s="167">
        <v>0</v>
      </c>
      <c r="CR751" s="167">
        <v>0</v>
      </c>
      <c r="CS751" s="167">
        <v>0</v>
      </c>
      <c r="CT751" s="167">
        <v>0</v>
      </c>
      <c r="CU751" s="167">
        <v>0</v>
      </c>
      <c r="CV751" s="167">
        <v>0</v>
      </c>
      <c r="CW751" s="167">
        <v>0</v>
      </c>
      <c r="CX751" s="167">
        <f>SUM(CD751:CH751)</f>
        <v>1</v>
      </c>
      <c r="CY751" s="167">
        <f>SUM(CD751:CM751)</f>
        <v>1</v>
      </c>
    </row>
    <row r="752" spans="1:103" ht="12.75" customHeight="1" x14ac:dyDescent="0.2">
      <c r="A752" s="81">
        <v>2411</v>
      </c>
      <c r="B752" s="165" t="s">
        <v>1930</v>
      </c>
      <c r="C752" s="165" t="s">
        <v>979</v>
      </c>
      <c r="D752" s="165" t="s">
        <v>508</v>
      </c>
      <c r="E752" s="165" t="s">
        <v>1982</v>
      </c>
      <c r="F752" s="165" t="s">
        <v>4043</v>
      </c>
      <c r="G752" s="81">
        <v>528934</v>
      </c>
      <c r="H752" s="81">
        <v>177496</v>
      </c>
      <c r="I752" s="165" t="s">
        <v>240</v>
      </c>
      <c r="L752" s="166">
        <v>0</v>
      </c>
      <c r="M752" s="166">
        <v>664</v>
      </c>
      <c r="N752" s="166">
        <v>664</v>
      </c>
      <c r="O752" s="166">
        <v>2735</v>
      </c>
      <c r="P752" s="166">
        <v>2735</v>
      </c>
      <c r="Q752" s="81" t="s">
        <v>155</v>
      </c>
      <c r="R752" s="165" t="s">
        <v>980</v>
      </c>
      <c r="S752" s="81" t="s">
        <v>509</v>
      </c>
      <c r="T752" s="349">
        <v>42431</v>
      </c>
      <c r="U752" s="349">
        <v>42682</v>
      </c>
      <c r="W752" s="81" t="s">
        <v>114</v>
      </c>
      <c r="Y752" s="81" t="s">
        <v>115</v>
      </c>
      <c r="Z752" s="81" t="s">
        <v>116</v>
      </c>
      <c r="AA752" s="81" t="s">
        <v>116</v>
      </c>
      <c r="AB752" s="81" t="s">
        <v>117</v>
      </c>
      <c r="AC752" s="166">
        <v>0.83799999999999997</v>
      </c>
      <c r="AG752" s="81" t="s">
        <v>238</v>
      </c>
      <c r="AH752" s="81" t="s">
        <v>118</v>
      </c>
      <c r="AI752" s="353" t="s">
        <v>1983</v>
      </c>
      <c r="AK752" s="166">
        <v>664</v>
      </c>
      <c r="AM752" s="166">
        <v>66</v>
      </c>
      <c r="AO752" s="166">
        <v>0</v>
      </c>
      <c r="AP752" s="166">
        <v>275</v>
      </c>
      <c r="AQ752" s="166">
        <v>267</v>
      </c>
      <c r="AR752" s="166">
        <v>95</v>
      </c>
      <c r="AS752" s="166">
        <v>8</v>
      </c>
      <c r="AT752" s="166">
        <v>19</v>
      </c>
      <c r="AU752" s="166">
        <v>0</v>
      </c>
      <c r="AV752" s="166">
        <v>0</v>
      </c>
      <c r="AW752" s="166">
        <v>275</v>
      </c>
      <c r="AX752" s="166">
        <v>267</v>
      </c>
      <c r="AY752" s="166">
        <v>95</v>
      </c>
      <c r="AZ752" s="166">
        <v>8</v>
      </c>
      <c r="BA752" s="166">
        <v>19</v>
      </c>
      <c r="BB752" s="166">
        <v>0</v>
      </c>
      <c r="BC752" s="166">
        <v>0</v>
      </c>
      <c r="BD752" s="166">
        <v>0</v>
      </c>
      <c r="BE752" s="166">
        <v>0</v>
      </c>
      <c r="BF752" s="166">
        <v>0</v>
      </c>
      <c r="BG752" s="166">
        <v>0</v>
      </c>
      <c r="BH752" s="166">
        <v>0</v>
      </c>
      <c r="BI752" s="166">
        <v>0</v>
      </c>
      <c r="BJ752" s="166">
        <v>0</v>
      </c>
      <c r="BK752" s="166">
        <v>0</v>
      </c>
      <c r="BL752" s="166">
        <v>0</v>
      </c>
      <c r="BM752" s="166">
        <v>0</v>
      </c>
      <c r="BN752" s="166">
        <v>0</v>
      </c>
      <c r="BO752" s="166">
        <v>0</v>
      </c>
      <c r="BP752" s="166">
        <v>0</v>
      </c>
      <c r="BQ752" s="81" t="s">
        <v>1759</v>
      </c>
      <c r="BS752" s="81" t="s">
        <v>155</v>
      </c>
      <c r="BZ752" s="81" t="s">
        <v>155</v>
      </c>
      <c r="CA752" s="81">
        <v>12</v>
      </c>
      <c r="CC752" s="167">
        <v>0</v>
      </c>
      <c r="CD752" s="167">
        <v>0</v>
      </c>
      <c r="CE752" s="167">
        <v>0</v>
      </c>
      <c r="CF752" s="167">
        <v>0</v>
      </c>
      <c r="CG752" s="167">
        <v>0</v>
      </c>
      <c r="CH752" s="167">
        <v>664</v>
      </c>
      <c r="CI752" s="167">
        <v>0</v>
      </c>
      <c r="CJ752" s="167">
        <v>0</v>
      </c>
      <c r="CK752" s="167">
        <v>0</v>
      </c>
      <c r="CL752" s="167">
        <v>0</v>
      </c>
      <c r="CM752" s="167">
        <v>0</v>
      </c>
      <c r="CN752" s="167">
        <v>0</v>
      </c>
      <c r="CO752" s="167">
        <v>0</v>
      </c>
      <c r="CP752" s="167">
        <v>0</v>
      </c>
      <c r="CQ752" s="167">
        <v>0</v>
      </c>
      <c r="CR752" s="167">
        <v>0</v>
      </c>
      <c r="CS752" s="167">
        <v>0</v>
      </c>
      <c r="CT752" s="167">
        <v>0</v>
      </c>
      <c r="CU752" s="167">
        <v>0</v>
      </c>
      <c r="CV752" s="167">
        <v>0</v>
      </c>
      <c r="CW752" s="167">
        <v>0</v>
      </c>
      <c r="CX752" s="167">
        <f>SUM(CD752:CH752)</f>
        <v>664</v>
      </c>
      <c r="CY752" s="167">
        <f>SUM(CD752:CM752)</f>
        <v>664</v>
      </c>
    </row>
    <row r="753" spans="1:103" ht="12.75" customHeight="1" x14ac:dyDescent="0.2">
      <c r="A753" s="81">
        <v>2411</v>
      </c>
      <c r="B753" s="165" t="s">
        <v>1930</v>
      </c>
      <c r="C753" s="165" t="s">
        <v>979</v>
      </c>
      <c r="D753" s="165" t="s">
        <v>508</v>
      </c>
      <c r="E753" s="165" t="s">
        <v>1982</v>
      </c>
      <c r="F753" s="165" t="s">
        <v>4035</v>
      </c>
      <c r="G753" s="81">
        <v>528934</v>
      </c>
      <c r="H753" s="81">
        <v>177496</v>
      </c>
      <c r="I753" s="165" t="s">
        <v>240</v>
      </c>
      <c r="L753" s="166">
        <v>0</v>
      </c>
      <c r="M753" s="166">
        <v>152</v>
      </c>
      <c r="N753" s="166">
        <v>152</v>
      </c>
      <c r="O753" s="166">
        <v>2735</v>
      </c>
      <c r="P753" s="166">
        <v>2735</v>
      </c>
      <c r="Q753" s="81" t="s">
        <v>155</v>
      </c>
      <c r="R753" s="165" t="s">
        <v>980</v>
      </c>
      <c r="S753" s="81" t="s">
        <v>509</v>
      </c>
      <c r="T753" s="349">
        <v>42431</v>
      </c>
      <c r="U753" s="349">
        <v>42682</v>
      </c>
      <c r="W753" s="81" t="s">
        <v>114</v>
      </c>
      <c r="Y753" s="81" t="s">
        <v>115</v>
      </c>
      <c r="Z753" s="81" t="s">
        <v>116</v>
      </c>
      <c r="AA753" s="81" t="s">
        <v>116</v>
      </c>
      <c r="AB753" s="81" t="s">
        <v>117</v>
      </c>
      <c r="AC753" s="166">
        <v>0.21</v>
      </c>
      <c r="AG753" s="81" t="s">
        <v>238</v>
      </c>
      <c r="AH753" s="81" t="s">
        <v>118</v>
      </c>
      <c r="AI753" s="352" t="s">
        <v>1983</v>
      </c>
      <c r="AK753" s="166">
        <v>152</v>
      </c>
      <c r="AM753" s="166">
        <v>15</v>
      </c>
      <c r="AO753" s="166">
        <v>26</v>
      </c>
      <c r="AP753" s="166">
        <v>1</v>
      </c>
      <c r="AQ753" s="166">
        <v>31</v>
      </c>
      <c r="AR753" s="166">
        <v>55</v>
      </c>
      <c r="AS753" s="166">
        <v>14</v>
      </c>
      <c r="AT753" s="166">
        <v>25</v>
      </c>
      <c r="AU753" s="166">
        <v>0</v>
      </c>
      <c r="AV753" s="166">
        <v>26</v>
      </c>
      <c r="AW753" s="166">
        <v>1</v>
      </c>
      <c r="AX753" s="166">
        <v>31</v>
      </c>
      <c r="AY753" s="166">
        <v>55</v>
      </c>
      <c r="AZ753" s="166">
        <v>14</v>
      </c>
      <c r="BA753" s="166">
        <v>25</v>
      </c>
      <c r="BB753" s="166">
        <v>0</v>
      </c>
      <c r="BC753" s="166">
        <v>0</v>
      </c>
      <c r="BD753" s="166">
        <v>0</v>
      </c>
      <c r="BE753" s="166">
        <v>0</v>
      </c>
      <c r="BF753" s="166">
        <v>0</v>
      </c>
      <c r="BG753" s="166">
        <v>0</v>
      </c>
      <c r="BH753" s="166">
        <v>0</v>
      </c>
      <c r="BI753" s="166">
        <v>0</v>
      </c>
      <c r="BJ753" s="166">
        <v>0</v>
      </c>
      <c r="BK753" s="166">
        <v>0</v>
      </c>
      <c r="BL753" s="166">
        <v>0</v>
      </c>
      <c r="BM753" s="166">
        <v>0</v>
      </c>
      <c r="BN753" s="166">
        <v>0</v>
      </c>
      <c r="BO753" s="166">
        <v>0</v>
      </c>
      <c r="BP753" s="166">
        <v>0</v>
      </c>
      <c r="BQ753" s="81" t="s">
        <v>1759</v>
      </c>
      <c r="BS753" s="81" t="s">
        <v>155</v>
      </c>
      <c r="BZ753" s="81" t="s">
        <v>155</v>
      </c>
      <c r="CA753" s="81">
        <v>12</v>
      </c>
      <c r="CC753" s="167">
        <v>0</v>
      </c>
      <c r="CD753" s="167">
        <v>0</v>
      </c>
      <c r="CE753" s="167">
        <v>0</v>
      </c>
      <c r="CF753" s="167">
        <v>0</v>
      </c>
      <c r="CG753" s="167">
        <v>0</v>
      </c>
      <c r="CH753" s="167">
        <v>0</v>
      </c>
      <c r="CI753" s="167">
        <v>0</v>
      </c>
      <c r="CJ753" s="167">
        <v>0</v>
      </c>
      <c r="CK753" s="166">
        <v>152</v>
      </c>
      <c r="CL753" s="167">
        <v>0</v>
      </c>
      <c r="CM753" s="167">
        <v>0</v>
      </c>
      <c r="CN753" s="167">
        <v>0</v>
      </c>
      <c r="CO753" s="167">
        <v>0</v>
      </c>
      <c r="CP753" s="167">
        <v>0</v>
      </c>
      <c r="CQ753" s="167">
        <v>0</v>
      </c>
      <c r="CR753" s="167">
        <v>0</v>
      </c>
      <c r="CS753" s="167">
        <v>0</v>
      </c>
      <c r="CT753" s="167">
        <v>0</v>
      </c>
      <c r="CU753" s="167">
        <v>0</v>
      </c>
      <c r="CV753" s="167">
        <v>0</v>
      </c>
      <c r="CW753" s="167">
        <v>0</v>
      </c>
      <c r="CX753" s="167">
        <f>SUM(CD753:CH753)</f>
        <v>0</v>
      </c>
      <c r="CY753" s="167">
        <f>SUM(CD753:CM753)</f>
        <v>152</v>
      </c>
    </row>
    <row r="754" spans="1:103" ht="12.75" customHeight="1" x14ac:dyDescent="0.2">
      <c r="A754" s="81">
        <v>2411</v>
      </c>
      <c r="B754" s="165" t="s">
        <v>1930</v>
      </c>
      <c r="C754" s="165" t="s">
        <v>1678</v>
      </c>
      <c r="D754" s="165" t="s">
        <v>508</v>
      </c>
      <c r="E754" s="165" t="s">
        <v>1982</v>
      </c>
      <c r="F754" s="165" t="s">
        <v>1132</v>
      </c>
      <c r="G754" s="81">
        <v>528934</v>
      </c>
      <c r="H754" s="81">
        <v>177496</v>
      </c>
      <c r="I754" s="165" t="s">
        <v>240</v>
      </c>
      <c r="J754" s="349">
        <v>42506</v>
      </c>
      <c r="L754" s="166">
        <v>0</v>
      </c>
      <c r="M754" s="166">
        <v>147</v>
      </c>
      <c r="N754" s="166">
        <v>147</v>
      </c>
      <c r="O754" s="166">
        <v>1192</v>
      </c>
      <c r="P754" s="166">
        <v>1192</v>
      </c>
      <c r="Q754" s="81" t="s">
        <v>155</v>
      </c>
      <c r="R754" s="165" t="s">
        <v>1679</v>
      </c>
      <c r="S754" s="81" t="s">
        <v>4042</v>
      </c>
      <c r="T754" s="349">
        <v>42809</v>
      </c>
      <c r="U754" s="349">
        <v>43049</v>
      </c>
      <c r="V754" s="81" t="s">
        <v>155</v>
      </c>
      <c r="W754" s="81" t="s">
        <v>114</v>
      </c>
      <c r="Y754" s="81" t="s">
        <v>115</v>
      </c>
      <c r="Z754" s="81" t="s">
        <v>116</v>
      </c>
      <c r="AA754" s="81" t="s">
        <v>116</v>
      </c>
      <c r="AB754" s="81" t="s">
        <v>117</v>
      </c>
      <c r="AC754" s="166">
        <v>0.186</v>
      </c>
      <c r="AD754" s="349"/>
      <c r="AG754" s="81" t="s">
        <v>74</v>
      </c>
      <c r="AH754" s="81" t="s">
        <v>880</v>
      </c>
      <c r="AI754" s="81" t="s">
        <v>1983</v>
      </c>
      <c r="AK754" s="166">
        <v>147</v>
      </c>
      <c r="AM754" s="166">
        <v>15</v>
      </c>
      <c r="AO754" s="166">
        <v>0</v>
      </c>
      <c r="AP754" s="166">
        <v>21</v>
      </c>
      <c r="AQ754" s="166">
        <v>71</v>
      </c>
      <c r="AR754" s="166">
        <v>47</v>
      </c>
      <c r="AS754" s="166">
        <v>8</v>
      </c>
      <c r="AT754" s="166">
        <v>0</v>
      </c>
      <c r="AU754" s="166">
        <v>0</v>
      </c>
      <c r="AV754" s="166">
        <v>0</v>
      </c>
      <c r="AW754" s="166">
        <v>21</v>
      </c>
      <c r="AX754" s="166">
        <v>71</v>
      </c>
      <c r="AY754" s="166">
        <v>47</v>
      </c>
      <c r="AZ754" s="166">
        <v>8</v>
      </c>
      <c r="BA754" s="166">
        <v>0</v>
      </c>
      <c r="BB754" s="166">
        <v>0</v>
      </c>
      <c r="BC754" s="166">
        <v>0</v>
      </c>
      <c r="BD754" s="166">
        <v>0</v>
      </c>
      <c r="BE754" s="166">
        <v>0</v>
      </c>
      <c r="BF754" s="166">
        <v>0</v>
      </c>
      <c r="BG754" s="166">
        <v>0</v>
      </c>
      <c r="BH754" s="166">
        <v>0</v>
      </c>
      <c r="BI754" s="166">
        <v>0</v>
      </c>
      <c r="BJ754" s="166">
        <v>0</v>
      </c>
      <c r="BK754" s="166">
        <v>0</v>
      </c>
      <c r="BL754" s="166">
        <v>0</v>
      </c>
      <c r="BM754" s="166">
        <v>0</v>
      </c>
      <c r="BN754" s="166">
        <v>0</v>
      </c>
      <c r="BO754" s="166">
        <v>0</v>
      </c>
      <c r="BP754" s="166">
        <v>0</v>
      </c>
      <c r="BQ754" s="81" t="s">
        <v>1759</v>
      </c>
      <c r="BS754" s="81" t="s">
        <v>155</v>
      </c>
      <c r="BZ754" s="81" t="s">
        <v>155</v>
      </c>
      <c r="CA754" s="81">
        <v>12</v>
      </c>
      <c r="CC754" s="167">
        <v>0</v>
      </c>
      <c r="CD754" s="167">
        <v>0</v>
      </c>
      <c r="CE754" s="167">
        <v>0</v>
      </c>
      <c r="CF754" s="167">
        <v>0</v>
      </c>
      <c r="CG754" s="167">
        <v>0</v>
      </c>
      <c r="CH754" s="167">
        <v>0</v>
      </c>
      <c r="CI754" s="167">
        <v>0</v>
      </c>
      <c r="CJ754" s="167">
        <v>0</v>
      </c>
      <c r="CK754" s="167">
        <v>0</v>
      </c>
      <c r="CL754" s="166">
        <v>147</v>
      </c>
      <c r="CM754" s="167">
        <v>0</v>
      </c>
      <c r="CN754" s="167">
        <v>0</v>
      </c>
      <c r="CO754" s="167">
        <v>0</v>
      </c>
      <c r="CP754" s="167">
        <v>0</v>
      </c>
      <c r="CQ754" s="167">
        <v>0</v>
      </c>
      <c r="CR754" s="167">
        <v>0</v>
      </c>
      <c r="CS754" s="167">
        <v>0</v>
      </c>
      <c r="CT754" s="167">
        <v>0</v>
      </c>
      <c r="CU754" s="167">
        <v>0</v>
      </c>
      <c r="CV754" s="167">
        <v>0</v>
      </c>
      <c r="CW754" s="167">
        <v>0</v>
      </c>
      <c r="CX754" s="167">
        <f>SUM(CD754:CH754)</f>
        <v>0</v>
      </c>
      <c r="CY754" s="167">
        <f>SUM(CD754:CM754)</f>
        <v>147</v>
      </c>
    </row>
    <row r="755" spans="1:103" ht="12.75" customHeight="1" x14ac:dyDescent="0.2">
      <c r="A755" s="81">
        <v>2411</v>
      </c>
      <c r="B755" s="165" t="s">
        <v>1930</v>
      </c>
      <c r="C755" s="165" t="s">
        <v>1678</v>
      </c>
      <c r="D755" s="165" t="s">
        <v>508</v>
      </c>
      <c r="E755" s="165" t="s">
        <v>1982</v>
      </c>
      <c r="F755" s="165" t="s">
        <v>1132</v>
      </c>
      <c r="G755" s="81">
        <v>528934</v>
      </c>
      <c r="H755" s="81">
        <v>177496</v>
      </c>
      <c r="I755" s="165" t="s">
        <v>240</v>
      </c>
      <c r="J755" s="349">
        <v>42506</v>
      </c>
      <c r="L755" s="166">
        <v>0</v>
      </c>
      <c r="M755" s="166">
        <v>11</v>
      </c>
      <c r="N755" s="166">
        <v>11</v>
      </c>
      <c r="O755" s="166">
        <v>1192</v>
      </c>
      <c r="P755" s="166">
        <v>1192</v>
      </c>
      <c r="Q755" s="81" t="s">
        <v>155</v>
      </c>
      <c r="R755" s="165" t="s">
        <v>1679</v>
      </c>
      <c r="S755" s="81" t="s">
        <v>4042</v>
      </c>
      <c r="T755" s="349">
        <v>42809</v>
      </c>
      <c r="U755" s="349">
        <v>43049</v>
      </c>
      <c r="V755" s="81" t="s">
        <v>155</v>
      </c>
      <c r="W755" s="81" t="s">
        <v>114</v>
      </c>
      <c r="Y755" s="81" t="s">
        <v>115</v>
      </c>
      <c r="Z755" s="81" t="s">
        <v>116</v>
      </c>
      <c r="AA755" s="81" t="s">
        <v>116</v>
      </c>
      <c r="AB755" s="81" t="s">
        <v>117</v>
      </c>
      <c r="AC755" s="166">
        <v>1.4E-2</v>
      </c>
      <c r="AD755" s="349"/>
      <c r="AG755" s="81" t="s">
        <v>74</v>
      </c>
      <c r="AH755" s="81" t="s">
        <v>895</v>
      </c>
      <c r="AI755" s="81" t="s">
        <v>1983</v>
      </c>
      <c r="AK755" s="166">
        <v>11</v>
      </c>
      <c r="AM755" s="166">
        <v>1</v>
      </c>
      <c r="AO755" s="166">
        <v>0</v>
      </c>
      <c r="AP755" s="166">
        <v>11</v>
      </c>
      <c r="AQ755" s="166">
        <v>0</v>
      </c>
      <c r="AR755" s="166">
        <v>0</v>
      </c>
      <c r="AS755" s="166">
        <v>0</v>
      </c>
      <c r="AT755" s="166">
        <v>0</v>
      </c>
      <c r="AU755" s="166">
        <v>0</v>
      </c>
      <c r="AV755" s="166">
        <v>0</v>
      </c>
      <c r="AW755" s="166">
        <v>11</v>
      </c>
      <c r="AX755" s="166">
        <v>0</v>
      </c>
      <c r="AY755" s="166">
        <v>0</v>
      </c>
      <c r="AZ755" s="166">
        <v>0</v>
      </c>
      <c r="BA755" s="166">
        <v>0</v>
      </c>
      <c r="BB755" s="166">
        <v>0</v>
      </c>
      <c r="BC755" s="166">
        <v>0</v>
      </c>
      <c r="BD755" s="166">
        <v>0</v>
      </c>
      <c r="BE755" s="166">
        <v>0</v>
      </c>
      <c r="BF755" s="166">
        <v>0</v>
      </c>
      <c r="BG755" s="166">
        <v>0</v>
      </c>
      <c r="BH755" s="166">
        <v>0</v>
      </c>
      <c r="BI755" s="166">
        <v>0</v>
      </c>
      <c r="BJ755" s="166">
        <v>0</v>
      </c>
      <c r="BK755" s="166">
        <v>0</v>
      </c>
      <c r="BL755" s="166">
        <v>0</v>
      </c>
      <c r="BM755" s="166">
        <v>0</v>
      </c>
      <c r="BN755" s="166">
        <v>0</v>
      </c>
      <c r="BO755" s="166">
        <v>0</v>
      </c>
      <c r="BP755" s="166">
        <v>0</v>
      </c>
      <c r="BQ755" s="81" t="s">
        <v>1759</v>
      </c>
      <c r="BS755" s="81" t="s">
        <v>155</v>
      </c>
      <c r="BZ755" s="81" t="s">
        <v>155</v>
      </c>
      <c r="CA755" s="81">
        <v>12</v>
      </c>
      <c r="CC755" s="167">
        <v>0</v>
      </c>
      <c r="CD755" s="167">
        <v>0</v>
      </c>
      <c r="CE755" s="167">
        <v>0</v>
      </c>
      <c r="CF755" s="167">
        <v>0</v>
      </c>
      <c r="CG755" s="167">
        <v>0</v>
      </c>
      <c r="CH755" s="167">
        <v>0</v>
      </c>
      <c r="CI755" s="167">
        <v>0</v>
      </c>
      <c r="CJ755" s="167">
        <v>0</v>
      </c>
      <c r="CK755" s="167">
        <v>0</v>
      </c>
      <c r="CL755" s="166">
        <v>11</v>
      </c>
      <c r="CM755" s="167">
        <v>0</v>
      </c>
      <c r="CN755" s="167">
        <v>0</v>
      </c>
      <c r="CO755" s="167">
        <v>0</v>
      </c>
      <c r="CP755" s="167">
        <v>0</v>
      </c>
      <c r="CQ755" s="167">
        <v>0</v>
      </c>
      <c r="CR755" s="167">
        <v>0</v>
      </c>
      <c r="CS755" s="167">
        <v>0</v>
      </c>
      <c r="CT755" s="167">
        <v>0</v>
      </c>
      <c r="CU755" s="167">
        <v>0</v>
      </c>
      <c r="CV755" s="167">
        <v>0</v>
      </c>
      <c r="CW755" s="167">
        <v>0</v>
      </c>
      <c r="CX755" s="167">
        <f>SUM(CD755:CH755)</f>
        <v>0</v>
      </c>
      <c r="CY755" s="167">
        <f>SUM(CD755:CM755)</f>
        <v>11</v>
      </c>
    </row>
    <row r="756" spans="1:103" ht="12.75" customHeight="1" x14ac:dyDescent="0.2">
      <c r="A756" s="81">
        <v>2411</v>
      </c>
      <c r="B756" s="165" t="s">
        <v>1930</v>
      </c>
      <c r="C756" s="165" t="s">
        <v>1678</v>
      </c>
      <c r="D756" s="165" t="s">
        <v>508</v>
      </c>
      <c r="E756" s="165" t="s">
        <v>1982</v>
      </c>
      <c r="F756" s="165" t="s">
        <v>4041</v>
      </c>
      <c r="G756" s="81">
        <v>528934</v>
      </c>
      <c r="H756" s="81">
        <v>177496</v>
      </c>
      <c r="I756" s="165" t="s">
        <v>240</v>
      </c>
      <c r="J756" s="349">
        <v>42506</v>
      </c>
      <c r="L756" s="166">
        <v>0</v>
      </c>
      <c r="M756" s="166">
        <v>306</v>
      </c>
      <c r="N756" s="166">
        <v>306</v>
      </c>
      <c r="O756" s="166">
        <v>1192</v>
      </c>
      <c r="P756" s="166">
        <v>1192</v>
      </c>
      <c r="Q756" s="81" t="s">
        <v>155</v>
      </c>
      <c r="R756" s="165" t="s">
        <v>1679</v>
      </c>
      <c r="S756" s="81" t="s">
        <v>4042</v>
      </c>
      <c r="T756" s="349">
        <v>42809</v>
      </c>
      <c r="U756" s="349">
        <v>43049</v>
      </c>
      <c r="V756" s="81" t="s">
        <v>155</v>
      </c>
      <c r="W756" s="81" t="s">
        <v>114</v>
      </c>
      <c r="Y756" s="81" t="s">
        <v>115</v>
      </c>
      <c r="Z756" s="81" t="s">
        <v>116</v>
      </c>
      <c r="AA756" s="81" t="s">
        <v>116</v>
      </c>
      <c r="AB756" s="81" t="s">
        <v>117</v>
      </c>
      <c r="AC756" s="166">
        <v>0.38600000000000001</v>
      </c>
      <c r="AD756" s="349"/>
      <c r="AG756" s="81" t="s">
        <v>238</v>
      </c>
      <c r="AH756" s="81" t="s">
        <v>118</v>
      </c>
      <c r="AI756" s="81" t="s">
        <v>1983</v>
      </c>
      <c r="AK756" s="166">
        <v>306</v>
      </c>
      <c r="AM756" s="166">
        <v>31</v>
      </c>
      <c r="AO756" s="166">
        <v>29</v>
      </c>
      <c r="AP756" s="166">
        <v>0</v>
      </c>
      <c r="AQ756" s="166">
        <v>36</v>
      </c>
      <c r="AR756" s="166">
        <v>140</v>
      </c>
      <c r="AS756" s="166">
        <v>35</v>
      </c>
      <c r="AT756" s="166">
        <v>66</v>
      </c>
      <c r="AU756" s="166">
        <v>0</v>
      </c>
      <c r="AV756" s="166">
        <v>29</v>
      </c>
      <c r="AW756" s="166">
        <v>0</v>
      </c>
      <c r="AX756" s="166">
        <v>36</v>
      </c>
      <c r="AY756" s="166">
        <v>140</v>
      </c>
      <c r="AZ756" s="166">
        <v>35</v>
      </c>
      <c r="BA756" s="166">
        <v>66</v>
      </c>
      <c r="BB756" s="166">
        <v>0</v>
      </c>
      <c r="BC756" s="166">
        <v>0</v>
      </c>
      <c r="BD756" s="166">
        <v>0</v>
      </c>
      <c r="BE756" s="166">
        <v>0</v>
      </c>
      <c r="BF756" s="166">
        <v>0</v>
      </c>
      <c r="BG756" s="166">
        <v>0</v>
      </c>
      <c r="BH756" s="166">
        <v>0</v>
      </c>
      <c r="BI756" s="166">
        <v>0</v>
      </c>
      <c r="BJ756" s="166">
        <v>0</v>
      </c>
      <c r="BK756" s="166">
        <v>0</v>
      </c>
      <c r="BL756" s="166">
        <v>0</v>
      </c>
      <c r="BM756" s="166">
        <v>0</v>
      </c>
      <c r="BN756" s="166">
        <v>0</v>
      </c>
      <c r="BO756" s="166">
        <v>0</v>
      </c>
      <c r="BP756" s="166">
        <v>0</v>
      </c>
      <c r="BQ756" s="81" t="s">
        <v>1759</v>
      </c>
      <c r="BS756" s="81" t="s">
        <v>155</v>
      </c>
      <c r="BZ756" s="81" t="s">
        <v>155</v>
      </c>
      <c r="CA756" s="81">
        <v>12</v>
      </c>
      <c r="CC756" s="167">
        <v>0</v>
      </c>
      <c r="CD756" s="167">
        <v>0</v>
      </c>
      <c r="CE756" s="167">
        <v>0</v>
      </c>
      <c r="CF756" s="167">
        <v>0</v>
      </c>
      <c r="CG756" s="167">
        <v>0</v>
      </c>
      <c r="CH756" s="167">
        <v>0</v>
      </c>
      <c r="CI756" s="167">
        <v>0</v>
      </c>
      <c r="CJ756" s="166">
        <v>306</v>
      </c>
      <c r="CK756" s="167">
        <v>0</v>
      </c>
      <c r="CL756" s="167">
        <v>0</v>
      </c>
      <c r="CM756" s="167">
        <v>0</v>
      </c>
      <c r="CN756" s="167">
        <v>0</v>
      </c>
      <c r="CO756" s="167">
        <v>0</v>
      </c>
      <c r="CP756" s="167">
        <v>0</v>
      </c>
      <c r="CQ756" s="167">
        <v>0</v>
      </c>
      <c r="CR756" s="167">
        <v>0</v>
      </c>
      <c r="CS756" s="167">
        <v>0</v>
      </c>
      <c r="CT756" s="167">
        <v>0</v>
      </c>
      <c r="CU756" s="167">
        <v>0</v>
      </c>
      <c r="CV756" s="167">
        <v>0</v>
      </c>
      <c r="CW756" s="167">
        <v>0</v>
      </c>
      <c r="CX756" s="167">
        <f>SUM(CD756:CH756)</f>
        <v>0</v>
      </c>
      <c r="CY756" s="167">
        <f>SUM(CD756:CM756)</f>
        <v>306</v>
      </c>
    </row>
    <row r="757" spans="1:103" ht="12.75" customHeight="1" x14ac:dyDescent="0.2">
      <c r="A757" s="81">
        <v>2411</v>
      </c>
      <c r="B757" s="165" t="s">
        <v>1930</v>
      </c>
      <c r="C757" s="165" t="s">
        <v>1678</v>
      </c>
      <c r="D757" s="165" t="s">
        <v>508</v>
      </c>
      <c r="E757" s="165" t="s">
        <v>1982</v>
      </c>
      <c r="F757" s="165" t="s">
        <v>4041</v>
      </c>
      <c r="G757" s="81">
        <v>528934</v>
      </c>
      <c r="H757" s="81">
        <v>177496</v>
      </c>
      <c r="I757" s="165" t="s">
        <v>240</v>
      </c>
      <c r="J757" s="349">
        <v>42506</v>
      </c>
      <c r="L757" s="166">
        <v>0</v>
      </c>
      <c r="M757" s="166">
        <v>92</v>
      </c>
      <c r="N757" s="166">
        <v>92</v>
      </c>
      <c r="O757" s="166">
        <v>1192</v>
      </c>
      <c r="P757" s="166">
        <v>1192</v>
      </c>
      <c r="Q757" s="81" t="s">
        <v>155</v>
      </c>
      <c r="R757" s="165" t="s">
        <v>1679</v>
      </c>
      <c r="S757" s="81" t="s">
        <v>4042</v>
      </c>
      <c r="T757" s="349">
        <v>42809</v>
      </c>
      <c r="U757" s="349">
        <v>43049</v>
      </c>
      <c r="V757" s="81" t="s">
        <v>155</v>
      </c>
      <c r="W757" s="81" t="s">
        <v>114</v>
      </c>
      <c r="Y757" s="81" t="s">
        <v>115</v>
      </c>
      <c r="Z757" s="81" t="s">
        <v>116</v>
      </c>
      <c r="AA757" s="81" t="s">
        <v>116</v>
      </c>
      <c r="AB757" s="81" t="s">
        <v>117</v>
      </c>
      <c r="AC757" s="166">
        <v>0.11600000000000001</v>
      </c>
      <c r="AD757" s="349"/>
      <c r="AG757" s="81" t="s">
        <v>74</v>
      </c>
      <c r="AH757" s="81" t="s">
        <v>895</v>
      </c>
      <c r="AI757" s="81" t="s">
        <v>1983</v>
      </c>
      <c r="AK757" s="166">
        <v>92</v>
      </c>
      <c r="AM757" s="166">
        <v>9</v>
      </c>
      <c r="AO757" s="166">
        <v>0</v>
      </c>
      <c r="AP757" s="166">
        <v>41</v>
      </c>
      <c r="AQ757" s="166">
        <v>48</v>
      </c>
      <c r="AR757" s="166">
        <v>3</v>
      </c>
      <c r="AS757" s="166">
        <v>0</v>
      </c>
      <c r="AT757" s="166">
        <v>0</v>
      </c>
      <c r="AU757" s="166">
        <v>0</v>
      </c>
      <c r="AV757" s="166">
        <v>0</v>
      </c>
      <c r="AW757" s="166">
        <v>41</v>
      </c>
      <c r="AX757" s="166">
        <v>48</v>
      </c>
      <c r="AY757" s="166">
        <v>3</v>
      </c>
      <c r="AZ757" s="166">
        <v>0</v>
      </c>
      <c r="BA757" s="166">
        <v>0</v>
      </c>
      <c r="BB757" s="166">
        <v>0</v>
      </c>
      <c r="BC757" s="166">
        <v>0</v>
      </c>
      <c r="BD757" s="166">
        <v>0</v>
      </c>
      <c r="BE757" s="166">
        <v>0</v>
      </c>
      <c r="BF757" s="166">
        <v>0</v>
      </c>
      <c r="BG757" s="166">
        <v>0</v>
      </c>
      <c r="BH757" s="166">
        <v>0</v>
      </c>
      <c r="BI757" s="166">
        <v>0</v>
      </c>
      <c r="BJ757" s="166">
        <v>0</v>
      </c>
      <c r="BK757" s="166">
        <v>0</v>
      </c>
      <c r="BL757" s="166">
        <v>0</v>
      </c>
      <c r="BM757" s="166">
        <v>0</v>
      </c>
      <c r="BN757" s="166">
        <v>0</v>
      </c>
      <c r="BO757" s="166">
        <v>0</v>
      </c>
      <c r="BP757" s="166">
        <v>0</v>
      </c>
      <c r="BQ757" s="81" t="s">
        <v>1759</v>
      </c>
      <c r="BS757" s="81" t="s">
        <v>155</v>
      </c>
      <c r="BZ757" s="81" t="s">
        <v>155</v>
      </c>
      <c r="CA757" s="81">
        <v>12</v>
      </c>
      <c r="CC757" s="167">
        <v>0</v>
      </c>
      <c r="CD757" s="167">
        <v>0</v>
      </c>
      <c r="CE757" s="167">
        <v>0</v>
      </c>
      <c r="CF757" s="167">
        <v>0</v>
      </c>
      <c r="CG757" s="167">
        <v>0</v>
      </c>
      <c r="CH757" s="167">
        <v>0</v>
      </c>
      <c r="CI757" s="167">
        <v>0</v>
      </c>
      <c r="CJ757" s="166">
        <v>92</v>
      </c>
      <c r="CK757" s="167">
        <v>0</v>
      </c>
      <c r="CL757" s="167">
        <v>0</v>
      </c>
      <c r="CM757" s="167">
        <v>0</v>
      </c>
      <c r="CN757" s="167">
        <v>0</v>
      </c>
      <c r="CO757" s="167">
        <v>0</v>
      </c>
      <c r="CP757" s="167">
        <v>0</v>
      </c>
      <c r="CQ757" s="167">
        <v>0</v>
      </c>
      <c r="CR757" s="167">
        <v>0</v>
      </c>
      <c r="CS757" s="167">
        <v>0</v>
      </c>
      <c r="CT757" s="167">
        <v>0</v>
      </c>
      <c r="CU757" s="167">
        <v>0</v>
      </c>
      <c r="CV757" s="167">
        <v>0</v>
      </c>
      <c r="CW757" s="167">
        <v>0</v>
      </c>
      <c r="CX757" s="167">
        <f>SUM(CD757:CH757)</f>
        <v>0</v>
      </c>
      <c r="CY757" s="167">
        <f>SUM(CD757:CM757)</f>
        <v>92</v>
      </c>
    </row>
    <row r="758" spans="1:103" ht="12.75" customHeight="1" x14ac:dyDescent="0.2">
      <c r="A758" s="81">
        <v>2411</v>
      </c>
      <c r="B758" s="165" t="s">
        <v>1930</v>
      </c>
      <c r="C758" s="165" t="s">
        <v>1846</v>
      </c>
      <c r="D758" s="165" t="s">
        <v>508</v>
      </c>
      <c r="E758" s="165" t="s">
        <v>1982</v>
      </c>
      <c r="F758" s="165" t="s">
        <v>1848</v>
      </c>
      <c r="G758" s="81">
        <v>528934</v>
      </c>
      <c r="H758" s="81">
        <v>177496</v>
      </c>
      <c r="I758" s="165" t="s">
        <v>240</v>
      </c>
      <c r="J758" s="349">
        <v>42506</v>
      </c>
      <c r="L758" s="166">
        <v>0</v>
      </c>
      <c r="M758" s="166">
        <v>827</v>
      </c>
      <c r="N758" s="166">
        <v>827</v>
      </c>
      <c r="O758" s="166">
        <v>1363</v>
      </c>
      <c r="P758" s="166">
        <v>1363</v>
      </c>
      <c r="Q758" s="81" t="s">
        <v>155</v>
      </c>
      <c r="R758" s="165" t="s">
        <v>1849</v>
      </c>
      <c r="S758" s="81" t="s">
        <v>1998</v>
      </c>
      <c r="T758" s="349">
        <v>43010</v>
      </c>
      <c r="U758" s="349">
        <v>43066</v>
      </c>
      <c r="V758" s="81" t="s">
        <v>155</v>
      </c>
      <c r="W758" s="81" t="s">
        <v>114</v>
      </c>
      <c r="Y758" s="81" t="s">
        <v>115</v>
      </c>
      <c r="Z758" s="81" t="s">
        <v>116</v>
      </c>
      <c r="AA758" s="81" t="s">
        <v>116</v>
      </c>
      <c r="AB758" s="81" t="s">
        <v>117</v>
      </c>
      <c r="AC758" s="166">
        <v>1.044</v>
      </c>
      <c r="AD758" s="349"/>
      <c r="AG758" s="81" t="s">
        <v>238</v>
      </c>
      <c r="AH758" s="81" t="s">
        <v>118</v>
      </c>
      <c r="AI758" s="353" t="s">
        <v>1983</v>
      </c>
      <c r="AK758" s="166">
        <v>827</v>
      </c>
      <c r="AM758" s="166">
        <v>83</v>
      </c>
      <c r="AO758" s="166">
        <v>126</v>
      </c>
      <c r="AP758" s="166">
        <v>241</v>
      </c>
      <c r="AQ758" s="166">
        <v>362</v>
      </c>
      <c r="AR758" s="166">
        <v>68</v>
      </c>
      <c r="AS758" s="166">
        <v>11</v>
      </c>
      <c r="AT758" s="166">
        <v>19</v>
      </c>
      <c r="AU758" s="166">
        <v>0</v>
      </c>
      <c r="AV758" s="166">
        <v>126</v>
      </c>
      <c r="AW758" s="166">
        <v>241</v>
      </c>
      <c r="AX758" s="166">
        <v>362</v>
      </c>
      <c r="AY758" s="166">
        <v>68</v>
      </c>
      <c r="AZ758" s="166">
        <v>11</v>
      </c>
      <c r="BA758" s="166">
        <v>19</v>
      </c>
      <c r="BB758" s="166">
        <v>0</v>
      </c>
      <c r="BC758" s="166">
        <v>0</v>
      </c>
      <c r="BD758" s="166">
        <v>0</v>
      </c>
      <c r="BE758" s="166">
        <v>0</v>
      </c>
      <c r="BF758" s="166">
        <v>0</v>
      </c>
      <c r="BG758" s="166">
        <v>0</v>
      </c>
      <c r="BH758" s="166">
        <v>0</v>
      </c>
      <c r="BI758" s="166">
        <v>0</v>
      </c>
      <c r="BJ758" s="166">
        <v>0</v>
      </c>
      <c r="BK758" s="166">
        <v>0</v>
      </c>
      <c r="BL758" s="166">
        <v>0</v>
      </c>
      <c r="BM758" s="166">
        <v>0</v>
      </c>
      <c r="BN758" s="166">
        <v>0</v>
      </c>
      <c r="BO758" s="166">
        <v>0</v>
      </c>
      <c r="BP758" s="166">
        <v>0</v>
      </c>
      <c r="BQ758" s="81" t="s">
        <v>1759</v>
      </c>
      <c r="BS758" s="81" t="s">
        <v>155</v>
      </c>
      <c r="BZ758" s="81" t="s">
        <v>155</v>
      </c>
      <c r="CA758" s="81">
        <v>12</v>
      </c>
      <c r="CC758" s="167">
        <v>0</v>
      </c>
      <c r="CD758" s="167">
        <v>0</v>
      </c>
      <c r="CE758" s="167">
        <v>0</v>
      </c>
      <c r="CF758" s="167">
        <v>0</v>
      </c>
      <c r="CG758" s="167">
        <v>827</v>
      </c>
      <c r="CH758" s="167">
        <v>0</v>
      </c>
      <c r="CI758" s="167">
        <v>0</v>
      </c>
      <c r="CJ758" s="167">
        <v>0</v>
      </c>
      <c r="CK758" s="167">
        <v>0</v>
      </c>
      <c r="CL758" s="167">
        <v>0</v>
      </c>
      <c r="CM758" s="167">
        <v>0</v>
      </c>
      <c r="CN758" s="167">
        <v>0</v>
      </c>
      <c r="CO758" s="167">
        <v>0</v>
      </c>
      <c r="CP758" s="167">
        <v>0</v>
      </c>
      <c r="CQ758" s="167">
        <v>0</v>
      </c>
      <c r="CR758" s="167">
        <v>0</v>
      </c>
      <c r="CS758" s="167">
        <v>0</v>
      </c>
      <c r="CT758" s="167">
        <v>0</v>
      </c>
      <c r="CU758" s="167">
        <v>0</v>
      </c>
      <c r="CV758" s="167">
        <v>0</v>
      </c>
      <c r="CW758" s="167">
        <v>0</v>
      </c>
      <c r="CX758" s="167">
        <f>SUM(CD758:CH758)</f>
        <v>827</v>
      </c>
      <c r="CY758" s="167">
        <f>SUM(CD758:CM758)</f>
        <v>827</v>
      </c>
    </row>
    <row r="759" spans="1:103" ht="12.75" customHeight="1" x14ac:dyDescent="0.2">
      <c r="A759" s="81">
        <v>2427</v>
      </c>
      <c r="B759" s="165" t="s">
        <v>1930</v>
      </c>
      <c r="C759" s="165" t="s">
        <v>2477</v>
      </c>
      <c r="D759" s="165" t="s">
        <v>1648</v>
      </c>
      <c r="E759" s="165" t="s">
        <v>2478</v>
      </c>
      <c r="F759" s="165" t="s">
        <v>2363</v>
      </c>
      <c r="G759" s="81">
        <v>527695</v>
      </c>
      <c r="H759" s="81">
        <v>174450</v>
      </c>
      <c r="I759" s="165" t="s">
        <v>255</v>
      </c>
      <c r="L759" s="166">
        <v>2</v>
      </c>
      <c r="M759" s="166">
        <v>6</v>
      </c>
      <c r="N759" s="166">
        <v>4</v>
      </c>
      <c r="O759" s="166">
        <v>7</v>
      </c>
      <c r="P759" s="166">
        <v>5</v>
      </c>
      <c r="R759" s="165" t="s">
        <v>2479</v>
      </c>
      <c r="S759" s="81" t="s">
        <v>113</v>
      </c>
      <c r="T759" s="349">
        <v>43087</v>
      </c>
      <c r="U759" s="349">
        <v>43186</v>
      </c>
      <c r="V759" s="81" t="s">
        <v>155</v>
      </c>
      <c r="W759" s="81" t="s">
        <v>114</v>
      </c>
      <c r="Y759" s="81" t="s">
        <v>115</v>
      </c>
      <c r="Z759" s="81" t="s">
        <v>398</v>
      </c>
      <c r="AA759" s="81" t="s">
        <v>117</v>
      </c>
      <c r="AB759" s="81" t="s">
        <v>120</v>
      </c>
      <c r="AC759" s="166">
        <v>5.0000000745058101E-2</v>
      </c>
      <c r="AG759" s="81" t="s">
        <v>238</v>
      </c>
      <c r="AH759" s="81" t="s">
        <v>118</v>
      </c>
      <c r="AK759" s="166">
        <v>0</v>
      </c>
      <c r="AL759" s="166">
        <v>5</v>
      </c>
      <c r="AM759" s="166">
        <v>0</v>
      </c>
      <c r="AN759" s="166">
        <v>2</v>
      </c>
      <c r="AO759" s="166">
        <v>0</v>
      </c>
      <c r="AP759" s="166">
        <v>0</v>
      </c>
      <c r="AQ759" s="166">
        <v>3</v>
      </c>
      <c r="AR759" s="166">
        <v>3</v>
      </c>
      <c r="AS759" s="166">
        <v>-1</v>
      </c>
      <c r="AT759" s="166">
        <v>-1</v>
      </c>
      <c r="AU759" s="166">
        <v>0</v>
      </c>
      <c r="AV759" s="166">
        <v>0</v>
      </c>
      <c r="AW759" s="166">
        <v>0</v>
      </c>
      <c r="AX759" s="166">
        <v>3</v>
      </c>
      <c r="AY759" s="166">
        <v>3</v>
      </c>
      <c r="AZ759" s="166">
        <v>0</v>
      </c>
      <c r="BA759" s="166">
        <v>0</v>
      </c>
      <c r="BB759" s="166">
        <v>0</v>
      </c>
      <c r="BC759" s="166">
        <v>0</v>
      </c>
      <c r="BD759" s="166">
        <v>0</v>
      </c>
      <c r="BE759" s="166">
        <v>0</v>
      </c>
      <c r="BF759" s="166">
        <v>0</v>
      </c>
      <c r="BG759" s="166">
        <v>-1</v>
      </c>
      <c r="BH759" s="166">
        <v>-1</v>
      </c>
      <c r="BI759" s="166">
        <v>0</v>
      </c>
      <c r="BJ759" s="166">
        <v>0</v>
      </c>
      <c r="BK759" s="166">
        <v>0</v>
      </c>
      <c r="BL759" s="166">
        <v>0</v>
      </c>
      <c r="BM759" s="166">
        <v>0</v>
      </c>
      <c r="BN759" s="166">
        <v>0</v>
      </c>
      <c r="BO759" s="166">
        <v>0</v>
      </c>
      <c r="BP759" s="166">
        <v>0</v>
      </c>
      <c r="BQ759" s="81" t="s">
        <v>1757</v>
      </c>
      <c r="BZ759" s="81" t="s">
        <v>155</v>
      </c>
      <c r="CA759" s="81" t="s">
        <v>1957</v>
      </c>
      <c r="CC759" s="167">
        <v>0</v>
      </c>
      <c r="CD759" s="167">
        <f>N759</f>
        <v>4</v>
      </c>
      <c r="CE759" s="167">
        <v>0</v>
      </c>
      <c r="CF759" s="167">
        <v>0</v>
      </c>
      <c r="CG759" s="167">
        <v>0</v>
      </c>
      <c r="CH759" s="167">
        <v>0</v>
      </c>
      <c r="CI759" s="167">
        <v>0</v>
      </c>
      <c r="CJ759" s="167">
        <v>0</v>
      </c>
      <c r="CK759" s="167">
        <v>0</v>
      </c>
      <c r="CL759" s="167">
        <v>0</v>
      </c>
      <c r="CM759" s="167">
        <v>0</v>
      </c>
      <c r="CN759" s="167">
        <v>0</v>
      </c>
      <c r="CO759" s="167">
        <v>0</v>
      </c>
      <c r="CP759" s="167">
        <v>0</v>
      </c>
      <c r="CQ759" s="167">
        <v>0</v>
      </c>
      <c r="CR759" s="167">
        <v>0</v>
      </c>
      <c r="CS759" s="167">
        <v>0</v>
      </c>
      <c r="CT759" s="167">
        <v>0</v>
      </c>
      <c r="CU759" s="167">
        <v>0</v>
      </c>
      <c r="CV759" s="167">
        <v>0</v>
      </c>
      <c r="CW759" s="167">
        <v>0</v>
      </c>
      <c r="CX759" s="167">
        <f>SUM(CD759:CH759)</f>
        <v>4</v>
      </c>
      <c r="CY759" s="167">
        <f>SUM(CD759:CM759)</f>
        <v>4</v>
      </c>
    </row>
    <row r="760" spans="1:103" ht="12.75" customHeight="1" x14ac:dyDescent="0.2">
      <c r="A760" s="81">
        <v>2427</v>
      </c>
      <c r="B760" s="165" t="s">
        <v>1930</v>
      </c>
      <c r="C760" s="165" t="s">
        <v>2477</v>
      </c>
      <c r="D760" s="165" t="s">
        <v>1648</v>
      </c>
      <c r="E760" s="165" t="s">
        <v>2478</v>
      </c>
      <c r="F760" s="165" t="s">
        <v>2365</v>
      </c>
      <c r="G760" s="81">
        <v>527695</v>
      </c>
      <c r="H760" s="81">
        <v>174450</v>
      </c>
      <c r="I760" s="165" t="s">
        <v>255</v>
      </c>
      <c r="L760" s="166">
        <v>0</v>
      </c>
      <c r="M760" s="166">
        <v>1</v>
      </c>
      <c r="N760" s="166">
        <v>1</v>
      </c>
      <c r="O760" s="166">
        <v>7</v>
      </c>
      <c r="P760" s="166">
        <v>5</v>
      </c>
      <c r="R760" s="165" t="s">
        <v>2479</v>
      </c>
      <c r="S760" s="81" t="s">
        <v>113</v>
      </c>
      <c r="T760" s="349">
        <v>43087</v>
      </c>
      <c r="U760" s="349">
        <v>43186</v>
      </c>
      <c r="V760" s="81" t="s">
        <v>155</v>
      </c>
      <c r="W760" s="81" t="s">
        <v>114</v>
      </c>
      <c r="Y760" s="81" t="s">
        <v>115</v>
      </c>
      <c r="Z760" s="81" t="s">
        <v>398</v>
      </c>
      <c r="AA760" s="81" t="s">
        <v>117</v>
      </c>
      <c r="AB760" s="81" t="s">
        <v>218</v>
      </c>
      <c r="AC760" s="166">
        <v>9.9999997764825804E-3</v>
      </c>
      <c r="AG760" s="81" t="s">
        <v>238</v>
      </c>
      <c r="AH760" s="81" t="s">
        <v>118</v>
      </c>
      <c r="AK760" s="166">
        <v>0</v>
      </c>
      <c r="AM760" s="166">
        <v>0</v>
      </c>
      <c r="AO760" s="166">
        <v>0</v>
      </c>
      <c r="AP760" s="166">
        <v>0</v>
      </c>
      <c r="AQ760" s="166">
        <v>1</v>
      </c>
      <c r="AR760" s="166">
        <v>0</v>
      </c>
      <c r="AS760" s="166">
        <v>0</v>
      </c>
      <c r="AT760" s="166">
        <v>0</v>
      </c>
      <c r="AU760" s="166">
        <v>0</v>
      </c>
      <c r="AV760" s="166">
        <v>0</v>
      </c>
      <c r="AW760" s="166">
        <v>0</v>
      </c>
      <c r="AX760" s="166">
        <v>1</v>
      </c>
      <c r="AY760" s="166">
        <v>0</v>
      </c>
      <c r="AZ760" s="166">
        <v>0</v>
      </c>
      <c r="BA760" s="166">
        <v>0</v>
      </c>
      <c r="BB760" s="166">
        <v>0</v>
      </c>
      <c r="BC760" s="166">
        <v>0</v>
      </c>
      <c r="BD760" s="166">
        <v>0</v>
      </c>
      <c r="BE760" s="166">
        <v>0</v>
      </c>
      <c r="BF760" s="166">
        <v>0</v>
      </c>
      <c r="BG760" s="166">
        <v>0</v>
      </c>
      <c r="BH760" s="166">
        <v>0</v>
      </c>
      <c r="BI760" s="166">
        <v>0</v>
      </c>
      <c r="BJ760" s="166">
        <v>0</v>
      </c>
      <c r="BK760" s="166">
        <v>0</v>
      </c>
      <c r="BL760" s="166">
        <v>0</v>
      </c>
      <c r="BM760" s="166">
        <v>0</v>
      </c>
      <c r="BN760" s="166">
        <v>0</v>
      </c>
      <c r="BO760" s="166">
        <v>0</v>
      </c>
      <c r="BP760" s="166">
        <v>0</v>
      </c>
      <c r="BQ760" s="81" t="s">
        <v>1757</v>
      </c>
      <c r="BZ760" s="81" t="s">
        <v>155</v>
      </c>
      <c r="CA760" s="81" t="s">
        <v>1957</v>
      </c>
      <c r="CC760" s="167">
        <v>0</v>
      </c>
      <c r="CD760" s="167">
        <f>N760</f>
        <v>1</v>
      </c>
      <c r="CE760" s="167">
        <v>0</v>
      </c>
      <c r="CF760" s="167">
        <v>0</v>
      </c>
      <c r="CG760" s="167">
        <v>0</v>
      </c>
      <c r="CH760" s="167">
        <v>0</v>
      </c>
      <c r="CI760" s="167">
        <v>0</v>
      </c>
      <c r="CJ760" s="167">
        <v>0</v>
      </c>
      <c r="CK760" s="167">
        <v>0</v>
      </c>
      <c r="CL760" s="167">
        <v>0</v>
      </c>
      <c r="CM760" s="167">
        <v>0</v>
      </c>
      <c r="CN760" s="167">
        <v>0</v>
      </c>
      <c r="CO760" s="167">
        <v>0</v>
      </c>
      <c r="CP760" s="167">
        <v>0</v>
      </c>
      <c r="CQ760" s="167">
        <v>0</v>
      </c>
      <c r="CR760" s="167">
        <v>0</v>
      </c>
      <c r="CS760" s="167">
        <v>0</v>
      </c>
      <c r="CT760" s="167">
        <v>0</v>
      </c>
      <c r="CU760" s="167">
        <v>0</v>
      </c>
      <c r="CV760" s="167">
        <v>0</v>
      </c>
      <c r="CW760" s="167">
        <v>0</v>
      </c>
      <c r="CX760" s="167">
        <f>SUM(CD760:CH760)</f>
        <v>1</v>
      </c>
      <c r="CY760" s="167">
        <f>SUM(CD760:CM760)</f>
        <v>1</v>
      </c>
    </row>
    <row r="761" spans="1:103" ht="12.75" customHeight="1" x14ac:dyDescent="0.2">
      <c r="A761" s="81">
        <v>2530</v>
      </c>
      <c r="B761" s="165" t="s">
        <v>1930</v>
      </c>
      <c r="C761" s="165" t="s">
        <v>2480</v>
      </c>
      <c r="E761" s="165" t="s">
        <v>2481</v>
      </c>
      <c r="G761" s="81">
        <v>527684</v>
      </c>
      <c r="H761" s="81">
        <v>171814</v>
      </c>
      <c r="I761" s="165" t="s">
        <v>242</v>
      </c>
      <c r="L761" s="166">
        <v>3</v>
      </c>
      <c r="M761" s="166">
        <v>3</v>
      </c>
      <c r="N761" s="166">
        <v>0</v>
      </c>
      <c r="O761" s="166">
        <v>4</v>
      </c>
      <c r="P761" s="166">
        <v>1</v>
      </c>
      <c r="R761" s="165" t="s">
        <v>2482</v>
      </c>
      <c r="S761" s="81" t="s">
        <v>113</v>
      </c>
      <c r="T761" s="349">
        <v>43040</v>
      </c>
      <c r="U761" s="349">
        <v>43112</v>
      </c>
      <c r="V761" s="81" t="s">
        <v>155</v>
      </c>
      <c r="W761" s="81" t="s">
        <v>114</v>
      </c>
      <c r="Y761" s="81" t="s">
        <v>115</v>
      </c>
      <c r="Z761" s="81" t="s">
        <v>398</v>
      </c>
      <c r="AA761" s="81" t="s">
        <v>117</v>
      </c>
      <c r="AB761" s="81" t="s">
        <v>220</v>
      </c>
      <c r="AC761" s="166">
        <v>2.70000007003546E-2</v>
      </c>
      <c r="AG761" s="81" t="s">
        <v>238</v>
      </c>
      <c r="AH761" s="81" t="s">
        <v>118</v>
      </c>
      <c r="AK761" s="166">
        <v>0</v>
      </c>
      <c r="AM761" s="166">
        <v>0</v>
      </c>
      <c r="AO761" s="166">
        <v>0</v>
      </c>
      <c r="AP761" s="166">
        <v>0</v>
      </c>
      <c r="AQ761" s="166">
        <v>-1</v>
      </c>
      <c r="AR761" s="166">
        <v>1</v>
      </c>
      <c r="AS761" s="166">
        <v>0</v>
      </c>
      <c r="AT761" s="166">
        <v>0</v>
      </c>
      <c r="AU761" s="166">
        <v>0</v>
      </c>
      <c r="AV761" s="166">
        <v>0</v>
      </c>
      <c r="AW761" s="166">
        <v>0</v>
      </c>
      <c r="AX761" s="166">
        <v>-1</v>
      </c>
      <c r="AY761" s="166">
        <v>1</v>
      </c>
      <c r="AZ761" s="166">
        <v>0</v>
      </c>
      <c r="BA761" s="166">
        <v>0</v>
      </c>
      <c r="BB761" s="166">
        <v>0</v>
      </c>
      <c r="BC761" s="166">
        <v>0</v>
      </c>
      <c r="BD761" s="166">
        <v>0</v>
      </c>
      <c r="BE761" s="166">
        <v>0</v>
      </c>
      <c r="BF761" s="166">
        <v>0</v>
      </c>
      <c r="BG761" s="166">
        <v>0</v>
      </c>
      <c r="BH761" s="166">
        <v>0</v>
      </c>
      <c r="BI761" s="166">
        <v>0</v>
      </c>
      <c r="BJ761" s="166">
        <v>0</v>
      </c>
      <c r="BK761" s="166">
        <v>0</v>
      </c>
      <c r="BL761" s="166">
        <v>0</v>
      </c>
      <c r="BM761" s="166">
        <v>0</v>
      </c>
      <c r="BN761" s="166">
        <v>0</v>
      </c>
      <c r="BO761" s="166">
        <v>0</v>
      </c>
      <c r="BP761" s="166">
        <v>0</v>
      </c>
      <c r="BQ761" s="81" t="s">
        <v>1757</v>
      </c>
      <c r="BR761" s="81" t="s">
        <v>242</v>
      </c>
      <c r="BZ761" s="81" t="s">
        <v>155</v>
      </c>
      <c r="CA761" s="81" t="s">
        <v>1937</v>
      </c>
      <c r="CC761" s="167">
        <v>0</v>
      </c>
      <c r="CD761" s="167">
        <f>$N761/4</f>
        <v>0</v>
      </c>
      <c r="CE761" s="167">
        <f>$N761/4</f>
        <v>0</v>
      </c>
      <c r="CF761" s="167">
        <f>$N761/4</f>
        <v>0</v>
      </c>
      <c r="CG761" s="167">
        <f>$N761/4</f>
        <v>0</v>
      </c>
      <c r="CH761" s="167">
        <v>0</v>
      </c>
      <c r="CI761" s="167">
        <v>0</v>
      </c>
      <c r="CJ761" s="167">
        <v>0</v>
      </c>
      <c r="CK761" s="167">
        <v>0</v>
      </c>
      <c r="CL761" s="167">
        <v>0</v>
      </c>
      <c r="CM761" s="167">
        <v>0</v>
      </c>
      <c r="CN761" s="167">
        <v>0</v>
      </c>
      <c r="CO761" s="167">
        <v>0</v>
      </c>
      <c r="CP761" s="167">
        <v>0</v>
      </c>
      <c r="CQ761" s="167">
        <v>0</v>
      </c>
      <c r="CR761" s="167">
        <v>0</v>
      </c>
      <c r="CS761" s="167">
        <v>0</v>
      </c>
      <c r="CT761" s="167">
        <v>0</v>
      </c>
      <c r="CU761" s="167">
        <v>0</v>
      </c>
      <c r="CV761" s="167">
        <v>0</v>
      </c>
      <c r="CW761" s="167">
        <v>0</v>
      </c>
      <c r="CX761" s="167">
        <f>SUM(CD761:CH761)</f>
        <v>0</v>
      </c>
      <c r="CY761" s="167">
        <f>SUM(CD761:CM761)</f>
        <v>0</v>
      </c>
    </row>
    <row r="762" spans="1:103" ht="12.75" customHeight="1" x14ac:dyDescent="0.2">
      <c r="A762" s="81">
        <v>2530</v>
      </c>
      <c r="B762" s="165" t="s">
        <v>1930</v>
      </c>
      <c r="C762" s="165" t="s">
        <v>2480</v>
      </c>
      <c r="E762" s="165" t="s">
        <v>2481</v>
      </c>
      <c r="G762" s="81">
        <v>527684</v>
      </c>
      <c r="H762" s="81">
        <v>171814</v>
      </c>
      <c r="I762" s="165" t="s">
        <v>242</v>
      </c>
      <c r="L762" s="166">
        <v>0</v>
      </c>
      <c r="M762" s="166">
        <v>1</v>
      </c>
      <c r="N762" s="166">
        <v>1</v>
      </c>
      <c r="O762" s="166">
        <v>4</v>
      </c>
      <c r="P762" s="166">
        <v>1</v>
      </c>
      <c r="R762" s="165" t="s">
        <v>2482</v>
      </c>
      <c r="S762" s="81" t="s">
        <v>113</v>
      </c>
      <c r="T762" s="349">
        <v>43040</v>
      </c>
      <c r="U762" s="349">
        <v>43112</v>
      </c>
      <c r="V762" s="81" t="s">
        <v>155</v>
      </c>
      <c r="W762" s="81" t="s">
        <v>114</v>
      </c>
      <c r="Y762" s="81" t="s">
        <v>115</v>
      </c>
      <c r="Z762" s="81" t="s">
        <v>398</v>
      </c>
      <c r="AA762" s="81" t="s">
        <v>117</v>
      </c>
      <c r="AB762" s="81" t="s">
        <v>218</v>
      </c>
      <c r="AC762" s="166">
        <v>4.9999998882412902E-3</v>
      </c>
      <c r="AG762" s="81" t="s">
        <v>238</v>
      </c>
      <c r="AH762" s="81" t="s">
        <v>118</v>
      </c>
      <c r="AK762" s="166">
        <v>0</v>
      </c>
      <c r="AM762" s="166">
        <v>0</v>
      </c>
      <c r="AO762" s="166">
        <v>0</v>
      </c>
      <c r="AP762" s="166">
        <v>0</v>
      </c>
      <c r="AQ762" s="166">
        <v>1</v>
      </c>
      <c r="AR762" s="166">
        <v>0</v>
      </c>
      <c r="AS762" s="166">
        <v>0</v>
      </c>
      <c r="AT762" s="166">
        <v>0</v>
      </c>
      <c r="AU762" s="166">
        <v>0</v>
      </c>
      <c r="AV762" s="166">
        <v>0</v>
      </c>
      <c r="AW762" s="166">
        <v>0</v>
      </c>
      <c r="AX762" s="166">
        <v>1</v>
      </c>
      <c r="AY762" s="166">
        <v>0</v>
      </c>
      <c r="AZ762" s="166">
        <v>0</v>
      </c>
      <c r="BA762" s="166">
        <v>0</v>
      </c>
      <c r="BB762" s="166">
        <v>0</v>
      </c>
      <c r="BC762" s="166">
        <v>0</v>
      </c>
      <c r="BD762" s="166">
        <v>0</v>
      </c>
      <c r="BE762" s="166">
        <v>0</v>
      </c>
      <c r="BF762" s="166">
        <v>0</v>
      </c>
      <c r="BG762" s="166">
        <v>0</v>
      </c>
      <c r="BH762" s="166">
        <v>0</v>
      </c>
      <c r="BI762" s="166">
        <v>0</v>
      </c>
      <c r="BJ762" s="166">
        <v>0</v>
      </c>
      <c r="BK762" s="166">
        <v>0</v>
      </c>
      <c r="BL762" s="166">
        <v>0</v>
      </c>
      <c r="BM762" s="166">
        <v>0</v>
      </c>
      <c r="BN762" s="166">
        <v>0</v>
      </c>
      <c r="BO762" s="166">
        <v>0</v>
      </c>
      <c r="BP762" s="166">
        <v>0</v>
      </c>
      <c r="BQ762" s="81" t="s">
        <v>1757</v>
      </c>
      <c r="BR762" s="81" t="s">
        <v>242</v>
      </c>
      <c r="BZ762" s="81" t="s">
        <v>155</v>
      </c>
      <c r="CA762" s="81" t="s">
        <v>1937</v>
      </c>
      <c r="CC762" s="167">
        <v>0</v>
      </c>
      <c r="CD762" s="167">
        <f>$N762/4</f>
        <v>0.25</v>
      </c>
      <c r="CE762" s="167">
        <f>$N762/4</f>
        <v>0.25</v>
      </c>
      <c r="CF762" s="167">
        <f>$N762/4</f>
        <v>0.25</v>
      </c>
      <c r="CG762" s="167">
        <f>$N762/4</f>
        <v>0.25</v>
      </c>
      <c r="CH762" s="167">
        <v>0</v>
      </c>
      <c r="CI762" s="167">
        <v>0</v>
      </c>
      <c r="CJ762" s="167">
        <v>0</v>
      </c>
      <c r="CK762" s="167">
        <v>0</v>
      </c>
      <c r="CL762" s="167">
        <v>0</v>
      </c>
      <c r="CM762" s="167">
        <v>0</v>
      </c>
      <c r="CN762" s="167">
        <v>0</v>
      </c>
      <c r="CO762" s="167">
        <v>0</v>
      </c>
      <c r="CP762" s="167">
        <v>0</v>
      </c>
      <c r="CQ762" s="167">
        <v>0</v>
      </c>
      <c r="CR762" s="167">
        <v>0</v>
      </c>
      <c r="CS762" s="167">
        <v>0</v>
      </c>
      <c r="CT762" s="167">
        <v>0</v>
      </c>
      <c r="CU762" s="167">
        <v>0</v>
      </c>
      <c r="CV762" s="167">
        <v>0</v>
      </c>
      <c r="CW762" s="167">
        <v>0</v>
      </c>
      <c r="CX762" s="167">
        <f>SUM(CD762:CH762)</f>
        <v>1</v>
      </c>
      <c r="CY762" s="167">
        <f>SUM(CD762:CM762)</f>
        <v>1</v>
      </c>
    </row>
    <row r="763" spans="1:103" ht="12.75" customHeight="1" x14ac:dyDescent="0.2">
      <c r="A763" s="81">
        <v>2566</v>
      </c>
      <c r="B763" s="165" t="s">
        <v>1930</v>
      </c>
      <c r="C763" s="165" t="s">
        <v>2483</v>
      </c>
      <c r="D763" s="165" t="s">
        <v>2484</v>
      </c>
      <c r="E763" s="165" t="s">
        <v>2485</v>
      </c>
      <c r="G763" s="81">
        <v>527216</v>
      </c>
      <c r="H763" s="81">
        <v>175354</v>
      </c>
      <c r="I763" s="165" t="s">
        <v>255</v>
      </c>
      <c r="L763" s="166">
        <v>0</v>
      </c>
      <c r="M763" s="166">
        <v>2</v>
      </c>
      <c r="N763" s="166">
        <v>2</v>
      </c>
      <c r="O763" s="166">
        <v>2</v>
      </c>
      <c r="P763" s="166">
        <v>2</v>
      </c>
      <c r="R763" s="165" t="s">
        <v>2486</v>
      </c>
      <c r="S763" s="81" t="s">
        <v>113</v>
      </c>
      <c r="T763" s="349">
        <v>43042</v>
      </c>
      <c r="U763" s="349">
        <v>43147</v>
      </c>
      <c r="V763" s="81" t="s">
        <v>155</v>
      </c>
      <c r="W763" s="81" t="s">
        <v>114</v>
      </c>
      <c r="Y763" s="81" t="s">
        <v>115</v>
      </c>
      <c r="Z763" s="81" t="s">
        <v>398</v>
      </c>
      <c r="AA763" s="81" t="s">
        <v>117</v>
      </c>
      <c r="AB763" s="81" t="s">
        <v>218</v>
      </c>
      <c r="AC763" s="166">
        <v>7.0000002160668399E-3</v>
      </c>
      <c r="AG763" s="81" t="s">
        <v>238</v>
      </c>
      <c r="AH763" s="81" t="s">
        <v>118</v>
      </c>
      <c r="AK763" s="166">
        <v>0</v>
      </c>
      <c r="AM763" s="166">
        <v>0</v>
      </c>
      <c r="AO763" s="166">
        <v>0</v>
      </c>
      <c r="AP763" s="166">
        <v>0</v>
      </c>
      <c r="AQ763" s="166">
        <v>2</v>
      </c>
      <c r="AR763" s="166">
        <v>0</v>
      </c>
      <c r="AS763" s="166">
        <v>0</v>
      </c>
      <c r="AT763" s="166">
        <v>0</v>
      </c>
      <c r="AU763" s="166">
        <v>0</v>
      </c>
      <c r="AV763" s="166">
        <v>0</v>
      </c>
      <c r="AW763" s="166">
        <v>0</v>
      </c>
      <c r="AX763" s="166">
        <v>2</v>
      </c>
      <c r="AY763" s="166">
        <v>0</v>
      </c>
      <c r="AZ763" s="166">
        <v>0</v>
      </c>
      <c r="BA763" s="166">
        <v>0</v>
      </c>
      <c r="BB763" s="166">
        <v>0</v>
      </c>
      <c r="BC763" s="166">
        <v>0</v>
      </c>
      <c r="BD763" s="166">
        <v>0</v>
      </c>
      <c r="BE763" s="166">
        <v>0</v>
      </c>
      <c r="BF763" s="166">
        <v>0</v>
      </c>
      <c r="BG763" s="166">
        <v>0</v>
      </c>
      <c r="BH763" s="166">
        <v>0</v>
      </c>
      <c r="BI763" s="166">
        <v>0</v>
      </c>
      <c r="BJ763" s="166">
        <v>0</v>
      </c>
      <c r="BK763" s="166">
        <v>0</v>
      </c>
      <c r="BL763" s="166">
        <v>0</v>
      </c>
      <c r="BM763" s="166">
        <v>0</v>
      </c>
      <c r="BN763" s="166">
        <v>0</v>
      </c>
      <c r="BO763" s="166">
        <v>0</v>
      </c>
      <c r="BP763" s="166">
        <v>0</v>
      </c>
      <c r="BQ763" s="81" t="s">
        <v>1757</v>
      </c>
      <c r="BR763" s="81" t="s">
        <v>160</v>
      </c>
      <c r="BZ763" s="81" t="s">
        <v>155</v>
      </c>
      <c r="CA763" s="81" t="s">
        <v>1937</v>
      </c>
      <c r="CC763" s="167">
        <v>0</v>
      </c>
      <c r="CD763" s="167">
        <f>$N763/4</f>
        <v>0.5</v>
      </c>
      <c r="CE763" s="167">
        <f>$N763/4</f>
        <v>0.5</v>
      </c>
      <c r="CF763" s="167">
        <f>$N763/4</f>
        <v>0.5</v>
      </c>
      <c r="CG763" s="167">
        <f>$N763/4</f>
        <v>0.5</v>
      </c>
      <c r="CH763" s="167">
        <v>0</v>
      </c>
      <c r="CI763" s="167">
        <v>0</v>
      </c>
      <c r="CJ763" s="167">
        <v>0</v>
      </c>
      <c r="CK763" s="167">
        <v>0</v>
      </c>
      <c r="CL763" s="167">
        <v>0</v>
      </c>
      <c r="CM763" s="167">
        <v>0</v>
      </c>
      <c r="CN763" s="167">
        <v>0</v>
      </c>
      <c r="CO763" s="167">
        <v>0</v>
      </c>
      <c r="CP763" s="167">
        <v>0</v>
      </c>
      <c r="CQ763" s="167">
        <v>0</v>
      </c>
      <c r="CR763" s="167">
        <v>0</v>
      </c>
      <c r="CS763" s="167">
        <v>0</v>
      </c>
      <c r="CT763" s="167">
        <v>0</v>
      </c>
      <c r="CU763" s="167">
        <v>0</v>
      </c>
      <c r="CV763" s="167">
        <v>0</v>
      </c>
      <c r="CW763" s="167">
        <v>0</v>
      </c>
      <c r="CX763" s="167">
        <f>SUM(CD763:CH763)</f>
        <v>2</v>
      </c>
      <c r="CY763" s="167">
        <f>SUM(CD763:CM763)</f>
        <v>2</v>
      </c>
    </row>
    <row r="764" spans="1:103" ht="12.75" customHeight="1" x14ac:dyDescent="0.2">
      <c r="A764" s="81">
        <v>2634</v>
      </c>
      <c r="B764" s="165" t="s">
        <v>1930</v>
      </c>
      <c r="C764" s="165" t="s">
        <v>2487</v>
      </c>
      <c r="E764" s="165" t="s">
        <v>2488</v>
      </c>
      <c r="G764" s="81">
        <v>525348</v>
      </c>
      <c r="H764" s="81">
        <v>174690</v>
      </c>
      <c r="I764" s="165" t="s">
        <v>251</v>
      </c>
      <c r="L764" s="166">
        <v>2</v>
      </c>
      <c r="M764" s="166">
        <v>8</v>
      </c>
      <c r="N764" s="166">
        <v>6</v>
      </c>
      <c r="O764" s="166">
        <v>8</v>
      </c>
      <c r="P764" s="166">
        <v>6</v>
      </c>
      <c r="R764" s="165" t="s">
        <v>2489</v>
      </c>
      <c r="S764" s="81" t="s">
        <v>113</v>
      </c>
      <c r="T764" s="349">
        <v>43108</v>
      </c>
      <c r="U764" s="349">
        <v>43182</v>
      </c>
      <c r="V764" s="81" t="s">
        <v>155</v>
      </c>
      <c r="W764" s="81" t="s">
        <v>114</v>
      </c>
      <c r="Y764" s="81" t="s">
        <v>115</v>
      </c>
      <c r="Z764" s="81" t="s">
        <v>116</v>
      </c>
      <c r="AA764" s="81" t="s">
        <v>117</v>
      </c>
      <c r="AB764" s="81" t="s">
        <v>218</v>
      </c>
      <c r="AC764" s="166">
        <v>1.4000000432133701E-2</v>
      </c>
      <c r="AG764" s="81" t="s">
        <v>238</v>
      </c>
      <c r="AH764" s="81" t="s">
        <v>118</v>
      </c>
      <c r="AK764" s="166">
        <v>0</v>
      </c>
      <c r="AL764" s="166">
        <v>7</v>
      </c>
      <c r="AM764" s="166">
        <v>0</v>
      </c>
      <c r="AN764" s="166">
        <v>1</v>
      </c>
      <c r="AO764" s="166">
        <v>1</v>
      </c>
      <c r="AP764" s="166">
        <v>4</v>
      </c>
      <c r="AQ764" s="166">
        <v>1</v>
      </c>
      <c r="AR764" s="166">
        <v>0</v>
      </c>
      <c r="AS764" s="166">
        <v>0</v>
      </c>
      <c r="AT764" s="166">
        <v>0</v>
      </c>
      <c r="AU764" s="166">
        <v>0</v>
      </c>
      <c r="AV764" s="166">
        <v>1</v>
      </c>
      <c r="AW764" s="166">
        <v>4</v>
      </c>
      <c r="AX764" s="166">
        <v>1</v>
      </c>
      <c r="AY764" s="166">
        <v>0</v>
      </c>
      <c r="AZ764" s="166">
        <v>0</v>
      </c>
      <c r="BA764" s="166">
        <v>0</v>
      </c>
      <c r="BB764" s="166">
        <v>0</v>
      </c>
      <c r="BC764" s="166">
        <v>0</v>
      </c>
      <c r="BD764" s="166">
        <v>0</v>
      </c>
      <c r="BE764" s="166">
        <v>0</v>
      </c>
      <c r="BF764" s="166">
        <v>0</v>
      </c>
      <c r="BG764" s="166">
        <v>0</v>
      </c>
      <c r="BH764" s="166">
        <v>0</v>
      </c>
      <c r="BI764" s="166">
        <v>0</v>
      </c>
      <c r="BJ764" s="166">
        <v>0</v>
      </c>
      <c r="BK764" s="166">
        <v>0</v>
      </c>
      <c r="BL764" s="166">
        <v>0</v>
      </c>
      <c r="BM764" s="166">
        <v>0</v>
      </c>
      <c r="BN764" s="166">
        <v>0</v>
      </c>
      <c r="BO764" s="166">
        <v>0</v>
      </c>
      <c r="BP764" s="166">
        <v>0</v>
      </c>
      <c r="BQ764" s="81" t="s">
        <v>1758</v>
      </c>
      <c r="BR764" s="81" t="s">
        <v>202</v>
      </c>
      <c r="BT764" s="81" t="s">
        <v>155</v>
      </c>
      <c r="BZ764" s="81" t="s">
        <v>155</v>
      </c>
      <c r="CA764" s="81" t="s">
        <v>3968</v>
      </c>
      <c r="CC764" s="167">
        <v>0</v>
      </c>
      <c r="CD764" s="167">
        <v>0</v>
      </c>
      <c r="CE764" s="167">
        <v>0</v>
      </c>
      <c r="CF764" s="167">
        <v>0</v>
      </c>
      <c r="CG764" s="167">
        <f>$N764/3</f>
        <v>2</v>
      </c>
      <c r="CH764" s="167">
        <f>$N764/3</f>
        <v>2</v>
      </c>
      <c r="CI764" s="167">
        <f>$N764/3</f>
        <v>2</v>
      </c>
      <c r="CJ764" s="167">
        <v>0</v>
      </c>
      <c r="CK764" s="167">
        <v>0</v>
      </c>
      <c r="CL764" s="167">
        <v>0</v>
      </c>
      <c r="CM764" s="167">
        <v>0</v>
      </c>
      <c r="CN764" s="167">
        <v>0</v>
      </c>
      <c r="CO764" s="167">
        <v>0</v>
      </c>
      <c r="CP764" s="167">
        <v>0</v>
      </c>
      <c r="CQ764" s="167">
        <v>0</v>
      </c>
      <c r="CR764" s="167">
        <v>0</v>
      </c>
      <c r="CS764" s="167">
        <v>0</v>
      </c>
      <c r="CT764" s="167">
        <v>0</v>
      </c>
      <c r="CU764" s="167">
        <v>0</v>
      </c>
      <c r="CV764" s="167">
        <v>0</v>
      </c>
      <c r="CW764" s="167">
        <v>0</v>
      </c>
      <c r="CX764" s="167">
        <f>SUM(CD764:CH764)</f>
        <v>4</v>
      </c>
      <c r="CY764" s="167">
        <f>SUM(CD764:CM764)</f>
        <v>6</v>
      </c>
    </row>
    <row r="765" spans="1:103" ht="12.75" customHeight="1" x14ac:dyDescent="0.2">
      <c r="A765" s="81">
        <v>2707</v>
      </c>
      <c r="B765" s="165" t="s">
        <v>1930</v>
      </c>
      <c r="C765" s="165" t="s">
        <v>1392</v>
      </c>
      <c r="E765" s="165" t="s">
        <v>2490</v>
      </c>
      <c r="G765" s="81">
        <v>528836</v>
      </c>
      <c r="H765" s="81">
        <v>172626</v>
      </c>
      <c r="I765" s="165" t="s">
        <v>248</v>
      </c>
      <c r="L765" s="166">
        <v>0</v>
      </c>
      <c r="M765" s="166">
        <v>1</v>
      </c>
      <c r="N765" s="166">
        <v>1</v>
      </c>
      <c r="O765" s="166">
        <v>1</v>
      </c>
      <c r="P765" s="166">
        <v>1</v>
      </c>
      <c r="R765" s="165" t="s">
        <v>1393</v>
      </c>
      <c r="S765" s="81" t="s">
        <v>113</v>
      </c>
      <c r="T765" s="349">
        <v>42604</v>
      </c>
      <c r="U765" s="349">
        <v>42660</v>
      </c>
      <c r="W765" s="81" t="s">
        <v>114</v>
      </c>
      <c r="Y765" s="81" t="s">
        <v>115</v>
      </c>
      <c r="Z765" s="81" t="s">
        <v>116</v>
      </c>
      <c r="AA765" s="81" t="s">
        <v>117</v>
      </c>
      <c r="AB765" s="81" t="s">
        <v>218</v>
      </c>
      <c r="AC765" s="166">
        <v>4.9999998882412902E-3</v>
      </c>
      <c r="AG765" s="81" t="s">
        <v>238</v>
      </c>
      <c r="AH765" s="81" t="s">
        <v>118</v>
      </c>
      <c r="AK765" s="166">
        <v>0</v>
      </c>
      <c r="AM765" s="166">
        <v>0</v>
      </c>
      <c r="AO765" s="166">
        <v>0</v>
      </c>
      <c r="AP765" s="166">
        <v>1</v>
      </c>
      <c r="AQ765" s="166">
        <v>0</v>
      </c>
      <c r="AR765" s="166">
        <v>0</v>
      </c>
      <c r="AS765" s="166">
        <v>0</v>
      </c>
      <c r="AT765" s="166">
        <v>0</v>
      </c>
      <c r="AU765" s="166">
        <v>0</v>
      </c>
      <c r="AV765" s="166">
        <v>0</v>
      </c>
      <c r="AW765" s="166">
        <v>0</v>
      </c>
      <c r="AX765" s="166">
        <v>0</v>
      </c>
      <c r="AY765" s="166">
        <v>0</v>
      </c>
      <c r="AZ765" s="166">
        <v>0</v>
      </c>
      <c r="BA765" s="166">
        <v>0</v>
      </c>
      <c r="BB765" s="166">
        <v>0</v>
      </c>
      <c r="BC765" s="166">
        <v>0</v>
      </c>
      <c r="BD765" s="166">
        <v>1</v>
      </c>
      <c r="BE765" s="166">
        <v>0</v>
      </c>
      <c r="BF765" s="166">
        <v>0</v>
      </c>
      <c r="BG765" s="166">
        <v>0</v>
      </c>
      <c r="BH765" s="166">
        <v>0</v>
      </c>
      <c r="BI765" s="166">
        <v>0</v>
      </c>
      <c r="BJ765" s="166">
        <v>0</v>
      </c>
      <c r="BK765" s="166">
        <v>0</v>
      </c>
      <c r="BL765" s="166">
        <v>0</v>
      </c>
      <c r="BM765" s="166">
        <v>0</v>
      </c>
      <c r="BN765" s="166">
        <v>0</v>
      </c>
      <c r="BO765" s="166">
        <v>0</v>
      </c>
      <c r="BP765" s="166">
        <v>0</v>
      </c>
      <c r="BQ765" s="81" t="s">
        <v>1757</v>
      </c>
      <c r="BZ765" s="81" t="s">
        <v>155</v>
      </c>
      <c r="CA765" s="81">
        <v>4</v>
      </c>
      <c r="CC765" s="167">
        <v>0</v>
      </c>
      <c r="CD765" s="167">
        <v>0</v>
      </c>
      <c r="CE765" s="167">
        <f>$N765/4</f>
        <v>0.25</v>
      </c>
      <c r="CF765" s="167">
        <f>$N765/4</f>
        <v>0.25</v>
      </c>
      <c r="CG765" s="167">
        <f>$N765/4</f>
        <v>0.25</v>
      </c>
      <c r="CH765" s="167">
        <f>$N765/4</f>
        <v>0.25</v>
      </c>
      <c r="CI765" s="167">
        <v>0</v>
      </c>
      <c r="CJ765" s="167">
        <v>0</v>
      </c>
      <c r="CK765" s="167">
        <v>0</v>
      </c>
      <c r="CL765" s="167">
        <v>0</v>
      </c>
      <c r="CM765" s="167">
        <v>0</v>
      </c>
      <c r="CN765" s="167">
        <v>0</v>
      </c>
      <c r="CO765" s="167">
        <v>0</v>
      </c>
      <c r="CP765" s="167">
        <v>0</v>
      </c>
      <c r="CQ765" s="167">
        <v>0</v>
      </c>
      <c r="CR765" s="167">
        <v>0</v>
      </c>
      <c r="CS765" s="167">
        <v>0</v>
      </c>
      <c r="CT765" s="167">
        <v>0</v>
      </c>
      <c r="CU765" s="167">
        <v>0</v>
      </c>
      <c r="CV765" s="167">
        <v>0</v>
      </c>
      <c r="CW765" s="167">
        <v>0</v>
      </c>
      <c r="CX765" s="167">
        <f>SUM(CD765:CH765)</f>
        <v>1</v>
      </c>
      <c r="CY765" s="167">
        <f>SUM(CD765:CM765)</f>
        <v>1</v>
      </c>
    </row>
    <row r="766" spans="1:103" ht="12.75" customHeight="1" x14ac:dyDescent="0.2">
      <c r="A766" s="81">
        <v>2793</v>
      </c>
      <c r="B766" s="165" t="s">
        <v>1930</v>
      </c>
      <c r="C766" s="165" t="s">
        <v>1288</v>
      </c>
      <c r="E766" s="165" t="s">
        <v>2473</v>
      </c>
      <c r="G766" s="81">
        <v>524772</v>
      </c>
      <c r="H766" s="81">
        <v>173313</v>
      </c>
      <c r="I766" s="165" t="s">
        <v>258</v>
      </c>
      <c r="L766" s="166">
        <v>0</v>
      </c>
      <c r="M766" s="166">
        <v>1</v>
      </c>
      <c r="N766" s="166">
        <v>1</v>
      </c>
      <c r="O766" s="166">
        <v>1</v>
      </c>
      <c r="P766" s="166">
        <v>1</v>
      </c>
      <c r="R766" s="165" t="s">
        <v>1289</v>
      </c>
      <c r="S766" s="81" t="s">
        <v>270</v>
      </c>
      <c r="T766" s="349">
        <v>42535</v>
      </c>
      <c r="U766" s="349">
        <v>42586</v>
      </c>
      <c r="W766" s="81" t="s">
        <v>114</v>
      </c>
      <c r="Y766" s="81" t="s">
        <v>115</v>
      </c>
      <c r="Z766" s="81" t="s">
        <v>310</v>
      </c>
      <c r="AA766" s="81" t="s">
        <v>117</v>
      </c>
      <c r="AB766" s="81" t="s">
        <v>399</v>
      </c>
      <c r="AC766" s="166">
        <v>3.0000000260770299E-3</v>
      </c>
      <c r="AG766" s="81" t="s">
        <v>238</v>
      </c>
      <c r="AH766" s="81" t="s">
        <v>118</v>
      </c>
      <c r="AK766" s="166">
        <v>0</v>
      </c>
      <c r="AM766" s="166">
        <v>0</v>
      </c>
      <c r="AO766" s="166">
        <v>1</v>
      </c>
      <c r="AP766" s="166">
        <v>0</v>
      </c>
      <c r="AQ766" s="166">
        <v>0</v>
      </c>
      <c r="AR766" s="166">
        <v>0</v>
      </c>
      <c r="AS766" s="166">
        <v>0</v>
      </c>
      <c r="AT766" s="166">
        <v>0</v>
      </c>
      <c r="AU766" s="166">
        <v>0</v>
      </c>
      <c r="AV766" s="166">
        <v>1</v>
      </c>
      <c r="AW766" s="166">
        <v>0</v>
      </c>
      <c r="AX766" s="166">
        <v>0</v>
      </c>
      <c r="AY766" s="166">
        <v>0</v>
      </c>
      <c r="AZ766" s="166">
        <v>0</v>
      </c>
      <c r="BA766" s="166">
        <v>0</v>
      </c>
      <c r="BB766" s="166">
        <v>0</v>
      </c>
      <c r="BC766" s="166">
        <v>0</v>
      </c>
      <c r="BD766" s="166">
        <v>0</v>
      </c>
      <c r="BE766" s="166">
        <v>0</v>
      </c>
      <c r="BF766" s="166">
        <v>0</v>
      </c>
      <c r="BG766" s="166">
        <v>0</v>
      </c>
      <c r="BH766" s="166">
        <v>0</v>
      </c>
      <c r="BI766" s="166">
        <v>0</v>
      </c>
      <c r="BJ766" s="166">
        <v>0</v>
      </c>
      <c r="BK766" s="166">
        <v>0</v>
      </c>
      <c r="BL766" s="166">
        <v>0</v>
      </c>
      <c r="BM766" s="166">
        <v>0</v>
      </c>
      <c r="BN766" s="166">
        <v>0</v>
      </c>
      <c r="BO766" s="166">
        <v>0</v>
      </c>
      <c r="BP766" s="166">
        <v>0</v>
      </c>
      <c r="BQ766" s="81" t="s">
        <v>1758</v>
      </c>
      <c r="BZ766" s="81" t="s">
        <v>155</v>
      </c>
      <c r="CA766" s="81" t="s">
        <v>1937</v>
      </c>
      <c r="CC766" s="167">
        <v>0</v>
      </c>
      <c r="CD766" s="167">
        <f>$N766/4</f>
        <v>0.25</v>
      </c>
      <c r="CE766" s="167">
        <f>$N766/4</f>
        <v>0.25</v>
      </c>
      <c r="CF766" s="167">
        <f>$N766/4</f>
        <v>0.25</v>
      </c>
      <c r="CG766" s="167">
        <f>$N766/4</f>
        <v>0.25</v>
      </c>
      <c r="CH766" s="167">
        <v>0</v>
      </c>
      <c r="CI766" s="167">
        <v>0</v>
      </c>
      <c r="CJ766" s="167">
        <v>0</v>
      </c>
      <c r="CK766" s="167">
        <v>0</v>
      </c>
      <c r="CL766" s="167">
        <v>0</v>
      </c>
      <c r="CM766" s="167">
        <v>0</v>
      </c>
      <c r="CN766" s="167">
        <v>0</v>
      </c>
      <c r="CO766" s="167">
        <v>0</v>
      </c>
      <c r="CP766" s="167">
        <v>0</v>
      </c>
      <c r="CQ766" s="167">
        <v>0</v>
      </c>
      <c r="CR766" s="167">
        <v>0</v>
      </c>
      <c r="CS766" s="167">
        <v>0</v>
      </c>
      <c r="CT766" s="167">
        <v>0</v>
      </c>
      <c r="CU766" s="167">
        <v>0</v>
      </c>
      <c r="CV766" s="167">
        <v>0</v>
      </c>
      <c r="CW766" s="167">
        <v>0</v>
      </c>
      <c r="CX766" s="167">
        <f>SUM(CD766:CH766)</f>
        <v>1</v>
      </c>
      <c r="CY766" s="167">
        <f>SUM(CD766:CM766)</f>
        <v>1</v>
      </c>
    </row>
    <row r="767" spans="1:103" ht="12.75" customHeight="1" x14ac:dyDescent="0.2">
      <c r="A767" s="81">
        <v>2798</v>
      </c>
      <c r="B767" s="165" t="s">
        <v>1930</v>
      </c>
      <c r="C767" s="165" t="s">
        <v>1600</v>
      </c>
      <c r="E767" s="165" t="s">
        <v>2491</v>
      </c>
      <c r="G767" s="81">
        <v>527655</v>
      </c>
      <c r="H767" s="81">
        <v>171773</v>
      </c>
      <c r="I767" s="165" t="s">
        <v>242</v>
      </c>
      <c r="L767" s="166">
        <v>0</v>
      </c>
      <c r="M767" s="166">
        <v>1</v>
      </c>
      <c r="N767" s="166">
        <v>1</v>
      </c>
      <c r="O767" s="166">
        <v>1</v>
      </c>
      <c r="P767" s="166">
        <v>1</v>
      </c>
      <c r="R767" s="165" t="s">
        <v>1601</v>
      </c>
      <c r="S767" s="81" t="s">
        <v>113</v>
      </c>
      <c r="T767" s="349">
        <v>42759</v>
      </c>
      <c r="U767" s="349">
        <v>42857</v>
      </c>
      <c r="V767" s="81" t="s">
        <v>155</v>
      </c>
      <c r="W767" s="81" t="s">
        <v>114</v>
      </c>
      <c r="Y767" s="81" t="s">
        <v>115</v>
      </c>
      <c r="Z767" s="81" t="s">
        <v>398</v>
      </c>
      <c r="AA767" s="81" t="s">
        <v>117</v>
      </c>
      <c r="AB767" s="81" t="s">
        <v>218</v>
      </c>
      <c r="AC767" s="166">
        <v>3.0000000260770299E-3</v>
      </c>
      <c r="AG767" s="81" t="s">
        <v>238</v>
      </c>
      <c r="AH767" s="81" t="s">
        <v>118</v>
      </c>
      <c r="AK767" s="166">
        <v>0</v>
      </c>
      <c r="AM767" s="166">
        <v>0</v>
      </c>
      <c r="AO767" s="166">
        <v>1</v>
      </c>
      <c r="AP767" s="166">
        <v>0</v>
      </c>
      <c r="AQ767" s="166">
        <v>0</v>
      </c>
      <c r="AR767" s="166">
        <v>0</v>
      </c>
      <c r="AS767" s="166">
        <v>0</v>
      </c>
      <c r="AT767" s="166">
        <v>0</v>
      </c>
      <c r="AU767" s="166">
        <v>0</v>
      </c>
      <c r="AV767" s="166">
        <v>1</v>
      </c>
      <c r="AW767" s="166">
        <v>0</v>
      </c>
      <c r="AX767" s="166">
        <v>0</v>
      </c>
      <c r="AY767" s="166">
        <v>0</v>
      </c>
      <c r="AZ767" s="166">
        <v>0</v>
      </c>
      <c r="BA767" s="166">
        <v>0</v>
      </c>
      <c r="BB767" s="166">
        <v>0</v>
      </c>
      <c r="BC767" s="166">
        <v>0</v>
      </c>
      <c r="BD767" s="166">
        <v>0</v>
      </c>
      <c r="BE767" s="166">
        <v>0</v>
      </c>
      <c r="BF767" s="166">
        <v>0</v>
      </c>
      <c r="BG767" s="166">
        <v>0</v>
      </c>
      <c r="BH767" s="166">
        <v>0</v>
      </c>
      <c r="BI767" s="166">
        <v>0</v>
      </c>
      <c r="BJ767" s="166">
        <v>0</v>
      </c>
      <c r="BK767" s="166">
        <v>0</v>
      </c>
      <c r="BL767" s="166">
        <v>0</v>
      </c>
      <c r="BM767" s="166">
        <v>0</v>
      </c>
      <c r="BN767" s="166">
        <v>0</v>
      </c>
      <c r="BO767" s="166">
        <v>0</v>
      </c>
      <c r="BP767" s="166">
        <v>0</v>
      </c>
      <c r="BQ767" s="81" t="s">
        <v>1757</v>
      </c>
      <c r="BR767" s="81" t="s">
        <v>242</v>
      </c>
      <c r="BZ767" s="81" t="s">
        <v>155</v>
      </c>
      <c r="CA767" s="81" t="s">
        <v>1937</v>
      </c>
      <c r="CC767" s="167">
        <v>0</v>
      </c>
      <c r="CD767" s="167">
        <f>$N767/4</f>
        <v>0.25</v>
      </c>
      <c r="CE767" s="167">
        <f>$N767/4</f>
        <v>0.25</v>
      </c>
      <c r="CF767" s="167">
        <f>$N767/4</f>
        <v>0.25</v>
      </c>
      <c r="CG767" s="167">
        <f>$N767/4</f>
        <v>0.25</v>
      </c>
      <c r="CH767" s="167">
        <v>0</v>
      </c>
      <c r="CI767" s="167">
        <v>0</v>
      </c>
      <c r="CJ767" s="167">
        <v>0</v>
      </c>
      <c r="CK767" s="167">
        <v>0</v>
      </c>
      <c r="CL767" s="167">
        <v>0</v>
      </c>
      <c r="CM767" s="167">
        <v>0</v>
      </c>
      <c r="CN767" s="167">
        <v>0</v>
      </c>
      <c r="CO767" s="167">
        <v>0</v>
      </c>
      <c r="CP767" s="167">
        <v>0</v>
      </c>
      <c r="CQ767" s="167">
        <v>0</v>
      </c>
      <c r="CR767" s="167">
        <v>0</v>
      </c>
      <c r="CS767" s="167">
        <v>0</v>
      </c>
      <c r="CT767" s="167">
        <v>0</v>
      </c>
      <c r="CU767" s="167">
        <v>0</v>
      </c>
      <c r="CV767" s="167">
        <v>0</v>
      </c>
      <c r="CW767" s="167">
        <v>0</v>
      </c>
      <c r="CX767" s="167">
        <f>SUM(CD767:CH767)</f>
        <v>1</v>
      </c>
      <c r="CY767" s="167">
        <f>SUM(CD767:CM767)</f>
        <v>1</v>
      </c>
    </row>
    <row r="768" spans="1:103" ht="12.75" customHeight="1" x14ac:dyDescent="0.2">
      <c r="A768" s="81">
        <v>2978</v>
      </c>
      <c r="B768" s="165" t="s">
        <v>1930</v>
      </c>
      <c r="C768" s="165" t="s">
        <v>1642</v>
      </c>
      <c r="E768" s="165" t="s">
        <v>2492</v>
      </c>
      <c r="G768" s="81">
        <v>527727</v>
      </c>
      <c r="H768" s="81">
        <v>172703</v>
      </c>
      <c r="I768" s="165" t="s">
        <v>254</v>
      </c>
      <c r="L768" s="166">
        <v>1</v>
      </c>
      <c r="M768" s="166">
        <v>1</v>
      </c>
      <c r="N768" s="166">
        <v>0</v>
      </c>
      <c r="O768" s="166">
        <v>1</v>
      </c>
      <c r="P768" s="166">
        <v>0</v>
      </c>
      <c r="R768" s="165" t="s">
        <v>1643</v>
      </c>
      <c r="S768" s="81" t="s">
        <v>113</v>
      </c>
      <c r="T768" s="349">
        <v>42790</v>
      </c>
      <c r="U768" s="349">
        <v>42846</v>
      </c>
      <c r="V768" s="81" t="s">
        <v>155</v>
      </c>
      <c r="W768" s="81" t="s">
        <v>114</v>
      </c>
      <c r="Y768" s="81" t="s">
        <v>115</v>
      </c>
      <c r="Z768" s="81" t="s">
        <v>116</v>
      </c>
      <c r="AA768" s="81" t="s">
        <v>117</v>
      </c>
      <c r="AB768" s="81" t="s">
        <v>218</v>
      </c>
      <c r="AC768" s="166">
        <v>3.70000004768372E-2</v>
      </c>
      <c r="AG768" s="81" t="s">
        <v>238</v>
      </c>
      <c r="AH768" s="81" t="s">
        <v>118</v>
      </c>
      <c r="AK768" s="166">
        <v>0</v>
      </c>
      <c r="AM768" s="166">
        <v>0</v>
      </c>
      <c r="AO768" s="166">
        <v>0</v>
      </c>
      <c r="AP768" s="166">
        <v>-1</v>
      </c>
      <c r="AQ768" s="166">
        <v>0</v>
      </c>
      <c r="AR768" s="166">
        <v>1</v>
      </c>
      <c r="AS768" s="166">
        <v>0</v>
      </c>
      <c r="AT768" s="166">
        <v>0</v>
      </c>
      <c r="AU768" s="166">
        <v>0</v>
      </c>
      <c r="AV768" s="166">
        <v>0</v>
      </c>
      <c r="AW768" s="166">
        <v>0</v>
      </c>
      <c r="AX768" s="166">
        <v>0</v>
      </c>
      <c r="AY768" s="166">
        <v>0</v>
      </c>
      <c r="AZ768" s="166">
        <v>0</v>
      </c>
      <c r="BA768" s="166">
        <v>0</v>
      </c>
      <c r="BB768" s="166">
        <v>0</v>
      </c>
      <c r="BC768" s="166">
        <v>0</v>
      </c>
      <c r="BD768" s="166">
        <v>-1</v>
      </c>
      <c r="BE768" s="166">
        <v>0</v>
      </c>
      <c r="BF768" s="166">
        <v>1</v>
      </c>
      <c r="BG768" s="166">
        <v>0</v>
      </c>
      <c r="BH768" s="166">
        <v>0</v>
      </c>
      <c r="BI768" s="166">
        <v>0</v>
      </c>
      <c r="BJ768" s="166">
        <v>0</v>
      </c>
      <c r="BK768" s="166">
        <v>0</v>
      </c>
      <c r="BL768" s="166">
        <v>0</v>
      </c>
      <c r="BM768" s="166">
        <v>0</v>
      </c>
      <c r="BN768" s="166">
        <v>0</v>
      </c>
      <c r="BO768" s="166">
        <v>0</v>
      </c>
      <c r="BP768" s="166">
        <v>0</v>
      </c>
      <c r="BQ768" s="81" t="s">
        <v>1757</v>
      </c>
      <c r="BZ768" s="81" t="s">
        <v>155</v>
      </c>
      <c r="CA768" s="81">
        <v>4</v>
      </c>
      <c r="CC768" s="167">
        <v>0</v>
      </c>
      <c r="CD768" s="167">
        <v>0</v>
      </c>
      <c r="CE768" s="167">
        <f>$N768/4</f>
        <v>0</v>
      </c>
      <c r="CF768" s="167">
        <f>$N768/4</f>
        <v>0</v>
      </c>
      <c r="CG768" s="167">
        <f>$N768/4</f>
        <v>0</v>
      </c>
      <c r="CH768" s="167">
        <f>$N768/4</f>
        <v>0</v>
      </c>
      <c r="CI768" s="167">
        <v>0</v>
      </c>
      <c r="CJ768" s="167">
        <v>0</v>
      </c>
      <c r="CK768" s="167">
        <v>0</v>
      </c>
      <c r="CL768" s="167">
        <v>0</v>
      </c>
      <c r="CM768" s="167">
        <v>0</v>
      </c>
      <c r="CN768" s="167">
        <v>0</v>
      </c>
      <c r="CO768" s="167">
        <v>0</v>
      </c>
      <c r="CP768" s="167">
        <v>0</v>
      </c>
      <c r="CQ768" s="167">
        <v>0</v>
      </c>
      <c r="CR768" s="167">
        <v>0</v>
      </c>
      <c r="CS768" s="167">
        <v>0</v>
      </c>
      <c r="CT768" s="167">
        <v>0</v>
      </c>
      <c r="CU768" s="167">
        <v>0</v>
      </c>
      <c r="CV768" s="167">
        <v>0</v>
      </c>
      <c r="CW768" s="167">
        <v>0</v>
      </c>
      <c r="CX768" s="167">
        <f>SUM(CD768:CH768)</f>
        <v>0</v>
      </c>
      <c r="CY768" s="167">
        <f>SUM(CD768:CM768)</f>
        <v>0</v>
      </c>
    </row>
    <row r="769" spans="1:103" ht="12.75" customHeight="1" x14ac:dyDescent="0.2">
      <c r="A769" s="81">
        <v>3351</v>
      </c>
      <c r="B769" s="165" t="s">
        <v>1930</v>
      </c>
      <c r="C769" s="165" t="s">
        <v>2493</v>
      </c>
      <c r="E769" s="165" t="s">
        <v>2494</v>
      </c>
      <c r="G769" s="81">
        <v>529324</v>
      </c>
      <c r="H769" s="81">
        <v>171420</v>
      </c>
      <c r="I769" s="165" t="s">
        <v>252</v>
      </c>
      <c r="L769" s="166">
        <v>0</v>
      </c>
      <c r="M769" s="166">
        <v>1</v>
      </c>
      <c r="N769" s="166">
        <v>1</v>
      </c>
      <c r="O769" s="166">
        <v>1</v>
      </c>
      <c r="P769" s="166">
        <v>1</v>
      </c>
      <c r="R769" s="165" t="s">
        <v>2495</v>
      </c>
      <c r="S769" s="81" t="s">
        <v>113</v>
      </c>
      <c r="T769" s="349">
        <v>42864</v>
      </c>
      <c r="U769" s="349">
        <v>42920</v>
      </c>
      <c r="V769" s="81" t="s">
        <v>155</v>
      </c>
      <c r="W769" s="81" t="s">
        <v>114</v>
      </c>
      <c r="Y769" s="81" t="s">
        <v>115</v>
      </c>
      <c r="Z769" s="81" t="s">
        <v>116</v>
      </c>
      <c r="AA769" s="81" t="s">
        <v>117</v>
      </c>
      <c r="AB769" s="81" t="s">
        <v>218</v>
      </c>
      <c r="AC769" s="166">
        <v>4.9999998882412902E-3</v>
      </c>
      <c r="AG769" s="81" t="s">
        <v>154</v>
      </c>
      <c r="AH769" s="81" t="s">
        <v>38</v>
      </c>
      <c r="AK769" s="166">
        <v>0</v>
      </c>
      <c r="AM769" s="166">
        <v>0</v>
      </c>
      <c r="AO769" s="166">
        <v>0</v>
      </c>
      <c r="AP769" s="166">
        <v>0</v>
      </c>
      <c r="AQ769" s="166">
        <v>1</v>
      </c>
      <c r="AR769" s="166">
        <v>0</v>
      </c>
      <c r="AS769" s="166">
        <v>0</v>
      </c>
      <c r="AT769" s="166">
        <v>0</v>
      </c>
      <c r="AU769" s="166">
        <v>0</v>
      </c>
      <c r="AV769" s="166">
        <v>0</v>
      </c>
      <c r="AW769" s="166">
        <v>0</v>
      </c>
      <c r="AX769" s="166">
        <v>0</v>
      </c>
      <c r="AY769" s="166">
        <v>0</v>
      </c>
      <c r="AZ769" s="166">
        <v>0</v>
      </c>
      <c r="BA769" s="166">
        <v>0</v>
      </c>
      <c r="BB769" s="166">
        <v>0</v>
      </c>
      <c r="BC769" s="166">
        <v>0</v>
      </c>
      <c r="BD769" s="166">
        <v>0</v>
      </c>
      <c r="BE769" s="166">
        <v>1</v>
      </c>
      <c r="BF769" s="166">
        <v>0</v>
      </c>
      <c r="BG769" s="166">
        <v>0</v>
      </c>
      <c r="BH769" s="166">
        <v>0</v>
      </c>
      <c r="BI769" s="166">
        <v>0</v>
      </c>
      <c r="BJ769" s="166">
        <v>0</v>
      </c>
      <c r="BK769" s="166">
        <v>0</v>
      </c>
      <c r="BL769" s="166">
        <v>0</v>
      </c>
      <c r="BM769" s="166">
        <v>0</v>
      </c>
      <c r="BN769" s="166">
        <v>0</v>
      </c>
      <c r="BO769" s="166">
        <v>0</v>
      </c>
      <c r="BP769" s="166">
        <v>0</v>
      </c>
      <c r="BQ769" s="81" t="s">
        <v>1757</v>
      </c>
      <c r="BZ769" s="81" t="s">
        <v>155</v>
      </c>
      <c r="CA769" s="81">
        <v>4</v>
      </c>
      <c r="CC769" s="167">
        <v>0</v>
      </c>
      <c r="CD769" s="167">
        <v>0</v>
      </c>
      <c r="CE769" s="167">
        <f>$N769/4</f>
        <v>0.25</v>
      </c>
      <c r="CF769" s="167">
        <f>$N769/4</f>
        <v>0.25</v>
      </c>
      <c r="CG769" s="167">
        <f>$N769/4</f>
        <v>0.25</v>
      </c>
      <c r="CH769" s="167">
        <f>$N769/4</f>
        <v>0.25</v>
      </c>
      <c r="CI769" s="167">
        <v>0</v>
      </c>
      <c r="CJ769" s="167">
        <v>0</v>
      </c>
      <c r="CK769" s="167">
        <v>0</v>
      </c>
      <c r="CL769" s="167">
        <v>0</v>
      </c>
      <c r="CM769" s="167">
        <v>0</v>
      </c>
      <c r="CN769" s="167">
        <v>0</v>
      </c>
      <c r="CO769" s="167">
        <v>0</v>
      </c>
      <c r="CP769" s="167">
        <v>0</v>
      </c>
      <c r="CQ769" s="167">
        <v>0</v>
      </c>
      <c r="CR769" s="167">
        <v>0</v>
      </c>
      <c r="CS769" s="167">
        <v>0</v>
      </c>
      <c r="CT769" s="167">
        <v>0</v>
      </c>
      <c r="CU769" s="167">
        <v>0</v>
      </c>
      <c r="CV769" s="167">
        <v>0</v>
      </c>
      <c r="CW769" s="167">
        <v>0</v>
      </c>
      <c r="CX769" s="167">
        <f>SUM(CD769:CH769)</f>
        <v>1</v>
      </c>
      <c r="CY769" s="167">
        <f>SUM(CD769:CM769)</f>
        <v>1</v>
      </c>
    </row>
    <row r="770" spans="1:103" ht="12.75" customHeight="1" x14ac:dyDescent="0.2">
      <c r="A770" s="81">
        <v>3510</v>
      </c>
      <c r="B770" s="165" t="s">
        <v>1930</v>
      </c>
      <c r="C770" s="165" t="s">
        <v>826</v>
      </c>
      <c r="D770" s="165" t="s">
        <v>225</v>
      </c>
      <c r="E770" s="165" t="s">
        <v>2138</v>
      </c>
      <c r="G770" s="81">
        <v>529424</v>
      </c>
      <c r="H770" s="81">
        <v>177541</v>
      </c>
      <c r="I770" s="165" t="s">
        <v>240</v>
      </c>
      <c r="L770" s="166">
        <v>2</v>
      </c>
      <c r="M770" s="166">
        <v>1</v>
      </c>
      <c r="N770" s="166">
        <v>-1</v>
      </c>
      <c r="O770" s="166">
        <v>1</v>
      </c>
      <c r="P770" s="166">
        <v>-1</v>
      </c>
      <c r="R770" s="165" t="s">
        <v>827</v>
      </c>
      <c r="S770" s="81" t="s">
        <v>113</v>
      </c>
      <c r="T770" s="349">
        <v>42443</v>
      </c>
      <c r="U770" s="349">
        <v>42443</v>
      </c>
      <c r="W770" s="81" t="s">
        <v>114</v>
      </c>
      <c r="Y770" s="81" t="s">
        <v>115</v>
      </c>
      <c r="Z770" s="81" t="s">
        <v>119</v>
      </c>
      <c r="AA770" s="81" t="s">
        <v>117</v>
      </c>
      <c r="AB770" s="81" t="s">
        <v>220</v>
      </c>
      <c r="AC770" s="166">
        <v>2.60000005364418E-2</v>
      </c>
      <c r="AG770" s="81" t="s">
        <v>238</v>
      </c>
      <c r="AH770" s="81" t="s">
        <v>118</v>
      </c>
      <c r="AI770" s="81" t="s">
        <v>2139</v>
      </c>
      <c r="AK770" s="166">
        <v>0</v>
      </c>
      <c r="AM770" s="166">
        <v>0</v>
      </c>
      <c r="AO770" s="166">
        <v>0</v>
      </c>
      <c r="AP770" s="166">
        <v>0</v>
      </c>
      <c r="AQ770" s="166">
        <v>0</v>
      </c>
      <c r="AR770" s="166">
        <v>-2</v>
      </c>
      <c r="AS770" s="166">
        <v>0</v>
      </c>
      <c r="AT770" s="166">
        <v>1</v>
      </c>
      <c r="AU770" s="166">
        <v>0</v>
      </c>
      <c r="AV770" s="166">
        <v>0</v>
      </c>
      <c r="AW770" s="166">
        <v>0</v>
      </c>
      <c r="AX770" s="166">
        <v>0</v>
      </c>
      <c r="AY770" s="166">
        <v>-2</v>
      </c>
      <c r="AZ770" s="166">
        <v>0</v>
      </c>
      <c r="BA770" s="166">
        <v>1</v>
      </c>
      <c r="BB770" s="166">
        <v>0</v>
      </c>
      <c r="BC770" s="166">
        <v>0</v>
      </c>
      <c r="BD770" s="166">
        <v>0</v>
      </c>
      <c r="BE770" s="166">
        <v>0</v>
      </c>
      <c r="BF770" s="166">
        <v>0</v>
      </c>
      <c r="BG770" s="166">
        <v>0</v>
      </c>
      <c r="BH770" s="166">
        <v>0</v>
      </c>
      <c r="BI770" s="166">
        <v>0</v>
      </c>
      <c r="BJ770" s="166">
        <v>0</v>
      </c>
      <c r="BK770" s="166">
        <v>0</v>
      </c>
      <c r="BL770" s="166">
        <v>0</v>
      </c>
      <c r="BM770" s="166">
        <v>0</v>
      </c>
      <c r="BN770" s="166">
        <v>0</v>
      </c>
      <c r="BO770" s="166">
        <v>0</v>
      </c>
      <c r="BP770" s="166">
        <v>0</v>
      </c>
      <c r="BQ770" s="81" t="s">
        <v>1759</v>
      </c>
      <c r="BS770" s="81" t="s">
        <v>155</v>
      </c>
      <c r="BZ770" s="81" t="s">
        <v>155</v>
      </c>
      <c r="CA770" s="81" t="s">
        <v>1937</v>
      </c>
      <c r="CC770" s="167">
        <v>0</v>
      </c>
      <c r="CD770" s="167">
        <f>$N770/4</f>
        <v>-0.25</v>
      </c>
      <c r="CE770" s="167">
        <f>$N770/4</f>
        <v>-0.25</v>
      </c>
      <c r="CF770" s="167">
        <f>$N770/4</f>
        <v>-0.25</v>
      </c>
      <c r="CG770" s="167">
        <f>$N770/4</f>
        <v>-0.25</v>
      </c>
      <c r="CH770" s="167">
        <v>0</v>
      </c>
      <c r="CI770" s="167">
        <v>0</v>
      </c>
      <c r="CJ770" s="167">
        <v>0</v>
      </c>
      <c r="CK770" s="167">
        <v>0</v>
      </c>
      <c r="CL770" s="167">
        <v>0</v>
      </c>
      <c r="CM770" s="167">
        <v>0</v>
      </c>
      <c r="CN770" s="167">
        <v>0</v>
      </c>
      <c r="CO770" s="167">
        <v>0</v>
      </c>
      <c r="CP770" s="167">
        <v>0</v>
      </c>
      <c r="CQ770" s="167">
        <v>0</v>
      </c>
      <c r="CR770" s="167">
        <v>0</v>
      </c>
      <c r="CS770" s="167">
        <v>0</v>
      </c>
      <c r="CT770" s="167">
        <v>0</v>
      </c>
      <c r="CU770" s="167">
        <v>0</v>
      </c>
      <c r="CV770" s="167">
        <v>0</v>
      </c>
      <c r="CW770" s="167">
        <v>0</v>
      </c>
      <c r="CX770" s="167">
        <f>SUM(CD770:CH770)</f>
        <v>-1</v>
      </c>
      <c r="CY770" s="167">
        <f>SUM(CD770:CM770)</f>
        <v>-1</v>
      </c>
    </row>
    <row r="771" spans="1:103" ht="12.75" customHeight="1" x14ac:dyDescent="0.2">
      <c r="A771" s="81">
        <v>3515</v>
      </c>
      <c r="B771" s="165" t="s">
        <v>1930</v>
      </c>
      <c r="C771" s="165" t="s">
        <v>57</v>
      </c>
      <c r="D771" s="165" t="s">
        <v>58</v>
      </c>
      <c r="E771" s="165" t="s">
        <v>2668</v>
      </c>
      <c r="G771" s="81">
        <v>524039</v>
      </c>
      <c r="H771" s="81">
        <v>175460</v>
      </c>
      <c r="I771" s="165" t="s">
        <v>259</v>
      </c>
      <c r="J771" s="349"/>
      <c r="K771" s="349"/>
      <c r="L771" s="166">
        <v>0</v>
      </c>
      <c r="M771" s="166">
        <v>78</v>
      </c>
      <c r="N771" s="166">
        <v>78</v>
      </c>
      <c r="O771" s="166">
        <v>97</v>
      </c>
      <c r="P771" s="166">
        <v>95</v>
      </c>
      <c r="Q771" s="81" t="s">
        <v>155</v>
      </c>
      <c r="R771" s="165" t="s">
        <v>771</v>
      </c>
      <c r="S771" s="81" t="s">
        <v>104</v>
      </c>
      <c r="T771" s="349">
        <v>42010</v>
      </c>
      <c r="U771" s="349">
        <v>42489</v>
      </c>
      <c r="W771" s="81" t="s">
        <v>114</v>
      </c>
      <c r="Y771" s="81" t="s">
        <v>115</v>
      </c>
      <c r="Z771" s="81" t="s">
        <v>116</v>
      </c>
      <c r="AA771" s="81" t="s">
        <v>116</v>
      </c>
      <c r="AB771" s="81" t="s">
        <v>117</v>
      </c>
      <c r="AC771" s="166">
        <v>0.23199999332428001</v>
      </c>
      <c r="AD771" s="349"/>
      <c r="AF771" s="349"/>
      <c r="AG771" s="81" t="s">
        <v>238</v>
      </c>
      <c r="AH771" s="81" t="s">
        <v>118</v>
      </c>
      <c r="AI771" s="81" t="s">
        <v>2669</v>
      </c>
      <c r="AK771" s="166">
        <v>78</v>
      </c>
      <c r="AM771" s="166">
        <v>8</v>
      </c>
      <c r="AO771" s="166">
        <v>1</v>
      </c>
      <c r="AP771" s="166">
        <v>19</v>
      </c>
      <c r="AQ771" s="166">
        <v>52</v>
      </c>
      <c r="AR771" s="166">
        <v>6</v>
      </c>
      <c r="AS771" s="166">
        <v>0</v>
      </c>
      <c r="AT771" s="166">
        <v>0</v>
      </c>
      <c r="AU771" s="166">
        <v>0</v>
      </c>
      <c r="AV771" s="166">
        <v>1</v>
      </c>
      <c r="AW771" s="166">
        <v>19</v>
      </c>
      <c r="AX771" s="166">
        <v>52</v>
      </c>
      <c r="AY771" s="166">
        <v>6</v>
      </c>
      <c r="AZ771" s="166">
        <v>0</v>
      </c>
      <c r="BA771" s="166">
        <v>0</v>
      </c>
      <c r="BB771" s="166">
        <v>0</v>
      </c>
      <c r="BC771" s="166">
        <v>0</v>
      </c>
      <c r="BD771" s="166">
        <v>0</v>
      </c>
      <c r="BE771" s="166">
        <v>0</v>
      </c>
      <c r="BF771" s="166">
        <v>0</v>
      </c>
      <c r="BG771" s="166">
        <v>0</v>
      </c>
      <c r="BH771" s="166">
        <v>0</v>
      </c>
      <c r="BI771" s="166">
        <v>0</v>
      </c>
      <c r="BJ771" s="166">
        <v>0</v>
      </c>
      <c r="BK771" s="166">
        <v>0</v>
      </c>
      <c r="BL771" s="166">
        <v>0</v>
      </c>
      <c r="BM771" s="166">
        <v>0</v>
      </c>
      <c r="BN771" s="166">
        <v>0</v>
      </c>
      <c r="BO771" s="166">
        <v>0</v>
      </c>
      <c r="BP771" s="166">
        <v>0</v>
      </c>
      <c r="BQ771" s="81" t="s">
        <v>1758</v>
      </c>
      <c r="BR771" s="81" t="s">
        <v>161</v>
      </c>
      <c r="BZ771" s="81" t="s">
        <v>155</v>
      </c>
      <c r="CA771" s="81" t="s">
        <v>3968</v>
      </c>
      <c r="CC771" s="167">
        <v>0</v>
      </c>
      <c r="CD771" s="167">
        <v>0</v>
      </c>
      <c r="CE771" s="167">
        <v>0</v>
      </c>
      <c r="CF771" s="167">
        <v>0</v>
      </c>
      <c r="CG771" s="167">
        <v>26</v>
      </c>
      <c r="CH771" s="167">
        <v>26</v>
      </c>
      <c r="CI771" s="167">
        <v>26</v>
      </c>
      <c r="CJ771" s="167">
        <v>0</v>
      </c>
      <c r="CK771" s="167">
        <v>0</v>
      </c>
      <c r="CL771" s="167">
        <v>0</v>
      </c>
      <c r="CM771" s="167">
        <v>0</v>
      </c>
      <c r="CN771" s="167">
        <v>0</v>
      </c>
      <c r="CO771" s="167">
        <v>0</v>
      </c>
      <c r="CP771" s="167">
        <v>0</v>
      </c>
      <c r="CQ771" s="167">
        <v>0</v>
      </c>
      <c r="CR771" s="167">
        <v>0</v>
      </c>
      <c r="CS771" s="167">
        <v>0</v>
      </c>
      <c r="CT771" s="167">
        <v>0</v>
      </c>
      <c r="CU771" s="167">
        <v>0</v>
      </c>
      <c r="CV771" s="167">
        <v>0</v>
      </c>
      <c r="CW771" s="167">
        <v>0</v>
      </c>
      <c r="CX771" s="167">
        <f>SUM(CD771:CH771)</f>
        <v>52</v>
      </c>
      <c r="CY771" s="167">
        <f>SUM(CD771:CM771)</f>
        <v>78</v>
      </c>
    </row>
    <row r="772" spans="1:103" ht="12.75" customHeight="1" x14ac:dyDescent="0.2">
      <c r="A772" s="81">
        <v>3515</v>
      </c>
      <c r="B772" s="165" t="s">
        <v>1930</v>
      </c>
      <c r="C772" s="165" t="s">
        <v>57</v>
      </c>
      <c r="D772" s="165" t="s">
        <v>58</v>
      </c>
      <c r="E772" s="165" t="s">
        <v>2668</v>
      </c>
      <c r="G772" s="81">
        <v>524039</v>
      </c>
      <c r="H772" s="81">
        <v>175460</v>
      </c>
      <c r="I772" s="165" t="s">
        <v>259</v>
      </c>
      <c r="J772" s="349"/>
      <c r="K772" s="349"/>
      <c r="L772" s="166">
        <v>2</v>
      </c>
      <c r="M772" s="166">
        <v>19</v>
      </c>
      <c r="N772" s="166">
        <v>17</v>
      </c>
      <c r="O772" s="166">
        <v>97</v>
      </c>
      <c r="P772" s="166">
        <v>95</v>
      </c>
      <c r="Q772" s="81" t="s">
        <v>155</v>
      </c>
      <c r="R772" s="165" t="s">
        <v>771</v>
      </c>
      <c r="S772" s="81" t="s">
        <v>104</v>
      </c>
      <c r="T772" s="349">
        <v>42010</v>
      </c>
      <c r="U772" s="349">
        <v>42489</v>
      </c>
      <c r="W772" s="81" t="s">
        <v>114</v>
      </c>
      <c r="Y772" s="81" t="s">
        <v>115</v>
      </c>
      <c r="Z772" s="81" t="s">
        <v>116</v>
      </c>
      <c r="AA772" s="81" t="s">
        <v>116</v>
      </c>
      <c r="AB772" s="81" t="s">
        <v>117</v>
      </c>
      <c r="AC772" s="166">
        <v>5.7999998331069898E-2</v>
      </c>
      <c r="AD772" s="349"/>
      <c r="AF772" s="349"/>
      <c r="AG772" s="81" t="s">
        <v>74</v>
      </c>
      <c r="AH772" s="81" t="s">
        <v>1913</v>
      </c>
      <c r="AI772" s="81" t="s">
        <v>2669</v>
      </c>
      <c r="AK772" s="166">
        <v>19</v>
      </c>
      <c r="AM772" s="166">
        <v>2</v>
      </c>
      <c r="AO772" s="166">
        <v>0</v>
      </c>
      <c r="AP772" s="166">
        <v>14</v>
      </c>
      <c r="AQ772" s="166">
        <v>5</v>
      </c>
      <c r="AR772" s="166">
        <v>-2</v>
      </c>
      <c r="AS772" s="166">
        <v>0</v>
      </c>
      <c r="AT772" s="166">
        <v>0</v>
      </c>
      <c r="AU772" s="166">
        <v>0</v>
      </c>
      <c r="AV772" s="166">
        <v>0</v>
      </c>
      <c r="AW772" s="166">
        <v>14</v>
      </c>
      <c r="AX772" s="166">
        <v>5</v>
      </c>
      <c r="AY772" s="166">
        <v>-2</v>
      </c>
      <c r="AZ772" s="166">
        <v>0</v>
      </c>
      <c r="BA772" s="166">
        <v>0</v>
      </c>
      <c r="BB772" s="166">
        <v>0</v>
      </c>
      <c r="BC772" s="166">
        <v>0</v>
      </c>
      <c r="BD772" s="166">
        <v>0</v>
      </c>
      <c r="BE772" s="166">
        <v>0</v>
      </c>
      <c r="BF772" s="166">
        <v>0</v>
      </c>
      <c r="BG772" s="166">
        <v>0</v>
      </c>
      <c r="BH772" s="166">
        <v>0</v>
      </c>
      <c r="BI772" s="166">
        <v>0</v>
      </c>
      <c r="BJ772" s="166">
        <v>0</v>
      </c>
      <c r="BK772" s="166">
        <v>0</v>
      </c>
      <c r="BL772" s="166">
        <v>0</v>
      </c>
      <c r="BM772" s="166">
        <v>0</v>
      </c>
      <c r="BN772" s="166">
        <v>0</v>
      </c>
      <c r="BO772" s="166">
        <v>0</v>
      </c>
      <c r="BP772" s="166">
        <v>0</v>
      </c>
      <c r="BQ772" s="81" t="s">
        <v>1758</v>
      </c>
      <c r="BR772" s="81" t="s">
        <v>161</v>
      </c>
      <c r="BZ772" s="81" t="s">
        <v>155</v>
      </c>
      <c r="CA772" s="81" t="s">
        <v>3968</v>
      </c>
      <c r="CC772" s="167">
        <v>0</v>
      </c>
      <c r="CD772" s="167">
        <v>0</v>
      </c>
      <c r="CE772" s="167">
        <v>0</v>
      </c>
      <c r="CF772" s="167">
        <v>0</v>
      </c>
      <c r="CG772" s="167">
        <v>6.333333333333333</v>
      </c>
      <c r="CH772" s="167">
        <v>6.333333333333333</v>
      </c>
      <c r="CI772" s="167">
        <v>6.333333333333333</v>
      </c>
      <c r="CJ772" s="167">
        <v>0</v>
      </c>
      <c r="CK772" s="167">
        <v>0</v>
      </c>
      <c r="CL772" s="167">
        <v>0</v>
      </c>
      <c r="CM772" s="167">
        <v>0</v>
      </c>
      <c r="CN772" s="167">
        <v>0</v>
      </c>
      <c r="CO772" s="167">
        <v>0</v>
      </c>
      <c r="CP772" s="167">
        <v>0</v>
      </c>
      <c r="CQ772" s="167">
        <v>0</v>
      </c>
      <c r="CR772" s="167">
        <v>0</v>
      </c>
      <c r="CS772" s="167">
        <v>0</v>
      </c>
      <c r="CT772" s="167">
        <v>0</v>
      </c>
      <c r="CU772" s="167">
        <v>0</v>
      </c>
      <c r="CV772" s="167">
        <v>0</v>
      </c>
      <c r="CW772" s="167">
        <v>0</v>
      </c>
      <c r="CX772" s="167">
        <f>SUM(CD772:CH772)</f>
        <v>12.666666666666666</v>
      </c>
      <c r="CY772" s="167">
        <f>SUM(CD772:CM772)</f>
        <v>19</v>
      </c>
    </row>
    <row r="773" spans="1:103" ht="12.75" customHeight="1" x14ac:dyDescent="0.2">
      <c r="A773" s="81">
        <v>3516</v>
      </c>
      <c r="B773" s="165" t="s">
        <v>1930</v>
      </c>
      <c r="C773" s="165" t="s">
        <v>1540</v>
      </c>
      <c r="D773" s="165" t="s">
        <v>506</v>
      </c>
      <c r="E773" s="165" t="s">
        <v>2670</v>
      </c>
      <c r="F773" s="165" t="s">
        <v>863</v>
      </c>
      <c r="G773" s="81">
        <v>528672</v>
      </c>
      <c r="H773" s="81">
        <v>177315</v>
      </c>
      <c r="I773" s="165" t="s">
        <v>240</v>
      </c>
      <c r="L773" s="166">
        <v>2</v>
      </c>
      <c r="M773" s="166">
        <v>1</v>
      </c>
      <c r="N773" s="166">
        <v>-1</v>
      </c>
      <c r="O773" s="166">
        <v>1</v>
      </c>
      <c r="P773" s="166">
        <v>-1</v>
      </c>
      <c r="Q773" s="81" t="s">
        <v>155</v>
      </c>
      <c r="R773" s="165" t="s">
        <v>1541</v>
      </c>
      <c r="S773" s="81" t="s">
        <v>1916</v>
      </c>
      <c r="T773" s="349">
        <v>42793</v>
      </c>
      <c r="U773" s="349">
        <v>42825</v>
      </c>
      <c r="W773" s="81" t="s">
        <v>114</v>
      </c>
      <c r="Y773" s="81" t="s">
        <v>115</v>
      </c>
      <c r="Z773" s="81" t="s">
        <v>116</v>
      </c>
      <c r="AA773" s="81" t="s">
        <v>116</v>
      </c>
      <c r="AB773" s="81" t="s">
        <v>117</v>
      </c>
      <c r="AC773" s="166">
        <v>2.0000000949949E-3</v>
      </c>
      <c r="AG773" s="81" t="s">
        <v>238</v>
      </c>
      <c r="AH773" s="81" t="s">
        <v>118</v>
      </c>
      <c r="AI773" s="81" t="s">
        <v>2671</v>
      </c>
      <c r="AK773" s="166">
        <v>0</v>
      </c>
      <c r="AM773" s="166">
        <v>0</v>
      </c>
      <c r="AO773" s="166">
        <v>0</v>
      </c>
      <c r="AP773" s="166">
        <v>0</v>
      </c>
      <c r="AQ773" s="166">
        <v>-2</v>
      </c>
      <c r="AR773" s="166">
        <v>0</v>
      </c>
      <c r="AS773" s="166">
        <v>1</v>
      </c>
      <c r="AT773" s="166">
        <v>0</v>
      </c>
      <c r="AU773" s="166">
        <v>0</v>
      </c>
      <c r="AV773" s="166">
        <v>0</v>
      </c>
      <c r="AW773" s="166">
        <v>0</v>
      </c>
      <c r="AX773" s="166">
        <v>-2</v>
      </c>
      <c r="AY773" s="166">
        <v>0</v>
      </c>
      <c r="AZ773" s="166">
        <v>1</v>
      </c>
      <c r="BA773" s="166">
        <v>0</v>
      </c>
      <c r="BB773" s="166">
        <v>0</v>
      </c>
      <c r="BC773" s="166">
        <v>0</v>
      </c>
      <c r="BD773" s="166">
        <v>0</v>
      </c>
      <c r="BE773" s="166">
        <v>0</v>
      </c>
      <c r="BF773" s="166">
        <v>0</v>
      </c>
      <c r="BG773" s="166">
        <v>0</v>
      </c>
      <c r="BH773" s="166">
        <v>0</v>
      </c>
      <c r="BI773" s="166">
        <v>0</v>
      </c>
      <c r="BJ773" s="166">
        <v>0</v>
      </c>
      <c r="BK773" s="166">
        <v>0</v>
      </c>
      <c r="BL773" s="166">
        <v>0</v>
      </c>
      <c r="BM773" s="166">
        <v>0</v>
      </c>
      <c r="BN773" s="166">
        <v>0</v>
      </c>
      <c r="BO773" s="166">
        <v>0</v>
      </c>
      <c r="BP773" s="166">
        <v>0</v>
      </c>
      <c r="BQ773" s="81" t="s">
        <v>1759</v>
      </c>
      <c r="BS773" s="81" t="s">
        <v>155</v>
      </c>
      <c r="BZ773" s="81" t="s">
        <v>155</v>
      </c>
      <c r="CA773" s="81" t="s">
        <v>3968</v>
      </c>
      <c r="CC773" s="167">
        <v>0</v>
      </c>
      <c r="CD773" s="167">
        <v>0</v>
      </c>
      <c r="CE773" s="167">
        <v>0</v>
      </c>
      <c r="CF773" s="167">
        <v>0</v>
      </c>
      <c r="CG773" s="167">
        <f>$N773/3</f>
        <v>-0.33333333333333331</v>
      </c>
      <c r="CH773" s="167">
        <f>$N773/3</f>
        <v>-0.33333333333333331</v>
      </c>
      <c r="CI773" s="167">
        <f>$N773/3</f>
        <v>-0.33333333333333331</v>
      </c>
      <c r="CJ773" s="167">
        <v>0</v>
      </c>
      <c r="CK773" s="167">
        <v>0</v>
      </c>
      <c r="CL773" s="167">
        <v>0</v>
      </c>
      <c r="CM773" s="167">
        <v>0</v>
      </c>
      <c r="CN773" s="167">
        <v>0</v>
      </c>
      <c r="CO773" s="167">
        <v>0</v>
      </c>
      <c r="CP773" s="167">
        <v>0</v>
      </c>
      <c r="CQ773" s="167">
        <v>0</v>
      </c>
      <c r="CR773" s="167">
        <v>0</v>
      </c>
      <c r="CS773" s="167">
        <v>0</v>
      </c>
      <c r="CT773" s="167">
        <v>0</v>
      </c>
      <c r="CU773" s="167">
        <v>0</v>
      </c>
      <c r="CV773" s="167">
        <v>0</v>
      </c>
      <c r="CW773" s="167">
        <v>0</v>
      </c>
      <c r="CX773" s="167">
        <f>SUM(CD773:CH773)</f>
        <v>-0.66666666666666663</v>
      </c>
      <c r="CY773" s="167">
        <f>SUM(CD773:CM773)</f>
        <v>-1</v>
      </c>
    </row>
    <row r="774" spans="1:103" ht="12.75" customHeight="1" x14ac:dyDescent="0.2">
      <c r="A774" s="81">
        <v>3521</v>
      </c>
      <c r="B774" s="165" t="s">
        <v>1930</v>
      </c>
      <c r="C774" s="165" t="s">
        <v>1158</v>
      </c>
      <c r="E774" s="165" t="s">
        <v>2826</v>
      </c>
      <c r="F774" s="165" t="s">
        <v>1159</v>
      </c>
      <c r="G774" s="81">
        <v>527156</v>
      </c>
      <c r="H774" s="81">
        <v>175243</v>
      </c>
      <c r="I774" s="165" t="s">
        <v>255</v>
      </c>
      <c r="L774" s="166">
        <v>0</v>
      </c>
      <c r="M774" s="166">
        <v>43</v>
      </c>
      <c r="N774" s="166">
        <v>43</v>
      </c>
      <c r="O774" s="166">
        <v>151</v>
      </c>
      <c r="P774" s="166">
        <v>151</v>
      </c>
      <c r="Q774" s="81" t="s">
        <v>155</v>
      </c>
      <c r="R774" s="165" t="s">
        <v>1160</v>
      </c>
      <c r="S774" s="81" t="s">
        <v>509</v>
      </c>
      <c r="T774" s="349">
        <v>42345</v>
      </c>
      <c r="U774" s="349">
        <v>42558</v>
      </c>
      <c r="W774" s="81" t="s">
        <v>114</v>
      </c>
      <c r="Y774" s="81" t="s">
        <v>115</v>
      </c>
      <c r="Z774" s="81" t="s">
        <v>116</v>
      </c>
      <c r="AA774" s="81" t="s">
        <v>116</v>
      </c>
      <c r="AB774" s="81" t="s">
        <v>117</v>
      </c>
      <c r="AC774" s="166">
        <v>0.168999999761581</v>
      </c>
      <c r="AG774" s="81" t="s">
        <v>238</v>
      </c>
      <c r="AH774" s="81" t="s">
        <v>118</v>
      </c>
      <c r="AI774" s="81" t="s">
        <v>2827</v>
      </c>
      <c r="AK774" s="166">
        <v>43</v>
      </c>
      <c r="AM774" s="166">
        <v>0</v>
      </c>
      <c r="AO774" s="166">
        <v>0</v>
      </c>
      <c r="AP774" s="166">
        <v>6</v>
      </c>
      <c r="AQ774" s="166">
        <v>28</v>
      </c>
      <c r="AR774" s="166">
        <v>9</v>
      </c>
      <c r="AS774" s="166">
        <v>0</v>
      </c>
      <c r="AT774" s="166">
        <v>0</v>
      </c>
      <c r="AU774" s="166">
        <v>0</v>
      </c>
      <c r="AV774" s="166">
        <v>0</v>
      </c>
      <c r="AW774" s="166">
        <v>6</v>
      </c>
      <c r="AX774" s="166">
        <v>28</v>
      </c>
      <c r="AY774" s="166">
        <v>9</v>
      </c>
      <c r="AZ774" s="166">
        <v>0</v>
      </c>
      <c r="BA774" s="166">
        <v>0</v>
      </c>
      <c r="BB774" s="166">
        <v>0</v>
      </c>
      <c r="BC774" s="166">
        <v>0</v>
      </c>
      <c r="BD774" s="166">
        <v>0</v>
      </c>
      <c r="BE774" s="166">
        <v>0</v>
      </c>
      <c r="BF774" s="166">
        <v>0</v>
      </c>
      <c r="BG774" s="166">
        <v>0</v>
      </c>
      <c r="BH774" s="166">
        <v>0</v>
      </c>
      <c r="BI774" s="166">
        <v>0</v>
      </c>
      <c r="BJ774" s="166">
        <v>0</v>
      </c>
      <c r="BK774" s="166">
        <v>0</v>
      </c>
      <c r="BL774" s="166">
        <v>0</v>
      </c>
      <c r="BM774" s="166">
        <v>0</v>
      </c>
      <c r="BN774" s="166">
        <v>0</v>
      </c>
      <c r="BO774" s="166">
        <v>0</v>
      </c>
      <c r="BP774" s="166">
        <v>0</v>
      </c>
      <c r="BQ774" s="81" t="s">
        <v>1757</v>
      </c>
      <c r="BU774" s="81" t="s">
        <v>155</v>
      </c>
      <c r="BZ774" s="81" t="s">
        <v>155</v>
      </c>
      <c r="CA774" s="81" t="s">
        <v>3936</v>
      </c>
      <c r="CC774" s="167">
        <v>0</v>
      </c>
      <c r="CD774" s="167">
        <v>0</v>
      </c>
      <c r="CE774" s="167">
        <f>$N774/3</f>
        <v>14.333333333333334</v>
      </c>
      <c r="CF774" s="167">
        <f>$N774/3</f>
        <v>14.333333333333334</v>
      </c>
      <c r="CG774" s="167">
        <f>$N774/3</f>
        <v>14.333333333333334</v>
      </c>
      <c r="CH774" s="167">
        <v>0</v>
      </c>
      <c r="CI774" s="167">
        <v>0</v>
      </c>
      <c r="CJ774" s="167">
        <v>0</v>
      </c>
      <c r="CK774" s="167">
        <v>0</v>
      </c>
      <c r="CL774" s="167">
        <v>0</v>
      </c>
      <c r="CM774" s="167">
        <v>0</v>
      </c>
      <c r="CN774" s="167">
        <v>0</v>
      </c>
      <c r="CO774" s="167">
        <v>0</v>
      </c>
      <c r="CP774" s="167">
        <v>0</v>
      </c>
      <c r="CQ774" s="167">
        <v>0</v>
      </c>
      <c r="CR774" s="167">
        <v>0</v>
      </c>
      <c r="CS774" s="167">
        <v>0</v>
      </c>
      <c r="CT774" s="167">
        <v>0</v>
      </c>
      <c r="CU774" s="167">
        <v>0</v>
      </c>
      <c r="CV774" s="167">
        <v>0</v>
      </c>
      <c r="CW774" s="167">
        <v>0</v>
      </c>
      <c r="CX774" s="167">
        <f>SUM(CD774:CH774)</f>
        <v>43</v>
      </c>
      <c r="CY774" s="167">
        <f>SUM(CD774:CM774)</f>
        <v>43</v>
      </c>
    </row>
    <row r="775" spans="1:103" ht="12.75" customHeight="1" x14ac:dyDescent="0.2">
      <c r="A775" s="81">
        <v>3521</v>
      </c>
      <c r="B775" s="165" t="s">
        <v>1930</v>
      </c>
      <c r="C775" s="165" t="s">
        <v>1158</v>
      </c>
      <c r="E775" s="165" t="s">
        <v>2826</v>
      </c>
      <c r="F775" s="165" t="s">
        <v>1161</v>
      </c>
      <c r="G775" s="81">
        <v>527156</v>
      </c>
      <c r="H775" s="81">
        <v>175243</v>
      </c>
      <c r="I775" s="165" t="s">
        <v>255</v>
      </c>
      <c r="L775" s="166">
        <v>0</v>
      </c>
      <c r="M775" s="166">
        <v>8</v>
      </c>
      <c r="N775" s="166">
        <v>8</v>
      </c>
      <c r="O775" s="166">
        <v>151</v>
      </c>
      <c r="P775" s="166">
        <v>151</v>
      </c>
      <c r="Q775" s="81" t="s">
        <v>155</v>
      </c>
      <c r="R775" s="165" t="s">
        <v>1160</v>
      </c>
      <c r="S775" s="81" t="s">
        <v>509</v>
      </c>
      <c r="T775" s="349">
        <v>42345</v>
      </c>
      <c r="U775" s="349">
        <v>42558</v>
      </c>
      <c r="W775" s="81" t="s">
        <v>114</v>
      </c>
      <c r="Y775" s="81" t="s">
        <v>115</v>
      </c>
      <c r="Z775" s="81" t="s">
        <v>116</v>
      </c>
      <c r="AA775" s="81" t="s">
        <v>116</v>
      </c>
      <c r="AB775" s="81" t="s">
        <v>117</v>
      </c>
      <c r="AC775" s="166">
        <v>3.5999998450279201E-2</v>
      </c>
      <c r="AG775" s="81" t="s">
        <v>74</v>
      </c>
      <c r="AH775" s="81" t="s">
        <v>1913</v>
      </c>
      <c r="AI775" s="81" t="s">
        <v>2827</v>
      </c>
      <c r="AK775" s="166">
        <v>8</v>
      </c>
      <c r="AM775" s="166">
        <v>0</v>
      </c>
      <c r="AO775" s="166">
        <v>0</v>
      </c>
      <c r="AP775" s="166">
        <v>6</v>
      </c>
      <c r="AQ775" s="166">
        <v>2</v>
      </c>
      <c r="AR775" s="166">
        <v>0</v>
      </c>
      <c r="AS775" s="166">
        <v>0</v>
      </c>
      <c r="AT775" s="166">
        <v>0</v>
      </c>
      <c r="AU775" s="166">
        <v>0</v>
      </c>
      <c r="AV775" s="166">
        <v>0</v>
      </c>
      <c r="AW775" s="166">
        <v>6</v>
      </c>
      <c r="AX775" s="166">
        <v>2</v>
      </c>
      <c r="AY775" s="166">
        <v>0</v>
      </c>
      <c r="AZ775" s="166">
        <v>0</v>
      </c>
      <c r="BA775" s="166">
        <v>0</v>
      </c>
      <c r="BB775" s="166">
        <v>0</v>
      </c>
      <c r="BC775" s="166">
        <v>0</v>
      </c>
      <c r="BD775" s="166">
        <v>0</v>
      </c>
      <c r="BE775" s="166">
        <v>0</v>
      </c>
      <c r="BF775" s="166">
        <v>0</v>
      </c>
      <c r="BG775" s="166">
        <v>0</v>
      </c>
      <c r="BH775" s="166">
        <v>0</v>
      </c>
      <c r="BI775" s="166">
        <v>0</v>
      </c>
      <c r="BJ775" s="166">
        <v>0</v>
      </c>
      <c r="BK775" s="166">
        <v>0</v>
      </c>
      <c r="BL775" s="166">
        <v>0</v>
      </c>
      <c r="BM775" s="166">
        <v>0</v>
      </c>
      <c r="BN775" s="166">
        <v>0</v>
      </c>
      <c r="BO775" s="166">
        <v>0</v>
      </c>
      <c r="BP775" s="166">
        <v>0</v>
      </c>
      <c r="BQ775" s="81" t="s">
        <v>1757</v>
      </c>
      <c r="BU775" s="81" t="s">
        <v>155</v>
      </c>
      <c r="BZ775" s="81" t="s">
        <v>155</v>
      </c>
      <c r="CA775" s="81" t="s">
        <v>3936</v>
      </c>
      <c r="CC775" s="167">
        <v>0</v>
      </c>
      <c r="CD775" s="167">
        <v>0</v>
      </c>
      <c r="CE775" s="167">
        <f>$N775/3</f>
        <v>2.6666666666666665</v>
      </c>
      <c r="CF775" s="167">
        <f>$N775/3</f>
        <v>2.6666666666666665</v>
      </c>
      <c r="CG775" s="167">
        <f>$N775/3</f>
        <v>2.6666666666666665</v>
      </c>
      <c r="CH775" s="167">
        <v>0</v>
      </c>
      <c r="CI775" s="167">
        <v>0</v>
      </c>
      <c r="CJ775" s="167">
        <v>0</v>
      </c>
      <c r="CK775" s="167">
        <v>0</v>
      </c>
      <c r="CL775" s="167">
        <v>0</v>
      </c>
      <c r="CM775" s="167">
        <v>0</v>
      </c>
      <c r="CN775" s="167">
        <v>0</v>
      </c>
      <c r="CO775" s="167">
        <v>0</v>
      </c>
      <c r="CP775" s="167">
        <v>0</v>
      </c>
      <c r="CQ775" s="167">
        <v>0</v>
      </c>
      <c r="CR775" s="167">
        <v>0</v>
      </c>
      <c r="CS775" s="167">
        <v>0</v>
      </c>
      <c r="CT775" s="167">
        <v>0</v>
      </c>
      <c r="CU775" s="167">
        <v>0</v>
      </c>
      <c r="CV775" s="167">
        <v>0</v>
      </c>
      <c r="CW775" s="167">
        <v>0</v>
      </c>
      <c r="CX775" s="167">
        <f>SUM(CD775:CH775)</f>
        <v>8</v>
      </c>
      <c r="CY775" s="167">
        <f>SUM(CD775:CM775)</f>
        <v>8</v>
      </c>
    </row>
    <row r="776" spans="1:103" ht="12.75" customHeight="1" x14ac:dyDescent="0.2">
      <c r="A776" s="81">
        <v>3521</v>
      </c>
      <c r="B776" s="165" t="s">
        <v>1930</v>
      </c>
      <c r="C776" s="165" t="s">
        <v>1158</v>
      </c>
      <c r="E776" s="165" t="s">
        <v>2826</v>
      </c>
      <c r="F776" s="165" t="s">
        <v>1162</v>
      </c>
      <c r="G776" s="81">
        <v>527156</v>
      </c>
      <c r="H776" s="81">
        <v>175243</v>
      </c>
      <c r="I776" s="165" t="s">
        <v>255</v>
      </c>
      <c r="L776" s="166">
        <v>0</v>
      </c>
      <c r="M776" s="166">
        <v>100</v>
      </c>
      <c r="N776" s="166">
        <v>100</v>
      </c>
      <c r="O776" s="166">
        <v>151</v>
      </c>
      <c r="P776" s="166">
        <v>151</v>
      </c>
      <c r="Q776" s="81" t="s">
        <v>155</v>
      </c>
      <c r="R776" s="165" t="s">
        <v>1160</v>
      </c>
      <c r="S776" s="81" t="s">
        <v>509</v>
      </c>
      <c r="T776" s="349">
        <v>42345</v>
      </c>
      <c r="U776" s="349">
        <v>42558</v>
      </c>
      <c r="W776" s="81" t="s">
        <v>114</v>
      </c>
      <c r="Y776" s="81" t="s">
        <v>115</v>
      </c>
      <c r="Z776" s="81" t="s">
        <v>116</v>
      </c>
      <c r="AA776" s="81" t="s">
        <v>116</v>
      </c>
      <c r="AB776" s="81" t="s">
        <v>117</v>
      </c>
      <c r="AC776" s="166">
        <v>0.30500000715255698</v>
      </c>
      <c r="AG776" s="81" t="s">
        <v>154</v>
      </c>
      <c r="AH776" s="81" t="s">
        <v>312</v>
      </c>
      <c r="AI776" s="81" t="s">
        <v>2827</v>
      </c>
      <c r="AK776" s="166">
        <v>100</v>
      </c>
      <c r="AM776" s="166">
        <v>0</v>
      </c>
      <c r="AO776" s="166">
        <v>0</v>
      </c>
      <c r="AP776" s="166">
        <v>30</v>
      </c>
      <c r="AQ776" s="166">
        <v>31</v>
      </c>
      <c r="AR776" s="166">
        <v>29</v>
      </c>
      <c r="AS776" s="166">
        <v>10</v>
      </c>
      <c r="AT776" s="166">
        <v>0</v>
      </c>
      <c r="AU776" s="166">
        <v>0</v>
      </c>
      <c r="AV776" s="166">
        <v>0</v>
      </c>
      <c r="AW776" s="166">
        <v>30</v>
      </c>
      <c r="AX776" s="166">
        <v>31</v>
      </c>
      <c r="AY776" s="166">
        <v>29</v>
      </c>
      <c r="AZ776" s="166">
        <v>10</v>
      </c>
      <c r="BA776" s="166">
        <v>0</v>
      </c>
      <c r="BB776" s="166">
        <v>0</v>
      </c>
      <c r="BC776" s="166">
        <v>0</v>
      </c>
      <c r="BD776" s="166">
        <v>0</v>
      </c>
      <c r="BE776" s="166">
        <v>0</v>
      </c>
      <c r="BF776" s="166">
        <v>0</v>
      </c>
      <c r="BG776" s="166">
        <v>0</v>
      </c>
      <c r="BH776" s="166">
        <v>0</v>
      </c>
      <c r="BI776" s="166">
        <v>0</v>
      </c>
      <c r="BJ776" s="166">
        <v>0</v>
      </c>
      <c r="BK776" s="166">
        <v>0</v>
      </c>
      <c r="BL776" s="166">
        <v>0</v>
      </c>
      <c r="BM776" s="166">
        <v>0</v>
      </c>
      <c r="BN776" s="166">
        <v>0</v>
      </c>
      <c r="BO776" s="166">
        <v>0</v>
      </c>
      <c r="BP776" s="166">
        <v>0</v>
      </c>
      <c r="BQ776" s="81" t="s">
        <v>1757</v>
      </c>
      <c r="BU776" s="81" t="s">
        <v>155</v>
      </c>
      <c r="BZ776" s="81" t="s">
        <v>155</v>
      </c>
      <c r="CA776" s="81" t="s">
        <v>3936</v>
      </c>
      <c r="CC776" s="167">
        <v>0</v>
      </c>
      <c r="CD776" s="167">
        <v>0</v>
      </c>
      <c r="CE776" s="167">
        <f>$N776/3</f>
        <v>33.333333333333336</v>
      </c>
      <c r="CF776" s="167">
        <f>$N776/3</f>
        <v>33.333333333333336</v>
      </c>
      <c r="CG776" s="167">
        <f>$N776/3</f>
        <v>33.333333333333336</v>
      </c>
      <c r="CH776" s="167">
        <v>0</v>
      </c>
      <c r="CI776" s="167">
        <v>0</v>
      </c>
      <c r="CJ776" s="167">
        <v>0</v>
      </c>
      <c r="CK776" s="167">
        <v>0</v>
      </c>
      <c r="CL776" s="167">
        <v>0</v>
      </c>
      <c r="CM776" s="167">
        <v>0</v>
      </c>
      <c r="CN776" s="167">
        <v>0</v>
      </c>
      <c r="CO776" s="167">
        <v>0</v>
      </c>
      <c r="CP776" s="167">
        <v>0</v>
      </c>
      <c r="CQ776" s="167">
        <v>0</v>
      </c>
      <c r="CR776" s="167">
        <v>0</v>
      </c>
      <c r="CS776" s="167">
        <v>0</v>
      </c>
      <c r="CT776" s="167">
        <v>0</v>
      </c>
      <c r="CU776" s="167">
        <v>0</v>
      </c>
      <c r="CV776" s="167">
        <v>0</v>
      </c>
      <c r="CW776" s="167">
        <v>0</v>
      </c>
      <c r="CX776" s="167">
        <f>SUM(CD776:CH776)</f>
        <v>100</v>
      </c>
      <c r="CY776" s="167">
        <f>SUM(CD776:CM776)</f>
        <v>100</v>
      </c>
    </row>
    <row r="777" spans="1:103" ht="12.75" customHeight="1" x14ac:dyDescent="0.2">
      <c r="A777" s="81">
        <v>3652</v>
      </c>
      <c r="B777" s="165" t="s">
        <v>1930</v>
      </c>
      <c r="C777" s="165" t="s">
        <v>813</v>
      </c>
      <c r="E777" s="165" t="s">
        <v>2496</v>
      </c>
      <c r="G777" s="81">
        <v>527224</v>
      </c>
      <c r="H777" s="81">
        <v>177200</v>
      </c>
      <c r="I777" s="165" t="s">
        <v>257</v>
      </c>
      <c r="L777" s="166">
        <v>0</v>
      </c>
      <c r="M777" s="166">
        <v>4</v>
      </c>
      <c r="N777" s="166">
        <v>4</v>
      </c>
      <c r="O777" s="166">
        <v>4</v>
      </c>
      <c r="P777" s="166">
        <v>4</v>
      </c>
      <c r="R777" s="165" t="s">
        <v>1179</v>
      </c>
      <c r="S777" s="81" t="s">
        <v>113</v>
      </c>
      <c r="T777" s="349">
        <v>42412</v>
      </c>
      <c r="U777" s="349">
        <v>42517</v>
      </c>
      <c r="W777" s="81" t="s">
        <v>114</v>
      </c>
      <c r="Y777" s="81" t="s">
        <v>115</v>
      </c>
      <c r="Z777" s="81" t="s">
        <v>116</v>
      </c>
      <c r="AA777" s="81" t="s">
        <v>117</v>
      </c>
      <c r="AB777" s="81" t="s">
        <v>218</v>
      </c>
      <c r="AC777" s="166">
        <v>4.1999999433755902E-2</v>
      </c>
      <c r="AG777" s="81" t="s">
        <v>238</v>
      </c>
      <c r="AH777" s="81" t="s">
        <v>118</v>
      </c>
      <c r="AK777" s="166">
        <v>0</v>
      </c>
      <c r="AM777" s="166">
        <v>0</v>
      </c>
      <c r="AO777" s="166">
        <v>0</v>
      </c>
      <c r="AP777" s="166">
        <v>0</v>
      </c>
      <c r="AQ777" s="166">
        <v>4</v>
      </c>
      <c r="AR777" s="166">
        <v>0</v>
      </c>
      <c r="AS777" s="166">
        <v>0</v>
      </c>
      <c r="AT777" s="166">
        <v>0</v>
      </c>
      <c r="AU777" s="166">
        <v>0</v>
      </c>
      <c r="AV777" s="166">
        <v>0</v>
      </c>
      <c r="AW777" s="166">
        <v>0</v>
      </c>
      <c r="AX777" s="166">
        <v>4</v>
      </c>
      <c r="AY777" s="166">
        <v>0</v>
      </c>
      <c r="AZ777" s="166">
        <v>0</v>
      </c>
      <c r="BA777" s="166">
        <v>0</v>
      </c>
      <c r="BB777" s="166">
        <v>0</v>
      </c>
      <c r="BC777" s="166">
        <v>0</v>
      </c>
      <c r="BD777" s="166">
        <v>0</v>
      </c>
      <c r="BE777" s="166">
        <v>0</v>
      </c>
      <c r="BF777" s="166">
        <v>0</v>
      </c>
      <c r="BG777" s="166">
        <v>0</v>
      </c>
      <c r="BH777" s="166">
        <v>0</v>
      </c>
      <c r="BI777" s="166">
        <v>0</v>
      </c>
      <c r="BJ777" s="166">
        <v>0</v>
      </c>
      <c r="BK777" s="166">
        <v>0</v>
      </c>
      <c r="BL777" s="166">
        <v>0</v>
      </c>
      <c r="BM777" s="166">
        <v>0</v>
      </c>
      <c r="BN777" s="166">
        <v>0</v>
      </c>
      <c r="BO777" s="166">
        <v>0</v>
      </c>
      <c r="BP777" s="166">
        <v>0</v>
      </c>
      <c r="BQ777" s="81" t="s">
        <v>1757</v>
      </c>
      <c r="BX777" s="81" t="s">
        <v>155</v>
      </c>
      <c r="BZ777" s="81" t="s">
        <v>155</v>
      </c>
      <c r="CA777" s="81">
        <v>4</v>
      </c>
      <c r="CC777" s="167">
        <v>0</v>
      </c>
      <c r="CD777" s="167">
        <v>0</v>
      </c>
      <c r="CE777" s="167">
        <f>$N777/4</f>
        <v>1</v>
      </c>
      <c r="CF777" s="167">
        <f>$N777/4</f>
        <v>1</v>
      </c>
      <c r="CG777" s="167">
        <f>$N777/4</f>
        <v>1</v>
      </c>
      <c r="CH777" s="167">
        <f>$N777/4</f>
        <v>1</v>
      </c>
      <c r="CI777" s="167">
        <v>0</v>
      </c>
      <c r="CJ777" s="167">
        <v>0</v>
      </c>
      <c r="CK777" s="167">
        <v>0</v>
      </c>
      <c r="CL777" s="167">
        <v>0</v>
      </c>
      <c r="CM777" s="167">
        <v>0</v>
      </c>
      <c r="CN777" s="167">
        <v>0</v>
      </c>
      <c r="CO777" s="167">
        <v>0</v>
      </c>
      <c r="CP777" s="167">
        <v>0</v>
      </c>
      <c r="CQ777" s="167">
        <v>0</v>
      </c>
      <c r="CR777" s="167">
        <v>0</v>
      </c>
      <c r="CS777" s="167">
        <v>0</v>
      </c>
      <c r="CT777" s="167">
        <v>0</v>
      </c>
      <c r="CU777" s="167">
        <v>0</v>
      </c>
      <c r="CV777" s="167">
        <v>0</v>
      </c>
      <c r="CW777" s="167">
        <v>0</v>
      </c>
      <c r="CX777" s="167">
        <f>SUM(CD777:CH777)</f>
        <v>4</v>
      </c>
      <c r="CY777" s="167">
        <f>SUM(CD777:CM777)</f>
        <v>4</v>
      </c>
    </row>
    <row r="778" spans="1:103" ht="12.75" customHeight="1" x14ac:dyDescent="0.2">
      <c r="A778" s="81">
        <v>3660</v>
      </c>
      <c r="B778" s="165" t="s">
        <v>1930</v>
      </c>
      <c r="C778" s="165" t="s">
        <v>2497</v>
      </c>
      <c r="E778" s="165" t="s">
        <v>2498</v>
      </c>
      <c r="G778" s="81">
        <v>527153</v>
      </c>
      <c r="H778" s="81">
        <v>171082</v>
      </c>
      <c r="I778" s="165" t="s">
        <v>242</v>
      </c>
      <c r="L778" s="166">
        <v>0</v>
      </c>
      <c r="M778" s="166">
        <v>2</v>
      </c>
      <c r="N778" s="166">
        <v>2</v>
      </c>
      <c r="O778" s="166">
        <v>2</v>
      </c>
      <c r="P778" s="166">
        <v>2</v>
      </c>
      <c r="R778" s="165" t="s">
        <v>2499</v>
      </c>
      <c r="S778" s="81" t="s">
        <v>113</v>
      </c>
      <c r="T778" s="349">
        <v>42898</v>
      </c>
      <c r="U778" s="349">
        <v>42954</v>
      </c>
      <c r="V778" s="81" t="s">
        <v>155</v>
      </c>
      <c r="W778" s="81" t="s">
        <v>114</v>
      </c>
      <c r="Y778" s="81" t="s">
        <v>115</v>
      </c>
      <c r="Z778" s="81" t="s">
        <v>116</v>
      </c>
      <c r="AA778" s="81" t="s">
        <v>117</v>
      </c>
      <c r="AB778" s="81" t="s">
        <v>218</v>
      </c>
      <c r="AC778" s="166">
        <v>2.8000000864267301E-2</v>
      </c>
      <c r="AG778" s="81" t="s">
        <v>238</v>
      </c>
      <c r="AH778" s="81" t="s">
        <v>118</v>
      </c>
      <c r="AK778" s="166">
        <v>0</v>
      </c>
      <c r="AM778" s="166">
        <v>0</v>
      </c>
      <c r="AO778" s="166">
        <v>0</v>
      </c>
      <c r="AP778" s="166">
        <v>0</v>
      </c>
      <c r="AQ778" s="166">
        <v>0</v>
      </c>
      <c r="AR778" s="166">
        <v>2</v>
      </c>
      <c r="AS778" s="166">
        <v>0</v>
      </c>
      <c r="AT778" s="166">
        <v>0</v>
      </c>
      <c r="AU778" s="166">
        <v>0</v>
      </c>
      <c r="AV778" s="166">
        <v>0</v>
      </c>
      <c r="AW778" s="166">
        <v>0</v>
      </c>
      <c r="AX778" s="166">
        <v>0</v>
      </c>
      <c r="AY778" s="166">
        <v>0</v>
      </c>
      <c r="AZ778" s="166">
        <v>0</v>
      </c>
      <c r="BA778" s="166">
        <v>0</v>
      </c>
      <c r="BB778" s="166">
        <v>0</v>
      </c>
      <c r="BC778" s="166">
        <v>0</v>
      </c>
      <c r="BD778" s="166">
        <v>0</v>
      </c>
      <c r="BE778" s="166">
        <v>0</v>
      </c>
      <c r="BF778" s="166">
        <v>2</v>
      </c>
      <c r="BG778" s="166">
        <v>0</v>
      </c>
      <c r="BH778" s="166">
        <v>0</v>
      </c>
      <c r="BI778" s="166">
        <v>0</v>
      </c>
      <c r="BJ778" s="166">
        <v>0</v>
      </c>
      <c r="BK778" s="166">
        <v>0</v>
      </c>
      <c r="BL778" s="166">
        <v>0</v>
      </c>
      <c r="BM778" s="166">
        <v>0</v>
      </c>
      <c r="BN778" s="166">
        <v>0</v>
      </c>
      <c r="BO778" s="166">
        <v>0</v>
      </c>
      <c r="BP778" s="166">
        <v>0</v>
      </c>
      <c r="BQ778" s="81" t="s">
        <v>1757</v>
      </c>
      <c r="BZ778" s="81" t="s">
        <v>155</v>
      </c>
      <c r="CA778" s="81">
        <v>4</v>
      </c>
      <c r="CC778" s="167">
        <v>0</v>
      </c>
      <c r="CD778" s="167">
        <v>0</v>
      </c>
      <c r="CE778" s="167">
        <f>$N778/4</f>
        <v>0.5</v>
      </c>
      <c r="CF778" s="167">
        <f>$N778/4</f>
        <v>0.5</v>
      </c>
      <c r="CG778" s="167">
        <f>$N778/4</f>
        <v>0.5</v>
      </c>
      <c r="CH778" s="167">
        <f>$N778/4</f>
        <v>0.5</v>
      </c>
      <c r="CI778" s="167">
        <v>0</v>
      </c>
      <c r="CJ778" s="167">
        <v>0</v>
      </c>
      <c r="CK778" s="167">
        <v>0</v>
      </c>
      <c r="CL778" s="167">
        <v>0</v>
      </c>
      <c r="CM778" s="167">
        <v>0</v>
      </c>
      <c r="CN778" s="167">
        <v>0</v>
      </c>
      <c r="CO778" s="167">
        <v>0</v>
      </c>
      <c r="CP778" s="167">
        <v>0</v>
      </c>
      <c r="CQ778" s="167">
        <v>0</v>
      </c>
      <c r="CR778" s="167">
        <v>0</v>
      </c>
      <c r="CS778" s="167">
        <v>0</v>
      </c>
      <c r="CT778" s="167">
        <v>0</v>
      </c>
      <c r="CU778" s="167">
        <v>0</v>
      </c>
      <c r="CV778" s="167">
        <v>0</v>
      </c>
      <c r="CW778" s="167">
        <v>0</v>
      </c>
      <c r="CX778" s="167">
        <f>SUM(CD778:CH778)</f>
        <v>2</v>
      </c>
      <c r="CY778" s="167">
        <f>SUM(CD778:CM778)</f>
        <v>2</v>
      </c>
    </row>
    <row r="779" spans="1:103" ht="12.75" customHeight="1" x14ac:dyDescent="0.2">
      <c r="A779" s="81">
        <v>3716</v>
      </c>
      <c r="B779" s="165" t="s">
        <v>1930</v>
      </c>
      <c r="C779" s="165" t="s">
        <v>1485</v>
      </c>
      <c r="E779" s="165" t="s">
        <v>2500</v>
      </c>
      <c r="G779" s="81">
        <v>525905</v>
      </c>
      <c r="H779" s="81">
        <v>173871</v>
      </c>
      <c r="I779" s="165" t="s">
        <v>249</v>
      </c>
      <c r="L779" s="166">
        <v>1</v>
      </c>
      <c r="M779" s="166">
        <v>2</v>
      </c>
      <c r="N779" s="166">
        <v>1</v>
      </c>
      <c r="O779" s="166">
        <v>2</v>
      </c>
      <c r="P779" s="166">
        <v>1</v>
      </c>
      <c r="R779" s="165" t="s">
        <v>1486</v>
      </c>
      <c r="S779" s="81" t="s">
        <v>113</v>
      </c>
      <c r="T779" s="349">
        <v>42690</v>
      </c>
      <c r="U779" s="349">
        <v>42745</v>
      </c>
      <c r="W779" s="81" t="s">
        <v>114</v>
      </c>
      <c r="Y779" s="81" t="s">
        <v>115</v>
      </c>
      <c r="Z779" s="81" t="s">
        <v>119</v>
      </c>
      <c r="AA779" s="81" t="s">
        <v>117</v>
      </c>
      <c r="AB779" s="81" t="s">
        <v>220</v>
      </c>
      <c r="AC779" s="166">
        <v>8.0000003799796104E-3</v>
      </c>
      <c r="AG779" s="81" t="s">
        <v>238</v>
      </c>
      <c r="AH779" s="81" t="s">
        <v>118</v>
      </c>
      <c r="AK779" s="166">
        <v>0</v>
      </c>
      <c r="AM779" s="166">
        <v>0</v>
      </c>
      <c r="AO779" s="166">
        <v>0</v>
      </c>
      <c r="AP779" s="166">
        <v>1</v>
      </c>
      <c r="AQ779" s="166">
        <v>1</v>
      </c>
      <c r="AR779" s="166">
        <v>-1</v>
      </c>
      <c r="AS779" s="166">
        <v>0</v>
      </c>
      <c r="AT779" s="166">
        <v>0</v>
      </c>
      <c r="AU779" s="166">
        <v>0</v>
      </c>
      <c r="AV779" s="166">
        <v>0</v>
      </c>
      <c r="AW779" s="166">
        <v>1</v>
      </c>
      <c r="AX779" s="166">
        <v>1</v>
      </c>
      <c r="AY779" s="166">
        <v>-1</v>
      </c>
      <c r="AZ779" s="166">
        <v>0</v>
      </c>
      <c r="BA779" s="166">
        <v>0</v>
      </c>
      <c r="BB779" s="166">
        <v>0</v>
      </c>
      <c r="BC779" s="166">
        <v>0</v>
      </c>
      <c r="BD779" s="166">
        <v>0</v>
      </c>
      <c r="BE779" s="166">
        <v>0</v>
      </c>
      <c r="BF779" s="166">
        <v>0</v>
      </c>
      <c r="BG779" s="166">
        <v>0</v>
      </c>
      <c r="BH779" s="166">
        <v>0</v>
      </c>
      <c r="BI779" s="166">
        <v>0</v>
      </c>
      <c r="BJ779" s="166">
        <v>0</v>
      </c>
      <c r="BK779" s="166">
        <v>0</v>
      </c>
      <c r="BL779" s="166">
        <v>0</v>
      </c>
      <c r="BM779" s="166">
        <v>0</v>
      </c>
      <c r="BN779" s="166">
        <v>0</v>
      </c>
      <c r="BO779" s="166">
        <v>0</v>
      </c>
      <c r="BP779" s="166">
        <v>0</v>
      </c>
      <c r="BQ779" s="81" t="s">
        <v>1758</v>
      </c>
      <c r="BZ779" s="81" t="s">
        <v>155</v>
      </c>
      <c r="CA779" s="81" t="s">
        <v>1937</v>
      </c>
      <c r="CC779" s="167">
        <v>0</v>
      </c>
      <c r="CD779" s="167">
        <f>$N779/4</f>
        <v>0.25</v>
      </c>
      <c r="CE779" s="167">
        <f>$N779/4</f>
        <v>0.25</v>
      </c>
      <c r="CF779" s="167">
        <f>$N779/4</f>
        <v>0.25</v>
      </c>
      <c r="CG779" s="167">
        <f>$N779/4</f>
        <v>0.25</v>
      </c>
      <c r="CH779" s="167">
        <v>0</v>
      </c>
      <c r="CI779" s="167">
        <v>0</v>
      </c>
      <c r="CJ779" s="167">
        <v>0</v>
      </c>
      <c r="CK779" s="167">
        <v>0</v>
      </c>
      <c r="CL779" s="167">
        <v>0</v>
      </c>
      <c r="CM779" s="167">
        <v>0</v>
      </c>
      <c r="CN779" s="167">
        <v>0</v>
      </c>
      <c r="CO779" s="167">
        <v>0</v>
      </c>
      <c r="CP779" s="167">
        <v>0</v>
      </c>
      <c r="CQ779" s="167">
        <v>0</v>
      </c>
      <c r="CR779" s="167">
        <v>0</v>
      </c>
      <c r="CS779" s="167">
        <v>0</v>
      </c>
      <c r="CT779" s="167">
        <v>0</v>
      </c>
      <c r="CU779" s="167">
        <v>0</v>
      </c>
      <c r="CV779" s="167">
        <v>0</v>
      </c>
      <c r="CW779" s="167">
        <v>0</v>
      </c>
      <c r="CX779" s="167">
        <f>SUM(CD779:CH779)</f>
        <v>1</v>
      </c>
      <c r="CY779" s="167">
        <f>SUM(CD779:CM779)</f>
        <v>1</v>
      </c>
    </row>
    <row r="780" spans="1:103" ht="12.75" customHeight="1" x14ac:dyDescent="0.2">
      <c r="A780" s="81">
        <v>3726</v>
      </c>
      <c r="B780" s="165" t="s">
        <v>1930</v>
      </c>
      <c r="C780" s="165" t="s">
        <v>2501</v>
      </c>
      <c r="E780" s="165" t="s">
        <v>2502</v>
      </c>
      <c r="G780" s="81">
        <v>525701</v>
      </c>
      <c r="H780" s="81">
        <v>173658</v>
      </c>
      <c r="I780" s="165" t="s">
        <v>249</v>
      </c>
      <c r="L780" s="166">
        <v>0</v>
      </c>
      <c r="M780" s="166">
        <v>1</v>
      </c>
      <c r="N780" s="166">
        <v>1</v>
      </c>
      <c r="O780" s="166">
        <v>1</v>
      </c>
      <c r="P780" s="166">
        <v>1</v>
      </c>
      <c r="R780" s="165" t="s">
        <v>319</v>
      </c>
      <c r="S780" s="81" t="s">
        <v>113</v>
      </c>
      <c r="T780" s="349">
        <v>42916</v>
      </c>
      <c r="U780" s="349">
        <v>43158</v>
      </c>
      <c r="V780" s="81" t="s">
        <v>155</v>
      </c>
      <c r="W780" s="81" t="s">
        <v>114</v>
      </c>
      <c r="Y780" s="81" t="s">
        <v>115</v>
      </c>
      <c r="Z780" s="81" t="s">
        <v>116</v>
      </c>
      <c r="AA780" s="81" t="s">
        <v>117</v>
      </c>
      <c r="AB780" s="81" t="s">
        <v>218</v>
      </c>
      <c r="AC780" s="166">
        <v>1.7000000923872001E-2</v>
      </c>
      <c r="AG780" s="81" t="s">
        <v>238</v>
      </c>
      <c r="AH780" s="81" t="s">
        <v>118</v>
      </c>
      <c r="AK780" s="166">
        <v>0</v>
      </c>
      <c r="AM780" s="166">
        <v>0</v>
      </c>
      <c r="AO780" s="166">
        <v>0</v>
      </c>
      <c r="AP780" s="166">
        <v>0</v>
      </c>
      <c r="AQ780" s="166">
        <v>0</v>
      </c>
      <c r="AR780" s="166">
        <v>1</v>
      </c>
      <c r="AS780" s="166">
        <v>0</v>
      </c>
      <c r="AT780" s="166">
        <v>0</v>
      </c>
      <c r="AU780" s="166">
        <v>0</v>
      </c>
      <c r="AV780" s="166">
        <v>0</v>
      </c>
      <c r="AW780" s="166">
        <v>0</v>
      </c>
      <c r="AX780" s="166">
        <v>0</v>
      </c>
      <c r="AY780" s="166">
        <v>0</v>
      </c>
      <c r="AZ780" s="166">
        <v>0</v>
      </c>
      <c r="BA780" s="166">
        <v>0</v>
      </c>
      <c r="BB780" s="166">
        <v>0</v>
      </c>
      <c r="BC780" s="166">
        <v>0</v>
      </c>
      <c r="BD780" s="166">
        <v>0</v>
      </c>
      <c r="BE780" s="166">
        <v>0</v>
      </c>
      <c r="BF780" s="166">
        <v>1</v>
      </c>
      <c r="BG780" s="166">
        <v>0</v>
      </c>
      <c r="BH780" s="166">
        <v>0</v>
      </c>
      <c r="BI780" s="166">
        <v>0</v>
      </c>
      <c r="BJ780" s="166">
        <v>0</v>
      </c>
      <c r="BK780" s="166">
        <v>0</v>
      </c>
      <c r="BL780" s="166">
        <v>0</v>
      </c>
      <c r="BM780" s="166">
        <v>0</v>
      </c>
      <c r="BN780" s="166">
        <v>0</v>
      </c>
      <c r="BO780" s="166">
        <v>0</v>
      </c>
      <c r="BP780" s="166">
        <v>0</v>
      </c>
      <c r="BQ780" s="81" t="s">
        <v>1758</v>
      </c>
      <c r="BY780" s="81" t="s">
        <v>155</v>
      </c>
      <c r="BZ780" s="81" t="s">
        <v>155</v>
      </c>
      <c r="CA780" s="81">
        <v>4</v>
      </c>
      <c r="CC780" s="167">
        <v>0</v>
      </c>
      <c r="CD780" s="167">
        <v>0</v>
      </c>
      <c r="CE780" s="167">
        <f>$N780/4</f>
        <v>0.25</v>
      </c>
      <c r="CF780" s="167">
        <f>$N780/4</f>
        <v>0.25</v>
      </c>
      <c r="CG780" s="167">
        <f>$N780/4</f>
        <v>0.25</v>
      </c>
      <c r="CH780" s="167">
        <f>$N780/4</f>
        <v>0.25</v>
      </c>
      <c r="CI780" s="167">
        <v>0</v>
      </c>
      <c r="CJ780" s="167">
        <v>0</v>
      </c>
      <c r="CK780" s="167">
        <v>0</v>
      </c>
      <c r="CL780" s="167">
        <v>0</v>
      </c>
      <c r="CM780" s="167">
        <v>0</v>
      </c>
      <c r="CN780" s="167">
        <v>0</v>
      </c>
      <c r="CO780" s="167">
        <v>0</v>
      </c>
      <c r="CP780" s="167">
        <v>0</v>
      </c>
      <c r="CQ780" s="167">
        <v>0</v>
      </c>
      <c r="CR780" s="167">
        <v>0</v>
      </c>
      <c r="CS780" s="167">
        <v>0</v>
      </c>
      <c r="CT780" s="167">
        <v>0</v>
      </c>
      <c r="CU780" s="167">
        <v>0</v>
      </c>
      <c r="CV780" s="167">
        <v>0</v>
      </c>
      <c r="CW780" s="167">
        <v>0</v>
      </c>
      <c r="CX780" s="167">
        <f>SUM(CD780:CH780)</f>
        <v>1</v>
      </c>
      <c r="CY780" s="167">
        <f>SUM(CD780:CM780)</f>
        <v>1</v>
      </c>
    </row>
    <row r="781" spans="1:103" ht="12.75" customHeight="1" x14ac:dyDescent="0.2">
      <c r="A781" s="81">
        <v>3792</v>
      </c>
      <c r="B781" s="165" t="s">
        <v>1930</v>
      </c>
      <c r="C781" s="165" t="s">
        <v>2503</v>
      </c>
      <c r="E781" s="165" t="s">
        <v>2504</v>
      </c>
      <c r="G781" s="81">
        <v>527949</v>
      </c>
      <c r="H781" s="81">
        <v>172431</v>
      </c>
      <c r="I781" s="165" t="s">
        <v>254</v>
      </c>
      <c r="L781" s="166">
        <v>2</v>
      </c>
      <c r="M781" s="166">
        <v>2</v>
      </c>
      <c r="N781" s="166">
        <v>0</v>
      </c>
      <c r="O781" s="166">
        <v>2</v>
      </c>
      <c r="P781" s="166">
        <v>0</v>
      </c>
      <c r="R781" s="165" t="s">
        <v>2505</v>
      </c>
      <c r="S781" s="81" t="s">
        <v>113</v>
      </c>
      <c r="T781" s="349">
        <v>42878</v>
      </c>
      <c r="U781" s="349">
        <v>42934</v>
      </c>
      <c r="V781" s="81" t="s">
        <v>155</v>
      </c>
      <c r="W781" s="81" t="s">
        <v>114</v>
      </c>
      <c r="Y781" s="81" t="s">
        <v>115</v>
      </c>
      <c r="Z781" s="81" t="s">
        <v>398</v>
      </c>
      <c r="AA781" s="81" t="s">
        <v>117</v>
      </c>
      <c r="AB781" s="81" t="s">
        <v>220</v>
      </c>
      <c r="AC781" s="166">
        <v>6.0000000521540598E-3</v>
      </c>
      <c r="AG781" s="81" t="s">
        <v>238</v>
      </c>
      <c r="AH781" s="81" t="s">
        <v>118</v>
      </c>
      <c r="AK781" s="166">
        <v>0</v>
      </c>
      <c r="AM781" s="166">
        <v>0</v>
      </c>
      <c r="AO781" s="166">
        <v>-1</v>
      </c>
      <c r="AP781" s="166">
        <v>-1</v>
      </c>
      <c r="AQ781" s="166">
        <v>2</v>
      </c>
      <c r="AR781" s="166">
        <v>0</v>
      </c>
      <c r="AS781" s="166">
        <v>0</v>
      </c>
      <c r="AT781" s="166">
        <v>0</v>
      </c>
      <c r="AU781" s="166">
        <v>0</v>
      </c>
      <c r="AV781" s="166">
        <v>-1</v>
      </c>
      <c r="AW781" s="166">
        <v>-1</v>
      </c>
      <c r="AX781" s="166">
        <v>2</v>
      </c>
      <c r="AY781" s="166">
        <v>0</v>
      </c>
      <c r="AZ781" s="166">
        <v>0</v>
      </c>
      <c r="BA781" s="166">
        <v>0</v>
      </c>
      <c r="BB781" s="166">
        <v>0</v>
      </c>
      <c r="BC781" s="166">
        <v>0</v>
      </c>
      <c r="BD781" s="166">
        <v>0</v>
      </c>
      <c r="BE781" s="166">
        <v>0</v>
      </c>
      <c r="BF781" s="166">
        <v>0</v>
      </c>
      <c r="BG781" s="166">
        <v>0</v>
      </c>
      <c r="BH781" s="166">
        <v>0</v>
      </c>
      <c r="BI781" s="166">
        <v>0</v>
      </c>
      <c r="BJ781" s="166">
        <v>0</v>
      </c>
      <c r="BK781" s="166">
        <v>0</v>
      </c>
      <c r="BL781" s="166">
        <v>0</v>
      </c>
      <c r="BM781" s="166">
        <v>0</v>
      </c>
      <c r="BN781" s="166">
        <v>0</v>
      </c>
      <c r="BO781" s="166">
        <v>0</v>
      </c>
      <c r="BP781" s="166">
        <v>0</v>
      </c>
      <c r="BQ781" s="81" t="s">
        <v>1757</v>
      </c>
      <c r="BZ781" s="81" t="s">
        <v>155</v>
      </c>
      <c r="CA781" s="81" t="s">
        <v>1937</v>
      </c>
      <c r="CC781" s="167">
        <v>0</v>
      </c>
      <c r="CD781" s="167">
        <f>$N781/4</f>
        <v>0</v>
      </c>
      <c r="CE781" s="167">
        <f>$N781/4</f>
        <v>0</v>
      </c>
      <c r="CF781" s="167">
        <f>$N781/4</f>
        <v>0</v>
      </c>
      <c r="CG781" s="167">
        <f>$N781/4</f>
        <v>0</v>
      </c>
      <c r="CH781" s="167">
        <v>0</v>
      </c>
      <c r="CI781" s="167">
        <v>0</v>
      </c>
      <c r="CJ781" s="167">
        <v>0</v>
      </c>
      <c r="CK781" s="167">
        <v>0</v>
      </c>
      <c r="CL781" s="167">
        <v>0</v>
      </c>
      <c r="CM781" s="167">
        <v>0</v>
      </c>
      <c r="CN781" s="167">
        <v>0</v>
      </c>
      <c r="CO781" s="167">
        <v>0</v>
      </c>
      <c r="CP781" s="167">
        <v>0</v>
      </c>
      <c r="CQ781" s="167">
        <v>0</v>
      </c>
      <c r="CR781" s="167">
        <v>0</v>
      </c>
      <c r="CS781" s="167">
        <v>0</v>
      </c>
      <c r="CT781" s="167">
        <v>0</v>
      </c>
      <c r="CU781" s="167">
        <v>0</v>
      </c>
      <c r="CV781" s="167">
        <v>0</v>
      </c>
      <c r="CW781" s="167">
        <v>0</v>
      </c>
      <c r="CX781" s="167">
        <f>SUM(CD781:CH781)</f>
        <v>0</v>
      </c>
      <c r="CY781" s="167">
        <f>SUM(CD781:CM781)</f>
        <v>0</v>
      </c>
    </row>
    <row r="782" spans="1:103" ht="12.75" customHeight="1" x14ac:dyDescent="0.2">
      <c r="A782" s="81">
        <v>3860</v>
      </c>
      <c r="B782" s="165" t="s">
        <v>1930</v>
      </c>
      <c r="C782" s="165" t="s">
        <v>2506</v>
      </c>
      <c r="E782" s="165" t="s">
        <v>2507</v>
      </c>
      <c r="G782" s="81">
        <v>525273</v>
      </c>
      <c r="H782" s="81">
        <v>174622</v>
      </c>
      <c r="I782" s="165" t="s">
        <v>258</v>
      </c>
      <c r="L782" s="166">
        <v>0</v>
      </c>
      <c r="M782" s="166">
        <v>3</v>
      </c>
      <c r="N782" s="166">
        <v>3</v>
      </c>
      <c r="O782" s="166">
        <v>3</v>
      </c>
      <c r="P782" s="166">
        <v>3</v>
      </c>
      <c r="R782" s="165" t="s">
        <v>2508</v>
      </c>
      <c r="S782" s="81" t="s">
        <v>110</v>
      </c>
      <c r="T782" s="349">
        <v>42900</v>
      </c>
      <c r="U782" s="349">
        <v>42948</v>
      </c>
      <c r="V782" s="81" t="s">
        <v>155</v>
      </c>
      <c r="W782" s="81" t="s">
        <v>114</v>
      </c>
      <c r="Y782" s="81" t="s">
        <v>115</v>
      </c>
      <c r="Z782" s="81" t="s">
        <v>310</v>
      </c>
      <c r="AA782" s="81" t="s">
        <v>117</v>
      </c>
      <c r="AB782" s="81" t="s">
        <v>399</v>
      </c>
      <c r="AC782" s="166">
        <v>4.6000000089407002E-2</v>
      </c>
      <c r="AG782" s="81" t="s">
        <v>238</v>
      </c>
      <c r="AH782" s="81" t="s">
        <v>118</v>
      </c>
      <c r="AK782" s="166">
        <v>0</v>
      </c>
      <c r="AM782" s="166">
        <v>0</v>
      </c>
      <c r="AO782" s="166">
        <v>0</v>
      </c>
      <c r="AP782" s="166">
        <v>2</v>
      </c>
      <c r="AQ782" s="166">
        <v>1</v>
      </c>
      <c r="AR782" s="166">
        <v>0</v>
      </c>
      <c r="AS782" s="166">
        <v>0</v>
      </c>
      <c r="AT782" s="166">
        <v>0</v>
      </c>
      <c r="AU782" s="166">
        <v>0</v>
      </c>
      <c r="AV782" s="166">
        <v>0</v>
      </c>
      <c r="AW782" s="166">
        <v>2</v>
      </c>
      <c r="AX782" s="166">
        <v>1</v>
      </c>
      <c r="AY782" s="166">
        <v>0</v>
      </c>
      <c r="AZ782" s="166">
        <v>0</v>
      </c>
      <c r="BA782" s="166">
        <v>0</v>
      </c>
      <c r="BB782" s="166">
        <v>0</v>
      </c>
      <c r="BC782" s="166">
        <v>0</v>
      </c>
      <c r="BD782" s="166">
        <v>0</v>
      </c>
      <c r="BE782" s="166">
        <v>0</v>
      </c>
      <c r="BF782" s="166">
        <v>0</v>
      </c>
      <c r="BG782" s="166">
        <v>0</v>
      </c>
      <c r="BH782" s="166">
        <v>0</v>
      </c>
      <c r="BI782" s="166">
        <v>0</v>
      </c>
      <c r="BJ782" s="166">
        <v>0</v>
      </c>
      <c r="BK782" s="166">
        <v>0</v>
      </c>
      <c r="BL782" s="166">
        <v>0</v>
      </c>
      <c r="BM782" s="166">
        <v>0</v>
      </c>
      <c r="BN782" s="166">
        <v>0</v>
      </c>
      <c r="BO782" s="166">
        <v>0</v>
      </c>
      <c r="BP782" s="166">
        <v>0</v>
      </c>
      <c r="BQ782" s="81" t="s">
        <v>1758</v>
      </c>
      <c r="BZ782" s="81" t="s">
        <v>155</v>
      </c>
      <c r="CA782" s="81" t="s">
        <v>1937</v>
      </c>
      <c r="CC782" s="167">
        <v>0</v>
      </c>
      <c r="CD782" s="167">
        <f>$N782/4</f>
        <v>0.75</v>
      </c>
      <c r="CE782" s="167">
        <f>$N782/4</f>
        <v>0.75</v>
      </c>
      <c r="CF782" s="167">
        <f>$N782/4</f>
        <v>0.75</v>
      </c>
      <c r="CG782" s="167">
        <f>$N782/4</f>
        <v>0.75</v>
      </c>
      <c r="CH782" s="167">
        <v>0</v>
      </c>
      <c r="CI782" s="167">
        <v>0</v>
      </c>
      <c r="CJ782" s="167">
        <v>0</v>
      </c>
      <c r="CK782" s="167">
        <v>0</v>
      </c>
      <c r="CL782" s="167">
        <v>0</v>
      </c>
      <c r="CM782" s="167">
        <v>0</v>
      </c>
      <c r="CN782" s="167">
        <v>0</v>
      </c>
      <c r="CO782" s="167">
        <v>0</v>
      </c>
      <c r="CP782" s="167">
        <v>0</v>
      </c>
      <c r="CQ782" s="167">
        <v>0</v>
      </c>
      <c r="CR782" s="167">
        <v>0</v>
      </c>
      <c r="CS782" s="167">
        <v>0</v>
      </c>
      <c r="CT782" s="167">
        <v>0</v>
      </c>
      <c r="CU782" s="167">
        <v>0</v>
      </c>
      <c r="CV782" s="167">
        <v>0</v>
      </c>
      <c r="CW782" s="167">
        <v>0</v>
      </c>
      <c r="CX782" s="167">
        <f>SUM(CD782:CH782)</f>
        <v>3</v>
      </c>
      <c r="CY782" s="167">
        <f>SUM(CD782:CM782)</f>
        <v>3</v>
      </c>
    </row>
    <row r="783" spans="1:103" ht="12.75" customHeight="1" x14ac:dyDescent="0.2">
      <c r="A783" s="81">
        <v>3938</v>
      </c>
      <c r="B783" s="165" t="s">
        <v>1930</v>
      </c>
      <c r="C783" s="165" t="s">
        <v>1330</v>
      </c>
      <c r="D783" s="165" t="s">
        <v>603</v>
      </c>
      <c r="E783" s="165" t="s">
        <v>3005</v>
      </c>
      <c r="F783" s="165" t="s">
        <v>4048</v>
      </c>
      <c r="G783" s="81">
        <v>529318</v>
      </c>
      <c r="H783" s="81">
        <v>177190</v>
      </c>
      <c r="I783" s="165" t="s">
        <v>240</v>
      </c>
      <c r="L783" s="166">
        <v>0</v>
      </c>
      <c r="M783" s="166">
        <v>82</v>
      </c>
      <c r="N783" s="166">
        <v>82</v>
      </c>
      <c r="O783" s="166">
        <v>386</v>
      </c>
      <c r="P783" s="166">
        <v>386</v>
      </c>
      <c r="Q783" s="81" t="s">
        <v>155</v>
      </c>
      <c r="R783" s="165" t="s">
        <v>1331</v>
      </c>
      <c r="S783" s="81" t="s">
        <v>104</v>
      </c>
      <c r="T783" s="349">
        <v>42551</v>
      </c>
      <c r="U783" s="349">
        <v>42695</v>
      </c>
      <c r="W783" s="81" t="s">
        <v>114</v>
      </c>
      <c r="Y783" s="81" t="s">
        <v>115</v>
      </c>
      <c r="Z783" s="81" t="s">
        <v>116</v>
      </c>
      <c r="AA783" s="81" t="s">
        <v>116</v>
      </c>
      <c r="AB783" s="81" t="s">
        <v>117</v>
      </c>
      <c r="AC783" s="166">
        <v>0.309</v>
      </c>
      <c r="AG783" s="81" t="s">
        <v>74</v>
      </c>
      <c r="AH783" s="81" t="s">
        <v>895</v>
      </c>
      <c r="AI783" s="353" t="s">
        <v>3006</v>
      </c>
      <c r="AK783" s="166">
        <v>168</v>
      </c>
      <c r="AM783" s="166">
        <v>17</v>
      </c>
      <c r="AO783" s="166">
        <v>0</v>
      </c>
      <c r="AP783" s="166">
        <v>62</v>
      </c>
      <c r="AQ783" s="166">
        <v>44</v>
      </c>
      <c r="AR783" s="166">
        <v>30</v>
      </c>
      <c r="AS783" s="166">
        <v>32</v>
      </c>
      <c r="AT783" s="166">
        <v>0</v>
      </c>
      <c r="AU783" s="166">
        <v>0</v>
      </c>
      <c r="AV783" s="166">
        <v>0</v>
      </c>
      <c r="AW783" s="166">
        <v>62</v>
      </c>
      <c r="AX783" s="166">
        <v>44</v>
      </c>
      <c r="AY783" s="166">
        <v>30</v>
      </c>
      <c r="AZ783" s="166">
        <v>32</v>
      </c>
      <c r="BA783" s="166">
        <v>0</v>
      </c>
      <c r="BB783" s="166">
        <v>0</v>
      </c>
      <c r="BC783" s="166">
        <v>0</v>
      </c>
      <c r="BD783" s="166">
        <v>0</v>
      </c>
      <c r="BE783" s="166">
        <v>0</v>
      </c>
      <c r="BF783" s="166">
        <v>0</v>
      </c>
      <c r="BG783" s="166">
        <v>0</v>
      </c>
      <c r="BH783" s="166">
        <v>0</v>
      </c>
      <c r="BI783" s="166">
        <v>0</v>
      </c>
      <c r="BJ783" s="166">
        <v>0</v>
      </c>
      <c r="BK783" s="166">
        <v>0</v>
      </c>
      <c r="BL783" s="166">
        <v>0</v>
      </c>
      <c r="BM783" s="166">
        <v>0</v>
      </c>
      <c r="BN783" s="166">
        <v>0</v>
      </c>
      <c r="BO783" s="166">
        <v>0</v>
      </c>
      <c r="BP783" s="166">
        <v>0</v>
      </c>
      <c r="BQ783" s="81" t="s">
        <v>1759</v>
      </c>
      <c r="BS783" s="81" t="s">
        <v>155</v>
      </c>
      <c r="BZ783" s="81" t="s">
        <v>155</v>
      </c>
      <c r="CA783" s="81">
        <v>12</v>
      </c>
      <c r="CC783" s="167">
        <v>0</v>
      </c>
      <c r="CD783" s="167">
        <v>0</v>
      </c>
      <c r="CE783" s="166">
        <v>82</v>
      </c>
      <c r="CF783" s="167">
        <v>0</v>
      </c>
      <c r="CG783" s="167">
        <v>0</v>
      </c>
      <c r="CH783" s="167">
        <v>0</v>
      </c>
      <c r="CI783" s="167">
        <v>0</v>
      </c>
      <c r="CJ783" s="167">
        <v>0</v>
      </c>
      <c r="CK783" s="167">
        <v>0</v>
      </c>
      <c r="CL783" s="167">
        <v>0</v>
      </c>
      <c r="CM783" s="167">
        <v>0</v>
      </c>
      <c r="CN783" s="167">
        <v>0</v>
      </c>
      <c r="CO783" s="167">
        <v>0</v>
      </c>
      <c r="CP783" s="167">
        <v>0</v>
      </c>
      <c r="CQ783" s="167">
        <v>0</v>
      </c>
      <c r="CR783" s="167">
        <v>0</v>
      </c>
      <c r="CS783" s="167">
        <v>0</v>
      </c>
      <c r="CT783" s="167">
        <v>0</v>
      </c>
      <c r="CU783" s="167">
        <v>0</v>
      </c>
      <c r="CV783" s="167">
        <v>0</v>
      </c>
      <c r="CW783" s="167">
        <v>0</v>
      </c>
      <c r="CX783" s="167">
        <f>SUM(CD783:CH783)</f>
        <v>82</v>
      </c>
      <c r="CY783" s="167">
        <f>SUM(CD783:CM783)</f>
        <v>82</v>
      </c>
    </row>
    <row r="784" spans="1:103" ht="12.75" customHeight="1" x14ac:dyDescent="0.2">
      <c r="A784" s="81">
        <v>3938</v>
      </c>
      <c r="B784" s="165" t="s">
        <v>1930</v>
      </c>
      <c r="C784" s="165" t="s">
        <v>1330</v>
      </c>
      <c r="D784" s="165" t="s">
        <v>603</v>
      </c>
      <c r="E784" s="165" t="s">
        <v>3005</v>
      </c>
      <c r="F784" s="165" t="s">
        <v>4049</v>
      </c>
      <c r="G784" s="81">
        <v>529318</v>
      </c>
      <c r="H784" s="81">
        <v>177190</v>
      </c>
      <c r="I784" s="165" t="s">
        <v>240</v>
      </c>
      <c r="L784" s="166">
        <v>0</v>
      </c>
      <c r="M784" s="166">
        <v>168</v>
      </c>
      <c r="N784" s="166">
        <v>168</v>
      </c>
      <c r="O784" s="166">
        <v>386</v>
      </c>
      <c r="P784" s="166">
        <v>386</v>
      </c>
      <c r="Q784" s="81" t="s">
        <v>155</v>
      </c>
      <c r="R784" s="165" t="s">
        <v>1331</v>
      </c>
      <c r="S784" s="81" t="s">
        <v>104</v>
      </c>
      <c r="T784" s="349">
        <v>42551</v>
      </c>
      <c r="U784" s="349">
        <v>42695</v>
      </c>
      <c r="W784" s="81" t="s">
        <v>114</v>
      </c>
      <c r="Y784" s="81" t="s">
        <v>115</v>
      </c>
      <c r="Z784" s="81" t="s">
        <v>116</v>
      </c>
      <c r="AA784" s="81" t="s">
        <v>116</v>
      </c>
      <c r="AB784" s="81" t="s">
        <v>117</v>
      </c>
      <c r="AC784" s="166">
        <v>0.25</v>
      </c>
      <c r="AG784" s="81" t="s">
        <v>74</v>
      </c>
      <c r="AH784" s="81" t="s">
        <v>990</v>
      </c>
      <c r="AI784" s="353" t="s">
        <v>3006</v>
      </c>
      <c r="AK784" s="166">
        <v>136</v>
      </c>
      <c r="AM784" s="166">
        <v>14</v>
      </c>
      <c r="AO784" s="166">
        <v>0</v>
      </c>
      <c r="AP784" s="166">
        <v>78</v>
      </c>
      <c r="AQ784" s="166">
        <v>52</v>
      </c>
      <c r="AR784" s="166">
        <v>0</v>
      </c>
      <c r="AS784" s="166">
        <v>0</v>
      </c>
      <c r="AT784" s="166">
        <v>0</v>
      </c>
      <c r="AU784" s="166">
        <v>0</v>
      </c>
      <c r="AV784" s="166">
        <v>0</v>
      </c>
      <c r="AW784" s="166">
        <v>78</v>
      </c>
      <c r="AX784" s="166">
        <v>52</v>
      </c>
      <c r="AY784" s="166">
        <v>0</v>
      </c>
      <c r="AZ784" s="166">
        <v>0</v>
      </c>
      <c r="BA784" s="166">
        <v>0</v>
      </c>
      <c r="BB784" s="166">
        <v>0</v>
      </c>
      <c r="BC784" s="166">
        <v>0</v>
      </c>
      <c r="BD784" s="166">
        <v>0</v>
      </c>
      <c r="BE784" s="166">
        <v>0</v>
      </c>
      <c r="BF784" s="166">
        <v>0</v>
      </c>
      <c r="BG784" s="166">
        <v>0</v>
      </c>
      <c r="BH784" s="166">
        <v>0</v>
      </c>
      <c r="BI784" s="166">
        <v>0</v>
      </c>
      <c r="BJ784" s="166">
        <v>0</v>
      </c>
      <c r="BK784" s="166">
        <v>0</v>
      </c>
      <c r="BL784" s="166">
        <v>0</v>
      </c>
      <c r="BM784" s="166">
        <v>0</v>
      </c>
      <c r="BN784" s="166">
        <v>0</v>
      </c>
      <c r="BO784" s="166">
        <v>0</v>
      </c>
      <c r="BP784" s="166">
        <v>0</v>
      </c>
      <c r="BQ784" s="81" t="s">
        <v>1759</v>
      </c>
      <c r="BS784" s="81" t="s">
        <v>155</v>
      </c>
      <c r="BZ784" s="81" t="s">
        <v>155</v>
      </c>
      <c r="CA784" s="81">
        <v>12</v>
      </c>
      <c r="CC784" s="167">
        <v>0</v>
      </c>
      <c r="CD784" s="167">
        <v>0</v>
      </c>
      <c r="CE784" s="166">
        <v>168</v>
      </c>
      <c r="CF784" s="167">
        <v>0</v>
      </c>
      <c r="CG784" s="167">
        <v>0</v>
      </c>
      <c r="CH784" s="167">
        <v>0</v>
      </c>
      <c r="CI784" s="167">
        <v>0</v>
      </c>
      <c r="CJ784" s="167">
        <v>0</v>
      </c>
      <c r="CK784" s="167">
        <v>0</v>
      </c>
      <c r="CL784" s="167">
        <v>0</v>
      </c>
      <c r="CM784" s="167">
        <v>0</v>
      </c>
      <c r="CN784" s="167">
        <v>0</v>
      </c>
      <c r="CO784" s="167">
        <v>0</v>
      </c>
      <c r="CP784" s="167">
        <v>0</v>
      </c>
      <c r="CQ784" s="167">
        <v>0</v>
      </c>
      <c r="CR784" s="167">
        <v>0</v>
      </c>
      <c r="CS784" s="167">
        <v>0</v>
      </c>
      <c r="CT784" s="167">
        <v>0</v>
      </c>
      <c r="CU784" s="167">
        <v>0</v>
      </c>
      <c r="CV784" s="167">
        <v>0</v>
      </c>
      <c r="CW784" s="167">
        <v>0</v>
      </c>
      <c r="CX784" s="167">
        <f>SUM(CD784:CH784)</f>
        <v>168</v>
      </c>
      <c r="CY784" s="167">
        <f>SUM(CD784:CM784)</f>
        <v>168</v>
      </c>
    </row>
    <row r="785" spans="1:103" ht="12.75" customHeight="1" x14ac:dyDescent="0.2">
      <c r="A785" s="81">
        <v>3938</v>
      </c>
      <c r="B785" s="165" t="s">
        <v>1930</v>
      </c>
      <c r="C785" s="165" t="s">
        <v>1330</v>
      </c>
      <c r="D785" s="165" t="s">
        <v>603</v>
      </c>
      <c r="E785" s="165" t="s">
        <v>3005</v>
      </c>
      <c r="F785" s="165" t="s">
        <v>4050</v>
      </c>
      <c r="G785" s="81">
        <v>529318</v>
      </c>
      <c r="H785" s="81">
        <v>177190</v>
      </c>
      <c r="I785" s="165" t="s">
        <v>240</v>
      </c>
      <c r="L785" s="166">
        <v>0</v>
      </c>
      <c r="M785" s="166">
        <v>136</v>
      </c>
      <c r="N785" s="166">
        <v>136</v>
      </c>
      <c r="O785" s="166">
        <v>386</v>
      </c>
      <c r="P785" s="166">
        <v>386</v>
      </c>
      <c r="Q785" s="81" t="s">
        <v>155</v>
      </c>
      <c r="R785" s="165" t="s">
        <v>1331</v>
      </c>
      <c r="S785" s="81" t="s">
        <v>104</v>
      </c>
      <c r="T785" s="349">
        <v>42551</v>
      </c>
      <c r="U785" s="349">
        <v>42695</v>
      </c>
      <c r="W785" s="81" t="s">
        <v>114</v>
      </c>
      <c r="Y785" s="81" t="s">
        <v>115</v>
      </c>
      <c r="Z785" s="81" t="s">
        <v>116</v>
      </c>
      <c r="AA785" s="81" t="s">
        <v>116</v>
      </c>
      <c r="AB785" s="81" t="s">
        <v>117</v>
      </c>
      <c r="AC785" s="166">
        <v>0.151</v>
      </c>
      <c r="AG785" s="81" t="s">
        <v>74</v>
      </c>
      <c r="AH785" s="81" t="s">
        <v>895</v>
      </c>
      <c r="AI785" s="353" t="s">
        <v>3006</v>
      </c>
      <c r="AK785" s="166">
        <v>82</v>
      </c>
      <c r="AM785" s="166">
        <v>8</v>
      </c>
      <c r="AO785" s="166">
        <v>0</v>
      </c>
      <c r="AP785" s="166">
        <v>0</v>
      </c>
      <c r="AQ785" s="166">
        <v>40</v>
      </c>
      <c r="AR785" s="166">
        <v>39</v>
      </c>
      <c r="AS785" s="166">
        <v>3</v>
      </c>
      <c r="AT785" s="166">
        <v>0</v>
      </c>
      <c r="AU785" s="166">
        <v>0</v>
      </c>
      <c r="AV785" s="166">
        <v>0</v>
      </c>
      <c r="AW785" s="166">
        <v>0</v>
      </c>
      <c r="AX785" s="166">
        <v>40</v>
      </c>
      <c r="AY785" s="166">
        <v>39</v>
      </c>
      <c r="AZ785" s="166">
        <v>3</v>
      </c>
      <c r="BA785" s="166">
        <v>0</v>
      </c>
      <c r="BB785" s="166">
        <v>0</v>
      </c>
      <c r="BC785" s="166">
        <v>0</v>
      </c>
      <c r="BD785" s="166">
        <v>0</v>
      </c>
      <c r="BE785" s="166">
        <v>0</v>
      </c>
      <c r="BF785" s="166">
        <v>0</v>
      </c>
      <c r="BG785" s="166">
        <v>0</v>
      </c>
      <c r="BH785" s="166">
        <v>0</v>
      </c>
      <c r="BI785" s="166">
        <v>0</v>
      </c>
      <c r="BJ785" s="166">
        <v>0</v>
      </c>
      <c r="BK785" s="166">
        <v>0</v>
      </c>
      <c r="BL785" s="166">
        <v>0</v>
      </c>
      <c r="BM785" s="166">
        <v>0</v>
      </c>
      <c r="BN785" s="166">
        <v>0</v>
      </c>
      <c r="BO785" s="166">
        <v>0</v>
      </c>
      <c r="BP785" s="166">
        <v>0</v>
      </c>
      <c r="BQ785" s="81" t="s">
        <v>1759</v>
      </c>
      <c r="BS785" s="81" t="s">
        <v>155</v>
      </c>
      <c r="BZ785" s="81" t="s">
        <v>155</v>
      </c>
      <c r="CA785" s="81">
        <v>12</v>
      </c>
      <c r="CC785" s="167">
        <v>0</v>
      </c>
      <c r="CD785" s="167">
        <v>0</v>
      </c>
      <c r="CE785" s="166">
        <v>136</v>
      </c>
      <c r="CF785" s="167">
        <v>0</v>
      </c>
      <c r="CG785" s="167">
        <v>0</v>
      </c>
      <c r="CH785" s="167">
        <v>0</v>
      </c>
      <c r="CI785" s="167">
        <v>0</v>
      </c>
      <c r="CJ785" s="167">
        <v>0</v>
      </c>
      <c r="CK785" s="167">
        <v>0</v>
      </c>
      <c r="CL785" s="167">
        <v>0</v>
      </c>
      <c r="CM785" s="167">
        <v>0</v>
      </c>
      <c r="CN785" s="167">
        <v>0</v>
      </c>
      <c r="CO785" s="167">
        <v>0</v>
      </c>
      <c r="CP785" s="167">
        <v>0</v>
      </c>
      <c r="CQ785" s="167">
        <v>0</v>
      </c>
      <c r="CR785" s="167">
        <v>0</v>
      </c>
      <c r="CS785" s="167">
        <v>0</v>
      </c>
      <c r="CT785" s="167">
        <v>0</v>
      </c>
      <c r="CU785" s="167">
        <v>0</v>
      </c>
      <c r="CV785" s="167">
        <v>0</v>
      </c>
      <c r="CW785" s="167">
        <v>0</v>
      </c>
      <c r="CX785" s="167">
        <f>SUM(CD785:CH785)</f>
        <v>136</v>
      </c>
      <c r="CY785" s="167">
        <f>SUM(CD785:CM785)</f>
        <v>136</v>
      </c>
    </row>
    <row r="786" spans="1:103" ht="12.75" customHeight="1" x14ac:dyDescent="0.2">
      <c r="A786" s="81">
        <v>3975</v>
      </c>
      <c r="B786" s="165" t="s">
        <v>1930</v>
      </c>
      <c r="C786" s="165" t="s">
        <v>669</v>
      </c>
      <c r="D786" s="165" t="s">
        <v>670</v>
      </c>
      <c r="E786" s="165" t="s">
        <v>2509</v>
      </c>
      <c r="G786" s="81">
        <v>526857</v>
      </c>
      <c r="H786" s="81">
        <v>176315</v>
      </c>
      <c r="I786" s="165" t="s">
        <v>257</v>
      </c>
      <c r="L786" s="166">
        <v>0</v>
      </c>
      <c r="M786" s="166">
        <v>1</v>
      </c>
      <c r="N786" s="166">
        <v>1</v>
      </c>
      <c r="O786" s="166">
        <v>1</v>
      </c>
      <c r="P786" s="166">
        <v>1</v>
      </c>
      <c r="R786" s="165" t="s">
        <v>671</v>
      </c>
      <c r="S786" s="81" t="s">
        <v>110</v>
      </c>
      <c r="T786" s="349">
        <v>42284</v>
      </c>
      <c r="U786" s="349">
        <v>42340</v>
      </c>
      <c r="W786" s="81" t="s">
        <v>114</v>
      </c>
      <c r="Y786" s="81" t="s">
        <v>115</v>
      </c>
      <c r="Z786" s="81" t="s">
        <v>310</v>
      </c>
      <c r="AA786" s="81" t="s">
        <v>117</v>
      </c>
      <c r="AB786" s="81" t="s">
        <v>399</v>
      </c>
      <c r="AC786" s="166">
        <v>4.9999998882412902E-3</v>
      </c>
      <c r="AG786" s="81" t="s">
        <v>238</v>
      </c>
      <c r="AH786" s="81" t="s">
        <v>118</v>
      </c>
      <c r="AK786" s="166">
        <v>0</v>
      </c>
      <c r="AM786" s="166">
        <v>0</v>
      </c>
      <c r="AO786" s="166">
        <v>0</v>
      </c>
      <c r="AP786" s="166">
        <v>1</v>
      </c>
      <c r="AQ786" s="166">
        <v>0</v>
      </c>
      <c r="AR786" s="166">
        <v>0</v>
      </c>
      <c r="AS786" s="166">
        <v>0</v>
      </c>
      <c r="AT786" s="166">
        <v>0</v>
      </c>
      <c r="AU786" s="166">
        <v>0</v>
      </c>
      <c r="AV786" s="166">
        <v>0</v>
      </c>
      <c r="AW786" s="166">
        <v>1</v>
      </c>
      <c r="AX786" s="166">
        <v>0</v>
      </c>
      <c r="AY786" s="166">
        <v>0</v>
      </c>
      <c r="AZ786" s="166">
        <v>0</v>
      </c>
      <c r="BA786" s="166">
        <v>0</v>
      </c>
      <c r="BB786" s="166">
        <v>0</v>
      </c>
      <c r="BC786" s="166">
        <v>0</v>
      </c>
      <c r="BD786" s="166">
        <v>0</v>
      </c>
      <c r="BE786" s="166">
        <v>0</v>
      </c>
      <c r="BF786" s="166">
        <v>0</v>
      </c>
      <c r="BG786" s="166">
        <v>0</v>
      </c>
      <c r="BH786" s="166">
        <v>0</v>
      </c>
      <c r="BI786" s="166">
        <v>0</v>
      </c>
      <c r="BJ786" s="166">
        <v>0</v>
      </c>
      <c r="BK786" s="166">
        <v>0</v>
      </c>
      <c r="BL786" s="166">
        <v>0</v>
      </c>
      <c r="BM786" s="166">
        <v>0</v>
      </c>
      <c r="BN786" s="166">
        <v>0</v>
      </c>
      <c r="BO786" s="166">
        <v>0</v>
      </c>
      <c r="BP786" s="166">
        <v>0</v>
      </c>
      <c r="BQ786" s="81" t="s">
        <v>1757</v>
      </c>
      <c r="BZ786" s="81" t="s">
        <v>155</v>
      </c>
      <c r="CA786" s="81" t="s">
        <v>1937</v>
      </c>
      <c r="CC786" s="167">
        <v>0</v>
      </c>
      <c r="CD786" s="167">
        <f>$N786/4</f>
        <v>0.25</v>
      </c>
      <c r="CE786" s="167">
        <f>$N786/4</f>
        <v>0.25</v>
      </c>
      <c r="CF786" s="167">
        <f>$N786/4</f>
        <v>0.25</v>
      </c>
      <c r="CG786" s="167">
        <f>$N786/4</f>
        <v>0.25</v>
      </c>
      <c r="CH786" s="167">
        <v>0</v>
      </c>
      <c r="CI786" s="167">
        <v>0</v>
      </c>
      <c r="CJ786" s="167">
        <v>0</v>
      </c>
      <c r="CK786" s="167">
        <v>0</v>
      </c>
      <c r="CL786" s="167">
        <v>0</v>
      </c>
      <c r="CM786" s="167">
        <v>0</v>
      </c>
      <c r="CN786" s="167">
        <v>0</v>
      </c>
      <c r="CO786" s="167">
        <v>0</v>
      </c>
      <c r="CP786" s="167">
        <v>0</v>
      </c>
      <c r="CQ786" s="167">
        <v>0</v>
      </c>
      <c r="CR786" s="167">
        <v>0</v>
      </c>
      <c r="CS786" s="167">
        <v>0</v>
      </c>
      <c r="CT786" s="167">
        <v>0</v>
      </c>
      <c r="CU786" s="167">
        <v>0</v>
      </c>
      <c r="CV786" s="167">
        <v>0</v>
      </c>
      <c r="CW786" s="167">
        <v>0</v>
      </c>
      <c r="CX786" s="167">
        <f>SUM(CD786:CH786)</f>
        <v>1</v>
      </c>
      <c r="CY786" s="167">
        <f>SUM(CD786:CM786)</f>
        <v>1</v>
      </c>
    </row>
    <row r="787" spans="1:103" ht="12.75" customHeight="1" x14ac:dyDescent="0.2">
      <c r="A787" s="81">
        <v>4056</v>
      </c>
      <c r="B787" s="165" t="s">
        <v>1930</v>
      </c>
      <c r="C787" s="165" t="s">
        <v>1519</v>
      </c>
      <c r="E787" s="165" t="s">
        <v>2510</v>
      </c>
      <c r="G787" s="81">
        <v>527655</v>
      </c>
      <c r="H787" s="81">
        <v>174876</v>
      </c>
      <c r="I787" s="165" t="s">
        <v>255</v>
      </c>
      <c r="L787" s="166">
        <v>0</v>
      </c>
      <c r="M787" s="166">
        <v>1</v>
      </c>
      <c r="N787" s="166">
        <v>1</v>
      </c>
      <c r="O787" s="166">
        <v>1</v>
      </c>
      <c r="P787" s="166">
        <v>1</v>
      </c>
      <c r="R787" s="165" t="s">
        <v>1520</v>
      </c>
      <c r="S787" s="81" t="s">
        <v>110</v>
      </c>
      <c r="T787" s="349">
        <v>42748</v>
      </c>
      <c r="U787" s="349">
        <v>42804</v>
      </c>
      <c r="W787" s="81" t="s">
        <v>114</v>
      </c>
      <c r="Y787" s="81" t="s">
        <v>115</v>
      </c>
      <c r="Z787" s="81" t="s">
        <v>310</v>
      </c>
      <c r="AA787" s="81" t="s">
        <v>117</v>
      </c>
      <c r="AB787" s="81" t="s">
        <v>399</v>
      </c>
      <c r="AC787" s="166">
        <v>2.0000000949949E-3</v>
      </c>
      <c r="AG787" s="81" t="s">
        <v>238</v>
      </c>
      <c r="AH787" s="81" t="s">
        <v>118</v>
      </c>
      <c r="AK787" s="166">
        <v>0</v>
      </c>
      <c r="AM787" s="166">
        <v>0</v>
      </c>
      <c r="AO787" s="166">
        <v>1</v>
      </c>
      <c r="AP787" s="166">
        <v>0</v>
      </c>
      <c r="AQ787" s="166">
        <v>0</v>
      </c>
      <c r="AR787" s="166">
        <v>0</v>
      </c>
      <c r="AS787" s="166">
        <v>0</v>
      </c>
      <c r="AT787" s="166">
        <v>0</v>
      </c>
      <c r="AU787" s="166">
        <v>0</v>
      </c>
      <c r="AV787" s="166">
        <v>1</v>
      </c>
      <c r="AW787" s="166">
        <v>0</v>
      </c>
      <c r="AX787" s="166">
        <v>0</v>
      </c>
      <c r="AY787" s="166">
        <v>0</v>
      </c>
      <c r="AZ787" s="166">
        <v>0</v>
      </c>
      <c r="BA787" s="166">
        <v>0</v>
      </c>
      <c r="BB787" s="166">
        <v>0</v>
      </c>
      <c r="BC787" s="166">
        <v>0</v>
      </c>
      <c r="BD787" s="166">
        <v>0</v>
      </c>
      <c r="BE787" s="166">
        <v>0</v>
      </c>
      <c r="BF787" s="166">
        <v>0</v>
      </c>
      <c r="BG787" s="166">
        <v>0</v>
      </c>
      <c r="BH787" s="166">
        <v>0</v>
      </c>
      <c r="BI787" s="166">
        <v>0</v>
      </c>
      <c r="BJ787" s="166">
        <v>0</v>
      </c>
      <c r="BK787" s="166">
        <v>0</v>
      </c>
      <c r="BL787" s="166">
        <v>0</v>
      </c>
      <c r="BM787" s="166">
        <v>0</v>
      </c>
      <c r="BN787" s="166">
        <v>0</v>
      </c>
      <c r="BO787" s="166">
        <v>0</v>
      </c>
      <c r="BP787" s="166">
        <v>0</v>
      </c>
      <c r="BQ787" s="81" t="s">
        <v>1757</v>
      </c>
      <c r="BZ787" s="81" t="s">
        <v>155</v>
      </c>
      <c r="CA787" s="81" t="s">
        <v>1937</v>
      </c>
      <c r="CC787" s="167">
        <v>0</v>
      </c>
      <c r="CD787" s="167">
        <f>$N787/4</f>
        <v>0.25</v>
      </c>
      <c r="CE787" s="167">
        <f>$N787/4</f>
        <v>0.25</v>
      </c>
      <c r="CF787" s="167">
        <f>$N787/4</f>
        <v>0.25</v>
      </c>
      <c r="CG787" s="167">
        <f>$N787/4</f>
        <v>0.25</v>
      </c>
      <c r="CH787" s="167">
        <v>0</v>
      </c>
      <c r="CI787" s="167">
        <v>0</v>
      </c>
      <c r="CJ787" s="167">
        <v>0</v>
      </c>
      <c r="CK787" s="167">
        <v>0</v>
      </c>
      <c r="CL787" s="167">
        <v>0</v>
      </c>
      <c r="CM787" s="167">
        <v>0</v>
      </c>
      <c r="CN787" s="167">
        <v>0</v>
      </c>
      <c r="CO787" s="167">
        <v>0</v>
      </c>
      <c r="CP787" s="167">
        <v>0</v>
      </c>
      <c r="CQ787" s="167">
        <v>0</v>
      </c>
      <c r="CR787" s="167">
        <v>0</v>
      </c>
      <c r="CS787" s="167">
        <v>0</v>
      </c>
      <c r="CT787" s="167">
        <v>0</v>
      </c>
      <c r="CU787" s="167">
        <v>0</v>
      </c>
      <c r="CV787" s="167">
        <v>0</v>
      </c>
      <c r="CW787" s="167">
        <v>0</v>
      </c>
      <c r="CX787" s="167">
        <f>SUM(CD787:CH787)</f>
        <v>1</v>
      </c>
      <c r="CY787" s="167">
        <f>SUM(CD787:CM787)</f>
        <v>1</v>
      </c>
    </row>
    <row r="788" spans="1:103" ht="12.75" customHeight="1" x14ac:dyDescent="0.2">
      <c r="A788" s="81">
        <v>4084</v>
      </c>
      <c r="B788" s="165" t="s">
        <v>1930</v>
      </c>
      <c r="C788" s="165" t="s">
        <v>1374</v>
      </c>
      <c r="E788" s="165" t="s">
        <v>2085</v>
      </c>
      <c r="G788" s="81">
        <v>527971</v>
      </c>
      <c r="H788" s="81">
        <v>172408</v>
      </c>
      <c r="I788" s="165" t="s">
        <v>254</v>
      </c>
      <c r="L788" s="166">
        <v>0</v>
      </c>
      <c r="M788" s="166">
        <v>1</v>
      </c>
      <c r="N788" s="166">
        <v>1</v>
      </c>
      <c r="O788" s="166">
        <v>2</v>
      </c>
      <c r="P788" s="166">
        <v>2</v>
      </c>
      <c r="R788" s="165" t="s">
        <v>1375</v>
      </c>
      <c r="S788" s="81" t="s">
        <v>113</v>
      </c>
      <c r="T788" s="349">
        <v>42594</v>
      </c>
      <c r="U788" s="349">
        <v>42699</v>
      </c>
      <c r="W788" s="81" t="s">
        <v>114</v>
      </c>
      <c r="Y788" s="81" t="s">
        <v>115</v>
      </c>
      <c r="Z788" s="81" t="s">
        <v>398</v>
      </c>
      <c r="AA788" s="81" t="s">
        <v>117</v>
      </c>
      <c r="AB788" s="81" t="s">
        <v>218</v>
      </c>
      <c r="AC788" s="166">
        <v>3.0000000260770299E-3</v>
      </c>
      <c r="AG788" s="81" t="s">
        <v>238</v>
      </c>
      <c r="AH788" s="81" t="s">
        <v>118</v>
      </c>
      <c r="AK788" s="166">
        <v>1</v>
      </c>
      <c r="AM788" s="166">
        <v>1</v>
      </c>
      <c r="AO788" s="166">
        <v>0</v>
      </c>
      <c r="AP788" s="166">
        <v>0</v>
      </c>
      <c r="AQ788" s="166">
        <v>1</v>
      </c>
      <c r="AR788" s="166">
        <v>0</v>
      </c>
      <c r="AS788" s="166">
        <v>0</v>
      </c>
      <c r="AT788" s="166">
        <v>0</v>
      </c>
      <c r="AU788" s="166">
        <v>0</v>
      </c>
      <c r="AV788" s="166">
        <v>0</v>
      </c>
      <c r="AW788" s="166">
        <v>0</v>
      </c>
      <c r="AX788" s="166">
        <v>1</v>
      </c>
      <c r="AY788" s="166">
        <v>0</v>
      </c>
      <c r="AZ788" s="166">
        <v>0</v>
      </c>
      <c r="BA788" s="166">
        <v>0</v>
      </c>
      <c r="BB788" s="166">
        <v>0</v>
      </c>
      <c r="BC788" s="166">
        <v>0</v>
      </c>
      <c r="BD788" s="166">
        <v>0</v>
      </c>
      <c r="BE788" s="166">
        <v>0</v>
      </c>
      <c r="BF788" s="166">
        <v>0</v>
      </c>
      <c r="BG788" s="166">
        <v>0</v>
      </c>
      <c r="BH788" s="166">
        <v>0</v>
      </c>
      <c r="BI788" s="166">
        <v>0</v>
      </c>
      <c r="BJ788" s="166">
        <v>0</v>
      </c>
      <c r="BK788" s="166">
        <v>0</v>
      </c>
      <c r="BL788" s="166">
        <v>0</v>
      </c>
      <c r="BM788" s="166">
        <v>0</v>
      </c>
      <c r="BN788" s="166">
        <v>0</v>
      </c>
      <c r="BO788" s="166">
        <v>0</v>
      </c>
      <c r="BP788" s="166">
        <v>0</v>
      </c>
      <c r="BQ788" s="81" t="s">
        <v>1757</v>
      </c>
      <c r="BZ788" s="81" t="s">
        <v>155</v>
      </c>
      <c r="CA788" s="81" t="s">
        <v>1937</v>
      </c>
      <c r="CC788" s="167">
        <v>0</v>
      </c>
      <c r="CD788" s="167">
        <f>$N788/4</f>
        <v>0.25</v>
      </c>
      <c r="CE788" s="167">
        <f>$N788/4</f>
        <v>0.25</v>
      </c>
      <c r="CF788" s="167">
        <f>$N788/4</f>
        <v>0.25</v>
      </c>
      <c r="CG788" s="167">
        <f>$N788/4</f>
        <v>0.25</v>
      </c>
      <c r="CH788" s="167">
        <v>0</v>
      </c>
      <c r="CI788" s="167">
        <v>0</v>
      </c>
      <c r="CJ788" s="167">
        <v>0</v>
      </c>
      <c r="CK788" s="167">
        <v>0</v>
      </c>
      <c r="CL788" s="167">
        <v>0</v>
      </c>
      <c r="CM788" s="167">
        <v>0</v>
      </c>
      <c r="CN788" s="167">
        <v>0</v>
      </c>
      <c r="CO788" s="167">
        <v>0</v>
      </c>
      <c r="CP788" s="167">
        <v>0</v>
      </c>
      <c r="CQ788" s="167">
        <v>0</v>
      </c>
      <c r="CR788" s="167">
        <v>0</v>
      </c>
      <c r="CS788" s="167">
        <v>0</v>
      </c>
      <c r="CT788" s="167">
        <v>0</v>
      </c>
      <c r="CU788" s="167">
        <v>0</v>
      </c>
      <c r="CV788" s="167">
        <v>0</v>
      </c>
      <c r="CW788" s="167">
        <v>0</v>
      </c>
      <c r="CX788" s="167">
        <f>SUM(CD788:CH788)</f>
        <v>1</v>
      </c>
      <c r="CY788" s="167">
        <f>SUM(CD788:CM788)</f>
        <v>1</v>
      </c>
    </row>
    <row r="789" spans="1:103" ht="12.75" customHeight="1" x14ac:dyDescent="0.2">
      <c r="A789" s="81">
        <v>4084</v>
      </c>
      <c r="B789" s="165" t="s">
        <v>1930</v>
      </c>
      <c r="C789" s="165" t="s">
        <v>1374</v>
      </c>
      <c r="E789" s="165" t="s">
        <v>2085</v>
      </c>
      <c r="G789" s="81">
        <v>527971</v>
      </c>
      <c r="H789" s="81">
        <v>172408</v>
      </c>
      <c r="I789" s="165" t="s">
        <v>254</v>
      </c>
      <c r="L789" s="166">
        <v>0</v>
      </c>
      <c r="M789" s="166">
        <v>1</v>
      </c>
      <c r="N789" s="166">
        <v>1</v>
      </c>
      <c r="O789" s="166">
        <v>2</v>
      </c>
      <c r="P789" s="166">
        <v>2</v>
      </c>
      <c r="R789" s="165" t="s">
        <v>1375</v>
      </c>
      <c r="S789" s="81" t="s">
        <v>113</v>
      </c>
      <c r="T789" s="349">
        <v>42594</v>
      </c>
      <c r="U789" s="349">
        <v>42699</v>
      </c>
      <c r="W789" s="81" t="s">
        <v>114</v>
      </c>
      <c r="Y789" s="81" t="s">
        <v>115</v>
      </c>
      <c r="Z789" s="81" t="s">
        <v>398</v>
      </c>
      <c r="AA789" s="81" t="s">
        <v>117</v>
      </c>
      <c r="AB789" s="81" t="s">
        <v>311</v>
      </c>
      <c r="AC789" s="166">
        <v>3.0000000260770299E-3</v>
      </c>
      <c r="AG789" s="81" t="s">
        <v>238</v>
      </c>
      <c r="AH789" s="81" t="s">
        <v>118</v>
      </c>
      <c r="AK789" s="166">
        <v>1</v>
      </c>
      <c r="AM789" s="166">
        <v>0</v>
      </c>
      <c r="AO789" s="166">
        <v>0</v>
      </c>
      <c r="AP789" s="166">
        <v>0</v>
      </c>
      <c r="AQ789" s="166">
        <v>1</v>
      </c>
      <c r="AR789" s="166">
        <v>0</v>
      </c>
      <c r="AS789" s="166">
        <v>0</v>
      </c>
      <c r="AT789" s="166">
        <v>0</v>
      </c>
      <c r="AU789" s="166">
        <v>0</v>
      </c>
      <c r="AV789" s="166">
        <v>0</v>
      </c>
      <c r="AW789" s="166">
        <v>0</v>
      </c>
      <c r="AX789" s="166">
        <v>1</v>
      </c>
      <c r="AY789" s="166">
        <v>0</v>
      </c>
      <c r="AZ789" s="166">
        <v>0</v>
      </c>
      <c r="BA789" s="166">
        <v>0</v>
      </c>
      <c r="BB789" s="166">
        <v>0</v>
      </c>
      <c r="BC789" s="166">
        <v>0</v>
      </c>
      <c r="BD789" s="166">
        <v>0</v>
      </c>
      <c r="BE789" s="166">
        <v>0</v>
      </c>
      <c r="BF789" s="166">
        <v>0</v>
      </c>
      <c r="BG789" s="166">
        <v>0</v>
      </c>
      <c r="BH789" s="166">
        <v>0</v>
      </c>
      <c r="BI789" s="166">
        <v>0</v>
      </c>
      <c r="BJ789" s="166">
        <v>0</v>
      </c>
      <c r="BK789" s="166">
        <v>0</v>
      </c>
      <c r="BL789" s="166">
        <v>0</v>
      </c>
      <c r="BM789" s="166">
        <v>0</v>
      </c>
      <c r="BN789" s="166">
        <v>0</v>
      </c>
      <c r="BO789" s="166">
        <v>0</v>
      </c>
      <c r="BP789" s="166">
        <v>0</v>
      </c>
      <c r="BQ789" s="81" t="s">
        <v>1757</v>
      </c>
      <c r="BZ789" s="81" t="s">
        <v>155</v>
      </c>
      <c r="CA789" s="81" t="s">
        <v>1937</v>
      </c>
      <c r="CC789" s="167">
        <v>0</v>
      </c>
      <c r="CD789" s="167">
        <f>$N789/4</f>
        <v>0.25</v>
      </c>
      <c r="CE789" s="167">
        <f>$N789/4</f>
        <v>0.25</v>
      </c>
      <c r="CF789" s="167">
        <f>$N789/4</f>
        <v>0.25</v>
      </c>
      <c r="CG789" s="167">
        <f>$N789/4</f>
        <v>0.25</v>
      </c>
      <c r="CH789" s="167">
        <v>0</v>
      </c>
      <c r="CI789" s="167">
        <v>0</v>
      </c>
      <c r="CJ789" s="167">
        <v>0</v>
      </c>
      <c r="CK789" s="167">
        <v>0</v>
      </c>
      <c r="CL789" s="167">
        <v>0</v>
      </c>
      <c r="CM789" s="167">
        <v>0</v>
      </c>
      <c r="CN789" s="167">
        <v>0</v>
      </c>
      <c r="CO789" s="167">
        <v>0</v>
      </c>
      <c r="CP789" s="167">
        <v>0</v>
      </c>
      <c r="CQ789" s="167">
        <v>0</v>
      </c>
      <c r="CR789" s="167">
        <v>0</v>
      </c>
      <c r="CS789" s="167">
        <v>0</v>
      </c>
      <c r="CT789" s="167">
        <v>0</v>
      </c>
      <c r="CU789" s="167">
        <v>0</v>
      </c>
      <c r="CV789" s="167">
        <v>0</v>
      </c>
      <c r="CW789" s="167">
        <v>0</v>
      </c>
      <c r="CX789" s="167">
        <f>SUM(CD789:CH789)</f>
        <v>1</v>
      </c>
      <c r="CY789" s="167">
        <f>SUM(CD789:CM789)</f>
        <v>1</v>
      </c>
    </row>
    <row r="790" spans="1:103" ht="12.75" customHeight="1" x14ac:dyDescent="0.2">
      <c r="A790" s="81">
        <v>4089</v>
      </c>
      <c r="B790" s="165" t="s">
        <v>1930</v>
      </c>
      <c r="C790" s="165" t="s">
        <v>2511</v>
      </c>
      <c r="D790" s="165" t="s">
        <v>2512</v>
      </c>
      <c r="E790" s="165" t="s">
        <v>2513</v>
      </c>
      <c r="G790" s="81">
        <v>523671</v>
      </c>
      <c r="H790" s="81">
        <v>175184</v>
      </c>
      <c r="I790" s="165" t="s">
        <v>259</v>
      </c>
      <c r="L790" s="166">
        <v>0</v>
      </c>
      <c r="M790" s="166">
        <v>1</v>
      </c>
      <c r="N790" s="166">
        <v>1</v>
      </c>
      <c r="O790" s="166">
        <v>1</v>
      </c>
      <c r="P790" s="166">
        <v>1</v>
      </c>
      <c r="R790" s="165" t="s">
        <v>2514</v>
      </c>
      <c r="S790" s="81" t="s">
        <v>113</v>
      </c>
      <c r="T790" s="349">
        <v>42941</v>
      </c>
      <c r="U790" s="349">
        <v>43019</v>
      </c>
      <c r="V790" s="81" t="s">
        <v>155</v>
      </c>
      <c r="W790" s="81" t="s">
        <v>114</v>
      </c>
      <c r="Y790" s="81" t="s">
        <v>115</v>
      </c>
      <c r="Z790" s="81" t="s">
        <v>398</v>
      </c>
      <c r="AA790" s="81" t="s">
        <v>117</v>
      </c>
      <c r="AB790" s="81" t="s">
        <v>311</v>
      </c>
      <c r="AC790" s="166">
        <v>4.9999998882412902E-3</v>
      </c>
      <c r="AG790" s="81" t="s">
        <v>238</v>
      </c>
      <c r="AH790" s="81" t="s">
        <v>118</v>
      </c>
      <c r="AK790" s="166">
        <v>0</v>
      </c>
      <c r="AM790" s="166">
        <v>0</v>
      </c>
      <c r="AO790" s="166">
        <v>0</v>
      </c>
      <c r="AP790" s="166">
        <v>0</v>
      </c>
      <c r="AQ790" s="166">
        <v>1</v>
      </c>
      <c r="AR790" s="166">
        <v>0</v>
      </c>
      <c r="AS790" s="166">
        <v>0</v>
      </c>
      <c r="AT790" s="166">
        <v>0</v>
      </c>
      <c r="AU790" s="166">
        <v>0</v>
      </c>
      <c r="AV790" s="166">
        <v>0</v>
      </c>
      <c r="AW790" s="166">
        <v>0</v>
      </c>
      <c r="AX790" s="166">
        <v>1</v>
      </c>
      <c r="AY790" s="166">
        <v>0</v>
      </c>
      <c r="AZ790" s="166">
        <v>0</v>
      </c>
      <c r="BA790" s="166">
        <v>0</v>
      </c>
      <c r="BB790" s="166">
        <v>0</v>
      </c>
      <c r="BC790" s="166">
        <v>0</v>
      </c>
      <c r="BD790" s="166">
        <v>0</v>
      </c>
      <c r="BE790" s="166">
        <v>0</v>
      </c>
      <c r="BF790" s="166">
        <v>0</v>
      </c>
      <c r="BG790" s="166">
        <v>0</v>
      </c>
      <c r="BH790" s="166">
        <v>0</v>
      </c>
      <c r="BI790" s="166">
        <v>0</v>
      </c>
      <c r="BJ790" s="166">
        <v>0</v>
      </c>
      <c r="BK790" s="166">
        <v>0</v>
      </c>
      <c r="BL790" s="166">
        <v>0</v>
      </c>
      <c r="BM790" s="166">
        <v>0</v>
      </c>
      <c r="BN790" s="166">
        <v>0</v>
      </c>
      <c r="BO790" s="166">
        <v>0</v>
      </c>
      <c r="BP790" s="166">
        <v>0</v>
      </c>
      <c r="BQ790" s="81" t="s">
        <v>1758</v>
      </c>
      <c r="BR790" s="81" t="s">
        <v>161</v>
      </c>
      <c r="BZ790" s="81" t="s">
        <v>155</v>
      </c>
      <c r="CA790" s="81" t="s">
        <v>1937</v>
      </c>
      <c r="CC790" s="167">
        <v>0</v>
      </c>
      <c r="CD790" s="167">
        <f>$N790/4</f>
        <v>0.25</v>
      </c>
      <c r="CE790" s="167">
        <f>$N790/4</f>
        <v>0.25</v>
      </c>
      <c r="CF790" s="167">
        <f>$N790/4</f>
        <v>0.25</v>
      </c>
      <c r="CG790" s="167">
        <f>$N790/4</f>
        <v>0.25</v>
      </c>
      <c r="CH790" s="167">
        <v>0</v>
      </c>
      <c r="CI790" s="167">
        <v>0</v>
      </c>
      <c r="CJ790" s="167">
        <v>0</v>
      </c>
      <c r="CK790" s="167">
        <v>0</v>
      </c>
      <c r="CL790" s="167">
        <v>0</v>
      </c>
      <c r="CM790" s="167">
        <v>0</v>
      </c>
      <c r="CN790" s="167">
        <v>0</v>
      </c>
      <c r="CO790" s="167">
        <v>0</v>
      </c>
      <c r="CP790" s="167">
        <v>0</v>
      </c>
      <c r="CQ790" s="167">
        <v>0</v>
      </c>
      <c r="CR790" s="167">
        <v>0</v>
      </c>
      <c r="CS790" s="167">
        <v>0</v>
      </c>
      <c r="CT790" s="167">
        <v>0</v>
      </c>
      <c r="CU790" s="167">
        <v>0</v>
      </c>
      <c r="CV790" s="167">
        <v>0</v>
      </c>
      <c r="CW790" s="167">
        <v>0</v>
      </c>
      <c r="CX790" s="167">
        <f>SUM(CD790:CH790)</f>
        <v>1</v>
      </c>
      <c r="CY790" s="167">
        <f>SUM(CD790:CM790)</f>
        <v>1</v>
      </c>
    </row>
    <row r="791" spans="1:103" ht="12.75" customHeight="1" x14ac:dyDescent="0.2">
      <c r="A791" s="81">
        <v>4116</v>
      </c>
      <c r="B791" s="165" t="s">
        <v>1930</v>
      </c>
      <c r="C791" s="165" t="s">
        <v>498</v>
      </c>
      <c r="E791" s="165" t="s">
        <v>2515</v>
      </c>
      <c r="G791" s="81">
        <v>529336</v>
      </c>
      <c r="H791" s="81">
        <v>171126</v>
      </c>
      <c r="I791" s="165" t="s">
        <v>252</v>
      </c>
      <c r="L791" s="166">
        <v>0</v>
      </c>
      <c r="M791" s="166">
        <v>1</v>
      </c>
      <c r="N791" s="166">
        <v>1</v>
      </c>
      <c r="O791" s="166">
        <v>1</v>
      </c>
      <c r="P791" s="166">
        <v>1</v>
      </c>
      <c r="R791" s="165" t="s">
        <v>499</v>
      </c>
      <c r="S791" s="81" t="s">
        <v>113</v>
      </c>
      <c r="T791" s="349">
        <v>42051</v>
      </c>
      <c r="U791" s="349">
        <v>42304</v>
      </c>
      <c r="W791" s="81" t="s">
        <v>114</v>
      </c>
      <c r="Y791" s="81" t="s">
        <v>115</v>
      </c>
      <c r="Z791" s="81" t="s">
        <v>398</v>
      </c>
      <c r="AA791" s="81" t="s">
        <v>117</v>
      </c>
      <c r="AB791" s="81" t="s">
        <v>102</v>
      </c>
      <c r="AC791" s="166">
        <v>6.0000000521540598E-3</v>
      </c>
      <c r="AG791" s="81" t="s">
        <v>238</v>
      </c>
      <c r="AH791" s="81" t="s">
        <v>118</v>
      </c>
      <c r="AK791" s="166">
        <v>0</v>
      </c>
      <c r="AM791" s="166">
        <v>0</v>
      </c>
      <c r="AO791" s="166">
        <v>0</v>
      </c>
      <c r="AP791" s="166">
        <v>1</v>
      </c>
      <c r="AQ791" s="166">
        <v>0</v>
      </c>
      <c r="AR791" s="166">
        <v>0</v>
      </c>
      <c r="AS791" s="166">
        <v>0</v>
      </c>
      <c r="AT791" s="166">
        <v>0</v>
      </c>
      <c r="AU791" s="166">
        <v>0</v>
      </c>
      <c r="AV791" s="166">
        <v>0</v>
      </c>
      <c r="AW791" s="166">
        <v>1</v>
      </c>
      <c r="AX791" s="166">
        <v>0</v>
      </c>
      <c r="AY791" s="166">
        <v>0</v>
      </c>
      <c r="AZ791" s="166">
        <v>0</v>
      </c>
      <c r="BA791" s="166">
        <v>0</v>
      </c>
      <c r="BB791" s="166">
        <v>0</v>
      </c>
      <c r="BC791" s="166">
        <v>0</v>
      </c>
      <c r="BD791" s="166">
        <v>0</v>
      </c>
      <c r="BE791" s="166">
        <v>0</v>
      </c>
      <c r="BF791" s="166">
        <v>0</v>
      </c>
      <c r="BG791" s="166">
        <v>0</v>
      </c>
      <c r="BH791" s="166">
        <v>0</v>
      </c>
      <c r="BI791" s="166">
        <v>0</v>
      </c>
      <c r="BJ791" s="166">
        <v>0</v>
      </c>
      <c r="BK791" s="166">
        <v>0</v>
      </c>
      <c r="BL791" s="166">
        <v>0</v>
      </c>
      <c r="BM791" s="166">
        <v>0</v>
      </c>
      <c r="BN791" s="166">
        <v>0</v>
      </c>
      <c r="BO791" s="166">
        <v>0</v>
      </c>
      <c r="BP791" s="166">
        <v>0</v>
      </c>
      <c r="BQ791" s="81" t="s">
        <v>1757</v>
      </c>
      <c r="BZ791" s="81" t="s">
        <v>155</v>
      </c>
      <c r="CA791" s="81" t="s">
        <v>1937</v>
      </c>
      <c r="CC791" s="167">
        <v>0</v>
      </c>
      <c r="CD791" s="167">
        <f>$N791/4</f>
        <v>0.25</v>
      </c>
      <c r="CE791" s="167">
        <f>$N791/4</f>
        <v>0.25</v>
      </c>
      <c r="CF791" s="167">
        <f>$N791/4</f>
        <v>0.25</v>
      </c>
      <c r="CG791" s="167">
        <f>$N791/4</f>
        <v>0.25</v>
      </c>
      <c r="CH791" s="167">
        <v>0</v>
      </c>
      <c r="CI791" s="167">
        <v>0</v>
      </c>
      <c r="CJ791" s="167">
        <v>0</v>
      </c>
      <c r="CK791" s="167">
        <v>0</v>
      </c>
      <c r="CL791" s="167">
        <v>0</v>
      </c>
      <c r="CM791" s="167">
        <v>0</v>
      </c>
      <c r="CN791" s="167">
        <v>0</v>
      </c>
      <c r="CO791" s="167">
        <v>0</v>
      </c>
      <c r="CP791" s="167">
        <v>0</v>
      </c>
      <c r="CQ791" s="167">
        <v>0</v>
      </c>
      <c r="CR791" s="167">
        <v>0</v>
      </c>
      <c r="CS791" s="167">
        <v>0</v>
      </c>
      <c r="CT791" s="167">
        <v>0</v>
      </c>
      <c r="CU791" s="167">
        <v>0</v>
      </c>
      <c r="CV791" s="167">
        <v>0</v>
      </c>
      <c r="CW791" s="167">
        <v>0</v>
      </c>
      <c r="CX791" s="167">
        <f>SUM(CD791:CH791)</f>
        <v>1</v>
      </c>
      <c r="CY791" s="167">
        <f>SUM(CD791:CM791)</f>
        <v>1</v>
      </c>
    </row>
    <row r="792" spans="1:103" ht="12.75" customHeight="1" x14ac:dyDescent="0.2">
      <c r="A792" s="81">
        <v>4122</v>
      </c>
      <c r="B792" s="165" t="s">
        <v>1930</v>
      </c>
      <c r="C792" s="165" t="s">
        <v>1651</v>
      </c>
      <c r="E792" s="165" t="s">
        <v>2516</v>
      </c>
      <c r="G792" s="81">
        <v>529138</v>
      </c>
      <c r="H792" s="81">
        <v>174076</v>
      </c>
      <c r="I792" s="165" t="s">
        <v>247</v>
      </c>
      <c r="L792" s="166">
        <v>0</v>
      </c>
      <c r="M792" s="166">
        <v>1</v>
      </c>
      <c r="N792" s="166">
        <v>1</v>
      </c>
      <c r="O792" s="166">
        <v>1</v>
      </c>
      <c r="P792" s="166">
        <v>1</v>
      </c>
      <c r="R792" s="165" t="s">
        <v>1652</v>
      </c>
      <c r="S792" s="81" t="s">
        <v>113</v>
      </c>
      <c r="T792" s="349">
        <v>42790</v>
      </c>
      <c r="U792" s="349">
        <v>42846</v>
      </c>
      <c r="V792" s="81" t="s">
        <v>155</v>
      </c>
      <c r="W792" s="81" t="s">
        <v>114</v>
      </c>
      <c r="Y792" s="81" t="s">
        <v>115</v>
      </c>
      <c r="Z792" s="81" t="s">
        <v>116</v>
      </c>
      <c r="AA792" s="81" t="s">
        <v>117</v>
      </c>
      <c r="AB792" s="81" t="s">
        <v>218</v>
      </c>
      <c r="AC792" s="166">
        <v>7.0000002160668399E-3</v>
      </c>
      <c r="AG792" s="81" t="s">
        <v>238</v>
      </c>
      <c r="AH792" s="81" t="s">
        <v>118</v>
      </c>
      <c r="AK792" s="166">
        <v>0</v>
      </c>
      <c r="AM792" s="166">
        <v>0</v>
      </c>
      <c r="AO792" s="166">
        <v>0</v>
      </c>
      <c r="AP792" s="166">
        <v>0</v>
      </c>
      <c r="AQ792" s="166">
        <v>0</v>
      </c>
      <c r="AR792" s="166">
        <v>1</v>
      </c>
      <c r="AS792" s="166">
        <v>0</v>
      </c>
      <c r="AT792" s="166">
        <v>0</v>
      </c>
      <c r="AU792" s="166">
        <v>0</v>
      </c>
      <c r="AV792" s="166">
        <v>0</v>
      </c>
      <c r="AW792" s="166">
        <v>0</v>
      </c>
      <c r="AX792" s="166">
        <v>0</v>
      </c>
      <c r="AY792" s="166">
        <v>0</v>
      </c>
      <c r="AZ792" s="166">
        <v>0</v>
      </c>
      <c r="BA792" s="166">
        <v>0</v>
      </c>
      <c r="BB792" s="166">
        <v>0</v>
      </c>
      <c r="BC792" s="166">
        <v>0</v>
      </c>
      <c r="BD792" s="166">
        <v>0</v>
      </c>
      <c r="BE792" s="166">
        <v>0</v>
      </c>
      <c r="BF792" s="166">
        <v>1</v>
      </c>
      <c r="BG792" s="166">
        <v>0</v>
      </c>
      <c r="BH792" s="166">
        <v>0</v>
      </c>
      <c r="BI792" s="166">
        <v>0</v>
      </c>
      <c r="BJ792" s="166">
        <v>0</v>
      </c>
      <c r="BK792" s="166">
        <v>0</v>
      </c>
      <c r="BL792" s="166">
        <v>0</v>
      </c>
      <c r="BM792" s="166">
        <v>0</v>
      </c>
      <c r="BN792" s="166">
        <v>0</v>
      </c>
      <c r="BO792" s="166">
        <v>0</v>
      </c>
      <c r="BP792" s="166">
        <v>0</v>
      </c>
      <c r="BQ792" s="81" t="s">
        <v>1757</v>
      </c>
      <c r="BZ792" s="81" t="s">
        <v>155</v>
      </c>
      <c r="CA792" s="81">
        <v>4</v>
      </c>
      <c r="CC792" s="167">
        <v>0</v>
      </c>
      <c r="CD792" s="167">
        <v>0</v>
      </c>
      <c r="CE792" s="167">
        <f>$N792/4</f>
        <v>0.25</v>
      </c>
      <c r="CF792" s="167">
        <f>$N792/4</f>
        <v>0.25</v>
      </c>
      <c r="CG792" s="167">
        <f>$N792/4</f>
        <v>0.25</v>
      </c>
      <c r="CH792" s="167">
        <f>$N792/4</f>
        <v>0.25</v>
      </c>
      <c r="CI792" s="167">
        <v>0</v>
      </c>
      <c r="CJ792" s="167">
        <v>0</v>
      </c>
      <c r="CK792" s="167">
        <v>0</v>
      </c>
      <c r="CL792" s="167">
        <v>0</v>
      </c>
      <c r="CM792" s="167">
        <v>0</v>
      </c>
      <c r="CN792" s="167">
        <v>0</v>
      </c>
      <c r="CO792" s="167">
        <v>0</v>
      </c>
      <c r="CP792" s="167">
        <v>0</v>
      </c>
      <c r="CQ792" s="167">
        <v>0</v>
      </c>
      <c r="CR792" s="167">
        <v>0</v>
      </c>
      <c r="CS792" s="167">
        <v>0</v>
      </c>
      <c r="CT792" s="167">
        <v>0</v>
      </c>
      <c r="CU792" s="167">
        <v>0</v>
      </c>
      <c r="CV792" s="167">
        <v>0</v>
      </c>
      <c r="CW792" s="167">
        <v>0</v>
      </c>
      <c r="CX792" s="167">
        <f>SUM(CD792:CH792)</f>
        <v>1</v>
      </c>
      <c r="CY792" s="167">
        <f>SUM(CD792:CM792)</f>
        <v>1</v>
      </c>
    </row>
    <row r="793" spans="1:103" ht="12.75" customHeight="1" x14ac:dyDescent="0.2">
      <c r="A793" s="81">
        <v>4173</v>
      </c>
      <c r="B793" s="165" t="s">
        <v>1930</v>
      </c>
      <c r="C793" s="165" t="s">
        <v>2517</v>
      </c>
      <c r="E793" s="165" t="s">
        <v>2518</v>
      </c>
      <c r="G793" s="81">
        <v>525437</v>
      </c>
      <c r="H793" s="81">
        <v>174675</v>
      </c>
      <c r="I793" s="165" t="s">
        <v>258</v>
      </c>
      <c r="L793" s="166">
        <v>1</v>
      </c>
      <c r="M793" s="166">
        <v>4</v>
      </c>
      <c r="N793" s="166">
        <v>3</v>
      </c>
      <c r="O793" s="166">
        <v>4</v>
      </c>
      <c r="P793" s="166">
        <v>3</v>
      </c>
      <c r="R793" s="165" t="s">
        <v>2519</v>
      </c>
      <c r="S793" s="81" t="s">
        <v>113</v>
      </c>
      <c r="T793" s="349">
        <v>42955</v>
      </c>
      <c r="U793" s="349">
        <v>43033</v>
      </c>
      <c r="V793" s="81" t="s">
        <v>155</v>
      </c>
      <c r="W793" s="81" t="s">
        <v>114</v>
      </c>
      <c r="Y793" s="81" t="s">
        <v>115</v>
      </c>
      <c r="Z793" s="81" t="s">
        <v>116</v>
      </c>
      <c r="AA793" s="81" t="s">
        <v>117</v>
      </c>
      <c r="AB793" s="81" t="s">
        <v>218</v>
      </c>
      <c r="AC793" s="166">
        <v>1.4000000432133701E-2</v>
      </c>
      <c r="AG793" s="81" t="s">
        <v>238</v>
      </c>
      <c r="AH793" s="81" t="s">
        <v>118</v>
      </c>
      <c r="AK793" s="166">
        <v>0</v>
      </c>
      <c r="AM793" s="166">
        <v>0</v>
      </c>
      <c r="AO793" s="166">
        <v>0</v>
      </c>
      <c r="AP793" s="166">
        <v>2</v>
      </c>
      <c r="AQ793" s="166">
        <v>2</v>
      </c>
      <c r="AR793" s="166">
        <v>-1</v>
      </c>
      <c r="AS793" s="166">
        <v>0</v>
      </c>
      <c r="AT793" s="166">
        <v>0</v>
      </c>
      <c r="AU793" s="166">
        <v>0</v>
      </c>
      <c r="AV793" s="166">
        <v>0</v>
      </c>
      <c r="AW793" s="166">
        <v>2</v>
      </c>
      <c r="AX793" s="166">
        <v>2</v>
      </c>
      <c r="AY793" s="166">
        <v>-1</v>
      </c>
      <c r="AZ793" s="166">
        <v>0</v>
      </c>
      <c r="BA793" s="166">
        <v>0</v>
      </c>
      <c r="BB793" s="166">
        <v>0</v>
      </c>
      <c r="BC793" s="166">
        <v>0</v>
      </c>
      <c r="BD793" s="166">
        <v>0</v>
      </c>
      <c r="BE793" s="166">
        <v>0</v>
      </c>
      <c r="BF793" s="166">
        <v>0</v>
      </c>
      <c r="BG793" s="166">
        <v>0</v>
      </c>
      <c r="BH793" s="166">
        <v>0</v>
      </c>
      <c r="BI793" s="166">
        <v>0</v>
      </c>
      <c r="BJ793" s="166">
        <v>0</v>
      </c>
      <c r="BK793" s="166">
        <v>0</v>
      </c>
      <c r="BL793" s="166">
        <v>0</v>
      </c>
      <c r="BM793" s="166">
        <v>0</v>
      </c>
      <c r="BN793" s="166">
        <v>0</v>
      </c>
      <c r="BO793" s="166">
        <v>0</v>
      </c>
      <c r="BP793" s="166">
        <v>0</v>
      </c>
      <c r="BQ793" s="81" t="s">
        <v>1758</v>
      </c>
      <c r="BR793" s="81" t="s">
        <v>202</v>
      </c>
      <c r="BT793" s="81" t="s">
        <v>155</v>
      </c>
      <c r="BZ793" s="81" t="s">
        <v>155</v>
      </c>
      <c r="CA793" s="81">
        <v>4</v>
      </c>
      <c r="CC793" s="167">
        <v>0</v>
      </c>
      <c r="CD793" s="167">
        <v>0</v>
      </c>
      <c r="CE793" s="167">
        <f>$N793/4</f>
        <v>0.75</v>
      </c>
      <c r="CF793" s="167">
        <f>$N793/4</f>
        <v>0.75</v>
      </c>
      <c r="CG793" s="167">
        <f>$N793/4</f>
        <v>0.75</v>
      </c>
      <c r="CH793" s="167">
        <f>$N793/4</f>
        <v>0.75</v>
      </c>
      <c r="CI793" s="167">
        <v>0</v>
      </c>
      <c r="CJ793" s="167">
        <v>0</v>
      </c>
      <c r="CK793" s="167">
        <v>0</v>
      </c>
      <c r="CL793" s="167">
        <v>0</v>
      </c>
      <c r="CM793" s="167">
        <v>0</v>
      </c>
      <c r="CN793" s="167">
        <v>0</v>
      </c>
      <c r="CO793" s="167">
        <v>0</v>
      </c>
      <c r="CP793" s="167">
        <v>0</v>
      </c>
      <c r="CQ793" s="167">
        <v>0</v>
      </c>
      <c r="CR793" s="167">
        <v>0</v>
      </c>
      <c r="CS793" s="167">
        <v>0</v>
      </c>
      <c r="CT793" s="167">
        <v>0</v>
      </c>
      <c r="CU793" s="167">
        <v>0</v>
      </c>
      <c r="CV793" s="167">
        <v>0</v>
      </c>
      <c r="CW793" s="167">
        <v>0</v>
      </c>
      <c r="CX793" s="167">
        <f>SUM(CD793:CH793)</f>
        <v>3</v>
      </c>
      <c r="CY793" s="167">
        <f>SUM(CD793:CM793)</f>
        <v>3</v>
      </c>
    </row>
    <row r="794" spans="1:103" ht="12.75" customHeight="1" x14ac:dyDescent="0.2">
      <c r="A794" s="81">
        <v>4207</v>
      </c>
      <c r="B794" s="165" t="s">
        <v>1930</v>
      </c>
      <c r="C794" s="165" t="s">
        <v>1546</v>
      </c>
      <c r="E794" s="165" t="s">
        <v>2520</v>
      </c>
      <c r="G794" s="81">
        <v>528913</v>
      </c>
      <c r="H794" s="81">
        <v>173014</v>
      </c>
      <c r="I794" s="165" t="s">
        <v>248</v>
      </c>
      <c r="L794" s="166">
        <v>0</v>
      </c>
      <c r="M794" s="166">
        <v>1</v>
      </c>
      <c r="N794" s="166">
        <v>1</v>
      </c>
      <c r="O794" s="166">
        <v>1</v>
      </c>
      <c r="P794" s="166">
        <v>1</v>
      </c>
      <c r="R794" s="165" t="s">
        <v>1547</v>
      </c>
      <c r="S794" s="81" t="s">
        <v>113</v>
      </c>
      <c r="T794" s="349">
        <v>42535</v>
      </c>
      <c r="U794" s="349">
        <v>43069</v>
      </c>
      <c r="V794" s="81" t="s">
        <v>155</v>
      </c>
      <c r="W794" s="81" t="s">
        <v>114</v>
      </c>
      <c r="Y794" s="81" t="s">
        <v>115</v>
      </c>
      <c r="Z794" s="81" t="s">
        <v>398</v>
      </c>
      <c r="AA794" s="81" t="s">
        <v>117</v>
      </c>
      <c r="AB794" s="81" t="s">
        <v>298</v>
      </c>
      <c r="AC794" s="166">
        <v>4.9999998882412902E-3</v>
      </c>
      <c r="AG794" s="81" t="s">
        <v>238</v>
      </c>
      <c r="AH794" s="81" t="s">
        <v>118</v>
      </c>
      <c r="AK794" s="166">
        <v>0</v>
      </c>
      <c r="AM794" s="166">
        <v>0</v>
      </c>
      <c r="AO794" s="166">
        <v>1</v>
      </c>
      <c r="AP794" s="166">
        <v>0</v>
      </c>
      <c r="AQ794" s="166">
        <v>0</v>
      </c>
      <c r="AR794" s="166">
        <v>0</v>
      </c>
      <c r="AS794" s="166">
        <v>0</v>
      </c>
      <c r="AT794" s="166">
        <v>0</v>
      </c>
      <c r="AU794" s="166">
        <v>0</v>
      </c>
      <c r="AV794" s="166">
        <v>1</v>
      </c>
      <c r="AW794" s="166">
        <v>0</v>
      </c>
      <c r="AX794" s="166">
        <v>0</v>
      </c>
      <c r="AY794" s="166">
        <v>0</v>
      </c>
      <c r="AZ794" s="166">
        <v>0</v>
      </c>
      <c r="BA794" s="166">
        <v>0</v>
      </c>
      <c r="BB794" s="166">
        <v>0</v>
      </c>
      <c r="BC794" s="166">
        <v>0</v>
      </c>
      <c r="BD794" s="166">
        <v>0</v>
      </c>
      <c r="BE794" s="166">
        <v>0</v>
      </c>
      <c r="BF794" s="166">
        <v>0</v>
      </c>
      <c r="BG794" s="166">
        <v>0</v>
      </c>
      <c r="BH794" s="166">
        <v>0</v>
      </c>
      <c r="BI794" s="166">
        <v>0</v>
      </c>
      <c r="BJ794" s="166">
        <v>0</v>
      </c>
      <c r="BK794" s="166">
        <v>0</v>
      </c>
      <c r="BL794" s="166">
        <v>0</v>
      </c>
      <c r="BM794" s="166">
        <v>0</v>
      </c>
      <c r="BN794" s="166">
        <v>0</v>
      </c>
      <c r="BO794" s="166">
        <v>0</v>
      </c>
      <c r="BP794" s="166">
        <v>0</v>
      </c>
      <c r="BQ794" s="81" t="s">
        <v>1757</v>
      </c>
      <c r="BZ794" s="81" t="s">
        <v>155</v>
      </c>
      <c r="CA794" s="81" t="s">
        <v>1937</v>
      </c>
      <c r="CC794" s="167">
        <v>0</v>
      </c>
      <c r="CD794" s="167">
        <f>$N794/4</f>
        <v>0.25</v>
      </c>
      <c r="CE794" s="167">
        <f>$N794/4</f>
        <v>0.25</v>
      </c>
      <c r="CF794" s="167">
        <f>$N794/4</f>
        <v>0.25</v>
      </c>
      <c r="CG794" s="167">
        <f>$N794/4</f>
        <v>0.25</v>
      </c>
      <c r="CH794" s="167">
        <v>0</v>
      </c>
      <c r="CI794" s="167">
        <v>0</v>
      </c>
      <c r="CJ794" s="167">
        <v>0</v>
      </c>
      <c r="CK794" s="167">
        <v>0</v>
      </c>
      <c r="CL794" s="167">
        <v>0</v>
      </c>
      <c r="CM794" s="167">
        <v>0</v>
      </c>
      <c r="CN794" s="167">
        <v>0</v>
      </c>
      <c r="CO794" s="167">
        <v>0</v>
      </c>
      <c r="CP794" s="167">
        <v>0</v>
      </c>
      <c r="CQ794" s="167">
        <v>0</v>
      </c>
      <c r="CR794" s="167">
        <v>0</v>
      </c>
      <c r="CS794" s="167">
        <v>0</v>
      </c>
      <c r="CT794" s="167">
        <v>0</v>
      </c>
      <c r="CU794" s="167">
        <v>0</v>
      </c>
      <c r="CV794" s="167">
        <v>0</v>
      </c>
      <c r="CW794" s="167">
        <v>0</v>
      </c>
      <c r="CX794" s="167">
        <f>SUM(CD794:CH794)</f>
        <v>1</v>
      </c>
      <c r="CY794" s="167">
        <f>SUM(CD794:CM794)</f>
        <v>1</v>
      </c>
    </row>
    <row r="795" spans="1:103" ht="12.75" customHeight="1" x14ac:dyDescent="0.2">
      <c r="A795" s="81">
        <v>4229</v>
      </c>
      <c r="B795" s="165" t="s">
        <v>1930</v>
      </c>
      <c r="C795" s="165" t="s">
        <v>1768</v>
      </c>
      <c r="E795" s="165" t="s">
        <v>2521</v>
      </c>
      <c r="G795" s="81">
        <v>525819</v>
      </c>
      <c r="H795" s="81">
        <v>174910</v>
      </c>
      <c r="I795" s="165" t="s">
        <v>251</v>
      </c>
      <c r="L795" s="166">
        <v>1</v>
      </c>
      <c r="M795" s="166">
        <v>0</v>
      </c>
      <c r="N795" s="166">
        <v>-1</v>
      </c>
      <c r="O795" s="166">
        <v>0</v>
      </c>
      <c r="P795" s="166">
        <v>-1</v>
      </c>
      <c r="R795" s="165" t="s">
        <v>1769</v>
      </c>
      <c r="S795" s="81" t="s">
        <v>113</v>
      </c>
      <c r="T795" s="349">
        <v>42444</v>
      </c>
      <c r="U795" s="349">
        <v>42446</v>
      </c>
      <c r="W795" s="81" t="s">
        <v>114</v>
      </c>
      <c r="Y795" s="81" t="s">
        <v>115</v>
      </c>
      <c r="Z795" s="81" t="s">
        <v>398</v>
      </c>
      <c r="AA795" s="81" t="s">
        <v>117</v>
      </c>
      <c r="AB795" s="81" t="s">
        <v>105</v>
      </c>
      <c r="AC795" s="166">
        <v>0</v>
      </c>
      <c r="AG795" s="81" t="s">
        <v>238</v>
      </c>
      <c r="AH795" s="81" t="s">
        <v>118</v>
      </c>
      <c r="AK795" s="166">
        <v>0</v>
      </c>
      <c r="AM795" s="166">
        <v>0</v>
      </c>
      <c r="AO795" s="166">
        <v>0</v>
      </c>
      <c r="AP795" s="166">
        <v>-1</v>
      </c>
      <c r="AQ795" s="166">
        <v>0</v>
      </c>
      <c r="AR795" s="166">
        <v>0</v>
      </c>
      <c r="AS795" s="166">
        <v>0</v>
      </c>
      <c r="AT795" s="166">
        <v>0</v>
      </c>
      <c r="AU795" s="166">
        <v>0</v>
      </c>
      <c r="AV795" s="166">
        <v>0</v>
      </c>
      <c r="AW795" s="166">
        <v>0</v>
      </c>
      <c r="AX795" s="166">
        <v>0</v>
      </c>
      <c r="AY795" s="166">
        <v>0</v>
      </c>
      <c r="AZ795" s="166">
        <v>0</v>
      </c>
      <c r="BA795" s="166">
        <v>0</v>
      </c>
      <c r="BB795" s="166">
        <v>0</v>
      </c>
      <c r="BC795" s="166">
        <v>0</v>
      </c>
      <c r="BD795" s="166">
        <v>0</v>
      </c>
      <c r="BE795" s="166">
        <v>0</v>
      </c>
      <c r="BF795" s="166">
        <v>0</v>
      </c>
      <c r="BG795" s="166">
        <v>0</v>
      </c>
      <c r="BH795" s="166">
        <v>0</v>
      </c>
      <c r="BI795" s="166">
        <v>0</v>
      </c>
      <c r="BJ795" s="166">
        <v>0</v>
      </c>
      <c r="BK795" s="166">
        <v>-1</v>
      </c>
      <c r="BL795" s="166">
        <v>0</v>
      </c>
      <c r="BM795" s="166">
        <v>0</v>
      </c>
      <c r="BN795" s="166">
        <v>0</v>
      </c>
      <c r="BO795" s="166">
        <v>0</v>
      </c>
      <c r="BP795" s="166">
        <v>0</v>
      </c>
      <c r="BQ795" s="81" t="s">
        <v>1758</v>
      </c>
      <c r="BZ795" s="81" t="s">
        <v>155</v>
      </c>
      <c r="CA795" s="81" t="s">
        <v>1937</v>
      </c>
      <c r="CC795" s="167">
        <v>0</v>
      </c>
      <c r="CD795" s="167">
        <f>$N795/4</f>
        <v>-0.25</v>
      </c>
      <c r="CE795" s="167">
        <f>$N795/4</f>
        <v>-0.25</v>
      </c>
      <c r="CF795" s="167">
        <f>$N795/4</f>
        <v>-0.25</v>
      </c>
      <c r="CG795" s="167">
        <f>$N795/4</f>
        <v>-0.25</v>
      </c>
      <c r="CH795" s="167">
        <v>0</v>
      </c>
      <c r="CI795" s="167">
        <v>0</v>
      </c>
      <c r="CJ795" s="167">
        <v>0</v>
      </c>
      <c r="CK795" s="167">
        <v>0</v>
      </c>
      <c r="CL795" s="167">
        <v>0</v>
      </c>
      <c r="CM795" s="167">
        <v>0</v>
      </c>
      <c r="CN795" s="167">
        <v>0</v>
      </c>
      <c r="CO795" s="167">
        <v>0</v>
      </c>
      <c r="CP795" s="167">
        <v>0</v>
      </c>
      <c r="CQ795" s="167">
        <v>0</v>
      </c>
      <c r="CR795" s="167">
        <v>0</v>
      </c>
      <c r="CS795" s="167">
        <v>0</v>
      </c>
      <c r="CT795" s="167">
        <v>0</v>
      </c>
      <c r="CU795" s="167">
        <v>0</v>
      </c>
      <c r="CV795" s="167">
        <v>0</v>
      </c>
      <c r="CW795" s="167">
        <v>0</v>
      </c>
      <c r="CX795" s="167">
        <f>SUM(CD795:CH795)</f>
        <v>-1</v>
      </c>
      <c r="CY795" s="167">
        <f>SUM(CD795:CM795)</f>
        <v>-1</v>
      </c>
    </row>
    <row r="796" spans="1:103" ht="12.75" customHeight="1" x14ac:dyDescent="0.2">
      <c r="A796" s="81">
        <v>4252</v>
      </c>
      <c r="B796" s="165" t="s">
        <v>1930</v>
      </c>
      <c r="C796" s="165" t="s">
        <v>382</v>
      </c>
      <c r="E796" s="165" t="s">
        <v>2522</v>
      </c>
      <c r="G796" s="81">
        <v>527344</v>
      </c>
      <c r="H796" s="81">
        <v>176643</v>
      </c>
      <c r="I796" s="165" t="s">
        <v>257</v>
      </c>
      <c r="L796" s="166">
        <v>0</v>
      </c>
      <c r="M796" s="166">
        <v>1</v>
      </c>
      <c r="N796" s="166">
        <v>1</v>
      </c>
      <c r="O796" s="166">
        <v>1</v>
      </c>
      <c r="P796" s="166">
        <v>1</v>
      </c>
      <c r="R796" s="165" t="s">
        <v>383</v>
      </c>
      <c r="S796" s="81" t="s">
        <v>113</v>
      </c>
      <c r="T796" s="349">
        <v>42023</v>
      </c>
      <c r="U796" s="349">
        <v>42153</v>
      </c>
      <c r="W796" s="81" t="s">
        <v>114</v>
      </c>
      <c r="Y796" s="81" t="s">
        <v>115</v>
      </c>
      <c r="Z796" s="81" t="s">
        <v>398</v>
      </c>
      <c r="AA796" s="81" t="s">
        <v>117</v>
      </c>
      <c r="AB796" s="81" t="s">
        <v>399</v>
      </c>
      <c r="AC796" s="166">
        <v>6.0000000521540598E-3</v>
      </c>
      <c r="AG796" s="81" t="s">
        <v>238</v>
      </c>
      <c r="AH796" s="81" t="s">
        <v>118</v>
      </c>
      <c r="AK796" s="166">
        <v>0</v>
      </c>
      <c r="AM796" s="166">
        <v>0</v>
      </c>
      <c r="AO796" s="166">
        <v>0</v>
      </c>
      <c r="AP796" s="166">
        <v>0</v>
      </c>
      <c r="AQ796" s="166">
        <v>1</v>
      </c>
      <c r="AR796" s="166">
        <v>0</v>
      </c>
      <c r="AS796" s="166">
        <v>0</v>
      </c>
      <c r="AT796" s="166">
        <v>0</v>
      </c>
      <c r="AU796" s="166">
        <v>0</v>
      </c>
      <c r="AV796" s="166">
        <v>0</v>
      </c>
      <c r="AW796" s="166">
        <v>0</v>
      </c>
      <c r="AX796" s="166">
        <v>0</v>
      </c>
      <c r="AY796" s="166">
        <v>0</v>
      </c>
      <c r="AZ796" s="166">
        <v>0</v>
      </c>
      <c r="BA796" s="166">
        <v>0</v>
      </c>
      <c r="BB796" s="166">
        <v>0</v>
      </c>
      <c r="BC796" s="166">
        <v>0</v>
      </c>
      <c r="BD796" s="166">
        <v>0</v>
      </c>
      <c r="BE796" s="166">
        <v>1</v>
      </c>
      <c r="BF796" s="166">
        <v>0</v>
      </c>
      <c r="BG796" s="166">
        <v>0</v>
      </c>
      <c r="BH796" s="166">
        <v>0</v>
      </c>
      <c r="BI796" s="166">
        <v>0</v>
      </c>
      <c r="BJ796" s="166">
        <v>0</v>
      </c>
      <c r="BK796" s="166">
        <v>0</v>
      </c>
      <c r="BL796" s="166">
        <v>0</v>
      </c>
      <c r="BM796" s="166">
        <v>0</v>
      </c>
      <c r="BN796" s="166">
        <v>0</v>
      </c>
      <c r="BO796" s="166">
        <v>0</v>
      </c>
      <c r="BP796" s="166">
        <v>0</v>
      </c>
      <c r="BQ796" s="81" t="s">
        <v>1757</v>
      </c>
      <c r="BZ796" s="81" t="s">
        <v>155</v>
      </c>
      <c r="CA796" s="81" t="s">
        <v>1937</v>
      </c>
      <c r="CC796" s="167">
        <v>0</v>
      </c>
      <c r="CD796" s="167">
        <f>$N796/4</f>
        <v>0.25</v>
      </c>
      <c r="CE796" s="167">
        <f>$N796/4</f>
        <v>0.25</v>
      </c>
      <c r="CF796" s="167">
        <f>$N796/4</f>
        <v>0.25</v>
      </c>
      <c r="CG796" s="167">
        <f>$N796/4</f>
        <v>0.25</v>
      </c>
      <c r="CH796" s="167">
        <v>0</v>
      </c>
      <c r="CI796" s="167">
        <v>0</v>
      </c>
      <c r="CJ796" s="167">
        <v>0</v>
      </c>
      <c r="CK796" s="167">
        <v>0</v>
      </c>
      <c r="CL796" s="167">
        <v>0</v>
      </c>
      <c r="CM796" s="167">
        <v>0</v>
      </c>
      <c r="CN796" s="167">
        <v>0</v>
      </c>
      <c r="CO796" s="167">
        <v>0</v>
      </c>
      <c r="CP796" s="167">
        <v>0</v>
      </c>
      <c r="CQ796" s="167">
        <v>0</v>
      </c>
      <c r="CR796" s="167">
        <v>0</v>
      </c>
      <c r="CS796" s="167">
        <v>0</v>
      </c>
      <c r="CT796" s="167">
        <v>0</v>
      </c>
      <c r="CU796" s="167">
        <v>0</v>
      </c>
      <c r="CV796" s="167">
        <v>0</v>
      </c>
      <c r="CW796" s="167">
        <v>0</v>
      </c>
      <c r="CX796" s="167">
        <f>SUM(CD796:CH796)</f>
        <v>1</v>
      </c>
      <c r="CY796" s="167">
        <f>SUM(CD796:CM796)</f>
        <v>1</v>
      </c>
    </row>
    <row r="797" spans="1:103" ht="12.75" customHeight="1" x14ac:dyDescent="0.2">
      <c r="A797" s="81">
        <v>4314</v>
      </c>
      <c r="B797" s="165" t="s">
        <v>1930</v>
      </c>
      <c r="C797" s="165" t="s">
        <v>733</v>
      </c>
      <c r="E797" s="165" t="s">
        <v>2523</v>
      </c>
      <c r="G797" s="81">
        <v>527097</v>
      </c>
      <c r="H797" s="81">
        <v>176190</v>
      </c>
      <c r="I797" s="165" t="s">
        <v>257</v>
      </c>
      <c r="L797" s="166">
        <v>0</v>
      </c>
      <c r="M797" s="166">
        <v>1</v>
      </c>
      <c r="N797" s="166">
        <v>1</v>
      </c>
      <c r="O797" s="166">
        <v>1</v>
      </c>
      <c r="P797" s="166">
        <v>1</v>
      </c>
      <c r="R797" s="165" t="s">
        <v>562</v>
      </c>
      <c r="S797" s="81" t="s">
        <v>270</v>
      </c>
      <c r="T797" s="349">
        <v>42404</v>
      </c>
      <c r="U797" s="349">
        <v>42460</v>
      </c>
      <c r="W797" s="81" t="s">
        <v>114</v>
      </c>
      <c r="Y797" s="81" t="s">
        <v>115</v>
      </c>
      <c r="Z797" s="81" t="s">
        <v>310</v>
      </c>
      <c r="AA797" s="81" t="s">
        <v>117</v>
      </c>
      <c r="AB797" s="81" t="s">
        <v>399</v>
      </c>
      <c r="AC797" s="166">
        <v>4.9999998882412902E-3</v>
      </c>
      <c r="AG797" s="81" t="s">
        <v>238</v>
      </c>
      <c r="AH797" s="81" t="s">
        <v>118</v>
      </c>
      <c r="AK797" s="166">
        <v>0</v>
      </c>
      <c r="AM797" s="166">
        <v>0</v>
      </c>
      <c r="AO797" s="166">
        <v>0</v>
      </c>
      <c r="AP797" s="166">
        <v>1</v>
      </c>
      <c r="AQ797" s="166">
        <v>0</v>
      </c>
      <c r="AR797" s="166">
        <v>0</v>
      </c>
      <c r="AS797" s="166">
        <v>0</v>
      </c>
      <c r="AT797" s="166">
        <v>0</v>
      </c>
      <c r="AU797" s="166">
        <v>0</v>
      </c>
      <c r="AV797" s="166">
        <v>0</v>
      </c>
      <c r="AW797" s="166">
        <v>0</v>
      </c>
      <c r="AX797" s="166">
        <v>0</v>
      </c>
      <c r="AY797" s="166">
        <v>0</v>
      </c>
      <c r="AZ797" s="166">
        <v>0</v>
      </c>
      <c r="BA797" s="166">
        <v>0</v>
      </c>
      <c r="BB797" s="166">
        <v>0</v>
      </c>
      <c r="BC797" s="166">
        <v>0</v>
      </c>
      <c r="BD797" s="166">
        <v>1</v>
      </c>
      <c r="BE797" s="166">
        <v>0</v>
      </c>
      <c r="BF797" s="166">
        <v>0</v>
      </c>
      <c r="BG797" s="166">
        <v>0</v>
      </c>
      <c r="BH797" s="166">
        <v>0</v>
      </c>
      <c r="BI797" s="166">
        <v>0</v>
      </c>
      <c r="BJ797" s="166">
        <v>0</v>
      </c>
      <c r="BK797" s="166">
        <v>0</v>
      </c>
      <c r="BL797" s="166">
        <v>0</v>
      </c>
      <c r="BM797" s="166">
        <v>0</v>
      </c>
      <c r="BN797" s="166">
        <v>0</v>
      </c>
      <c r="BO797" s="166">
        <v>0</v>
      </c>
      <c r="BP797" s="166">
        <v>0</v>
      </c>
      <c r="BQ797" s="81" t="s">
        <v>1757</v>
      </c>
      <c r="BZ797" s="81" t="s">
        <v>155</v>
      </c>
      <c r="CA797" s="81" t="s">
        <v>1937</v>
      </c>
      <c r="CC797" s="167">
        <v>0</v>
      </c>
      <c r="CD797" s="167">
        <f>$N797/4</f>
        <v>0.25</v>
      </c>
      <c r="CE797" s="167">
        <f>$N797/4</f>
        <v>0.25</v>
      </c>
      <c r="CF797" s="167">
        <f>$N797/4</f>
        <v>0.25</v>
      </c>
      <c r="CG797" s="167">
        <f>$N797/4</f>
        <v>0.25</v>
      </c>
      <c r="CH797" s="167">
        <v>0</v>
      </c>
      <c r="CI797" s="167">
        <v>0</v>
      </c>
      <c r="CJ797" s="167">
        <v>0</v>
      </c>
      <c r="CK797" s="167">
        <v>0</v>
      </c>
      <c r="CL797" s="167">
        <v>0</v>
      </c>
      <c r="CM797" s="167">
        <v>0</v>
      </c>
      <c r="CN797" s="167">
        <v>0</v>
      </c>
      <c r="CO797" s="167">
        <v>0</v>
      </c>
      <c r="CP797" s="167">
        <v>0</v>
      </c>
      <c r="CQ797" s="167">
        <v>0</v>
      </c>
      <c r="CR797" s="167">
        <v>0</v>
      </c>
      <c r="CS797" s="167">
        <v>0</v>
      </c>
      <c r="CT797" s="167">
        <v>0</v>
      </c>
      <c r="CU797" s="167">
        <v>0</v>
      </c>
      <c r="CV797" s="167">
        <v>0</v>
      </c>
      <c r="CW797" s="167">
        <v>0</v>
      </c>
      <c r="CX797" s="167">
        <f>SUM(CD797:CH797)</f>
        <v>1</v>
      </c>
      <c r="CY797" s="167">
        <f>SUM(CD797:CM797)</f>
        <v>1</v>
      </c>
    </row>
    <row r="798" spans="1:103" ht="12.75" customHeight="1" x14ac:dyDescent="0.2">
      <c r="A798" s="81">
        <v>4316</v>
      </c>
      <c r="B798" s="165" t="s">
        <v>1930</v>
      </c>
      <c r="C798" s="165" t="s">
        <v>56</v>
      </c>
      <c r="E798" s="165" t="s">
        <v>3030</v>
      </c>
      <c r="F798" s="165" t="s">
        <v>767</v>
      </c>
      <c r="G798" s="81">
        <v>527567</v>
      </c>
      <c r="H798" s="81">
        <v>171576</v>
      </c>
      <c r="I798" s="165" t="s">
        <v>253</v>
      </c>
      <c r="L798" s="166">
        <v>0</v>
      </c>
      <c r="M798" s="166">
        <v>3</v>
      </c>
      <c r="N798" s="166">
        <v>3</v>
      </c>
      <c r="O798" s="166">
        <v>14</v>
      </c>
      <c r="P798" s="166">
        <v>14</v>
      </c>
      <c r="Q798" s="81" t="s">
        <v>155</v>
      </c>
      <c r="R798" s="165" t="s">
        <v>768</v>
      </c>
      <c r="S798" s="81" t="s">
        <v>104</v>
      </c>
      <c r="T798" s="349">
        <v>41963</v>
      </c>
      <c r="U798" s="349">
        <v>42482</v>
      </c>
      <c r="W798" s="81" t="s">
        <v>114</v>
      </c>
      <c r="Y798" s="81" t="s">
        <v>115</v>
      </c>
      <c r="Z798" s="81" t="s">
        <v>116</v>
      </c>
      <c r="AA798" s="81" t="s">
        <v>116</v>
      </c>
      <c r="AB798" s="81" t="s">
        <v>117</v>
      </c>
      <c r="AC798" s="166">
        <v>1.4999999664723899E-2</v>
      </c>
      <c r="AG798" s="81" t="s">
        <v>238</v>
      </c>
      <c r="AH798" s="81" t="s">
        <v>118</v>
      </c>
      <c r="AI798" s="81" t="s">
        <v>2448</v>
      </c>
      <c r="AK798" s="166">
        <v>14</v>
      </c>
      <c r="AM798" s="166">
        <v>0</v>
      </c>
      <c r="AO798" s="166">
        <v>0</v>
      </c>
      <c r="AP798" s="166">
        <v>1</v>
      </c>
      <c r="AQ798" s="166">
        <v>2</v>
      </c>
      <c r="AR798" s="166">
        <v>0</v>
      </c>
      <c r="AS798" s="166">
        <v>0</v>
      </c>
      <c r="AT798" s="166">
        <v>0</v>
      </c>
      <c r="AU798" s="166">
        <v>0</v>
      </c>
      <c r="AV798" s="166">
        <v>0</v>
      </c>
      <c r="AW798" s="166">
        <v>1</v>
      </c>
      <c r="AX798" s="166">
        <v>2</v>
      </c>
      <c r="AY798" s="166">
        <v>0</v>
      </c>
      <c r="AZ798" s="166">
        <v>0</v>
      </c>
      <c r="BA798" s="166">
        <v>0</v>
      </c>
      <c r="BB798" s="166">
        <v>0</v>
      </c>
      <c r="BC798" s="166">
        <v>0</v>
      </c>
      <c r="BD798" s="166">
        <v>0</v>
      </c>
      <c r="BE798" s="166">
        <v>0</v>
      </c>
      <c r="BF798" s="166">
        <v>0</v>
      </c>
      <c r="BG798" s="166">
        <v>0</v>
      </c>
      <c r="BH798" s="166">
        <v>0</v>
      </c>
      <c r="BI798" s="166">
        <v>0</v>
      </c>
      <c r="BJ798" s="166">
        <v>0</v>
      </c>
      <c r="BK798" s="166">
        <v>0</v>
      </c>
      <c r="BL798" s="166">
        <v>0</v>
      </c>
      <c r="BM798" s="166">
        <v>0</v>
      </c>
      <c r="BN798" s="166">
        <v>0</v>
      </c>
      <c r="BO798" s="166">
        <v>0</v>
      </c>
      <c r="BP798" s="166">
        <v>0</v>
      </c>
      <c r="BQ798" s="81" t="s">
        <v>1757</v>
      </c>
      <c r="BR798" s="81" t="s">
        <v>242</v>
      </c>
      <c r="BZ798" s="81" t="s">
        <v>155</v>
      </c>
      <c r="CA798" s="81" t="s">
        <v>3936</v>
      </c>
      <c r="CC798" s="167">
        <v>0</v>
      </c>
      <c r="CD798" s="167">
        <v>0</v>
      </c>
      <c r="CE798" s="167">
        <f>N798</f>
        <v>3</v>
      </c>
      <c r="CF798" s="167">
        <v>0</v>
      </c>
      <c r="CG798" s="167">
        <v>0</v>
      </c>
      <c r="CH798" s="167">
        <v>0</v>
      </c>
      <c r="CI798" s="167">
        <v>0</v>
      </c>
      <c r="CJ798" s="167">
        <v>0</v>
      </c>
      <c r="CK798" s="167">
        <v>0</v>
      </c>
      <c r="CL798" s="167">
        <v>0</v>
      </c>
      <c r="CM798" s="167">
        <v>0</v>
      </c>
      <c r="CN798" s="167">
        <v>0</v>
      </c>
      <c r="CO798" s="167">
        <v>0</v>
      </c>
      <c r="CP798" s="167">
        <v>0</v>
      </c>
      <c r="CQ798" s="167">
        <v>0</v>
      </c>
      <c r="CR798" s="167">
        <v>0</v>
      </c>
      <c r="CS798" s="167">
        <v>0</v>
      </c>
      <c r="CT798" s="167">
        <v>0</v>
      </c>
      <c r="CU798" s="167">
        <v>0</v>
      </c>
      <c r="CV798" s="167">
        <v>0</v>
      </c>
      <c r="CW798" s="167">
        <v>0</v>
      </c>
      <c r="CX798" s="167">
        <f>SUM(CD798:CH798)</f>
        <v>3</v>
      </c>
      <c r="CY798" s="167">
        <f>SUM(CD798:CM798)</f>
        <v>3</v>
      </c>
    </row>
    <row r="799" spans="1:103" ht="12.75" customHeight="1" x14ac:dyDescent="0.2">
      <c r="A799" s="81">
        <v>4316</v>
      </c>
      <c r="B799" s="165" t="s">
        <v>1930</v>
      </c>
      <c r="C799" s="165" t="s">
        <v>56</v>
      </c>
      <c r="E799" s="165" t="s">
        <v>3030</v>
      </c>
      <c r="F799" s="165" t="s">
        <v>769</v>
      </c>
      <c r="G799" s="81">
        <v>527567</v>
      </c>
      <c r="H799" s="81">
        <v>171576</v>
      </c>
      <c r="I799" s="165" t="s">
        <v>253</v>
      </c>
      <c r="L799" s="166">
        <v>0</v>
      </c>
      <c r="M799" s="166">
        <v>6</v>
      </c>
      <c r="N799" s="166">
        <v>6</v>
      </c>
      <c r="O799" s="166">
        <v>14</v>
      </c>
      <c r="P799" s="166">
        <v>14</v>
      </c>
      <c r="Q799" s="81" t="s">
        <v>155</v>
      </c>
      <c r="R799" s="165" t="s">
        <v>768</v>
      </c>
      <c r="S799" s="81" t="s">
        <v>104</v>
      </c>
      <c r="T799" s="349">
        <v>41963</v>
      </c>
      <c r="U799" s="349">
        <v>42482</v>
      </c>
      <c r="W799" s="81" t="s">
        <v>114</v>
      </c>
      <c r="Y799" s="81" t="s">
        <v>115</v>
      </c>
      <c r="Z799" s="81" t="s">
        <v>116</v>
      </c>
      <c r="AA799" s="81" t="s">
        <v>116</v>
      </c>
      <c r="AB799" s="81" t="s">
        <v>117</v>
      </c>
      <c r="AC799" s="166">
        <v>2.9999999329447701E-2</v>
      </c>
      <c r="AG799" s="81" t="s">
        <v>238</v>
      </c>
      <c r="AH799" s="81" t="s">
        <v>118</v>
      </c>
      <c r="AI799" s="81" t="s">
        <v>2448</v>
      </c>
      <c r="AK799" s="166">
        <v>0</v>
      </c>
      <c r="AM799" s="166">
        <v>0</v>
      </c>
      <c r="AO799" s="166">
        <v>0</v>
      </c>
      <c r="AP799" s="166">
        <v>1</v>
      </c>
      <c r="AQ799" s="166">
        <v>3</v>
      </c>
      <c r="AR799" s="166">
        <v>2</v>
      </c>
      <c r="AS799" s="166">
        <v>0</v>
      </c>
      <c r="AT799" s="166">
        <v>0</v>
      </c>
      <c r="AU799" s="166">
        <v>0</v>
      </c>
      <c r="AV799" s="166">
        <v>0</v>
      </c>
      <c r="AW799" s="166">
        <v>1</v>
      </c>
      <c r="AX799" s="166">
        <v>3</v>
      </c>
      <c r="AY799" s="166">
        <v>2</v>
      </c>
      <c r="AZ799" s="166">
        <v>0</v>
      </c>
      <c r="BA799" s="166">
        <v>0</v>
      </c>
      <c r="BB799" s="166">
        <v>0</v>
      </c>
      <c r="BC799" s="166">
        <v>0</v>
      </c>
      <c r="BD799" s="166">
        <v>0</v>
      </c>
      <c r="BE799" s="166">
        <v>0</v>
      </c>
      <c r="BF799" s="166">
        <v>0</v>
      </c>
      <c r="BG799" s="166">
        <v>0</v>
      </c>
      <c r="BH799" s="166">
        <v>0</v>
      </c>
      <c r="BI799" s="166">
        <v>0</v>
      </c>
      <c r="BJ799" s="166">
        <v>0</v>
      </c>
      <c r="BK799" s="166">
        <v>0</v>
      </c>
      <c r="BL799" s="166">
        <v>0</v>
      </c>
      <c r="BM799" s="166">
        <v>0</v>
      </c>
      <c r="BN799" s="166">
        <v>0</v>
      </c>
      <c r="BO799" s="166">
        <v>0</v>
      </c>
      <c r="BP799" s="166">
        <v>0</v>
      </c>
      <c r="BQ799" s="81" t="s">
        <v>1757</v>
      </c>
      <c r="BR799" s="81" t="s">
        <v>242</v>
      </c>
      <c r="BZ799" s="81" t="s">
        <v>155</v>
      </c>
      <c r="CA799" s="81" t="s">
        <v>3936</v>
      </c>
      <c r="CC799" s="167">
        <v>0</v>
      </c>
      <c r="CD799" s="167">
        <v>0</v>
      </c>
      <c r="CE799" s="167">
        <f>N799</f>
        <v>6</v>
      </c>
      <c r="CF799" s="167">
        <v>0</v>
      </c>
      <c r="CG799" s="167">
        <v>0</v>
      </c>
      <c r="CH799" s="167">
        <v>0</v>
      </c>
      <c r="CI799" s="167">
        <v>0</v>
      </c>
      <c r="CJ799" s="167">
        <v>0</v>
      </c>
      <c r="CK799" s="167">
        <v>0</v>
      </c>
      <c r="CL799" s="167">
        <v>0</v>
      </c>
      <c r="CM799" s="167">
        <v>0</v>
      </c>
      <c r="CN799" s="167">
        <v>0</v>
      </c>
      <c r="CO799" s="167">
        <v>0</v>
      </c>
      <c r="CP799" s="167">
        <v>0</v>
      </c>
      <c r="CQ799" s="167">
        <v>0</v>
      </c>
      <c r="CR799" s="167">
        <v>0</v>
      </c>
      <c r="CS799" s="167">
        <v>0</v>
      </c>
      <c r="CT799" s="167">
        <v>0</v>
      </c>
      <c r="CU799" s="167">
        <v>0</v>
      </c>
      <c r="CV799" s="167">
        <v>0</v>
      </c>
      <c r="CW799" s="167">
        <v>0</v>
      </c>
      <c r="CX799" s="167">
        <f>SUM(CD799:CH799)</f>
        <v>6</v>
      </c>
      <c r="CY799" s="167">
        <f>SUM(CD799:CM799)</f>
        <v>6</v>
      </c>
    </row>
    <row r="800" spans="1:103" ht="12.75" customHeight="1" x14ac:dyDescent="0.2">
      <c r="A800" s="81">
        <v>4316</v>
      </c>
      <c r="B800" s="165" t="s">
        <v>1930</v>
      </c>
      <c r="C800" s="165" t="s">
        <v>56</v>
      </c>
      <c r="E800" s="165" t="s">
        <v>3030</v>
      </c>
      <c r="F800" s="165" t="s">
        <v>770</v>
      </c>
      <c r="G800" s="81">
        <v>527567</v>
      </c>
      <c r="H800" s="81">
        <v>171576</v>
      </c>
      <c r="I800" s="165" t="s">
        <v>253</v>
      </c>
      <c r="L800" s="166">
        <v>0</v>
      </c>
      <c r="M800" s="166">
        <v>5</v>
      </c>
      <c r="N800" s="166">
        <v>5</v>
      </c>
      <c r="O800" s="166">
        <v>14</v>
      </c>
      <c r="P800" s="166">
        <v>14</v>
      </c>
      <c r="Q800" s="81" t="s">
        <v>155</v>
      </c>
      <c r="R800" s="165" t="s">
        <v>768</v>
      </c>
      <c r="S800" s="81" t="s">
        <v>104</v>
      </c>
      <c r="T800" s="349">
        <v>41963</v>
      </c>
      <c r="U800" s="349">
        <v>42482</v>
      </c>
      <c r="W800" s="81" t="s">
        <v>114</v>
      </c>
      <c r="Y800" s="81" t="s">
        <v>115</v>
      </c>
      <c r="Z800" s="81" t="s">
        <v>116</v>
      </c>
      <c r="AA800" s="81" t="s">
        <v>116</v>
      </c>
      <c r="AB800" s="81" t="s">
        <v>117</v>
      </c>
      <c r="AC800" s="166">
        <v>2.5000000372528999E-2</v>
      </c>
      <c r="AG800" s="81" t="s">
        <v>238</v>
      </c>
      <c r="AH800" s="81" t="s">
        <v>118</v>
      </c>
      <c r="AI800" s="81" t="s">
        <v>2448</v>
      </c>
      <c r="AK800" s="166">
        <v>0</v>
      </c>
      <c r="AM800" s="166">
        <v>0</v>
      </c>
      <c r="AO800" s="166">
        <v>0</v>
      </c>
      <c r="AP800" s="166">
        <v>1</v>
      </c>
      <c r="AQ800" s="166">
        <v>3</v>
      </c>
      <c r="AR800" s="166">
        <v>1</v>
      </c>
      <c r="AS800" s="166">
        <v>0</v>
      </c>
      <c r="AT800" s="166">
        <v>0</v>
      </c>
      <c r="AU800" s="166">
        <v>0</v>
      </c>
      <c r="AV800" s="166">
        <v>0</v>
      </c>
      <c r="AW800" s="166">
        <v>1</v>
      </c>
      <c r="AX800" s="166">
        <v>3</v>
      </c>
      <c r="AY800" s="166">
        <v>1</v>
      </c>
      <c r="AZ800" s="166">
        <v>0</v>
      </c>
      <c r="BA800" s="166">
        <v>0</v>
      </c>
      <c r="BB800" s="166">
        <v>0</v>
      </c>
      <c r="BC800" s="166">
        <v>0</v>
      </c>
      <c r="BD800" s="166">
        <v>0</v>
      </c>
      <c r="BE800" s="166">
        <v>0</v>
      </c>
      <c r="BF800" s="166">
        <v>0</v>
      </c>
      <c r="BG800" s="166">
        <v>0</v>
      </c>
      <c r="BH800" s="166">
        <v>0</v>
      </c>
      <c r="BI800" s="166">
        <v>0</v>
      </c>
      <c r="BJ800" s="166">
        <v>0</v>
      </c>
      <c r="BK800" s="166">
        <v>0</v>
      </c>
      <c r="BL800" s="166">
        <v>0</v>
      </c>
      <c r="BM800" s="166">
        <v>0</v>
      </c>
      <c r="BN800" s="166">
        <v>0</v>
      </c>
      <c r="BO800" s="166">
        <v>0</v>
      </c>
      <c r="BP800" s="166">
        <v>0</v>
      </c>
      <c r="BQ800" s="81" t="s">
        <v>1757</v>
      </c>
      <c r="BR800" s="81" t="s">
        <v>242</v>
      </c>
      <c r="BZ800" s="81" t="s">
        <v>155</v>
      </c>
      <c r="CA800" s="81" t="s">
        <v>3936</v>
      </c>
      <c r="CC800" s="167">
        <v>0</v>
      </c>
      <c r="CD800" s="167">
        <v>0</v>
      </c>
      <c r="CE800" s="167">
        <f>N800</f>
        <v>5</v>
      </c>
      <c r="CF800" s="167">
        <v>0</v>
      </c>
      <c r="CG800" s="167">
        <v>0</v>
      </c>
      <c r="CH800" s="167">
        <v>0</v>
      </c>
      <c r="CI800" s="167">
        <v>0</v>
      </c>
      <c r="CJ800" s="167">
        <v>0</v>
      </c>
      <c r="CK800" s="167">
        <v>0</v>
      </c>
      <c r="CL800" s="167">
        <v>0</v>
      </c>
      <c r="CM800" s="167">
        <v>0</v>
      </c>
      <c r="CN800" s="167">
        <v>0</v>
      </c>
      <c r="CO800" s="167">
        <v>0</v>
      </c>
      <c r="CP800" s="167">
        <v>0</v>
      </c>
      <c r="CQ800" s="167">
        <v>0</v>
      </c>
      <c r="CR800" s="167">
        <v>0</v>
      </c>
      <c r="CS800" s="167">
        <v>0</v>
      </c>
      <c r="CT800" s="167">
        <v>0</v>
      </c>
      <c r="CU800" s="167">
        <v>0</v>
      </c>
      <c r="CV800" s="167">
        <v>0</v>
      </c>
      <c r="CW800" s="167">
        <v>0</v>
      </c>
      <c r="CX800" s="167">
        <f>SUM(CD800:CH800)</f>
        <v>5</v>
      </c>
      <c r="CY800" s="167">
        <f>SUM(CD800:CM800)</f>
        <v>5</v>
      </c>
    </row>
    <row r="801" spans="1:103" ht="12.75" customHeight="1" x14ac:dyDescent="0.2">
      <c r="A801" s="81">
        <v>4438</v>
      </c>
      <c r="B801" s="165" t="s">
        <v>1930</v>
      </c>
      <c r="C801" s="165" t="s">
        <v>1666</v>
      </c>
      <c r="E801" s="165" t="s">
        <v>2524</v>
      </c>
      <c r="G801" s="81">
        <v>524309</v>
      </c>
      <c r="H801" s="81">
        <v>174961</v>
      </c>
      <c r="I801" s="165" t="s">
        <v>259</v>
      </c>
      <c r="L801" s="166">
        <v>1</v>
      </c>
      <c r="M801" s="166">
        <v>2</v>
      </c>
      <c r="N801" s="166">
        <v>1</v>
      </c>
      <c r="O801" s="166">
        <v>3</v>
      </c>
      <c r="P801" s="166">
        <v>2</v>
      </c>
      <c r="R801" s="165" t="s">
        <v>1667</v>
      </c>
      <c r="S801" s="81" t="s">
        <v>113</v>
      </c>
      <c r="T801" s="349">
        <v>42804</v>
      </c>
      <c r="U801" s="349">
        <v>42912</v>
      </c>
      <c r="V801" s="81" t="s">
        <v>155</v>
      </c>
      <c r="W801" s="81" t="s">
        <v>114</v>
      </c>
      <c r="Y801" s="81" t="s">
        <v>115</v>
      </c>
      <c r="Z801" s="81" t="s">
        <v>219</v>
      </c>
      <c r="AA801" s="81" t="s">
        <v>117</v>
      </c>
      <c r="AB801" s="81" t="s">
        <v>220</v>
      </c>
      <c r="AC801" s="166">
        <v>4.9999998882412902E-3</v>
      </c>
      <c r="AG801" s="81" t="s">
        <v>238</v>
      </c>
      <c r="AH801" s="81" t="s">
        <v>118</v>
      </c>
      <c r="AK801" s="166">
        <v>0</v>
      </c>
      <c r="AM801" s="166">
        <v>0</v>
      </c>
      <c r="AO801" s="166">
        <v>0</v>
      </c>
      <c r="AP801" s="166">
        <v>2</v>
      </c>
      <c r="AQ801" s="166">
        <v>-1</v>
      </c>
      <c r="AR801" s="166">
        <v>0</v>
      </c>
      <c r="AS801" s="166">
        <v>0</v>
      </c>
      <c r="AT801" s="166">
        <v>0</v>
      </c>
      <c r="AU801" s="166">
        <v>0</v>
      </c>
      <c r="AV801" s="166">
        <v>0</v>
      </c>
      <c r="AW801" s="166">
        <v>2</v>
      </c>
      <c r="AX801" s="166">
        <v>-1</v>
      </c>
      <c r="AY801" s="166">
        <v>0</v>
      </c>
      <c r="AZ801" s="166">
        <v>0</v>
      </c>
      <c r="BA801" s="166">
        <v>0</v>
      </c>
      <c r="BB801" s="166">
        <v>0</v>
      </c>
      <c r="BC801" s="166">
        <v>0</v>
      </c>
      <c r="BD801" s="166">
        <v>0</v>
      </c>
      <c r="BE801" s="166">
        <v>0</v>
      </c>
      <c r="BF801" s="166">
        <v>0</v>
      </c>
      <c r="BG801" s="166">
        <v>0</v>
      </c>
      <c r="BH801" s="166">
        <v>0</v>
      </c>
      <c r="BI801" s="166">
        <v>0</v>
      </c>
      <c r="BJ801" s="166">
        <v>0</v>
      </c>
      <c r="BK801" s="166">
        <v>0</v>
      </c>
      <c r="BL801" s="166">
        <v>0</v>
      </c>
      <c r="BM801" s="166">
        <v>0</v>
      </c>
      <c r="BN801" s="166">
        <v>0</v>
      </c>
      <c r="BO801" s="166">
        <v>0</v>
      </c>
      <c r="BP801" s="166">
        <v>0</v>
      </c>
      <c r="BQ801" s="81" t="s">
        <v>1758</v>
      </c>
      <c r="BR801" s="81" t="s">
        <v>161</v>
      </c>
      <c r="BV801" s="81" t="s">
        <v>155</v>
      </c>
      <c r="BZ801" s="81" t="s">
        <v>155</v>
      </c>
      <c r="CA801" s="81" t="s">
        <v>1937</v>
      </c>
      <c r="CC801" s="167">
        <v>0</v>
      </c>
      <c r="CD801" s="167">
        <f>$N801/4</f>
        <v>0.25</v>
      </c>
      <c r="CE801" s="167">
        <f>$N801/4</f>
        <v>0.25</v>
      </c>
      <c r="CF801" s="167">
        <f>$N801/4</f>
        <v>0.25</v>
      </c>
      <c r="CG801" s="167">
        <f>$N801/4</f>
        <v>0.25</v>
      </c>
      <c r="CH801" s="167">
        <v>0</v>
      </c>
      <c r="CI801" s="167">
        <v>0</v>
      </c>
      <c r="CJ801" s="167">
        <v>0</v>
      </c>
      <c r="CK801" s="167">
        <v>0</v>
      </c>
      <c r="CL801" s="167">
        <v>0</v>
      </c>
      <c r="CM801" s="167">
        <v>0</v>
      </c>
      <c r="CN801" s="167">
        <v>0</v>
      </c>
      <c r="CO801" s="167">
        <v>0</v>
      </c>
      <c r="CP801" s="167">
        <v>0</v>
      </c>
      <c r="CQ801" s="167">
        <v>0</v>
      </c>
      <c r="CR801" s="167">
        <v>0</v>
      </c>
      <c r="CS801" s="167">
        <v>0</v>
      </c>
      <c r="CT801" s="167">
        <v>0</v>
      </c>
      <c r="CU801" s="167">
        <v>0</v>
      </c>
      <c r="CV801" s="167">
        <v>0</v>
      </c>
      <c r="CW801" s="167">
        <v>0</v>
      </c>
      <c r="CX801" s="167">
        <f>SUM(CD801:CH801)</f>
        <v>1</v>
      </c>
      <c r="CY801" s="167">
        <f>SUM(CD801:CM801)</f>
        <v>1</v>
      </c>
    </row>
    <row r="802" spans="1:103" ht="12.75" customHeight="1" x14ac:dyDescent="0.2">
      <c r="A802" s="81">
        <v>4438</v>
      </c>
      <c r="B802" s="165" t="s">
        <v>1930</v>
      </c>
      <c r="C802" s="165" t="s">
        <v>1666</v>
      </c>
      <c r="E802" s="165" t="s">
        <v>2524</v>
      </c>
      <c r="G802" s="81">
        <v>524309</v>
      </c>
      <c r="H802" s="81">
        <v>174961</v>
      </c>
      <c r="I802" s="165" t="s">
        <v>259</v>
      </c>
      <c r="L802" s="166">
        <v>0</v>
      </c>
      <c r="M802" s="166">
        <v>1</v>
      </c>
      <c r="N802" s="166">
        <v>1</v>
      </c>
      <c r="O802" s="166">
        <v>3</v>
      </c>
      <c r="P802" s="166">
        <v>2</v>
      </c>
      <c r="R802" s="165" t="s">
        <v>1667</v>
      </c>
      <c r="S802" s="81" t="s">
        <v>113</v>
      </c>
      <c r="T802" s="349">
        <v>42804</v>
      </c>
      <c r="U802" s="349">
        <v>42912</v>
      </c>
      <c r="V802" s="81" t="s">
        <v>155</v>
      </c>
      <c r="W802" s="81" t="s">
        <v>114</v>
      </c>
      <c r="Y802" s="81" t="s">
        <v>115</v>
      </c>
      <c r="Z802" s="81" t="s">
        <v>219</v>
      </c>
      <c r="AA802" s="81" t="s">
        <v>117</v>
      </c>
      <c r="AB802" s="81" t="s">
        <v>3889</v>
      </c>
      <c r="AC802" s="166">
        <v>6.0000000521540598E-3</v>
      </c>
      <c r="AG802" s="81" t="s">
        <v>238</v>
      </c>
      <c r="AH802" s="81" t="s">
        <v>118</v>
      </c>
      <c r="AK802" s="166">
        <v>0</v>
      </c>
      <c r="AM802" s="166">
        <v>0</v>
      </c>
      <c r="AO802" s="166">
        <v>0</v>
      </c>
      <c r="AP802" s="166">
        <v>0</v>
      </c>
      <c r="AQ802" s="166">
        <v>1</v>
      </c>
      <c r="AR802" s="166">
        <v>0</v>
      </c>
      <c r="AS802" s="166">
        <v>0</v>
      </c>
      <c r="AT802" s="166">
        <v>0</v>
      </c>
      <c r="AU802" s="166">
        <v>0</v>
      </c>
      <c r="AV802" s="166">
        <v>0</v>
      </c>
      <c r="AW802" s="166">
        <v>0</v>
      </c>
      <c r="AX802" s="166">
        <v>1</v>
      </c>
      <c r="AY802" s="166">
        <v>0</v>
      </c>
      <c r="AZ802" s="166">
        <v>0</v>
      </c>
      <c r="BA802" s="166">
        <v>0</v>
      </c>
      <c r="BB802" s="166">
        <v>0</v>
      </c>
      <c r="BC802" s="166">
        <v>0</v>
      </c>
      <c r="BD802" s="166">
        <v>0</v>
      </c>
      <c r="BE802" s="166">
        <v>0</v>
      </c>
      <c r="BF802" s="166">
        <v>0</v>
      </c>
      <c r="BG802" s="166">
        <v>0</v>
      </c>
      <c r="BH802" s="166">
        <v>0</v>
      </c>
      <c r="BI802" s="166">
        <v>0</v>
      </c>
      <c r="BJ802" s="166">
        <v>0</v>
      </c>
      <c r="BK802" s="166">
        <v>0</v>
      </c>
      <c r="BL802" s="166">
        <v>0</v>
      </c>
      <c r="BM802" s="166">
        <v>0</v>
      </c>
      <c r="BN802" s="166">
        <v>0</v>
      </c>
      <c r="BO802" s="166">
        <v>0</v>
      </c>
      <c r="BP802" s="166">
        <v>0</v>
      </c>
      <c r="BQ802" s="81" t="s">
        <v>1758</v>
      </c>
      <c r="BR802" s="81" t="s">
        <v>161</v>
      </c>
      <c r="BV802" s="81" t="s">
        <v>155</v>
      </c>
      <c r="BZ802" s="81" t="s">
        <v>155</v>
      </c>
      <c r="CA802" s="81" t="s">
        <v>1937</v>
      </c>
      <c r="CC802" s="167">
        <v>0</v>
      </c>
      <c r="CD802" s="167">
        <f>$N802/4</f>
        <v>0.25</v>
      </c>
      <c r="CE802" s="167">
        <f>$N802/4</f>
        <v>0.25</v>
      </c>
      <c r="CF802" s="167">
        <f>$N802/4</f>
        <v>0.25</v>
      </c>
      <c r="CG802" s="167">
        <f>$N802/4</f>
        <v>0.25</v>
      </c>
      <c r="CH802" s="167">
        <v>0</v>
      </c>
      <c r="CI802" s="167">
        <v>0</v>
      </c>
      <c r="CJ802" s="167">
        <v>0</v>
      </c>
      <c r="CK802" s="167">
        <v>0</v>
      </c>
      <c r="CL802" s="167">
        <v>0</v>
      </c>
      <c r="CM802" s="167">
        <v>0</v>
      </c>
      <c r="CN802" s="167">
        <v>0</v>
      </c>
      <c r="CO802" s="167">
        <v>0</v>
      </c>
      <c r="CP802" s="167">
        <v>0</v>
      </c>
      <c r="CQ802" s="167">
        <v>0</v>
      </c>
      <c r="CR802" s="167">
        <v>0</v>
      </c>
      <c r="CS802" s="167">
        <v>0</v>
      </c>
      <c r="CT802" s="167">
        <v>0</v>
      </c>
      <c r="CU802" s="167">
        <v>0</v>
      </c>
      <c r="CV802" s="167">
        <v>0</v>
      </c>
      <c r="CW802" s="167">
        <v>0</v>
      </c>
      <c r="CX802" s="167">
        <f>SUM(CD802:CH802)</f>
        <v>1</v>
      </c>
      <c r="CY802" s="167">
        <f>SUM(CD802:CM802)</f>
        <v>1</v>
      </c>
    </row>
    <row r="803" spans="1:103" ht="12.75" customHeight="1" x14ac:dyDescent="0.2">
      <c r="A803" s="81">
        <v>4474</v>
      </c>
      <c r="B803" s="165" t="s">
        <v>1930</v>
      </c>
      <c r="C803" s="165" t="s">
        <v>54</v>
      </c>
      <c r="E803" s="165" t="s">
        <v>3032</v>
      </c>
      <c r="F803" s="165" t="s">
        <v>3033</v>
      </c>
      <c r="G803" s="81">
        <v>527533</v>
      </c>
      <c r="H803" s="81">
        <v>171477</v>
      </c>
      <c r="I803" s="165" t="s">
        <v>253</v>
      </c>
      <c r="L803" s="166">
        <v>0</v>
      </c>
      <c r="M803" s="166">
        <v>6</v>
      </c>
      <c r="N803" s="166">
        <v>6</v>
      </c>
      <c r="O803" s="166">
        <v>19</v>
      </c>
      <c r="P803" s="166">
        <v>19</v>
      </c>
      <c r="Q803" s="81" t="s">
        <v>155</v>
      </c>
      <c r="R803" s="165" t="s">
        <v>55</v>
      </c>
      <c r="S803" s="81" t="s">
        <v>104</v>
      </c>
      <c r="T803" s="349">
        <v>41891</v>
      </c>
      <c r="U803" s="349">
        <v>42594</v>
      </c>
      <c r="W803" s="81" t="s">
        <v>114</v>
      </c>
      <c r="Y803" s="81" t="s">
        <v>115</v>
      </c>
      <c r="Z803" s="81" t="s">
        <v>310</v>
      </c>
      <c r="AA803" s="81" t="s">
        <v>117</v>
      </c>
      <c r="AB803" s="81" t="s">
        <v>102</v>
      </c>
      <c r="AC803" s="166">
        <v>4.3000001460313797E-2</v>
      </c>
      <c r="AG803" s="81" t="s">
        <v>238</v>
      </c>
      <c r="AH803" s="81" t="s">
        <v>1815</v>
      </c>
      <c r="AI803" s="81" t="s">
        <v>2448</v>
      </c>
      <c r="AK803" s="166">
        <v>0</v>
      </c>
      <c r="AM803" s="166">
        <v>0</v>
      </c>
      <c r="AO803" s="166">
        <v>0</v>
      </c>
      <c r="AP803" s="166">
        <v>3</v>
      </c>
      <c r="AQ803" s="166">
        <v>3</v>
      </c>
      <c r="AR803" s="166">
        <v>0</v>
      </c>
      <c r="AS803" s="166">
        <v>0</v>
      </c>
      <c r="AT803" s="166">
        <v>0</v>
      </c>
      <c r="AU803" s="166">
        <v>0</v>
      </c>
      <c r="AV803" s="166">
        <v>0</v>
      </c>
      <c r="AW803" s="166">
        <v>3</v>
      </c>
      <c r="AX803" s="166">
        <v>3</v>
      </c>
      <c r="AY803" s="166">
        <v>0</v>
      </c>
      <c r="AZ803" s="166">
        <v>0</v>
      </c>
      <c r="BA803" s="166">
        <v>0</v>
      </c>
      <c r="BB803" s="166">
        <v>0</v>
      </c>
      <c r="BC803" s="166">
        <v>0</v>
      </c>
      <c r="BD803" s="166">
        <v>0</v>
      </c>
      <c r="BE803" s="166">
        <v>0</v>
      </c>
      <c r="BF803" s="166">
        <v>0</v>
      </c>
      <c r="BG803" s="166">
        <v>0</v>
      </c>
      <c r="BH803" s="166">
        <v>0</v>
      </c>
      <c r="BI803" s="166">
        <v>0</v>
      </c>
      <c r="BJ803" s="166">
        <v>0</v>
      </c>
      <c r="BK803" s="166">
        <v>0</v>
      </c>
      <c r="BL803" s="166">
        <v>0</v>
      </c>
      <c r="BM803" s="166">
        <v>0</v>
      </c>
      <c r="BN803" s="166">
        <v>0</v>
      </c>
      <c r="BO803" s="166">
        <v>0</v>
      </c>
      <c r="BP803" s="166">
        <v>0</v>
      </c>
      <c r="BQ803" s="81" t="s">
        <v>1757</v>
      </c>
      <c r="BR803" s="81" t="s">
        <v>242</v>
      </c>
      <c r="BZ803" s="81" t="s">
        <v>155</v>
      </c>
      <c r="CA803" s="81" t="s">
        <v>1957</v>
      </c>
      <c r="CC803" s="167">
        <v>0</v>
      </c>
      <c r="CD803" s="167">
        <v>0</v>
      </c>
      <c r="CE803" s="167">
        <f>N803</f>
        <v>6</v>
      </c>
      <c r="CF803" s="167">
        <v>0</v>
      </c>
      <c r="CG803" s="167">
        <v>0</v>
      </c>
      <c r="CH803" s="167">
        <v>0</v>
      </c>
      <c r="CI803" s="167">
        <v>0</v>
      </c>
      <c r="CJ803" s="167">
        <v>0</v>
      </c>
      <c r="CK803" s="167">
        <v>0</v>
      </c>
      <c r="CL803" s="167">
        <v>0</v>
      </c>
      <c r="CM803" s="167">
        <v>0</v>
      </c>
      <c r="CN803" s="167">
        <v>0</v>
      </c>
      <c r="CO803" s="167">
        <v>0</v>
      </c>
      <c r="CP803" s="167">
        <v>0</v>
      </c>
      <c r="CQ803" s="167">
        <v>0</v>
      </c>
      <c r="CR803" s="167">
        <v>0</v>
      </c>
      <c r="CS803" s="167">
        <v>0</v>
      </c>
      <c r="CT803" s="167">
        <v>0</v>
      </c>
      <c r="CU803" s="167">
        <v>0</v>
      </c>
      <c r="CV803" s="167">
        <v>0</v>
      </c>
      <c r="CW803" s="167">
        <v>0</v>
      </c>
      <c r="CX803" s="167">
        <f>SUM(CD803:CH803)</f>
        <v>6</v>
      </c>
      <c r="CY803" s="167">
        <f>SUM(CD803:CM803)</f>
        <v>6</v>
      </c>
    </row>
    <row r="804" spans="1:103" ht="12.75" customHeight="1" x14ac:dyDescent="0.2">
      <c r="A804" s="81">
        <v>4474</v>
      </c>
      <c r="B804" s="165" t="s">
        <v>1930</v>
      </c>
      <c r="C804" s="165" t="s">
        <v>54</v>
      </c>
      <c r="E804" s="165" t="s">
        <v>3032</v>
      </c>
      <c r="F804" s="165" t="s">
        <v>1120</v>
      </c>
      <c r="G804" s="81">
        <v>527533</v>
      </c>
      <c r="H804" s="81">
        <v>171477</v>
      </c>
      <c r="I804" s="165" t="s">
        <v>253</v>
      </c>
      <c r="L804" s="166">
        <v>0</v>
      </c>
      <c r="M804" s="166">
        <v>13</v>
      </c>
      <c r="N804" s="166">
        <v>13</v>
      </c>
      <c r="O804" s="166">
        <v>19</v>
      </c>
      <c r="P804" s="166">
        <v>19</v>
      </c>
      <c r="Q804" s="81" t="s">
        <v>155</v>
      </c>
      <c r="R804" s="165" t="s">
        <v>55</v>
      </c>
      <c r="S804" s="81" t="s">
        <v>104</v>
      </c>
      <c r="T804" s="349">
        <v>41891</v>
      </c>
      <c r="U804" s="349">
        <v>42594</v>
      </c>
      <c r="W804" s="81" t="s">
        <v>114</v>
      </c>
      <c r="Y804" s="81" t="s">
        <v>115</v>
      </c>
      <c r="Z804" s="81" t="s">
        <v>310</v>
      </c>
      <c r="AA804" s="81" t="s">
        <v>117</v>
      </c>
      <c r="AB804" s="81" t="s">
        <v>102</v>
      </c>
      <c r="AC804" s="166">
        <v>0.10000000149011599</v>
      </c>
      <c r="AG804" s="81" t="s">
        <v>238</v>
      </c>
      <c r="AH804" s="81" t="s">
        <v>1815</v>
      </c>
      <c r="AI804" s="81" t="s">
        <v>2448</v>
      </c>
      <c r="AK804" s="166">
        <v>9</v>
      </c>
      <c r="AM804" s="166">
        <v>2</v>
      </c>
      <c r="AO804" s="166">
        <v>1</v>
      </c>
      <c r="AP804" s="166">
        <v>1</v>
      </c>
      <c r="AQ804" s="166">
        <v>11</v>
      </c>
      <c r="AR804" s="166">
        <v>0</v>
      </c>
      <c r="AS804" s="166">
        <v>0</v>
      </c>
      <c r="AT804" s="166">
        <v>0</v>
      </c>
      <c r="AU804" s="166">
        <v>0</v>
      </c>
      <c r="AV804" s="166">
        <v>1</v>
      </c>
      <c r="AW804" s="166">
        <v>1</v>
      </c>
      <c r="AX804" s="166">
        <v>11</v>
      </c>
      <c r="AY804" s="166">
        <v>0</v>
      </c>
      <c r="AZ804" s="166">
        <v>0</v>
      </c>
      <c r="BA804" s="166">
        <v>0</v>
      </c>
      <c r="BB804" s="166">
        <v>0</v>
      </c>
      <c r="BC804" s="166">
        <v>0</v>
      </c>
      <c r="BD804" s="166">
        <v>0</v>
      </c>
      <c r="BE804" s="166">
        <v>0</v>
      </c>
      <c r="BF804" s="166">
        <v>0</v>
      </c>
      <c r="BG804" s="166">
        <v>0</v>
      </c>
      <c r="BH804" s="166">
        <v>0</v>
      </c>
      <c r="BI804" s="166">
        <v>0</v>
      </c>
      <c r="BJ804" s="166">
        <v>0</v>
      </c>
      <c r="BK804" s="166">
        <v>0</v>
      </c>
      <c r="BL804" s="166">
        <v>0</v>
      </c>
      <c r="BM804" s="166">
        <v>0</v>
      </c>
      <c r="BN804" s="166">
        <v>0</v>
      </c>
      <c r="BO804" s="166">
        <v>0</v>
      </c>
      <c r="BP804" s="166">
        <v>0</v>
      </c>
      <c r="BQ804" s="81" t="s">
        <v>1757</v>
      </c>
      <c r="BR804" s="81" t="s">
        <v>242</v>
      </c>
      <c r="BZ804" s="81" t="s">
        <v>155</v>
      </c>
      <c r="CA804" s="81" t="s">
        <v>1957</v>
      </c>
      <c r="CC804" s="167">
        <v>0</v>
      </c>
      <c r="CD804" s="167">
        <v>0</v>
      </c>
      <c r="CE804" s="167">
        <f>N804</f>
        <v>13</v>
      </c>
      <c r="CF804" s="167">
        <v>0</v>
      </c>
      <c r="CG804" s="167">
        <v>0</v>
      </c>
      <c r="CH804" s="167">
        <v>0</v>
      </c>
      <c r="CI804" s="167">
        <v>0</v>
      </c>
      <c r="CJ804" s="167">
        <v>0</v>
      </c>
      <c r="CK804" s="167">
        <v>0</v>
      </c>
      <c r="CL804" s="167">
        <v>0</v>
      </c>
      <c r="CM804" s="167">
        <v>0</v>
      </c>
      <c r="CN804" s="167">
        <v>0</v>
      </c>
      <c r="CO804" s="167">
        <v>0</v>
      </c>
      <c r="CP804" s="167">
        <v>0</v>
      </c>
      <c r="CQ804" s="167">
        <v>0</v>
      </c>
      <c r="CR804" s="167">
        <v>0</v>
      </c>
      <c r="CS804" s="167">
        <v>0</v>
      </c>
      <c r="CT804" s="167">
        <v>0</v>
      </c>
      <c r="CU804" s="167">
        <v>0</v>
      </c>
      <c r="CV804" s="167">
        <v>0</v>
      </c>
      <c r="CW804" s="167">
        <v>0</v>
      </c>
      <c r="CX804" s="167">
        <f>SUM(CD804:CH804)</f>
        <v>13</v>
      </c>
      <c r="CY804" s="167">
        <f>SUM(CD804:CM804)</f>
        <v>13</v>
      </c>
    </row>
    <row r="805" spans="1:103" ht="12.75" customHeight="1" x14ac:dyDescent="0.2">
      <c r="A805" s="81">
        <v>4506</v>
      </c>
      <c r="B805" s="165" t="s">
        <v>1930</v>
      </c>
      <c r="C805" s="165" t="s">
        <v>1674</v>
      </c>
      <c r="E805" s="165" t="s">
        <v>2525</v>
      </c>
      <c r="G805" s="81">
        <v>525112</v>
      </c>
      <c r="H805" s="81">
        <v>175239</v>
      </c>
      <c r="I805" s="165" t="s">
        <v>259</v>
      </c>
      <c r="L805" s="166">
        <v>0</v>
      </c>
      <c r="M805" s="166">
        <v>1</v>
      </c>
      <c r="N805" s="166">
        <v>1</v>
      </c>
      <c r="O805" s="166">
        <v>1</v>
      </c>
      <c r="P805" s="166">
        <v>1</v>
      </c>
      <c r="R805" s="165" t="s">
        <v>1675</v>
      </c>
      <c r="S805" s="81" t="s">
        <v>110</v>
      </c>
      <c r="T805" s="349">
        <v>42814</v>
      </c>
      <c r="U805" s="349">
        <v>42851</v>
      </c>
      <c r="V805" s="81" t="s">
        <v>155</v>
      </c>
      <c r="W805" s="81" t="s">
        <v>114</v>
      </c>
      <c r="Y805" s="81" t="s">
        <v>115</v>
      </c>
      <c r="Z805" s="81" t="s">
        <v>310</v>
      </c>
      <c r="AA805" s="81" t="s">
        <v>117</v>
      </c>
      <c r="AB805" s="81" t="s">
        <v>399</v>
      </c>
      <c r="AC805" s="166">
        <v>1.00000004749745E-3</v>
      </c>
      <c r="AG805" s="81" t="s">
        <v>238</v>
      </c>
      <c r="AH805" s="81" t="s">
        <v>118</v>
      </c>
      <c r="AK805" s="166">
        <v>0</v>
      </c>
      <c r="AM805" s="166">
        <v>0</v>
      </c>
      <c r="AO805" s="166">
        <v>0</v>
      </c>
      <c r="AP805" s="166">
        <v>1</v>
      </c>
      <c r="AQ805" s="166">
        <v>0</v>
      </c>
      <c r="AR805" s="166">
        <v>0</v>
      </c>
      <c r="AS805" s="166">
        <v>0</v>
      </c>
      <c r="AT805" s="166">
        <v>0</v>
      </c>
      <c r="AU805" s="166">
        <v>0</v>
      </c>
      <c r="AV805" s="166">
        <v>0</v>
      </c>
      <c r="AW805" s="166">
        <v>1</v>
      </c>
      <c r="AX805" s="166">
        <v>0</v>
      </c>
      <c r="AY805" s="166">
        <v>0</v>
      </c>
      <c r="AZ805" s="166">
        <v>0</v>
      </c>
      <c r="BA805" s="166">
        <v>0</v>
      </c>
      <c r="BB805" s="166">
        <v>0</v>
      </c>
      <c r="BC805" s="166">
        <v>0</v>
      </c>
      <c r="BD805" s="166">
        <v>0</v>
      </c>
      <c r="BE805" s="166">
        <v>0</v>
      </c>
      <c r="BF805" s="166">
        <v>0</v>
      </c>
      <c r="BG805" s="166">
        <v>0</v>
      </c>
      <c r="BH805" s="166">
        <v>0</v>
      </c>
      <c r="BI805" s="166">
        <v>0</v>
      </c>
      <c r="BJ805" s="166">
        <v>0</v>
      </c>
      <c r="BK805" s="166">
        <v>0</v>
      </c>
      <c r="BL805" s="166">
        <v>0</v>
      </c>
      <c r="BM805" s="166">
        <v>0</v>
      </c>
      <c r="BN805" s="166">
        <v>0</v>
      </c>
      <c r="BO805" s="166">
        <v>0</v>
      </c>
      <c r="BP805" s="166">
        <v>0</v>
      </c>
      <c r="BQ805" s="81" t="s">
        <v>1758</v>
      </c>
      <c r="BT805" s="81" t="s">
        <v>155</v>
      </c>
      <c r="BZ805" s="81" t="s">
        <v>155</v>
      </c>
      <c r="CA805" s="81" t="s">
        <v>1937</v>
      </c>
      <c r="CC805" s="167">
        <v>0</v>
      </c>
      <c r="CD805" s="167">
        <f>$N805/4</f>
        <v>0.25</v>
      </c>
      <c r="CE805" s="167">
        <f>$N805/4</f>
        <v>0.25</v>
      </c>
      <c r="CF805" s="167">
        <f>$N805/4</f>
        <v>0.25</v>
      </c>
      <c r="CG805" s="167">
        <f>$N805/4</f>
        <v>0.25</v>
      </c>
      <c r="CH805" s="167">
        <v>0</v>
      </c>
      <c r="CI805" s="167">
        <v>0</v>
      </c>
      <c r="CJ805" s="167">
        <v>0</v>
      </c>
      <c r="CK805" s="167">
        <v>0</v>
      </c>
      <c r="CL805" s="167">
        <v>0</v>
      </c>
      <c r="CM805" s="167">
        <v>0</v>
      </c>
      <c r="CN805" s="167">
        <v>0</v>
      </c>
      <c r="CO805" s="167">
        <v>0</v>
      </c>
      <c r="CP805" s="167">
        <v>0</v>
      </c>
      <c r="CQ805" s="167">
        <v>0</v>
      </c>
      <c r="CR805" s="167">
        <v>0</v>
      </c>
      <c r="CS805" s="167">
        <v>0</v>
      </c>
      <c r="CT805" s="167">
        <v>0</v>
      </c>
      <c r="CU805" s="167">
        <v>0</v>
      </c>
      <c r="CV805" s="167">
        <v>0</v>
      </c>
      <c r="CW805" s="167">
        <v>0</v>
      </c>
      <c r="CX805" s="167">
        <f>SUM(CD805:CH805)</f>
        <v>1</v>
      </c>
      <c r="CY805" s="167">
        <f>SUM(CD805:CM805)</f>
        <v>1</v>
      </c>
    </row>
    <row r="806" spans="1:103" ht="12.75" customHeight="1" x14ac:dyDescent="0.2">
      <c r="A806" s="81">
        <v>4509</v>
      </c>
      <c r="B806" s="165" t="s">
        <v>1930</v>
      </c>
      <c r="C806" s="165" t="s">
        <v>4044</v>
      </c>
      <c r="D806" s="165" t="s">
        <v>4045</v>
      </c>
      <c r="E806" s="165" t="s">
        <v>4046</v>
      </c>
      <c r="G806" s="81">
        <v>529156</v>
      </c>
      <c r="H806" s="81">
        <v>177572</v>
      </c>
      <c r="I806" s="165" t="s">
        <v>240</v>
      </c>
      <c r="L806" s="166">
        <v>0</v>
      </c>
      <c r="M806" s="166">
        <v>422</v>
      </c>
      <c r="N806" s="166">
        <v>422</v>
      </c>
      <c r="O806" s="166">
        <v>422</v>
      </c>
      <c r="P806" s="166">
        <v>422</v>
      </c>
      <c r="Q806" s="81" t="s">
        <v>155</v>
      </c>
      <c r="R806" s="165" t="s">
        <v>4047</v>
      </c>
      <c r="S806" s="81" t="s">
        <v>509</v>
      </c>
      <c r="T806" s="349">
        <v>42755</v>
      </c>
      <c r="U806" s="349">
        <v>42900</v>
      </c>
      <c r="V806" s="81" t="s">
        <v>155</v>
      </c>
      <c r="W806" s="81" t="s">
        <v>114</v>
      </c>
      <c r="Y806" s="81" t="s">
        <v>115</v>
      </c>
      <c r="Z806" s="81" t="s">
        <v>116</v>
      </c>
      <c r="AA806" s="81" t="s">
        <v>116</v>
      </c>
      <c r="AB806" s="81" t="s">
        <v>117</v>
      </c>
      <c r="AC806" s="166">
        <v>0.56999999284744296</v>
      </c>
      <c r="AG806" s="81" t="s">
        <v>238</v>
      </c>
      <c r="AH806" s="81" t="s">
        <v>118</v>
      </c>
      <c r="AI806" s="81" t="s">
        <v>1983</v>
      </c>
      <c r="AK806" s="166">
        <v>422</v>
      </c>
      <c r="AM806" s="166">
        <v>42</v>
      </c>
      <c r="AO806" s="166">
        <v>20</v>
      </c>
      <c r="AP806" s="166">
        <v>64</v>
      </c>
      <c r="AQ806" s="166">
        <v>250</v>
      </c>
      <c r="AR806" s="166">
        <v>88</v>
      </c>
      <c r="AS806" s="166">
        <v>0</v>
      </c>
      <c r="AT806" s="166">
        <v>0</v>
      </c>
      <c r="AU806" s="166">
        <v>0</v>
      </c>
      <c r="AV806" s="166">
        <v>20</v>
      </c>
      <c r="AW806" s="166">
        <v>64</v>
      </c>
      <c r="AX806" s="166">
        <v>240</v>
      </c>
      <c r="AY806" s="166">
        <v>53</v>
      </c>
      <c r="AZ806" s="166">
        <v>0</v>
      </c>
      <c r="BA806" s="166">
        <v>0</v>
      </c>
      <c r="BB806" s="166">
        <v>0</v>
      </c>
      <c r="BC806" s="166">
        <v>0</v>
      </c>
      <c r="BD806" s="166">
        <v>0</v>
      </c>
      <c r="BE806" s="166">
        <v>10</v>
      </c>
      <c r="BF806" s="166">
        <v>35</v>
      </c>
      <c r="BG806" s="166">
        <v>0</v>
      </c>
      <c r="BH806" s="166">
        <v>0</v>
      </c>
      <c r="BI806" s="166">
        <v>0</v>
      </c>
      <c r="BJ806" s="166">
        <v>0</v>
      </c>
      <c r="BK806" s="166">
        <v>0</v>
      </c>
      <c r="BL806" s="166">
        <v>0</v>
      </c>
      <c r="BM806" s="166">
        <v>0</v>
      </c>
      <c r="BN806" s="166">
        <v>0</v>
      </c>
      <c r="BO806" s="166">
        <v>0</v>
      </c>
      <c r="BP806" s="166">
        <v>0</v>
      </c>
      <c r="BQ806" s="81" t="s">
        <v>1759</v>
      </c>
      <c r="BS806" s="81" t="s">
        <v>155</v>
      </c>
      <c r="BZ806" s="81" t="s">
        <v>155</v>
      </c>
      <c r="CA806" s="81">
        <v>12</v>
      </c>
      <c r="CC806" s="167">
        <v>0</v>
      </c>
      <c r="CD806" s="167">
        <v>0</v>
      </c>
      <c r="CE806" s="167">
        <v>0</v>
      </c>
      <c r="CF806" s="167">
        <v>0</v>
      </c>
      <c r="CG806" s="167">
        <v>0</v>
      </c>
      <c r="CH806" s="167">
        <v>0</v>
      </c>
      <c r="CI806" s="167">
        <v>0</v>
      </c>
      <c r="CJ806" s="167">
        <v>0</v>
      </c>
      <c r="CK806" s="167">
        <f>N806</f>
        <v>422</v>
      </c>
      <c r="CL806" s="167">
        <v>0</v>
      </c>
      <c r="CM806" s="167">
        <v>0</v>
      </c>
      <c r="CN806" s="167">
        <v>0</v>
      </c>
      <c r="CO806" s="167">
        <v>0</v>
      </c>
      <c r="CP806" s="167">
        <v>0</v>
      </c>
      <c r="CQ806" s="167">
        <v>0</v>
      </c>
      <c r="CR806" s="167">
        <v>0</v>
      </c>
      <c r="CS806" s="167">
        <v>0</v>
      </c>
      <c r="CT806" s="167">
        <v>0</v>
      </c>
      <c r="CU806" s="167">
        <v>0</v>
      </c>
      <c r="CV806" s="167">
        <v>0</v>
      </c>
      <c r="CW806" s="167">
        <v>0</v>
      </c>
      <c r="CX806" s="167">
        <f>SUM(CD806:CH806)</f>
        <v>0</v>
      </c>
      <c r="CY806" s="167">
        <f>SUM(CD806:CM806)</f>
        <v>422</v>
      </c>
    </row>
    <row r="807" spans="1:103" ht="12.75" customHeight="1" x14ac:dyDescent="0.2">
      <c r="A807" s="81">
        <v>4673</v>
      </c>
      <c r="B807" s="165" t="s">
        <v>1930</v>
      </c>
      <c r="C807" s="165" t="s">
        <v>1272</v>
      </c>
      <c r="E807" s="165" t="s">
        <v>2526</v>
      </c>
      <c r="G807" s="81">
        <v>521248</v>
      </c>
      <c r="H807" s="81">
        <v>174264</v>
      </c>
      <c r="I807" s="165" t="s">
        <v>877</v>
      </c>
      <c r="L807" s="166">
        <v>1</v>
      </c>
      <c r="M807" s="166">
        <v>1</v>
      </c>
      <c r="N807" s="166">
        <v>0</v>
      </c>
      <c r="O807" s="166">
        <v>1</v>
      </c>
      <c r="P807" s="166">
        <v>0</v>
      </c>
      <c r="R807" s="165" t="s">
        <v>1273</v>
      </c>
      <c r="S807" s="81" t="s">
        <v>113</v>
      </c>
      <c r="T807" s="349">
        <v>42515</v>
      </c>
      <c r="U807" s="349">
        <v>42571</v>
      </c>
      <c r="W807" s="81" t="s">
        <v>114</v>
      </c>
      <c r="Y807" s="81" t="s">
        <v>115</v>
      </c>
      <c r="Z807" s="81" t="s">
        <v>116</v>
      </c>
      <c r="AA807" s="81" t="s">
        <v>117</v>
      </c>
      <c r="AB807" s="81" t="s">
        <v>218</v>
      </c>
      <c r="AC807" s="166">
        <v>7.9999998211860698E-2</v>
      </c>
      <c r="AG807" s="81" t="s">
        <v>238</v>
      </c>
      <c r="AH807" s="81" t="s">
        <v>118</v>
      </c>
      <c r="AK807" s="166">
        <v>1</v>
      </c>
      <c r="AM807" s="166">
        <v>0</v>
      </c>
      <c r="AO807" s="166">
        <v>0</v>
      </c>
      <c r="AP807" s="166">
        <v>0</v>
      </c>
      <c r="AQ807" s="166">
        <v>0</v>
      </c>
      <c r="AR807" s="166">
        <v>0</v>
      </c>
      <c r="AS807" s="166">
        <v>-1</v>
      </c>
      <c r="AT807" s="166">
        <v>1</v>
      </c>
      <c r="AU807" s="166">
        <v>0</v>
      </c>
      <c r="AV807" s="166">
        <v>0</v>
      </c>
      <c r="AW807" s="166">
        <v>0</v>
      </c>
      <c r="AX807" s="166">
        <v>0</v>
      </c>
      <c r="AY807" s="166">
        <v>0</v>
      </c>
      <c r="AZ807" s="166">
        <v>0</v>
      </c>
      <c r="BA807" s="166">
        <v>0</v>
      </c>
      <c r="BB807" s="166">
        <v>0</v>
      </c>
      <c r="BC807" s="166">
        <v>0</v>
      </c>
      <c r="BD807" s="166">
        <v>0</v>
      </c>
      <c r="BE807" s="166">
        <v>0</v>
      </c>
      <c r="BF807" s="166">
        <v>0</v>
      </c>
      <c r="BG807" s="166">
        <v>-1</v>
      </c>
      <c r="BH807" s="166">
        <v>1</v>
      </c>
      <c r="BI807" s="166">
        <v>0</v>
      </c>
      <c r="BJ807" s="166">
        <v>0</v>
      </c>
      <c r="BK807" s="166">
        <v>0</v>
      </c>
      <c r="BL807" s="166">
        <v>0</v>
      </c>
      <c r="BM807" s="166">
        <v>0</v>
      </c>
      <c r="BN807" s="166">
        <v>0</v>
      </c>
      <c r="BO807" s="166">
        <v>0</v>
      </c>
      <c r="BP807" s="166">
        <v>0</v>
      </c>
      <c r="BQ807" s="81" t="s">
        <v>1758</v>
      </c>
      <c r="BZ807" s="81" t="s">
        <v>155</v>
      </c>
      <c r="CA807" s="81">
        <v>4</v>
      </c>
      <c r="CC807" s="167">
        <v>0</v>
      </c>
      <c r="CD807" s="167">
        <v>0</v>
      </c>
      <c r="CE807" s="167">
        <f>$N807/4</f>
        <v>0</v>
      </c>
      <c r="CF807" s="167">
        <f>$N807/4</f>
        <v>0</v>
      </c>
      <c r="CG807" s="167">
        <f>$N807/4</f>
        <v>0</v>
      </c>
      <c r="CH807" s="167">
        <f>$N807/4</f>
        <v>0</v>
      </c>
      <c r="CI807" s="167">
        <v>0</v>
      </c>
      <c r="CJ807" s="167">
        <v>0</v>
      </c>
      <c r="CK807" s="167">
        <v>0</v>
      </c>
      <c r="CL807" s="167">
        <v>0</v>
      </c>
      <c r="CM807" s="167">
        <v>0</v>
      </c>
      <c r="CN807" s="167">
        <v>0</v>
      </c>
      <c r="CO807" s="167">
        <v>0</v>
      </c>
      <c r="CP807" s="167">
        <v>0</v>
      </c>
      <c r="CQ807" s="167">
        <v>0</v>
      </c>
      <c r="CR807" s="167">
        <v>0</v>
      </c>
      <c r="CS807" s="167">
        <v>0</v>
      </c>
      <c r="CT807" s="167">
        <v>0</v>
      </c>
      <c r="CU807" s="167">
        <v>0</v>
      </c>
      <c r="CV807" s="167">
        <v>0</v>
      </c>
      <c r="CW807" s="167">
        <v>0</v>
      </c>
      <c r="CX807" s="167">
        <f>SUM(CD807:CH807)</f>
        <v>0</v>
      </c>
      <c r="CY807" s="167">
        <f>SUM(CD807:CM807)</f>
        <v>0</v>
      </c>
    </row>
    <row r="808" spans="1:103" ht="12.75" customHeight="1" x14ac:dyDescent="0.2">
      <c r="A808" s="81">
        <v>4677</v>
      </c>
      <c r="B808" s="165" t="s">
        <v>1930</v>
      </c>
      <c r="C808" s="165" t="s">
        <v>2527</v>
      </c>
      <c r="E808" s="165" t="s">
        <v>2528</v>
      </c>
      <c r="G808" s="81">
        <v>527943</v>
      </c>
      <c r="H808" s="81">
        <v>170717</v>
      </c>
      <c r="I808" s="165" t="s">
        <v>253</v>
      </c>
      <c r="L808" s="166">
        <v>0</v>
      </c>
      <c r="M808" s="166">
        <v>1</v>
      </c>
      <c r="N808" s="166">
        <v>1</v>
      </c>
      <c r="O808" s="166">
        <v>1</v>
      </c>
      <c r="P808" s="166">
        <v>1</v>
      </c>
      <c r="R808" s="165" t="s">
        <v>2529</v>
      </c>
      <c r="S808" s="81" t="s">
        <v>113</v>
      </c>
      <c r="T808" s="349">
        <v>43019</v>
      </c>
      <c r="U808" s="349">
        <v>43075</v>
      </c>
      <c r="V808" s="81" t="s">
        <v>155</v>
      </c>
      <c r="W808" s="81" t="s">
        <v>114</v>
      </c>
      <c r="Y808" s="81" t="s">
        <v>115</v>
      </c>
      <c r="Z808" s="81" t="s">
        <v>116</v>
      </c>
      <c r="AA808" s="81" t="s">
        <v>117</v>
      </c>
      <c r="AB808" s="81" t="s">
        <v>218</v>
      </c>
      <c r="AC808" s="166">
        <v>4.0000001899898104E-3</v>
      </c>
      <c r="AG808" s="81" t="s">
        <v>238</v>
      </c>
      <c r="AH808" s="81" t="s">
        <v>118</v>
      </c>
      <c r="AK808" s="166">
        <v>0</v>
      </c>
      <c r="AM808" s="166">
        <v>0</v>
      </c>
      <c r="AO808" s="166">
        <v>1</v>
      </c>
      <c r="AP808" s="166">
        <v>0</v>
      </c>
      <c r="AQ808" s="166">
        <v>0</v>
      </c>
      <c r="AR808" s="166">
        <v>0</v>
      </c>
      <c r="AS808" s="166">
        <v>0</v>
      </c>
      <c r="AT808" s="166">
        <v>0</v>
      </c>
      <c r="AU808" s="166">
        <v>0</v>
      </c>
      <c r="AV808" s="166">
        <v>1</v>
      </c>
      <c r="AW808" s="166">
        <v>0</v>
      </c>
      <c r="AX808" s="166">
        <v>0</v>
      </c>
      <c r="AY808" s="166">
        <v>0</v>
      </c>
      <c r="AZ808" s="166">
        <v>0</v>
      </c>
      <c r="BA808" s="166">
        <v>0</v>
      </c>
      <c r="BB808" s="166">
        <v>0</v>
      </c>
      <c r="BC808" s="166">
        <v>0</v>
      </c>
      <c r="BD808" s="166">
        <v>0</v>
      </c>
      <c r="BE808" s="166">
        <v>0</v>
      </c>
      <c r="BF808" s="166">
        <v>0</v>
      </c>
      <c r="BG808" s="166">
        <v>0</v>
      </c>
      <c r="BH808" s="166">
        <v>0</v>
      </c>
      <c r="BI808" s="166">
        <v>0</v>
      </c>
      <c r="BJ808" s="166">
        <v>0</v>
      </c>
      <c r="BK808" s="166">
        <v>0</v>
      </c>
      <c r="BL808" s="166">
        <v>0</v>
      </c>
      <c r="BM808" s="166">
        <v>0</v>
      </c>
      <c r="BN808" s="166">
        <v>0</v>
      </c>
      <c r="BO808" s="166">
        <v>0</v>
      </c>
      <c r="BP808" s="166">
        <v>0</v>
      </c>
      <c r="BQ808" s="81" t="s">
        <v>1757</v>
      </c>
      <c r="BZ808" s="81" t="s">
        <v>155</v>
      </c>
      <c r="CA808" s="81">
        <v>4</v>
      </c>
      <c r="CC808" s="167">
        <v>0</v>
      </c>
      <c r="CD808" s="167">
        <v>0</v>
      </c>
      <c r="CE808" s="167">
        <f>$N808/4</f>
        <v>0.25</v>
      </c>
      <c r="CF808" s="167">
        <f>$N808/4</f>
        <v>0.25</v>
      </c>
      <c r="CG808" s="167">
        <f>$N808/4</f>
        <v>0.25</v>
      </c>
      <c r="CH808" s="167">
        <f>$N808/4</f>
        <v>0.25</v>
      </c>
      <c r="CI808" s="167">
        <v>0</v>
      </c>
      <c r="CJ808" s="167">
        <v>0</v>
      </c>
      <c r="CK808" s="167">
        <v>0</v>
      </c>
      <c r="CL808" s="167">
        <v>0</v>
      </c>
      <c r="CM808" s="167">
        <v>0</v>
      </c>
      <c r="CN808" s="167">
        <v>0</v>
      </c>
      <c r="CO808" s="167">
        <v>0</v>
      </c>
      <c r="CP808" s="167">
        <v>0</v>
      </c>
      <c r="CQ808" s="167">
        <v>0</v>
      </c>
      <c r="CR808" s="167">
        <v>0</v>
      </c>
      <c r="CS808" s="167">
        <v>0</v>
      </c>
      <c r="CT808" s="167">
        <v>0</v>
      </c>
      <c r="CU808" s="167">
        <v>0</v>
      </c>
      <c r="CV808" s="167">
        <v>0</v>
      </c>
      <c r="CW808" s="167">
        <v>0</v>
      </c>
      <c r="CX808" s="167">
        <f>SUM(CD808:CH808)</f>
        <v>1</v>
      </c>
      <c r="CY808" s="167">
        <f>SUM(CD808:CM808)</f>
        <v>1</v>
      </c>
    </row>
    <row r="809" spans="1:103" ht="12.75" customHeight="1" x14ac:dyDescent="0.2">
      <c r="A809" s="81">
        <v>4704</v>
      </c>
      <c r="B809" s="165" t="s">
        <v>1930</v>
      </c>
      <c r="C809" s="165" t="s">
        <v>584</v>
      </c>
      <c r="E809" s="165" t="s">
        <v>2530</v>
      </c>
      <c r="G809" s="81">
        <v>527580</v>
      </c>
      <c r="H809" s="81">
        <v>171643</v>
      </c>
      <c r="I809" s="165" t="s">
        <v>253</v>
      </c>
      <c r="L809" s="166">
        <v>0</v>
      </c>
      <c r="M809" s="166">
        <v>2</v>
      </c>
      <c r="N809" s="166">
        <v>2</v>
      </c>
      <c r="O809" s="166">
        <v>2</v>
      </c>
      <c r="P809" s="166">
        <v>2</v>
      </c>
      <c r="R809" s="165" t="s">
        <v>1137</v>
      </c>
      <c r="S809" s="81" t="s">
        <v>113</v>
      </c>
      <c r="T809" s="349">
        <v>42177</v>
      </c>
      <c r="U809" s="349">
        <v>42233</v>
      </c>
      <c r="W809" s="81" t="s">
        <v>114</v>
      </c>
      <c r="Y809" s="81" t="s">
        <v>115</v>
      </c>
      <c r="Z809" s="81" t="s">
        <v>398</v>
      </c>
      <c r="AA809" s="81" t="s">
        <v>117</v>
      </c>
      <c r="AB809" s="81" t="s">
        <v>311</v>
      </c>
      <c r="AC809" s="166">
        <v>8.0000003799796104E-3</v>
      </c>
      <c r="AG809" s="81" t="s">
        <v>238</v>
      </c>
      <c r="AH809" s="81" t="s">
        <v>118</v>
      </c>
      <c r="AI809" s="81" t="s">
        <v>2448</v>
      </c>
      <c r="AK809" s="166">
        <v>0</v>
      </c>
      <c r="AM809" s="166">
        <v>0</v>
      </c>
      <c r="AO809" s="166">
        <v>0</v>
      </c>
      <c r="AP809" s="166">
        <v>0</v>
      </c>
      <c r="AQ809" s="166">
        <v>2</v>
      </c>
      <c r="AR809" s="166">
        <v>0</v>
      </c>
      <c r="AS809" s="166">
        <v>0</v>
      </c>
      <c r="AT809" s="166">
        <v>0</v>
      </c>
      <c r="AU809" s="166">
        <v>0</v>
      </c>
      <c r="AV809" s="166">
        <v>0</v>
      </c>
      <c r="AW809" s="166">
        <v>0</v>
      </c>
      <c r="AX809" s="166">
        <v>2</v>
      </c>
      <c r="AY809" s="166">
        <v>0</v>
      </c>
      <c r="AZ809" s="166">
        <v>0</v>
      </c>
      <c r="BA809" s="166">
        <v>0</v>
      </c>
      <c r="BB809" s="166">
        <v>0</v>
      </c>
      <c r="BC809" s="166">
        <v>0</v>
      </c>
      <c r="BD809" s="166">
        <v>0</v>
      </c>
      <c r="BE809" s="166">
        <v>0</v>
      </c>
      <c r="BF809" s="166">
        <v>0</v>
      </c>
      <c r="BG809" s="166">
        <v>0</v>
      </c>
      <c r="BH809" s="166">
        <v>0</v>
      </c>
      <c r="BI809" s="166">
        <v>0</v>
      </c>
      <c r="BJ809" s="166">
        <v>0</v>
      </c>
      <c r="BK809" s="166">
        <v>0</v>
      </c>
      <c r="BL809" s="166">
        <v>0</v>
      </c>
      <c r="BM809" s="166">
        <v>0</v>
      </c>
      <c r="BN809" s="166">
        <v>0</v>
      </c>
      <c r="BO809" s="166">
        <v>0</v>
      </c>
      <c r="BP809" s="166">
        <v>0</v>
      </c>
      <c r="BQ809" s="81" t="s">
        <v>1757</v>
      </c>
      <c r="BR809" s="81" t="s">
        <v>242</v>
      </c>
      <c r="BZ809" s="81" t="s">
        <v>155</v>
      </c>
      <c r="CA809" s="81" t="s">
        <v>1937</v>
      </c>
      <c r="CC809" s="167">
        <v>0</v>
      </c>
      <c r="CD809" s="167">
        <f>$N809/4</f>
        <v>0.5</v>
      </c>
      <c r="CE809" s="167">
        <f>$N809/4</f>
        <v>0.5</v>
      </c>
      <c r="CF809" s="167">
        <f>$N809/4</f>
        <v>0.5</v>
      </c>
      <c r="CG809" s="167">
        <f>$N809/4</f>
        <v>0.5</v>
      </c>
      <c r="CH809" s="167">
        <v>0</v>
      </c>
      <c r="CI809" s="167">
        <v>0</v>
      </c>
      <c r="CJ809" s="167">
        <v>0</v>
      </c>
      <c r="CK809" s="167">
        <v>0</v>
      </c>
      <c r="CL809" s="167">
        <v>0</v>
      </c>
      <c r="CM809" s="167">
        <v>0</v>
      </c>
      <c r="CN809" s="167">
        <v>0</v>
      </c>
      <c r="CO809" s="167">
        <v>0</v>
      </c>
      <c r="CP809" s="167">
        <v>0</v>
      </c>
      <c r="CQ809" s="167">
        <v>0</v>
      </c>
      <c r="CR809" s="167">
        <v>0</v>
      </c>
      <c r="CS809" s="167">
        <v>0</v>
      </c>
      <c r="CT809" s="167">
        <v>0</v>
      </c>
      <c r="CU809" s="167">
        <v>0</v>
      </c>
      <c r="CV809" s="167">
        <v>0</v>
      </c>
      <c r="CW809" s="167">
        <v>0</v>
      </c>
      <c r="CX809" s="167">
        <f>SUM(CD809:CH809)</f>
        <v>2</v>
      </c>
      <c r="CY809" s="167">
        <f>SUM(CD809:CM809)</f>
        <v>2</v>
      </c>
    </row>
    <row r="810" spans="1:103" ht="12.75" customHeight="1" x14ac:dyDescent="0.2">
      <c r="A810" s="81">
        <v>4855</v>
      </c>
      <c r="B810" s="165" t="s">
        <v>1930</v>
      </c>
      <c r="C810" s="165" t="s">
        <v>2531</v>
      </c>
      <c r="E810" s="165" t="s">
        <v>2532</v>
      </c>
      <c r="G810" s="81">
        <v>527775</v>
      </c>
      <c r="H810" s="81">
        <v>172038</v>
      </c>
      <c r="I810" s="165" t="s">
        <v>242</v>
      </c>
      <c r="L810" s="166">
        <v>2</v>
      </c>
      <c r="M810" s="166">
        <v>6</v>
      </c>
      <c r="N810" s="166">
        <v>4</v>
      </c>
      <c r="O810" s="166">
        <v>6</v>
      </c>
      <c r="P810" s="166">
        <v>4</v>
      </c>
      <c r="R810" s="165" t="s">
        <v>2533</v>
      </c>
      <c r="S810" s="81" t="s">
        <v>113</v>
      </c>
      <c r="T810" s="349">
        <v>42916</v>
      </c>
      <c r="U810" s="349">
        <v>43000</v>
      </c>
      <c r="V810" s="81" t="s">
        <v>155</v>
      </c>
      <c r="W810" s="81" t="s">
        <v>114</v>
      </c>
      <c r="Y810" s="81" t="s">
        <v>115</v>
      </c>
      <c r="Z810" s="81" t="s">
        <v>398</v>
      </c>
      <c r="AA810" s="81" t="s">
        <v>117</v>
      </c>
      <c r="AB810" s="81" t="s">
        <v>220</v>
      </c>
      <c r="AC810" s="166">
        <v>2.8000000864267301E-2</v>
      </c>
      <c r="AG810" s="81" t="s">
        <v>238</v>
      </c>
      <c r="AH810" s="81" t="s">
        <v>118</v>
      </c>
      <c r="AK810" s="166">
        <v>0</v>
      </c>
      <c r="AM810" s="166">
        <v>0</v>
      </c>
      <c r="AO810" s="166">
        <v>0</v>
      </c>
      <c r="AP810" s="166">
        <v>5</v>
      </c>
      <c r="AQ810" s="166">
        <v>1</v>
      </c>
      <c r="AR810" s="166">
        <v>-2</v>
      </c>
      <c r="AS810" s="166">
        <v>0</v>
      </c>
      <c r="AT810" s="166">
        <v>0</v>
      </c>
      <c r="AU810" s="166">
        <v>0</v>
      </c>
      <c r="AV810" s="166">
        <v>0</v>
      </c>
      <c r="AW810" s="166">
        <v>5</v>
      </c>
      <c r="AX810" s="166">
        <v>1</v>
      </c>
      <c r="AY810" s="166">
        <v>-2</v>
      </c>
      <c r="AZ810" s="166">
        <v>0</v>
      </c>
      <c r="BA810" s="166">
        <v>0</v>
      </c>
      <c r="BB810" s="166">
        <v>0</v>
      </c>
      <c r="BC810" s="166">
        <v>0</v>
      </c>
      <c r="BD810" s="166">
        <v>0</v>
      </c>
      <c r="BE810" s="166">
        <v>0</v>
      </c>
      <c r="BF810" s="166">
        <v>0</v>
      </c>
      <c r="BG810" s="166">
        <v>0</v>
      </c>
      <c r="BH810" s="166">
        <v>0</v>
      </c>
      <c r="BI810" s="166">
        <v>0</v>
      </c>
      <c r="BJ810" s="166">
        <v>0</v>
      </c>
      <c r="BK810" s="166">
        <v>0</v>
      </c>
      <c r="BL810" s="166">
        <v>0</v>
      </c>
      <c r="BM810" s="166">
        <v>0</v>
      </c>
      <c r="BN810" s="166">
        <v>0</v>
      </c>
      <c r="BO810" s="166">
        <v>0</v>
      </c>
      <c r="BP810" s="166">
        <v>0</v>
      </c>
      <c r="BQ810" s="81" t="s">
        <v>1757</v>
      </c>
      <c r="BZ810" s="81" t="s">
        <v>155</v>
      </c>
      <c r="CA810" s="81" t="s">
        <v>3972</v>
      </c>
      <c r="CC810" s="167">
        <v>0</v>
      </c>
      <c r="CD810" s="167">
        <f>$N810/4</f>
        <v>1</v>
      </c>
      <c r="CE810" s="167">
        <f>$N810/4</f>
        <v>1</v>
      </c>
      <c r="CF810" s="167">
        <f>$N810/4</f>
        <v>1</v>
      </c>
      <c r="CG810" s="167">
        <f>$N810/4</f>
        <v>1</v>
      </c>
      <c r="CH810" s="167">
        <v>0</v>
      </c>
      <c r="CI810" s="167">
        <v>0</v>
      </c>
      <c r="CJ810" s="167">
        <v>0</v>
      </c>
      <c r="CK810" s="167">
        <v>0</v>
      </c>
      <c r="CL810" s="167">
        <v>0</v>
      </c>
      <c r="CM810" s="167">
        <v>0</v>
      </c>
      <c r="CN810" s="167">
        <v>0</v>
      </c>
      <c r="CO810" s="167">
        <v>0</v>
      </c>
      <c r="CP810" s="167">
        <v>0</v>
      </c>
      <c r="CQ810" s="167">
        <v>0</v>
      </c>
      <c r="CR810" s="167">
        <v>0</v>
      </c>
      <c r="CS810" s="167">
        <v>0</v>
      </c>
      <c r="CT810" s="167">
        <v>0</v>
      </c>
      <c r="CU810" s="167">
        <v>0</v>
      </c>
      <c r="CV810" s="167">
        <v>0</v>
      </c>
      <c r="CW810" s="167">
        <v>0</v>
      </c>
      <c r="CX810" s="167">
        <f>SUM(CD810:CH810)</f>
        <v>4</v>
      </c>
      <c r="CY810" s="167">
        <f>SUM(CD810:CM810)</f>
        <v>4</v>
      </c>
    </row>
    <row r="811" spans="1:103" ht="12.75" customHeight="1" x14ac:dyDescent="0.2">
      <c r="A811" s="81">
        <v>4864</v>
      </c>
      <c r="B811" s="165" t="s">
        <v>1930</v>
      </c>
      <c r="C811" s="165" t="s">
        <v>2534</v>
      </c>
      <c r="E811" s="165" t="s">
        <v>2535</v>
      </c>
      <c r="G811" s="81">
        <v>527602</v>
      </c>
      <c r="H811" s="81">
        <v>175480</v>
      </c>
      <c r="I811" s="165" t="s">
        <v>256</v>
      </c>
      <c r="L811" s="166">
        <v>0</v>
      </c>
      <c r="M811" s="166">
        <v>4</v>
      </c>
      <c r="N811" s="166">
        <v>4</v>
      </c>
      <c r="O811" s="166">
        <v>4</v>
      </c>
      <c r="P811" s="166">
        <v>4</v>
      </c>
      <c r="R811" s="165" t="s">
        <v>2536</v>
      </c>
      <c r="S811" s="81" t="s">
        <v>110</v>
      </c>
      <c r="T811" s="349">
        <v>43026</v>
      </c>
      <c r="U811" s="349">
        <v>43075</v>
      </c>
      <c r="V811" s="81" t="s">
        <v>155</v>
      </c>
      <c r="W811" s="81" t="s">
        <v>114</v>
      </c>
      <c r="Y811" s="81" t="s">
        <v>115</v>
      </c>
      <c r="Z811" s="81" t="s">
        <v>310</v>
      </c>
      <c r="AA811" s="81" t="s">
        <v>117</v>
      </c>
      <c r="AB811" s="81" t="s">
        <v>399</v>
      </c>
      <c r="AC811" s="166">
        <v>1.09999999403954E-2</v>
      </c>
      <c r="AG811" s="81" t="s">
        <v>238</v>
      </c>
      <c r="AH811" s="81" t="s">
        <v>118</v>
      </c>
      <c r="AK811" s="166">
        <v>0</v>
      </c>
      <c r="AM811" s="166">
        <v>0</v>
      </c>
      <c r="AO811" s="166">
        <v>0</v>
      </c>
      <c r="AP811" s="166">
        <v>4</v>
      </c>
      <c r="AQ811" s="166">
        <v>0</v>
      </c>
      <c r="AR811" s="166">
        <v>0</v>
      </c>
      <c r="AS811" s="166">
        <v>0</v>
      </c>
      <c r="AT811" s="166">
        <v>0</v>
      </c>
      <c r="AU811" s="166">
        <v>0</v>
      </c>
      <c r="AV811" s="166">
        <v>0</v>
      </c>
      <c r="AW811" s="166">
        <v>4</v>
      </c>
      <c r="AX811" s="166">
        <v>0</v>
      </c>
      <c r="AY811" s="166">
        <v>0</v>
      </c>
      <c r="AZ811" s="166">
        <v>0</v>
      </c>
      <c r="BA811" s="166">
        <v>0</v>
      </c>
      <c r="BB811" s="166">
        <v>0</v>
      </c>
      <c r="BC811" s="166">
        <v>0</v>
      </c>
      <c r="BD811" s="166">
        <v>0</v>
      </c>
      <c r="BE811" s="166">
        <v>0</v>
      </c>
      <c r="BF811" s="166">
        <v>0</v>
      </c>
      <c r="BG811" s="166">
        <v>0</v>
      </c>
      <c r="BH811" s="166">
        <v>0</v>
      </c>
      <c r="BI811" s="166">
        <v>0</v>
      </c>
      <c r="BJ811" s="166">
        <v>0</v>
      </c>
      <c r="BK811" s="166">
        <v>0</v>
      </c>
      <c r="BL811" s="166">
        <v>0</v>
      </c>
      <c r="BM811" s="166">
        <v>0</v>
      </c>
      <c r="BN811" s="166">
        <v>0</v>
      </c>
      <c r="BO811" s="166">
        <v>0</v>
      </c>
      <c r="BP811" s="166">
        <v>0</v>
      </c>
      <c r="BQ811" s="81" t="s">
        <v>1757</v>
      </c>
      <c r="BR811" s="81" t="s">
        <v>160</v>
      </c>
      <c r="BZ811" s="81" t="s">
        <v>155</v>
      </c>
      <c r="CA811" s="81" t="s">
        <v>1937</v>
      </c>
      <c r="CC811" s="167">
        <v>0</v>
      </c>
      <c r="CD811" s="167">
        <f>$N811/4</f>
        <v>1</v>
      </c>
      <c r="CE811" s="167">
        <f>$N811/4</f>
        <v>1</v>
      </c>
      <c r="CF811" s="167">
        <f>$N811/4</f>
        <v>1</v>
      </c>
      <c r="CG811" s="167">
        <f>$N811/4</f>
        <v>1</v>
      </c>
      <c r="CH811" s="167">
        <v>0</v>
      </c>
      <c r="CI811" s="167">
        <v>0</v>
      </c>
      <c r="CJ811" s="167">
        <v>0</v>
      </c>
      <c r="CK811" s="167">
        <v>0</v>
      </c>
      <c r="CL811" s="167">
        <v>0</v>
      </c>
      <c r="CM811" s="167">
        <v>0</v>
      </c>
      <c r="CN811" s="167">
        <v>0</v>
      </c>
      <c r="CO811" s="167">
        <v>0</v>
      </c>
      <c r="CP811" s="167">
        <v>0</v>
      </c>
      <c r="CQ811" s="167">
        <v>0</v>
      </c>
      <c r="CR811" s="167">
        <v>0</v>
      </c>
      <c r="CS811" s="167">
        <v>0</v>
      </c>
      <c r="CT811" s="167">
        <v>0</v>
      </c>
      <c r="CU811" s="167">
        <v>0</v>
      </c>
      <c r="CV811" s="167">
        <v>0</v>
      </c>
      <c r="CW811" s="167">
        <v>0</v>
      </c>
      <c r="CX811" s="167">
        <f>SUM(CD811:CH811)</f>
        <v>4</v>
      </c>
      <c r="CY811" s="167">
        <f>SUM(CD811:CM811)</f>
        <v>4</v>
      </c>
    </row>
    <row r="812" spans="1:103" ht="12.75" customHeight="1" x14ac:dyDescent="0.2">
      <c r="A812" s="81">
        <v>4865</v>
      </c>
      <c r="B812" s="165" t="s">
        <v>1930</v>
      </c>
      <c r="C812" s="165" t="s">
        <v>1412</v>
      </c>
      <c r="E812" s="165" t="s">
        <v>2537</v>
      </c>
      <c r="G812" s="81">
        <v>523686</v>
      </c>
      <c r="H812" s="81">
        <v>173656</v>
      </c>
      <c r="I812" s="165" t="s">
        <v>111</v>
      </c>
      <c r="L812" s="166">
        <v>1</v>
      </c>
      <c r="M812" s="166">
        <v>2</v>
      </c>
      <c r="N812" s="166">
        <v>1</v>
      </c>
      <c r="O812" s="166">
        <v>2</v>
      </c>
      <c r="P812" s="166">
        <v>1</v>
      </c>
      <c r="R812" s="165" t="s">
        <v>1413</v>
      </c>
      <c r="S812" s="81" t="s">
        <v>113</v>
      </c>
      <c r="T812" s="349">
        <v>42626</v>
      </c>
      <c r="U812" s="349">
        <v>42682</v>
      </c>
      <c r="W812" s="81" t="s">
        <v>114</v>
      </c>
      <c r="Y812" s="81" t="s">
        <v>115</v>
      </c>
      <c r="Z812" s="81" t="s">
        <v>116</v>
      </c>
      <c r="AA812" s="81" t="s">
        <v>117</v>
      </c>
      <c r="AB812" s="81" t="s">
        <v>218</v>
      </c>
      <c r="AC812" s="166">
        <v>2.4000000208616298E-2</v>
      </c>
      <c r="AG812" s="81" t="s">
        <v>238</v>
      </c>
      <c r="AH812" s="81" t="s">
        <v>118</v>
      </c>
      <c r="AK812" s="166">
        <v>2</v>
      </c>
      <c r="AM812" s="166">
        <v>0</v>
      </c>
      <c r="AO812" s="166">
        <v>0</v>
      </c>
      <c r="AP812" s="166">
        <v>0</v>
      </c>
      <c r="AQ812" s="166">
        <v>-1</v>
      </c>
      <c r="AR812" s="166">
        <v>2</v>
      </c>
      <c r="AS812" s="166">
        <v>0</v>
      </c>
      <c r="AT812" s="166">
        <v>0</v>
      </c>
      <c r="AU812" s="166">
        <v>0</v>
      </c>
      <c r="AV812" s="166">
        <v>0</v>
      </c>
      <c r="AW812" s="166">
        <v>0</v>
      </c>
      <c r="AX812" s="166">
        <v>0</v>
      </c>
      <c r="AY812" s="166">
        <v>0</v>
      </c>
      <c r="AZ812" s="166">
        <v>0</v>
      </c>
      <c r="BA812" s="166">
        <v>0</v>
      </c>
      <c r="BB812" s="166">
        <v>0</v>
      </c>
      <c r="BC812" s="166">
        <v>0</v>
      </c>
      <c r="BD812" s="166">
        <v>0</v>
      </c>
      <c r="BE812" s="166">
        <v>-1</v>
      </c>
      <c r="BF812" s="166">
        <v>2</v>
      </c>
      <c r="BG812" s="166">
        <v>0</v>
      </c>
      <c r="BH812" s="166">
        <v>0</v>
      </c>
      <c r="BI812" s="166">
        <v>0</v>
      </c>
      <c r="BJ812" s="166">
        <v>0</v>
      </c>
      <c r="BK812" s="166">
        <v>0</v>
      </c>
      <c r="BL812" s="166">
        <v>0</v>
      </c>
      <c r="BM812" s="166">
        <v>0</v>
      </c>
      <c r="BN812" s="166">
        <v>0</v>
      </c>
      <c r="BO812" s="166">
        <v>0</v>
      </c>
      <c r="BP812" s="166">
        <v>0</v>
      </c>
      <c r="BQ812" s="81" t="s">
        <v>1758</v>
      </c>
      <c r="BZ812" s="81" t="s">
        <v>155</v>
      </c>
      <c r="CA812" s="81">
        <v>4</v>
      </c>
      <c r="CC812" s="167">
        <v>0</v>
      </c>
      <c r="CD812" s="167">
        <v>0</v>
      </c>
      <c r="CE812" s="167">
        <f>$N812/4</f>
        <v>0.25</v>
      </c>
      <c r="CF812" s="167">
        <f>$N812/4</f>
        <v>0.25</v>
      </c>
      <c r="CG812" s="167">
        <f>$N812/4</f>
        <v>0.25</v>
      </c>
      <c r="CH812" s="167">
        <f>$N812/4</f>
        <v>0.25</v>
      </c>
      <c r="CI812" s="167">
        <v>0</v>
      </c>
      <c r="CJ812" s="167">
        <v>0</v>
      </c>
      <c r="CK812" s="167">
        <v>0</v>
      </c>
      <c r="CL812" s="167">
        <v>0</v>
      </c>
      <c r="CM812" s="167">
        <v>0</v>
      </c>
      <c r="CN812" s="167">
        <v>0</v>
      </c>
      <c r="CO812" s="167">
        <v>0</v>
      </c>
      <c r="CP812" s="167">
        <v>0</v>
      </c>
      <c r="CQ812" s="167">
        <v>0</v>
      </c>
      <c r="CR812" s="167">
        <v>0</v>
      </c>
      <c r="CS812" s="167">
        <v>0</v>
      </c>
      <c r="CT812" s="167">
        <v>0</v>
      </c>
      <c r="CU812" s="167">
        <v>0</v>
      </c>
      <c r="CV812" s="167">
        <v>0</v>
      </c>
      <c r="CW812" s="167">
        <v>0</v>
      </c>
      <c r="CX812" s="167">
        <f>SUM(CD812:CH812)</f>
        <v>1</v>
      </c>
      <c r="CY812" s="167">
        <f>SUM(CD812:CM812)</f>
        <v>1</v>
      </c>
    </row>
    <row r="813" spans="1:103" ht="12.75" customHeight="1" x14ac:dyDescent="0.2">
      <c r="A813" s="81">
        <v>4886</v>
      </c>
      <c r="B813" s="165" t="s">
        <v>1930</v>
      </c>
      <c r="C813" s="165" t="s">
        <v>576</v>
      </c>
      <c r="E813" s="165" t="s">
        <v>2538</v>
      </c>
      <c r="G813" s="81">
        <v>528185</v>
      </c>
      <c r="H813" s="81">
        <v>175700</v>
      </c>
      <c r="I813" s="165" t="s">
        <v>256</v>
      </c>
      <c r="L813" s="166">
        <v>0</v>
      </c>
      <c r="M813" s="166">
        <v>5</v>
      </c>
      <c r="N813" s="166">
        <v>5</v>
      </c>
      <c r="O813" s="166">
        <v>6</v>
      </c>
      <c r="P813" s="166">
        <v>6</v>
      </c>
      <c r="R813" s="165" t="s">
        <v>1134</v>
      </c>
      <c r="S813" s="81" t="s">
        <v>113</v>
      </c>
      <c r="T813" s="349">
        <v>42142</v>
      </c>
      <c r="U813" s="349">
        <v>42324</v>
      </c>
      <c r="W813" s="81" t="s">
        <v>114</v>
      </c>
      <c r="Y813" s="81" t="s">
        <v>115</v>
      </c>
      <c r="Z813" s="81" t="s">
        <v>398</v>
      </c>
      <c r="AA813" s="81" t="s">
        <v>117</v>
      </c>
      <c r="AB813" s="81" t="s">
        <v>218</v>
      </c>
      <c r="AC813" s="166">
        <v>6.0000000521540598E-3</v>
      </c>
      <c r="AG813" s="81" t="s">
        <v>238</v>
      </c>
      <c r="AH813" s="81" t="s">
        <v>118</v>
      </c>
      <c r="AK813" s="166">
        <v>0</v>
      </c>
      <c r="AM813" s="166">
        <v>0</v>
      </c>
      <c r="AO813" s="166">
        <v>0</v>
      </c>
      <c r="AP813" s="166">
        <v>1</v>
      </c>
      <c r="AQ813" s="166">
        <v>3</v>
      </c>
      <c r="AR813" s="166">
        <v>1</v>
      </c>
      <c r="AS813" s="166">
        <v>0</v>
      </c>
      <c r="AT813" s="166">
        <v>0</v>
      </c>
      <c r="AU813" s="166">
        <v>0</v>
      </c>
      <c r="AV813" s="166">
        <v>0</v>
      </c>
      <c r="AW813" s="166">
        <v>1</v>
      </c>
      <c r="AX813" s="166">
        <v>3</v>
      </c>
      <c r="AY813" s="166">
        <v>1</v>
      </c>
      <c r="AZ813" s="166">
        <v>0</v>
      </c>
      <c r="BA813" s="166">
        <v>0</v>
      </c>
      <c r="BB813" s="166">
        <v>0</v>
      </c>
      <c r="BC813" s="166">
        <v>0</v>
      </c>
      <c r="BD813" s="166">
        <v>0</v>
      </c>
      <c r="BE813" s="166">
        <v>0</v>
      </c>
      <c r="BF813" s="166">
        <v>0</v>
      </c>
      <c r="BG813" s="166">
        <v>0</v>
      </c>
      <c r="BH813" s="166">
        <v>0</v>
      </c>
      <c r="BI813" s="166">
        <v>0</v>
      </c>
      <c r="BJ813" s="166">
        <v>0</v>
      </c>
      <c r="BK813" s="166">
        <v>0</v>
      </c>
      <c r="BL813" s="166">
        <v>0</v>
      </c>
      <c r="BM813" s="166">
        <v>0</v>
      </c>
      <c r="BN813" s="166">
        <v>0</v>
      </c>
      <c r="BO813" s="166">
        <v>0</v>
      </c>
      <c r="BP813" s="166">
        <v>0</v>
      </c>
      <c r="BQ813" s="81" t="s">
        <v>1757</v>
      </c>
      <c r="BZ813" s="81" t="s">
        <v>155</v>
      </c>
      <c r="CA813" s="81" t="s">
        <v>3972</v>
      </c>
      <c r="CC813" s="167">
        <v>0</v>
      </c>
      <c r="CD813" s="167">
        <f>$N813/4</f>
        <v>1.25</v>
      </c>
      <c r="CE813" s="167">
        <f>$N813/4</f>
        <v>1.25</v>
      </c>
      <c r="CF813" s="167">
        <f>$N813/4</f>
        <v>1.25</v>
      </c>
      <c r="CG813" s="167">
        <f>$N813/4</f>
        <v>1.25</v>
      </c>
      <c r="CH813" s="167">
        <v>0</v>
      </c>
      <c r="CI813" s="167">
        <v>0</v>
      </c>
      <c r="CJ813" s="167">
        <v>0</v>
      </c>
      <c r="CK813" s="167">
        <v>0</v>
      </c>
      <c r="CL813" s="167">
        <v>0</v>
      </c>
      <c r="CM813" s="167">
        <v>0</v>
      </c>
      <c r="CN813" s="167">
        <v>0</v>
      </c>
      <c r="CO813" s="167">
        <v>0</v>
      </c>
      <c r="CP813" s="167">
        <v>0</v>
      </c>
      <c r="CQ813" s="167">
        <v>0</v>
      </c>
      <c r="CR813" s="167">
        <v>0</v>
      </c>
      <c r="CS813" s="167">
        <v>0</v>
      </c>
      <c r="CT813" s="167">
        <v>0</v>
      </c>
      <c r="CU813" s="167">
        <v>0</v>
      </c>
      <c r="CV813" s="167">
        <v>0</v>
      </c>
      <c r="CW813" s="167">
        <v>0</v>
      </c>
      <c r="CX813" s="167">
        <f>SUM(CD813:CH813)</f>
        <v>5</v>
      </c>
      <c r="CY813" s="167">
        <f>SUM(CD813:CM813)</f>
        <v>5</v>
      </c>
    </row>
    <row r="814" spans="1:103" ht="12.75" customHeight="1" x14ac:dyDescent="0.2">
      <c r="A814" s="81">
        <v>4886</v>
      </c>
      <c r="B814" s="165" t="s">
        <v>1930</v>
      </c>
      <c r="C814" s="165" t="s">
        <v>576</v>
      </c>
      <c r="E814" s="165" t="s">
        <v>2538</v>
      </c>
      <c r="G814" s="81">
        <v>528185</v>
      </c>
      <c r="H814" s="81">
        <v>175700</v>
      </c>
      <c r="I814" s="165" t="s">
        <v>256</v>
      </c>
      <c r="L814" s="166">
        <v>0</v>
      </c>
      <c r="M814" s="166">
        <v>1</v>
      </c>
      <c r="N814" s="166">
        <v>1</v>
      </c>
      <c r="O814" s="166">
        <v>6</v>
      </c>
      <c r="P814" s="166">
        <v>6</v>
      </c>
      <c r="R814" s="165" t="s">
        <v>1134</v>
      </c>
      <c r="S814" s="81" t="s">
        <v>113</v>
      </c>
      <c r="T814" s="349">
        <v>42142</v>
      </c>
      <c r="U814" s="349">
        <v>42324</v>
      </c>
      <c r="W814" s="81" t="s">
        <v>114</v>
      </c>
      <c r="Y814" s="81" t="s">
        <v>115</v>
      </c>
      <c r="Z814" s="81" t="s">
        <v>398</v>
      </c>
      <c r="AA814" s="81" t="s">
        <v>117</v>
      </c>
      <c r="AB814" s="81" t="s">
        <v>311</v>
      </c>
      <c r="AC814" s="166">
        <v>2.0000000949949E-3</v>
      </c>
      <c r="AG814" s="81" t="s">
        <v>238</v>
      </c>
      <c r="AH814" s="81" t="s">
        <v>118</v>
      </c>
      <c r="AK814" s="166">
        <v>0</v>
      </c>
      <c r="AM814" s="166">
        <v>0</v>
      </c>
      <c r="AO814" s="166">
        <v>0</v>
      </c>
      <c r="AP814" s="166">
        <v>0</v>
      </c>
      <c r="AQ814" s="166">
        <v>0</v>
      </c>
      <c r="AR814" s="166">
        <v>1</v>
      </c>
      <c r="AS814" s="166">
        <v>0</v>
      </c>
      <c r="AT814" s="166">
        <v>0</v>
      </c>
      <c r="AU814" s="166">
        <v>0</v>
      </c>
      <c r="AV814" s="166">
        <v>0</v>
      </c>
      <c r="AW814" s="166">
        <v>0</v>
      </c>
      <c r="AX814" s="166">
        <v>0</v>
      </c>
      <c r="AY814" s="166">
        <v>0</v>
      </c>
      <c r="AZ814" s="166">
        <v>0</v>
      </c>
      <c r="BA814" s="166">
        <v>0</v>
      </c>
      <c r="BB814" s="166">
        <v>0</v>
      </c>
      <c r="BC814" s="166">
        <v>0</v>
      </c>
      <c r="BD814" s="166">
        <v>0</v>
      </c>
      <c r="BE814" s="166">
        <v>0</v>
      </c>
      <c r="BF814" s="166">
        <v>1</v>
      </c>
      <c r="BG814" s="166">
        <v>0</v>
      </c>
      <c r="BH814" s="166">
        <v>0</v>
      </c>
      <c r="BI814" s="166">
        <v>0</v>
      </c>
      <c r="BJ814" s="166">
        <v>0</v>
      </c>
      <c r="BK814" s="166">
        <v>0</v>
      </c>
      <c r="BL814" s="166">
        <v>0</v>
      </c>
      <c r="BM814" s="166">
        <v>0</v>
      </c>
      <c r="BN814" s="166">
        <v>0</v>
      </c>
      <c r="BO814" s="166">
        <v>0</v>
      </c>
      <c r="BP814" s="166">
        <v>0</v>
      </c>
      <c r="BQ814" s="81" t="s">
        <v>1757</v>
      </c>
      <c r="BZ814" s="81" t="s">
        <v>155</v>
      </c>
      <c r="CA814" s="81" t="s">
        <v>3972</v>
      </c>
      <c r="CC814" s="167">
        <v>0</v>
      </c>
      <c r="CD814" s="167">
        <f>$N814/4</f>
        <v>0.25</v>
      </c>
      <c r="CE814" s="167">
        <f>$N814/4</f>
        <v>0.25</v>
      </c>
      <c r="CF814" s="167">
        <f>$N814/4</f>
        <v>0.25</v>
      </c>
      <c r="CG814" s="167">
        <f>$N814/4</f>
        <v>0.25</v>
      </c>
      <c r="CH814" s="167">
        <v>0</v>
      </c>
      <c r="CI814" s="167">
        <v>0</v>
      </c>
      <c r="CJ814" s="167">
        <v>0</v>
      </c>
      <c r="CK814" s="167">
        <v>0</v>
      </c>
      <c r="CL814" s="167">
        <v>0</v>
      </c>
      <c r="CM814" s="167">
        <v>0</v>
      </c>
      <c r="CN814" s="167">
        <v>0</v>
      </c>
      <c r="CO814" s="167">
        <v>0</v>
      </c>
      <c r="CP814" s="167">
        <v>0</v>
      </c>
      <c r="CQ814" s="167">
        <v>0</v>
      </c>
      <c r="CR814" s="167">
        <v>0</v>
      </c>
      <c r="CS814" s="167">
        <v>0</v>
      </c>
      <c r="CT814" s="167">
        <v>0</v>
      </c>
      <c r="CU814" s="167">
        <v>0</v>
      </c>
      <c r="CV814" s="167">
        <v>0</v>
      </c>
      <c r="CW814" s="167">
        <v>0</v>
      </c>
      <c r="CX814" s="167">
        <f>SUM(CD814:CH814)</f>
        <v>1</v>
      </c>
      <c r="CY814" s="167">
        <f>SUM(CD814:CM814)</f>
        <v>1</v>
      </c>
    </row>
    <row r="815" spans="1:103" ht="12.75" customHeight="1" x14ac:dyDescent="0.2">
      <c r="A815" s="81">
        <v>4936</v>
      </c>
      <c r="B815" s="165" t="s">
        <v>1930</v>
      </c>
      <c r="C815" s="165" t="s">
        <v>1248</v>
      </c>
      <c r="D815" s="165" t="s">
        <v>876</v>
      </c>
      <c r="E815" s="165" t="s">
        <v>2539</v>
      </c>
      <c r="G815" s="81">
        <v>526431</v>
      </c>
      <c r="H815" s="81">
        <v>175730</v>
      </c>
      <c r="I815" s="165" t="s">
        <v>257</v>
      </c>
      <c r="L815" s="166">
        <v>0</v>
      </c>
      <c r="M815" s="166">
        <v>2</v>
      </c>
      <c r="N815" s="166">
        <v>2</v>
      </c>
      <c r="O815" s="166">
        <v>2</v>
      </c>
      <c r="P815" s="166">
        <v>2</v>
      </c>
      <c r="R815" s="165" t="s">
        <v>1249</v>
      </c>
      <c r="S815" s="81" t="s">
        <v>270</v>
      </c>
      <c r="T815" s="349">
        <v>42493</v>
      </c>
      <c r="U815" s="349">
        <v>42549</v>
      </c>
      <c r="W815" s="81" t="s">
        <v>114</v>
      </c>
      <c r="Y815" s="81" t="s">
        <v>115</v>
      </c>
      <c r="Z815" s="81" t="s">
        <v>310</v>
      </c>
      <c r="AA815" s="81" t="s">
        <v>117</v>
      </c>
      <c r="AB815" s="81" t="s">
        <v>399</v>
      </c>
      <c r="AC815" s="166">
        <v>4.0000001899898104E-3</v>
      </c>
      <c r="AG815" s="81" t="s">
        <v>238</v>
      </c>
      <c r="AH815" s="81" t="s">
        <v>118</v>
      </c>
      <c r="AI815" s="81" t="s">
        <v>1939</v>
      </c>
      <c r="AK815" s="166">
        <v>0</v>
      </c>
      <c r="AM815" s="166">
        <v>0</v>
      </c>
      <c r="AO815" s="166">
        <v>0</v>
      </c>
      <c r="AP815" s="166">
        <v>0</v>
      </c>
      <c r="AQ815" s="166">
        <v>2</v>
      </c>
      <c r="AR815" s="166">
        <v>0</v>
      </c>
      <c r="AS815" s="166">
        <v>0</v>
      </c>
      <c r="AT815" s="166">
        <v>0</v>
      </c>
      <c r="AU815" s="166">
        <v>0</v>
      </c>
      <c r="AV815" s="166">
        <v>0</v>
      </c>
      <c r="AW815" s="166">
        <v>0</v>
      </c>
      <c r="AX815" s="166">
        <v>2</v>
      </c>
      <c r="AY815" s="166">
        <v>0</v>
      </c>
      <c r="AZ815" s="166">
        <v>0</v>
      </c>
      <c r="BA815" s="166">
        <v>0</v>
      </c>
      <c r="BB815" s="166">
        <v>0</v>
      </c>
      <c r="BC815" s="166">
        <v>0</v>
      </c>
      <c r="BD815" s="166">
        <v>0</v>
      </c>
      <c r="BE815" s="166">
        <v>0</v>
      </c>
      <c r="BF815" s="166">
        <v>0</v>
      </c>
      <c r="BG815" s="166">
        <v>0</v>
      </c>
      <c r="BH815" s="166">
        <v>0</v>
      </c>
      <c r="BI815" s="166">
        <v>0</v>
      </c>
      <c r="BJ815" s="166">
        <v>0</v>
      </c>
      <c r="BK815" s="166">
        <v>0</v>
      </c>
      <c r="BL815" s="166">
        <v>0</v>
      </c>
      <c r="BM815" s="166">
        <v>0</v>
      </c>
      <c r="BN815" s="166">
        <v>0</v>
      </c>
      <c r="BO815" s="166">
        <v>0</v>
      </c>
      <c r="BP815" s="166">
        <v>0</v>
      </c>
      <c r="BQ815" s="81" t="s">
        <v>1757</v>
      </c>
      <c r="BX815" s="81" t="s">
        <v>155</v>
      </c>
      <c r="BZ815" s="81" t="s">
        <v>155</v>
      </c>
      <c r="CA815" s="81" t="s">
        <v>3972</v>
      </c>
      <c r="CC815" s="167">
        <v>0</v>
      </c>
      <c r="CD815" s="167">
        <f>$N815/4</f>
        <v>0.5</v>
      </c>
      <c r="CE815" s="167">
        <f>$N815/4</f>
        <v>0.5</v>
      </c>
      <c r="CF815" s="167">
        <f>$N815/4</f>
        <v>0.5</v>
      </c>
      <c r="CG815" s="167">
        <f>$N815/4</f>
        <v>0.5</v>
      </c>
      <c r="CH815" s="167">
        <v>0</v>
      </c>
      <c r="CI815" s="167">
        <v>0</v>
      </c>
      <c r="CJ815" s="167">
        <v>0</v>
      </c>
      <c r="CK815" s="167">
        <v>0</v>
      </c>
      <c r="CL815" s="167">
        <v>0</v>
      </c>
      <c r="CM815" s="167">
        <v>0</v>
      </c>
      <c r="CN815" s="167">
        <v>0</v>
      </c>
      <c r="CO815" s="167">
        <v>0</v>
      </c>
      <c r="CP815" s="167">
        <v>0</v>
      </c>
      <c r="CQ815" s="167">
        <v>0</v>
      </c>
      <c r="CR815" s="167">
        <v>0</v>
      </c>
      <c r="CS815" s="167">
        <v>0</v>
      </c>
      <c r="CT815" s="167">
        <v>0</v>
      </c>
      <c r="CU815" s="167">
        <v>0</v>
      </c>
      <c r="CV815" s="167">
        <v>0</v>
      </c>
      <c r="CW815" s="167">
        <v>0</v>
      </c>
      <c r="CX815" s="167">
        <f>SUM(CD815:CH815)</f>
        <v>2</v>
      </c>
      <c r="CY815" s="167">
        <f>SUM(CD815:CM815)</f>
        <v>2</v>
      </c>
    </row>
    <row r="816" spans="1:103" ht="12.75" customHeight="1" x14ac:dyDescent="0.2">
      <c r="A816" s="81">
        <v>4936</v>
      </c>
      <c r="B816" s="165" t="s">
        <v>1930</v>
      </c>
      <c r="C816" s="165" t="s">
        <v>1301</v>
      </c>
      <c r="D816" s="165" t="s">
        <v>876</v>
      </c>
      <c r="E816" s="165" t="s">
        <v>2539</v>
      </c>
      <c r="G816" s="81">
        <v>526431</v>
      </c>
      <c r="H816" s="81">
        <v>175730</v>
      </c>
      <c r="I816" s="165" t="s">
        <v>257</v>
      </c>
      <c r="L816" s="166">
        <v>0</v>
      </c>
      <c r="M816" s="166">
        <v>4</v>
      </c>
      <c r="N816" s="166">
        <v>4</v>
      </c>
      <c r="O816" s="166">
        <v>4</v>
      </c>
      <c r="P816" s="166">
        <v>4</v>
      </c>
      <c r="R816" s="165" t="s">
        <v>1302</v>
      </c>
      <c r="S816" s="81" t="s">
        <v>270</v>
      </c>
      <c r="T816" s="349">
        <v>42536</v>
      </c>
      <c r="U816" s="349">
        <v>42592</v>
      </c>
      <c r="W816" s="81" t="s">
        <v>114</v>
      </c>
      <c r="Y816" s="81" t="s">
        <v>115</v>
      </c>
      <c r="Z816" s="81" t="s">
        <v>310</v>
      </c>
      <c r="AA816" s="81" t="s">
        <v>117</v>
      </c>
      <c r="AB816" s="81" t="s">
        <v>399</v>
      </c>
      <c r="AC816" s="166">
        <v>8.9999996125698107E-3</v>
      </c>
      <c r="AG816" s="81" t="s">
        <v>238</v>
      </c>
      <c r="AH816" s="81" t="s">
        <v>118</v>
      </c>
      <c r="AI816" s="81" t="s">
        <v>1939</v>
      </c>
      <c r="AK816" s="166">
        <v>0</v>
      </c>
      <c r="AM816" s="166">
        <v>0</v>
      </c>
      <c r="AO816" s="166">
        <v>0</v>
      </c>
      <c r="AP816" s="166">
        <v>0</v>
      </c>
      <c r="AQ816" s="166">
        <v>4</v>
      </c>
      <c r="AR816" s="166">
        <v>0</v>
      </c>
      <c r="AS816" s="166">
        <v>0</v>
      </c>
      <c r="AT816" s="166">
        <v>0</v>
      </c>
      <c r="AU816" s="166">
        <v>0</v>
      </c>
      <c r="AV816" s="166">
        <v>0</v>
      </c>
      <c r="AW816" s="166">
        <v>0</v>
      </c>
      <c r="AX816" s="166">
        <v>4</v>
      </c>
      <c r="AY816" s="166">
        <v>0</v>
      </c>
      <c r="AZ816" s="166">
        <v>0</v>
      </c>
      <c r="BA816" s="166">
        <v>0</v>
      </c>
      <c r="BB816" s="166">
        <v>0</v>
      </c>
      <c r="BC816" s="166">
        <v>0</v>
      </c>
      <c r="BD816" s="166">
        <v>0</v>
      </c>
      <c r="BE816" s="166">
        <v>0</v>
      </c>
      <c r="BF816" s="166">
        <v>0</v>
      </c>
      <c r="BG816" s="166">
        <v>0</v>
      </c>
      <c r="BH816" s="166">
        <v>0</v>
      </c>
      <c r="BI816" s="166">
        <v>0</v>
      </c>
      <c r="BJ816" s="166">
        <v>0</v>
      </c>
      <c r="BK816" s="166">
        <v>0</v>
      </c>
      <c r="BL816" s="166">
        <v>0</v>
      </c>
      <c r="BM816" s="166">
        <v>0</v>
      </c>
      <c r="BN816" s="166">
        <v>0</v>
      </c>
      <c r="BO816" s="166">
        <v>0</v>
      </c>
      <c r="BP816" s="166">
        <v>0</v>
      </c>
      <c r="BQ816" s="81" t="s">
        <v>1757</v>
      </c>
      <c r="BX816" s="81" t="s">
        <v>155</v>
      </c>
      <c r="BZ816" s="81" t="s">
        <v>155</v>
      </c>
      <c r="CA816" s="81" t="s">
        <v>3972</v>
      </c>
      <c r="CC816" s="167">
        <v>0</v>
      </c>
      <c r="CD816" s="167">
        <f>$N816/4</f>
        <v>1</v>
      </c>
      <c r="CE816" s="167">
        <f>$N816/4</f>
        <v>1</v>
      </c>
      <c r="CF816" s="167">
        <f>$N816/4</f>
        <v>1</v>
      </c>
      <c r="CG816" s="167">
        <f>$N816/4</f>
        <v>1</v>
      </c>
      <c r="CH816" s="167">
        <v>0</v>
      </c>
      <c r="CI816" s="167">
        <v>0</v>
      </c>
      <c r="CJ816" s="167">
        <v>0</v>
      </c>
      <c r="CK816" s="167">
        <v>0</v>
      </c>
      <c r="CL816" s="167">
        <v>0</v>
      </c>
      <c r="CM816" s="167">
        <v>0</v>
      </c>
      <c r="CN816" s="167">
        <v>0</v>
      </c>
      <c r="CO816" s="167">
        <v>0</v>
      </c>
      <c r="CP816" s="167">
        <v>0</v>
      </c>
      <c r="CQ816" s="167">
        <v>0</v>
      </c>
      <c r="CR816" s="167">
        <v>0</v>
      </c>
      <c r="CS816" s="167">
        <v>0</v>
      </c>
      <c r="CT816" s="167">
        <v>0</v>
      </c>
      <c r="CU816" s="167">
        <v>0</v>
      </c>
      <c r="CV816" s="167">
        <v>0</v>
      </c>
      <c r="CW816" s="167">
        <v>0</v>
      </c>
      <c r="CX816" s="167">
        <f>SUM(CD816:CH816)</f>
        <v>4</v>
      </c>
      <c r="CY816" s="167">
        <f>SUM(CD816:CM816)</f>
        <v>4</v>
      </c>
    </row>
    <row r="817" spans="1:103" ht="12.75" customHeight="1" x14ac:dyDescent="0.2">
      <c r="A817" s="81">
        <v>4936</v>
      </c>
      <c r="B817" s="165" t="s">
        <v>1930</v>
      </c>
      <c r="C817" s="165" t="s">
        <v>1339</v>
      </c>
      <c r="D817" s="165" t="s">
        <v>876</v>
      </c>
      <c r="E817" s="165" t="s">
        <v>2539</v>
      </c>
      <c r="G817" s="81">
        <v>526431</v>
      </c>
      <c r="H817" s="81">
        <v>175730</v>
      </c>
      <c r="I817" s="165" t="s">
        <v>257</v>
      </c>
      <c r="L817" s="166">
        <v>0</v>
      </c>
      <c r="M817" s="166">
        <v>2</v>
      </c>
      <c r="N817" s="166">
        <v>2</v>
      </c>
      <c r="O817" s="166">
        <v>2</v>
      </c>
      <c r="P817" s="166">
        <v>2</v>
      </c>
      <c r="R817" s="165" t="s">
        <v>1340</v>
      </c>
      <c r="S817" s="81" t="s">
        <v>270</v>
      </c>
      <c r="T817" s="349">
        <v>42551</v>
      </c>
      <c r="U817" s="349">
        <v>42607</v>
      </c>
      <c r="W817" s="81" t="s">
        <v>114</v>
      </c>
      <c r="Y817" s="81" t="s">
        <v>115</v>
      </c>
      <c r="Z817" s="81" t="s">
        <v>310</v>
      </c>
      <c r="AA817" s="81" t="s">
        <v>117</v>
      </c>
      <c r="AB817" s="81" t="s">
        <v>399</v>
      </c>
      <c r="AC817" s="166">
        <v>6.0000000521540598E-3</v>
      </c>
      <c r="AG817" s="81" t="s">
        <v>238</v>
      </c>
      <c r="AH817" s="81" t="s">
        <v>118</v>
      </c>
      <c r="AI817" s="81" t="s">
        <v>1939</v>
      </c>
      <c r="AK817" s="166">
        <v>0</v>
      </c>
      <c r="AM817" s="166">
        <v>0</v>
      </c>
      <c r="AO817" s="166">
        <v>0</v>
      </c>
      <c r="AP817" s="166">
        <v>0</v>
      </c>
      <c r="AQ817" s="166">
        <v>2</v>
      </c>
      <c r="AR817" s="166">
        <v>0</v>
      </c>
      <c r="AS817" s="166">
        <v>0</v>
      </c>
      <c r="AT817" s="166">
        <v>0</v>
      </c>
      <c r="AU817" s="166">
        <v>0</v>
      </c>
      <c r="AV817" s="166">
        <v>0</v>
      </c>
      <c r="AW817" s="166">
        <v>0</v>
      </c>
      <c r="AX817" s="166">
        <v>2</v>
      </c>
      <c r="AY817" s="166">
        <v>0</v>
      </c>
      <c r="AZ817" s="166">
        <v>0</v>
      </c>
      <c r="BA817" s="166">
        <v>0</v>
      </c>
      <c r="BB817" s="166">
        <v>0</v>
      </c>
      <c r="BC817" s="166">
        <v>0</v>
      </c>
      <c r="BD817" s="166">
        <v>0</v>
      </c>
      <c r="BE817" s="166">
        <v>0</v>
      </c>
      <c r="BF817" s="166">
        <v>0</v>
      </c>
      <c r="BG817" s="166">
        <v>0</v>
      </c>
      <c r="BH817" s="166">
        <v>0</v>
      </c>
      <c r="BI817" s="166">
        <v>0</v>
      </c>
      <c r="BJ817" s="166">
        <v>0</v>
      </c>
      <c r="BK817" s="166">
        <v>0</v>
      </c>
      <c r="BL817" s="166">
        <v>0</v>
      </c>
      <c r="BM817" s="166">
        <v>0</v>
      </c>
      <c r="BN817" s="166">
        <v>0</v>
      </c>
      <c r="BO817" s="166">
        <v>0</v>
      </c>
      <c r="BP817" s="166">
        <v>0</v>
      </c>
      <c r="BQ817" s="81" t="s">
        <v>1757</v>
      </c>
      <c r="BX817" s="81" t="s">
        <v>155</v>
      </c>
      <c r="BZ817" s="81" t="s">
        <v>155</v>
      </c>
      <c r="CA817" s="81" t="s">
        <v>3972</v>
      </c>
      <c r="CC817" s="167">
        <v>0</v>
      </c>
      <c r="CD817" s="167">
        <f>$N817/4</f>
        <v>0.5</v>
      </c>
      <c r="CE817" s="167">
        <f>$N817/4</f>
        <v>0.5</v>
      </c>
      <c r="CF817" s="167">
        <f>$N817/4</f>
        <v>0.5</v>
      </c>
      <c r="CG817" s="167">
        <f>$N817/4</f>
        <v>0.5</v>
      </c>
      <c r="CH817" s="167">
        <v>0</v>
      </c>
      <c r="CI817" s="167">
        <v>0</v>
      </c>
      <c r="CJ817" s="167">
        <v>0</v>
      </c>
      <c r="CK817" s="167">
        <v>0</v>
      </c>
      <c r="CL817" s="167">
        <v>0</v>
      </c>
      <c r="CM817" s="167">
        <v>0</v>
      </c>
      <c r="CN817" s="167">
        <v>0</v>
      </c>
      <c r="CO817" s="167">
        <v>0</v>
      </c>
      <c r="CP817" s="167">
        <v>0</v>
      </c>
      <c r="CQ817" s="167">
        <v>0</v>
      </c>
      <c r="CR817" s="167">
        <v>0</v>
      </c>
      <c r="CS817" s="167">
        <v>0</v>
      </c>
      <c r="CT817" s="167">
        <v>0</v>
      </c>
      <c r="CU817" s="167">
        <v>0</v>
      </c>
      <c r="CV817" s="167">
        <v>0</v>
      </c>
      <c r="CW817" s="167">
        <v>0</v>
      </c>
      <c r="CX817" s="167">
        <f>SUM(CD817:CH817)</f>
        <v>2</v>
      </c>
      <c r="CY817" s="167">
        <f>SUM(CD817:CM817)</f>
        <v>2</v>
      </c>
    </row>
    <row r="818" spans="1:103" ht="12.75" customHeight="1" x14ac:dyDescent="0.2">
      <c r="A818" s="81">
        <v>4944</v>
      </c>
      <c r="B818" s="165" t="s">
        <v>1930</v>
      </c>
      <c r="C818" s="165" t="s">
        <v>601</v>
      </c>
      <c r="E818" s="165" t="s">
        <v>2540</v>
      </c>
      <c r="G818" s="81">
        <v>528817</v>
      </c>
      <c r="H818" s="81">
        <v>173818</v>
      </c>
      <c r="I818" s="165" t="s">
        <v>247</v>
      </c>
      <c r="L818" s="166">
        <v>1</v>
      </c>
      <c r="M818" s="166">
        <v>1</v>
      </c>
      <c r="N818" s="166">
        <v>0</v>
      </c>
      <c r="O818" s="166">
        <v>1</v>
      </c>
      <c r="P818" s="166">
        <v>0</v>
      </c>
      <c r="R818" s="165" t="s">
        <v>602</v>
      </c>
      <c r="S818" s="81" t="s">
        <v>113</v>
      </c>
      <c r="T818" s="349">
        <v>42184</v>
      </c>
      <c r="U818" s="349">
        <v>42240</v>
      </c>
      <c r="W818" s="81" t="s">
        <v>114</v>
      </c>
      <c r="Y818" s="81" t="s">
        <v>115</v>
      </c>
      <c r="Z818" s="81" t="s">
        <v>310</v>
      </c>
      <c r="AA818" s="81" t="s">
        <v>117</v>
      </c>
      <c r="AB818" s="81" t="s">
        <v>102</v>
      </c>
      <c r="AC818" s="166">
        <v>4.0000001899898104E-3</v>
      </c>
      <c r="AG818" s="81" t="s">
        <v>238</v>
      </c>
      <c r="AH818" s="81" t="s">
        <v>118</v>
      </c>
      <c r="AK818" s="166">
        <v>0</v>
      </c>
      <c r="AM818" s="166">
        <v>0</v>
      </c>
      <c r="AO818" s="166">
        <v>0</v>
      </c>
      <c r="AP818" s="166">
        <v>-1</v>
      </c>
      <c r="AQ818" s="166">
        <v>1</v>
      </c>
      <c r="AR818" s="166">
        <v>0</v>
      </c>
      <c r="AS818" s="166">
        <v>0</v>
      </c>
      <c r="AT818" s="166">
        <v>0</v>
      </c>
      <c r="AU818" s="166">
        <v>0</v>
      </c>
      <c r="AV818" s="166">
        <v>0</v>
      </c>
      <c r="AW818" s="166">
        <v>-1</v>
      </c>
      <c r="AX818" s="166">
        <v>0</v>
      </c>
      <c r="AY818" s="166">
        <v>0</v>
      </c>
      <c r="AZ818" s="166">
        <v>0</v>
      </c>
      <c r="BA818" s="166">
        <v>0</v>
      </c>
      <c r="BB818" s="166">
        <v>0</v>
      </c>
      <c r="BC818" s="166">
        <v>0</v>
      </c>
      <c r="BD818" s="166">
        <v>0</v>
      </c>
      <c r="BE818" s="166">
        <v>1</v>
      </c>
      <c r="BF818" s="166">
        <v>0</v>
      </c>
      <c r="BG818" s="166">
        <v>0</v>
      </c>
      <c r="BH818" s="166">
        <v>0</v>
      </c>
      <c r="BI818" s="166">
        <v>0</v>
      </c>
      <c r="BJ818" s="166">
        <v>0</v>
      </c>
      <c r="BK818" s="166">
        <v>0</v>
      </c>
      <c r="BL818" s="166">
        <v>0</v>
      </c>
      <c r="BM818" s="166">
        <v>0</v>
      </c>
      <c r="BN818" s="166">
        <v>0</v>
      </c>
      <c r="BO818" s="166">
        <v>0</v>
      </c>
      <c r="BP818" s="166">
        <v>0</v>
      </c>
      <c r="BQ818" s="81" t="s">
        <v>1757</v>
      </c>
      <c r="BZ818" s="81" t="s">
        <v>155</v>
      </c>
      <c r="CA818" s="81" t="s">
        <v>1937</v>
      </c>
      <c r="CC818" s="167">
        <v>0</v>
      </c>
      <c r="CD818" s="167">
        <f>$N818/4</f>
        <v>0</v>
      </c>
      <c r="CE818" s="167">
        <f>$N818/4</f>
        <v>0</v>
      </c>
      <c r="CF818" s="167">
        <f>$N818/4</f>
        <v>0</v>
      </c>
      <c r="CG818" s="167">
        <f>$N818/4</f>
        <v>0</v>
      </c>
      <c r="CH818" s="167">
        <v>0</v>
      </c>
      <c r="CI818" s="167">
        <v>0</v>
      </c>
      <c r="CJ818" s="167">
        <v>0</v>
      </c>
      <c r="CK818" s="167">
        <v>0</v>
      </c>
      <c r="CL818" s="167">
        <v>0</v>
      </c>
      <c r="CM818" s="167">
        <v>0</v>
      </c>
      <c r="CN818" s="167">
        <v>0</v>
      </c>
      <c r="CO818" s="167">
        <v>0</v>
      </c>
      <c r="CP818" s="167">
        <v>0</v>
      </c>
      <c r="CQ818" s="167">
        <v>0</v>
      </c>
      <c r="CR818" s="167">
        <v>0</v>
      </c>
      <c r="CS818" s="167">
        <v>0</v>
      </c>
      <c r="CT818" s="167">
        <v>0</v>
      </c>
      <c r="CU818" s="167">
        <v>0</v>
      </c>
      <c r="CV818" s="167">
        <v>0</v>
      </c>
      <c r="CW818" s="167">
        <v>0</v>
      </c>
      <c r="CX818" s="167">
        <f>SUM(CD818:CH818)</f>
        <v>0</v>
      </c>
      <c r="CY818" s="167">
        <f>SUM(CD818:CM818)</f>
        <v>0</v>
      </c>
    </row>
    <row r="819" spans="1:103" ht="12.75" customHeight="1" x14ac:dyDescent="0.2">
      <c r="A819" s="81">
        <v>4945</v>
      </c>
      <c r="B819" s="165" t="s">
        <v>1930</v>
      </c>
      <c r="C819" s="165" t="s">
        <v>629</v>
      </c>
      <c r="E819" s="165" t="s">
        <v>2541</v>
      </c>
      <c r="G819" s="81">
        <v>528361</v>
      </c>
      <c r="H819" s="81">
        <v>172945</v>
      </c>
      <c r="I819" s="165" t="s">
        <v>248</v>
      </c>
      <c r="L819" s="166">
        <v>0</v>
      </c>
      <c r="M819" s="166">
        <v>2</v>
      </c>
      <c r="N819" s="166">
        <v>2</v>
      </c>
      <c r="O819" s="166">
        <v>2</v>
      </c>
      <c r="P819" s="166">
        <v>2</v>
      </c>
      <c r="R819" s="165" t="s">
        <v>630</v>
      </c>
      <c r="S819" s="81" t="s">
        <v>110</v>
      </c>
      <c r="T819" s="349">
        <v>42221</v>
      </c>
      <c r="U819" s="349">
        <v>42277</v>
      </c>
      <c r="W819" s="81" t="s">
        <v>114</v>
      </c>
      <c r="Y819" s="81" t="s">
        <v>115</v>
      </c>
      <c r="Z819" s="81" t="s">
        <v>310</v>
      </c>
      <c r="AA819" s="81" t="s">
        <v>117</v>
      </c>
      <c r="AB819" s="81" t="s">
        <v>102</v>
      </c>
      <c r="AC819" s="166">
        <v>8.0000003799796104E-3</v>
      </c>
      <c r="AG819" s="81" t="s">
        <v>238</v>
      </c>
      <c r="AH819" s="81" t="s">
        <v>118</v>
      </c>
      <c r="AK819" s="166">
        <v>0</v>
      </c>
      <c r="AM819" s="166">
        <v>0</v>
      </c>
      <c r="AO819" s="166">
        <v>2</v>
      </c>
      <c r="AP819" s="166">
        <v>0</v>
      </c>
      <c r="AQ819" s="166">
        <v>0</v>
      </c>
      <c r="AR819" s="166">
        <v>0</v>
      </c>
      <c r="AS819" s="166">
        <v>0</v>
      </c>
      <c r="AT819" s="166">
        <v>0</v>
      </c>
      <c r="AU819" s="166">
        <v>0</v>
      </c>
      <c r="AV819" s="166">
        <v>2</v>
      </c>
      <c r="AW819" s="166">
        <v>0</v>
      </c>
      <c r="AX819" s="166">
        <v>0</v>
      </c>
      <c r="AY819" s="166">
        <v>0</v>
      </c>
      <c r="AZ819" s="166">
        <v>0</v>
      </c>
      <c r="BA819" s="166">
        <v>0</v>
      </c>
      <c r="BB819" s="166">
        <v>0</v>
      </c>
      <c r="BC819" s="166">
        <v>0</v>
      </c>
      <c r="BD819" s="166">
        <v>0</v>
      </c>
      <c r="BE819" s="166">
        <v>0</v>
      </c>
      <c r="BF819" s="166">
        <v>0</v>
      </c>
      <c r="BG819" s="166">
        <v>0</v>
      </c>
      <c r="BH819" s="166">
        <v>0</v>
      </c>
      <c r="BI819" s="166">
        <v>0</v>
      </c>
      <c r="BJ819" s="166">
        <v>0</v>
      </c>
      <c r="BK819" s="166">
        <v>0</v>
      </c>
      <c r="BL819" s="166">
        <v>0</v>
      </c>
      <c r="BM819" s="166">
        <v>0</v>
      </c>
      <c r="BN819" s="166">
        <v>0</v>
      </c>
      <c r="BO819" s="166">
        <v>0</v>
      </c>
      <c r="BP819" s="166">
        <v>0</v>
      </c>
      <c r="BQ819" s="81" t="s">
        <v>1757</v>
      </c>
      <c r="BZ819" s="81" t="s">
        <v>155</v>
      </c>
      <c r="CA819" s="81" t="s">
        <v>1937</v>
      </c>
      <c r="CC819" s="167">
        <v>0</v>
      </c>
      <c r="CD819" s="167">
        <f>$N819/4</f>
        <v>0.5</v>
      </c>
      <c r="CE819" s="167">
        <f>$N819/4</f>
        <v>0.5</v>
      </c>
      <c r="CF819" s="167">
        <f>$N819/4</f>
        <v>0.5</v>
      </c>
      <c r="CG819" s="167">
        <f>$N819/4</f>
        <v>0.5</v>
      </c>
      <c r="CH819" s="167">
        <v>0</v>
      </c>
      <c r="CI819" s="167">
        <v>0</v>
      </c>
      <c r="CJ819" s="167">
        <v>0</v>
      </c>
      <c r="CK819" s="167">
        <v>0</v>
      </c>
      <c r="CL819" s="167">
        <v>0</v>
      </c>
      <c r="CM819" s="167">
        <v>0</v>
      </c>
      <c r="CN819" s="167">
        <v>0</v>
      </c>
      <c r="CO819" s="167">
        <v>0</v>
      </c>
      <c r="CP819" s="167">
        <v>0</v>
      </c>
      <c r="CQ819" s="167">
        <v>0</v>
      </c>
      <c r="CR819" s="167">
        <v>0</v>
      </c>
      <c r="CS819" s="167">
        <v>0</v>
      </c>
      <c r="CT819" s="167">
        <v>0</v>
      </c>
      <c r="CU819" s="167">
        <v>0</v>
      </c>
      <c r="CV819" s="167">
        <v>0</v>
      </c>
      <c r="CW819" s="167">
        <v>0</v>
      </c>
      <c r="CX819" s="167">
        <f>SUM(CD819:CH819)</f>
        <v>2</v>
      </c>
      <c r="CY819" s="167">
        <f>SUM(CD819:CM819)</f>
        <v>2</v>
      </c>
    </row>
    <row r="820" spans="1:103" ht="12.75" customHeight="1" x14ac:dyDescent="0.2">
      <c r="A820" s="81">
        <v>4953</v>
      </c>
      <c r="B820" s="165" t="s">
        <v>1930</v>
      </c>
      <c r="C820" s="165" t="s">
        <v>427</v>
      </c>
      <c r="E820" s="165" t="s">
        <v>2542</v>
      </c>
      <c r="G820" s="81">
        <v>528420</v>
      </c>
      <c r="H820" s="81">
        <v>175774</v>
      </c>
      <c r="I820" s="165" t="s">
        <v>256</v>
      </c>
      <c r="L820" s="166">
        <v>1</v>
      </c>
      <c r="M820" s="166">
        <v>2</v>
      </c>
      <c r="N820" s="166">
        <v>1</v>
      </c>
      <c r="O820" s="166">
        <v>2</v>
      </c>
      <c r="P820" s="166">
        <v>1</v>
      </c>
      <c r="R820" s="165" t="s">
        <v>428</v>
      </c>
      <c r="S820" s="81" t="s">
        <v>113</v>
      </c>
      <c r="T820" s="349">
        <v>42076</v>
      </c>
      <c r="U820" s="349">
        <v>42132</v>
      </c>
      <c r="W820" s="81" t="s">
        <v>114</v>
      </c>
      <c r="Y820" s="81" t="s">
        <v>115</v>
      </c>
      <c r="Z820" s="81" t="s">
        <v>119</v>
      </c>
      <c r="AA820" s="81" t="s">
        <v>117</v>
      </c>
      <c r="AB820" s="81" t="s">
        <v>220</v>
      </c>
      <c r="AC820" s="166">
        <v>1.2000000104308101E-2</v>
      </c>
      <c r="AG820" s="81" t="s">
        <v>238</v>
      </c>
      <c r="AH820" s="81" t="s">
        <v>118</v>
      </c>
      <c r="AK820" s="166">
        <v>0</v>
      </c>
      <c r="AM820" s="166">
        <v>0</v>
      </c>
      <c r="AO820" s="166">
        <v>0</v>
      </c>
      <c r="AP820" s="166">
        <v>2</v>
      </c>
      <c r="AQ820" s="166">
        <v>-1</v>
      </c>
      <c r="AR820" s="166">
        <v>0</v>
      </c>
      <c r="AS820" s="166">
        <v>0</v>
      </c>
      <c r="AT820" s="166">
        <v>0</v>
      </c>
      <c r="AU820" s="166">
        <v>0</v>
      </c>
      <c r="AV820" s="166">
        <v>0</v>
      </c>
      <c r="AW820" s="166">
        <v>2</v>
      </c>
      <c r="AX820" s="166">
        <v>-1</v>
      </c>
      <c r="AY820" s="166">
        <v>0</v>
      </c>
      <c r="AZ820" s="166">
        <v>0</v>
      </c>
      <c r="BA820" s="166">
        <v>0</v>
      </c>
      <c r="BB820" s="166">
        <v>0</v>
      </c>
      <c r="BC820" s="166">
        <v>0</v>
      </c>
      <c r="BD820" s="166">
        <v>0</v>
      </c>
      <c r="BE820" s="166">
        <v>0</v>
      </c>
      <c r="BF820" s="166">
        <v>0</v>
      </c>
      <c r="BG820" s="166">
        <v>0</v>
      </c>
      <c r="BH820" s="166">
        <v>0</v>
      </c>
      <c r="BI820" s="166">
        <v>0</v>
      </c>
      <c r="BJ820" s="166">
        <v>0</v>
      </c>
      <c r="BK820" s="166">
        <v>0</v>
      </c>
      <c r="BL820" s="166">
        <v>0</v>
      </c>
      <c r="BM820" s="166">
        <v>0</v>
      </c>
      <c r="BN820" s="166">
        <v>0</v>
      </c>
      <c r="BO820" s="166">
        <v>0</v>
      </c>
      <c r="BP820" s="166">
        <v>0</v>
      </c>
      <c r="BQ820" s="81" t="s">
        <v>1757</v>
      </c>
      <c r="BZ820" s="81" t="s">
        <v>155</v>
      </c>
      <c r="CA820" s="81" t="s">
        <v>1937</v>
      </c>
      <c r="CC820" s="167">
        <v>0</v>
      </c>
      <c r="CD820" s="167">
        <f>$N820/4</f>
        <v>0.25</v>
      </c>
      <c r="CE820" s="167">
        <f>$N820/4</f>
        <v>0.25</v>
      </c>
      <c r="CF820" s="167">
        <f>$N820/4</f>
        <v>0.25</v>
      </c>
      <c r="CG820" s="167">
        <f>$N820/4</f>
        <v>0.25</v>
      </c>
      <c r="CH820" s="167">
        <v>0</v>
      </c>
      <c r="CI820" s="167">
        <v>0</v>
      </c>
      <c r="CJ820" s="167">
        <v>0</v>
      </c>
      <c r="CK820" s="167">
        <v>0</v>
      </c>
      <c r="CL820" s="167">
        <v>0</v>
      </c>
      <c r="CM820" s="167">
        <v>0</v>
      </c>
      <c r="CN820" s="167">
        <v>0</v>
      </c>
      <c r="CO820" s="167">
        <v>0</v>
      </c>
      <c r="CP820" s="167">
        <v>0</v>
      </c>
      <c r="CQ820" s="167">
        <v>0</v>
      </c>
      <c r="CR820" s="167">
        <v>0</v>
      </c>
      <c r="CS820" s="167">
        <v>0</v>
      </c>
      <c r="CT820" s="167">
        <v>0</v>
      </c>
      <c r="CU820" s="167">
        <v>0</v>
      </c>
      <c r="CV820" s="167">
        <v>0</v>
      </c>
      <c r="CW820" s="167">
        <v>0</v>
      </c>
      <c r="CX820" s="167">
        <f>SUM(CD820:CH820)</f>
        <v>1</v>
      </c>
      <c r="CY820" s="167">
        <f>SUM(CD820:CM820)</f>
        <v>1</v>
      </c>
    </row>
    <row r="821" spans="1:103" ht="12.75" customHeight="1" x14ac:dyDescent="0.2">
      <c r="A821" s="81">
        <v>4953</v>
      </c>
      <c r="B821" s="165" t="s">
        <v>1930</v>
      </c>
      <c r="C821" s="165" t="s">
        <v>1362</v>
      </c>
      <c r="E821" s="165" t="s">
        <v>2542</v>
      </c>
      <c r="G821" s="81">
        <v>528420</v>
      </c>
      <c r="H821" s="81">
        <v>175774</v>
      </c>
      <c r="I821" s="165" t="s">
        <v>256</v>
      </c>
      <c r="L821" s="166">
        <v>0</v>
      </c>
      <c r="M821" s="166">
        <v>1</v>
      </c>
      <c r="N821" s="166">
        <v>1</v>
      </c>
      <c r="O821" s="166">
        <v>1</v>
      </c>
      <c r="P821" s="166">
        <v>1</v>
      </c>
      <c r="R821" s="165" t="s">
        <v>1363</v>
      </c>
      <c r="S821" s="81" t="s">
        <v>113</v>
      </c>
      <c r="T821" s="349">
        <v>42613</v>
      </c>
      <c r="U821" s="349">
        <v>42669</v>
      </c>
      <c r="W821" s="81" t="s">
        <v>114</v>
      </c>
      <c r="Y821" s="81" t="s">
        <v>115</v>
      </c>
      <c r="Z821" s="81" t="s">
        <v>398</v>
      </c>
      <c r="AA821" s="81" t="s">
        <v>117</v>
      </c>
      <c r="AB821" s="81" t="s">
        <v>311</v>
      </c>
      <c r="AC821" s="166">
        <v>9.9999997764825804E-3</v>
      </c>
      <c r="AG821" s="81" t="s">
        <v>238</v>
      </c>
      <c r="AH821" s="81" t="s">
        <v>118</v>
      </c>
      <c r="AK821" s="166">
        <v>0</v>
      </c>
      <c r="AM821" s="166">
        <v>0</v>
      </c>
      <c r="AO821" s="166">
        <v>0</v>
      </c>
      <c r="AP821" s="166">
        <v>0</v>
      </c>
      <c r="AQ821" s="166">
        <v>0</v>
      </c>
      <c r="AR821" s="166">
        <v>1</v>
      </c>
      <c r="AS821" s="166">
        <v>0</v>
      </c>
      <c r="AT821" s="166">
        <v>0</v>
      </c>
      <c r="AU821" s="166">
        <v>0</v>
      </c>
      <c r="AV821" s="166">
        <v>0</v>
      </c>
      <c r="AW821" s="166">
        <v>0</v>
      </c>
      <c r="AX821" s="166">
        <v>0</v>
      </c>
      <c r="AY821" s="166">
        <v>1</v>
      </c>
      <c r="AZ821" s="166">
        <v>0</v>
      </c>
      <c r="BA821" s="166">
        <v>0</v>
      </c>
      <c r="BB821" s="166">
        <v>0</v>
      </c>
      <c r="BC821" s="166">
        <v>0</v>
      </c>
      <c r="BD821" s="166">
        <v>0</v>
      </c>
      <c r="BE821" s="166">
        <v>0</v>
      </c>
      <c r="BF821" s="166">
        <v>0</v>
      </c>
      <c r="BG821" s="166">
        <v>0</v>
      </c>
      <c r="BH821" s="166">
        <v>0</v>
      </c>
      <c r="BI821" s="166">
        <v>0</v>
      </c>
      <c r="BJ821" s="166">
        <v>0</v>
      </c>
      <c r="BK821" s="166">
        <v>0</v>
      </c>
      <c r="BL821" s="166">
        <v>0</v>
      </c>
      <c r="BM821" s="166">
        <v>0</v>
      </c>
      <c r="BN821" s="166">
        <v>0</v>
      </c>
      <c r="BO821" s="166">
        <v>0</v>
      </c>
      <c r="BP821" s="166">
        <v>0</v>
      </c>
      <c r="BQ821" s="81" t="s">
        <v>1757</v>
      </c>
      <c r="BZ821" s="81" t="s">
        <v>155</v>
      </c>
      <c r="CA821" s="81" t="s">
        <v>1937</v>
      </c>
      <c r="CC821" s="167">
        <v>0</v>
      </c>
      <c r="CD821" s="167">
        <f>$N821/4</f>
        <v>0.25</v>
      </c>
      <c r="CE821" s="167">
        <f>$N821/4</f>
        <v>0.25</v>
      </c>
      <c r="CF821" s="167">
        <f>$N821/4</f>
        <v>0.25</v>
      </c>
      <c r="CG821" s="167">
        <f>$N821/4</f>
        <v>0.25</v>
      </c>
      <c r="CH821" s="167">
        <v>0</v>
      </c>
      <c r="CI821" s="167">
        <v>0</v>
      </c>
      <c r="CJ821" s="167">
        <v>0</v>
      </c>
      <c r="CK821" s="167">
        <v>0</v>
      </c>
      <c r="CL821" s="167">
        <v>0</v>
      </c>
      <c r="CM821" s="167">
        <v>0</v>
      </c>
      <c r="CN821" s="167">
        <v>0</v>
      </c>
      <c r="CO821" s="167">
        <v>0</v>
      </c>
      <c r="CP821" s="167">
        <v>0</v>
      </c>
      <c r="CQ821" s="167">
        <v>0</v>
      </c>
      <c r="CR821" s="167">
        <v>0</v>
      </c>
      <c r="CS821" s="167">
        <v>0</v>
      </c>
      <c r="CT821" s="167">
        <v>0</v>
      </c>
      <c r="CU821" s="167">
        <v>0</v>
      </c>
      <c r="CV821" s="167">
        <v>0</v>
      </c>
      <c r="CW821" s="167">
        <v>0</v>
      </c>
      <c r="CX821" s="167">
        <f>SUM(CD821:CH821)</f>
        <v>1</v>
      </c>
      <c r="CY821" s="167">
        <f>SUM(CD821:CM821)</f>
        <v>1</v>
      </c>
    </row>
    <row r="822" spans="1:103" ht="12.75" customHeight="1" x14ac:dyDescent="0.2">
      <c r="A822" s="81">
        <v>4968</v>
      </c>
      <c r="B822" s="165" t="s">
        <v>1930</v>
      </c>
      <c r="C822" s="165" t="s">
        <v>1521</v>
      </c>
      <c r="E822" s="165" t="s">
        <v>2543</v>
      </c>
      <c r="G822" s="81">
        <v>527773</v>
      </c>
      <c r="H822" s="81">
        <v>172716</v>
      </c>
      <c r="I822" s="165" t="s">
        <v>254</v>
      </c>
      <c r="L822" s="166">
        <v>1</v>
      </c>
      <c r="M822" s="166">
        <v>2</v>
      </c>
      <c r="N822" s="166">
        <v>1</v>
      </c>
      <c r="O822" s="166">
        <v>2</v>
      </c>
      <c r="P822" s="166">
        <v>1</v>
      </c>
      <c r="R822" s="165" t="s">
        <v>1522</v>
      </c>
      <c r="S822" s="81" t="s">
        <v>113</v>
      </c>
      <c r="T822" s="349">
        <v>42755</v>
      </c>
      <c r="U822" s="349">
        <v>42810</v>
      </c>
      <c r="W822" s="81" t="s">
        <v>114</v>
      </c>
      <c r="Y822" s="81" t="s">
        <v>115</v>
      </c>
      <c r="Z822" s="81" t="s">
        <v>119</v>
      </c>
      <c r="AA822" s="81" t="s">
        <v>117</v>
      </c>
      <c r="AB822" s="81" t="s">
        <v>120</v>
      </c>
      <c r="AC822" s="166">
        <v>1.7000000923872001E-2</v>
      </c>
      <c r="AG822" s="81" t="s">
        <v>238</v>
      </c>
      <c r="AH822" s="81" t="s">
        <v>118</v>
      </c>
      <c r="AK822" s="166">
        <v>0</v>
      </c>
      <c r="AM822" s="166">
        <v>0</v>
      </c>
      <c r="AO822" s="166">
        <v>0</v>
      </c>
      <c r="AP822" s="166">
        <v>0</v>
      </c>
      <c r="AQ822" s="166">
        <v>0</v>
      </c>
      <c r="AR822" s="166">
        <v>2</v>
      </c>
      <c r="AS822" s="166">
        <v>-1</v>
      </c>
      <c r="AT822" s="166">
        <v>0</v>
      </c>
      <c r="AU822" s="166">
        <v>0</v>
      </c>
      <c r="AV822" s="166">
        <v>0</v>
      </c>
      <c r="AW822" s="166">
        <v>0</v>
      </c>
      <c r="AX822" s="166">
        <v>0</v>
      </c>
      <c r="AY822" s="166">
        <v>2</v>
      </c>
      <c r="AZ822" s="166">
        <v>0</v>
      </c>
      <c r="BA822" s="166">
        <v>0</v>
      </c>
      <c r="BB822" s="166">
        <v>0</v>
      </c>
      <c r="BC822" s="166">
        <v>0</v>
      </c>
      <c r="BD822" s="166">
        <v>0</v>
      </c>
      <c r="BE822" s="166">
        <v>0</v>
      </c>
      <c r="BF822" s="166">
        <v>0</v>
      </c>
      <c r="BG822" s="166">
        <v>-1</v>
      </c>
      <c r="BH822" s="166">
        <v>0</v>
      </c>
      <c r="BI822" s="166">
        <v>0</v>
      </c>
      <c r="BJ822" s="166">
        <v>0</v>
      </c>
      <c r="BK822" s="166">
        <v>0</v>
      </c>
      <c r="BL822" s="166">
        <v>0</v>
      </c>
      <c r="BM822" s="166">
        <v>0</v>
      </c>
      <c r="BN822" s="166">
        <v>0</v>
      </c>
      <c r="BO822" s="166">
        <v>0</v>
      </c>
      <c r="BP822" s="166">
        <v>0</v>
      </c>
      <c r="BQ822" s="81" t="s">
        <v>1757</v>
      </c>
      <c r="BZ822" s="81" t="s">
        <v>155</v>
      </c>
      <c r="CA822" s="81" t="s">
        <v>1937</v>
      </c>
      <c r="CC822" s="167">
        <v>0</v>
      </c>
      <c r="CD822" s="167">
        <f>$N822/4</f>
        <v>0.25</v>
      </c>
      <c r="CE822" s="167">
        <f>$N822/4</f>
        <v>0.25</v>
      </c>
      <c r="CF822" s="167">
        <f>$N822/4</f>
        <v>0.25</v>
      </c>
      <c r="CG822" s="167">
        <f>$N822/4</f>
        <v>0.25</v>
      </c>
      <c r="CH822" s="167">
        <v>0</v>
      </c>
      <c r="CI822" s="167">
        <v>0</v>
      </c>
      <c r="CJ822" s="167">
        <v>0</v>
      </c>
      <c r="CK822" s="167">
        <v>0</v>
      </c>
      <c r="CL822" s="167">
        <v>0</v>
      </c>
      <c r="CM822" s="167">
        <v>0</v>
      </c>
      <c r="CN822" s="167">
        <v>0</v>
      </c>
      <c r="CO822" s="167">
        <v>0</v>
      </c>
      <c r="CP822" s="167">
        <v>0</v>
      </c>
      <c r="CQ822" s="167">
        <v>0</v>
      </c>
      <c r="CR822" s="167">
        <v>0</v>
      </c>
      <c r="CS822" s="167">
        <v>0</v>
      </c>
      <c r="CT822" s="167">
        <v>0</v>
      </c>
      <c r="CU822" s="167">
        <v>0</v>
      </c>
      <c r="CV822" s="167">
        <v>0</v>
      </c>
      <c r="CW822" s="167">
        <v>0</v>
      </c>
      <c r="CX822" s="167">
        <f>SUM(CD822:CH822)</f>
        <v>1</v>
      </c>
      <c r="CY822" s="167">
        <f>SUM(CD822:CM822)</f>
        <v>1</v>
      </c>
    </row>
    <row r="823" spans="1:103" ht="12.75" customHeight="1" x14ac:dyDescent="0.2">
      <c r="A823" s="81">
        <v>5029</v>
      </c>
      <c r="B823" s="165" t="s">
        <v>1930</v>
      </c>
      <c r="C823" s="165" t="s">
        <v>2544</v>
      </c>
      <c r="E823" s="165" t="s">
        <v>2545</v>
      </c>
      <c r="G823" s="81">
        <v>527404</v>
      </c>
      <c r="H823" s="81">
        <v>176366</v>
      </c>
      <c r="I823" s="165" t="s">
        <v>257</v>
      </c>
      <c r="L823" s="166">
        <v>0</v>
      </c>
      <c r="M823" s="166">
        <v>1</v>
      </c>
      <c r="N823" s="166">
        <v>1</v>
      </c>
      <c r="O823" s="166">
        <v>1</v>
      </c>
      <c r="P823" s="166">
        <v>1</v>
      </c>
      <c r="R823" s="165" t="s">
        <v>2546</v>
      </c>
      <c r="S823" s="81" t="s">
        <v>113</v>
      </c>
      <c r="T823" s="349">
        <v>42843</v>
      </c>
      <c r="U823" s="349">
        <v>42914</v>
      </c>
      <c r="V823" s="81" t="s">
        <v>155</v>
      </c>
      <c r="W823" s="81" t="s">
        <v>114</v>
      </c>
      <c r="Y823" s="81" t="s">
        <v>115</v>
      </c>
      <c r="Z823" s="81" t="s">
        <v>219</v>
      </c>
      <c r="AA823" s="81" t="s">
        <v>117</v>
      </c>
      <c r="AB823" s="81" t="s">
        <v>3889</v>
      </c>
      <c r="AC823" s="166">
        <v>7.0000002160668399E-3</v>
      </c>
      <c r="AG823" s="81" t="s">
        <v>238</v>
      </c>
      <c r="AH823" s="81" t="s">
        <v>118</v>
      </c>
      <c r="AK823" s="166">
        <v>0</v>
      </c>
      <c r="AM823" s="166">
        <v>0</v>
      </c>
      <c r="AO823" s="166">
        <v>0</v>
      </c>
      <c r="AP823" s="166">
        <v>0</v>
      </c>
      <c r="AQ823" s="166">
        <v>1</v>
      </c>
      <c r="AR823" s="166">
        <v>0</v>
      </c>
      <c r="AS823" s="166">
        <v>0</v>
      </c>
      <c r="AT823" s="166">
        <v>0</v>
      </c>
      <c r="AU823" s="166">
        <v>0</v>
      </c>
      <c r="AV823" s="166">
        <v>0</v>
      </c>
      <c r="AW823" s="166">
        <v>0</v>
      </c>
      <c r="AX823" s="166">
        <v>1</v>
      </c>
      <c r="AY823" s="166">
        <v>0</v>
      </c>
      <c r="AZ823" s="166">
        <v>0</v>
      </c>
      <c r="BA823" s="166">
        <v>0</v>
      </c>
      <c r="BB823" s="166">
        <v>0</v>
      </c>
      <c r="BC823" s="166">
        <v>0</v>
      </c>
      <c r="BD823" s="166">
        <v>0</v>
      </c>
      <c r="BE823" s="166">
        <v>0</v>
      </c>
      <c r="BF823" s="166">
        <v>0</v>
      </c>
      <c r="BG823" s="166">
        <v>0</v>
      </c>
      <c r="BH823" s="166">
        <v>0</v>
      </c>
      <c r="BI823" s="166">
        <v>0</v>
      </c>
      <c r="BJ823" s="166">
        <v>0</v>
      </c>
      <c r="BK823" s="166">
        <v>0</v>
      </c>
      <c r="BL823" s="166">
        <v>0</v>
      </c>
      <c r="BM823" s="166">
        <v>0</v>
      </c>
      <c r="BN823" s="166">
        <v>0</v>
      </c>
      <c r="BO823" s="166">
        <v>0</v>
      </c>
      <c r="BP823" s="166">
        <v>0</v>
      </c>
      <c r="BQ823" s="81" t="s">
        <v>1757</v>
      </c>
      <c r="BZ823" s="81" t="s">
        <v>155</v>
      </c>
      <c r="CA823" s="81" t="s">
        <v>1937</v>
      </c>
      <c r="CC823" s="167">
        <v>0</v>
      </c>
      <c r="CD823" s="167">
        <f>$N823/4</f>
        <v>0.25</v>
      </c>
      <c r="CE823" s="167">
        <f>$N823/4</f>
        <v>0.25</v>
      </c>
      <c r="CF823" s="167">
        <f>$N823/4</f>
        <v>0.25</v>
      </c>
      <c r="CG823" s="167">
        <f>$N823/4</f>
        <v>0.25</v>
      </c>
      <c r="CH823" s="167">
        <v>0</v>
      </c>
      <c r="CI823" s="167">
        <v>0</v>
      </c>
      <c r="CJ823" s="167">
        <v>0</v>
      </c>
      <c r="CK823" s="167">
        <v>0</v>
      </c>
      <c r="CL823" s="167">
        <v>0</v>
      </c>
      <c r="CM823" s="167">
        <v>0</v>
      </c>
      <c r="CN823" s="167">
        <v>0</v>
      </c>
      <c r="CO823" s="167">
        <v>0</v>
      </c>
      <c r="CP823" s="167">
        <v>0</v>
      </c>
      <c r="CQ823" s="167">
        <v>0</v>
      </c>
      <c r="CR823" s="167">
        <v>0</v>
      </c>
      <c r="CS823" s="167">
        <v>0</v>
      </c>
      <c r="CT823" s="167">
        <v>0</v>
      </c>
      <c r="CU823" s="167">
        <v>0</v>
      </c>
      <c r="CV823" s="167">
        <v>0</v>
      </c>
      <c r="CW823" s="167">
        <v>0</v>
      </c>
      <c r="CX823" s="167">
        <f>SUM(CD823:CH823)</f>
        <v>1</v>
      </c>
      <c r="CY823" s="167">
        <f>SUM(CD823:CM823)</f>
        <v>1</v>
      </c>
    </row>
    <row r="824" spans="1:103" ht="12.75" customHeight="1" x14ac:dyDescent="0.2">
      <c r="A824" s="81">
        <v>5096</v>
      </c>
      <c r="B824" s="165" t="s">
        <v>1930</v>
      </c>
      <c r="C824" s="165" t="s">
        <v>647</v>
      </c>
      <c r="E824" s="165" t="s">
        <v>2547</v>
      </c>
      <c r="G824" s="81">
        <v>526041</v>
      </c>
      <c r="H824" s="81">
        <v>175095</v>
      </c>
      <c r="I824" s="165" t="s">
        <v>251</v>
      </c>
      <c r="L824" s="166">
        <v>0</v>
      </c>
      <c r="M824" s="166">
        <v>2</v>
      </c>
      <c r="N824" s="166">
        <v>2</v>
      </c>
      <c r="O824" s="166">
        <v>2</v>
      </c>
      <c r="P824" s="166">
        <v>2</v>
      </c>
      <c r="R824" s="165" t="s">
        <v>648</v>
      </c>
      <c r="S824" s="81" t="s">
        <v>113</v>
      </c>
      <c r="T824" s="349">
        <v>42345</v>
      </c>
      <c r="U824" s="349">
        <v>42396</v>
      </c>
      <c r="W824" s="81" t="s">
        <v>114</v>
      </c>
      <c r="Y824" s="81" t="s">
        <v>115</v>
      </c>
      <c r="Z824" s="81" t="s">
        <v>310</v>
      </c>
      <c r="AA824" s="81" t="s">
        <v>117</v>
      </c>
      <c r="AB824" s="81" t="s">
        <v>399</v>
      </c>
      <c r="AC824" s="166">
        <v>9.9999997764825804E-3</v>
      </c>
      <c r="AG824" s="81" t="s">
        <v>238</v>
      </c>
      <c r="AH824" s="81" t="s">
        <v>118</v>
      </c>
      <c r="AK824" s="166">
        <v>0</v>
      </c>
      <c r="AM824" s="166">
        <v>0</v>
      </c>
      <c r="AO824" s="166">
        <v>0</v>
      </c>
      <c r="AP824" s="166">
        <v>0</v>
      </c>
      <c r="AQ824" s="166">
        <v>2</v>
      </c>
      <c r="AR824" s="166">
        <v>0</v>
      </c>
      <c r="AS824" s="166">
        <v>0</v>
      </c>
      <c r="AT824" s="166">
        <v>0</v>
      </c>
      <c r="AU824" s="166">
        <v>0</v>
      </c>
      <c r="AV824" s="166">
        <v>0</v>
      </c>
      <c r="AW824" s="166">
        <v>0</v>
      </c>
      <c r="AX824" s="166">
        <v>2</v>
      </c>
      <c r="AY824" s="166">
        <v>0</v>
      </c>
      <c r="AZ824" s="166">
        <v>0</v>
      </c>
      <c r="BA824" s="166">
        <v>0</v>
      </c>
      <c r="BB824" s="166">
        <v>0</v>
      </c>
      <c r="BC824" s="166">
        <v>0</v>
      </c>
      <c r="BD824" s="166">
        <v>0</v>
      </c>
      <c r="BE824" s="166">
        <v>0</v>
      </c>
      <c r="BF824" s="166">
        <v>0</v>
      </c>
      <c r="BG824" s="166">
        <v>0</v>
      </c>
      <c r="BH824" s="166">
        <v>0</v>
      </c>
      <c r="BI824" s="166">
        <v>0</v>
      </c>
      <c r="BJ824" s="166">
        <v>0</v>
      </c>
      <c r="BK824" s="166">
        <v>0</v>
      </c>
      <c r="BL824" s="166">
        <v>0</v>
      </c>
      <c r="BM824" s="166">
        <v>0</v>
      </c>
      <c r="BN824" s="166">
        <v>0</v>
      </c>
      <c r="BO824" s="166">
        <v>0</v>
      </c>
      <c r="BP824" s="166">
        <v>0</v>
      </c>
      <c r="BQ824" s="81" t="s">
        <v>1758</v>
      </c>
      <c r="BZ824" s="81" t="s">
        <v>155</v>
      </c>
      <c r="CA824" s="81" t="s">
        <v>1937</v>
      </c>
      <c r="CC824" s="167">
        <v>0</v>
      </c>
      <c r="CD824" s="167">
        <f>$N824/4</f>
        <v>0.5</v>
      </c>
      <c r="CE824" s="167">
        <f>$N824/4</f>
        <v>0.5</v>
      </c>
      <c r="CF824" s="167">
        <f>$N824/4</f>
        <v>0.5</v>
      </c>
      <c r="CG824" s="167">
        <f>$N824/4</f>
        <v>0.5</v>
      </c>
      <c r="CH824" s="167">
        <v>0</v>
      </c>
      <c r="CI824" s="167">
        <v>0</v>
      </c>
      <c r="CJ824" s="167">
        <v>0</v>
      </c>
      <c r="CK824" s="167">
        <v>0</v>
      </c>
      <c r="CL824" s="167">
        <v>0</v>
      </c>
      <c r="CM824" s="167">
        <v>0</v>
      </c>
      <c r="CN824" s="167">
        <v>0</v>
      </c>
      <c r="CO824" s="167">
        <v>0</v>
      </c>
      <c r="CP824" s="167">
        <v>0</v>
      </c>
      <c r="CQ824" s="167">
        <v>0</v>
      </c>
      <c r="CR824" s="167">
        <v>0</v>
      </c>
      <c r="CS824" s="167">
        <v>0</v>
      </c>
      <c r="CT824" s="167">
        <v>0</v>
      </c>
      <c r="CU824" s="167">
        <v>0</v>
      </c>
      <c r="CV824" s="167">
        <v>0</v>
      </c>
      <c r="CW824" s="167">
        <v>0</v>
      </c>
      <c r="CX824" s="167">
        <f>SUM(CD824:CH824)</f>
        <v>2</v>
      </c>
      <c r="CY824" s="167">
        <f>SUM(CD824:CM824)</f>
        <v>2</v>
      </c>
    </row>
    <row r="825" spans="1:103" ht="12.75" customHeight="1" x14ac:dyDescent="0.2">
      <c r="A825" s="81">
        <v>5119</v>
      </c>
      <c r="B825" s="165" t="s">
        <v>1930</v>
      </c>
      <c r="C825" s="165" t="s">
        <v>1637</v>
      </c>
      <c r="E825" s="165" t="s">
        <v>2116</v>
      </c>
      <c r="G825" s="81">
        <v>527391</v>
      </c>
      <c r="H825" s="81">
        <v>171805</v>
      </c>
      <c r="I825" s="165" t="s">
        <v>242</v>
      </c>
      <c r="L825" s="166">
        <v>0</v>
      </c>
      <c r="M825" s="166">
        <v>6</v>
      </c>
      <c r="N825" s="166">
        <v>6</v>
      </c>
      <c r="O825" s="166">
        <v>6</v>
      </c>
      <c r="P825" s="166">
        <v>6</v>
      </c>
      <c r="R825" s="165" t="s">
        <v>2548</v>
      </c>
      <c r="S825" s="81" t="s">
        <v>113</v>
      </c>
      <c r="T825" s="349">
        <v>42780</v>
      </c>
      <c r="U825" s="349">
        <v>43003</v>
      </c>
      <c r="V825" s="81" t="s">
        <v>155</v>
      </c>
      <c r="W825" s="81" t="s">
        <v>114</v>
      </c>
      <c r="Y825" s="81" t="s">
        <v>115</v>
      </c>
      <c r="Z825" s="81" t="s">
        <v>116</v>
      </c>
      <c r="AA825" s="81" t="s">
        <v>117</v>
      </c>
      <c r="AB825" s="81" t="s">
        <v>218</v>
      </c>
      <c r="AC825" s="166">
        <v>2.5000000372528999E-2</v>
      </c>
      <c r="AG825" s="81" t="s">
        <v>238</v>
      </c>
      <c r="AH825" s="81" t="s">
        <v>118</v>
      </c>
      <c r="AK825" s="166">
        <v>0</v>
      </c>
      <c r="AM825" s="166">
        <v>0</v>
      </c>
      <c r="AO825" s="166">
        <v>0</v>
      </c>
      <c r="AP825" s="166">
        <v>3</v>
      </c>
      <c r="AQ825" s="166">
        <v>2</v>
      </c>
      <c r="AR825" s="166">
        <v>1</v>
      </c>
      <c r="AS825" s="166">
        <v>0</v>
      </c>
      <c r="AT825" s="166">
        <v>0</v>
      </c>
      <c r="AU825" s="166">
        <v>0</v>
      </c>
      <c r="AV825" s="166">
        <v>0</v>
      </c>
      <c r="AW825" s="166">
        <v>3</v>
      </c>
      <c r="AX825" s="166">
        <v>2</v>
      </c>
      <c r="AY825" s="166">
        <v>1</v>
      </c>
      <c r="AZ825" s="166">
        <v>0</v>
      </c>
      <c r="BA825" s="166">
        <v>0</v>
      </c>
      <c r="BB825" s="166">
        <v>0</v>
      </c>
      <c r="BC825" s="166">
        <v>0</v>
      </c>
      <c r="BD825" s="166">
        <v>0</v>
      </c>
      <c r="BE825" s="166">
        <v>0</v>
      </c>
      <c r="BF825" s="166">
        <v>0</v>
      </c>
      <c r="BG825" s="166">
        <v>0</v>
      </c>
      <c r="BH825" s="166">
        <v>0</v>
      </c>
      <c r="BI825" s="166">
        <v>0</v>
      </c>
      <c r="BJ825" s="166">
        <v>0</v>
      </c>
      <c r="BK825" s="166">
        <v>0</v>
      </c>
      <c r="BL825" s="166">
        <v>0</v>
      </c>
      <c r="BM825" s="166">
        <v>0</v>
      </c>
      <c r="BN825" s="166">
        <v>0</v>
      </c>
      <c r="BO825" s="166">
        <v>0</v>
      </c>
      <c r="BP825" s="166">
        <v>0</v>
      </c>
      <c r="BQ825" s="81" t="s">
        <v>1757</v>
      </c>
      <c r="BZ825" s="81" t="s">
        <v>155</v>
      </c>
      <c r="CA825" s="81" t="s">
        <v>3936</v>
      </c>
      <c r="CC825" s="167">
        <v>0</v>
      </c>
      <c r="CD825" s="167">
        <v>0</v>
      </c>
      <c r="CE825" s="167">
        <v>0</v>
      </c>
      <c r="CF825" s="167">
        <v>0</v>
      </c>
      <c r="CG825" s="167">
        <v>0</v>
      </c>
      <c r="CH825" s="167">
        <v>0</v>
      </c>
      <c r="CI825" s="167">
        <f>$N825/3</f>
        <v>2</v>
      </c>
      <c r="CJ825" s="167">
        <f>$N825/3</f>
        <v>2</v>
      </c>
      <c r="CK825" s="167">
        <f>$N825/3</f>
        <v>2</v>
      </c>
      <c r="CL825" s="167">
        <v>0</v>
      </c>
      <c r="CM825" s="167">
        <v>0</v>
      </c>
      <c r="CN825" s="167">
        <v>0</v>
      </c>
      <c r="CO825" s="167">
        <v>0</v>
      </c>
      <c r="CP825" s="167">
        <v>0</v>
      </c>
      <c r="CQ825" s="167">
        <v>0</v>
      </c>
      <c r="CR825" s="167">
        <v>0</v>
      </c>
      <c r="CS825" s="167">
        <v>0</v>
      </c>
      <c r="CT825" s="167">
        <v>0</v>
      </c>
      <c r="CU825" s="167">
        <v>0</v>
      </c>
      <c r="CV825" s="167">
        <v>0</v>
      </c>
      <c r="CW825" s="167">
        <v>0</v>
      </c>
      <c r="CX825" s="167">
        <f>SUM(CD825:CH825)</f>
        <v>0</v>
      </c>
      <c r="CY825" s="167">
        <f>SUM(CD825:CM825)</f>
        <v>6</v>
      </c>
    </row>
    <row r="826" spans="1:103" ht="12.75" customHeight="1" x14ac:dyDescent="0.2">
      <c r="A826" s="81">
        <v>5122</v>
      </c>
      <c r="B826" s="165" t="s">
        <v>1930</v>
      </c>
      <c r="C826" s="165" t="s">
        <v>1251</v>
      </c>
      <c r="E826" s="165" t="s">
        <v>2549</v>
      </c>
      <c r="G826" s="81">
        <v>527968</v>
      </c>
      <c r="H826" s="81">
        <v>170921</v>
      </c>
      <c r="I826" s="165" t="s">
        <v>253</v>
      </c>
      <c r="L826" s="166">
        <v>4</v>
      </c>
      <c r="M826" s="166">
        <v>9</v>
      </c>
      <c r="N826" s="166">
        <v>5</v>
      </c>
      <c r="O826" s="166">
        <v>9</v>
      </c>
      <c r="P826" s="166">
        <v>5</v>
      </c>
      <c r="R826" s="165" t="s">
        <v>1252</v>
      </c>
      <c r="S826" s="81" t="s">
        <v>113</v>
      </c>
      <c r="T826" s="349">
        <v>42507</v>
      </c>
      <c r="U826" s="349">
        <v>42634</v>
      </c>
      <c r="W826" s="81" t="s">
        <v>114</v>
      </c>
      <c r="Y826" s="81" t="s">
        <v>115</v>
      </c>
      <c r="Z826" s="81" t="s">
        <v>116</v>
      </c>
      <c r="AA826" s="81" t="s">
        <v>117</v>
      </c>
      <c r="AB826" s="81" t="s">
        <v>218</v>
      </c>
      <c r="AC826" s="166">
        <v>9.8999999463558197E-2</v>
      </c>
      <c r="AG826" s="81" t="s">
        <v>238</v>
      </c>
      <c r="AH826" s="81" t="s">
        <v>118</v>
      </c>
      <c r="AK826" s="166">
        <v>0</v>
      </c>
      <c r="AM826" s="166">
        <v>0</v>
      </c>
      <c r="AO826" s="166">
        <v>-4</v>
      </c>
      <c r="AP826" s="166">
        <v>4</v>
      </c>
      <c r="AQ826" s="166">
        <v>4</v>
      </c>
      <c r="AR826" s="166">
        <v>1</v>
      </c>
      <c r="AS826" s="166">
        <v>0</v>
      </c>
      <c r="AT826" s="166">
        <v>0</v>
      </c>
      <c r="AU826" s="166">
        <v>0</v>
      </c>
      <c r="AV826" s="166">
        <v>-4</v>
      </c>
      <c r="AW826" s="166">
        <v>4</v>
      </c>
      <c r="AX826" s="166">
        <v>4</v>
      </c>
      <c r="AY826" s="166">
        <v>1</v>
      </c>
      <c r="AZ826" s="166">
        <v>0</v>
      </c>
      <c r="BA826" s="166">
        <v>0</v>
      </c>
      <c r="BB826" s="166">
        <v>0</v>
      </c>
      <c r="BC826" s="166">
        <v>0</v>
      </c>
      <c r="BD826" s="166">
        <v>0</v>
      </c>
      <c r="BE826" s="166">
        <v>0</v>
      </c>
      <c r="BF826" s="166">
        <v>0</v>
      </c>
      <c r="BG826" s="166">
        <v>0</v>
      </c>
      <c r="BH826" s="166">
        <v>0</v>
      </c>
      <c r="BI826" s="166">
        <v>0</v>
      </c>
      <c r="BJ826" s="166">
        <v>0</v>
      </c>
      <c r="BK826" s="166">
        <v>0</v>
      </c>
      <c r="BL826" s="166">
        <v>0</v>
      </c>
      <c r="BM826" s="166">
        <v>0</v>
      </c>
      <c r="BN826" s="166">
        <v>0</v>
      </c>
      <c r="BO826" s="166">
        <v>0</v>
      </c>
      <c r="BP826" s="166">
        <v>0</v>
      </c>
      <c r="BQ826" s="81" t="s">
        <v>1757</v>
      </c>
      <c r="BZ826" s="81" t="s">
        <v>155</v>
      </c>
      <c r="CA826" s="81" t="s">
        <v>3968</v>
      </c>
      <c r="CC826" s="167">
        <v>0</v>
      </c>
      <c r="CD826" s="167">
        <v>0</v>
      </c>
      <c r="CE826" s="167">
        <v>0</v>
      </c>
      <c r="CF826" s="167">
        <v>0</v>
      </c>
      <c r="CG826" s="167">
        <f>$N826/3</f>
        <v>1.6666666666666667</v>
      </c>
      <c r="CH826" s="167">
        <f>$N826/3</f>
        <v>1.6666666666666667</v>
      </c>
      <c r="CI826" s="167">
        <f>$N826/3</f>
        <v>1.6666666666666667</v>
      </c>
      <c r="CJ826" s="167">
        <v>0</v>
      </c>
      <c r="CK826" s="167">
        <v>0</v>
      </c>
      <c r="CL826" s="167">
        <v>0</v>
      </c>
      <c r="CM826" s="167">
        <v>0</v>
      </c>
      <c r="CN826" s="167">
        <v>0</v>
      </c>
      <c r="CO826" s="167">
        <v>0</v>
      </c>
      <c r="CP826" s="167">
        <v>0</v>
      </c>
      <c r="CQ826" s="167">
        <v>0</v>
      </c>
      <c r="CR826" s="167">
        <v>0</v>
      </c>
      <c r="CS826" s="167">
        <v>0</v>
      </c>
      <c r="CT826" s="167">
        <v>0</v>
      </c>
      <c r="CU826" s="167">
        <v>0</v>
      </c>
      <c r="CV826" s="167">
        <v>0</v>
      </c>
      <c r="CW826" s="167">
        <v>0</v>
      </c>
      <c r="CX826" s="167">
        <f>SUM(CD826:CH826)</f>
        <v>3.3333333333333335</v>
      </c>
      <c r="CY826" s="167">
        <f>SUM(CD826:CM826)</f>
        <v>5</v>
      </c>
    </row>
    <row r="827" spans="1:103" ht="12.75" customHeight="1" x14ac:dyDescent="0.2">
      <c r="A827" s="81">
        <v>5142</v>
      </c>
      <c r="B827" s="165" t="s">
        <v>1930</v>
      </c>
      <c r="C827" s="165" t="s">
        <v>2550</v>
      </c>
      <c r="E827" s="165" t="s">
        <v>2551</v>
      </c>
      <c r="G827" s="81">
        <v>528703</v>
      </c>
      <c r="H827" s="81">
        <v>173473</v>
      </c>
      <c r="I827" s="165" t="s">
        <v>247</v>
      </c>
      <c r="L827" s="166">
        <v>1</v>
      </c>
      <c r="M827" s="166">
        <v>5</v>
      </c>
      <c r="N827" s="166">
        <v>4</v>
      </c>
      <c r="O827" s="166">
        <v>5</v>
      </c>
      <c r="P827" s="166">
        <v>4</v>
      </c>
      <c r="R827" s="165" t="s">
        <v>2552</v>
      </c>
      <c r="S827" s="81" t="s">
        <v>113</v>
      </c>
      <c r="T827" s="349">
        <v>43084</v>
      </c>
      <c r="U827" s="349">
        <v>43140</v>
      </c>
      <c r="V827" s="81" t="s">
        <v>155</v>
      </c>
      <c r="W827" s="81" t="s">
        <v>114</v>
      </c>
      <c r="Y827" s="81" t="s">
        <v>115</v>
      </c>
      <c r="Z827" s="81" t="s">
        <v>398</v>
      </c>
      <c r="AA827" s="81" t="s">
        <v>117</v>
      </c>
      <c r="AB827" s="81" t="s">
        <v>120</v>
      </c>
      <c r="AC827" s="166">
        <v>3.70000004768372E-2</v>
      </c>
      <c r="AG827" s="81" t="s">
        <v>238</v>
      </c>
      <c r="AH827" s="81" t="s">
        <v>118</v>
      </c>
      <c r="AK827" s="166">
        <v>0</v>
      </c>
      <c r="AM827" s="166">
        <v>0</v>
      </c>
      <c r="AO827" s="166">
        <v>0</v>
      </c>
      <c r="AP827" s="166">
        <v>1</v>
      </c>
      <c r="AQ827" s="166">
        <v>2</v>
      </c>
      <c r="AR827" s="166">
        <v>2</v>
      </c>
      <c r="AS827" s="166">
        <v>0</v>
      </c>
      <c r="AT827" s="166">
        <v>-1</v>
      </c>
      <c r="AU827" s="166">
        <v>0</v>
      </c>
      <c r="AV827" s="166">
        <v>0</v>
      </c>
      <c r="AW827" s="166">
        <v>1</v>
      </c>
      <c r="AX827" s="166">
        <v>2</v>
      </c>
      <c r="AY827" s="166">
        <v>2</v>
      </c>
      <c r="AZ827" s="166">
        <v>0</v>
      </c>
      <c r="BA827" s="166">
        <v>0</v>
      </c>
      <c r="BB827" s="166">
        <v>0</v>
      </c>
      <c r="BC827" s="166">
        <v>0</v>
      </c>
      <c r="BD827" s="166">
        <v>0</v>
      </c>
      <c r="BE827" s="166">
        <v>0</v>
      </c>
      <c r="BF827" s="166">
        <v>0</v>
      </c>
      <c r="BG827" s="166">
        <v>0</v>
      </c>
      <c r="BH827" s="166">
        <v>-1</v>
      </c>
      <c r="BI827" s="166">
        <v>0</v>
      </c>
      <c r="BJ827" s="166">
        <v>0</v>
      </c>
      <c r="BK827" s="166">
        <v>0</v>
      </c>
      <c r="BL827" s="166">
        <v>0</v>
      </c>
      <c r="BM827" s="166">
        <v>0</v>
      </c>
      <c r="BN827" s="166">
        <v>0</v>
      </c>
      <c r="BO827" s="166">
        <v>0</v>
      </c>
      <c r="BP827" s="166">
        <v>0</v>
      </c>
      <c r="BQ827" s="81" t="s">
        <v>1757</v>
      </c>
      <c r="BZ827" s="81" t="s">
        <v>155</v>
      </c>
      <c r="CA827" s="81" t="s">
        <v>1937</v>
      </c>
      <c r="CC827" s="167">
        <v>0</v>
      </c>
      <c r="CD827" s="167">
        <f>$N827/4</f>
        <v>1</v>
      </c>
      <c r="CE827" s="167">
        <f>$N827/4</f>
        <v>1</v>
      </c>
      <c r="CF827" s="167">
        <f>$N827/4</f>
        <v>1</v>
      </c>
      <c r="CG827" s="167">
        <f>$N827/4</f>
        <v>1</v>
      </c>
      <c r="CH827" s="167">
        <v>0</v>
      </c>
      <c r="CI827" s="167">
        <v>0</v>
      </c>
      <c r="CJ827" s="167">
        <v>0</v>
      </c>
      <c r="CK827" s="167">
        <v>0</v>
      </c>
      <c r="CL827" s="167">
        <v>0</v>
      </c>
      <c r="CM827" s="167">
        <v>0</v>
      </c>
      <c r="CN827" s="167">
        <v>0</v>
      </c>
      <c r="CO827" s="167">
        <v>0</v>
      </c>
      <c r="CP827" s="167">
        <v>0</v>
      </c>
      <c r="CQ827" s="167">
        <v>0</v>
      </c>
      <c r="CR827" s="167">
        <v>0</v>
      </c>
      <c r="CS827" s="167">
        <v>0</v>
      </c>
      <c r="CT827" s="167">
        <v>0</v>
      </c>
      <c r="CU827" s="167">
        <v>0</v>
      </c>
      <c r="CV827" s="167">
        <v>0</v>
      </c>
      <c r="CW827" s="167">
        <v>0</v>
      </c>
      <c r="CX827" s="167">
        <f>SUM(CD827:CH827)</f>
        <v>4</v>
      </c>
      <c r="CY827" s="167">
        <f>SUM(CD827:CM827)</f>
        <v>4</v>
      </c>
    </row>
    <row r="828" spans="1:103" ht="12.75" customHeight="1" x14ac:dyDescent="0.2">
      <c r="A828" s="81">
        <v>5162</v>
      </c>
      <c r="B828" s="165" t="s">
        <v>1930</v>
      </c>
      <c r="C828" s="165" t="s">
        <v>1550</v>
      </c>
      <c r="E828" s="165" t="s">
        <v>2553</v>
      </c>
      <c r="G828" s="81">
        <v>527391</v>
      </c>
      <c r="H828" s="81">
        <v>171717</v>
      </c>
      <c r="I828" s="165" t="s">
        <v>242</v>
      </c>
      <c r="L828" s="166">
        <v>0</v>
      </c>
      <c r="M828" s="166">
        <v>1</v>
      </c>
      <c r="N828" s="166">
        <v>1</v>
      </c>
      <c r="O828" s="166">
        <v>1</v>
      </c>
      <c r="P828" s="166">
        <v>1</v>
      </c>
      <c r="R828" s="165" t="s">
        <v>1551</v>
      </c>
      <c r="S828" s="81" t="s">
        <v>113</v>
      </c>
      <c r="T828" s="349">
        <v>42691</v>
      </c>
      <c r="U828" s="349">
        <v>42873</v>
      </c>
      <c r="V828" s="81" t="s">
        <v>155</v>
      </c>
      <c r="W828" s="81" t="s">
        <v>114</v>
      </c>
      <c r="Y828" s="81" t="s">
        <v>115</v>
      </c>
      <c r="Z828" s="81" t="s">
        <v>310</v>
      </c>
      <c r="AA828" s="81" t="s">
        <v>117</v>
      </c>
      <c r="AB828" s="81" t="s">
        <v>399</v>
      </c>
      <c r="AC828" s="166">
        <v>1.9999999552965199E-2</v>
      </c>
      <c r="AG828" s="81" t="s">
        <v>238</v>
      </c>
      <c r="AH828" s="81" t="s">
        <v>118</v>
      </c>
      <c r="AK828" s="166">
        <v>0</v>
      </c>
      <c r="AM828" s="166">
        <v>0</v>
      </c>
      <c r="AO828" s="166">
        <v>0</v>
      </c>
      <c r="AP828" s="166">
        <v>0</v>
      </c>
      <c r="AQ828" s="166">
        <v>1</v>
      </c>
      <c r="AR828" s="166">
        <v>0</v>
      </c>
      <c r="AS828" s="166">
        <v>0</v>
      </c>
      <c r="AT828" s="166">
        <v>0</v>
      </c>
      <c r="AU828" s="166">
        <v>0</v>
      </c>
      <c r="AV828" s="166">
        <v>0</v>
      </c>
      <c r="AW828" s="166">
        <v>0</v>
      </c>
      <c r="AX828" s="166">
        <v>0</v>
      </c>
      <c r="AY828" s="166">
        <v>0</v>
      </c>
      <c r="AZ828" s="166">
        <v>0</v>
      </c>
      <c r="BA828" s="166">
        <v>0</v>
      </c>
      <c r="BB828" s="166">
        <v>0</v>
      </c>
      <c r="BC828" s="166">
        <v>0</v>
      </c>
      <c r="BD828" s="166">
        <v>0</v>
      </c>
      <c r="BE828" s="166">
        <v>1</v>
      </c>
      <c r="BF828" s="166">
        <v>0</v>
      </c>
      <c r="BG828" s="166">
        <v>0</v>
      </c>
      <c r="BH828" s="166">
        <v>0</v>
      </c>
      <c r="BI828" s="166">
        <v>0</v>
      </c>
      <c r="BJ828" s="166">
        <v>0</v>
      </c>
      <c r="BK828" s="166">
        <v>0</v>
      </c>
      <c r="BL828" s="166">
        <v>0</v>
      </c>
      <c r="BM828" s="166">
        <v>0</v>
      </c>
      <c r="BN828" s="166">
        <v>0</v>
      </c>
      <c r="BO828" s="166">
        <v>0</v>
      </c>
      <c r="BP828" s="166">
        <v>0</v>
      </c>
      <c r="BQ828" s="81" t="s">
        <v>1757</v>
      </c>
      <c r="BZ828" s="81" t="s">
        <v>155</v>
      </c>
      <c r="CA828" s="81" t="s">
        <v>1937</v>
      </c>
      <c r="CC828" s="167">
        <v>0</v>
      </c>
      <c r="CD828" s="167">
        <f>$N828/4</f>
        <v>0.25</v>
      </c>
      <c r="CE828" s="167">
        <f>$N828/4</f>
        <v>0.25</v>
      </c>
      <c r="CF828" s="167">
        <f>$N828/4</f>
        <v>0.25</v>
      </c>
      <c r="CG828" s="167">
        <f>$N828/4</f>
        <v>0.25</v>
      </c>
      <c r="CH828" s="167">
        <v>0</v>
      </c>
      <c r="CI828" s="167">
        <v>0</v>
      </c>
      <c r="CJ828" s="167">
        <v>0</v>
      </c>
      <c r="CK828" s="167">
        <v>0</v>
      </c>
      <c r="CL828" s="167">
        <v>0</v>
      </c>
      <c r="CM828" s="167">
        <v>0</v>
      </c>
      <c r="CN828" s="167">
        <v>0</v>
      </c>
      <c r="CO828" s="167">
        <v>0</v>
      </c>
      <c r="CP828" s="167">
        <v>0</v>
      </c>
      <c r="CQ828" s="167">
        <v>0</v>
      </c>
      <c r="CR828" s="167">
        <v>0</v>
      </c>
      <c r="CS828" s="167">
        <v>0</v>
      </c>
      <c r="CT828" s="167">
        <v>0</v>
      </c>
      <c r="CU828" s="167">
        <v>0</v>
      </c>
      <c r="CV828" s="167">
        <v>0</v>
      </c>
      <c r="CW828" s="167">
        <v>0</v>
      </c>
      <c r="CX828" s="167">
        <f>SUM(CD828:CH828)</f>
        <v>1</v>
      </c>
      <c r="CY828" s="167">
        <f>SUM(CD828:CM828)</f>
        <v>1</v>
      </c>
    </row>
    <row r="829" spans="1:103" ht="12.75" customHeight="1" x14ac:dyDescent="0.2">
      <c r="A829" s="81">
        <v>5188</v>
      </c>
      <c r="B829" s="165" t="s">
        <v>1930</v>
      </c>
      <c r="C829" s="165" t="s">
        <v>574</v>
      </c>
      <c r="E829" s="165" t="s">
        <v>2554</v>
      </c>
      <c r="G829" s="81">
        <v>522735</v>
      </c>
      <c r="H829" s="81">
        <v>175024</v>
      </c>
      <c r="I829" s="165" t="s">
        <v>59</v>
      </c>
      <c r="L829" s="166">
        <v>1</v>
      </c>
      <c r="M829" s="166">
        <v>1</v>
      </c>
      <c r="N829" s="166">
        <v>0</v>
      </c>
      <c r="O829" s="166">
        <v>1</v>
      </c>
      <c r="P829" s="166">
        <v>0</v>
      </c>
      <c r="R829" s="165" t="s">
        <v>575</v>
      </c>
      <c r="S829" s="81" t="s">
        <v>113</v>
      </c>
      <c r="T829" s="349">
        <v>42163</v>
      </c>
      <c r="U829" s="349">
        <v>42264</v>
      </c>
      <c r="W829" s="81" t="s">
        <v>114</v>
      </c>
      <c r="Y829" s="81" t="s">
        <v>115</v>
      </c>
      <c r="Z829" s="81" t="s">
        <v>116</v>
      </c>
      <c r="AA829" s="81" t="s">
        <v>117</v>
      </c>
      <c r="AB829" s="81" t="s">
        <v>218</v>
      </c>
      <c r="AC829" s="166">
        <v>0.12800000607967399</v>
      </c>
      <c r="AG829" s="81" t="s">
        <v>238</v>
      </c>
      <c r="AH829" s="81" t="s">
        <v>118</v>
      </c>
      <c r="AK829" s="166">
        <v>1</v>
      </c>
      <c r="AM829" s="166">
        <v>0</v>
      </c>
      <c r="AO829" s="166">
        <v>0</v>
      </c>
      <c r="AP829" s="166">
        <v>0</v>
      </c>
      <c r="AQ829" s="166">
        <v>0</v>
      </c>
      <c r="AR829" s="166">
        <v>0</v>
      </c>
      <c r="AS829" s="166">
        <v>-1</v>
      </c>
      <c r="AT829" s="166">
        <v>1</v>
      </c>
      <c r="AU829" s="166">
        <v>0</v>
      </c>
      <c r="AV829" s="166">
        <v>0</v>
      </c>
      <c r="AW829" s="166">
        <v>0</v>
      </c>
      <c r="AX829" s="166">
        <v>0</v>
      </c>
      <c r="AY829" s="166">
        <v>0</v>
      </c>
      <c r="AZ829" s="166">
        <v>0</v>
      </c>
      <c r="BA829" s="166">
        <v>0</v>
      </c>
      <c r="BB829" s="166">
        <v>0</v>
      </c>
      <c r="BC829" s="166">
        <v>0</v>
      </c>
      <c r="BD829" s="166">
        <v>0</v>
      </c>
      <c r="BE829" s="166">
        <v>0</v>
      </c>
      <c r="BF829" s="166">
        <v>0</v>
      </c>
      <c r="BG829" s="166">
        <v>-1</v>
      </c>
      <c r="BH829" s="166">
        <v>1</v>
      </c>
      <c r="BI829" s="166">
        <v>0</v>
      </c>
      <c r="BJ829" s="166">
        <v>0</v>
      </c>
      <c r="BK829" s="166">
        <v>0</v>
      </c>
      <c r="BL829" s="166">
        <v>0</v>
      </c>
      <c r="BM829" s="166">
        <v>0</v>
      </c>
      <c r="BN829" s="166">
        <v>0</v>
      </c>
      <c r="BO829" s="166">
        <v>0</v>
      </c>
      <c r="BP829" s="166">
        <v>0</v>
      </c>
      <c r="BQ829" s="81" t="s">
        <v>1758</v>
      </c>
      <c r="BZ829" s="81" t="s">
        <v>155</v>
      </c>
      <c r="CA829" s="81">
        <v>4</v>
      </c>
      <c r="CC829" s="167">
        <v>0</v>
      </c>
      <c r="CD829" s="167">
        <v>0</v>
      </c>
      <c r="CE829" s="167">
        <f>$N829/4</f>
        <v>0</v>
      </c>
      <c r="CF829" s="167">
        <f>$N829/4</f>
        <v>0</v>
      </c>
      <c r="CG829" s="167">
        <f>$N829/4</f>
        <v>0</v>
      </c>
      <c r="CH829" s="167">
        <f>$N829/4</f>
        <v>0</v>
      </c>
      <c r="CI829" s="167">
        <v>0</v>
      </c>
      <c r="CJ829" s="167">
        <v>0</v>
      </c>
      <c r="CK829" s="167">
        <v>0</v>
      </c>
      <c r="CL829" s="167">
        <v>0</v>
      </c>
      <c r="CM829" s="167">
        <v>0</v>
      </c>
      <c r="CN829" s="167">
        <v>0</v>
      </c>
      <c r="CO829" s="167">
        <v>0</v>
      </c>
      <c r="CP829" s="167">
        <v>0</v>
      </c>
      <c r="CQ829" s="167">
        <v>0</v>
      </c>
      <c r="CR829" s="167">
        <v>0</v>
      </c>
      <c r="CS829" s="167">
        <v>0</v>
      </c>
      <c r="CT829" s="167">
        <v>0</v>
      </c>
      <c r="CU829" s="167">
        <v>0</v>
      </c>
      <c r="CV829" s="167">
        <v>0</v>
      </c>
      <c r="CW829" s="167">
        <v>0</v>
      </c>
      <c r="CX829" s="167">
        <f>SUM(CD829:CH829)</f>
        <v>0</v>
      </c>
      <c r="CY829" s="167">
        <f>SUM(CD829:CM829)</f>
        <v>0</v>
      </c>
    </row>
    <row r="830" spans="1:103" ht="12.75" customHeight="1" x14ac:dyDescent="0.2">
      <c r="A830" s="81">
        <v>5234</v>
      </c>
      <c r="B830" s="165" t="s">
        <v>1930</v>
      </c>
      <c r="C830" s="165" t="s">
        <v>654</v>
      </c>
      <c r="E830" s="165" t="s">
        <v>2555</v>
      </c>
      <c r="G830" s="81">
        <v>526770</v>
      </c>
      <c r="H830" s="81">
        <v>171464</v>
      </c>
      <c r="I830" s="165" t="s">
        <v>242</v>
      </c>
      <c r="L830" s="166">
        <v>0</v>
      </c>
      <c r="M830" s="166">
        <v>1</v>
      </c>
      <c r="N830" s="166">
        <v>1</v>
      </c>
      <c r="O830" s="166">
        <v>1</v>
      </c>
      <c r="P830" s="166">
        <v>1</v>
      </c>
      <c r="R830" s="165" t="s">
        <v>655</v>
      </c>
      <c r="S830" s="81" t="s">
        <v>113</v>
      </c>
      <c r="T830" s="349">
        <v>42263</v>
      </c>
      <c r="U830" s="349">
        <v>42319</v>
      </c>
      <c r="W830" s="81" t="s">
        <v>114</v>
      </c>
      <c r="Y830" s="81" t="s">
        <v>115</v>
      </c>
      <c r="Z830" s="81" t="s">
        <v>116</v>
      </c>
      <c r="AA830" s="81" t="s">
        <v>117</v>
      </c>
      <c r="AB830" s="81" t="s">
        <v>218</v>
      </c>
      <c r="AC830" s="166">
        <v>1.4999999664723899E-2</v>
      </c>
      <c r="AG830" s="81" t="s">
        <v>238</v>
      </c>
      <c r="AH830" s="81" t="s">
        <v>118</v>
      </c>
      <c r="AK830" s="166">
        <v>1</v>
      </c>
      <c r="AM830" s="166">
        <v>0</v>
      </c>
      <c r="AO830" s="166">
        <v>0</v>
      </c>
      <c r="AP830" s="166">
        <v>1</v>
      </c>
      <c r="AQ830" s="166">
        <v>0</v>
      </c>
      <c r="AR830" s="166">
        <v>0</v>
      </c>
      <c r="AS830" s="166">
        <v>0</v>
      </c>
      <c r="AT830" s="166">
        <v>0</v>
      </c>
      <c r="AU830" s="166">
        <v>0</v>
      </c>
      <c r="AV830" s="166">
        <v>0</v>
      </c>
      <c r="AW830" s="166">
        <v>0</v>
      </c>
      <c r="AX830" s="166">
        <v>0</v>
      </c>
      <c r="AY830" s="166">
        <v>0</v>
      </c>
      <c r="AZ830" s="166">
        <v>0</v>
      </c>
      <c r="BA830" s="166">
        <v>0</v>
      </c>
      <c r="BB830" s="166">
        <v>0</v>
      </c>
      <c r="BC830" s="166">
        <v>0</v>
      </c>
      <c r="BD830" s="166">
        <v>1</v>
      </c>
      <c r="BE830" s="166">
        <v>0</v>
      </c>
      <c r="BF830" s="166">
        <v>0</v>
      </c>
      <c r="BG830" s="166">
        <v>0</v>
      </c>
      <c r="BH830" s="166">
        <v>0</v>
      </c>
      <c r="BI830" s="166">
        <v>0</v>
      </c>
      <c r="BJ830" s="166">
        <v>0</v>
      </c>
      <c r="BK830" s="166">
        <v>0</v>
      </c>
      <c r="BL830" s="166">
        <v>0</v>
      </c>
      <c r="BM830" s="166">
        <v>0</v>
      </c>
      <c r="BN830" s="166">
        <v>0</v>
      </c>
      <c r="BO830" s="166">
        <v>0</v>
      </c>
      <c r="BP830" s="166">
        <v>0</v>
      </c>
      <c r="BQ830" s="81" t="s">
        <v>1757</v>
      </c>
      <c r="BZ830" s="81" t="s">
        <v>155</v>
      </c>
      <c r="CA830" s="81">
        <v>4</v>
      </c>
      <c r="CC830" s="167">
        <v>0</v>
      </c>
      <c r="CD830" s="167">
        <v>0</v>
      </c>
      <c r="CE830" s="167">
        <f>$N830/4</f>
        <v>0.25</v>
      </c>
      <c r="CF830" s="167">
        <f>$N830/4</f>
        <v>0.25</v>
      </c>
      <c r="CG830" s="167">
        <f>$N830/4</f>
        <v>0.25</v>
      </c>
      <c r="CH830" s="167">
        <f>$N830/4</f>
        <v>0.25</v>
      </c>
      <c r="CI830" s="167">
        <v>0</v>
      </c>
      <c r="CJ830" s="167">
        <v>0</v>
      </c>
      <c r="CK830" s="167">
        <v>0</v>
      </c>
      <c r="CL830" s="167">
        <v>0</v>
      </c>
      <c r="CM830" s="167">
        <v>0</v>
      </c>
      <c r="CN830" s="167">
        <v>0</v>
      </c>
      <c r="CO830" s="167">
        <v>0</v>
      </c>
      <c r="CP830" s="167">
        <v>0</v>
      </c>
      <c r="CQ830" s="167">
        <v>0</v>
      </c>
      <c r="CR830" s="167">
        <v>0</v>
      </c>
      <c r="CS830" s="167">
        <v>0</v>
      </c>
      <c r="CT830" s="167">
        <v>0</v>
      </c>
      <c r="CU830" s="167">
        <v>0</v>
      </c>
      <c r="CV830" s="167">
        <v>0</v>
      </c>
      <c r="CW830" s="167">
        <v>0</v>
      </c>
      <c r="CX830" s="167">
        <f>SUM(CD830:CH830)</f>
        <v>1</v>
      </c>
      <c r="CY830" s="167">
        <f>SUM(CD830:CM830)</f>
        <v>1</v>
      </c>
    </row>
    <row r="831" spans="1:103" ht="12.75" customHeight="1" x14ac:dyDescent="0.2">
      <c r="A831" s="81">
        <v>5278</v>
      </c>
      <c r="B831" s="165" t="s">
        <v>1930</v>
      </c>
      <c r="C831" s="165" t="s">
        <v>822</v>
      </c>
      <c r="E831" s="165" t="s">
        <v>2556</v>
      </c>
      <c r="G831" s="81">
        <v>528623</v>
      </c>
      <c r="H831" s="81">
        <v>176042</v>
      </c>
      <c r="I831" s="165" t="s">
        <v>240</v>
      </c>
      <c r="L831" s="166">
        <v>0</v>
      </c>
      <c r="M831" s="166">
        <v>4</v>
      </c>
      <c r="N831" s="166">
        <v>4</v>
      </c>
      <c r="O831" s="166">
        <v>4</v>
      </c>
      <c r="P831" s="166">
        <v>4</v>
      </c>
      <c r="R831" s="165" t="s">
        <v>1183</v>
      </c>
      <c r="S831" s="81" t="s">
        <v>113</v>
      </c>
      <c r="T831" s="349">
        <v>42417</v>
      </c>
      <c r="U831" s="349">
        <v>42614</v>
      </c>
      <c r="W831" s="81" t="s">
        <v>114</v>
      </c>
      <c r="Y831" s="81" t="s">
        <v>115</v>
      </c>
      <c r="Z831" s="81" t="s">
        <v>116</v>
      </c>
      <c r="AA831" s="81" t="s">
        <v>117</v>
      </c>
      <c r="AB831" s="81" t="s">
        <v>218</v>
      </c>
      <c r="AC831" s="166">
        <v>1.9999999552965199E-2</v>
      </c>
      <c r="AG831" s="81" t="s">
        <v>238</v>
      </c>
      <c r="AH831" s="81" t="s">
        <v>118</v>
      </c>
      <c r="AK831" s="166">
        <v>0</v>
      </c>
      <c r="AM831" s="166">
        <v>0</v>
      </c>
      <c r="AO831" s="166">
        <v>0</v>
      </c>
      <c r="AP831" s="166">
        <v>0</v>
      </c>
      <c r="AQ831" s="166">
        <v>4</v>
      </c>
      <c r="AR831" s="166">
        <v>0</v>
      </c>
      <c r="AS831" s="166">
        <v>0</v>
      </c>
      <c r="AT831" s="166">
        <v>0</v>
      </c>
      <c r="AU831" s="166">
        <v>0</v>
      </c>
      <c r="AV831" s="166">
        <v>0</v>
      </c>
      <c r="AW831" s="166">
        <v>0</v>
      </c>
      <c r="AX831" s="166">
        <v>0</v>
      </c>
      <c r="AY831" s="166">
        <v>0</v>
      </c>
      <c r="AZ831" s="166">
        <v>0</v>
      </c>
      <c r="BA831" s="166">
        <v>0</v>
      </c>
      <c r="BB831" s="166">
        <v>0</v>
      </c>
      <c r="BC831" s="166">
        <v>0</v>
      </c>
      <c r="BD831" s="166">
        <v>0</v>
      </c>
      <c r="BE831" s="166">
        <v>4</v>
      </c>
      <c r="BF831" s="166">
        <v>0</v>
      </c>
      <c r="BG831" s="166">
        <v>0</v>
      </c>
      <c r="BH831" s="166">
        <v>0</v>
      </c>
      <c r="BI831" s="166">
        <v>0</v>
      </c>
      <c r="BJ831" s="166">
        <v>0</v>
      </c>
      <c r="BK831" s="166">
        <v>0</v>
      </c>
      <c r="BL831" s="166">
        <v>0</v>
      </c>
      <c r="BM831" s="166">
        <v>0</v>
      </c>
      <c r="BN831" s="166">
        <v>0</v>
      </c>
      <c r="BO831" s="166">
        <v>0</v>
      </c>
      <c r="BP831" s="166">
        <v>0</v>
      </c>
      <c r="BQ831" s="81" t="s">
        <v>1757</v>
      </c>
      <c r="BZ831" s="81" t="s">
        <v>155</v>
      </c>
      <c r="CA831" s="81">
        <v>4</v>
      </c>
      <c r="CC831" s="167">
        <v>0</v>
      </c>
      <c r="CD831" s="167">
        <v>0</v>
      </c>
      <c r="CE831" s="167">
        <f>$N831/4</f>
        <v>1</v>
      </c>
      <c r="CF831" s="167">
        <f>$N831/4</f>
        <v>1</v>
      </c>
      <c r="CG831" s="167">
        <f>$N831/4</f>
        <v>1</v>
      </c>
      <c r="CH831" s="167">
        <f>$N831/4</f>
        <v>1</v>
      </c>
      <c r="CI831" s="167">
        <v>0</v>
      </c>
      <c r="CJ831" s="167">
        <v>0</v>
      </c>
      <c r="CK831" s="167">
        <v>0</v>
      </c>
      <c r="CL831" s="167">
        <v>0</v>
      </c>
      <c r="CM831" s="167">
        <v>0</v>
      </c>
      <c r="CN831" s="167">
        <v>0</v>
      </c>
      <c r="CO831" s="167">
        <v>0</v>
      </c>
      <c r="CP831" s="167">
        <v>0</v>
      </c>
      <c r="CQ831" s="167">
        <v>0</v>
      </c>
      <c r="CR831" s="167">
        <v>0</v>
      </c>
      <c r="CS831" s="167">
        <v>0</v>
      </c>
      <c r="CT831" s="167">
        <v>0</v>
      </c>
      <c r="CU831" s="167">
        <v>0</v>
      </c>
      <c r="CV831" s="167">
        <v>0</v>
      </c>
      <c r="CW831" s="167">
        <v>0</v>
      </c>
      <c r="CX831" s="167">
        <f>SUM(CD831:CH831)</f>
        <v>4</v>
      </c>
      <c r="CY831" s="167">
        <f>SUM(CD831:CM831)</f>
        <v>4</v>
      </c>
    </row>
    <row r="832" spans="1:103" ht="12.75" customHeight="1" x14ac:dyDescent="0.2">
      <c r="A832" s="81">
        <v>5281</v>
      </c>
      <c r="B832" s="165" t="s">
        <v>1930</v>
      </c>
      <c r="C832" s="165" t="s">
        <v>2557</v>
      </c>
      <c r="E832" s="165" t="s">
        <v>2558</v>
      </c>
      <c r="G832" s="81">
        <v>526909</v>
      </c>
      <c r="H832" s="81">
        <v>171864</v>
      </c>
      <c r="I832" s="165" t="s">
        <v>242</v>
      </c>
      <c r="L832" s="166">
        <v>0</v>
      </c>
      <c r="M832" s="166">
        <v>1</v>
      </c>
      <c r="N832" s="166">
        <v>1</v>
      </c>
      <c r="O832" s="166">
        <v>1</v>
      </c>
      <c r="P832" s="166">
        <v>1</v>
      </c>
      <c r="R832" s="165" t="s">
        <v>2559</v>
      </c>
      <c r="S832" s="81" t="s">
        <v>113</v>
      </c>
      <c r="T832" s="349">
        <v>42991</v>
      </c>
      <c r="U832" s="349">
        <v>43077</v>
      </c>
      <c r="V832" s="81" t="s">
        <v>155</v>
      </c>
      <c r="W832" s="81" t="s">
        <v>114</v>
      </c>
      <c r="Y832" s="81" t="s">
        <v>115</v>
      </c>
      <c r="Z832" s="81" t="s">
        <v>398</v>
      </c>
      <c r="AA832" s="81" t="s">
        <v>117</v>
      </c>
      <c r="AB832" s="81" t="s">
        <v>102</v>
      </c>
      <c r="AC832" s="166">
        <v>4.0000001899898104E-3</v>
      </c>
      <c r="AG832" s="81" t="s">
        <v>238</v>
      </c>
      <c r="AH832" s="81" t="s">
        <v>118</v>
      </c>
      <c r="AK832" s="166">
        <v>0</v>
      </c>
      <c r="AM832" s="166">
        <v>0</v>
      </c>
      <c r="AO832" s="166">
        <v>0</v>
      </c>
      <c r="AP832" s="166">
        <v>1</v>
      </c>
      <c r="AQ832" s="166">
        <v>0</v>
      </c>
      <c r="AR832" s="166">
        <v>0</v>
      </c>
      <c r="AS832" s="166">
        <v>0</v>
      </c>
      <c r="AT832" s="166">
        <v>0</v>
      </c>
      <c r="AU832" s="166">
        <v>0</v>
      </c>
      <c r="AV832" s="166">
        <v>0</v>
      </c>
      <c r="AW832" s="166">
        <v>1</v>
      </c>
      <c r="AX832" s="166">
        <v>0</v>
      </c>
      <c r="AY832" s="166">
        <v>0</v>
      </c>
      <c r="AZ832" s="166">
        <v>0</v>
      </c>
      <c r="BA832" s="166">
        <v>0</v>
      </c>
      <c r="BB832" s="166">
        <v>0</v>
      </c>
      <c r="BC832" s="166">
        <v>0</v>
      </c>
      <c r="BD832" s="166">
        <v>0</v>
      </c>
      <c r="BE832" s="166">
        <v>0</v>
      </c>
      <c r="BF832" s="166">
        <v>0</v>
      </c>
      <c r="BG832" s="166">
        <v>0</v>
      </c>
      <c r="BH832" s="166">
        <v>0</v>
      </c>
      <c r="BI832" s="166">
        <v>0</v>
      </c>
      <c r="BJ832" s="166">
        <v>0</v>
      </c>
      <c r="BK832" s="166">
        <v>0</v>
      </c>
      <c r="BL832" s="166">
        <v>0</v>
      </c>
      <c r="BM832" s="166">
        <v>0</v>
      </c>
      <c r="BN832" s="166">
        <v>0</v>
      </c>
      <c r="BO832" s="166">
        <v>0</v>
      </c>
      <c r="BP832" s="166">
        <v>0</v>
      </c>
      <c r="BQ832" s="81" t="s">
        <v>1757</v>
      </c>
      <c r="BZ832" s="81" t="s">
        <v>155</v>
      </c>
      <c r="CA832" s="81" t="s">
        <v>1937</v>
      </c>
      <c r="CC832" s="167">
        <v>0</v>
      </c>
      <c r="CD832" s="167">
        <f>$N832/4</f>
        <v>0.25</v>
      </c>
      <c r="CE832" s="167">
        <f>$N832/4</f>
        <v>0.25</v>
      </c>
      <c r="CF832" s="167">
        <f>$N832/4</f>
        <v>0.25</v>
      </c>
      <c r="CG832" s="167">
        <f>$N832/4</f>
        <v>0.25</v>
      </c>
      <c r="CH832" s="167">
        <v>0</v>
      </c>
      <c r="CI832" s="167">
        <v>0</v>
      </c>
      <c r="CJ832" s="167">
        <v>0</v>
      </c>
      <c r="CK832" s="167">
        <v>0</v>
      </c>
      <c r="CL832" s="167">
        <v>0</v>
      </c>
      <c r="CM832" s="167">
        <v>0</v>
      </c>
      <c r="CN832" s="167">
        <v>0</v>
      </c>
      <c r="CO832" s="167">
        <v>0</v>
      </c>
      <c r="CP832" s="167">
        <v>0</v>
      </c>
      <c r="CQ832" s="167">
        <v>0</v>
      </c>
      <c r="CR832" s="167">
        <v>0</v>
      </c>
      <c r="CS832" s="167">
        <v>0</v>
      </c>
      <c r="CT832" s="167">
        <v>0</v>
      </c>
      <c r="CU832" s="167">
        <v>0</v>
      </c>
      <c r="CV832" s="167">
        <v>0</v>
      </c>
      <c r="CW832" s="167">
        <v>0</v>
      </c>
      <c r="CX832" s="167">
        <f>SUM(CD832:CH832)</f>
        <v>1</v>
      </c>
      <c r="CY832" s="167">
        <f>SUM(CD832:CM832)</f>
        <v>1</v>
      </c>
    </row>
    <row r="833" spans="1:103" ht="12.75" customHeight="1" x14ac:dyDescent="0.2">
      <c r="A833" s="81">
        <v>5284</v>
      </c>
      <c r="B833" s="165" t="s">
        <v>1930</v>
      </c>
      <c r="C833" s="165" t="s">
        <v>1491</v>
      </c>
      <c r="E833" s="165" t="s">
        <v>2560</v>
      </c>
      <c r="G833" s="81">
        <v>527494</v>
      </c>
      <c r="H833" s="81">
        <v>176369</v>
      </c>
      <c r="I833" s="165" t="s">
        <v>241</v>
      </c>
      <c r="L833" s="166">
        <v>0</v>
      </c>
      <c r="M833" s="166">
        <v>1</v>
      </c>
      <c r="N833" s="166">
        <v>1</v>
      </c>
      <c r="O833" s="166">
        <v>1</v>
      </c>
      <c r="P833" s="166">
        <v>1</v>
      </c>
      <c r="R833" s="165" t="s">
        <v>1492</v>
      </c>
      <c r="S833" s="81" t="s">
        <v>113</v>
      </c>
      <c r="T833" s="349">
        <v>42718</v>
      </c>
      <c r="U833" s="349">
        <v>42822</v>
      </c>
      <c r="W833" s="81" t="s">
        <v>114</v>
      </c>
      <c r="Y833" s="81" t="s">
        <v>115</v>
      </c>
      <c r="Z833" s="81" t="s">
        <v>398</v>
      </c>
      <c r="AA833" s="81" t="s">
        <v>117</v>
      </c>
      <c r="AB833" s="81" t="s">
        <v>399</v>
      </c>
      <c r="AC833" s="166">
        <v>6.0000000521540598E-3</v>
      </c>
      <c r="AG833" s="81" t="s">
        <v>238</v>
      </c>
      <c r="AH833" s="81" t="s">
        <v>118</v>
      </c>
      <c r="AK833" s="166">
        <v>0</v>
      </c>
      <c r="AM833" s="166">
        <v>0</v>
      </c>
      <c r="AO833" s="166">
        <v>0</v>
      </c>
      <c r="AP833" s="166">
        <v>0</v>
      </c>
      <c r="AQ833" s="166">
        <v>1</v>
      </c>
      <c r="AR833" s="166">
        <v>0</v>
      </c>
      <c r="AS833" s="166">
        <v>0</v>
      </c>
      <c r="AT833" s="166">
        <v>0</v>
      </c>
      <c r="AU833" s="166">
        <v>0</v>
      </c>
      <c r="AV833" s="166">
        <v>0</v>
      </c>
      <c r="AW833" s="166">
        <v>0</v>
      </c>
      <c r="AX833" s="166">
        <v>1</v>
      </c>
      <c r="AY833" s="166">
        <v>0</v>
      </c>
      <c r="AZ833" s="166">
        <v>0</v>
      </c>
      <c r="BA833" s="166">
        <v>0</v>
      </c>
      <c r="BB833" s="166">
        <v>0</v>
      </c>
      <c r="BC833" s="166">
        <v>0</v>
      </c>
      <c r="BD833" s="166">
        <v>0</v>
      </c>
      <c r="BE833" s="166">
        <v>0</v>
      </c>
      <c r="BF833" s="166">
        <v>0</v>
      </c>
      <c r="BG833" s="166">
        <v>0</v>
      </c>
      <c r="BH833" s="166">
        <v>0</v>
      </c>
      <c r="BI833" s="166">
        <v>0</v>
      </c>
      <c r="BJ833" s="166">
        <v>0</v>
      </c>
      <c r="BK833" s="166">
        <v>0</v>
      </c>
      <c r="BL833" s="166">
        <v>0</v>
      </c>
      <c r="BM833" s="166">
        <v>0</v>
      </c>
      <c r="BN833" s="166">
        <v>0</v>
      </c>
      <c r="BO833" s="166">
        <v>0</v>
      </c>
      <c r="BP833" s="166">
        <v>0</v>
      </c>
      <c r="BQ833" s="81" t="s">
        <v>1757</v>
      </c>
      <c r="BZ833" s="81" t="s">
        <v>155</v>
      </c>
      <c r="CA833" s="81" t="s">
        <v>1937</v>
      </c>
      <c r="CC833" s="167">
        <v>0</v>
      </c>
      <c r="CD833" s="167">
        <f>$N833/4</f>
        <v>0.25</v>
      </c>
      <c r="CE833" s="167">
        <f>$N833/4</f>
        <v>0.25</v>
      </c>
      <c r="CF833" s="167">
        <f>$N833/4</f>
        <v>0.25</v>
      </c>
      <c r="CG833" s="167">
        <f>$N833/4</f>
        <v>0.25</v>
      </c>
      <c r="CH833" s="167">
        <v>0</v>
      </c>
      <c r="CI833" s="167">
        <v>0</v>
      </c>
      <c r="CJ833" s="167">
        <v>0</v>
      </c>
      <c r="CK833" s="167">
        <v>0</v>
      </c>
      <c r="CL833" s="167">
        <v>0</v>
      </c>
      <c r="CM833" s="167">
        <v>0</v>
      </c>
      <c r="CN833" s="167">
        <v>0</v>
      </c>
      <c r="CO833" s="167">
        <v>0</v>
      </c>
      <c r="CP833" s="167">
        <v>0</v>
      </c>
      <c r="CQ833" s="167">
        <v>0</v>
      </c>
      <c r="CR833" s="167">
        <v>0</v>
      </c>
      <c r="CS833" s="167">
        <v>0</v>
      </c>
      <c r="CT833" s="167">
        <v>0</v>
      </c>
      <c r="CU833" s="167">
        <v>0</v>
      </c>
      <c r="CV833" s="167">
        <v>0</v>
      </c>
      <c r="CW833" s="167">
        <v>0</v>
      </c>
      <c r="CX833" s="167">
        <f>SUM(CD833:CH833)</f>
        <v>1</v>
      </c>
      <c r="CY833" s="167">
        <f>SUM(CD833:CM833)</f>
        <v>1</v>
      </c>
    </row>
    <row r="834" spans="1:103" ht="12.75" customHeight="1" x14ac:dyDescent="0.2">
      <c r="A834" s="81">
        <v>5298</v>
      </c>
      <c r="B834" s="165" t="s">
        <v>1930</v>
      </c>
      <c r="C834" s="165" t="s">
        <v>1376</v>
      </c>
      <c r="E834" s="165" t="s">
        <v>2561</v>
      </c>
      <c r="G834" s="81">
        <v>521254</v>
      </c>
      <c r="H834" s="81">
        <v>174526</v>
      </c>
      <c r="I834" s="165" t="s">
        <v>877</v>
      </c>
      <c r="L834" s="166">
        <v>0</v>
      </c>
      <c r="M834" s="166">
        <v>1</v>
      </c>
      <c r="N834" s="166">
        <v>1</v>
      </c>
      <c r="O834" s="166">
        <v>1</v>
      </c>
      <c r="P834" s="166">
        <v>1</v>
      </c>
      <c r="R834" s="165" t="s">
        <v>1377</v>
      </c>
      <c r="S834" s="81" t="s">
        <v>113</v>
      </c>
      <c r="T834" s="349">
        <v>42590</v>
      </c>
      <c r="U834" s="349">
        <v>42691</v>
      </c>
      <c r="W834" s="81" t="s">
        <v>114</v>
      </c>
      <c r="Y834" s="81" t="s">
        <v>115</v>
      </c>
      <c r="Z834" s="81" t="s">
        <v>116</v>
      </c>
      <c r="AA834" s="81" t="s">
        <v>117</v>
      </c>
      <c r="AB834" s="81" t="s">
        <v>218</v>
      </c>
      <c r="AC834" s="166">
        <v>0.108000002801418</v>
      </c>
      <c r="AG834" s="81" t="s">
        <v>238</v>
      </c>
      <c r="AH834" s="81" t="s">
        <v>118</v>
      </c>
      <c r="AK834" s="166">
        <v>1</v>
      </c>
      <c r="AM834" s="166">
        <v>1</v>
      </c>
      <c r="AO834" s="166">
        <v>0</v>
      </c>
      <c r="AP834" s="166">
        <v>0</v>
      </c>
      <c r="AQ834" s="166">
        <v>0</v>
      </c>
      <c r="AR834" s="166">
        <v>0</v>
      </c>
      <c r="AS834" s="166">
        <v>0</v>
      </c>
      <c r="AT834" s="166">
        <v>1</v>
      </c>
      <c r="AU834" s="166">
        <v>0</v>
      </c>
      <c r="AV834" s="166">
        <v>0</v>
      </c>
      <c r="AW834" s="166">
        <v>0</v>
      </c>
      <c r="AX834" s="166">
        <v>0</v>
      </c>
      <c r="AY834" s="166">
        <v>0</v>
      </c>
      <c r="AZ834" s="166">
        <v>0</v>
      </c>
      <c r="BA834" s="166">
        <v>0</v>
      </c>
      <c r="BB834" s="166">
        <v>0</v>
      </c>
      <c r="BC834" s="166">
        <v>0</v>
      </c>
      <c r="BD834" s="166">
        <v>0</v>
      </c>
      <c r="BE834" s="166">
        <v>0</v>
      </c>
      <c r="BF834" s="166">
        <v>0</v>
      </c>
      <c r="BG834" s="166">
        <v>0</v>
      </c>
      <c r="BH834" s="166">
        <v>1</v>
      </c>
      <c r="BI834" s="166">
        <v>0</v>
      </c>
      <c r="BJ834" s="166">
        <v>0</v>
      </c>
      <c r="BK834" s="166">
        <v>0</v>
      </c>
      <c r="BL834" s="166">
        <v>0</v>
      </c>
      <c r="BM834" s="166">
        <v>0</v>
      </c>
      <c r="BN834" s="166">
        <v>0</v>
      </c>
      <c r="BO834" s="166">
        <v>0</v>
      </c>
      <c r="BP834" s="166">
        <v>0</v>
      </c>
      <c r="BQ834" s="81" t="s">
        <v>1758</v>
      </c>
      <c r="BZ834" s="81" t="s">
        <v>155</v>
      </c>
      <c r="CA834" s="81">
        <v>4</v>
      </c>
      <c r="CC834" s="167">
        <v>0</v>
      </c>
      <c r="CD834" s="167">
        <v>0</v>
      </c>
      <c r="CE834" s="167">
        <f>$N834/4</f>
        <v>0.25</v>
      </c>
      <c r="CF834" s="167">
        <f>$N834/4</f>
        <v>0.25</v>
      </c>
      <c r="CG834" s="167">
        <f>$N834/4</f>
        <v>0.25</v>
      </c>
      <c r="CH834" s="167">
        <f>$N834/4</f>
        <v>0.25</v>
      </c>
      <c r="CI834" s="167">
        <v>0</v>
      </c>
      <c r="CJ834" s="167">
        <v>0</v>
      </c>
      <c r="CK834" s="167">
        <v>0</v>
      </c>
      <c r="CL834" s="167">
        <v>0</v>
      </c>
      <c r="CM834" s="167">
        <v>0</v>
      </c>
      <c r="CN834" s="167">
        <v>0</v>
      </c>
      <c r="CO834" s="167">
        <v>0</v>
      </c>
      <c r="CP834" s="167">
        <v>0</v>
      </c>
      <c r="CQ834" s="167">
        <v>0</v>
      </c>
      <c r="CR834" s="167">
        <v>0</v>
      </c>
      <c r="CS834" s="167">
        <v>0</v>
      </c>
      <c r="CT834" s="167">
        <v>0</v>
      </c>
      <c r="CU834" s="167">
        <v>0</v>
      </c>
      <c r="CV834" s="167">
        <v>0</v>
      </c>
      <c r="CW834" s="167">
        <v>0</v>
      </c>
      <c r="CX834" s="167">
        <f>SUM(CD834:CH834)</f>
        <v>1</v>
      </c>
      <c r="CY834" s="167">
        <f>SUM(CD834:CM834)</f>
        <v>1</v>
      </c>
    </row>
    <row r="835" spans="1:103" ht="12.75" customHeight="1" x14ac:dyDescent="0.2">
      <c r="A835" s="81">
        <v>5359</v>
      </c>
      <c r="B835" s="165" t="s">
        <v>1930</v>
      </c>
      <c r="C835" s="165" t="s">
        <v>1538</v>
      </c>
      <c r="E835" s="165" t="s">
        <v>2562</v>
      </c>
      <c r="G835" s="81">
        <v>529690</v>
      </c>
      <c r="H835" s="81">
        <v>177683</v>
      </c>
      <c r="I835" s="165" t="s">
        <v>240</v>
      </c>
      <c r="L835" s="166">
        <v>1</v>
      </c>
      <c r="M835" s="166">
        <v>2</v>
      </c>
      <c r="N835" s="166">
        <v>1</v>
      </c>
      <c r="O835" s="166">
        <v>2</v>
      </c>
      <c r="P835" s="166">
        <v>1</v>
      </c>
      <c r="R835" s="165" t="s">
        <v>1539</v>
      </c>
      <c r="S835" s="81" t="s">
        <v>113</v>
      </c>
      <c r="T835" s="349">
        <v>42767</v>
      </c>
      <c r="U835" s="349">
        <v>42804</v>
      </c>
      <c r="W835" s="81" t="s">
        <v>114</v>
      </c>
      <c r="Y835" s="81" t="s">
        <v>115</v>
      </c>
      <c r="Z835" s="81" t="s">
        <v>119</v>
      </c>
      <c r="AA835" s="81" t="s">
        <v>117</v>
      </c>
      <c r="AB835" s="81" t="s">
        <v>220</v>
      </c>
      <c r="AC835" s="166">
        <v>8.0000003799796104E-3</v>
      </c>
      <c r="AG835" s="81" t="s">
        <v>238</v>
      </c>
      <c r="AH835" s="81" t="s">
        <v>118</v>
      </c>
      <c r="AK835" s="166">
        <v>0</v>
      </c>
      <c r="AM835" s="166">
        <v>0</v>
      </c>
      <c r="AO835" s="166">
        <v>1</v>
      </c>
      <c r="AP835" s="166">
        <v>1</v>
      </c>
      <c r="AQ835" s="166">
        <v>-1</v>
      </c>
      <c r="AR835" s="166">
        <v>0</v>
      </c>
      <c r="AS835" s="166">
        <v>0</v>
      </c>
      <c r="AT835" s="166">
        <v>0</v>
      </c>
      <c r="AU835" s="166">
        <v>0</v>
      </c>
      <c r="AV835" s="166">
        <v>1</v>
      </c>
      <c r="AW835" s="166">
        <v>1</v>
      </c>
      <c r="AX835" s="166">
        <v>0</v>
      </c>
      <c r="AY835" s="166">
        <v>0</v>
      </c>
      <c r="AZ835" s="166">
        <v>0</v>
      </c>
      <c r="BA835" s="166">
        <v>0</v>
      </c>
      <c r="BB835" s="166">
        <v>0</v>
      </c>
      <c r="BC835" s="166">
        <v>0</v>
      </c>
      <c r="BD835" s="166">
        <v>0</v>
      </c>
      <c r="BE835" s="166">
        <v>-1</v>
      </c>
      <c r="BF835" s="166">
        <v>0</v>
      </c>
      <c r="BG835" s="166">
        <v>0</v>
      </c>
      <c r="BH835" s="166">
        <v>0</v>
      </c>
      <c r="BI835" s="166">
        <v>0</v>
      </c>
      <c r="BJ835" s="166">
        <v>0</v>
      </c>
      <c r="BK835" s="166">
        <v>0</v>
      </c>
      <c r="BL835" s="166">
        <v>0</v>
      </c>
      <c r="BM835" s="166">
        <v>0</v>
      </c>
      <c r="BN835" s="166">
        <v>0</v>
      </c>
      <c r="BO835" s="166">
        <v>0</v>
      </c>
      <c r="BP835" s="166">
        <v>0</v>
      </c>
      <c r="BQ835" s="81" t="s">
        <v>1759</v>
      </c>
      <c r="BS835" s="81" t="s">
        <v>155</v>
      </c>
      <c r="BZ835" s="81" t="s">
        <v>155</v>
      </c>
      <c r="CA835" s="81" t="s">
        <v>1937</v>
      </c>
      <c r="CC835" s="167">
        <v>0</v>
      </c>
      <c r="CD835" s="167">
        <f>$N835/4</f>
        <v>0.25</v>
      </c>
      <c r="CE835" s="167">
        <f>$N835/4</f>
        <v>0.25</v>
      </c>
      <c r="CF835" s="167">
        <f>$N835/4</f>
        <v>0.25</v>
      </c>
      <c r="CG835" s="167">
        <f>$N835/4</f>
        <v>0.25</v>
      </c>
      <c r="CH835" s="167">
        <v>0</v>
      </c>
      <c r="CI835" s="167">
        <v>0</v>
      </c>
      <c r="CJ835" s="167">
        <v>0</v>
      </c>
      <c r="CK835" s="167">
        <v>0</v>
      </c>
      <c r="CL835" s="167">
        <v>0</v>
      </c>
      <c r="CM835" s="167">
        <v>0</v>
      </c>
      <c r="CN835" s="167">
        <v>0</v>
      </c>
      <c r="CO835" s="167">
        <v>0</v>
      </c>
      <c r="CP835" s="167">
        <v>0</v>
      </c>
      <c r="CQ835" s="167">
        <v>0</v>
      </c>
      <c r="CR835" s="167">
        <v>0</v>
      </c>
      <c r="CS835" s="167">
        <v>0</v>
      </c>
      <c r="CT835" s="167">
        <v>0</v>
      </c>
      <c r="CU835" s="167">
        <v>0</v>
      </c>
      <c r="CV835" s="167">
        <v>0</v>
      </c>
      <c r="CW835" s="167">
        <v>0</v>
      </c>
      <c r="CX835" s="167">
        <f>SUM(CD835:CH835)</f>
        <v>1</v>
      </c>
      <c r="CY835" s="167">
        <f>SUM(CD835:CM835)</f>
        <v>1</v>
      </c>
    </row>
    <row r="836" spans="1:103" ht="12.75" customHeight="1" x14ac:dyDescent="0.2">
      <c r="A836" s="81">
        <v>5363</v>
      </c>
      <c r="B836" s="165" t="s">
        <v>1930</v>
      </c>
      <c r="C836" s="165" t="s">
        <v>724</v>
      </c>
      <c r="E836" s="165" t="s">
        <v>2563</v>
      </c>
      <c r="G836" s="81">
        <v>525417</v>
      </c>
      <c r="H836" s="81">
        <v>174604</v>
      </c>
      <c r="I836" s="165" t="s">
        <v>258</v>
      </c>
      <c r="L836" s="166">
        <v>1</v>
      </c>
      <c r="M836" s="166">
        <v>1</v>
      </c>
      <c r="N836" s="166">
        <v>0</v>
      </c>
      <c r="O836" s="166">
        <v>1</v>
      </c>
      <c r="P836" s="166">
        <v>0</v>
      </c>
      <c r="R836" s="165" t="s">
        <v>725</v>
      </c>
      <c r="S836" s="81" t="s">
        <v>113</v>
      </c>
      <c r="T836" s="349">
        <v>42394</v>
      </c>
      <c r="U836" s="349">
        <v>42450</v>
      </c>
      <c r="W836" s="81" t="s">
        <v>114</v>
      </c>
      <c r="Y836" s="81" t="s">
        <v>115</v>
      </c>
      <c r="Z836" s="81" t="s">
        <v>310</v>
      </c>
      <c r="AA836" s="81" t="s">
        <v>117</v>
      </c>
      <c r="AB836" s="81" t="s">
        <v>105</v>
      </c>
      <c r="AC836" s="166">
        <v>6.0000000521540598E-3</v>
      </c>
      <c r="AG836" s="81" t="s">
        <v>238</v>
      </c>
      <c r="AH836" s="81" t="s">
        <v>118</v>
      </c>
      <c r="AK836" s="166">
        <v>0</v>
      </c>
      <c r="AM836" s="166">
        <v>0</v>
      </c>
      <c r="AO836" s="166">
        <v>0</v>
      </c>
      <c r="AP836" s="166">
        <v>1</v>
      </c>
      <c r="AQ836" s="166">
        <v>-1</v>
      </c>
      <c r="AR836" s="166">
        <v>0</v>
      </c>
      <c r="AS836" s="166">
        <v>0</v>
      </c>
      <c r="AT836" s="166">
        <v>0</v>
      </c>
      <c r="AU836" s="166">
        <v>0</v>
      </c>
      <c r="AV836" s="166">
        <v>0</v>
      </c>
      <c r="AW836" s="166">
        <v>1</v>
      </c>
      <c r="AX836" s="166">
        <v>-1</v>
      </c>
      <c r="AY836" s="166">
        <v>0</v>
      </c>
      <c r="AZ836" s="166">
        <v>0</v>
      </c>
      <c r="BA836" s="166">
        <v>0</v>
      </c>
      <c r="BB836" s="166">
        <v>0</v>
      </c>
      <c r="BC836" s="166">
        <v>0</v>
      </c>
      <c r="BD836" s="166">
        <v>0</v>
      </c>
      <c r="BE836" s="166">
        <v>0</v>
      </c>
      <c r="BF836" s="166">
        <v>0</v>
      </c>
      <c r="BG836" s="166">
        <v>0</v>
      </c>
      <c r="BH836" s="166">
        <v>0</v>
      </c>
      <c r="BI836" s="166">
        <v>0</v>
      </c>
      <c r="BJ836" s="166">
        <v>0</v>
      </c>
      <c r="BK836" s="166">
        <v>0</v>
      </c>
      <c r="BL836" s="166">
        <v>0</v>
      </c>
      <c r="BM836" s="166">
        <v>0</v>
      </c>
      <c r="BN836" s="166">
        <v>0</v>
      </c>
      <c r="BO836" s="166">
        <v>0</v>
      </c>
      <c r="BP836" s="166">
        <v>0</v>
      </c>
      <c r="BQ836" s="81" t="s">
        <v>1758</v>
      </c>
      <c r="BR836" s="81" t="s">
        <v>202</v>
      </c>
      <c r="BT836" s="81" t="s">
        <v>155</v>
      </c>
      <c r="BZ836" s="81" t="s">
        <v>155</v>
      </c>
      <c r="CA836" s="81" t="s">
        <v>1937</v>
      </c>
      <c r="CC836" s="167">
        <v>0</v>
      </c>
      <c r="CD836" s="167">
        <f>$N836/4</f>
        <v>0</v>
      </c>
      <c r="CE836" s="167">
        <f>$N836/4</f>
        <v>0</v>
      </c>
      <c r="CF836" s="167">
        <f>$N836/4</f>
        <v>0</v>
      </c>
      <c r="CG836" s="167">
        <f>$N836/4</f>
        <v>0</v>
      </c>
      <c r="CH836" s="167">
        <v>0</v>
      </c>
      <c r="CI836" s="167">
        <v>0</v>
      </c>
      <c r="CJ836" s="167">
        <v>0</v>
      </c>
      <c r="CK836" s="167">
        <v>0</v>
      </c>
      <c r="CL836" s="167">
        <v>0</v>
      </c>
      <c r="CM836" s="167">
        <v>0</v>
      </c>
      <c r="CN836" s="167">
        <v>0</v>
      </c>
      <c r="CO836" s="167">
        <v>0</v>
      </c>
      <c r="CP836" s="167">
        <v>0</v>
      </c>
      <c r="CQ836" s="167">
        <v>0</v>
      </c>
      <c r="CR836" s="167">
        <v>0</v>
      </c>
      <c r="CS836" s="167">
        <v>0</v>
      </c>
      <c r="CT836" s="167">
        <v>0</v>
      </c>
      <c r="CU836" s="167">
        <v>0</v>
      </c>
      <c r="CV836" s="167">
        <v>0</v>
      </c>
      <c r="CW836" s="167">
        <v>0</v>
      </c>
      <c r="CX836" s="167">
        <f>SUM(CD836:CH836)</f>
        <v>0</v>
      </c>
      <c r="CY836" s="167">
        <f>SUM(CD836:CM836)</f>
        <v>0</v>
      </c>
    </row>
    <row r="837" spans="1:103" ht="12.75" customHeight="1" x14ac:dyDescent="0.2">
      <c r="A837" s="81">
        <v>5454</v>
      </c>
      <c r="B837" s="165" t="s">
        <v>1930</v>
      </c>
      <c r="C837" s="165" t="s">
        <v>494</v>
      </c>
      <c r="E837" s="165" t="s">
        <v>3369</v>
      </c>
      <c r="G837" s="81">
        <v>524592</v>
      </c>
      <c r="H837" s="81">
        <v>175268</v>
      </c>
      <c r="I837" s="165" t="s">
        <v>259</v>
      </c>
      <c r="L837" s="166">
        <v>0</v>
      </c>
      <c r="M837" s="166">
        <v>53</v>
      </c>
      <c r="N837" s="166">
        <v>53</v>
      </c>
      <c r="O837" s="166">
        <v>53</v>
      </c>
      <c r="P837" s="166">
        <v>53</v>
      </c>
      <c r="Q837" s="81" t="s">
        <v>155</v>
      </c>
      <c r="R837" s="165" t="s">
        <v>1123</v>
      </c>
      <c r="S837" s="81" t="s">
        <v>104</v>
      </c>
      <c r="T837" s="349">
        <v>42011</v>
      </c>
      <c r="U837" s="349">
        <v>42291</v>
      </c>
      <c r="W837" s="81" t="s">
        <v>114</v>
      </c>
      <c r="Y837" s="81" t="s">
        <v>115</v>
      </c>
      <c r="Z837" s="81" t="s">
        <v>116</v>
      </c>
      <c r="AA837" s="81" t="s">
        <v>116</v>
      </c>
      <c r="AB837" s="81" t="s">
        <v>117</v>
      </c>
      <c r="AC837" s="166">
        <v>0.19599999487400099</v>
      </c>
      <c r="AG837" s="81" t="s">
        <v>238</v>
      </c>
      <c r="AH837" s="81" t="s">
        <v>118</v>
      </c>
      <c r="AK837" s="166">
        <v>53</v>
      </c>
      <c r="AM837" s="166">
        <v>6</v>
      </c>
      <c r="AO837" s="166">
        <v>0</v>
      </c>
      <c r="AP837" s="166">
        <v>10</v>
      </c>
      <c r="AQ837" s="166">
        <v>40</v>
      </c>
      <c r="AR837" s="166">
        <v>3</v>
      </c>
      <c r="AS837" s="166">
        <v>0</v>
      </c>
      <c r="AT837" s="166">
        <v>0</v>
      </c>
      <c r="AU837" s="166">
        <v>0</v>
      </c>
      <c r="AV837" s="166">
        <v>0</v>
      </c>
      <c r="AW837" s="166">
        <v>10</v>
      </c>
      <c r="AX837" s="166">
        <v>40</v>
      </c>
      <c r="AY837" s="166">
        <v>3</v>
      </c>
      <c r="AZ837" s="166">
        <v>0</v>
      </c>
      <c r="BA837" s="166">
        <v>0</v>
      </c>
      <c r="BB837" s="166">
        <v>0</v>
      </c>
      <c r="BC837" s="166">
        <v>0</v>
      </c>
      <c r="BD837" s="166">
        <v>0</v>
      </c>
      <c r="BE837" s="166">
        <v>0</v>
      </c>
      <c r="BF837" s="166">
        <v>0</v>
      </c>
      <c r="BG837" s="166">
        <v>0</v>
      </c>
      <c r="BH837" s="166">
        <v>0</v>
      </c>
      <c r="BI837" s="166">
        <v>0</v>
      </c>
      <c r="BJ837" s="166">
        <v>0</v>
      </c>
      <c r="BK837" s="166">
        <v>0</v>
      </c>
      <c r="BL837" s="166">
        <v>0</v>
      </c>
      <c r="BM837" s="166">
        <v>0</v>
      </c>
      <c r="BN837" s="166">
        <v>0</v>
      </c>
      <c r="BO837" s="166">
        <v>0</v>
      </c>
      <c r="BP837" s="166">
        <v>0</v>
      </c>
      <c r="BQ837" s="81" t="s">
        <v>1758</v>
      </c>
      <c r="BX837" s="81" t="s">
        <v>155</v>
      </c>
      <c r="BZ837" s="81" t="s">
        <v>155</v>
      </c>
      <c r="CA837" s="81" t="s">
        <v>3968</v>
      </c>
      <c r="CC837" s="167">
        <v>0</v>
      </c>
      <c r="CD837" s="167">
        <v>0</v>
      </c>
      <c r="CE837" s="167">
        <v>0</v>
      </c>
      <c r="CF837" s="167">
        <v>0</v>
      </c>
      <c r="CG837" s="167">
        <f>$N837/3</f>
        <v>17.666666666666668</v>
      </c>
      <c r="CH837" s="167">
        <f>$N837/3</f>
        <v>17.666666666666668</v>
      </c>
      <c r="CI837" s="167">
        <f>$N837/3</f>
        <v>17.666666666666668</v>
      </c>
      <c r="CJ837" s="167">
        <v>0</v>
      </c>
      <c r="CK837" s="167">
        <v>0</v>
      </c>
      <c r="CL837" s="167">
        <v>0</v>
      </c>
      <c r="CM837" s="167">
        <v>0</v>
      </c>
      <c r="CN837" s="167">
        <v>0</v>
      </c>
      <c r="CO837" s="167">
        <v>0</v>
      </c>
      <c r="CP837" s="167">
        <v>0</v>
      </c>
      <c r="CQ837" s="167">
        <v>0</v>
      </c>
      <c r="CR837" s="167">
        <v>0</v>
      </c>
      <c r="CS837" s="167">
        <v>0</v>
      </c>
      <c r="CT837" s="167">
        <v>0</v>
      </c>
      <c r="CU837" s="167">
        <v>0</v>
      </c>
      <c r="CV837" s="167">
        <v>0</v>
      </c>
      <c r="CW837" s="167">
        <v>0</v>
      </c>
      <c r="CX837" s="167">
        <f>SUM(CD837:CH837)</f>
        <v>35.333333333333336</v>
      </c>
      <c r="CY837" s="167">
        <f>SUM(CD837:CM837)</f>
        <v>53</v>
      </c>
    </row>
    <row r="838" spans="1:103" ht="12.75" customHeight="1" x14ac:dyDescent="0.2">
      <c r="A838" s="81">
        <v>5479</v>
      </c>
      <c r="B838" s="165" t="s">
        <v>1930</v>
      </c>
      <c r="C838" s="165" t="s">
        <v>1345</v>
      </c>
      <c r="D838" s="165" t="s">
        <v>1346</v>
      </c>
      <c r="E838" s="165" t="s">
        <v>2564</v>
      </c>
      <c r="G838" s="81">
        <v>528475</v>
      </c>
      <c r="H838" s="81">
        <v>176217</v>
      </c>
      <c r="I838" s="165" t="s">
        <v>240</v>
      </c>
      <c r="L838" s="166">
        <v>0</v>
      </c>
      <c r="M838" s="166">
        <v>2</v>
      </c>
      <c r="N838" s="166">
        <v>2</v>
      </c>
      <c r="O838" s="166">
        <v>2</v>
      </c>
      <c r="P838" s="166">
        <v>2</v>
      </c>
      <c r="R838" s="165" t="s">
        <v>1347</v>
      </c>
      <c r="S838" s="81" t="s">
        <v>113</v>
      </c>
      <c r="T838" s="349">
        <v>42559</v>
      </c>
      <c r="U838" s="349">
        <v>42702</v>
      </c>
      <c r="W838" s="81" t="s">
        <v>114</v>
      </c>
      <c r="Y838" s="81" t="s">
        <v>115</v>
      </c>
      <c r="Z838" s="81" t="s">
        <v>116</v>
      </c>
      <c r="AA838" s="81" t="s">
        <v>117</v>
      </c>
      <c r="AB838" s="81" t="s">
        <v>218</v>
      </c>
      <c r="AC838" s="166">
        <v>3.29999998211861E-2</v>
      </c>
      <c r="AG838" s="81" t="s">
        <v>238</v>
      </c>
      <c r="AH838" s="81" t="s">
        <v>118</v>
      </c>
      <c r="AK838" s="166">
        <v>2</v>
      </c>
      <c r="AM838" s="166">
        <v>0</v>
      </c>
      <c r="AO838" s="166">
        <v>0</v>
      </c>
      <c r="AP838" s="166">
        <v>0</v>
      </c>
      <c r="AQ838" s="166">
        <v>0</v>
      </c>
      <c r="AR838" s="166">
        <v>2</v>
      </c>
      <c r="AS838" s="166">
        <v>0</v>
      </c>
      <c r="AT838" s="166">
        <v>0</v>
      </c>
      <c r="AU838" s="166">
        <v>0</v>
      </c>
      <c r="AV838" s="166">
        <v>0</v>
      </c>
      <c r="AW838" s="166">
        <v>0</v>
      </c>
      <c r="AX838" s="166">
        <v>0</v>
      </c>
      <c r="AY838" s="166">
        <v>0</v>
      </c>
      <c r="AZ838" s="166">
        <v>0</v>
      </c>
      <c r="BA838" s="166">
        <v>0</v>
      </c>
      <c r="BB838" s="166">
        <v>0</v>
      </c>
      <c r="BC838" s="166">
        <v>0</v>
      </c>
      <c r="BD838" s="166">
        <v>0</v>
      </c>
      <c r="BE838" s="166">
        <v>0</v>
      </c>
      <c r="BF838" s="166">
        <v>2</v>
      </c>
      <c r="BG838" s="166">
        <v>0</v>
      </c>
      <c r="BH838" s="166">
        <v>0</v>
      </c>
      <c r="BI838" s="166">
        <v>0</v>
      </c>
      <c r="BJ838" s="166">
        <v>0</v>
      </c>
      <c r="BK838" s="166">
        <v>0</v>
      </c>
      <c r="BL838" s="166">
        <v>0</v>
      </c>
      <c r="BM838" s="166">
        <v>0</v>
      </c>
      <c r="BN838" s="166">
        <v>0</v>
      </c>
      <c r="BO838" s="166">
        <v>0</v>
      </c>
      <c r="BP838" s="166">
        <v>0</v>
      </c>
      <c r="BQ838" s="81" t="s">
        <v>1757</v>
      </c>
      <c r="BZ838" s="81" t="s">
        <v>155</v>
      </c>
      <c r="CA838" s="81">
        <v>4</v>
      </c>
      <c r="CC838" s="167">
        <v>0</v>
      </c>
      <c r="CD838" s="167">
        <v>0</v>
      </c>
      <c r="CE838" s="167">
        <f>$N838/4</f>
        <v>0.5</v>
      </c>
      <c r="CF838" s="167">
        <f>$N838/4</f>
        <v>0.5</v>
      </c>
      <c r="CG838" s="167">
        <f>$N838/4</f>
        <v>0.5</v>
      </c>
      <c r="CH838" s="167">
        <f>$N838/4</f>
        <v>0.5</v>
      </c>
      <c r="CI838" s="167">
        <v>0</v>
      </c>
      <c r="CJ838" s="167">
        <v>0</v>
      </c>
      <c r="CK838" s="167">
        <v>0</v>
      </c>
      <c r="CL838" s="167">
        <v>0</v>
      </c>
      <c r="CM838" s="167">
        <v>0</v>
      </c>
      <c r="CN838" s="167">
        <v>0</v>
      </c>
      <c r="CO838" s="167">
        <v>0</v>
      </c>
      <c r="CP838" s="167">
        <v>0</v>
      </c>
      <c r="CQ838" s="167">
        <v>0</v>
      </c>
      <c r="CR838" s="167">
        <v>0</v>
      </c>
      <c r="CS838" s="167">
        <v>0</v>
      </c>
      <c r="CT838" s="167">
        <v>0</v>
      </c>
      <c r="CU838" s="167">
        <v>0</v>
      </c>
      <c r="CV838" s="167">
        <v>0</v>
      </c>
      <c r="CW838" s="167">
        <v>0</v>
      </c>
      <c r="CX838" s="167">
        <f>SUM(CD838:CH838)</f>
        <v>2</v>
      </c>
      <c r="CY838" s="167">
        <f>SUM(CD838:CM838)</f>
        <v>2</v>
      </c>
    </row>
    <row r="839" spans="1:103" ht="12.75" customHeight="1" x14ac:dyDescent="0.2">
      <c r="A839" s="81">
        <v>5499</v>
      </c>
      <c r="B839" s="165" t="s">
        <v>1930</v>
      </c>
      <c r="C839" s="165" t="s">
        <v>1517</v>
      </c>
      <c r="E839" s="165" t="s">
        <v>2565</v>
      </c>
      <c r="G839" s="81">
        <v>526630</v>
      </c>
      <c r="H839" s="81">
        <v>176073</v>
      </c>
      <c r="I839" s="165" t="s">
        <v>257</v>
      </c>
      <c r="L839" s="166">
        <v>0</v>
      </c>
      <c r="M839" s="166">
        <v>4</v>
      </c>
      <c r="N839" s="166">
        <v>4</v>
      </c>
      <c r="O839" s="166">
        <v>4</v>
      </c>
      <c r="P839" s="166">
        <v>4</v>
      </c>
      <c r="R839" s="165" t="s">
        <v>1518</v>
      </c>
      <c r="S839" s="81" t="s">
        <v>270</v>
      </c>
      <c r="T839" s="349">
        <v>42747</v>
      </c>
      <c r="U839" s="349">
        <v>42803</v>
      </c>
      <c r="W839" s="81" t="s">
        <v>114</v>
      </c>
      <c r="Y839" s="81" t="s">
        <v>115</v>
      </c>
      <c r="Z839" s="81" t="s">
        <v>310</v>
      </c>
      <c r="AA839" s="81" t="s">
        <v>117</v>
      </c>
      <c r="AB839" s="81" t="s">
        <v>399</v>
      </c>
      <c r="AC839" s="166">
        <v>1.39999995008111E-3</v>
      </c>
      <c r="AG839" s="81" t="s">
        <v>238</v>
      </c>
      <c r="AH839" s="81" t="s">
        <v>118</v>
      </c>
      <c r="AI839" s="81" t="s">
        <v>2001</v>
      </c>
      <c r="AK839" s="166">
        <v>0</v>
      </c>
      <c r="AM839" s="166">
        <v>0</v>
      </c>
      <c r="AO839" s="166">
        <v>0</v>
      </c>
      <c r="AP839" s="166">
        <v>1</v>
      </c>
      <c r="AQ839" s="166">
        <v>3</v>
      </c>
      <c r="AR839" s="166">
        <v>0</v>
      </c>
      <c r="AS839" s="166">
        <v>0</v>
      </c>
      <c r="AT839" s="166">
        <v>0</v>
      </c>
      <c r="AU839" s="166">
        <v>0</v>
      </c>
      <c r="AV839" s="166">
        <v>0</v>
      </c>
      <c r="AW839" s="166">
        <v>1</v>
      </c>
      <c r="AX839" s="166">
        <v>3</v>
      </c>
      <c r="AY839" s="166">
        <v>0</v>
      </c>
      <c r="AZ839" s="166">
        <v>0</v>
      </c>
      <c r="BA839" s="166">
        <v>0</v>
      </c>
      <c r="BB839" s="166">
        <v>0</v>
      </c>
      <c r="BC839" s="166">
        <v>0</v>
      </c>
      <c r="BD839" s="166">
        <v>0</v>
      </c>
      <c r="BE839" s="166">
        <v>0</v>
      </c>
      <c r="BF839" s="166">
        <v>0</v>
      </c>
      <c r="BG839" s="166">
        <v>0</v>
      </c>
      <c r="BH839" s="166">
        <v>0</v>
      </c>
      <c r="BI839" s="166">
        <v>0</v>
      </c>
      <c r="BJ839" s="166">
        <v>0</v>
      </c>
      <c r="BK839" s="166">
        <v>0</v>
      </c>
      <c r="BL839" s="166">
        <v>0</v>
      </c>
      <c r="BM839" s="166">
        <v>0</v>
      </c>
      <c r="BN839" s="166">
        <v>0</v>
      </c>
      <c r="BO839" s="166">
        <v>0</v>
      </c>
      <c r="BP839" s="166">
        <v>0</v>
      </c>
      <c r="BQ839" s="81" t="s">
        <v>1757</v>
      </c>
      <c r="BX839" s="81" t="s">
        <v>155</v>
      </c>
      <c r="BZ839" s="81" t="s">
        <v>155</v>
      </c>
      <c r="CA839" s="81" t="s">
        <v>1937</v>
      </c>
      <c r="CC839" s="167">
        <v>0</v>
      </c>
      <c r="CD839" s="167">
        <f>$N839/4</f>
        <v>1</v>
      </c>
      <c r="CE839" s="167">
        <f>$N839/4</f>
        <v>1</v>
      </c>
      <c r="CF839" s="167">
        <f>$N839/4</f>
        <v>1</v>
      </c>
      <c r="CG839" s="167">
        <f>$N839/4</f>
        <v>1</v>
      </c>
      <c r="CH839" s="167">
        <v>0</v>
      </c>
      <c r="CI839" s="167">
        <v>0</v>
      </c>
      <c r="CJ839" s="167">
        <v>0</v>
      </c>
      <c r="CK839" s="167">
        <v>0</v>
      </c>
      <c r="CL839" s="167">
        <v>0</v>
      </c>
      <c r="CM839" s="167">
        <v>0</v>
      </c>
      <c r="CN839" s="167">
        <v>0</v>
      </c>
      <c r="CO839" s="167">
        <v>0</v>
      </c>
      <c r="CP839" s="167">
        <v>0</v>
      </c>
      <c r="CQ839" s="167">
        <v>0</v>
      </c>
      <c r="CR839" s="167">
        <v>0</v>
      </c>
      <c r="CS839" s="167">
        <v>0</v>
      </c>
      <c r="CT839" s="167">
        <v>0</v>
      </c>
      <c r="CU839" s="167">
        <v>0</v>
      </c>
      <c r="CV839" s="167">
        <v>0</v>
      </c>
      <c r="CW839" s="167">
        <v>0</v>
      </c>
      <c r="CX839" s="167">
        <f>SUM(CD839:CH839)</f>
        <v>4</v>
      </c>
      <c r="CY839" s="167">
        <f>SUM(CD839:CM839)</f>
        <v>4</v>
      </c>
    </row>
    <row r="840" spans="1:103" ht="12.75" customHeight="1" x14ac:dyDescent="0.2">
      <c r="A840" s="81">
        <v>5518</v>
      </c>
      <c r="B840" s="165" t="s">
        <v>1930</v>
      </c>
      <c r="C840" s="165" t="s">
        <v>640</v>
      </c>
      <c r="E840" s="165" t="s">
        <v>2566</v>
      </c>
      <c r="G840" s="81">
        <v>529242</v>
      </c>
      <c r="H840" s="81">
        <v>171102</v>
      </c>
      <c r="I840" s="165" t="s">
        <v>252</v>
      </c>
      <c r="L840" s="166">
        <v>1</v>
      </c>
      <c r="M840" s="166">
        <v>3</v>
      </c>
      <c r="N840" s="166">
        <v>2</v>
      </c>
      <c r="O840" s="166">
        <v>3</v>
      </c>
      <c r="P840" s="166">
        <v>2</v>
      </c>
      <c r="R840" s="165" t="s">
        <v>1139</v>
      </c>
      <c r="S840" s="81" t="s">
        <v>113</v>
      </c>
      <c r="T840" s="349">
        <v>42227</v>
      </c>
      <c r="U840" s="349">
        <v>42283</v>
      </c>
      <c r="W840" s="81" t="s">
        <v>114</v>
      </c>
      <c r="Y840" s="81" t="s">
        <v>115</v>
      </c>
      <c r="Z840" s="81" t="s">
        <v>398</v>
      </c>
      <c r="AA840" s="81" t="s">
        <v>117</v>
      </c>
      <c r="AB840" s="81" t="s">
        <v>120</v>
      </c>
      <c r="AC840" s="166">
        <v>1.4999999664723899E-2</v>
      </c>
      <c r="AG840" s="81" t="s">
        <v>238</v>
      </c>
      <c r="AH840" s="81" t="s">
        <v>118</v>
      </c>
      <c r="AK840" s="166">
        <v>0</v>
      </c>
      <c r="AM840" s="166">
        <v>0</v>
      </c>
      <c r="AO840" s="166">
        <v>0</v>
      </c>
      <c r="AP840" s="166">
        <v>1</v>
      </c>
      <c r="AQ840" s="166">
        <v>1</v>
      </c>
      <c r="AR840" s="166">
        <v>1</v>
      </c>
      <c r="AS840" s="166">
        <v>-1</v>
      </c>
      <c r="AT840" s="166">
        <v>0</v>
      </c>
      <c r="AU840" s="166">
        <v>0</v>
      </c>
      <c r="AV840" s="166">
        <v>0</v>
      </c>
      <c r="AW840" s="166">
        <v>1</v>
      </c>
      <c r="AX840" s="166">
        <v>1</v>
      </c>
      <c r="AY840" s="166">
        <v>1</v>
      </c>
      <c r="AZ840" s="166">
        <v>0</v>
      </c>
      <c r="BA840" s="166">
        <v>0</v>
      </c>
      <c r="BB840" s="166">
        <v>0</v>
      </c>
      <c r="BC840" s="166">
        <v>0</v>
      </c>
      <c r="BD840" s="166">
        <v>0</v>
      </c>
      <c r="BE840" s="166">
        <v>0</v>
      </c>
      <c r="BF840" s="166">
        <v>0</v>
      </c>
      <c r="BG840" s="166">
        <v>-1</v>
      </c>
      <c r="BH840" s="166">
        <v>0</v>
      </c>
      <c r="BI840" s="166">
        <v>0</v>
      </c>
      <c r="BJ840" s="166">
        <v>0</v>
      </c>
      <c r="BK840" s="166">
        <v>0</v>
      </c>
      <c r="BL840" s="166">
        <v>0</v>
      </c>
      <c r="BM840" s="166">
        <v>0</v>
      </c>
      <c r="BN840" s="166">
        <v>0</v>
      </c>
      <c r="BO840" s="166">
        <v>0</v>
      </c>
      <c r="BP840" s="166">
        <v>0</v>
      </c>
      <c r="BQ840" s="81" t="s">
        <v>1757</v>
      </c>
      <c r="BZ840" s="81" t="s">
        <v>155</v>
      </c>
      <c r="CA840" s="81" t="s">
        <v>1937</v>
      </c>
      <c r="CC840" s="167">
        <v>0</v>
      </c>
      <c r="CD840" s="167">
        <f>$N840/4</f>
        <v>0.5</v>
      </c>
      <c r="CE840" s="167">
        <f>$N840/4</f>
        <v>0.5</v>
      </c>
      <c r="CF840" s="167">
        <f>$N840/4</f>
        <v>0.5</v>
      </c>
      <c r="CG840" s="167">
        <f>$N840/4</f>
        <v>0.5</v>
      </c>
      <c r="CH840" s="167">
        <v>0</v>
      </c>
      <c r="CI840" s="167">
        <v>0</v>
      </c>
      <c r="CJ840" s="167">
        <v>0</v>
      </c>
      <c r="CK840" s="167">
        <v>0</v>
      </c>
      <c r="CL840" s="167">
        <v>0</v>
      </c>
      <c r="CM840" s="167">
        <v>0</v>
      </c>
      <c r="CN840" s="167">
        <v>0</v>
      </c>
      <c r="CO840" s="167">
        <v>0</v>
      </c>
      <c r="CP840" s="167">
        <v>0</v>
      </c>
      <c r="CQ840" s="167">
        <v>0</v>
      </c>
      <c r="CR840" s="167">
        <v>0</v>
      </c>
      <c r="CS840" s="167">
        <v>0</v>
      </c>
      <c r="CT840" s="167">
        <v>0</v>
      </c>
      <c r="CU840" s="167">
        <v>0</v>
      </c>
      <c r="CV840" s="167">
        <v>0</v>
      </c>
      <c r="CW840" s="167">
        <v>0</v>
      </c>
      <c r="CX840" s="167">
        <f>SUM(CD840:CH840)</f>
        <v>2</v>
      </c>
      <c r="CY840" s="167">
        <f>SUM(CD840:CM840)</f>
        <v>2</v>
      </c>
    </row>
    <row r="841" spans="1:103" ht="12.75" customHeight="1" x14ac:dyDescent="0.2">
      <c r="A841" s="81">
        <v>5539</v>
      </c>
      <c r="B841" s="165" t="s">
        <v>1930</v>
      </c>
      <c r="C841" s="165" t="s">
        <v>424</v>
      </c>
      <c r="E841" s="165" t="s">
        <v>2567</v>
      </c>
      <c r="G841" s="81">
        <v>527142</v>
      </c>
      <c r="H841" s="81">
        <v>174906</v>
      </c>
      <c r="I841" s="165" t="s">
        <v>255</v>
      </c>
      <c r="L841" s="166">
        <v>0</v>
      </c>
      <c r="M841" s="166">
        <v>1</v>
      </c>
      <c r="N841" s="166">
        <v>1</v>
      </c>
      <c r="O841" s="166">
        <v>1</v>
      </c>
      <c r="P841" s="166">
        <v>1</v>
      </c>
      <c r="R841" s="165" t="s">
        <v>425</v>
      </c>
      <c r="S841" s="81" t="s">
        <v>113</v>
      </c>
      <c r="T841" s="349">
        <v>42086</v>
      </c>
      <c r="U841" s="349">
        <v>42229</v>
      </c>
      <c r="W841" s="81" t="s">
        <v>114</v>
      </c>
      <c r="Y841" s="81" t="s">
        <v>115</v>
      </c>
      <c r="Z841" s="81" t="s">
        <v>116</v>
      </c>
      <c r="AA841" s="81" t="s">
        <v>117</v>
      </c>
      <c r="AB841" s="81" t="s">
        <v>218</v>
      </c>
      <c r="AC841" s="166">
        <v>9.9999997764825804E-3</v>
      </c>
      <c r="AG841" s="81" t="s">
        <v>238</v>
      </c>
      <c r="AH841" s="81" t="s">
        <v>118</v>
      </c>
      <c r="AK841" s="166">
        <v>1</v>
      </c>
      <c r="AM841" s="166">
        <v>0</v>
      </c>
      <c r="AO841" s="166">
        <v>0</v>
      </c>
      <c r="AP841" s="166">
        <v>0</v>
      </c>
      <c r="AQ841" s="166">
        <v>0</v>
      </c>
      <c r="AR841" s="166">
        <v>0</v>
      </c>
      <c r="AS841" s="166">
        <v>1</v>
      </c>
      <c r="AT841" s="166">
        <v>0</v>
      </c>
      <c r="AU841" s="166">
        <v>0</v>
      </c>
      <c r="AV841" s="166">
        <v>0</v>
      </c>
      <c r="AW841" s="166">
        <v>0</v>
      </c>
      <c r="AX841" s="166">
        <v>0</v>
      </c>
      <c r="AY841" s="166">
        <v>0</v>
      </c>
      <c r="AZ841" s="166">
        <v>0</v>
      </c>
      <c r="BA841" s="166">
        <v>0</v>
      </c>
      <c r="BB841" s="166">
        <v>0</v>
      </c>
      <c r="BC841" s="166">
        <v>0</v>
      </c>
      <c r="BD841" s="166">
        <v>0</v>
      </c>
      <c r="BE841" s="166">
        <v>0</v>
      </c>
      <c r="BF841" s="166">
        <v>0</v>
      </c>
      <c r="BG841" s="166">
        <v>1</v>
      </c>
      <c r="BH841" s="166">
        <v>0</v>
      </c>
      <c r="BI841" s="166">
        <v>0</v>
      </c>
      <c r="BJ841" s="166">
        <v>0</v>
      </c>
      <c r="BK841" s="166">
        <v>0</v>
      </c>
      <c r="BL841" s="166">
        <v>0</v>
      </c>
      <c r="BM841" s="166">
        <v>0</v>
      </c>
      <c r="BN841" s="166">
        <v>0</v>
      </c>
      <c r="BO841" s="166">
        <v>0</v>
      </c>
      <c r="BP841" s="166">
        <v>0</v>
      </c>
      <c r="BQ841" s="81" t="s">
        <v>1757</v>
      </c>
      <c r="BZ841" s="81" t="s">
        <v>155</v>
      </c>
      <c r="CA841" s="81">
        <v>4</v>
      </c>
      <c r="CC841" s="167">
        <v>0</v>
      </c>
      <c r="CD841" s="167">
        <v>0</v>
      </c>
      <c r="CE841" s="167">
        <f>$N841/4</f>
        <v>0.25</v>
      </c>
      <c r="CF841" s="167">
        <f>$N841/4</f>
        <v>0.25</v>
      </c>
      <c r="CG841" s="167">
        <f>$N841/4</f>
        <v>0.25</v>
      </c>
      <c r="CH841" s="167">
        <f>$N841/4</f>
        <v>0.25</v>
      </c>
      <c r="CI841" s="167">
        <v>0</v>
      </c>
      <c r="CJ841" s="167">
        <v>0</v>
      </c>
      <c r="CK841" s="167">
        <v>0</v>
      </c>
      <c r="CL841" s="167">
        <v>0</v>
      </c>
      <c r="CM841" s="167">
        <v>0</v>
      </c>
      <c r="CN841" s="167">
        <v>0</v>
      </c>
      <c r="CO841" s="167">
        <v>0</v>
      </c>
      <c r="CP841" s="167">
        <v>0</v>
      </c>
      <c r="CQ841" s="167">
        <v>0</v>
      </c>
      <c r="CR841" s="167">
        <v>0</v>
      </c>
      <c r="CS841" s="167">
        <v>0</v>
      </c>
      <c r="CT841" s="167">
        <v>0</v>
      </c>
      <c r="CU841" s="167">
        <v>0</v>
      </c>
      <c r="CV841" s="167">
        <v>0</v>
      </c>
      <c r="CW841" s="167">
        <v>0</v>
      </c>
      <c r="CX841" s="167">
        <f>SUM(CD841:CH841)</f>
        <v>1</v>
      </c>
      <c r="CY841" s="167">
        <f>SUM(CD841:CM841)</f>
        <v>1</v>
      </c>
    </row>
    <row r="842" spans="1:103" ht="12.75" customHeight="1" x14ac:dyDescent="0.2">
      <c r="A842" s="81">
        <v>5552</v>
      </c>
      <c r="B842" s="165" t="s">
        <v>1930</v>
      </c>
      <c r="C842" s="165" t="s">
        <v>2568</v>
      </c>
      <c r="E842" s="165" t="s">
        <v>2119</v>
      </c>
      <c r="G842" s="81">
        <v>525905</v>
      </c>
      <c r="H842" s="81">
        <v>173024</v>
      </c>
      <c r="I842" s="165" t="s">
        <v>249</v>
      </c>
      <c r="L842" s="166">
        <v>0</v>
      </c>
      <c r="M842" s="166">
        <v>7</v>
      </c>
      <c r="N842" s="166">
        <v>7</v>
      </c>
      <c r="O842" s="166">
        <v>7</v>
      </c>
      <c r="P842" s="166">
        <v>7</v>
      </c>
      <c r="R842" s="165" t="s">
        <v>2569</v>
      </c>
      <c r="S842" s="81" t="s">
        <v>270</v>
      </c>
      <c r="T842" s="349">
        <v>42888</v>
      </c>
      <c r="U842" s="349">
        <v>42944</v>
      </c>
      <c r="V842" s="81" t="s">
        <v>155</v>
      </c>
      <c r="W842" s="81" t="s">
        <v>114</v>
      </c>
      <c r="Y842" s="81" t="s">
        <v>115</v>
      </c>
      <c r="Z842" s="81" t="s">
        <v>310</v>
      </c>
      <c r="AA842" s="81" t="s">
        <v>117</v>
      </c>
      <c r="AB842" s="81" t="s">
        <v>399</v>
      </c>
      <c r="AC842" s="166">
        <v>5.7000000029802302E-2</v>
      </c>
      <c r="AG842" s="81" t="s">
        <v>238</v>
      </c>
      <c r="AH842" s="81" t="s">
        <v>118</v>
      </c>
      <c r="AK842" s="166">
        <v>0</v>
      </c>
      <c r="AM842" s="166">
        <v>0</v>
      </c>
      <c r="AO842" s="166">
        <v>1</v>
      </c>
      <c r="AP842" s="166">
        <v>3</v>
      </c>
      <c r="AQ842" s="166">
        <v>3</v>
      </c>
      <c r="AR842" s="166">
        <v>0</v>
      </c>
      <c r="AS842" s="166">
        <v>0</v>
      </c>
      <c r="AT842" s="166">
        <v>0</v>
      </c>
      <c r="AU842" s="166">
        <v>0</v>
      </c>
      <c r="AV842" s="166">
        <v>1</v>
      </c>
      <c r="AW842" s="166">
        <v>3</v>
      </c>
      <c r="AX842" s="166">
        <v>3</v>
      </c>
      <c r="AY842" s="166">
        <v>0</v>
      </c>
      <c r="AZ842" s="166">
        <v>0</v>
      </c>
      <c r="BA842" s="166">
        <v>0</v>
      </c>
      <c r="BB842" s="166">
        <v>0</v>
      </c>
      <c r="BC842" s="166">
        <v>0</v>
      </c>
      <c r="BD842" s="166">
        <v>0</v>
      </c>
      <c r="BE842" s="166">
        <v>0</v>
      </c>
      <c r="BF842" s="166">
        <v>0</v>
      </c>
      <c r="BG842" s="166">
        <v>0</v>
      </c>
      <c r="BH842" s="166">
        <v>0</v>
      </c>
      <c r="BI842" s="166">
        <v>0</v>
      </c>
      <c r="BJ842" s="166">
        <v>0</v>
      </c>
      <c r="BK842" s="166">
        <v>0</v>
      </c>
      <c r="BL842" s="166">
        <v>0</v>
      </c>
      <c r="BM842" s="166">
        <v>0</v>
      </c>
      <c r="BN842" s="166">
        <v>0</v>
      </c>
      <c r="BO842" s="166">
        <v>0</v>
      </c>
      <c r="BP842" s="166">
        <v>0</v>
      </c>
      <c r="BQ842" s="81" t="s">
        <v>1758</v>
      </c>
      <c r="BY842" s="81" t="s">
        <v>155</v>
      </c>
      <c r="BZ842" s="81" t="s">
        <v>155</v>
      </c>
      <c r="CA842" s="81" t="s">
        <v>3972</v>
      </c>
      <c r="CC842" s="167">
        <v>0</v>
      </c>
      <c r="CD842" s="167">
        <f>$N842/4</f>
        <v>1.75</v>
      </c>
      <c r="CE842" s="167">
        <f>$N842/4</f>
        <v>1.75</v>
      </c>
      <c r="CF842" s="167">
        <f>$N842/4</f>
        <v>1.75</v>
      </c>
      <c r="CG842" s="167">
        <f>$N842/4</f>
        <v>1.75</v>
      </c>
      <c r="CH842" s="167">
        <v>0</v>
      </c>
      <c r="CI842" s="167">
        <v>0</v>
      </c>
      <c r="CJ842" s="167">
        <v>0</v>
      </c>
      <c r="CK842" s="167">
        <v>0</v>
      </c>
      <c r="CL842" s="167">
        <v>0</v>
      </c>
      <c r="CM842" s="167">
        <v>0</v>
      </c>
      <c r="CN842" s="167">
        <v>0</v>
      </c>
      <c r="CO842" s="167">
        <v>0</v>
      </c>
      <c r="CP842" s="167">
        <v>0</v>
      </c>
      <c r="CQ842" s="167">
        <v>0</v>
      </c>
      <c r="CR842" s="167">
        <v>0</v>
      </c>
      <c r="CS842" s="167">
        <v>0</v>
      </c>
      <c r="CT842" s="167">
        <v>0</v>
      </c>
      <c r="CU842" s="167">
        <v>0</v>
      </c>
      <c r="CV842" s="167">
        <v>0</v>
      </c>
      <c r="CW842" s="167">
        <v>0</v>
      </c>
      <c r="CX842" s="167">
        <f>SUM(CD842:CH842)</f>
        <v>7</v>
      </c>
      <c r="CY842" s="167">
        <f>SUM(CD842:CM842)</f>
        <v>7</v>
      </c>
    </row>
    <row r="843" spans="1:103" ht="12.75" customHeight="1" x14ac:dyDescent="0.2">
      <c r="A843" s="81">
        <v>5561</v>
      </c>
      <c r="B843" s="165" t="s">
        <v>1930</v>
      </c>
      <c r="C843" s="165" t="s">
        <v>2570</v>
      </c>
      <c r="E843" s="165" t="s">
        <v>2571</v>
      </c>
      <c r="G843" s="81">
        <v>528467</v>
      </c>
      <c r="H843" s="81">
        <v>172710</v>
      </c>
      <c r="I843" s="165" t="s">
        <v>248</v>
      </c>
      <c r="L843" s="166">
        <v>1</v>
      </c>
      <c r="M843" s="166">
        <v>3</v>
      </c>
      <c r="N843" s="166">
        <v>2</v>
      </c>
      <c r="O843" s="166">
        <v>3</v>
      </c>
      <c r="P843" s="166">
        <v>2</v>
      </c>
      <c r="R843" s="165" t="s">
        <v>2572</v>
      </c>
      <c r="S843" s="81" t="s">
        <v>113</v>
      </c>
      <c r="T843" s="349">
        <v>43102</v>
      </c>
      <c r="U843" s="349">
        <v>43158</v>
      </c>
      <c r="V843" s="81" t="s">
        <v>155</v>
      </c>
      <c r="W843" s="81" t="s">
        <v>114</v>
      </c>
      <c r="Y843" s="81" t="s">
        <v>115</v>
      </c>
      <c r="Z843" s="81" t="s">
        <v>398</v>
      </c>
      <c r="AA843" s="81" t="s">
        <v>117</v>
      </c>
      <c r="AB843" s="81" t="s">
        <v>120</v>
      </c>
      <c r="AC843" s="166">
        <v>1.7000000923872001E-2</v>
      </c>
      <c r="AG843" s="81" t="s">
        <v>238</v>
      </c>
      <c r="AH843" s="81" t="s">
        <v>118</v>
      </c>
      <c r="AK843" s="166">
        <v>0</v>
      </c>
      <c r="AM843" s="166">
        <v>0</v>
      </c>
      <c r="AO843" s="166">
        <v>0</v>
      </c>
      <c r="AP843" s="166">
        <v>0</v>
      </c>
      <c r="AQ843" s="166">
        <v>2</v>
      </c>
      <c r="AR843" s="166">
        <v>1</v>
      </c>
      <c r="AS843" s="166">
        <v>-1</v>
      </c>
      <c r="AT843" s="166">
        <v>0</v>
      </c>
      <c r="AU843" s="166">
        <v>0</v>
      </c>
      <c r="AV843" s="166">
        <v>0</v>
      </c>
      <c r="AW843" s="166">
        <v>0</v>
      </c>
      <c r="AX843" s="166">
        <v>2</v>
      </c>
      <c r="AY843" s="166">
        <v>1</v>
      </c>
      <c r="AZ843" s="166">
        <v>0</v>
      </c>
      <c r="BA843" s="166">
        <v>0</v>
      </c>
      <c r="BB843" s="166">
        <v>0</v>
      </c>
      <c r="BC843" s="166">
        <v>0</v>
      </c>
      <c r="BD843" s="166">
        <v>0</v>
      </c>
      <c r="BE843" s="166">
        <v>0</v>
      </c>
      <c r="BF843" s="166">
        <v>0</v>
      </c>
      <c r="BG843" s="166">
        <v>-1</v>
      </c>
      <c r="BH843" s="166">
        <v>0</v>
      </c>
      <c r="BI843" s="166">
        <v>0</v>
      </c>
      <c r="BJ843" s="166">
        <v>0</v>
      </c>
      <c r="BK843" s="166">
        <v>0</v>
      </c>
      <c r="BL843" s="166">
        <v>0</v>
      </c>
      <c r="BM843" s="166">
        <v>0</v>
      </c>
      <c r="BN843" s="166">
        <v>0</v>
      </c>
      <c r="BO843" s="166">
        <v>0</v>
      </c>
      <c r="BP843" s="166">
        <v>0</v>
      </c>
      <c r="BQ843" s="81" t="s">
        <v>1757</v>
      </c>
      <c r="BZ843" s="81" t="s">
        <v>155</v>
      </c>
      <c r="CA843" s="81" t="s">
        <v>1937</v>
      </c>
      <c r="CC843" s="167">
        <v>0</v>
      </c>
      <c r="CD843" s="167">
        <f>$N843/4</f>
        <v>0.5</v>
      </c>
      <c r="CE843" s="167">
        <f>$N843/4</f>
        <v>0.5</v>
      </c>
      <c r="CF843" s="167">
        <f>$N843/4</f>
        <v>0.5</v>
      </c>
      <c r="CG843" s="167">
        <f>$N843/4</f>
        <v>0.5</v>
      </c>
      <c r="CH843" s="167">
        <v>0</v>
      </c>
      <c r="CI843" s="167">
        <v>0</v>
      </c>
      <c r="CJ843" s="167">
        <v>0</v>
      </c>
      <c r="CK843" s="167">
        <v>0</v>
      </c>
      <c r="CL843" s="167">
        <v>0</v>
      </c>
      <c r="CM843" s="167">
        <v>0</v>
      </c>
      <c r="CN843" s="167">
        <v>0</v>
      </c>
      <c r="CO843" s="167">
        <v>0</v>
      </c>
      <c r="CP843" s="167">
        <v>0</v>
      </c>
      <c r="CQ843" s="167">
        <v>0</v>
      </c>
      <c r="CR843" s="167">
        <v>0</v>
      </c>
      <c r="CS843" s="167">
        <v>0</v>
      </c>
      <c r="CT843" s="167">
        <v>0</v>
      </c>
      <c r="CU843" s="167">
        <v>0</v>
      </c>
      <c r="CV843" s="167">
        <v>0</v>
      </c>
      <c r="CW843" s="167">
        <v>0</v>
      </c>
      <c r="CX843" s="167">
        <f>SUM(CD843:CH843)</f>
        <v>2</v>
      </c>
      <c r="CY843" s="167">
        <f>SUM(CD843:CM843)</f>
        <v>2</v>
      </c>
    </row>
    <row r="844" spans="1:103" ht="12.75" customHeight="1" x14ac:dyDescent="0.2">
      <c r="A844" s="81">
        <v>5589</v>
      </c>
      <c r="B844" s="165" t="s">
        <v>1930</v>
      </c>
      <c r="C844" s="165" t="s">
        <v>706</v>
      </c>
      <c r="E844" s="165" t="s">
        <v>3372</v>
      </c>
      <c r="G844" s="81">
        <v>526329</v>
      </c>
      <c r="H844" s="81">
        <v>175625</v>
      </c>
      <c r="I844" s="165" t="s">
        <v>257</v>
      </c>
      <c r="L844" s="166">
        <v>0</v>
      </c>
      <c r="M844" s="166">
        <v>11</v>
      </c>
      <c r="N844" s="166">
        <v>11</v>
      </c>
      <c r="O844" s="166">
        <v>11</v>
      </c>
      <c r="P844" s="166">
        <v>11</v>
      </c>
      <c r="Q844" s="81" t="s">
        <v>155</v>
      </c>
      <c r="R844" s="165" t="s">
        <v>707</v>
      </c>
      <c r="S844" s="81" t="s">
        <v>270</v>
      </c>
      <c r="T844" s="349">
        <v>42347</v>
      </c>
      <c r="U844" s="349">
        <v>42403</v>
      </c>
      <c r="W844" s="81" t="s">
        <v>114</v>
      </c>
      <c r="Y844" s="81" t="s">
        <v>115</v>
      </c>
      <c r="Z844" s="81" t="s">
        <v>310</v>
      </c>
      <c r="AA844" s="81" t="s">
        <v>117</v>
      </c>
      <c r="AB844" s="81" t="s">
        <v>399</v>
      </c>
      <c r="AC844" s="166">
        <v>5.2999999374151202E-2</v>
      </c>
      <c r="AG844" s="81" t="s">
        <v>238</v>
      </c>
      <c r="AH844" s="81" t="s">
        <v>118</v>
      </c>
      <c r="AK844" s="166">
        <v>0</v>
      </c>
      <c r="AM844" s="166">
        <v>0</v>
      </c>
      <c r="AO844" s="166">
        <v>0</v>
      </c>
      <c r="AP844" s="166">
        <v>3</v>
      </c>
      <c r="AQ844" s="166">
        <v>6</v>
      </c>
      <c r="AR844" s="166">
        <v>2</v>
      </c>
      <c r="AS844" s="166">
        <v>0</v>
      </c>
      <c r="AT844" s="166">
        <v>0</v>
      </c>
      <c r="AU844" s="166">
        <v>0</v>
      </c>
      <c r="AV844" s="166">
        <v>0</v>
      </c>
      <c r="AW844" s="166">
        <v>3</v>
      </c>
      <c r="AX844" s="166">
        <v>6</v>
      </c>
      <c r="AY844" s="166">
        <v>2</v>
      </c>
      <c r="AZ844" s="166">
        <v>0</v>
      </c>
      <c r="BA844" s="166">
        <v>0</v>
      </c>
      <c r="BB844" s="166">
        <v>0</v>
      </c>
      <c r="BC844" s="166">
        <v>0</v>
      </c>
      <c r="BD844" s="166">
        <v>0</v>
      </c>
      <c r="BE844" s="166">
        <v>0</v>
      </c>
      <c r="BF844" s="166">
        <v>0</v>
      </c>
      <c r="BG844" s="166">
        <v>0</v>
      </c>
      <c r="BH844" s="166">
        <v>0</v>
      </c>
      <c r="BI844" s="166">
        <v>0</v>
      </c>
      <c r="BJ844" s="166">
        <v>0</v>
      </c>
      <c r="BK844" s="166">
        <v>0</v>
      </c>
      <c r="BL844" s="166">
        <v>0</v>
      </c>
      <c r="BM844" s="166">
        <v>0</v>
      </c>
      <c r="BN844" s="166">
        <v>0</v>
      </c>
      <c r="BO844" s="166">
        <v>0</v>
      </c>
      <c r="BP844" s="166">
        <v>0</v>
      </c>
      <c r="BQ844" s="81" t="s">
        <v>1757</v>
      </c>
      <c r="BX844" s="81" t="s">
        <v>155</v>
      </c>
      <c r="BZ844" s="81" t="s">
        <v>155</v>
      </c>
      <c r="CA844" s="81" t="s">
        <v>3972</v>
      </c>
      <c r="CC844" s="167">
        <v>0</v>
      </c>
      <c r="CD844" s="167">
        <f>$N844/4</f>
        <v>2.75</v>
      </c>
      <c r="CE844" s="167">
        <f>$N844/4</f>
        <v>2.75</v>
      </c>
      <c r="CF844" s="167">
        <f>$N844/4</f>
        <v>2.75</v>
      </c>
      <c r="CG844" s="167">
        <f>$N844/4</f>
        <v>2.75</v>
      </c>
      <c r="CH844" s="167">
        <v>0</v>
      </c>
      <c r="CI844" s="167">
        <v>0</v>
      </c>
      <c r="CJ844" s="167">
        <v>0</v>
      </c>
      <c r="CK844" s="167">
        <v>0</v>
      </c>
      <c r="CL844" s="167">
        <v>0</v>
      </c>
      <c r="CM844" s="167">
        <v>0</v>
      </c>
      <c r="CN844" s="167">
        <v>0</v>
      </c>
      <c r="CO844" s="167">
        <v>0</v>
      </c>
      <c r="CP844" s="167">
        <v>0</v>
      </c>
      <c r="CQ844" s="167">
        <v>0</v>
      </c>
      <c r="CR844" s="167">
        <v>0</v>
      </c>
      <c r="CS844" s="167">
        <v>0</v>
      </c>
      <c r="CT844" s="167">
        <v>0</v>
      </c>
      <c r="CU844" s="167">
        <v>0</v>
      </c>
      <c r="CV844" s="167">
        <v>0</v>
      </c>
      <c r="CW844" s="167">
        <v>0</v>
      </c>
      <c r="CX844" s="167">
        <f>SUM(CD844:CH844)</f>
        <v>11</v>
      </c>
      <c r="CY844" s="167">
        <f>SUM(CD844:CM844)</f>
        <v>11</v>
      </c>
    </row>
    <row r="845" spans="1:103" ht="12.75" customHeight="1" x14ac:dyDescent="0.2">
      <c r="A845" s="81">
        <v>5589</v>
      </c>
      <c r="B845" s="165" t="s">
        <v>1930</v>
      </c>
      <c r="C845" s="165" t="s">
        <v>1332</v>
      </c>
      <c r="E845" s="165" t="s">
        <v>3372</v>
      </c>
      <c r="G845" s="81">
        <v>526329</v>
      </c>
      <c r="H845" s="81">
        <v>175625</v>
      </c>
      <c r="I845" s="165" t="s">
        <v>257</v>
      </c>
      <c r="L845" s="166">
        <v>0</v>
      </c>
      <c r="M845" s="166">
        <v>9</v>
      </c>
      <c r="N845" s="166">
        <v>9</v>
      </c>
      <c r="O845" s="166">
        <v>9</v>
      </c>
      <c r="P845" s="166">
        <v>9</v>
      </c>
      <c r="R845" s="165" t="s">
        <v>1333</v>
      </c>
      <c r="S845" s="81" t="s">
        <v>113</v>
      </c>
      <c r="T845" s="349">
        <v>42551</v>
      </c>
      <c r="U845" s="349">
        <v>42702</v>
      </c>
      <c r="W845" s="81" t="s">
        <v>114</v>
      </c>
      <c r="Y845" s="81" t="s">
        <v>115</v>
      </c>
      <c r="Z845" s="81" t="s">
        <v>219</v>
      </c>
      <c r="AA845" s="81" t="s">
        <v>117</v>
      </c>
      <c r="AB845" s="81" t="s">
        <v>3889</v>
      </c>
      <c r="AC845" s="166">
        <v>2.70000007003546E-2</v>
      </c>
      <c r="AG845" s="81" t="s">
        <v>238</v>
      </c>
      <c r="AH845" s="81" t="s">
        <v>118</v>
      </c>
      <c r="AK845" s="166">
        <v>9</v>
      </c>
      <c r="AM845" s="166">
        <v>0</v>
      </c>
      <c r="AO845" s="166">
        <v>0</v>
      </c>
      <c r="AP845" s="166">
        <v>2</v>
      </c>
      <c r="AQ845" s="166">
        <v>5</v>
      </c>
      <c r="AR845" s="166">
        <v>2</v>
      </c>
      <c r="AS845" s="166">
        <v>0</v>
      </c>
      <c r="AT845" s="166">
        <v>0</v>
      </c>
      <c r="AU845" s="166">
        <v>0</v>
      </c>
      <c r="AV845" s="166">
        <v>0</v>
      </c>
      <c r="AW845" s="166">
        <v>2</v>
      </c>
      <c r="AX845" s="166">
        <v>5</v>
      </c>
      <c r="AY845" s="166">
        <v>2</v>
      </c>
      <c r="AZ845" s="166">
        <v>0</v>
      </c>
      <c r="BA845" s="166">
        <v>0</v>
      </c>
      <c r="BB845" s="166">
        <v>0</v>
      </c>
      <c r="BC845" s="166">
        <v>0</v>
      </c>
      <c r="BD845" s="166">
        <v>0</v>
      </c>
      <c r="BE845" s="166">
        <v>0</v>
      </c>
      <c r="BF845" s="166">
        <v>0</v>
      </c>
      <c r="BG845" s="166">
        <v>0</v>
      </c>
      <c r="BH845" s="166">
        <v>0</v>
      </c>
      <c r="BI845" s="166">
        <v>0</v>
      </c>
      <c r="BJ845" s="166">
        <v>0</v>
      </c>
      <c r="BK845" s="166">
        <v>0</v>
      </c>
      <c r="BL845" s="166">
        <v>0</v>
      </c>
      <c r="BM845" s="166">
        <v>0</v>
      </c>
      <c r="BN845" s="166">
        <v>0</v>
      </c>
      <c r="BO845" s="166">
        <v>0</v>
      </c>
      <c r="BP845" s="166">
        <v>0</v>
      </c>
      <c r="BQ845" s="81" t="s">
        <v>1757</v>
      </c>
      <c r="BX845" s="81" t="s">
        <v>155</v>
      </c>
      <c r="BZ845" s="81" t="s">
        <v>155</v>
      </c>
      <c r="CA845" s="81" t="s">
        <v>3972</v>
      </c>
      <c r="CC845" s="167">
        <v>0</v>
      </c>
      <c r="CD845" s="167">
        <f>$N845/4</f>
        <v>2.25</v>
      </c>
      <c r="CE845" s="167">
        <f>$N845/4</f>
        <v>2.25</v>
      </c>
      <c r="CF845" s="167">
        <f>$N845/4</f>
        <v>2.25</v>
      </c>
      <c r="CG845" s="167">
        <f>$N845/4</f>
        <v>2.25</v>
      </c>
      <c r="CH845" s="167">
        <v>0</v>
      </c>
      <c r="CI845" s="167">
        <v>0</v>
      </c>
      <c r="CJ845" s="167">
        <v>0</v>
      </c>
      <c r="CK845" s="167">
        <v>0</v>
      </c>
      <c r="CL845" s="167">
        <v>0</v>
      </c>
      <c r="CM845" s="167">
        <v>0</v>
      </c>
      <c r="CN845" s="167">
        <v>0</v>
      </c>
      <c r="CO845" s="167">
        <v>0</v>
      </c>
      <c r="CP845" s="167">
        <v>0</v>
      </c>
      <c r="CQ845" s="167">
        <v>0</v>
      </c>
      <c r="CR845" s="167">
        <v>0</v>
      </c>
      <c r="CS845" s="167">
        <v>0</v>
      </c>
      <c r="CT845" s="167">
        <v>0</v>
      </c>
      <c r="CU845" s="167">
        <v>0</v>
      </c>
      <c r="CV845" s="167">
        <v>0</v>
      </c>
      <c r="CW845" s="167">
        <v>0</v>
      </c>
      <c r="CX845" s="167">
        <f>SUM(CD845:CH845)</f>
        <v>9</v>
      </c>
      <c r="CY845" s="167">
        <f>SUM(CD845:CM845)</f>
        <v>9</v>
      </c>
    </row>
    <row r="846" spans="1:103" ht="12.75" customHeight="1" x14ac:dyDescent="0.2">
      <c r="A846" s="81">
        <v>5597</v>
      </c>
      <c r="B846" s="165" t="s">
        <v>1930</v>
      </c>
      <c r="C846" s="165" t="s">
        <v>100</v>
      </c>
      <c r="E846" s="165" t="s">
        <v>2573</v>
      </c>
      <c r="G846" s="81">
        <v>527204</v>
      </c>
      <c r="H846" s="81">
        <v>177286</v>
      </c>
      <c r="I846" s="165" t="s">
        <v>257</v>
      </c>
      <c r="L846" s="166">
        <v>2</v>
      </c>
      <c r="M846" s="166">
        <v>1</v>
      </c>
      <c r="N846" s="166">
        <v>-1</v>
      </c>
      <c r="O846" s="166">
        <v>1</v>
      </c>
      <c r="P846" s="166">
        <v>-1</v>
      </c>
      <c r="R846" s="165" t="s">
        <v>227</v>
      </c>
      <c r="S846" s="81" t="s">
        <v>113</v>
      </c>
      <c r="T846" s="349">
        <v>41983</v>
      </c>
      <c r="U846" s="349">
        <v>42074</v>
      </c>
      <c r="W846" s="81" t="s">
        <v>114</v>
      </c>
      <c r="Y846" s="81" t="s">
        <v>115</v>
      </c>
      <c r="Z846" s="81" t="s">
        <v>119</v>
      </c>
      <c r="AA846" s="81" t="s">
        <v>117</v>
      </c>
      <c r="AB846" s="81" t="s">
        <v>300</v>
      </c>
      <c r="AC846" s="166">
        <v>5.4000001400709201E-2</v>
      </c>
      <c r="AG846" s="81" t="s">
        <v>238</v>
      </c>
      <c r="AH846" s="81" t="s">
        <v>118</v>
      </c>
      <c r="AK846" s="166">
        <v>0</v>
      </c>
      <c r="AM846" s="166">
        <v>0</v>
      </c>
      <c r="AO846" s="166">
        <v>0</v>
      </c>
      <c r="AP846" s="166">
        <v>0</v>
      </c>
      <c r="AQ846" s="166">
        <v>-1</v>
      </c>
      <c r="AR846" s="166">
        <v>-1</v>
      </c>
      <c r="AS846" s="166">
        <v>0</v>
      </c>
      <c r="AT846" s="166">
        <v>1</v>
      </c>
      <c r="AU846" s="166">
        <v>0</v>
      </c>
      <c r="AV846" s="166">
        <v>0</v>
      </c>
      <c r="AW846" s="166">
        <v>0</v>
      </c>
      <c r="AX846" s="166">
        <v>-1</v>
      </c>
      <c r="AY846" s="166">
        <v>-1</v>
      </c>
      <c r="AZ846" s="166">
        <v>0</v>
      </c>
      <c r="BA846" s="166">
        <v>1</v>
      </c>
      <c r="BB846" s="166">
        <v>0</v>
      </c>
      <c r="BC846" s="166">
        <v>0</v>
      </c>
      <c r="BD846" s="166">
        <v>0</v>
      </c>
      <c r="BE846" s="166">
        <v>0</v>
      </c>
      <c r="BF846" s="166">
        <v>0</v>
      </c>
      <c r="BG846" s="166">
        <v>0</v>
      </c>
      <c r="BH846" s="166">
        <v>0</v>
      </c>
      <c r="BI846" s="166">
        <v>0</v>
      </c>
      <c r="BJ846" s="166">
        <v>0</v>
      </c>
      <c r="BK846" s="166">
        <v>0</v>
      </c>
      <c r="BL846" s="166">
        <v>0</v>
      </c>
      <c r="BM846" s="166">
        <v>0</v>
      </c>
      <c r="BN846" s="166">
        <v>0</v>
      </c>
      <c r="BO846" s="166">
        <v>0</v>
      </c>
      <c r="BP846" s="166">
        <v>0</v>
      </c>
      <c r="BQ846" s="81" t="s">
        <v>1757</v>
      </c>
      <c r="BX846" s="81" t="s">
        <v>155</v>
      </c>
      <c r="BZ846" s="81" t="s">
        <v>155</v>
      </c>
      <c r="CA846" s="81" t="s">
        <v>1937</v>
      </c>
      <c r="CC846" s="167">
        <v>0</v>
      </c>
      <c r="CD846" s="167">
        <f>$N846/4</f>
        <v>-0.25</v>
      </c>
      <c r="CE846" s="167">
        <f>$N846/4</f>
        <v>-0.25</v>
      </c>
      <c r="CF846" s="167">
        <f>$N846/4</f>
        <v>-0.25</v>
      </c>
      <c r="CG846" s="167">
        <f>$N846/4</f>
        <v>-0.25</v>
      </c>
      <c r="CH846" s="167">
        <v>0</v>
      </c>
      <c r="CI846" s="167">
        <v>0</v>
      </c>
      <c r="CJ846" s="167">
        <v>0</v>
      </c>
      <c r="CK846" s="167">
        <v>0</v>
      </c>
      <c r="CL846" s="167">
        <v>0</v>
      </c>
      <c r="CM846" s="167">
        <v>0</v>
      </c>
      <c r="CN846" s="167">
        <v>0</v>
      </c>
      <c r="CO846" s="167">
        <v>0</v>
      </c>
      <c r="CP846" s="167">
        <v>0</v>
      </c>
      <c r="CQ846" s="167">
        <v>0</v>
      </c>
      <c r="CR846" s="167">
        <v>0</v>
      </c>
      <c r="CS846" s="167">
        <v>0</v>
      </c>
      <c r="CT846" s="167">
        <v>0</v>
      </c>
      <c r="CU846" s="167">
        <v>0</v>
      </c>
      <c r="CV846" s="167">
        <v>0</v>
      </c>
      <c r="CW846" s="167">
        <v>0</v>
      </c>
      <c r="CX846" s="167">
        <f>SUM(CD846:CH846)</f>
        <v>-1</v>
      </c>
      <c r="CY846" s="167">
        <f>SUM(CD846:CM846)</f>
        <v>-1</v>
      </c>
    </row>
    <row r="847" spans="1:103" ht="12.75" customHeight="1" x14ac:dyDescent="0.2">
      <c r="A847" s="81">
        <v>5605</v>
      </c>
      <c r="B847" s="165" t="s">
        <v>1930</v>
      </c>
      <c r="C847" s="165" t="s">
        <v>1303</v>
      </c>
      <c r="E847" s="165" t="s">
        <v>2574</v>
      </c>
      <c r="G847" s="81">
        <v>526468</v>
      </c>
      <c r="H847" s="81">
        <v>175725</v>
      </c>
      <c r="I847" s="165" t="s">
        <v>257</v>
      </c>
      <c r="L847" s="166">
        <v>0</v>
      </c>
      <c r="M847" s="166">
        <v>1</v>
      </c>
      <c r="N847" s="166">
        <v>1</v>
      </c>
      <c r="O847" s="166">
        <v>1</v>
      </c>
      <c r="P847" s="166">
        <v>1</v>
      </c>
      <c r="R847" s="165" t="s">
        <v>1304</v>
      </c>
      <c r="S847" s="81" t="s">
        <v>270</v>
      </c>
      <c r="T847" s="349">
        <v>42548</v>
      </c>
      <c r="U847" s="349">
        <v>42604</v>
      </c>
      <c r="W847" s="81" t="s">
        <v>114</v>
      </c>
      <c r="Y847" s="81" t="s">
        <v>115</v>
      </c>
      <c r="Z847" s="81" t="s">
        <v>310</v>
      </c>
      <c r="AA847" s="81" t="s">
        <v>117</v>
      </c>
      <c r="AB847" s="81" t="s">
        <v>399</v>
      </c>
      <c r="AC847" s="166">
        <v>4.0000001899898104E-3</v>
      </c>
      <c r="AG847" s="81" t="s">
        <v>238</v>
      </c>
      <c r="AH847" s="81" t="s">
        <v>118</v>
      </c>
      <c r="AI847" s="81" t="s">
        <v>1939</v>
      </c>
      <c r="AK847" s="166">
        <v>0</v>
      </c>
      <c r="AM847" s="166">
        <v>0</v>
      </c>
      <c r="AO847" s="166">
        <v>0</v>
      </c>
      <c r="AP847" s="166">
        <v>0</v>
      </c>
      <c r="AQ847" s="166">
        <v>1</v>
      </c>
      <c r="AR847" s="166">
        <v>0</v>
      </c>
      <c r="AS847" s="166">
        <v>0</v>
      </c>
      <c r="AT847" s="166">
        <v>0</v>
      </c>
      <c r="AU847" s="166">
        <v>0</v>
      </c>
      <c r="AV847" s="166">
        <v>0</v>
      </c>
      <c r="AW847" s="166">
        <v>0</v>
      </c>
      <c r="AX847" s="166">
        <v>1</v>
      </c>
      <c r="AY847" s="166">
        <v>0</v>
      </c>
      <c r="AZ847" s="166">
        <v>0</v>
      </c>
      <c r="BA847" s="166">
        <v>0</v>
      </c>
      <c r="BB847" s="166">
        <v>0</v>
      </c>
      <c r="BC847" s="166">
        <v>0</v>
      </c>
      <c r="BD847" s="166">
        <v>0</v>
      </c>
      <c r="BE847" s="166">
        <v>0</v>
      </c>
      <c r="BF847" s="166">
        <v>0</v>
      </c>
      <c r="BG847" s="166">
        <v>0</v>
      </c>
      <c r="BH847" s="166">
        <v>0</v>
      </c>
      <c r="BI847" s="166">
        <v>0</v>
      </c>
      <c r="BJ847" s="166">
        <v>0</v>
      </c>
      <c r="BK847" s="166">
        <v>0</v>
      </c>
      <c r="BL847" s="166">
        <v>0</v>
      </c>
      <c r="BM847" s="166">
        <v>0</v>
      </c>
      <c r="BN847" s="166">
        <v>0</v>
      </c>
      <c r="BO847" s="166">
        <v>0</v>
      </c>
      <c r="BP847" s="166">
        <v>0</v>
      </c>
      <c r="BQ847" s="81" t="s">
        <v>1757</v>
      </c>
      <c r="BX847" s="81" t="s">
        <v>155</v>
      </c>
      <c r="BZ847" s="81" t="s">
        <v>155</v>
      </c>
      <c r="CA847" s="81" t="s">
        <v>1937</v>
      </c>
      <c r="CC847" s="167">
        <v>0</v>
      </c>
      <c r="CD847" s="167">
        <f>$N847/4</f>
        <v>0.25</v>
      </c>
      <c r="CE847" s="167">
        <f>$N847/4</f>
        <v>0.25</v>
      </c>
      <c r="CF847" s="167">
        <f>$N847/4</f>
        <v>0.25</v>
      </c>
      <c r="CG847" s="167">
        <f>$N847/4</f>
        <v>0.25</v>
      </c>
      <c r="CH847" s="167">
        <v>0</v>
      </c>
      <c r="CI847" s="167">
        <v>0</v>
      </c>
      <c r="CJ847" s="167">
        <v>0</v>
      </c>
      <c r="CK847" s="167">
        <v>0</v>
      </c>
      <c r="CL847" s="167">
        <v>0</v>
      </c>
      <c r="CM847" s="167">
        <v>0</v>
      </c>
      <c r="CN847" s="167">
        <v>0</v>
      </c>
      <c r="CO847" s="167">
        <v>0</v>
      </c>
      <c r="CP847" s="167">
        <v>0</v>
      </c>
      <c r="CQ847" s="167">
        <v>0</v>
      </c>
      <c r="CR847" s="167">
        <v>0</v>
      </c>
      <c r="CS847" s="167">
        <v>0</v>
      </c>
      <c r="CT847" s="167">
        <v>0</v>
      </c>
      <c r="CU847" s="167">
        <v>0</v>
      </c>
      <c r="CV847" s="167">
        <v>0</v>
      </c>
      <c r="CW847" s="167">
        <v>0</v>
      </c>
      <c r="CX847" s="167">
        <f>SUM(CD847:CH847)</f>
        <v>1</v>
      </c>
      <c r="CY847" s="167">
        <f>SUM(CD847:CM847)</f>
        <v>1</v>
      </c>
    </row>
    <row r="848" spans="1:103" ht="12.75" customHeight="1" x14ac:dyDescent="0.2">
      <c r="A848" s="81">
        <v>5634</v>
      </c>
      <c r="B848" s="165" t="s">
        <v>1930</v>
      </c>
      <c r="C848" s="165" t="s">
        <v>2575</v>
      </c>
      <c r="D848" s="165" t="s">
        <v>2107</v>
      </c>
      <c r="E848" s="165" t="s">
        <v>2576</v>
      </c>
      <c r="G848" s="81">
        <v>527292</v>
      </c>
      <c r="H848" s="81">
        <v>177189</v>
      </c>
      <c r="I848" s="165" t="s">
        <v>257</v>
      </c>
      <c r="L848" s="166">
        <v>0</v>
      </c>
      <c r="M848" s="166">
        <v>2</v>
      </c>
      <c r="N848" s="166">
        <v>2</v>
      </c>
      <c r="O848" s="166">
        <v>2</v>
      </c>
      <c r="P848" s="166">
        <v>2</v>
      </c>
      <c r="R848" s="165" t="s">
        <v>2577</v>
      </c>
      <c r="S848" s="81" t="s">
        <v>110</v>
      </c>
      <c r="T848" s="349">
        <v>42888</v>
      </c>
      <c r="U848" s="349">
        <v>42930</v>
      </c>
      <c r="V848" s="81" t="s">
        <v>155</v>
      </c>
      <c r="W848" s="81" t="s">
        <v>114</v>
      </c>
      <c r="Y848" s="81" t="s">
        <v>115</v>
      </c>
      <c r="Z848" s="81" t="s">
        <v>310</v>
      </c>
      <c r="AA848" s="81" t="s">
        <v>117</v>
      </c>
      <c r="AB848" s="81" t="s">
        <v>399</v>
      </c>
      <c r="AC848" s="166">
        <v>2.60000005364418E-2</v>
      </c>
      <c r="AG848" s="81" t="s">
        <v>238</v>
      </c>
      <c r="AH848" s="81" t="s">
        <v>118</v>
      </c>
      <c r="AK848" s="166">
        <v>0</v>
      </c>
      <c r="AM848" s="166">
        <v>0</v>
      </c>
      <c r="AO848" s="166">
        <v>0</v>
      </c>
      <c r="AP848" s="166">
        <v>1</v>
      </c>
      <c r="AQ848" s="166">
        <v>1</v>
      </c>
      <c r="AR848" s="166">
        <v>0</v>
      </c>
      <c r="AS848" s="166">
        <v>0</v>
      </c>
      <c r="AT848" s="166">
        <v>0</v>
      </c>
      <c r="AU848" s="166">
        <v>0</v>
      </c>
      <c r="AV848" s="166">
        <v>0</v>
      </c>
      <c r="AW848" s="166">
        <v>1</v>
      </c>
      <c r="AX848" s="166">
        <v>1</v>
      </c>
      <c r="AY848" s="166">
        <v>0</v>
      </c>
      <c r="AZ848" s="166">
        <v>0</v>
      </c>
      <c r="BA848" s="166">
        <v>0</v>
      </c>
      <c r="BB848" s="166">
        <v>0</v>
      </c>
      <c r="BC848" s="166">
        <v>0</v>
      </c>
      <c r="BD848" s="166">
        <v>0</v>
      </c>
      <c r="BE848" s="166">
        <v>0</v>
      </c>
      <c r="BF848" s="166">
        <v>0</v>
      </c>
      <c r="BG848" s="166">
        <v>0</v>
      </c>
      <c r="BH848" s="166">
        <v>0</v>
      </c>
      <c r="BI848" s="166">
        <v>0</v>
      </c>
      <c r="BJ848" s="166">
        <v>0</v>
      </c>
      <c r="BK848" s="166">
        <v>0</v>
      </c>
      <c r="BL848" s="166">
        <v>0</v>
      </c>
      <c r="BM848" s="166">
        <v>0</v>
      </c>
      <c r="BN848" s="166">
        <v>0</v>
      </c>
      <c r="BO848" s="166">
        <v>0</v>
      </c>
      <c r="BP848" s="166">
        <v>0</v>
      </c>
      <c r="BQ848" s="81" t="s">
        <v>1757</v>
      </c>
      <c r="BX848" s="81" t="s">
        <v>155</v>
      </c>
      <c r="BZ848" s="81" t="s">
        <v>155</v>
      </c>
      <c r="CA848" s="81" t="s">
        <v>3972</v>
      </c>
      <c r="CC848" s="167">
        <v>0</v>
      </c>
      <c r="CD848" s="167">
        <f>$N848/4</f>
        <v>0.5</v>
      </c>
      <c r="CE848" s="167">
        <f>$N848/4</f>
        <v>0.5</v>
      </c>
      <c r="CF848" s="167">
        <f>$N848/4</f>
        <v>0.5</v>
      </c>
      <c r="CG848" s="167">
        <f>$N848/4</f>
        <v>0.5</v>
      </c>
      <c r="CH848" s="167">
        <v>0</v>
      </c>
      <c r="CI848" s="167">
        <v>0</v>
      </c>
      <c r="CJ848" s="167">
        <v>0</v>
      </c>
      <c r="CK848" s="167">
        <v>0</v>
      </c>
      <c r="CL848" s="167">
        <v>0</v>
      </c>
      <c r="CM848" s="167">
        <v>0</v>
      </c>
      <c r="CN848" s="167">
        <v>0</v>
      </c>
      <c r="CO848" s="167">
        <v>0</v>
      </c>
      <c r="CP848" s="167">
        <v>0</v>
      </c>
      <c r="CQ848" s="167">
        <v>0</v>
      </c>
      <c r="CR848" s="167">
        <v>0</v>
      </c>
      <c r="CS848" s="167">
        <v>0</v>
      </c>
      <c r="CT848" s="167">
        <v>0</v>
      </c>
      <c r="CU848" s="167">
        <v>0</v>
      </c>
      <c r="CV848" s="167">
        <v>0</v>
      </c>
      <c r="CW848" s="167">
        <v>0</v>
      </c>
      <c r="CX848" s="167">
        <f>SUM(CD848:CH848)</f>
        <v>2</v>
      </c>
      <c r="CY848" s="167">
        <f>SUM(CD848:CM848)</f>
        <v>2</v>
      </c>
    </row>
    <row r="849" spans="1:103" ht="12.75" customHeight="1" x14ac:dyDescent="0.2">
      <c r="A849" s="81">
        <v>5653</v>
      </c>
      <c r="B849" s="165" t="s">
        <v>1930</v>
      </c>
      <c r="C849" s="165" t="s">
        <v>2578</v>
      </c>
      <c r="E849" s="165" t="s">
        <v>2579</v>
      </c>
      <c r="G849" s="81">
        <v>525465</v>
      </c>
      <c r="H849" s="81">
        <v>174675</v>
      </c>
      <c r="I849" s="165" t="s">
        <v>258</v>
      </c>
      <c r="L849" s="166">
        <v>2</v>
      </c>
      <c r="M849" s="166">
        <v>2</v>
      </c>
      <c r="N849" s="166">
        <v>0</v>
      </c>
      <c r="O849" s="166">
        <v>3</v>
      </c>
      <c r="P849" s="166">
        <v>1</v>
      </c>
      <c r="R849" s="165" t="s">
        <v>2580</v>
      </c>
      <c r="S849" s="81" t="s">
        <v>113</v>
      </c>
      <c r="T849" s="349">
        <v>42920</v>
      </c>
      <c r="U849" s="349">
        <v>43041</v>
      </c>
      <c r="V849" s="81" t="s">
        <v>155</v>
      </c>
      <c r="W849" s="81" t="s">
        <v>114</v>
      </c>
      <c r="Y849" s="81" t="s">
        <v>115</v>
      </c>
      <c r="Z849" s="81" t="s">
        <v>398</v>
      </c>
      <c r="AA849" s="81" t="s">
        <v>117</v>
      </c>
      <c r="AB849" s="81" t="s">
        <v>220</v>
      </c>
      <c r="AC849" s="166">
        <v>6.0000000521540598E-3</v>
      </c>
      <c r="AG849" s="81" t="s">
        <v>238</v>
      </c>
      <c r="AH849" s="81" t="s">
        <v>118</v>
      </c>
      <c r="AK849" s="166">
        <v>0</v>
      </c>
      <c r="AM849" s="166">
        <v>0</v>
      </c>
      <c r="AO849" s="166">
        <v>0</v>
      </c>
      <c r="AP849" s="166">
        <v>0</v>
      </c>
      <c r="AQ849" s="166">
        <v>-2</v>
      </c>
      <c r="AR849" s="166">
        <v>2</v>
      </c>
      <c r="AS849" s="166">
        <v>0</v>
      </c>
      <c r="AT849" s="166">
        <v>0</v>
      </c>
      <c r="AU849" s="166">
        <v>0</v>
      </c>
      <c r="AV849" s="166">
        <v>0</v>
      </c>
      <c r="AW849" s="166">
        <v>0</v>
      </c>
      <c r="AX849" s="166">
        <v>-2</v>
      </c>
      <c r="AY849" s="166">
        <v>2</v>
      </c>
      <c r="AZ849" s="166">
        <v>0</v>
      </c>
      <c r="BA849" s="166">
        <v>0</v>
      </c>
      <c r="BB849" s="166">
        <v>0</v>
      </c>
      <c r="BC849" s="166">
        <v>0</v>
      </c>
      <c r="BD849" s="166">
        <v>0</v>
      </c>
      <c r="BE849" s="166">
        <v>0</v>
      </c>
      <c r="BF849" s="166">
        <v>0</v>
      </c>
      <c r="BG849" s="166">
        <v>0</v>
      </c>
      <c r="BH849" s="166">
        <v>0</v>
      </c>
      <c r="BI849" s="166">
        <v>0</v>
      </c>
      <c r="BJ849" s="166">
        <v>0</v>
      </c>
      <c r="BK849" s="166">
        <v>0</v>
      </c>
      <c r="BL849" s="166">
        <v>0</v>
      </c>
      <c r="BM849" s="166">
        <v>0</v>
      </c>
      <c r="BN849" s="166">
        <v>0</v>
      </c>
      <c r="BO849" s="166">
        <v>0</v>
      </c>
      <c r="BP849" s="166">
        <v>0</v>
      </c>
      <c r="BQ849" s="81" t="s">
        <v>1758</v>
      </c>
      <c r="BR849" s="81" t="s">
        <v>202</v>
      </c>
      <c r="BT849" s="81" t="s">
        <v>155</v>
      </c>
      <c r="BZ849" s="81" t="s">
        <v>155</v>
      </c>
      <c r="CA849" s="81" t="s">
        <v>1937</v>
      </c>
      <c r="CC849" s="167">
        <v>0</v>
      </c>
      <c r="CD849" s="167">
        <f>$N849/4</f>
        <v>0</v>
      </c>
      <c r="CE849" s="167">
        <f>$N849/4</f>
        <v>0</v>
      </c>
      <c r="CF849" s="167">
        <f>$N849/4</f>
        <v>0</v>
      </c>
      <c r="CG849" s="167">
        <f>$N849/4</f>
        <v>0</v>
      </c>
      <c r="CH849" s="167">
        <v>0</v>
      </c>
      <c r="CI849" s="167">
        <v>0</v>
      </c>
      <c r="CJ849" s="167">
        <v>0</v>
      </c>
      <c r="CK849" s="167">
        <v>0</v>
      </c>
      <c r="CL849" s="167">
        <v>0</v>
      </c>
      <c r="CM849" s="167">
        <v>0</v>
      </c>
      <c r="CN849" s="167">
        <v>0</v>
      </c>
      <c r="CO849" s="167">
        <v>0</v>
      </c>
      <c r="CP849" s="167">
        <v>0</v>
      </c>
      <c r="CQ849" s="167">
        <v>0</v>
      </c>
      <c r="CR849" s="167">
        <v>0</v>
      </c>
      <c r="CS849" s="167">
        <v>0</v>
      </c>
      <c r="CT849" s="167">
        <v>0</v>
      </c>
      <c r="CU849" s="167">
        <v>0</v>
      </c>
      <c r="CV849" s="167">
        <v>0</v>
      </c>
      <c r="CW849" s="167">
        <v>0</v>
      </c>
      <c r="CX849" s="167">
        <f>SUM(CD849:CH849)</f>
        <v>0</v>
      </c>
      <c r="CY849" s="167">
        <f>SUM(CD849:CM849)</f>
        <v>0</v>
      </c>
    </row>
    <row r="850" spans="1:103" ht="12.75" customHeight="1" x14ac:dyDescent="0.2">
      <c r="A850" s="81">
        <v>5653</v>
      </c>
      <c r="B850" s="165" t="s">
        <v>1930</v>
      </c>
      <c r="C850" s="165" t="s">
        <v>2578</v>
      </c>
      <c r="E850" s="165" t="s">
        <v>2579</v>
      </c>
      <c r="G850" s="81">
        <v>525465</v>
      </c>
      <c r="H850" s="81">
        <v>174675</v>
      </c>
      <c r="I850" s="165" t="s">
        <v>258</v>
      </c>
      <c r="L850" s="166">
        <v>0</v>
      </c>
      <c r="M850" s="166">
        <v>1</v>
      </c>
      <c r="N850" s="166">
        <v>1</v>
      </c>
      <c r="O850" s="166">
        <v>3</v>
      </c>
      <c r="P850" s="166">
        <v>1</v>
      </c>
      <c r="R850" s="165" t="s">
        <v>2580</v>
      </c>
      <c r="S850" s="81" t="s">
        <v>113</v>
      </c>
      <c r="T850" s="349">
        <v>42920</v>
      </c>
      <c r="U850" s="349">
        <v>43041</v>
      </c>
      <c r="V850" s="81" t="s">
        <v>155</v>
      </c>
      <c r="W850" s="81" t="s">
        <v>114</v>
      </c>
      <c r="Y850" s="81" t="s">
        <v>115</v>
      </c>
      <c r="Z850" s="81" t="s">
        <v>398</v>
      </c>
      <c r="AA850" s="81" t="s">
        <v>117</v>
      </c>
      <c r="AB850" s="81" t="s">
        <v>218</v>
      </c>
      <c r="AC850" s="166">
        <v>3.0000000260770299E-3</v>
      </c>
      <c r="AG850" s="81" t="s">
        <v>238</v>
      </c>
      <c r="AH850" s="81" t="s">
        <v>118</v>
      </c>
      <c r="AK850" s="166">
        <v>0</v>
      </c>
      <c r="AM850" s="166">
        <v>0</v>
      </c>
      <c r="AO850" s="166">
        <v>0</v>
      </c>
      <c r="AP850" s="166">
        <v>0</v>
      </c>
      <c r="AQ850" s="166">
        <v>1</v>
      </c>
      <c r="AR850" s="166">
        <v>0</v>
      </c>
      <c r="AS850" s="166">
        <v>0</v>
      </c>
      <c r="AT850" s="166">
        <v>0</v>
      </c>
      <c r="AU850" s="166">
        <v>0</v>
      </c>
      <c r="AV850" s="166">
        <v>0</v>
      </c>
      <c r="AW850" s="166">
        <v>0</v>
      </c>
      <c r="AX850" s="166">
        <v>1</v>
      </c>
      <c r="AY850" s="166">
        <v>0</v>
      </c>
      <c r="AZ850" s="166">
        <v>0</v>
      </c>
      <c r="BA850" s="166">
        <v>0</v>
      </c>
      <c r="BB850" s="166">
        <v>0</v>
      </c>
      <c r="BC850" s="166">
        <v>0</v>
      </c>
      <c r="BD850" s="166">
        <v>0</v>
      </c>
      <c r="BE850" s="166">
        <v>0</v>
      </c>
      <c r="BF850" s="166">
        <v>0</v>
      </c>
      <c r="BG850" s="166">
        <v>0</v>
      </c>
      <c r="BH850" s="166">
        <v>0</v>
      </c>
      <c r="BI850" s="166">
        <v>0</v>
      </c>
      <c r="BJ850" s="166">
        <v>0</v>
      </c>
      <c r="BK850" s="166">
        <v>0</v>
      </c>
      <c r="BL850" s="166">
        <v>0</v>
      </c>
      <c r="BM850" s="166">
        <v>0</v>
      </c>
      <c r="BN850" s="166">
        <v>0</v>
      </c>
      <c r="BO850" s="166">
        <v>0</v>
      </c>
      <c r="BP850" s="166">
        <v>0</v>
      </c>
      <c r="BQ850" s="81" t="s">
        <v>1758</v>
      </c>
      <c r="BR850" s="81" t="s">
        <v>202</v>
      </c>
      <c r="BT850" s="81" t="s">
        <v>155</v>
      </c>
      <c r="BZ850" s="81" t="s">
        <v>155</v>
      </c>
      <c r="CA850" s="81" t="s">
        <v>1937</v>
      </c>
      <c r="CC850" s="167">
        <v>0</v>
      </c>
      <c r="CD850" s="167">
        <f>$N850/4</f>
        <v>0.25</v>
      </c>
      <c r="CE850" s="167">
        <f>$N850/4</f>
        <v>0.25</v>
      </c>
      <c r="CF850" s="167">
        <f>$N850/4</f>
        <v>0.25</v>
      </c>
      <c r="CG850" s="167">
        <f>$N850/4</f>
        <v>0.25</v>
      </c>
      <c r="CH850" s="167">
        <v>0</v>
      </c>
      <c r="CI850" s="167">
        <v>0</v>
      </c>
      <c r="CJ850" s="167">
        <v>0</v>
      </c>
      <c r="CK850" s="167">
        <v>0</v>
      </c>
      <c r="CL850" s="167">
        <v>0</v>
      </c>
      <c r="CM850" s="167">
        <v>0</v>
      </c>
      <c r="CN850" s="167">
        <v>0</v>
      </c>
      <c r="CO850" s="167">
        <v>0</v>
      </c>
      <c r="CP850" s="167">
        <v>0</v>
      </c>
      <c r="CQ850" s="167">
        <v>0</v>
      </c>
      <c r="CR850" s="167">
        <v>0</v>
      </c>
      <c r="CS850" s="167">
        <v>0</v>
      </c>
      <c r="CT850" s="167">
        <v>0</v>
      </c>
      <c r="CU850" s="167">
        <v>0</v>
      </c>
      <c r="CV850" s="167">
        <v>0</v>
      </c>
      <c r="CW850" s="167">
        <v>0</v>
      </c>
      <c r="CX850" s="167">
        <f>SUM(CD850:CH850)</f>
        <v>1</v>
      </c>
      <c r="CY850" s="167">
        <f>SUM(CD850:CM850)</f>
        <v>1</v>
      </c>
    </row>
    <row r="851" spans="1:103" ht="12.75" customHeight="1" x14ac:dyDescent="0.2">
      <c r="A851" s="81">
        <v>5666</v>
      </c>
      <c r="B851" s="165" t="s">
        <v>1930</v>
      </c>
      <c r="C851" s="165" t="s">
        <v>651</v>
      </c>
      <c r="E851" s="165" t="s">
        <v>2581</v>
      </c>
      <c r="G851" s="81">
        <v>527230</v>
      </c>
      <c r="H851" s="81">
        <v>174138</v>
      </c>
      <c r="I851" s="165" t="s">
        <v>260</v>
      </c>
      <c r="L851" s="166">
        <v>2</v>
      </c>
      <c r="M851" s="166">
        <v>0</v>
      </c>
      <c r="N851" s="166">
        <v>-2</v>
      </c>
      <c r="O851" s="166">
        <v>0</v>
      </c>
      <c r="P851" s="166">
        <v>-2</v>
      </c>
      <c r="R851" s="165" t="s">
        <v>652</v>
      </c>
      <c r="S851" s="81" t="s">
        <v>113</v>
      </c>
      <c r="T851" s="349">
        <v>42375</v>
      </c>
      <c r="U851" s="349">
        <v>42424</v>
      </c>
      <c r="W851" s="81" t="s">
        <v>114</v>
      </c>
      <c r="Y851" s="81" t="s">
        <v>115</v>
      </c>
      <c r="Z851" s="81" t="s">
        <v>310</v>
      </c>
      <c r="AA851" s="81" t="s">
        <v>117</v>
      </c>
      <c r="AB851" s="81" t="s">
        <v>105</v>
      </c>
      <c r="AC851" s="166">
        <v>3.20000015199184E-2</v>
      </c>
      <c r="AG851" s="81" t="s">
        <v>238</v>
      </c>
      <c r="AH851" s="81" t="s">
        <v>118</v>
      </c>
      <c r="AK851" s="166">
        <v>0</v>
      </c>
      <c r="AM851" s="166">
        <v>0</v>
      </c>
      <c r="AO851" s="166">
        <v>0</v>
      </c>
      <c r="AP851" s="166">
        <v>0</v>
      </c>
      <c r="AQ851" s="166">
        <v>-1</v>
      </c>
      <c r="AR851" s="166">
        <v>-1</v>
      </c>
      <c r="AS851" s="166">
        <v>0</v>
      </c>
      <c r="AT851" s="166">
        <v>0</v>
      </c>
      <c r="AU851" s="166">
        <v>0</v>
      </c>
      <c r="AV851" s="166">
        <v>0</v>
      </c>
      <c r="AW851" s="166">
        <v>0</v>
      </c>
      <c r="AX851" s="166">
        <v>-1</v>
      </c>
      <c r="AY851" s="166">
        <v>0</v>
      </c>
      <c r="AZ851" s="166">
        <v>0</v>
      </c>
      <c r="BA851" s="166">
        <v>0</v>
      </c>
      <c r="BB851" s="166">
        <v>0</v>
      </c>
      <c r="BC851" s="166">
        <v>0</v>
      </c>
      <c r="BD851" s="166">
        <v>0</v>
      </c>
      <c r="BE851" s="166">
        <v>0</v>
      </c>
      <c r="BF851" s="166">
        <v>-1</v>
      </c>
      <c r="BG851" s="166">
        <v>0</v>
      </c>
      <c r="BH851" s="166">
        <v>0</v>
      </c>
      <c r="BI851" s="166">
        <v>0</v>
      </c>
      <c r="BJ851" s="166">
        <v>0</v>
      </c>
      <c r="BK851" s="166">
        <v>0</v>
      </c>
      <c r="BL851" s="166">
        <v>0</v>
      </c>
      <c r="BM851" s="166">
        <v>0</v>
      </c>
      <c r="BN851" s="166">
        <v>0</v>
      </c>
      <c r="BO851" s="166">
        <v>0</v>
      </c>
      <c r="BP851" s="166">
        <v>0</v>
      </c>
      <c r="BQ851" s="81" t="s">
        <v>1758</v>
      </c>
      <c r="BZ851" s="81" t="s">
        <v>155</v>
      </c>
      <c r="CA851" s="81" t="s">
        <v>1937</v>
      </c>
      <c r="CC851" s="167">
        <v>0</v>
      </c>
      <c r="CD851" s="167">
        <f>$N851/4</f>
        <v>-0.5</v>
      </c>
      <c r="CE851" s="167">
        <f>$N851/4</f>
        <v>-0.5</v>
      </c>
      <c r="CF851" s="167">
        <f>$N851/4</f>
        <v>-0.5</v>
      </c>
      <c r="CG851" s="167">
        <f>$N851/4</f>
        <v>-0.5</v>
      </c>
      <c r="CH851" s="167">
        <v>0</v>
      </c>
      <c r="CI851" s="167">
        <v>0</v>
      </c>
      <c r="CJ851" s="167">
        <v>0</v>
      </c>
      <c r="CK851" s="167">
        <v>0</v>
      </c>
      <c r="CL851" s="167">
        <v>0</v>
      </c>
      <c r="CM851" s="167">
        <v>0</v>
      </c>
      <c r="CN851" s="167">
        <v>0</v>
      </c>
      <c r="CO851" s="167">
        <v>0</v>
      </c>
      <c r="CP851" s="167">
        <v>0</v>
      </c>
      <c r="CQ851" s="167">
        <v>0</v>
      </c>
      <c r="CR851" s="167">
        <v>0</v>
      </c>
      <c r="CS851" s="167">
        <v>0</v>
      </c>
      <c r="CT851" s="167">
        <v>0</v>
      </c>
      <c r="CU851" s="167">
        <v>0</v>
      </c>
      <c r="CV851" s="167">
        <v>0</v>
      </c>
      <c r="CW851" s="167">
        <v>0</v>
      </c>
      <c r="CX851" s="167">
        <f>SUM(CD851:CH851)</f>
        <v>-2</v>
      </c>
      <c r="CY851" s="167">
        <f>SUM(CD851:CM851)</f>
        <v>-2</v>
      </c>
    </row>
    <row r="852" spans="1:103" ht="12.75" customHeight="1" x14ac:dyDescent="0.2">
      <c r="A852" s="81">
        <v>5682</v>
      </c>
      <c r="B852" s="165" t="s">
        <v>1930</v>
      </c>
      <c r="C852" s="165" t="s">
        <v>1193</v>
      </c>
      <c r="E852" s="165" t="s">
        <v>2582</v>
      </c>
      <c r="G852" s="81">
        <v>528537</v>
      </c>
      <c r="H852" s="81">
        <v>175740</v>
      </c>
      <c r="I852" s="165" t="s">
        <v>256</v>
      </c>
      <c r="L852" s="166">
        <v>0</v>
      </c>
      <c r="M852" s="166">
        <v>1</v>
      </c>
      <c r="N852" s="166">
        <v>1</v>
      </c>
      <c r="O852" s="166">
        <v>1</v>
      </c>
      <c r="P852" s="166">
        <v>1</v>
      </c>
      <c r="R852" s="165" t="s">
        <v>1194</v>
      </c>
      <c r="S852" s="81" t="s">
        <v>113</v>
      </c>
      <c r="T852" s="349">
        <v>42493</v>
      </c>
      <c r="U852" s="349">
        <v>42549</v>
      </c>
      <c r="W852" s="81" t="s">
        <v>114</v>
      </c>
      <c r="Y852" s="81" t="s">
        <v>115</v>
      </c>
      <c r="Z852" s="81" t="s">
        <v>398</v>
      </c>
      <c r="AA852" s="81" t="s">
        <v>117</v>
      </c>
      <c r="AB852" s="81" t="s">
        <v>102</v>
      </c>
      <c r="AC852" s="166">
        <v>4.0000001899898104E-3</v>
      </c>
      <c r="AG852" s="81" t="s">
        <v>238</v>
      </c>
      <c r="AH852" s="81" t="s">
        <v>118</v>
      </c>
      <c r="AK852" s="166">
        <v>0</v>
      </c>
      <c r="AM852" s="166">
        <v>0</v>
      </c>
      <c r="AO852" s="166">
        <v>0</v>
      </c>
      <c r="AP852" s="166">
        <v>1</v>
      </c>
      <c r="AQ852" s="166">
        <v>0</v>
      </c>
      <c r="AR852" s="166">
        <v>0</v>
      </c>
      <c r="AS852" s="166">
        <v>0</v>
      </c>
      <c r="AT852" s="166">
        <v>0</v>
      </c>
      <c r="AU852" s="166">
        <v>0</v>
      </c>
      <c r="AV852" s="166">
        <v>0</v>
      </c>
      <c r="AW852" s="166">
        <v>1</v>
      </c>
      <c r="AX852" s="166">
        <v>0</v>
      </c>
      <c r="AY852" s="166">
        <v>0</v>
      </c>
      <c r="AZ852" s="166">
        <v>0</v>
      </c>
      <c r="BA852" s="166">
        <v>0</v>
      </c>
      <c r="BB852" s="166">
        <v>0</v>
      </c>
      <c r="BC852" s="166">
        <v>0</v>
      </c>
      <c r="BD852" s="166">
        <v>0</v>
      </c>
      <c r="BE852" s="166">
        <v>0</v>
      </c>
      <c r="BF852" s="166">
        <v>0</v>
      </c>
      <c r="BG852" s="166">
        <v>0</v>
      </c>
      <c r="BH852" s="166">
        <v>0</v>
      </c>
      <c r="BI852" s="166">
        <v>0</v>
      </c>
      <c r="BJ852" s="166">
        <v>0</v>
      </c>
      <c r="BK852" s="166">
        <v>0</v>
      </c>
      <c r="BL852" s="166">
        <v>0</v>
      </c>
      <c r="BM852" s="166">
        <v>0</v>
      </c>
      <c r="BN852" s="166">
        <v>0</v>
      </c>
      <c r="BO852" s="166">
        <v>0</v>
      </c>
      <c r="BP852" s="166">
        <v>0</v>
      </c>
      <c r="BQ852" s="81" t="s">
        <v>1757</v>
      </c>
      <c r="BZ852" s="81" t="s">
        <v>155</v>
      </c>
      <c r="CA852" s="81" t="s">
        <v>1937</v>
      </c>
      <c r="CC852" s="167">
        <v>0</v>
      </c>
      <c r="CD852" s="167">
        <f>$N852/4</f>
        <v>0.25</v>
      </c>
      <c r="CE852" s="167">
        <f>$N852/4</f>
        <v>0.25</v>
      </c>
      <c r="CF852" s="167">
        <f>$N852/4</f>
        <v>0.25</v>
      </c>
      <c r="CG852" s="167">
        <f>$N852/4</f>
        <v>0.25</v>
      </c>
      <c r="CH852" s="167">
        <v>0</v>
      </c>
      <c r="CI852" s="167">
        <v>0</v>
      </c>
      <c r="CJ852" s="167">
        <v>0</v>
      </c>
      <c r="CK852" s="167">
        <v>0</v>
      </c>
      <c r="CL852" s="167">
        <v>0</v>
      </c>
      <c r="CM852" s="167">
        <v>0</v>
      </c>
      <c r="CN852" s="167">
        <v>0</v>
      </c>
      <c r="CO852" s="167">
        <v>0</v>
      </c>
      <c r="CP852" s="167">
        <v>0</v>
      </c>
      <c r="CQ852" s="167">
        <v>0</v>
      </c>
      <c r="CR852" s="167">
        <v>0</v>
      </c>
      <c r="CS852" s="167">
        <v>0</v>
      </c>
      <c r="CT852" s="167">
        <v>0</v>
      </c>
      <c r="CU852" s="167">
        <v>0</v>
      </c>
      <c r="CV852" s="167">
        <v>0</v>
      </c>
      <c r="CW852" s="167">
        <v>0</v>
      </c>
      <c r="CX852" s="167">
        <f>SUM(CD852:CH852)</f>
        <v>1</v>
      </c>
      <c r="CY852" s="167">
        <f>SUM(CD852:CM852)</f>
        <v>1</v>
      </c>
    </row>
    <row r="853" spans="1:103" ht="12.75" customHeight="1" x14ac:dyDescent="0.2">
      <c r="A853" s="81">
        <v>5682</v>
      </c>
      <c r="B853" s="165" t="s">
        <v>1930</v>
      </c>
      <c r="C853" s="165" t="s">
        <v>2583</v>
      </c>
      <c r="E853" s="165" t="s">
        <v>2582</v>
      </c>
      <c r="G853" s="81">
        <v>528537</v>
      </c>
      <c r="H853" s="81">
        <v>175740</v>
      </c>
      <c r="I853" s="165" t="s">
        <v>256</v>
      </c>
      <c r="L853" s="166">
        <v>1</v>
      </c>
      <c r="M853" s="166">
        <v>2</v>
      </c>
      <c r="N853" s="166">
        <v>1</v>
      </c>
      <c r="O853" s="166">
        <v>3</v>
      </c>
      <c r="P853" s="166">
        <v>2</v>
      </c>
      <c r="R853" s="165" t="s">
        <v>2584</v>
      </c>
      <c r="S853" s="81" t="s">
        <v>113</v>
      </c>
      <c r="T853" s="349">
        <v>42838</v>
      </c>
      <c r="U853" s="349">
        <v>42997</v>
      </c>
      <c r="V853" s="81" t="s">
        <v>155</v>
      </c>
      <c r="W853" s="81" t="s">
        <v>114</v>
      </c>
      <c r="Y853" s="81" t="s">
        <v>115</v>
      </c>
      <c r="Z853" s="81" t="s">
        <v>398</v>
      </c>
      <c r="AA853" s="81" t="s">
        <v>117</v>
      </c>
      <c r="AB853" s="81" t="s">
        <v>220</v>
      </c>
      <c r="AC853" s="166">
        <v>4.0000001899898104E-3</v>
      </c>
      <c r="AG853" s="81" t="s">
        <v>238</v>
      </c>
      <c r="AH853" s="81" t="s">
        <v>118</v>
      </c>
      <c r="AK853" s="166">
        <v>0</v>
      </c>
      <c r="AM853" s="166">
        <v>0</v>
      </c>
      <c r="AO853" s="166">
        <v>0</v>
      </c>
      <c r="AP853" s="166">
        <v>2</v>
      </c>
      <c r="AQ853" s="166">
        <v>0</v>
      </c>
      <c r="AR853" s="166">
        <v>0</v>
      </c>
      <c r="AS853" s="166">
        <v>-1</v>
      </c>
      <c r="AT853" s="166">
        <v>0</v>
      </c>
      <c r="AU853" s="166">
        <v>0</v>
      </c>
      <c r="AV853" s="166">
        <v>0</v>
      </c>
      <c r="AW853" s="166">
        <v>2</v>
      </c>
      <c r="AX853" s="166">
        <v>0</v>
      </c>
      <c r="AY853" s="166">
        <v>0</v>
      </c>
      <c r="AZ853" s="166">
        <v>-1</v>
      </c>
      <c r="BA853" s="166">
        <v>0</v>
      </c>
      <c r="BB853" s="166">
        <v>0</v>
      </c>
      <c r="BC853" s="166">
        <v>0</v>
      </c>
      <c r="BD853" s="166">
        <v>0</v>
      </c>
      <c r="BE853" s="166">
        <v>0</v>
      </c>
      <c r="BF853" s="166">
        <v>0</v>
      </c>
      <c r="BG853" s="166">
        <v>0</v>
      </c>
      <c r="BH853" s="166">
        <v>0</v>
      </c>
      <c r="BI853" s="166">
        <v>0</v>
      </c>
      <c r="BJ853" s="166">
        <v>0</v>
      </c>
      <c r="BK853" s="166">
        <v>0</v>
      </c>
      <c r="BL853" s="166">
        <v>0</v>
      </c>
      <c r="BM853" s="166">
        <v>0</v>
      </c>
      <c r="BN853" s="166">
        <v>0</v>
      </c>
      <c r="BO853" s="166">
        <v>0</v>
      </c>
      <c r="BP853" s="166">
        <v>0</v>
      </c>
      <c r="BQ853" s="81" t="s">
        <v>1757</v>
      </c>
      <c r="BZ853" s="81" t="s">
        <v>155</v>
      </c>
      <c r="CA853" s="81" t="s">
        <v>1937</v>
      </c>
      <c r="CC853" s="167">
        <v>0</v>
      </c>
      <c r="CD853" s="167">
        <f>$N853/4</f>
        <v>0.25</v>
      </c>
      <c r="CE853" s="167">
        <f>$N853/4</f>
        <v>0.25</v>
      </c>
      <c r="CF853" s="167">
        <f>$N853/4</f>
        <v>0.25</v>
      </c>
      <c r="CG853" s="167">
        <f>$N853/4</f>
        <v>0.25</v>
      </c>
      <c r="CH853" s="167">
        <v>0</v>
      </c>
      <c r="CI853" s="167">
        <v>0</v>
      </c>
      <c r="CJ853" s="167">
        <v>0</v>
      </c>
      <c r="CK853" s="167">
        <v>0</v>
      </c>
      <c r="CL853" s="167">
        <v>0</v>
      </c>
      <c r="CM853" s="167">
        <v>0</v>
      </c>
      <c r="CN853" s="167">
        <v>0</v>
      </c>
      <c r="CO853" s="167">
        <v>0</v>
      </c>
      <c r="CP853" s="167">
        <v>0</v>
      </c>
      <c r="CQ853" s="167">
        <v>0</v>
      </c>
      <c r="CR853" s="167">
        <v>0</v>
      </c>
      <c r="CS853" s="167">
        <v>0</v>
      </c>
      <c r="CT853" s="167">
        <v>0</v>
      </c>
      <c r="CU853" s="167">
        <v>0</v>
      </c>
      <c r="CV853" s="167">
        <v>0</v>
      </c>
      <c r="CW853" s="167">
        <v>0</v>
      </c>
      <c r="CX853" s="167">
        <f>SUM(CD853:CH853)</f>
        <v>1</v>
      </c>
      <c r="CY853" s="167">
        <f>SUM(CD853:CM853)</f>
        <v>1</v>
      </c>
    </row>
    <row r="854" spans="1:103" ht="12.75" customHeight="1" x14ac:dyDescent="0.2">
      <c r="A854" s="81">
        <v>5682</v>
      </c>
      <c r="B854" s="165" t="s">
        <v>1930</v>
      </c>
      <c r="C854" s="165" t="s">
        <v>2583</v>
      </c>
      <c r="E854" s="165" t="s">
        <v>2582</v>
      </c>
      <c r="G854" s="81">
        <v>528537</v>
      </c>
      <c r="H854" s="81">
        <v>175740</v>
      </c>
      <c r="I854" s="165" t="s">
        <v>256</v>
      </c>
      <c r="L854" s="166">
        <v>0</v>
      </c>
      <c r="M854" s="166">
        <v>1</v>
      </c>
      <c r="N854" s="166">
        <v>1</v>
      </c>
      <c r="O854" s="166">
        <v>3</v>
      </c>
      <c r="P854" s="166">
        <v>2</v>
      </c>
      <c r="R854" s="165" t="s">
        <v>2584</v>
      </c>
      <c r="S854" s="81" t="s">
        <v>113</v>
      </c>
      <c r="T854" s="349">
        <v>42838</v>
      </c>
      <c r="U854" s="349">
        <v>42997</v>
      </c>
      <c r="V854" s="81" t="s">
        <v>155</v>
      </c>
      <c r="W854" s="81" t="s">
        <v>114</v>
      </c>
      <c r="Y854" s="81" t="s">
        <v>115</v>
      </c>
      <c r="Z854" s="81" t="s">
        <v>398</v>
      </c>
      <c r="AA854" s="81" t="s">
        <v>117</v>
      </c>
      <c r="AB854" s="81" t="s">
        <v>218</v>
      </c>
      <c r="AC854" s="166">
        <v>3.0000000260770299E-3</v>
      </c>
      <c r="AG854" s="81" t="s">
        <v>238</v>
      </c>
      <c r="AH854" s="81" t="s">
        <v>118</v>
      </c>
      <c r="AK854" s="166">
        <v>0</v>
      </c>
      <c r="AM854" s="166">
        <v>0</v>
      </c>
      <c r="AO854" s="166">
        <v>0</v>
      </c>
      <c r="AP854" s="166">
        <v>1</v>
      </c>
      <c r="AQ854" s="166">
        <v>0</v>
      </c>
      <c r="AR854" s="166">
        <v>0</v>
      </c>
      <c r="AS854" s="166">
        <v>0</v>
      </c>
      <c r="AT854" s="166">
        <v>0</v>
      </c>
      <c r="AU854" s="166">
        <v>0</v>
      </c>
      <c r="AV854" s="166">
        <v>0</v>
      </c>
      <c r="AW854" s="166">
        <v>1</v>
      </c>
      <c r="AX854" s="166">
        <v>0</v>
      </c>
      <c r="AY854" s="166">
        <v>0</v>
      </c>
      <c r="AZ854" s="166">
        <v>0</v>
      </c>
      <c r="BA854" s="166">
        <v>0</v>
      </c>
      <c r="BB854" s="166">
        <v>0</v>
      </c>
      <c r="BC854" s="166">
        <v>0</v>
      </c>
      <c r="BD854" s="166">
        <v>0</v>
      </c>
      <c r="BE854" s="166">
        <v>0</v>
      </c>
      <c r="BF854" s="166">
        <v>0</v>
      </c>
      <c r="BG854" s="166">
        <v>0</v>
      </c>
      <c r="BH854" s="166">
        <v>0</v>
      </c>
      <c r="BI854" s="166">
        <v>0</v>
      </c>
      <c r="BJ854" s="166">
        <v>0</v>
      </c>
      <c r="BK854" s="166">
        <v>0</v>
      </c>
      <c r="BL854" s="166">
        <v>0</v>
      </c>
      <c r="BM854" s="166">
        <v>0</v>
      </c>
      <c r="BN854" s="166">
        <v>0</v>
      </c>
      <c r="BO854" s="166">
        <v>0</v>
      </c>
      <c r="BP854" s="166">
        <v>0</v>
      </c>
      <c r="BQ854" s="81" t="s">
        <v>1757</v>
      </c>
      <c r="BZ854" s="81" t="s">
        <v>155</v>
      </c>
      <c r="CA854" s="81" t="s">
        <v>1937</v>
      </c>
      <c r="CC854" s="167">
        <v>0</v>
      </c>
      <c r="CD854" s="167">
        <f>$N854/4</f>
        <v>0.25</v>
      </c>
      <c r="CE854" s="167">
        <f>$N854/4</f>
        <v>0.25</v>
      </c>
      <c r="CF854" s="167">
        <f>$N854/4</f>
        <v>0.25</v>
      </c>
      <c r="CG854" s="167">
        <f>$N854/4</f>
        <v>0.25</v>
      </c>
      <c r="CH854" s="167">
        <v>0</v>
      </c>
      <c r="CI854" s="167">
        <v>0</v>
      </c>
      <c r="CJ854" s="167">
        <v>0</v>
      </c>
      <c r="CK854" s="167">
        <v>0</v>
      </c>
      <c r="CL854" s="167">
        <v>0</v>
      </c>
      <c r="CM854" s="167">
        <v>0</v>
      </c>
      <c r="CN854" s="167">
        <v>0</v>
      </c>
      <c r="CO854" s="167">
        <v>0</v>
      </c>
      <c r="CP854" s="167">
        <v>0</v>
      </c>
      <c r="CQ854" s="167">
        <v>0</v>
      </c>
      <c r="CR854" s="167">
        <v>0</v>
      </c>
      <c r="CS854" s="167">
        <v>0</v>
      </c>
      <c r="CT854" s="167">
        <v>0</v>
      </c>
      <c r="CU854" s="167">
        <v>0</v>
      </c>
      <c r="CV854" s="167">
        <v>0</v>
      </c>
      <c r="CW854" s="167">
        <v>0</v>
      </c>
      <c r="CX854" s="167">
        <f>SUM(CD854:CH854)</f>
        <v>1</v>
      </c>
      <c r="CY854" s="167">
        <f>SUM(CD854:CM854)</f>
        <v>1</v>
      </c>
    </row>
    <row r="855" spans="1:103" ht="12.75" customHeight="1" x14ac:dyDescent="0.2">
      <c r="A855" s="81">
        <v>5706</v>
      </c>
      <c r="B855" s="165" t="s">
        <v>1930</v>
      </c>
      <c r="C855" s="165" t="s">
        <v>328</v>
      </c>
      <c r="E855" s="165" t="s">
        <v>2585</v>
      </c>
      <c r="G855" s="81">
        <v>528634</v>
      </c>
      <c r="H855" s="81">
        <v>170655</v>
      </c>
      <c r="I855" s="165" t="s">
        <v>252</v>
      </c>
      <c r="L855" s="166">
        <v>0</v>
      </c>
      <c r="M855" s="166">
        <v>2</v>
      </c>
      <c r="N855" s="166">
        <v>2</v>
      </c>
      <c r="O855" s="166">
        <v>2</v>
      </c>
      <c r="P855" s="166">
        <v>2</v>
      </c>
      <c r="R855" s="165" t="s">
        <v>329</v>
      </c>
      <c r="S855" s="81" t="s">
        <v>113</v>
      </c>
      <c r="T855" s="349">
        <v>41845</v>
      </c>
      <c r="U855" s="349">
        <v>42145</v>
      </c>
      <c r="W855" s="81" t="s">
        <v>114</v>
      </c>
      <c r="Y855" s="81" t="s">
        <v>115</v>
      </c>
      <c r="Z855" s="81" t="s">
        <v>219</v>
      </c>
      <c r="AA855" s="81" t="s">
        <v>117</v>
      </c>
      <c r="AB855" s="81" t="s">
        <v>3889</v>
      </c>
      <c r="AC855" s="166">
        <v>8.0000003799796104E-3</v>
      </c>
      <c r="AG855" s="81" t="s">
        <v>238</v>
      </c>
      <c r="AH855" s="81" t="s">
        <v>118</v>
      </c>
      <c r="AK855" s="166">
        <v>0</v>
      </c>
      <c r="AM855" s="166">
        <v>0</v>
      </c>
      <c r="AO855" s="166">
        <v>0</v>
      </c>
      <c r="AP855" s="166">
        <v>2</v>
      </c>
      <c r="AQ855" s="166">
        <v>0</v>
      </c>
      <c r="AR855" s="166">
        <v>0</v>
      </c>
      <c r="AS855" s="166">
        <v>0</v>
      </c>
      <c r="AT855" s="166">
        <v>0</v>
      </c>
      <c r="AU855" s="166">
        <v>0</v>
      </c>
      <c r="AV855" s="166">
        <v>0</v>
      </c>
      <c r="AW855" s="166">
        <v>2</v>
      </c>
      <c r="AX855" s="166">
        <v>0</v>
      </c>
      <c r="AY855" s="166">
        <v>0</v>
      </c>
      <c r="AZ855" s="166">
        <v>0</v>
      </c>
      <c r="BA855" s="166">
        <v>0</v>
      </c>
      <c r="BB855" s="166">
        <v>0</v>
      </c>
      <c r="BC855" s="166">
        <v>0</v>
      </c>
      <c r="BD855" s="166">
        <v>0</v>
      </c>
      <c r="BE855" s="166">
        <v>0</v>
      </c>
      <c r="BF855" s="166">
        <v>0</v>
      </c>
      <c r="BG855" s="166">
        <v>0</v>
      </c>
      <c r="BH855" s="166">
        <v>0</v>
      </c>
      <c r="BI855" s="166">
        <v>0</v>
      </c>
      <c r="BJ855" s="166">
        <v>0</v>
      </c>
      <c r="BK855" s="166">
        <v>0</v>
      </c>
      <c r="BL855" s="166">
        <v>0</v>
      </c>
      <c r="BM855" s="166">
        <v>0</v>
      </c>
      <c r="BN855" s="166">
        <v>0</v>
      </c>
      <c r="BO855" s="166">
        <v>0</v>
      </c>
      <c r="BP855" s="166">
        <v>0</v>
      </c>
      <c r="BQ855" s="81" t="s">
        <v>1757</v>
      </c>
      <c r="BZ855" s="81" t="s">
        <v>155</v>
      </c>
      <c r="CA855" s="81" t="s">
        <v>1937</v>
      </c>
      <c r="CC855" s="167">
        <v>0</v>
      </c>
      <c r="CD855" s="167">
        <f>$N855/4</f>
        <v>0.5</v>
      </c>
      <c r="CE855" s="167">
        <f>$N855/4</f>
        <v>0.5</v>
      </c>
      <c r="CF855" s="167">
        <f>$N855/4</f>
        <v>0.5</v>
      </c>
      <c r="CG855" s="167">
        <f>$N855/4</f>
        <v>0.5</v>
      </c>
      <c r="CH855" s="167">
        <v>0</v>
      </c>
      <c r="CI855" s="167">
        <v>0</v>
      </c>
      <c r="CJ855" s="167">
        <v>0</v>
      </c>
      <c r="CK855" s="167">
        <v>0</v>
      </c>
      <c r="CL855" s="167">
        <v>0</v>
      </c>
      <c r="CM855" s="167">
        <v>0</v>
      </c>
      <c r="CN855" s="167">
        <v>0</v>
      </c>
      <c r="CO855" s="167">
        <v>0</v>
      </c>
      <c r="CP855" s="167">
        <v>0</v>
      </c>
      <c r="CQ855" s="167">
        <v>0</v>
      </c>
      <c r="CR855" s="167">
        <v>0</v>
      </c>
      <c r="CS855" s="167">
        <v>0</v>
      </c>
      <c r="CT855" s="167">
        <v>0</v>
      </c>
      <c r="CU855" s="167">
        <v>0</v>
      </c>
      <c r="CV855" s="167">
        <v>0</v>
      </c>
      <c r="CW855" s="167">
        <v>0</v>
      </c>
      <c r="CX855" s="167">
        <f>SUM(CD855:CH855)</f>
        <v>2</v>
      </c>
      <c r="CY855" s="167">
        <f>SUM(CD855:CM855)</f>
        <v>2</v>
      </c>
    </row>
    <row r="856" spans="1:103" ht="12.75" customHeight="1" x14ac:dyDescent="0.2">
      <c r="A856" s="81">
        <v>5729</v>
      </c>
      <c r="B856" s="165" t="s">
        <v>1930</v>
      </c>
      <c r="C856" s="165" t="s">
        <v>391</v>
      </c>
      <c r="E856" s="165" t="s">
        <v>2586</v>
      </c>
      <c r="G856" s="81">
        <v>527242</v>
      </c>
      <c r="H856" s="81">
        <v>171469</v>
      </c>
      <c r="I856" s="165" t="s">
        <v>242</v>
      </c>
      <c r="L856" s="166">
        <v>2</v>
      </c>
      <c r="M856" s="166">
        <v>1</v>
      </c>
      <c r="N856" s="166">
        <v>-1</v>
      </c>
      <c r="O856" s="166">
        <v>1</v>
      </c>
      <c r="P856" s="166">
        <v>-1</v>
      </c>
      <c r="R856" s="165" t="s">
        <v>392</v>
      </c>
      <c r="S856" s="81" t="s">
        <v>113</v>
      </c>
      <c r="T856" s="349">
        <v>41899</v>
      </c>
      <c r="U856" s="349">
        <v>41955</v>
      </c>
      <c r="W856" s="81" t="s">
        <v>114</v>
      </c>
      <c r="Y856" s="81" t="s">
        <v>115</v>
      </c>
      <c r="Z856" s="81" t="s">
        <v>119</v>
      </c>
      <c r="AA856" s="81" t="s">
        <v>117</v>
      </c>
      <c r="AB856" s="81" t="s">
        <v>300</v>
      </c>
      <c r="AC856" s="166">
        <v>1.4000000432133701E-2</v>
      </c>
      <c r="AG856" s="81" t="s">
        <v>238</v>
      </c>
      <c r="AH856" s="81" t="s">
        <v>118</v>
      </c>
      <c r="AK856" s="166">
        <v>0</v>
      </c>
      <c r="AM856" s="166">
        <v>0</v>
      </c>
      <c r="AO856" s="166">
        <v>0</v>
      </c>
      <c r="AP856" s="166">
        <v>-1</v>
      </c>
      <c r="AQ856" s="166">
        <v>-1</v>
      </c>
      <c r="AR856" s="166">
        <v>1</v>
      </c>
      <c r="AS856" s="166">
        <v>0</v>
      </c>
      <c r="AT856" s="166">
        <v>0</v>
      </c>
      <c r="AU856" s="166">
        <v>0</v>
      </c>
      <c r="AV856" s="166">
        <v>0</v>
      </c>
      <c r="AW856" s="166">
        <v>-1</v>
      </c>
      <c r="AX856" s="166">
        <v>-1</v>
      </c>
      <c r="AY856" s="166">
        <v>1</v>
      </c>
      <c r="AZ856" s="166">
        <v>0</v>
      </c>
      <c r="BA856" s="166">
        <v>0</v>
      </c>
      <c r="BB856" s="166">
        <v>0</v>
      </c>
      <c r="BC856" s="166">
        <v>0</v>
      </c>
      <c r="BD856" s="166">
        <v>0</v>
      </c>
      <c r="BE856" s="166">
        <v>0</v>
      </c>
      <c r="BF856" s="166">
        <v>0</v>
      </c>
      <c r="BG856" s="166">
        <v>0</v>
      </c>
      <c r="BH856" s="166">
        <v>0</v>
      </c>
      <c r="BI856" s="166">
        <v>0</v>
      </c>
      <c r="BJ856" s="166">
        <v>0</v>
      </c>
      <c r="BK856" s="166">
        <v>0</v>
      </c>
      <c r="BL856" s="166">
        <v>0</v>
      </c>
      <c r="BM856" s="166">
        <v>0</v>
      </c>
      <c r="BN856" s="166">
        <v>0</v>
      </c>
      <c r="BO856" s="166">
        <v>0</v>
      </c>
      <c r="BP856" s="166">
        <v>0</v>
      </c>
      <c r="BQ856" s="81" t="s">
        <v>1757</v>
      </c>
      <c r="BZ856" s="81" t="s">
        <v>155</v>
      </c>
      <c r="CA856" s="81" t="s">
        <v>1937</v>
      </c>
      <c r="CC856" s="167">
        <v>0</v>
      </c>
      <c r="CD856" s="167">
        <f>$N856/4</f>
        <v>-0.25</v>
      </c>
      <c r="CE856" s="167">
        <f>$N856/4</f>
        <v>-0.25</v>
      </c>
      <c r="CF856" s="167">
        <f>$N856/4</f>
        <v>-0.25</v>
      </c>
      <c r="CG856" s="167">
        <f>$N856/4</f>
        <v>-0.25</v>
      </c>
      <c r="CH856" s="167">
        <v>0</v>
      </c>
      <c r="CI856" s="167">
        <v>0</v>
      </c>
      <c r="CJ856" s="167">
        <v>0</v>
      </c>
      <c r="CK856" s="167">
        <v>0</v>
      </c>
      <c r="CL856" s="167">
        <v>0</v>
      </c>
      <c r="CM856" s="167">
        <v>0</v>
      </c>
      <c r="CN856" s="167">
        <v>0</v>
      </c>
      <c r="CO856" s="167">
        <v>0</v>
      </c>
      <c r="CP856" s="167">
        <v>0</v>
      </c>
      <c r="CQ856" s="167">
        <v>0</v>
      </c>
      <c r="CR856" s="167">
        <v>0</v>
      </c>
      <c r="CS856" s="167">
        <v>0</v>
      </c>
      <c r="CT856" s="167">
        <v>0</v>
      </c>
      <c r="CU856" s="167">
        <v>0</v>
      </c>
      <c r="CV856" s="167">
        <v>0</v>
      </c>
      <c r="CW856" s="167">
        <v>0</v>
      </c>
      <c r="CX856" s="167">
        <f>SUM(CD856:CH856)</f>
        <v>-1</v>
      </c>
      <c r="CY856" s="167">
        <f>SUM(CD856:CM856)</f>
        <v>-1</v>
      </c>
    </row>
    <row r="857" spans="1:103" ht="12.75" customHeight="1" x14ac:dyDescent="0.2">
      <c r="A857" s="81">
        <v>5734</v>
      </c>
      <c r="B857" s="165" t="s">
        <v>1930</v>
      </c>
      <c r="C857" s="165" t="s">
        <v>1201</v>
      </c>
      <c r="E857" s="165" t="s">
        <v>2587</v>
      </c>
      <c r="G857" s="81">
        <v>527231</v>
      </c>
      <c r="H857" s="81">
        <v>171411</v>
      </c>
      <c r="I857" s="165" t="s">
        <v>242</v>
      </c>
      <c r="L857" s="166">
        <v>2</v>
      </c>
      <c r="M857" s="166">
        <v>3</v>
      </c>
      <c r="N857" s="166">
        <v>1</v>
      </c>
      <c r="O857" s="166">
        <v>3</v>
      </c>
      <c r="P857" s="166">
        <v>1</v>
      </c>
      <c r="R857" s="165" t="s">
        <v>1202</v>
      </c>
      <c r="S857" s="81" t="s">
        <v>113</v>
      </c>
      <c r="T857" s="349">
        <v>42465</v>
      </c>
      <c r="U857" s="349">
        <v>42521</v>
      </c>
      <c r="W857" s="81" t="s">
        <v>114</v>
      </c>
      <c r="Y857" s="81" t="s">
        <v>115</v>
      </c>
      <c r="Z857" s="81" t="s">
        <v>116</v>
      </c>
      <c r="AA857" s="81" t="s">
        <v>117</v>
      </c>
      <c r="AB857" s="81" t="s">
        <v>218</v>
      </c>
      <c r="AC857" s="166">
        <v>2.4000000208616298E-2</v>
      </c>
      <c r="AG857" s="81" t="s">
        <v>238</v>
      </c>
      <c r="AH857" s="81" t="s">
        <v>118</v>
      </c>
      <c r="AK857" s="166">
        <v>3</v>
      </c>
      <c r="AM857" s="166">
        <v>0</v>
      </c>
      <c r="AO857" s="166">
        <v>0</v>
      </c>
      <c r="AP857" s="166">
        <v>0</v>
      </c>
      <c r="AQ857" s="166">
        <v>-2</v>
      </c>
      <c r="AR857" s="166">
        <v>3</v>
      </c>
      <c r="AS857" s="166">
        <v>0</v>
      </c>
      <c r="AT857" s="166">
        <v>0</v>
      </c>
      <c r="AU857" s="166">
        <v>0</v>
      </c>
      <c r="AV857" s="166">
        <v>0</v>
      </c>
      <c r="AW857" s="166">
        <v>0</v>
      </c>
      <c r="AX857" s="166">
        <v>-2</v>
      </c>
      <c r="AY857" s="166">
        <v>0</v>
      </c>
      <c r="AZ857" s="166">
        <v>0</v>
      </c>
      <c r="BA857" s="166">
        <v>0</v>
      </c>
      <c r="BB857" s="166">
        <v>0</v>
      </c>
      <c r="BC857" s="166">
        <v>0</v>
      </c>
      <c r="BD857" s="166">
        <v>0</v>
      </c>
      <c r="BE857" s="166">
        <v>0</v>
      </c>
      <c r="BF857" s="166">
        <v>3</v>
      </c>
      <c r="BG857" s="166">
        <v>0</v>
      </c>
      <c r="BH857" s="166">
        <v>0</v>
      </c>
      <c r="BI857" s="166">
        <v>0</v>
      </c>
      <c r="BJ857" s="166">
        <v>0</v>
      </c>
      <c r="BK857" s="166">
        <v>0</v>
      </c>
      <c r="BL857" s="166">
        <v>0</v>
      </c>
      <c r="BM857" s="166">
        <v>0</v>
      </c>
      <c r="BN857" s="166">
        <v>0</v>
      </c>
      <c r="BO857" s="166">
        <v>0</v>
      </c>
      <c r="BP857" s="166">
        <v>0</v>
      </c>
      <c r="BQ857" s="81" t="s">
        <v>1757</v>
      </c>
      <c r="BZ857" s="81" t="s">
        <v>155</v>
      </c>
      <c r="CA857" s="81">
        <v>4</v>
      </c>
      <c r="CC857" s="167">
        <v>0</v>
      </c>
      <c r="CD857" s="167">
        <v>0</v>
      </c>
      <c r="CE857" s="167">
        <f>$N857/4</f>
        <v>0.25</v>
      </c>
      <c r="CF857" s="167">
        <f>$N857/4</f>
        <v>0.25</v>
      </c>
      <c r="CG857" s="167">
        <f>$N857/4</f>
        <v>0.25</v>
      </c>
      <c r="CH857" s="167">
        <f>$N857/4</f>
        <v>0.25</v>
      </c>
      <c r="CI857" s="167">
        <v>0</v>
      </c>
      <c r="CJ857" s="167">
        <v>0</v>
      </c>
      <c r="CK857" s="167">
        <v>0</v>
      </c>
      <c r="CL857" s="167">
        <v>0</v>
      </c>
      <c r="CM857" s="167">
        <v>0</v>
      </c>
      <c r="CN857" s="167">
        <v>0</v>
      </c>
      <c r="CO857" s="167">
        <v>0</v>
      </c>
      <c r="CP857" s="167">
        <v>0</v>
      </c>
      <c r="CQ857" s="167">
        <v>0</v>
      </c>
      <c r="CR857" s="167">
        <v>0</v>
      </c>
      <c r="CS857" s="167">
        <v>0</v>
      </c>
      <c r="CT857" s="167">
        <v>0</v>
      </c>
      <c r="CU857" s="167">
        <v>0</v>
      </c>
      <c r="CV857" s="167">
        <v>0</v>
      </c>
      <c r="CW857" s="167">
        <v>0</v>
      </c>
      <c r="CX857" s="167">
        <f>SUM(CD857:CH857)</f>
        <v>1</v>
      </c>
      <c r="CY857" s="167">
        <f>SUM(CD857:CM857)</f>
        <v>1</v>
      </c>
    </row>
    <row r="858" spans="1:103" ht="12.75" customHeight="1" x14ac:dyDescent="0.2">
      <c r="A858" s="81">
        <v>5749</v>
      </c>
      <c r="B858" s="165" t="s">
        <v>1930</v>
      </c>
      <c r="C858" s="165" t="s">
        <v>70</v>
      </c>
      <c r="E858" s="165" t="s">
        <v>2588</v>
      </c>
      <c r="G858" s="81">
        <v>523192</v>
      </c>
      <c r="H858" s="81">
        <v>175813</v>
      </c>
      <c r="I858" s="165" t="s">
        <v>259</v>
      </c>
      <c r="L858" s="166">
        <v>0</v>
      </c>
      <c r="M858" s="166">
        <v>2</v>
      </c>
      <c r="N858" s="166">
        <v>2</v>
      </c>
      <c r="O858" s="166">
        <v>2</v>
      </c>
      <c r="P858" s="166">
        <v>2</v>
      </c>
      <c r="R858" s="165" t="s">
        <v>71</v>
      </c>
      <c r="S858" s="81" t="s">
        <v>110</v>
      </c>
      <c r="T858" s="349">
        <v>41921</v>
      </c>
      <c r="U858" s="349">
        <v>41977</v>
      </c>
      <c r="W858" s="81" t="s">
        <v>114</v>
      </c>
      <c r="Y858" s="81" t="s">
        <v>115</v>
      </c>
      <c r="Z858" s="81" t="s">
        <v>310</v>
      </c>
      <c r="AA858" s="81" t="s">
        <v>117</v>
      </c>
      <c r="AB858" s="81" t="s">
        <v>399</v>
      </c>
      <c r="AC858" s="166">
        <v>4.9999998882412902E-3</v>
      </c>
      <c r="AG858" s="81" t="s">
        <v>238</v>
      </c>
      <c r="AH858" s="81" t="s">
        <v>118</v>
      </c>
      <c r="AK858" s="166">
        <v>0</v>
      </c>
      <c r="AM858" s="166">
        <v>0</v>
      </c>
      <c r="AO858" s="166">
        <v>0</v>
      </c>
      <c r="AP858" s="166">
        <v>0</v>
      </c>
      <c r="AQ858" s="166">
        <v>2</v>
      </c>
      <c r="AR858" s="166">
        <v>0</v>
      </c>
      <c r="AS858" s="166">
        <v>0</v>
      </c>
      <c r="AT858" s="166">
        <v>0</v>
      </c>
      <c r="AU858" s="166">
        <v>0</v>
      </c>
      <c r="AV858" s="166">
        <v>0</v>
      </c>
      <c r="AW858" s="166">
        <v>0</v>
      </c>
      <c r="AX858" s="166">
        <v>2</v>
      </c>
      <c r="AY858" s="166">
        <v>0</v>
      </c>
      <c r="AZ858" s="166">
        <v>0</v>
      </c>
      <c r="BA858" s="166">
        <v>0</v>
      </c>
      <c r="BB858" s="166">
        <v>0</v>
      </c>
      <c r="BC858" s="166">
        <v>0</v>
      </c>
      <c r="BD858" s="166">
        <v>0</v>
      </c>
      <c r="BE858" s="166">
        <v>0</v>
      </c>
      <c r="BF858" s="166">
        <v>0</v>
      </c>
      <c r="BG858" s="166">
        <v>0</v>
      </c>
      <c r="BH858" s="166">
        <v>0</v>
      </c>
      <c r="BI858" s="166">
        <v>0</v>
      </c>
      <c r="BJ858" s="166">
        <v>0</v>
      </c>
      <c r="BK858" s="166">
        <v>0</v>
      </c>
      <c r="BL858" s="166">
        <v>0</v>
      </c>
      <c r="BM858" s="166">
        <v>0</v>
      </c>
      <c r="BN858" s="166">
        <v>0</v>
      </c>
      <c r="BO858" s="166">
        <v>0</v>
      </c>
      <c r="BP858" s="166">
        <v>0</v>
      </c>
      <c r="BQ858" s="81" t="s">
        <v>1758</v>
      </c>
      <c r="BZ858" s="81" t="s">
        <v>155</v>
      </c>
      <c r="CA858" s="81" t="s">
        <v>1937</v>
      </c>
      <c r="CC858" s="167">
        <v>0</v>
      </c>
      <c r="CD858" s="167">
        <f>$N858/4</f>
        <v>0.5</v>
      </c>
      <c r="CE858" s="167">
        <f>$N858/4</f>
        <v>0.5</v>
      </c>
      <c r="CF858" s="167">
        <f>$N858/4</f>
        <v>0.5</v>
      </c>
      <c r="CG858" s="167">
        <f>$N858/4</f>
        <v>0.5</v>
      </c>
      <c r="CH858" s="167">
        <v>0</v>
      </c>
      <c r="CI858" s="167">
        <v>0</v>
      </c>
      <c r="CJ858" s="167">
        <v>0</v>
      </c>
      <c r="CK858" s="167">
        <v>0</v>
      </c>
      <c r="CL858" s="167">
        <v>0</v>
      </c>
      <c r="CM858" s="167">
        <v>0</v>
      </c>
      <c r="CN858" s="167">
        <v>0</v>
      </c>
      <c r="CO858" s="167">
        <v>0</v>
      </c>
      <c r="CP858" s="167">
        <v>0</v>
      </c>
      <c r="CQ858" s="167">
        <v>0</v>
      </c>
      <c r="CR858" s="167">
        <v>0</v>
      </c>
      <c r="CS858" s="167">
        <v>0</v>
      </c>
      <c r="CT858" s="167">
        <v>0</v>
      </c>
      <c r="CU858" s="167">
        <v>0</v>
      </c>
      <c r="CV858" s="167">
        <v>0</v>
      </c>
      <c r="CW858" s="167">
        <v>0</v>
      </c>
      <c r="CX858" s="167">
        <f>SUM(CD858:CH858)</f>
        <v>2</v>
      </c>
      <c r="CY858" s="167">
        <f>SUM(CD858:CM858)</f>
        <v>2</v>
      </c>
    </row>
    <row r="859" spans="1:103" ht="12.75" customHeight="1" x14ac:dyDescent="0.2">
      <c r="A859" s="81">
        <v>5758</v>
      </c>
      <c r="B859" s="165" t="s">
        <v>1930</v>
      </c>
      <c r="C859" s="165" t="s">
        <v>230</v>
      </c>
      <c r="E859" s="165" t="s">
        <v>2589</v>
      </c>
      <c r="G859" s="81">
        <v>524187</v>
      </c>
      <c r="H859" s="81">
        <v>175554</v>
      </c>
      <c r="I859" s="165" t="s">
        <v>259</v>
      </c>
      <c r="L859" s="166">
        <v>0</v>
      </c>
      <c r="M859" s="166">
        <v>3</v>
      </c>
      <c r="N859" s="166">
        <v>3</v>
      </c>
      <c r="O859" s="166">
        <v>3</v>
      </c>
      <c r="P859" s="166">
        <v>3</v>
      </c>
      <c r="R859" s="165" t="s">
        <v>231</v>
      </c>
      <c r="S859" s="81" t="s">
        <v>270</v>
      </c>
      <c r="T859" s="349">
        <v>41984</v>
      </c>
      <c r="U859" s="349">
        <v>42040</v>
      </c>
      <c r="W859" s="81" t="s">
        <v>114</v>
      </c>
      <c r="Y859" s="81" t="s">
        <v>115</v>
      </c>
      <c r="Z859" s="81" t="s">
        <v>310</v>
      </c>
      <c r="AA859" s="81" t="s">
        <v>117</v>
      </c>
      <c r="AB859" s="81" t="s">
        <v>399</v>
      </c>
      <c r="AC859" s="166">
        <v>3.9000000804662698E-2</v>
      </c>
      <c r="AG859" s="81" t="s">
        <v>238</v>
      </c>
      <c r="AH859" s="81" t="s">
        <v>118</v>
      </c>
      <c r="AK859" s="166">
        <v>0</v>
      </c>
      <c r="AM859" s="166">
        <v>0</v>
      </c>
      <c r="AO859" s="166">
        <v>0</v>
      </c>
      <c r="AP859" s="166">
        <v>0</v>
      </c>
      <c r="AQ859" s="166">
        <v>0</v>
      </c>
      <c r="AR859" s="166">
        <v>3</v>
      </c>
      <c r="AS859" s="166">
        <v>0</v>
      </c>
      <c r="AT859" s="166">
        <v>0</v>
      </c>
      <c r="AU859" s="166">
        <v>0</v>
      </c>
      <c r="AV859" s="166">
        <v>0</v>
      </c>
      <c r="AW859" s="166">
        <v>0</v>
      </c>
      <c r="AX859" s="166">
        <v>0</v>
      </c>
      <c r="AY859" s="166">
        <v>3</v>
      </c>
      <c r="AZ859" s="166">
        <v>0</v>
      </c>
      <c r="BA859" s="166">
        <v>0</v>
      </c>
      <c r="BB859" s="166">
        <v>0</v>
      </c>
      <c r="BC859" s="166">
        <v>0</v>
      </c>
      <c r="BD859" s="166">
        <v>0</v>
      </c>
      <c r="BE859" s="166">
        <v>0</v>
      </c>
      <c r="BF859" s="166">
        <v>0</v>
      </c>
      <c r="BG859" s="166">
        <v>0</v>
      </c>
      <c r="BH859" s="166">
        <v>0</v>
      </c>
      <c r="BI859" s="166">
        <v>0</v>
      </c>
      <c r="BJ859" s="166">
        <v>0</v>
      </c>
      <c r="BK859" s="166">
        <v>0</v>
      </c>
      <c r="BL859" s="166">
        <v>0</v>
      </c>
      <c r="BM859" s="166">
        <v>0</v>
      </c>
      <c r="BN859" s="166">
        <v>0</v>
      </c>
      <c r="BO859" s="166">
        <v>0</v>
      </c>
      <c r="BP859" s="166">
        <v>0</v>
      </c>
      <c r="BQ859" s="81" t="s">
        <v>1758</v>
      </c>
      <c r="BR859" s="81" t="s">
        <v>161</v>
      </c>
      <c r="BX859" s="81" t="s">
        <v>155</v>
      </c>
      <c r="BZ859" s="81" t="s">
        <v>155</v>
      </c>
      <c r="CA859" s="81" t="s">
        <v>1937</v>
      </c>
      <c r="CC859" s="167">
        <v>0</v>
      </c>
      <c r="CD859" s="167">
        <f>$N859/4</f>
        <v>0.75</v>
      </c>
      <c r="CE859" s="167">
        <f>$N859/4</f>
        <v>0.75</v>
      </c>
      <c r="CF859" s="167">
        <f>$N859/4</f>
        <v>0.75</v>
      </c>
      <c r="CG859" s="167">
        <f>$N859/4</f>
        <v>0.75</v>
      </c>
      <c r="CH859" s="167">
        <v>0</v>
      </c>
      <c r="CI859" s="167">
        <v>0</v>
      </c>
      <c r="CJ859" s="167">
        <v>0</v>
      </c>
      <c r="CK859" s="167">
        <v>0</v>
      </c>
      <c r="CL859" s="167">
        <v>0</v>
      </c>
      <c r="CM859" s="167">
        <v>0</v>
      </c>
      <c r="CN859" s="167">
        <v>0</v>
      </c>
      <c r="CO859" s="167">
        <v>0</v>
      </c>
      <c r="CP859" s="167">
        <v>0</v>
      </c>
      <c r="CQ859" s="167">
        <v>0</v>
      </c>
      <c r="CR859" s="167">
        <v>0</v>
      </c>
      <c r="CS859" s="167">
        <v>0</v>
      </c>
      <c r="CT859" s="167">
        <v>0</v>
      </c>
      <c r="CU859" s="167">
        <v>0</v>
      </c>
      <c r="CV859" s="167">
        <v>0</v>
      </c>
      <c r="CW859" s="167">
        <v>0</v>
      </c>
      <c r="CX859" s="167">
        <f>SUM(CD859:CH859)</f>
        <v>3</v>
      </c>
      <c r="CY859" s="167">
        <f>SUM(CD859:CM859)</f>
        <v>3</v>
      </c>
    </row>
    <row r="860" spans="1:103" ht="12.75" customHeight="1" x14ac:dyDescent="0.2">
      <c r="A860" s="81">
        <v>5770</v>
      </c>
      <c r="B860" s="165" t="s">
        <v>1930</v>
      </c>
      <c r="C860" s="165" t="s">
        <v>556</v>
      </c>
      <c r="E860" s="165" t="s">
        <v>2590</v>
      </c>
      <c r="G860" s="81">
        <v>524319</v>
      </c>
      <c r="H860" s="81">
        <v>174957</v>
      </c>
      <c r="I860" s="165" t="s">
        <v>259</v>
      </c>
      <c r="L860" s="166">
        <v>0</v>
      </c>
      <c r="M860" s="166">
        <v>2</v>
      </c>
      <c r="N860" s="166">
        <v>2</v>
      </c>
      <c r="O860" s="166">
        <v>2</v>
      </c>
      <c r="P860" s="166">
        <v>2</v>
      </c>
      <c r="R860" s="165" t="s">
        <v>1131</v>
      </c>
      <c r="S860" s="81" t="s">
        <v>113</v>
      </c>
      <c r="T860" s="349">
        <v>42144</v>
      </c>
      <c r="U860" s="349">
        <v>42236</v>
      </c>
      <c r="W860" s="81" t="s">
        <v>114</v>
      </c>
      <c r="Y860" s="81" t="s">
        <v>115</v>
      </c>
      <c r="Z860" s="81" t="s">
        <v>398</v>
      </c>
      <c r="AA860" s="81" t="s">
        <v>117</v>
      </c>
      <c r="AB860" s="81" t="s">
        <v>218</v>
      </c>
      <c r="AC860" s="166">
        <v>7.0000002160668399E-3</v>
      </c>
      <c r="AG860" s="81" t="s">
        <v>238</v>
      </c>
      <c r="AH860" s="81" t="s">
        <v>118</v>
      </c>
      <c r="AK860" s="166">
        <v>0</v>
      </c>
      <c r="AM860" s="166">
        <v>0</v>
      </c>
      <c r="AO860" s="166">
        <v>0</v>
      </c>
      <c r="AP860" s="166">
        <v>2</v>
      </c>
      <c r="AQ860" s="166">
        <v>0</v>
      </c>
      <c r="AR860" s="166">
        <v>0</v>
      </c>
      <c r="AS860" s="166">
        <v>0</v>
      </c>
      <c r="AT860" s="166">
        <v>0</v>
      </c>
      <c r="AU860" s="166">
        <v>0</v>
      </c>
      <c r="AV860" s="166">
        <v>0</v>
      </c>
      <c r="AW860" s="166">
        <v>2</v>
      </c>
      <c r="AX860" s="166">
        <v>0</v>
      </c>
      <c r="AY860" s="166">
        <v>0</v>
      </c>
      <c r="AZ860" s="166">
        <v>0</v>
      </c>
      <c r="BA860" s="166">
        <v>0</v>
      </c>
      <c r="BB860" s="166">
        <v>0</v>
      </c>
      <c r="BC860" s="166">
        <v>0</v>
      </c>
      <c r="BD860" s="166">
        <v>0</v>
      </c>
      <c r="BE860" s="166">
        <v>0</v>
      </c>
      <c r="BF860" s="166">
        <v>0</v>
      </c>
      <c r="BG860" s="166">
        <v>0</v>
      </c>
      <c r="BH860" s="166">
        <v>0</v>
      </c>
      <c r="BI860" s="166">
        <v>0</v>
      </c>
      <c r="BJ860" s="166">
        <v>0</v>
      </c>
      <c r="BK860" s="166">
        <v>0</v>
      </c>
      <c r="BL860" s="166">
        <v>0</v>
      </c>
      <c r="BM860" s="166">
        <v>0</v>
      </c>
      <c r="BN860" s="166">
        <v>0</v>
      </c>
      <c r="BO860" s="166">
        <v>0</v>
      </c>
      <c r="BP860" s="166">
        <v>0</v>
      </c>
      <c r="BQ860" s="81" t="s">
        <v>1758</v>
      </c>
      <c r="BR860" s="81" t="s">
        <v>161</v>
      </c>
      <c r="BV860" s="81" t="s">
        <v>155</v>
      </c>
      <c r="BZ860" s="81" t="s">
        <v>155</v>
      </c>
      <c r="CA860" s="81" t="s">
        <v>1937</v>
      </c>
      <c r="CC860" s="167">
        <v>0</v>
      </c>
      <c r="CD860" s="167">
        <f>$N860/4</f>
        <v>0.5</v>
      </c>
      <c r="CE860" s="167">
        <f>$N860/4</f>
        <v>0.5</v>
      </c>
      <c r="CF860" s="167">
        <f>$N860/4</f>
        <v>0.5</v>
      </c>
      <c r="CG860" s="167">
        <f>$N860/4</f>
        <v>0.5</v>
      </c>
      <c r="CH860" s="167">
        <v>0</v>
      </c>
      <c r="CI860" s="167">
        <v>0</v>
      </c>
      <c r="CJ860" s="167">
        <v>0</v>
      </c>
      <c r="CK860" s="167">
        <v>0</v>
      </c>
      <c r="CL860" s="167">
        <v>0</v>
      </c>
      <c r="CM860" s="167">
        <v>0</v>
      </c>
      <c r="CN860" s="167">
        <v>0</v>
      </c>
      <c r="CO860" s="167">
        <v>0</v>
      </c>
      <c r="CP860" s="167">
        <v>0</v>
      </c>
      <c r="CQ860" s="167">
        <v>0</v>
      </c>
      <c r="CR860" s="167">
        <v>0</v>
      </c>
      <c r="CS860" s="167">
        <v>0</v>
      </c>
      <c r="CT860" s="167">
        <v>0</v>
      </c>
      <c r="CU860" s="167">
        <v>0</v>
      </c>
      <c r="CV860" s="167">
        <v>0</v>
      </c>
      <c r="CW860" s="167">
        <v>0</v>
      </c>
      <c r="CX860" s="167">
        <f>SUM(CD860:CH860)</f>
        <v>2</v>
      </c>
      <c r="CY860" s="167">
        <f>SUM(CD860:CM860)</f>
        <v>2</v>
      </c>
    </row>
    <row r="861" spans="1:103" ht="12.75" customHeight="1" x14ac:dyDescent="0.2">
      <c r="A861" s="81">
        <v>5774</v>
      </c>
      <c r="B861" s="165" t="s">
        <v>1930</v>
      </c>
      <c r="C861" s="165" t="s">
        <v>1352</v>
      </c>
      <c r="E861" s="165" t="s">
        <v>2591</v>
      </c>
      <c r="G861" s="81">
        <v>527884</v>
      </c>
      <c r="H861" s="81">
        <v>176593</v>
      </c>
      <c r="I861" s="165" t="s">
        <v>241</v>
      </c>
      <c r="L861" s="166">
        <v>1</v>
      </c>
      <c r="M861" s="166">
        <v>3</v>
      </c>
      <c r="N861" s="166">
        <v>2</v>
      </c>
      <c r="O861" s="166">
        <v>3</v>
      </c>
      <c r="P861" s="166">
        <v>2</v>
      </c>
      <c r="R861" s="165" t="s">
        <v>1353</v>
      </c>
      <c r="S861" s="81" t="s">
        <v>113</v>
      </c>
      <c r="T861" s="349">
        <v>42600</v>
      </c>
      <c r="U861" s="349">
        <v>42723</v>
      </c>
      <c r="W861" s="81" t="s">
        <v>114</v>
      </c>
      <c r="Y861" s="81" t="s">
        <v>115</v>
      </c>
      <c r="Z861" s="81" t="s">
        <v>398</v>
      </c>
      <c r="AA861" s="81" t="s">
        <v>117</v>
      </c>
      <c r="AB861" s="81" t="s">
        <v>220</v>
      </c>
      <c r="AC861" s="166">
        <v>6.0000000521540598E-3</v>
      </c>
      <c r="AG861" s="81" t="s">
        <v>238</v>
      </c>
      <c r="AH861" s="81" t="s">
        <v>118</v>
      </c>
      <c r="AK861" s="166">
        <v>0</v>
      </c>
      <c r="AM861" s="166">
        <v>0</v>
      </c>
      <c r="AO861" s="166">
        <v>0</v>
      </c>
      <c r="AP861" s="166">
        <v>2</v>
      </c>
      <c r="AQ861" s="166">
        <v>1</v>
      </c>
      <c r="AR861" s="166">
        <v>0</v>
      </c>
      <c r="AS861" s="166">
        <v>-1</v>
      </c>
      <c r="AT861" s="166">
        <v>0</v>
      </c>
      <c r="AU861" s="166">
        <v>0</v>
      </c>
      <c r="AV861" s="166">
        <v>0</v>
      </c>
      <c r="AW861" s="166">
        <v>2</v>
      </c>
      <c r="AX861" s="166">
        <v>1</v>
      </c>
      <c r="AY861" s="166">
        <v>0</v>
      </c>
      <c r="AZ861" s="166">
        <v>-1</v>
      </c>
      <c r="BA861" s="166">
        <v>0</v>
      </c>
      <c r="BB861" s="166">
        <v>0</v>
      </c>
      <c r="BC861" s="166">
        <v>0</v>
      </c>
      <c r="BD861" s="166">
        <v>0</v>
      </c>
      <c r="BE861" s="166">
        <v>0</v>
      </c>
      <c r="BF861" s="166">
        <v>0</v>
      </c>
      <c r="BG861" s="166">
        <v>0</v>
      </c>
      <c r="BH861" s="166">
        <v>0</v>
      </c>
      <c r="BI861" s="166">
        <v>0</v>
      </c>
      <c r="BJ861" s="166">
        <v>0</v>
      </c>
      <c r="BK861" s="166">
        <v>0</v>
      </c>
      <c r="BL861" s="166">
        <v>0</v>
      </c>
      <c r="BM861" s="166">
        <v>0</v>
      </c>
      <c r="BN861" s="166">
        <v>0</v>
      </c>
      <c r="BO861" s="166">
        <v>0</v>
      </c>
      <c r="BP861" s="166">
        <v>0</v>
      </c>
      <c r="BQ861" s="81" t="s">
        <v>1757</v>
      </c>
      <c r="BZ861" s="81" t="s">
        <v>155</v>
      </c>
      <c r="CA861" s="81" t="s">
        <v>1937</v>
      </c>
      <c r="CC861" s="167">
        <v>0</v>
      </c>
      <c r="CD861" s="167">
        <f>$N861/4</f>
        <v>0.5</v>
      </c>
      <c r="CE861" s="167">
        <f>$N861/4</f>
        <v>0.5</v>
      </c>
      <c r="CF861" s="167">
        <f>$N861/4</f>
        <v>0.5</v>
      </c>
      <c r="CG861" s="167">
        <f>$N861/4</f>
        <v>0.5</v>
      </c>
      <c r="CH861" s="167">
        <v>0</v>
      </c>
      <c r="CI861" s="167">
        <v>0</v>
      </c>
      <c r="CJ861" s="167">
        <v>0</v>
      </c>
      <c r="CK861" s="167">
        <v>0</v>
      </c>
      <c r="CL861" s="167">
        <v>0</v>
      </c>
      <c r="CM861" s="167">
        <v>0</v>
      </c>
      <c r="CN861" s="167">
        <v>0</v>
      </c>
      <c r="CO861" s="167">
        <v>0</v>
      </c>
      <c r="CP861" s="167">
        <v>0</v>
      </c>
      <c r="CQ861" s="167">
        <v>0</v>
      </c>
      <c r="CR861" s="167">
        <v>0</v>
      </c>
      <c r="CS861" s="167">
        <v>0</v>
      </c>
      <c r="CT861" s="167">
        <v>0</v>
      </c>
      <c r="CU861" s="167">
        <v>0</v>
      </c>
      <c r="CV861" s="167">
        <v>0</v>
      </c>
      <c r="CW861" s="167">
        <v>0</v>
      </c>
      <c r="CX861" s="167">
        <f>SUM(CD861:CH861)</f>
        <v>2</v>
      </c>
      <c r="CY861" s="167">
        <f>SUM(CD861:CM861)</f>
        <v>2</v>
      </c>
    </row>
    <row r="862" spans="1:103" ht="12.75" customHeight="1" x14ac:dyDescent="0.2">
      <c r="A862" s="81">
        <v>5780</v>
      </c>
      <c r="B862" s="165" t="s">
        <v>1930</v>
      </c>
      <c r="C862" s="165" t="s">
        <v>1586</v>
      </c>
      <c r="E862" s="165" t="s">
        <v>2592</v>
      </c>
      <c r="G862" s="81">
        <v>527671</v>
      </c>
      <c r="H862" s="81">
        <v>172854</v>
      </c>
      <c r="I862" s="165" t="s">
        <v>254</v>
      </c>
      <c r="L862" s="166">
        <v>0</v>
      </c>
      <c r="M862" s="166">
        <v>1</v>
      </c>
      <c r="N862" s="166">
        <v>1</v>
      </c>
      <c r="O862" s="166">
        <v>1</v>
      </c>
      <c r="P862" s="166">
        <v>1</v>
      </c>
      <c r="R862" s="165" t="s">
        <v>1587</v>
      </c>
      <c r="S862" s="81" t="s">
        <v>113</v>
      </c>
      <c r="T862" s="349">
        <v>42746</v>
      </c>
      <c r="U862" s="349">
        <v>42874</v>
      </c>
      <c r="V862" s="81" t="s">
        <v>155</v>
      </c>
      <c r="W862" s="81" t="s">
        <v>114</v>
      </c>
      <c r="Y862" s="81" t="s">
        <v>115</v>
      </c>
      <c r="Z862" s="81" t="s">
        <v>116</v>
      </c>
      <c r="AA862" s="81" t="s">
        <v>117</v>
      </c>
      <c r="AB862" s="81" t="s">
        <v>218</v>
      </c>
      <c r="AC862" s="166">
        <v>8.0000003799796104E-3</v>
      </c>
      <c r="AG862" s="81" t="s">
        <v>238</v>
      </c>
      <c r="AH862" s="81" t="s">
        <v>118</v>
      </c>
      <c r="AK862" s="166">
        <v>1</v>
      </c>
      <c r="AM862" s="166">
        <v>0</v>
      </c>
      <c r="AO862" s="166">
        <v>0</v>
      </c>
      <c r="AP862" s="166">
        <v>0</v>
      </c>
      <c r="AQ862" s="166">
        <v>1</v>
      </c>
      <c r="AR862" s="166">
        <v>0</v>
      </c>
      <c r="AS862" s="166">
        <v>0</v>
      </c>
      <c r="AT862" s="166">
        <v>0</v>
      </c>
      <c r="AU862" s="166">
        <v>0</v>
      </c>
      <c r="AV862" s="166">
        <v>0</v>
      </c>
      <c r="AW862" s="166">
        <v>0</v>
      </c>
      <c r="AX862" s="166">
        <v>0</v>
      </c>
      <c r="AY862" s="166">
        <v>0</v>
      </c>
      <c r="AZ862" s="166">
        <v>0</v>
      </c>
      <c r="BA862" s="166">
        <v>0</v>
      </c>
      <c r="BB862" s="166">
        <v>0</v>
      </c>
      <c r="BC862" s="166">
        <v>0</v>
      </c>
      <c r="BD862" s="166">
        <v>0</v>
      </c>
      <c r="BE862" s="166">
        <v>1</v>
      </c>
      <c r="BF862" s="166">
        <v>0</v>
      </c>
      <c r="BG862" s="166">
        <v>0</v>
      </c>
      <c r="BH862" s="166">
        <v>0</v>
      </c>
      <c r="BI862" s="166">
        <v>0</v>
      </c>
      <c r="BJ862" s="166">
        <v>0</v>
      </c>
      <c r="BK862" s="166">
        <v>0</v>
      </c>
      <c r="BL862" s="166">
        <v>0</v>
      </c>
      <c r="BM862" s="166">
        <v>0</v>
      </c>
      <c r="BN862" s="166">
        <v>0</v>
      </c>
      <c r="BO862" s="166">
        <v>0</v>
      </c>
      <c r="BP862" s="166">
        <v>0</v>
      </c>
      <c r="BQ862" s="81" t="s">
        <v>1757</v>
      </c>
      <c r="BZ862" s="81" t="s">
        <v>155</v>
      </c>
      <c r="CA862" s="81">
        <v>4</v>
      </c>
      <c r="CC862" s="167">
        <v>0</v>
      </c>
      <c r="CD862" s="167">
        <v>0</v>
      </c>
      <c r="CE862" s="167">
        <f>$N862/4</f>
        <v>0.25</v>
      </c>
      <c r="CF862" s="167">
        <f>$N862/4</f>
        <v>0.25</v>
      </c>
      <c r="CG862" s="167">
        <f>$N862/4</f>
        <v>0.25</v>
      </c>
      <c r="CH862" s="167">
        <f>$N862/4</f>
        <v>0.25</v>
      </c>
      <c r="CI862" s="167">
        <v>0</v>
      </c>
      <c r="CJ862" s="167">
        <v>0</v>
      </c>
      <c r="CK862" s="167">
        <v>0</v>
      </c>
      <c r="CL862" s="167">
        <v>0</v>
      </c>
      <c r="CM862" s="167">
        <v>0</v>
      </c>
      <c r="CN862" s="167">
        <v>0</v>
      </c>
      <c r="CO862" s="167">
        <v>0</v>
      </c>
      <c r="CP862" s="167">
        <v>0</v>
      </c>
      <c r="CQ862" s="167">
        <v>0</v>
      </c>
      <c r="CR862" s="167">
        <v>0</v>
      </c>
      <c r="CS862" s="167">
        <v>0</v>
      </c>
      <c r="CT862" s="167">
        <v>0</v>
      </c>
      <c r="CU862" s="167">
        <v>0</v>
      </c>
      <c r="CV862" s="167">
        <v>0</v>
      </c>
      <c r="CW862" s="167">
        <v>0</v>
      </c>
      <c r="CX862" s="167">
        <f>SUM(CD862:CH862)</f>
        <v>1</v>
      </c>
      <c r="CY862" s="167">
        <f>SUM(CD862:CM862)</f>
        <v>1</v>
      </c>
    </row>
    <row r="863" spans="1:103" ht="12.75" customHeight="1" x14ac:dyDescent="0.2">
      <c r="A863" s="81">
        <v>5781</v>
      </c>
      <c r="B863" s="165" t="s">
        <v>1930</v>
      </c>
      <c r="C863" s="165" t="s">
        <v>2593</v>
      </c>
      <c r="E863" s="165" t="s">
        <v>2594</v>
      </c>
      <c r="G863" s="81">
        <v>526418</v>
      </c>
      <c r="H863" s="81">
        <v>175586</v>
      </c>
      <c r="I863" s="165" t="s">
        <v>257</v>
      </c>
      <c r="L863" s="166">
        <v>0</v>
      </c>
      <c r="M863" s="166">
        <v>3</v>
      </c>
      <c r="N863" s="166">
        <v>3</v>
      </c>
      <c r="O863" s="166">
        <v>3</v>
      </c>
      <c r="P863" s="166">
        <v>3</v>
      </c>
      <c r="R863" s="165" t="s">
        <v>2595</v>
      </c>
      <c r="S863" s="81" t="s">
        <v>104</v>
      </c>
      <c r="T863" s="349">
        <v>41855</v>
      </c>
      <c r="U863" s="349">
        <v>42740</v>
      </c>
      <c r="W863" s="81" t="s">
        <v>114</v>
      </c>
      <c r="Y863" s="81" t="s">
        <v>115</v>
      </c>
      <c r="Z863" s="81" t="s">
        <v>116</v>
      </c>
      <c r="AA863" s="81" t="s">
        <v>117</v>
      </c>
      <c r="AB863" s="81" t="s">
        <v>218</v>
      </c>
      <c r="AC863" s="166">
        <v>3.0999999493360499E-2</v>
      </c>
      <c r="AG863" s="81" t="s">
        <v>238</v>
      </c>
      <c r="AH863" s="81" t="s">
        <v>118</v>
      </c>
      <c r="AI863" s="81" t="s">
        <v>2596</v>
      </c>
      <c r="AK863" s="166">
        <v>0</v>
      </c>
      <c r="AM863" s="166">
        <v>0</v>
      </c>
      <c r="AO863" s="166">
        <v>0</v>
      </c>
      <c r="AP863" s="166">
        <v>0</v>
      </c>
      <c r="AQ863" s="166">
        <v>0</v>
      </c>
      <c r="AR863" s="166">
        <v>3</v>
      </c>
      <c r="AS863" s="166">
        <v>0</v>
      </c>
      <c r="AT863" s="166">
        <v>0</v>
      </c>
      <c r="AU863" s="166">
        <v>0</v>
      </c>
      <c r="AV863" s="166">
        <v>0</v>
      </c>
      <c r="AW863" s="166">
        <v>0</v>
      </c>
      <c r="AX863" s="166">
        <v>0</v>
      </c>
      <c r="AY863" s="166">
        <v>3</v>
      </c>
      <c r="AZ863" s="166">
        <v>0</v>
      </c>
      <c r="BA863" s="166">
        <v>0</v>
      </c>
      <c r="BB863" s="166">
        <v>0</v>
      </c>
      <c r="BC863" s="166">
        <v>0</v>
      </c>
      <c r="BD863" s="166">
        <v>0</v>
      </c>
      <c r="BE863" s="166">
        <v>0</v>
      </c>
      <c r="BF863" s="166">
        <v>0</v>
      </c>
      <c r="BG863" s="166">
        <v>0</v>
      </c>
      <c r="BH863" s="166">
        <v>0</v>
      </c>
      <c r="BI863" s="166">
        <v>0</v>
      </c>
      <c r="BJ863" s="166">
        <v>0</v>
      </c>
      <c r="BK863" s="166">
        <v>0</v>
      </c>
      <c r="BL863" s="166">
        <v>0</v>
      </c>
      <c r="BM863" s="166">
        <v>0</v>
      </c>
      <c r="BN863" s="166">
        <v>0</v>
      </c>
      <c r="BO863" s="166">
        <v>0</v>
      </c>
      <c r="BP863" s="166">
        <v>0</v>
      </c>
      <c r="BQ863" s="81" t="s">
        <v>1757</v>
      </c>
      <c r="BX863" s="81" t="s">
        <v>155</v>
      </c>
      <c r="BZ863" s="81" t="s">
        <v>155</v>
      </c>
      <c r="CA863" s="81">
        <v>4</v>
      </c>
      <c r="CC863" s="167">
        <v>0</v>
      </c>
      <c r="CD863" s="167">
        <v>0</v>
      </c>
      <c r="CE863" s="167">
        <f>$N863/4</f>
        <v>0.75</v>
      </c>
      <c r="CF863" s="167">
        <f>$N863/4</f>
        <v>0.75</v>
      </c>
      <c r="CG863" s="167">
        <f>$N863/4</f>
        <v>0.75</v>
      </c>
      <c r="CH863" s="167">
        <f>$N863/4</f>
        <v>0.75</v>
      </c>
      <c r="CI863" s="167">
        <v>0</v>
      </c>
      <c r="CJ863" s="167">
        <v>0</v>
      </c>
      <c r="CK863" s="167">
        <v>0</v>
      </c>
      <c r="CL863" s="167">
        <v>0</v>
      </c>
      <c r="CM863" s="167">
        <v>0</v>
      </c>
      <c r="CN863" s="167">
        <v>0</v>
      </c>
      <c r="CO863" s="167">
        <v>0</v>
      </c>
      <c r="CP863" s="167">
        <v>0</v>
      </c>
      <c r="CQ863" s="167">
        <v>0</v>
      </c>
      <c r="CR863" s="167">
        <v>0</v>
      </c>
      <c r="CS863" s="167">
        <v>0</v>
      </c>
      <c r="CT863" s="167">
        <v>0</v>
      </c>
      <c r="CU863" s="167">
        <v>0</v>
      </c>
      <c r="CV863" s="167">
        <v>0</v>
      </c>
      <c r="CW863" s="167">
        <v>0</v>
      </c>
      <c r="CX863" s="167">
        <f>SUM(CD863:CH863)</f>
        <v>3</v>
      </c>
      <c r="CY863" s="167">
        <f>SUM(CD863:CM863)</f>
        <v>3</v>
      </c>
    </row>
    <row r="864" spans="1:103" ht="12.75" customHeight="1" x14ac:dyDescent="0.2">
      <c r="A864" s="81">
        <v>5790</v>
      </c>
      <c r="B864" s="165" t="s">
        <v>1930</v>
      </c>
      <c r="C864" s="165" t="s">
        <v>1414</v>
      </c>
      <c r="E864" s="165" t="s">
        <v>3380</v>
      </c>
      <c r="G864" s="81">
        <v>527359</v>
      </c>
      <c r="H864" s="81">
        <v>171269</v>
      </c>
      <c r="I864" s="165" t="s">
        <v>253</v>
      </c>
      <c r="L864" s="166">
        <v>0</v>
      </c>
      <c r="M864" s="166">
        <v>36</v>
      </c>
      <c r="N864" s="166">
        <v>36</v>
      </c>
      <c r="O864" s="166">
        <v>45</v>
      </c>
      <c r="P864" s="166">
        <v>45</v>
      </c>
      <c r="Q864" s="81" t="s">
        <v>155</v>
      </c>
      <c r="R864" s="165" t="s">
        <v>1415</v>
      </c>
      <c r="S864" s="81" t="s">
        <v>104</v>
      </c>
      <c r="T864" s="349">
        <v>42661</v>
      </c>
      <c r="U864" s="349">
        <v>42824</v>
      </c>
      <c r="W864" s="81" t="s">
        <v>114</v>
      </c>
      <c r="Y864" s="81" t="s">
        <v>115</v>
      </c>
      <c r="Z864" s="81" t="s">
        <v>116</v>
      </c>
      <c r="AA864" s="81" t="s">
        <v>116</v>
      </c>
      <c r="AB864" s="81" t="s">
        <v>117</v>
      </c>
      <c r="AC864" s="166">
        <v>7.1999996900558499E-2</v>
      </c>
      <c r="AG864" s="81" t="s">
        <v>238</v>
      </c>
      <c r="AH864" s="81" t="s">
        <v>118</v>
      </c>
      <c r="AK864" s="166">
        <v>36</v>
      </c>
      <c r="AM864" s="166">
        <v>2</v>
      </c>
      <c r="AO864" s="166">
        <v>0</v>
      </c>
      <c r="AP864" s="166">
        <v>12</v>
      </c>
      <c r="AQ864" s="166">
        <v>19</v>
      </c>
      <c r="AR864" s="166">
        <v>5</v>
      </c>
      <c r="AS864" s="166">
        <v>0</v>
      </c>
      <c r="AT864" s="166">
        <v>0</v>
      </c>
      <c r="AU864" s="166">
        <v>0</v>
      </c>
      <c r="AV864" s="166">
        <v>0</v>
      </c>
      <c r="AW864" s="166">
        <v>12</v>
      </c>
      <c r="AX864" s="166">
        <v>19</v>
      </c>
      <c r="AY864" s="166">
        <v>5</v>
      </c>
      <c r="AZ864" s="166">
        <v>0</v>
      </c>
      <c r="BA864" s="166">
        <v>0</v>
      </c>
      <c r="BB864" s="166">
        <v>0</v>
      </c>
      <c r="BC864" s="166">
        <v>0</v>
      </c>
      <c r="BD864" s="166">
        <v>0</v>
      </c>
      <c r="BE864" s="166">
        <v>0</v>
      </c>
      <c r="BF864" s="166">
        <v>0</v>
      </c>
      <c r="BG864" s="166">
        <v>0</v>
      </c>
      <c r="BH864" s="166">
        <v>0</v>
      </c>
      <c r="BI864" s="166">
        <v>0</v>
      </c>
      <c r="BJ864" s="166">
        <v>0</v>
      </c>
      <c r="BK864" s="166">
        <v>0</v>
      </c>
      <c r="BL864" s="166">
        <v>0</v>
      </c>
      <c r="BM864" s="166">
        <v>0</v>
      </c>
      <c r="BN864" s="166">
        <v>0</v>
      </c>
      <c r="BO864" s="166">
        <v>0</v>
      </c>
      <c r="BP864" s="166">
        <v>0</v>
      </c>
      <c r="BQ864" s="81" t="s">
        <v>1757</v>
      </c>
      <c r="BZ864" s="81" t="s">
        <v>155</v>
      </c>
      <c r="CA864" s="81" t="s">
        <v>3936</v>
      </c>
      <c r="CC864" s="167">
        <v>0</v>
      </c>
      <c r="CD864" s="167">
        <v>0</v>
      </c>
      <c r="CE864" s="167">
        <v>0</v>
      </c>
      <c r="CF864" s="167">
        <v>0</v>
      </c>
      <c r="CG864" s="167">
        <v>0</v>
      </c>
      <c r="CH864" s="167">
        <v>0</v>
      </c>
      <c r="CI864" s="167">
        <f>$N864/3</f>
        <v>12</v>
      </c>
      <c r="CJ864" s="167">
        <f>$N864/3</f>
        <v>12</v>
      </c>
      <c r="CK864" s="167">
        <f>$N864/3</f>
        <v>12</v>
      </c>
      <c r="CL864" s="167">
        <v>0</v>
      </c>
      <c r="CM864" s="167">
        <v>0</v>
      </c>
      <c r="CN864" s="167">
        <v>0</v>
      </c>
      <c r="CO864" s="167">
        <v>0</v>
      </c>
      <c r="CP864" s="167">
        <v>0</v>
      </c>
      <c r="CQ864" s="167">
        <v>0</v>
      </c>
      <c r="CR864" s="167">
        <v>0</v>
      </c>
      <c r="CS864" s="167">
        <v>0</v>
      </c>
      <c r="CT864" s="167">
        <v>0</v>
      </c>
      <c r="CU864" s="167">
        <v>0</v>
      </c>
      <c r="CV864" s="167">
        <v>0</v>
      </c>
      <c r="CW864" s="167">
        <v>0</v>
      </c>
      <c r="CX864" s="167">
        <f>SUM(CD864:CH864)</f>
        <v>0</v>
      </c>
      <c r="CY864" s="167">
        <f>SUM(CD864:CM864)</f>
        <v>36</v>
      </c>
    </row>
    <row r="865" spans="1:103" ht="12.75" customHeight="1" x14ac:dyDescent="0.2">
      <c r="A865" s="81">
        <v>5790</v>
      </c>
      <c r="B865" s="165" t="s">
        <v>1930</v>
      </c>
      <c r="C865" s="165" t="s">
        <v>1414</v>
      </c>
      <c r="E865" s="165" t="s">
        <v>3380</v>
      </c>
      <c r="G865" s="81">
        <v>527359</v>
      </c>
      <c r="H865" s="81">
        <v>171269</v>
      </c>
      <c r="I865" s="165" t="s">
        <v>253</v>
      </c>
      <c r="L865" s="166">
        <v>0</v>
      </c>
      <c r="M865" s="166">
        <v>9</v>
      </c>
      <c r="N865" s="166">
        <v>9</v>
      </c>
      <c r="O865" s="166">
        <v>45</v>
      </c>
      <c r="P865" s="166">
        <v>45</v>
      </c>
      <c r="Q865" s="81" t="s">
        <v>155</v>
      </c>
      <c r="R865" s="165" t="s">
        <v>1415</v>
      </c>
      <c r="S865" s="81" t="s">
        <v>104</v>
      </c>
      <c r="T865" s="349">
        <v>42661</v>
      </c>
      <c r="U865" s="349">
        <v>42824</v>
      </c>
      <c r="W865" s="81" t="s">
        <v>114</v>
      </c>
      <c r="Y865" s="81" t="s">
        <v>115</v>
      </c>
      <c r="Z865" s="81" t="s">
        <v>116</v>
      </c>
      <c r="AA865" s="81" t="s">
        <v>116</v>
      </c>
      <c r="AB865" s="81" t="s">
        <v>117</v>
      </c>
      <c r="AC865" s="166">
        <v>3.4000001847744002E-2</v>
      </c>
      <c r="AG865" s="81" t="s">
        <v>74</v>
      </c>
      <c r="AH865" s="81" t="s">
        <v>1913</v>
      </c>
      <c r="AK865" s="166">
        <v>9</v>
      </c>
      <c r="AM865" s="166">
        <v>5</v>
      </c>
      <c r="AO865" s="166">
        <v>0</v>
      </c>
      <c r="AP865" s="166">
        <v>5</v>
      </c>
      <c r="AQ865" s="166">
        <v>4</v>
      </c>
      <c r="AR865" s="166">
        <v>0</v>
      </c>
      <c r="AS865" s="166">
        <v>0</v>
      </c>
      <c r="AT865" s="166">
        <v>0</v>
      </c>
      <c r="AU865" s="166">
        <v>0</v>
      </c>
      <c r="AV865" s="166">
        <v>0</v>
      </c>
      <c r="AW865" s="166">
        <v>5</v>
      </c>
      <c r="AX865" s="166">
        <v>4</v>
      </c>
      <c r="AY865" s="166">
        <v>0</v>
      </c>
      <c r="AZ865" s="166">
        <v>0</v>
      </c>
      <c r="BA865" s="166">
        <v>0</v>
      </c>
      <c r="BB865" s="166">
        <v>0</v>
      </c>
      <c r="BC865" s="166">
        <v>0</v>
      </c>
      <c r="BD865" s="166">
        <v>0</v>
      </c>
      <c r="BE865" s="166">
        <v>0</v>
      </c>
      <c r="BF865" s="166">
        <v>0</v>
      </c>
      <c r="BG865" s="166">
        <v>0</v>
      </c>
      <c r="BH865" s="166">
        <v>0</v>
      </c>
      <c r="BI865" s="166">
        <v>0</v>
      </c>
      <c r="BJ865" s="166">
        <v>0</v>
      </c>
      <c r="BK865" s="166">
        <v>0</v>
      </c>
      <c r="BL865" s="166">
        <v>0</v>
      </c>
      <c r="BM865" s="166">
        <v>0</v>
      </c>
      <c r="BN865" s="166">
        <v>0</v>
      </c>
      <c r="BO865" s="166">
        <v>0</v>
      </c>
      <c r="BP865" s="166">
        <v>0</v>
      </c>
      <c r="BQ865" s="81" t="s">
        <v>1757</v>
      </c>
      <c r="BZ865" s="81" t="s">
        <v>155</v>
      </c>
      <c r="CA865" s="81" t="s">
        <v>3936</v>
      </c>
      <c r="CC865" s="167">
        <v>0</v>
      </c>
      <c r="CD865" s="167">
        <v>0</v>
      </c>
      <c r="CE865" s="167">
        <v>0</v>
      </c>
      <c r="CF865" s="167">
        <v>0</v>
      </c>
      <c r="CG865" s="167">
        <v>0</v>
      </c>
      <c r="CH865" s="167">
        <v>0</v>
      </c>
      <c r="CI865" s="167">
        <f>$N865/3</f>
        <v>3</v>
      </c>
      <c r="CJ865" s="167">
        <f>$N865/3</f>
        <v>3</v>
      </c>
      <c r="CK865" s="167">
        <f>$N865/3</f>
        <v>3</v>
      </c>
      <c r="CL865" s="167">
        <v>0</v>
      </c>
      <c r="CM865" s="167">
        <v>0</v>
      </c>
      <c r="CN865" s="167">
        <v>0</v>
      </c>
      <c r="CO865" s="167">
        <v>0</v>
      </c>
      <c r="CP865" s="167">
        <v>0</v>
      </c>
      <c r="CQ865" s="167">
        <v>0</v>
      </c>
      <c r="CR865" s="167">
        <v>0</v>
      </c>
      <c r="CS865" s="167">
        <v>0</v>
      </c>
      <c r="CT865" s="167">
        <v>0</v>
      </c>
      <c r="CU865" s="167">
        <v>0</v>
      </c>
      <c r="CV865" s="167">
        <v>0</v>
      </c>
      <c r="CW865" s="167">
        <v>0</v>
      </c>
      <c r="CX865" s="167">
        <f>SUM(CD865:CH865)</f>
        <v>0</v>
      </c>
      <c r="CY865" s="167">
        <f>SUM(CD865:CM865)</f>
        <v>9</v>
      </c>
    </row>
    <row r="866" spans="1:103" ht="12.75" customHeight="1" x14ac:dyDescent="0.2">
      <c r="A866" s="81">
        <v>5801</v>
      </c>
      <c r="B866" s="165" t="s">
        <v>1930</v>
      </c>
      <c r="C866" s="165" t="s">
        <v>1311</v>
      </c>
      <c r="E866" s="165" t="s">
        <v>2599</v>
      </c>
      <c r="G866" s="81">
        <v>526534</v>
      </c>
      <c r="H866" s="81">
        <v>175822</v>
      </c>
      <c r="I866" s="165" t="s">
        <v>257</v>
      </c>
      <c r="L866" s="166">
        <v>0</v>
      </c>
      <c r="M866" s="166">
        <v>1</v>
      </c>
      <c r="N866" s="166">
        <v>1</v>
      </c>
      <c r="O866" s="166">
        <v>1</v>
      </c>
      <c r="P866" s="166">
        <v>1</v>
      </c>
      <c r="R866" s="165" t="s">
        <v>1312</v>
      </c>
      <c r="S866" s="81" t="s">
        <v>270</v>
      </c>
      <c r="T866" s="349">
        <v>42548</v>
      </c>
      <c r="U866" s="349">
        <v>42604</v>
      </c>
      <c r="W866" s="81" t="s">
        <v>114</v>
      </c>
      <c r="Y866" s="81" t="s">
        <v>115</v>
      </c>
      <c r="Z866" s="81" t="s">
        <v>310</v>
      </c>
      <c r="AA866" s="81" t="s">
        <v>117</v>
      </c>
      <c r="AB866" s="81" t="s">
        <v>399</v>
      </c>
      <c r="AC866" s="166">
        <v>4.9999998882412902E-3</v>
      </c>
      <c r="AG866" s="81" t="s">
        <v>238</v>
      </c>
      <c r="AH866" s="81" t="s">
        <v>118</v>
      </c>
      <c r="AI866" s="81" t="s">
        <v>1939</v>
      </c>
      <c r="AK866" s="166">
        <v>0</v>
      </c>
      <c r="AM866" s="166">
        <v>0</v>
      </c>
      <c r="AO866" s="166">
        <v>0</v>
      </c>
      <c r="AP866" s="166">
        <v>1</v>
      </c>
      <c r="AQ866" s="166">
        <v>0</v>
      </c>
      <c r="AR866" s="166">
        <v>0</v>
      </c>
      <c r="AS866" s="166">
        <v>0</v>
      </c>
      <c r="AT866" s="166">
        <v>0</v>
      </c>
      <c r="AU866" s="166">
        <v>0</v>
      </c>
      <c r="AV866" s="166">
        <v>0</v>
      </c>
      <c r="AW866" s="166">
        <v>1</v>
      </c>
      <c r="AX866" s="166">
        <v>0</v>
      </c>
      <c r="AY866" s="166">
        <v>0</v>
      </c>
      <c r="AZ866" s="166">
        <v>0</v>
      </c>
      <c r="BA866" s="166">
        <v>0</v>
      </c>
      <c r="BB866" s="166">
        <v>0</v>
      </c>
      <c r="BC866" s="166">
        <v>0</v>
      </c>
      <c r="BD866" s="166">
        <v>0</v>
      </c>
      <c r="BE866" s="166">
        <v>0</v>
      </c>
      <c r="BF866" s="166">
        <v>0</v>
      </c>
      <c r="BG866" s="166">
        <v>0</v>
      </c>
      <c r="BH866" s="166">
        <v>0</v>
      </c>
      <c r="BI866" s="166">
        <v>0</v>
      </c>
      <c r="BJ866" s="166">
        <v>0</v>
      </c>
      <c r="BK866" s="166">
        <v>0</v>
      </c>
      <c r="BL866" s="166">
        <v>0</v>
      </c>
      <c r="BM866" s="166">
        <v>0</v>
      </c>
      <c r="BN866" s="166">
        <v>0</v>
      </c>
      <c r="BO866" s="166">
        <v>0</v>
      </c>
      <c r="BP866" s="166">
        <v>0</v>
      </c>
      <c r="BQ866" s="81" t="s">
        <v>1757</v>
      </c>
      <c r="BX866" s="81" t="s">
        <v>155</v>
      </c>
      <c r="BZ866" s="81" t="s">
        <v>155</v>
      </c>
      <c r="CA866" s="81" t="s">
        <v>1937</v>
      </c>
      <c r="CC866" s="167">
        <v>0</v>
      </c>
      <c r="CD866" s="167">
        <f>$N866/4</f>
        <v>0.25</v>
      </c>
      <c r="CE866" s="167">
        <f>$N866/4</f>
        <v>0.25</v>
      </c>
      <c r="CF866" s="167">
        <f>$N866/4</f>
        <v>0.25</v>
      </c>
      <c r="CG866" s="167">
        <f>$N866/4</f>
        <v>0.25</v>
      </c>
      <c r="CH866" s="167">
        <v>0</v>
      </c>
      <c r="CI866" s="167">
        <v>0</v>
      </c>
      <c r="CJ866" s="167">
        <v>0</v>
      </c>
      <c r="CK866" s="167">
        <v>0</v>
      </c>
      <c r="CL866" s="167">
        <v>0</v>
      </c>
      <c r="CM866" s="167">
        <v>0</v>
      </c>
      <c r="CN866" s="167">
        <v>0</v>
      </c>
      <c r="CO866" s="167">
        <v>0</v>
      </c>
      <c r="CP866" s="167">
        <v>0</v>
      </c>
      <c r="CQ866" s="167">
        <v>0</v>
      </c>
      <c r="CR866" s="167">
        <v>0</v>
      </c>
      <c r="CS866" s="167">
        <v>0</v>
      </c>
      <c r="CT866" s="167">
        <v>0</v>
      </c>
      <c r="CU866" s="167">
        <v>0</v>
      </c>
      <c r="CV866" s="167">
        <v>0</v>
      </c>
      <c r="CW866" s="167">
        <v>0</v>
      </c>
      <c r="CX866" s="167">
        <f>SUM(CD866:CH866)</f>
        <v>1</v>
      </c>
      <c r="CY866" s="167">
        <f>SUM(CD866:CM866)</f>
        <v>1</v>
      </c>
    </row>
    <row r="867" spans="1:103" ht="12.75" customHeight="1" x14ac:dyDescent="0.2">
      <c r="A867" s="81">
        <v>5803</v>
      </c>
      <c r="B867" s="165" t="s">
        <v>1930</v>
      </c>
      <c r="C867" s="165" t="s">
        <v>1233</v>
      </c>
      <c r="E867" s="165" t="s">
        <v>2600</v>
      </c>
      <c r="G867" s="81">
        <v>526534</v>
      </c>
      <c r="H867" s="81">
        <v>175822</v>
      </c>
      <c r="I867" s="165" t="s">
        <v>257</v>
      </c>
      <c r="L867" s="166">
        <v>0</v>
      </c>
      <c r="M867" s="166">
        <v>6</v>
      </c>
      <c r="N867" s="166">
        <v>6</v>
      </c>
      <c r="O867" s="166">
        <v>6</v>
      </c>
      <c r="P867" s="166">
        <v>6</v>
      </c>
      <c r="R867" s="165" t="s">
        <v>1234</v>
      </c>
      <c r="S867" s="81" t="s">
        <v>270</v>
      </c>
      <c r="T867" s="349">
        <v>42488</v>
      </c>
      <c r="U867" s="349">
        <v>42544</v>
      </c>
      <c r="W867" s="81" t="s">
        <v>114</v>
      </c>
      <c r="Y867" s="81" t="s">
        <v>115</v>
      </c>
      <c r="Z867" s="81" t="s">
        <v>310</v>
      </c>
      <c r="AA867" s="81" t="s">
        <v>117</v>
      </c>
      <c r="AB867" s="81" t="s">
        <v>399</v>
      </c>
      <c r="AC867" s="166">
        <v>8.0000003799796104E-3</v>
      </c>
      <c r="AG867" s="81" t="s">
        <v>238</v>
      </c>
      <c r="AH867" s="81" t="s">
        <v>118</v>
      </c>
      <c r="AI867" s="81" t="s">
        <v>1939</v>
      </c>
      <c r="AK867" s="166">
        <v>0</v>
      </c>
      <c r="AM867" s="166">
        <v>0</v>
      </c>
      <c r="AO867" s="166">
        <v>0</v>
      </c>
      <c r="AP867" s="166">
        <v>6</v>
      </c>
      <c r="AQ867" s="166">
        <v>0</v>
      </c>
      <c r="AR867" s="166">
        <v>0</v>
      </c>
      <c r="AS867" s="166">
        <v>0</v>
      </c>
      <c r="AT867" s="166">
        <v>0</v>
      </c>
      <c r="AU867" s="166">
        <v>0</v>
      </c>
      <c r="AV867" s="166">
        <v>0</v>
      </c>
      <c r="AW867" s="166">
        <v>6</v>
      </c>
      <c r="AX867" s="166">
        <v>0</v>
      </c>
      <c r="AY867" s="166">
        <v>0</v>
      </c>
      <c r="AZ867" s="166">
        <v>0</v>
      </c>
      <c r="BA867" s="166">
        <v>0</v>
      </c>
      <c r="BB867" s="166">
        <v>0</v>
      </c>
      <c r="BC867" s="166">
        <v>0</v>
      </c>
      <c r="BD867" s="166">
        <v>0</v>
      </c>
      <c r="BE867" s="166">
        <v>0</v>
      </c>
      <c r="BF867" s="166">
        <v>0</v>
      </c>
      <c r="BG867" s="166">
        <v>0</v>
      </c>
      <c r="BH867" s="166">
        <v>0</v>
      </c>
      <c r="BI867" s="166">
        <v>0</v>
      </c>
      <c r="BJ867" s="166">
        <v>0</v>
      </c>
      <c r="BK867" s="166">
        <v>0</v>
      </c>
      <c r="BL867" s="166">
        <v>0</v>
      </c>
      <c r="BM867" s="166">
        <v>0</v>
      </c>
      <c r="BN867" s="166">
        <v>0</v>
      </c>
      <c r="BO867" s="166">
        <v>0</v>
      </c>
      <c r="BP867" s="166">
        <v>0</v>
      </c>
      <c r="BQ867" s="81" t="s">
        <v>1757</v>
      </c>
      <c r="BX867" s="81" t="s">
        <v>155</v>
      </c>
      <c r="BZ867" s="81" t="s">
        <v>155</v>
      </c>
      <c r="CA867" s="81" t="s">
        <v>3972</v>
      </c>
      <c r="CC867" s="167">
        <v>0</v>
      </c>
      <c r="CD867" s="167">
        <f>$N867/4</f>
        <v>1.5</v>
      </c>
      <c r="CE867" s="167">
        <f>$N867/4</f>
        <v>1.5</v>
      </c>
      <c r="CF867" s="167">
        <f>$N867/4</f>
        <v>1.5</v>
      </c>
      <c r="CG867" s="167">
        <f>$N867/4</f>
        <v>1.5</v>
      </c>
      <c r="CH867" s="167">
        <v>0</v>
      </c>
      <c r="CI867" s="167">
        <v>0</v>
      </c>
      <c r="CJ867" s="167">
        <v>0</v>
      </c>
      <c r="CK867" s="167">
        <v>0</v>
      </c>
      <c r="CL867" s="167">
        <v>0</v>
      </c>
      <c r="CM867" s="167">
        <v>0</v>
      </c>
      <c r="CN867" s="167">
        <v>0</v>
      </c>
      <c r="CO867" s="167">
        <v>0</v>
      </c>
      <c r="CP867" s="167">
        <v>0</v>
      </c>
      <c r="CQ867" s="167">
        <v>0</v>
      </c>
      <c r="CR867" s="167">
        <v>0</v>
      </c>
      <c r="CS867" s="167">
        <v>0</v>
      </c>
      <c r="CT867" s="167">
        <v>0</v>
      </c>
      <c r="CU867" s="167">
        <v>0</v>
      </c>
      <c r="CV867" s="167">
        <v>0</v>
      </c>
      <c r="CW867" s="167">
        <v>0</v>
      </c>
      <c r="CX867" s="167">
        <f>SUM(CD867:CH867)</f>
        <v>6</v>
      </c>
      <c r="CY867" s="167">
        <f>SUM(CD867:CM867)</f>
        <v>6</v>
      </c>
    </row>
    <row r="868" spans="1:103" ht="12.75" customHeight="1" x14ac:dyDescent="0.2">
      <c r="A868" s="81">
        <v>5804</v>
      </c>
      <c r="B868" s="165" t="s">
        <v>1930</v>
      </c>
      <c r="C868" s="165" t="s">
        <v>1324</v>
      </c>
      <c r="D868" s="165" t="s">
        <v>876</v>
      </c>
      <c r="E868" s="165" t="s">
        <v>2601</v>
      </c>
      <c r="G868" s="81">
        <v>526485</v>
      </c>
      <c r="H868" s="81">
        <v>175743</v>
      </c>
      <c r="I868" s="165" t="s">
        <v>257</v>
      </c>
      <c r="L868" s="166">
        <v>0</v>
      </c>
      <c r="M868" s="166">
        <v>5</v>
      </c>
      <c r="N868" s="166">
        <v>5</v>
      </c>
      <c r="O868" s="166">
        <v>5</v>
      </c>
      <c r="P868" s="166">
        <v>5</v>
      </c>
      <c r="R868" s="165" t="s">
        <v>1325</v>
      </c>
      <c r="S868" s="81" t="s">
        <v>270</v>
      </c>
      <c r="T868" s="349">
        <v>42538</v>
      </c>
      <c r="U868" s="349">
        <v>42594</v>
      </c>
      <c r="W868" s="81" t="s">
        <v>114</v>
      </c>
      <c r="Y868" s="81" t="s">
        <v>115</v>
      </c>
      <c r="Z868" s="81" t="s">
        <v>310</v>
      </c>
      <c r="AA868" s="81" t="s">
        <v>117</v>
      </c>
      <c r="AB868" s="81" t="s">
        <v>399</v>
      </c>
      <c r="AC868" s="166">
        <v>3.5999998450279201E-2</v>
      </c>
      <c r="AG868" s="81" t="s">
        <v>238</v>
      </c>
      <c r="AH868" s="81" t="s">
        <v>118</v>
      </c>
      <c r="AI868" s="81" t="s">
        <v>1939</v>
      </c>
      <c r="AK868" s="166">
        <v>0</v>
      </c>
      <c r="AM868" s="166">
        <v>0</v>
      </c>
      <c r="AO868" s="166">
        <v>0</v>
      </c>
      <c r="AP868" s="166">
        <v>0</v>
      </c>
      <c r="AQ868" s="166">
        <v>0</v>
      </c>
      <c r="AR868" s="166">
        <v>5</v>
      </c>
      <c r="AS868" s="166">
        <v>0</v>
      </c>
      <c r="AT868" s="166">
        <v>0</v>
      </c>
      <c r="AU868" s="166">
        <v>0</v>
      </c>
      <c r="AV868" s="166">
        <v>0</v>
      </c>
      <c r="AW868" s="166">
        <v>0</v>
      </c>
      <c r="AX868" s="166">
        <v>0</v>
      </c>
      <c r="AY868" s="166">
        <v>5</v>
      </c>
      <c r="AZ868" s="166">
        <v>0</v>
      </c>
      <c r="BA868" s="166">
        <v>0</v>
      </c>
      <c r="BB868" s="166">
        <v>0</v>
      </c>
      <c r="BC868" s="166">
        <v>0</v>
      </c>
      <c r="BD868" s="166">
        <v>0</v>
      </c>
      <c r="BE868" s="166">
        <v>0</v>
      </c>
      <c r="BF868" s="166">
        <v>0</v>
      </c>
      <c r="BG868" s="166">
        <v>0</v>
      </c>
      <c r="BH868" s="166">
        <v>0</v>
      </c>
      <c r="BI868" s="166">
        <v>0</v>
      </c>
      <c r="BJ868" s="166">
        <v>0</v>
      </c>
      <c r="BK868" s="166">
        <v>0</v>
      </c>
      <c r="BL868" s="166">
        <v>0</v>
      </c>
      <c r="BM868" s="166">
        <v>0</v>
      </c>
      <c r="BN868" s="166">
        <v>0</v>
      </c>
      <c r="BO868" s="166">
        <v>0</v>
      </c>
      <c r="BP868" s="166">
        <v>0</v>
      </c>
      <c r="BQ868" s="81" t="s">
        <v>1757</v>
      </c>
      <c r="BX868" s="81" t="s">
        <v>155</v>
      </c>
      <c r="BZ868" s="81" t="s">
        <v>155</v>
      </c>
      <c r="CA868" s="81" t="s">
        <v>1937</v>
      </c>
      <c r="CC868" s="167">
        <v>0</v>
      </c>
      <c r="CD868" s="167">
        <f>$N868/4</f>
        <v>1.25</v>
      </c>
      <c r="CE868" s="167">
        <f>$N868/4</f>
        <v>1.25</v>
      </c>
      <c r="CF868" s="167">
        <f>$N868/4</f>
        <v>1.25</v>
      </c>
      <c r="CG868" s="167">
        <f>$N868/4</f>
        <v>1.25</v>
      </c>
      <c r="CH868" s="167">
        <v>0</v>
      </c>
      <c r="CI868" s="167">
        <v>0</v>
      </c>
      <c r="CJ868" s="167">
        <v>0</v>
      </c>
      <c r="CK868" s="167">
        <v>0</v>
      </c>
      <c r="CL868" s="167">
        <v>0</v>
      </c>
      <c r="CM868" s="167">
        <v>0</v>
      </c>
      <c r="CN868" s="167">
        <v>0</v>
      </c>
      <c r="CO868" s="167">
        <v>0</v>
      </c>
      <c r="CP868" s="167">
        <v>0</v>
      </c>
      <c r="CQ868" s="167">
        <v>0</v>
      </c>
      <c r="CR868" s="167">
        <v>0</v>
      </c>
      <c r="CS868" s="167">
        <v>0</v>
      </c>
      <c r="CT868" s="167">
        <v>0</v>
      </c>
      <c r="CU868" s="167">
        <v>0</v>
      </c>
      <c r="CV868" s="167">
        <v>0</v>
      </c>
      <c r="CW868" s="167">
        <v>0</v>
      </c>
      <c r="CX868" s="167">
        <f>SUM(CD868:CH868)</f>
        <v>5</v>
      </c>
      <c r="CY868" s="167">
        <f>SUM(CD868:CM868)</f>
        <v>5</v>
      </c>
    </row>
    <row r="869" spans="1:103" ht="12.75" customHeight="1" x14ac:dyDescent="0.2">
      <c r="A869" s="81">
        <v>5805</v>
      </c>
      <c r="B869" s="165" t="s">
        <v>1930</v>
      </c>
      <c r="C869" s="165" t="s">
        <v>1237</v>
      </c>
      <c r="D869" s="165" t="s">
        <v>876</v>
      </c>
      <c r="E869" s="165" t="s">
        <v>2602</v>
      </c>
      <c r="G869" s="81">
        <v>526469</v>
      </c>
      <c r="H869" s="81">
        <v>175725</v>
      </c>
      <c r="I869" s="165" t="s">
        <v>257</v>
      </c>
      <c r="L869" s="166">
        <v>0</v>
      </c>
      <c r="M869" s="166">
        <v>6</v>
      </c>
      <c r="N869" s="166">
        <v>6</v>
      </c>
      <c r="O869" s="166">
        <v>6</v>
      </c>
      <c r="P869" s="166">
        <v>6</v>
      </c>
      <c r="R869" s="165" t="s">
        <v>1238</v>
      </c>
      <c r="S869" s="81" t="s">
        <v>270</v>
      </c>
      <c r="T869" s="349">
        <v>42487</v>
      </c>
      <c r="U869" s="349">
        <v>42543</v>
      </c>
      <c r="W869" s="81" t="s">
        <v>114</v>
      </c>
      <c r="Y869" s="81" t="s">
        <v>115</v>
      </c>
      <c r="Z869" s="81" t="s">
        <v>310</v>
      </c>
      <c r="AA869" s="81" t="s">
        <v>117</v>
      </c>
      <c r="AB869" s="81" t="s">
        <v>399</v>
      </c>
      <c r="AC869" s="166">
        <v>1.8999999389052401E-2</v>
      </c>
      <c r="AG869" s="81" t="s">
        <v>238</v>
      </c>
      <c r="AH869" s="81" t="s">
        <v>118</v>
      </c>
      <c r="AI869" s="81" t="s">
        <v>1939</v>
      </c>
      <c r="AK869" s="166">
        <v>0</v>
      </c>
      <c r="AM869" s="166">
        <v>0</v>
      </c>
      <c r="AO869" s="166">
        <v>0</v>
      </c>
      <c r="AP869" s="166">
        <v>3</v>
      </c>
      <c r="AQ869" s="166">
        <v>3</v>
      </c>
      <c r="AR869" s="166">
        <v>0</v>
      </c>
      <c r="AS869" s="166">
        <v>0</v>
      </c>
      <c r="AT869" s="166">
        <v>0</v>
      </c>
      <c r="AU869" s="166">
        <v>0</v>
      </c>
      <c r="AV869" s="166">
        <v>0</v>
      </c>
      <c r="AW869" s="166">
        <v>3</v>
      </c>
      <c r="AX869" s="166">
        <v>3</v>
      </c>
      <c r="AY869" s="166">
        <v>0</v>
      </c>
      <c r="AZ869" s="166">
        <v>0</v>
      </c>
      <c r="BA869" s="166">
        <v>0</v>
      </c>
      <c r="BB869" s="166">
        <v>0</v>
      </c>
      <c r="BC869" s="166">
        <v>0</v>
      </c>
      <c r="BD869" s="166">
        <v>0</v>
      </c>
      <c r="BE869" s="166">
        <v>0</v>
      </c>
      <c r="BF869" s="166">
        <v>0</v>
      </c>
      <c r="BG869" s="166">
        <v>0</v>
      </c>
      <c r="BH869" s="166">
        <v>0</v>
      </c>
      <c r="BI869" s="166">
        <v>0</v>
      </c>
      <c r="BJ869" s="166">
        <v>0</v>
      </c>
      <c r="BK869" s="166">
        <v>0</v>
      </c>
      <c r="BL869" s="166">
        <v>0</v>
      </c>
      <c r="BM869" s="166">
        <v>0</v>
      </c>
      <c r="BN869" s="166">
        <v>0</v>
      </c>
      <c r="BO869" s="166">
        <v>0</v>
      </c>
      <c r="BP869" s="166">
        <v>0</v>
      </c>
      <c r="BQ869" s="81" t="s">
        <v>1757</v>
      </c>
      <c r="BX869" s="81" t="s">
        <v>155</v>
      </c>
      <c r="BZ869" s="81" t="s">
        <v>155</v>
      </c>
      <c r="CA869" s="81" t="s">
        <v>3972</v>
      </c>
      <c r="CC869" s="167">
        <v>0</v>
      </c>
      <c r="CD869" s="167">
        <f>$N869/4</f>
        <v>1.5</v>
      </c>
      <c r="CE869" s="167">
        <f>$N869/4</f>
        <v>1.5</v>
      </c>
      <c r="CF869" s="167">
        <f>$N869/4</f>
        <v>1.5</v>
      </c>
      <c r="CG869" s="167">
        <f>$N869/4</f>
        <v>1.5</v>
      </c>
      <c r="CH869" s="167">
        <v>0</v>
      </c>
      <c r="CI869" s="167">
        <v>0</v>
      </c>
      <c r="CJ869" s="167">
        <v>0</v>
      </c>
      <c r="CK869" s="167">
        <v>0</v>
      </c>
      <c r="CL869" s="167">
        <v>0</v>
      </c>
      <c r="CM869" s="167">
        <v>0</v>
      </c>
      <c r="CN869" s="167">
        <v>0</v>
      </c>
      <c r="CO869" s="167">
        <v>0</v>
      </c>
      <c r="CP869" s="167">
        <v>0</v>
      </c>
      <c r="CQ869" s="167">
        <v>0</v>
      </c>
      <c r="CR869" s="167">
        <v>0</v>
      </c>
      <c r="CS869" s="167">
        <v>0</v>
      </c>
      <c r="CT869" s="167">
        <v>0</v>
      </c>
      <c r="CU869" s="167">
        <v>0</v>
      </c>
      <c r="CV869" s="167">
        <v>0</v>
      </c>
      <c r="CW869" s="167">
        <v>0</v>
      </c>
      <c r="CX869" s="167">
        <f>SUM(CD869:CH869)</f>
        <v>6</v>
      </c>
      <c r="CY869" s="167">
        <f>SUM(CD869:CM869)</f>
        <v>6</v>
      </c>
    </row>
    <row r="870" spans="1:103" ht="12.75" customHeight="1" x14ac:dyDescent="0.2">
      <c r="A870" s="81">
        <v>5807</v>
      </c>
      <c r="B870" s="165" t="s">
        <v>1930</v>
      </c>
      <c r="C870" s="165" t="s">
        <v>98</v>
      </c>
      <c r="E870" s="165" t="s">
        <v>2603</v>
      </c>
      <c r="G870" s="81">
        <v>526857</v>
      </c>
      <c r="H870" s="81">
        <v>176702</v>
      </c>
      <c r="I870" s="165" t="s">
        <v>257</v>
      </c>
      <c r="L870" s="166">
        <v>1</v>
      </c>
      <c r="M870" s="166">
        <v>2</v>
      </c>
      <c r="N870" s="166">
        <v>1</v>
      </c>
      <c r="O870" s="166">
        <v>2</v>
      </c>
      <c r="P870" s="166">
        <v>1</v>
      </c>
      <c r="R870" s="165" t="s">
        <v>99</v>
      </c>
      <c r="S870" s="81" t="s">
        <v>113</v>
      </c>
      <c r="T870" s="349">
        <v>41974</v>
      </c>
      <c r="U870" s="349">
        <v>42030</v>
      </c>
      <c r="W870" s="81" t="s">
        <v>114</v>
      </c>
      <c r="Y870" s="81" t="s">
        <v>115</v>
      </c>
      <c r="Z870" s="81" t="s">
        <v>119</v>
      </c>
      <c r="AA870" s="81" t="s">
        <v>117</v>
      </c>
      <c r="AB870" s="81" t="s">
        <v>220</v>
      </c>
      <c r="AC870" s="166">
        <v>3.0000000260770299E-3</v>
      </c>
      <c r="AG870" s="81" t="s">
        <v>238</v>
      </c>
      <c r="AH870" s="81" t="s">
        <v>118</v>
      </c>
      <c r="AK870" s="166">
        <v>0</v>
      </c>
      <c r="AM870" s="166">
        <v>0</v>
      </c>
      <c r="AO870" s="166">
        <v>0</v>
      </c>
      <c r="AP870" s="166">
        <v>2</v>
      </c>
      <c r="AQ870" s="166">
        <v>-1</v>
      </c>
      <c r="AR870" s="166">
        <v>0</v>
      </c>
      <c r="AS870" s="166">
        <v>0</v>
      </c>
      <c r="AT870" s="166">
        <v>0</v>
      </c>
      <c r="AU870" s="166">
        <v>0</v>
      </c>
      <c r="AV870" s="166">
        <v>0</v>
      </c>
      <c r="AW870" s="166">
        <v>2</v>
      </c>
      <c r="AX870" s="166">
        <v>-1</v>
      </c>
      <c r="AY870" s="166">
        <v>0</v>
      </c>
      <c r="AZ870" s="166">
        <v>0</v>
      </c>
      <c r="BA870" s="166">
        <v>0</v>
      </c>
      <c r="BB870" s="166">
        <v>0</v>
      </c>
      <c r="BC870" s="166">
        <v>0</v>
      </c>
      <c r="BD870" s="166">
        <v>0</v>
      </c>
      <c r="BE870" s="166">
        <v>0</v>
      </c>
      <c r="BF870" s="166">
        <v>0</v>
      </c>
      <c r="BG870" s="166">
        <v>0</v>
      </c>
      <c r="BH870" s="166">
        <v>0</v>
      </c>
      <c r="BI870" s="166">
        <v>0</v>
      </c>
      <c r="BJ870" s="166">
        <v>0</v>
      </c>
      <c r="BK870" s="166">
        <v>0</v>
      </c>
      <c r="BL870" s="166">
        <v>0</v>
      </c>
      <c r="BM870" s="166">
        <v>0</v>
      </c>
      <c r="BN870" s="166">
        <v>0</v>
      </c>
      <c r="BO870" s="166">
        <v>0</v>
      </c>
      <c r="BP870" s="166">
        <v>0</v>
      </c>
      <c r="BQ870" s="81" t="s">
        <v>1757</v>
      </c>
      <c r="BZ870" s="81" t="s">
        <v>155</v>
      </c>
      <c r="CA870" s="81" t="s">
        <v>1937</v>
      </c>
      <c r="CC870" s="167">
        <v>0</v>
      </c>
      <c r="CD870" s="167">
        <f>$N870/4</f>
        <v>0.25</v>
      </c>
      <c r="CE870" s="167">
        <f>$N870/4</f>
        <v>0.25</v>
      </c>
      <c r="CF870" s="167">
        <f>$N870/4</f>
        <v>0.25</v>
      </c>
      <c r="CG870" s="167">
        <f>$N870/4</f>
        <v>0.25</v>
      </c>
      <c r="CH870" s="167">
        <v>0</v>
      </c>
      <c r="CI870" s="167">
        <v>0</v>
      </c>
      <c r="CJ870" s="167">
        <v>0</v>
      </c>
      <c r="CK870" s="167">
        <v>0</v>
      </c>
      <c r="CL870" s="167">
        <v>0</v>
      </c>
      <c r="CM870" s="167">
        <v>0</v>
      </c>
      <c r="CN870" s="167">
        <v>0</v>
      </c>
      <c r="CO870" s="167">
        <v>0</v>
      </c>
      <c r="CP870" s="167">
        <v>0</v>
      </c>
      <c r="CQ870" s="167">
        <v>0</v>
      </c>
      <c r="CR870" s="167">
        <v>0</v>
      </c>
      <c r="CS870" s="167">
        <v>0</v>
      </c>
      <c r="CT870" s="167">
        <v>0</v>
      </c>
      <c r="CU870" s="167">
        <v>0</v>
      </c>
      <c r="CV870" s="167">
        <v>0</v>
      </c>
      <c r="CW870" s="167">
        <v>0</v>
      </c>
      <c r="CX870" s="167">
        <f>SUM(CD870:CH870)</f>
        <v>1</v>
      </c>
      <c r="CY870" s="167">
        <f>SUM(CD870:CM870)</f>
        <v>1</v>
      </c>
    </row>
    <row r="871" spans="1:103" ht="12.75" customHeight="1" x14ac:dyDescent="0.2">
      <c r="A871" s="81">
        <v>5828</v>
      </c>
      <c r="B871" s="165" t="s">
        <v>1930</v>
      </c>
      <c r="C871" s="165" t="s">
        <v>380</v>
      </c>
      <c r="E871" s="165" t="s">
        <v>2604</v>
      </c>
      <c r="G871" s="81">
        <v>526141</v>
      </c>
      <c r="H871" s="81">
        <v>172702</v>
      </c>
      <c r="I871" s="165" t="s">
        <v>249</v>
      </c>
      <c r="L871" s="166">
        <v>0</v>
      </c>
      <c r="M871" s="166">
        <v>1</v>
      </c>
      <c r="N871" s="166">
        <v>1</v>
      </c>
      <c r="O871" s="166">
        <v>1</v>
      </c>
      <c r="P871" s="166">
        <v>1</v>
      </c>
      <c r="R871" s="165" t="s">
        <v>486</v>
      </c>
      <c r="S871" s="81" t="s">
        <v>113</v>
      </c>
      <c r="T871" s="349">
        <v>42011</v>
      </c>
      <c r="U871" s="349">
        <v>42101</v>
      </c>
      <c r="W871" s="81" t="s">
        <v>114</v>
      </c>
      <c r="Y871" s="81" t="s">
        <v>115</v>
      </c>
      <c r="Z871" s="81" t="s">
        <v>219</v>
      </c>
      <c r="AA871" s="81" t="s">
        <v>117</v>
      </c>
      <c r="AB871" s="81" t="s">
        <v>3889</v>
      </c>
      <c r="AC871" s="166">
        <v>3.0000000260770299E-3</v>
      </c>
      <c r="AG871" s="81" t="s">
        <v>238</v>
      </c>
      <c r="AH871" s="81" t="s">
        <v>118</v>
      </c>
      <c r="AK871" s="166">
        <v>0</v>
      </c>
      <c r="AM871" s="166">
        <v>0</v>
      </c>
      <c r="AO871" s="166">
        <v>0</v>
      </c>
      <c r="AP871" s="166">
        <v>0</v>
      </c>
      <c r="AQ871" s="166">
        <v>1</v>
      </c>
      <c r="AR871" s="166">
        <v>0</v>
      </c>
      <c r="AS871" s="166">
        <v>0</v>
      </c>
      <c r="AT871" s="166">
        <v>0</v>
      </c>
      <c r="AU871" s="166">
        <v>0</v>
      </c>
      <c r="AV871" s="166">
        <v>0</v>
      </c>
      <c r="AW871" s="166">
        <v>0</v>
      </c>
      <c r="AX871" s="166">
        <v>1</v>
      </c>
      <c r="AY871" s="166">
        <v>0</v>
      </c>
      <c r="AZ871" s="166">
        <v>0</v>
      </c>
      <c r="BA871" s="166">
        <v>0</v>
      </c>
      <c r="BB871" s="166">
        <v>0</v>
      </c>
      <c r="BC871" s="166">
        <v>0</v>
      </c>
      <c r="BD871" s="166">
        <v>0</v>
      </c>
      <c r="BE871" s="166">
        <v>0</v>
      </c>
      <c r="BF871" s="166">
        <v>0</v>
      </c>
      <c r="BG871" s="166">
        <v>0</v>
      </c>
      <c r="BH871" s="166">
        <v>0</v>
      </c>
      <c r="BI871" s="166">
        <v>0</v>
      </c>
      <c r="BJ871" s="166">
        <v>0</v>
      </c>
      <c r="BK871" s="166">
        <v>0</v>
      </c>
      <c r="BL871" s="166">
        <v>0</v>
      </c>
      <c r="BM871" s="166">
        <v>0</v>
      </c>
      <c r="BN871" s="166">
        <v>0</v>
      </c>
      <c r="BO871" s="166">
        <v>0</v>
      </c>
      <c r="BP871" s="166">
        <v>0</v>
      </c>
      <c r="BQ871" s="81" t="s">
        <v>1758</v>
      </c>
      <c r="BZ871" s="81" t="s">
        <v>155</v>
      </c>
      <c r="CA871" s="81" t="s">
        <v>1937</v>
      </c>
      <c r="CC871" s="167">
        <v>0</v>
      </c>
      <c r="CD871" s="167">
        <f>$N871/4</f>
        <v>0.25</v>
      </c>
      <c r="CE871" s="167">
        <f>$N871/4</f>
        <v>0.25</v>
      </c>
      <c r="CF871" s="167">
        <f>$N871/4</f>
        <v>0.25</v>
      </c>
      <c r="CG871" s="167">
        <f>$N871/4</f>
        <v>0.25</v>
      </c>
      <c r="CH871" s="167">
        <v>0</v>
      </c>
      <c r="CI871" s="167">
        <v>0</v>
      </c>
      <c r="CJ871" s="167">
        <v>0</v>
      </c>
      <c r="CK871" s="167">
        <v>0</v>
      </c>
      <c r="CL871" s="167">
        <v>0</v>
      </c>
      <c r="CM871" s="167">
        <v>0</v>
      </c>
      <c r="CN871" s="167">
        <v>0</v>
      </c>
      <c r="CO871" s="167">
        <v>0</v>
      </c>
      <c r="CP871" s="167">
        <v>0</v>
      </c>
      <c r="CQ871" s="167">
        <v>0</v>
      </c>
      <c r="CR871" s="167">
        <v>0</v>
      </c>
      <c r="CS871" s="167">
        <v>0</v>
      </c>
      <c r="CT871" s="167">
        <v>0</v>
      </c>
      <c r="CU871" s="167">
        <v>0</v>
      </c>
      <c r="CV871" s="167">
        <v>0</v>
      </c>
      <c r="CW871" s="167">
        <v>0</v>
      </c>
      <c r="CX871" s="167">
        <f>SUM(CD871:CH871)</f>
        <v>1</v>
      </c>
      <c r="CY871" s="167">
        <f>SUM(CD871:CM871)</f>
        <v>1</v>
      </c>
    </row>
    <row r="872" spans="1:103" ht="12.75" customHeight="1" x14ac:dyDescent="0.2">
      <c r="A872" s="81">
        <v>5832</v>
      </c>
      <c r="B872" s="165" t="s">
        <v>1930</v>
      </c>
      <c r="C872" s="165" t="s">
        <v>413</v>
      </c>
      <c r="E872" s="165" t="s">
        <v>2605</v>
      </c>
      <c r="G872" s="81">
        <v>527798</v>
      </c>
      <c r="H872" s="81">
        <v>175779</v>
      </c>
      <c r="I872" s="165" t="s">
        <v>256</v>
      </c>
      <c r="L872" s="166">
        <v>0</v>
      </c>
      <c r="M872" s="166">
        <v>1</v>
      </c>
      <c r="N872" s="166">
        <v>1</v>
      </c>
      <c r="O872" s="166">
        <v>1</v>
      </c>
      <c r="P872" s="166">
        <v>1</v>
      </c>
      <c r="R872" s="165" t="s">
        <v>492</v>
      </c>
      <c r="S872" s="81" t="s">
        <v>113</v>
      </c>
      <c r="T872" s="349">
        <v>41992</v>
      </c>
      <c r="U872" s="349">
        <v>42164</v>
      </c>
      <c r="W872" s="81" t="s">
        <v>114</v>
      </c>
      <c r="Y872" s="81" t="s">
        <v>115</v>
      </c>
      <c r="Z872" s="81" t="s">
        <v>116</v>
      </c>
      <c r="AA872" s="81" t="s">
        <v>117</v>
      </c>
      <c r="AB872" s="81" t="s">
        <v>218</v>
      </c>
      <c r="AC872" s="166">
        <v>8.0000003799796104E-3</v>
      </c>
      <c r="AG872" s="81" t="s">
        <v>238</v>
      </c>
      <c r="AH872" s="81" t="s">
        <v>118</v>
      </c>
      <c r="AK872" s="166">
        <v>1</v>
      </c>
      <c r="AM872" s="166">
        <v>0</v>
      </c>
      <c r="AO872" s="166">
        <v>0</v>
      </c>
      <c r="AP872" s="166">
        <v>0</v>
      </c>
      <c r="AQ872" s="166">
        <v>1</v>
      </c>
      <c r="AR872" s="166">
        <v>0</v>
      </c>
      <c r="AS872" s="166">
        <v>0</v>
      </c>
      <c r="AT872" s="166">
        <v>0</v>
      </c>
      <c r="AU872" s="166">
        <v>0</v>
      </c>
      <c r="AV872" s="166">
        <v>0</v>
      </c>
      <c r="AW872" s="166">
        <v>0</v>
      </c>
      <c r="AX872" s="166">
        <v>0</v>
      </c>
      <c r="AY872" s="166">
        <v>0</v>
      </c>
      <c r="AZ872" s="166">
        <v>0</v>
      </c>
      <c r="BA872" s="166">
        <v>0</v>
      </c>
      <c r="BB872" s="166">
        <v>0</v>
      </c>
      <c r="BC872" s="166">
        <v>0</v>
      </c>
      <c r="BD872" s="166">
        <v>0</v>
      </c>
      <c r="BE872" s="166">
        <v>1</v>
      </c>
      <c r="BF872" s="166">
        <v>0</v>
      </c>
      <c r="BG872" s="166">
        <v>0</v>
      </c>
      <c r="BH872" s="166">
        <v>0</v>
      </c>
      <c r="BI872" s="166">
        <v>0</v>
      </c>
      <c r="BJ872" s="166">
        <v>0</v>
      </c>
      <c r="BK872" s="166">
        <v>0</v>
      </c>
      <c r="BL872" s="166">
        <v>0</v>
      </c>
      <c r="BM872" s="166">
        <v>0</v>
      </c>
      <c r="BN872" s="166">
        <v>0</v>
      </c>
      <c r="BO872" s="166">
        <v>0</v>
      </c>
      <c r="BP872" s="166">
        <v>0</v>
      </c>
      <c r="BQ872" s="81" t="s">
        <v>1757</v>
      </c>
      <c r="BZ872" s="81" t="s">
        <v>155</v>
      </c>
      <c r="CA872" s="81">
        <v>4</v>
      </c>
      <c r="CC872" s="167">
        <v>0</v>
      </c>
      <c r="CD872" s="167">
        <v>0</v>
      </c>
      <c r="CE872" s="167">
        <f>$N872/4</f>
        <v>0.25</v>
      </c>
      <c r="CF872" s="167">
        <f>$N872/4</f>
        <v>0.25</v>
      </c>
      <c r="CG872" s="167">
        <f>$N872/4</f>
        <v>0.25</v>
      </c>
      <c r="CH872" s="167">
        <f>$N872/4</f>
        <v>0.25</v>
      </c>
      <c r="CI872" s="167">
        <v>0</v>
      </c>
      <c r="CJ872" s="167">
        <v>0</v>
      </c>
      <c r="CK872" s="167">
        <v>0</v>
      </c>
      <c r="CL872" s="167">
        <v>0</v>
      </c>
      <c r="CM872" s="167">
        <v>0</v>
      </c>
      <c r="CN872" s="167">
        <v>0</v>
      </c>
      <c r="CO872" s="167">
        <v>0</v>
      </c>
      <c r="CP872" s="167">
        <v>0</v>
      </c>
      <c r="CQ872" s="167">
        <v>0</v>
      </c>
      <c r="CR872" s="167">
        <v>0</v>
      </c>
      <c r="CS872" s="167">
        <v>0</v>
      </c>
      <c r="CT872" s="167">
        <v>0</v>
      </c>
      <c r="CU872" s="167">
        <v>0</v>
      </c>
      <c r="CV872" s="167">
        <v>0</v>
      </c>
      <c r="CW872" s="167">
        <v>0</v>
      </c>
      <c r="CX872" s="167">
        <f>SUM(CD872:CH872)</f>
        <v>1</v>
      </c>
      <c r="CY872" s="167">
        <f>SUM(CD872:CM872)</f>
        <v>1</v>
      </c>
    </row>
    <row r="873" spans="1:103" ht="12.75" customHeight="1" x14ac:dyDescent="0.2">
      <c r="A873" s="81">
        <v>5833</v>
      </c>
      <c r="B873" s="165" t="s">
        <v>1930</v>
      </c>
      <c r="C873" s="165" t="s">
        <v>626</v>
      </c>
      <c r="E873" s="165" t="s">
        <v>2606</v>
      </c>
      <c r="G873" s="81">
        <v>528459</v>
      </c>
      <c r="H873" s="81">
        <v>175776</v>
      </c>
      <c r="I873" s="165" t="s">
        <v>256</v>
      </c>
      <c r="L873" s="166">
        <v>0</v>
      </c>
      <c r="M873" s="166">
        <v>1</v>
      </c>
      <c r="N873" s="166">
        <v>1</v>
      </c>
      <c r="O873" s="166">
        <v>2</v>
      </c>
      <c r="P873" s="166">
        <v>2</v>
      </c>
      <c r="R873" s="165" t="s">
        <v>627</v>
      </c>
      <c r="S873" s="81" t="s">
        <v>113</v>
      </c>
      <c r="T873" s="349">
        <v>42221</v>
      </c>
      <c r="U873" s="349">
        <v>42277</v>
      </c>
      <c r="W873" s="81" t="s">
        <v>114</v>
      </c>
      <c r="Y873" s="81" t="s">
        <v>115</v>
      </c>
      <c r="Z873" s="81" t="s">
        <v>398</v>
      </c>
      <c r="AA873" s="81" t="s">
        <v>117</v>
      </c>
      <c r="AB873" s="81" t="s">
        <v>102</v>
      </c>
      <c r="AC873" s="166">
        <v>3.0000000260770299E-3</v>
      </c>
      <c r="AG873" s="81" t="s">
        <v>238</v>
      </c>
      <c r="AH873" s="81" t="s">
        <v>118</v>
      </c>
      <c r="AK873" s="166">
        <v>0</v>
      </c>
      <c r="AM873" s="166">
        <v>0</v>
      </c>
      <c r="AO873" s="166">
        <v>0</v>
      </c>
      <c r="AP873" s="166">
        <v>1</v>
      </c>
      <c r="AQ873" s="166">
        <v>0</v>
      </c>
      <c r="AR873" s="166">
        <v>0</v>
      </c>
      <c r="AS873" s="166">
        <v>0</v>
      </c>
      <c r="AT873" s="166">
        <v>0</v>
      </c>
      <c r="AU873" s="166">
        <v>0</v>
      </c>
      <c r="AV873" s="166">
        <v>0</v>
      </c>
      <c r="AW873" s="166">
        <v>1</v>
      </c>
      <c r="AX873" s="166">
        <v>0</v>
      </c>
      <c r="AY873" s="166">
        <v>0</v>
      </c>
      <c r="AZ873" s="166">
        <v>0</v>
      </c>
      <c r="BA873" s="166">
        <v>0</v>
      </c>
      <c r="BB873" s="166">
        <v>0</v>
      </c>
      <c r="BC873" s="166">
        <v>0</v>
      </c>
      <c r="BD873" s="166">
        <v>0</v>
      </c>
      <c r="BE873" s="166">
        <v>0</v>
      </c>
      <c r="BF873" s="166">
        <v>0</v>
      </c>
      <c r="BG873" s="166">
        <v>0</v>
      </c>
      <c r="BH873" s="166">
        <v>0</v>
      </c>
      <c r="BI873" s="166">
        <v>0</v>
      </c>
      <c r="BJ873" s="166">
        <v>0</v>
      </c>
      <c r="BK873" s="166">
        <v>0</v>
      </c>
      <c r="BL873" s="166">
        <v>0</v>
      </c>
      <c r="BM873" s="166">
        <v>0</v>
      </c>
      <c r="BN873" s="166">
        <v>0</v>
      </c>
      <c r="BO873" s="166">
        <v>0</v>
      </c>
      <c r="BP873" s="166">
        <v>0</v>
      </c>
      <c r="BQ873" s="81" t="s">
        <v>1757</v>
      </c>
      <c r="BZ873" s="81" t="s">
        <v>155</v>
      </c>
      <c r="CA873" s="81" t="s">
        <v>1937</v>
      </c>
      <c r="CC873" s="167">
        <v>0</v>
      </c>
      <c r="CD873" s="167">
        <f>$N873/4</f>
        <v>0.25</v>
      </c>
      <c r="CE873" s="167">
        <f>$N873/4</f>
        <v>0.25</v>
      </c>
      <c r="CF873" s="167">
        <f>$N873/4</f>
        <v>0.25</v>
      </c>
      <c r="CG873" s="167">
        <f>$N873/4</f>
        <v>0.25</v>
      </c>
      <c r="CH873" s="167">
        <v>0</v>
      </c>
      <c r="CI873" s="167">
        <v>0</v>
      </c>
      <c r="CJ873" s="167">
        <v>0</v>
      </c>
      <c r="CK873" s="167">
        <v>0</v>
      </c>
      <c r="CL873" s="167">
        <v>0</v>
      </c>
      <c r="CM873" s="167">
        <v>0</v>
      </c>
      <c r="CN873" s="167">
        <v>0</v>
      </c>
      <c r="CO873" s="167">
        <v>0</v>
      </c>
      <c r="CP873" s="167">
        <v>0</v>
      </c>
      <c r="CQ873" s="167">
        <v>0</v>
      </c>
      <c r="CR873" s="167">
        <v>0</v>
      </c>
      <c r="CS873" s="167">
        <v>0</v>
      </c>
      <c r="CT873" s="167">
        <v>0</v>
      </c>
      <c r="CU873" s="167">
        <v>0</v>
      </c>
      <c r="CV873" s="167">
        <v>0</v>
      </c>
      <c r="CW873" s="167">
        <v>0</v>
      </c>
      <c r="CX873" s="167">
        <f>SUM(CD873:CH873)</f>
        <v>1</v>
      </c>
      <c r="CY873" s="167">
        <f>SUM(CD873:CM873)</f>
        <v>1</v>
      </c>
    </row>
    <row r="874" spans="1:103" ht="12.75" customHeight="1" x14ac:dyDescent="0.2">
      <c r="A874" s="81">
        <v>5833</v>
      </c>
      <c r="B874" s="165" t="s">
        <v>1930</v>
      </c>
      <c r="C874" s="165" t="s">
        <v>626</v>
      </c>
      <c r="E874" s="165" t="s">
        <v>2606</v>
      </c>
      <c r="G874" s="81">
        <v>528459</v>
      </c>
      <c r="H874" s="81">
        <v>175776</v>
      </c>
      <c r="I874" s="165" t="s">
        <v>256</v>
      </c>
      <c r="L874" s="166">
        <v>0</v>
      </c>
      <c r="M874" s="166">
        <v>1</v>
      </c>
      <c r="N874" s="166">
        <v>1</v>
      </c>
      <c r="O874" s="166">
        <v>2</v>
      </c>
      <c r="P874" s="166">
        <v>2</v>
      </c>
      <c r="R874" s="165" t="s">
        <v>627</v>
      </c>
      <c r="S874" s="81" t="s">
        <v>113</v>
      </c>
      <c r="T874" s="349">
        <v>42221</v>
      </c>
      <c r="U874" s="349">
        <v>42277</v>
      </c>
      <c r="W874" s="81" t="s">
        <v>114</v>
      </c>
      <c r="Y874" s="81" t="s">
        <v>115</v>
      </c>
      <c r="Z874" s="81" t="s">
        <v>398</v>
      </c>
      <c r="AA874" s="81" t="s">
        <v>117</v>
      </c>
      <c r="AB874" s="81" t="s">
        <v>218</v>
      </c>
      <c r="AC874" s="166">
        <v>2.0000000949949E-3</v>
      </c>
      <c r="AG874" s="81" t="s">
        <v>238</v>
      </c>
      <c r="AH874" s="81" t="s">
        <v>118</v>
      </c>
      <c r="AK874" s="166">
        <v>0</v>
      </c>
      <c r="AM874" s="166">
        <v>0</v>
      </c>
      <c r="AO874" s="166">
        <v>0</v>
      </c>
      <c r="AP874" s="166">
        <v>1</v>
      </c>
      <c r="AQ874" s="166">
        <v>0</v>
      </c>
      <c r="AR874" s="166">
        <v>0</v>
      </c>
      <c r="AS874" s="166">
        <v>0</v>
      </c>
      <c r="AT874" s="166">
        <v>0</v>
      </c>
      <c r="AU874" s="166">
        <v>0</v>
      </c>
      <c r="AV874" s="166">
        <v>0</v>
      </c>
      <c r="AW874" s="166">
        <v>1</v>
      </c>
      <c r="AX874" s="166">
        <v>0</v>
      </c>
      <c r="AY874" s="166">
        <v>0</v>
      </c>
      <c r="AZ874" s="166">
        <v>0</v>
      </c>
      <c r="BA874" s="166">
        <v>0</v>
      </c>
      <c r="BB874" s="166">
        <v>0</v>
      </c>
      <c r="BC874" s="166">
        <v>0</v>
      </c>
      <c r="BD874" s="166">
        <v>0</v>
      </c>
      <c r="BE874" s="166">
        <v>0</v>
      </c>
      <c r="BF874" s="166">
        <v>0</v>
      </c>
      <c r="BG874" s="166">
        <v>0</v>
      </c>
      <c r="BH874" s="166">
        <v>0</v>
      </c>
      <c r="BI874" s="166">
        <v>0</v>
      </c>
      <c r="BJ874" s="166">
        <v>0</v>
      </c>
      <c r="BK874" s="166">
        <v>0</v>
      </c>
      <c r="BL874" s="166">
        <v>0</v>
      </c>
      <c r="BM874" s="166">
        <v>0</v>
      </c>
      <c r="BN874" s="166">
        <v>0</v>
      </c>
      <c r="BO874" s="166">
        <v>0</v>
      </c>
      <c r="BP874" s="166">
        <v>0</v>
      </c>
      <c r="BQ874" s="81" t="s">
        <v>1757</v>
      </c>
      <c r="BZ874" s="81" t="s">
        <v>155</v>
      </c>
      <c r="CA874" s="81" t="s">
        <v>1937</v>
      </c>
      <c r="CC874" s="167">
        <v>0</v>
      </c>
      <c r="CD874" s="167">
        <f>$N874/4</f>
        <v>0.25</v>
      </c>
      <c r="CE874" s="167">
        <f>$N874/4</f>
        <v>0.25</v>
      </c>
      <c r="CF874" s="167">
        <f>$N874/4</f>
        <v>0.25</v>
      </c>
      <c r="CG874" s="167">
        <f>$N874/4</f>
        <v>0.25</v>
      </c>
      <c r="CH874" s="167">
        <v>0</v>
      </c>
      <c r="CI874" s="167">
        <v>0</v>
      </c>
      <c r="CJ874" s="167">
        <v>0</v>
      </c>
      <c r="CK874" s="167">
        <v>0</v>
      </c>
      <c r="CL874" s="167">
        <v>0</v>
      </c>
      <c r="CM874" s="167">
        <v>0</v>
      </c>
      <c r="CN874" s="167">
        <v>0</v>
      </c>
      <c r="CO874" s="167">
        <v>0</v>
      </c>
      <c r="CP874" s="167">
        <v>0</v>
      </c>
      <c r="CQ874" s="167">
        <v>0</v>
      </c>
      <c r="CR874" s="167">
        <v>0</v>
      </c>
      <c r="CS874" s="167">
        <v>0</v>
      </c>
      <c r="CT874" s="167">
        <v>0</v>
      </c>
      <c r="CU874" s="167">
        <v>0</v>
      </c>
      <c r="CV874" s="167">
        <v>0</v>
      </c>
      <c r="CW874" s="167">
        <v>0</v>
      </c>
      <c r="CX874" s="167">
        <f>SUM(CD874:CH874)</f>
        <v>1</v>
      </c>
      <c r="CY874" s="167">
        <f>SUM(CD874:CM874)</f>
        <v>1</v>
      </c>
    </row>
    <row r="875" spans="1:103" ht="12.75" customHeight="1" x14ac:dyDescent="0.2">
      <c r="A875" s="81">
        <v>5844</v>
      </c>
      <c r="B875" s="165" t="s">
        <v>1930</v>
      </c>
      <c r="C875" s="165" t="s">
        <v>2607</v>
      </c>
      <c r="E875" s="165" t="s">
        <v>2608</v>
      </c>
      <c r="G875" s="81">
        <v>527957</v>
      </c>
      <c r="H875" s="81">
        <v>172279</v>
      </c>
      <c r="I875" s="165" t="s">
        <v>248</v>
      </c>
      <c r="L875" s="166">
        <v>1</v>
      </c>
      <c r="M875" s="166">
        <v>3</v>
      </c>
      <c r="N875" s="166">
        <v>2</v>
      </c>
      <c r="O875" s="166">
        <v>3</v>
      </c>
      <c r="P875" s="166">
        <v>2</v>
      </c>
      <c r="R875" s="165" t="s">
        <v>2609</v>
      </c>
      <c r="S875" s="81" t="s">
        <v>113</v>
      </c>
      <c r="T875" s="349">
        <v>43080</v>
      </c>
      <c r="U875" s="349">
        <v>43136</v>
      </c>
      <c r="V875" s="81" t="s">
        <v>155</v>
      </c>
      <c r="W875" s="81" t="s">
        <v>114</v>
      </c>
      <c r="Y875" s="81" t="s">
        <v>115</v>
      </c>
      <c r="Z875" s="81" t="s">
        <v>398</v>
      </c>
      <c r="AA875" s="81" t="s">
        <v>117</v>
      </c>
      <c r="AB875" s="81" t="s">
        <v>220</v>
      </c>
      <c r="AC875" s="166">
        <v>7.0000002160668399E-3</v>
      </c>
      <c r="AG875" s="81" t="s">
        <v>238</v>
      </c>
      <c r="AH875" s="81" t="s">
        <v>118</v>
      </c>
      <c r="AK875" s="166">
        <v>0</v>
      </c>
      <c r="AM875" s="166">
        <v>0</v>
      </c>
      <c r="AO875" s="166">
        <v>1</v>
      </c>
      <c r="AP875" s="166">
        <v>2</v>
      </c>
      <c r="AQ875" s="166">
        <v>0</v>
      </c>
      <c r="AR875" s="166">
        <v>-1</v>
      </c>
      <c r="AS875" s="166">
        <v>0</v>
      </c>
      <c r="AT875" s="166">
        <v>0</v>
      </c>
      <c r="AU875" s="166">
        <v>0</v>
      </c>
      <c r="AV875" s="166">
        <v>1</v>
      </c>
      <c r="AW875" s="166">
        <v>2</v>
      </c>
      <c r="AX875" s="166">
        <v>0</v>
      </c>
      <c r="AY875" s="166">
        <v>-1</v>
      </c>
      <c r="AZ875" s="166">
        <v>0</v>
      </c>
      <c r="BA875" s="166">
        <v>0</v>
      </c>
      <c r="BB875" s="166">
        <v>0</v>
      </c>
      <c r="BC875" s="166">
        <v>0</v>
      </c>
      <c r="BD875" s="166">
        <v>0</v>
      </c>
      <c r="BE875" s="166">
        <v>0</v>
      </c>
      <c r="BF875" s="166">
        <v>0</v>
      </c>
      <c r="BG875" s="166">
        <v>0</v>
      </c>
      <c r="BH875" s="166">
        <v>0</v>
      </c>
      <c r="BI875" s="166">
        <v>0</v>
      </c>
      <c r="BJ875" s="166">
        <v>0</v>
      </c>
      <c r="BK875" s="166">
        <v>0</v>
      </c>
      <c r="BL875" s="166">
        <v>0</v>
      </c>
      <c r="BM875" s="166">
        <v>0</v>
      </c>
      <c r="BN875" s="166">
        <v>0</v>
      </c>
      <c r="BO875" s="166">
        <v>0</v>
      </c>
      <c r="BP875" s="166">
        <v>0</v>
      </c>
      <c r="BQ875" s="81" t="s">
        <v>1757</v>
      </c>
      <c r="BZ875" s="81" t="s">
        <v>155</v>
      </c>
      <c r="CA875" s="81" t="s">
        <v>1937</v>
      </c>
      <c r="CC875" s="167">
        <v>0</v>
      </c>
      <c r="CD875" s="167">
        <f>$N875/4</f>
        <v>0.5</v>
      </c>
      <c r="CE875" s="167">
        <f>$N875/4</f>
        <v>0.5</v>
      </c>
      <c r="CF875" s="167">
        <f>$N875/4</f>
        <v>0.5</v>
      </c>
      <c r="CG875" s="167">
        <f>$N875/4</f>
        <v>0.5</v>
      </c>
      <c r="CH875" s="167">
        <v>0</v>
      </c>
      <c r="CI875" s="167">
        <v>0</v>
      </c>
      <c r="CJ875" s="167">
        <v>0</v>
      </c>
      <c r="CK875" s="167">
        <v>0</v>
      </c>
      <c r="CL875" s="167">
        <v>0</v>
      </c>
      <c r="CM875" s="167">
        <v>0</v>
      </c>
      <c r="CN875" s="167">
        <v>0</v>
      </c>
      <c r="CO875" s="167">
        <v>0</v>
      </c>
      <c r="CP875" s="167">
        <v>0</v>
      </c>
      <c r="CQ875" s="167">
        <v>0</v>
      </c>
      <c r="CR875" s="167">
        <v>0</v>
      </c>
      <c r="CS875" s="167">
        <v>0</v>
      </c>
      <c r="CT875" s="167">
        <v>0</v>
      </c>
      <c r="CU875" s="167">
        <v>0</v>
      </c>
      <c r="CV875" s="167">
        <v>0</v>
      </c>
      <c r="CW875" s="167">
        <v>0</v>
      </c>
      <c r="CX875" s="167">
        <f>SUM(CD875:CH875)</f>
        <v>2</v>
      </c>
      <c r="CY875" s="167">
        <f>SUM(CD875:CM875)</f>
        <v>2</v>
      </c>
    </row>
    <row r="876" spans="1:103" ht="12.75" customHeight="1" x14ac:dyDescent="0.2">
      <c r="A876" s="81">
        <v>5845</v>
      </c>
      <c r="B876" s="165" t="s">
        <v>1930</v>
      </c>
      <c r="C876" s="165" t="s">
        <v>552</v>
      </c>
      <c r="E876" s="165" t="s">
        <v>2610</v>
      </c>
      <c r="G876" s="81">
        <v>529279</v>
      </c>
      <c r="H876" s="81">
        <v>171031</v>
      </c>
      <c r="I876" s="165" t="s">
        <v>252</v>
      </c>
      <c r="L876" s="166">
        <v>1</v>
      </c>
      <c r="M876" s="166">
        <v>2</v>
      </c>
      <c r="N876" s="166">
        <v>1</v>
      </c>
      <c r="O876" s="166">
        <v>2</v>
      </c>
      <c r="P876" s="166">
        <v>1</v>
      </c>
      <c r="R876" s="165" t="s">
        <v>553</v>
      </c>
      <c r="S876" s="81" t="s">
        <v>113</v>
      </c>
      <c r="T876" s="349">
        <v>42135</v>
      </c>
      <c r="U876" s="349">
        <v>42191</v>
      </c>
      <c r="W876" s="81" t="s">
        <v>114</v>
      </c>
      <c r="Y876" s="81" t="s">
        <v>115</v>
      </c>
      <c r="Z876" s="81" t="s">
        <v>119</v>
      </c>
      <c r="AA876" s="81" t="s">
        <v>117</v>
      </c>
      <c r="AB876" s="81" t="s">
        <v>220</v>
      </c>
      <c r="AC876" s="166">
        <v>9.9999997764825804E-3</v>
      </c>
      <c r="AG876" s="81" t="s">
        <v>238</v>
      </c>
      <c r="AH876" s="81" t="s">
        <v>118</v>
      </c>
      <c r="AK876" s="166">
        <v>0</v>
      </c>
      <c r="AM876" s="166">
        <v>0</v>
      </c>
      <c r="AO876" s="166">
        <v>1</v>
      </c>
      <c r="AP876" s="166">
        <v>0</v>
      </c>
      <c r="AQ876" s="166">
        <v>1</v>
      </c>
      <c r="AR876" s="166">
        <v>-1</v>
      </c>
      <c r="AS876" s="166">
        <v>0</v>
      </c>
      <c r="AT876" s="166">
        <v>0</v>
      </c>
      <c r="AU876" s="166">
        <v>0</v>
      </c>
      <c r="AV876" s="166">
        <v>1</v>
      </c>
      <c r="AW876" s="166">
        <v>0</v>
      </c>
      <c r="AX876" s="166">
        <v>1</v>
      </c>
      <c r="AY876" s="166">
        <v>-1</v>
      </c>
      <c r="AZ876" s="166">
        <v>0</v>
      </c>
      <c r="BA876" s="166">
        <v>0</v>
      </c>
      <c r="BB876" s="166">
        <v>0</v>
      </c>
      <c r="BC876" s="166">
        <v>0</v>
      </c>
      <c r="BD876" s="166">
        <v>0</v>
      </c>
      <c r="BE876" s="166">
        <v>0</v>
      </c>
      <c r="BF876" s="166">
        <v>0</v>
      </c>
      <c r="BG876" s="166">
        <v>0</v>
      </c>
      <c r="BH876" s="166">
        <v>0</v>
      </c>
      <c r="BI876" s="166">
        <v>0</v>
      </c>
      <c r="BJ876" s="166">
        <v>0</v>
      </c>
      <c r="BK876" s="166">
        <v>0</v>
      </c>
      <c r="BL876" s="166">
        <v>0</v>
      </c>
      <c r="BM876" s="166">
        <v>0</v>
      </c>
      <c r="BN876" s="166">
        <v>0</v>
      </c>
      <c r="BO876" s="166">
        <v>0</v>
      </c>
      <c r="BP876" s="166">
        <v>0</v>
      </c>
      <c r="BQ876" s="81" t="s">
        <v>1757</v>
      </c>
      <c r="BZ876" s="81" t="s">
        <v>155</v>
      </c>
      <c r="CA876" s="81" t="s">
        <v>1937</v>
      </c>
      <c r="CC876" s="167">
        <v>0</v>
      </c>
      <c r="CD876" s="167">
        <f>$N876/4</f>
        <v>0.25</v>
      </c>
      <c r="CE876" s="167">
        <f>$N876/4</f>
        <v>0.25</v>
      </c>
      <c r="CF876" s="167">
        <f>$N876/4</f>
        <v>0.25</v>
      </c>
      <c r="CG876" s="167">
        <f>$N876/4</f>
        <v>0.25</v>
      </c>
      <c r="CH876" s="167">
        <v>0</v>
      </c>
      <c r="CI876" s="167">
        <v>0</v>
      </c>
      <c r="CJ876" s="167">
        <v>0</v>
      </c>
      <c r="CK876" s="167">
        <v>0</v>
      </c>
      <c r="CL876" s="167">
        <v>0</v>
      </c>
      <c r="CM876" s="167">
        <v>0</v>
      </c>
      <c r="CN876" s="167">
        <v>0</v>
      </c>
      <c r="CO876" s="167">
        <v>0</v>
      </c>
      <c r="CP876" s="167">
        <v>0</v>
      </c>
      <c r="CQ876" s="167">
        <v>0</v>
      </c>
      <c r="CR876" s="167">
        <v>0</v>
      </c>
      <c r="CS876" s="167">
        <v>0</v>
      </c>
      <c r="CT876" s="167">
        <v>0</v>
      </c>
      <c r="CU876" s="167">
        <v>0</v>
      </c>
      <c r="CV876" s="167">
        <v>0</v>
      </c>
      <c r="CW876" s="167">
        <v>0</v>
      </c>
      <c r="CX876" s="167">
        <f>SUM(CD876:CH876)</f>
        <v>1</v>
      </c>
      <c r="CY876" s="167">
        <f>SUM(CD876:CM876)</f>
        <v>1</v>
      </c>
    </row>
    <row r="877" spans="1:103" ht="12.75" customHeight="1" x14ac:dyDescent="0.2">
      <c r="A877" s="81">
        <v>5855</v>
      </c>
      <c r="B877" s="165" t="s">
        <v>1930</v>
      </c>
      <c r="C877" s="165" t="s">
        <v>2611</v>
      </c>
      <c r="E877" s="165" t="s">
        <v>2612</v>
      </c>
      <c r="G877" s="81">
        <v>527771</v>
      </c>
      <c r="H877" s="81">
        <v>171157</v>
      </c>
      <c r="I877" s="165" t="s">
        <v>253</v>
      </c>
      <c r="L877" s="166">
        <v>0</v>
      </c>
      <c r="M877" s="166">
        <v>1</v>
      </c>
      <c r="N877" s="166">
        <v>1</v>
      </c>
      <c r="O877" s="166">
        <v>1</v>
      </c>
      <c r="P877" s="166">
        <v>1</v>
      </c>
      <c r="R877" s="165" t="s">
        <v>2613</v>
      </c>
      <c r="S877" s="81" t="s">
        <v>113</v>
      </c>
      <c r="T877" s="349">
        <v>42836</v>
      </c>
      <c r="U877" s="349">
        <v>42892</v>
      </c>
      <c r="V877" s="81" t="s">
        <v>155</v>
      </c>
      <c r="W877" s="81" t="s">
        <v>114</v>
      </c>
      <c r="Y877" s="81" t="s">
        <v>115</v>
      </c>
      <c r="Z877" s="81" t="s">
        <v>398</v>
      </c>
      <c r="AA877" s="81" t="s">
        <v>117</v>
      </c>
      <c r="AB877" s="81" t="s">
        <v>399</v>
      </c>
      <c r="AC877" s="166">
        <v>8.0000003799796104E-3</v>
      </c>
      <c r="AG877" s="81" t="s">
        <v>238</v>
      </c>
      <c r="AH877" s="81" t="s">
        <v>118</v>
      </c>
      <c r="AK877" s="166">
        <v>0</v>
      </c>
      <c r="AM877" s="166">
        <v>0</v>
      </c>
      <c r="AO877" s="166">
        <v>0</v>
      </c>
      <c r="AP877" s="166">
        <v>1</v>
      </c>
      <c r="AQ877" s="166">
        <v>0</v>
      </c>
      <c r="AR877" s="166">
        <v>0</v>
      </c>
      <c r="AS877" s="166">
        <v>0</v>
      </c>
      <c r="AT877" s="166">
        <v>0</v>
      </c>
      <c r="AU877" s="166">
        <v>0</v>
      </c>
      <c r="AV877" s="166">
        <v>0</v>
      </c>
      <c r="AW877" s="166">
        <v>1</v>
      </c>
      <c r="AX877" s="166">
        <v>0</v>
      </c>
      <c r="AY877" s="166">
        <v>0</v>
      </c>
      <c r="AZ877" s="166">
        <v>0</v>
      </c>
      <c r="BA877" s="166">
        <v>0</v>
      </c>
      <c r="BB877" s="166">
        <v>0</v>
      </c>
      <c r="BC877" s="166">
        <v>0</v>
      </c>
      <c r="BD877" s="166">
        <v>0</v>
      </c>
      <c r="BE877" s="166">
        <v>0</v>
      </c>
      <c r="BF877" s="166">
        <v>0</v>
      </c>
      <c r="BG877" s="166">
        <v>0</v>
      </c>
      <c r="BH877" s="166">
        <v>0</v>
      </c>
      <c r="BI877" s="166">
        <v>0</v>
      </c>
      <c r="BJ877" s="166">
        <v>0</v>
      </c>
      <c r="BK877" s="166">
        <v>0</v>
      </c>
      <c r="BL877" s="166">
        <v>0</v>
      </c>
      <c r="BM877" s="166">
        <v>0</v>
      </c>
      <c r="BN877" s="166">
        <v>0</v>
      </c>
      <c r="BO877" s="166">
        <v>0</v>
      </c>
      <c r="BP877" s="166">
        <v>0</v>
      </c>
      <c r="BQ877" s="81" t="s">
        <v>1757</v>
      </c>
      <c r="BR877" s="81" t="s">
        <v>242</v>
      </c>
      <c r="BZ877" s="81" t="s">
        <v>155</v>
      </c>
      <c r="CA877" s="81" t="s">
        <v>1937</v>
      </c>
      <c r="CC877" s="167">
        <v>0</v>
      </c>
      <c r="CD877" s="167">
        <f>$N877/4</f>
        <v>0.25</v>
      </c>
      <c r="CE877" s="167">
        <f>$N877/4</f>
        <v>0.25</v>
      </c>
      <c r="CF877" s="167">
        <f>$N877/4</f>
        <v>0.25</v>
      </c>
      <c r="CG877" s="167">
        <f>$N877/4</f>
        <v>0.25</v>
      </c>
      <c r="CH877" s="167">
        <v>0</v>
      </c>
      <c r="CI877" s="167">
        <v>0</v>
      </c>
      <c r="CJ877" s="167">
        <v>0</v>
      </c>
      <c r="CK877" s="167">
        <v>0</v>
      </c>
      <c r="CL877" s="167">
        <v>0</v>
      </c>
      <c r="CM877" s="167">
        <v>0</v>
      </c>
      <c r="CN877" s="167">
        <v>0</v>
      </c>
      <c r="CO877" s="167">
        <v>0</v>
      </c>
      <c r="CP877" s="167">
        <v>0</v>
      </c>
      <c r="CQ877" s="167">
        <v>0</v>
      </c>
      <c r="CR877" s="167">
        <v>0</v>
      </c>
      <c r="CS877" s="167">
        <v>0</v>
      </c>
      <c r="CT877" s="167">
        <v>0</v>
      </c>
      <c r="CU877" s="167">
        <v>0</v>
      </c>
      <c r="CV877" s="167">
        <v>0</v>
      </c>
      <c r="CW877" s="167">
        <v>0</v>
      </c>
      <c r="CX877" s="167">
        <f>SUM(CD877:CH877)</f>
        <v>1</v>
      </c>
      <c r="CY877" s="167">
        <f>SUM(CD877:CM877)</f>
        <v>1</v>
      </c>
    </row>
    <row r="878" spans="1:103" ht="12.75" customHeight="1" x14ac:dyDescent="0.2">
      <c r="A878" s="81">
        <v>5864</v>
      </c>
      <c r="B878" s="165" t="s">
        <v>1930</v>
      </c>
      <c r="C878" s="165" t="s">
        <v>643</v>
      </c>
      <c r="E878" s="165" t="s">
        <v>2614</v>
      </c>
      <c r="G878" s="81">
        <v>529134</v>
      </c>
      <c r="H878" s="81">
        <v>173993</v>
      </c>
      <c r="I878" s="165" t="s">
        <v>247</v>
      </c>
      <c r="L878" s="166">
        <v>1</v>
      </c>
      <c r="M878" s="166">
        <v>2</v>
      </c>
      <c r="N878" s="166">
        <v>1</v>
      </c>
      <c r="O878" s="166">
        <v>2</v>
      </c>
      <c r="P878" s="166">
        <v>1</v>
      </c>
      <c r="R878" s="165" t="s">
        <v>644</v>
      </c>
      <c r="S878" s="81" t="s">
        <v>113</v>
      </c>
      <c r="T878" s="349">
        <v>42235</v>
      </c>
      <c r="U878" s="349">
        <v>42291</v>
      </c>
      <c r="W878" s="81" t="s">
        <v>114</v>
      </c>
      <c r="Y878" s="81" t="s">
        <v>115</v>
      </c>
      <c r="Z878" s="81" t="s">
        <v>119</v>
      </c>
      <c r="AA878" s="81" t="s">
        <v>117</v>
      </c>
      <c r="AB878" s="81" t="s">
        <v>120</v>
      </c>
      <c r="AC878" s="166">
        <v>1.30000002682209E-2</v>
      </c>
      <c r="AG878" s="81" t="s">
        <v>238</v>
      </c>
      <c r="AH878" s="81" t="s">
        <v>118</v>
      </c>
      <c r="AK878" s="166">
        <v>0</v>
      </c>
      <c r="AM878" s="166">
        <v>0</v>
      </c>
      <c r="AO878" s="166">
        <v>0</v>
      </c>
      <c r="AP878" s="166">
        <v>0</v>
      </c>
      <c r="AQ878" s="166">
        <v>1</v>
      </c>
      <c r="AR878" s="166">
        <v>1</v>
      </c>
      <c r="AS878" s="166">
        <v>-1</v>
      </c>
      <c r="AT878" s="166">
        <v>0</v>
      </c>
      <c r="AU878" s="166">
        <v>0</v>
      </c>
      <c r="AV878" s="166">
        <v>0</v>
      </c>
      <c r="AW878" s="166">
        <v>0</v>
      </c>
      <c r="AX878" s="166">
        <v>1</v>
      </c>
      <c r="AY878" s="166">
        <v>1</v>
      </c>
      <c r="AZ878" s="166">
        <v>0</v>
      </c>
      <c r="BA878" s="166">
        <v>0</v>
      </c>
      <c r="BB878" s="166">
        <v>0</v>
      </c>
      <c r="BC878" s="166">
        <v>0</v>
      </c>
      <c r="BD878" s="166">
        <v>0</v>
      </c>
      <c r="BE878" s="166">
        <v>0</v>
      </c>
      <c r="BF878" s="166">
        <v>0</v>
      </c>
      <c r="BG878" s="166">
        <v>-1</v>
      </c>
      <c r="BH878" s="166">
        <v>0</v>
      </c>
      <c r="BI878" s="166">
        <v>0</v>
      </c>
      <c r="BJ878" s="166">
        <v>0</v>
      </c>
      <c r="BK878" s="166">
        <v>0</v>
      </c>
      <c r="BL878" s="166">
        <v>0</v>
      </c>
      <c r="BM878" s="166">
        <v>0</v>
      </c>
      <c r="BN878" s="166">
        <v>0</v>
      </c>
      <c r="BO878" s="166">
        <v>0</v>
      </c>
      <c r="BP878" s="166">
        <v>0</v>
      </c>
      <c r="BQ878" s="81" t="s">
        <v>1757</v>
      </c>
      <c r="BZ878" s="81" t="s">
        <v>155</v>
      </c>
      <c r="CA878" s="81" t="s">
        <v>1937</v>
      </c>
      <c r="CC878" s="167">
        <v>0</v>
      </c>
      <c r="CD878" s="167">
        <f>$N878/4</f>
        <v>0.25</v>
      </c>
      <c r="CE878" s="167">
        <f>$N878/4</f>
        <v>0.25</v>
      </c>
      <c r="CF878" s="167">
        <f>$N878/4</f>
        <v>0.25</v>
      </c>
      <c r="CG878" s="167">
        <f>$N878/4</f>
        <v>0.25</v>
      </c>
      <c r="CH878" s="167">
        <v>0</v>
      </c>
      <c r="CI878" s="167">
        <v>0</v>
      </c>
      <c r="CJ878" s="167">
        <v>0</v>
      </c>
      <c r="CK878" s="167">
        <v>0</v>
      </c>
      <c r="CL878" s="167">
        <v>0</v>
      </c>
      <c r="CM878" s="167">
        <v>0</v>
      </c>
      <c r="CN878" s="167">
        <v>0</v>
      </c>
      <c r="CO878" s="167">
        <v>0</v>
      </c>
      <c r="CP878" s="167">
        <v>0</v>
      </c>
      <c r="CQ878" s="167">
        <v>0</v>
      </c>
      <c r="CR878" s="167">
        <v>0</v>
      </c>
      <c r="CS878" s="167">
        <v>0</v>
      </c>
      <c r="CT878" s="167">
        <v>0</v>
      </c>
      <c r="CU878" s="167">
        <v>0</v>
      </c>
      <c r="CV878" s="167">
        <v>0</v>
      </c>
      <c r="CW878" s="167">
        <v>0</v>
      </c>
      <c r="CX878" s="167">
        <f>SUM(CD878:CH878)</f>
        <v>1</v>
      </c>
      <c r="CY878" s="167">
        <f>SUM(CD878:CM878)</f>
        <v>1</v>
      </c>
    </row>
    <row r="879" spans="1:103" ht="12.75" customHeight="1" x14ac:dyDescent="0.2">
      <c r="A879" s="81">
        <v>5870</v>
      </c>
      <c r="B879" s="165" t="s">
        <v>1930</v>
      </c>
      <c r="C879" s="165" t="s">
        <v>587</v>
      </c>
      <c r="E879" s="165" t="s">
        <v>2615</v>
      </c>
      <c r="G879" s="81">
        <v>523693</v>
      </c>
      <c r="H879" s="81">
        <v>175176</v>
      </c>
      <c r="I879" s="165" t="s">
        <v>259</v>
      </c>
      <c r="L879" s="166">
        <v>1</v>
      </c>
      <c r="M879" s="166">
        <v>2</v>
      </c>
      <c r="N879" s="166">
        <v>1</v>
      </c>
      <c r="O879" s="166">
        <v>2</v>
      </c>
      <c r="P879" s="166">
        <v>1</v>
      </c>
      <c r="R879" s="165" t="s">
        <v>588</v>
      </c>
      <c r="S879" s="81" t="s">
        <v>113</v>
      </c>
      <c r="T879" s="349">
        <v>42177</v>
      </c>
      <c r="U879" s="349">
        <v>42264</v>
      </c>
      <c r="W879" s="81" t="s">
        <v>114</v>
      </c>
      <c r="Y879" s="81" t="s">
        <v>115</v>
      </c>
      <c r="Z879" s="81" t="s">
        <v>119</v>
      </c>
      <c r="AA879" s="81" t="s">
        <v>117</v>
      </c>
      <c r="AB879" s="81" t="s">
        <v>220</v>
      </c>
      <c r="AC879" s="166">
        <v>2.19999998807907E-2</v>
      </c>
      <c r="AG879" s="81" t="s">
        <v>238</v>
      </c>
      <c r="AH879" s="81" t="s">
        <v>118</v>
      </c>
      <c r="AK879" s="166">
        <v>0</v>
      </c>
      <c r="AM879" s="166">
        <v>0</v>
      </c>
      <c r="AO879" s="166">
        <v>0</v>
      </c>
      <c r="AP879" s="166">
        <v>2</v>
      </c>
      <c r="AQ879" s="166">
        <v>0</v>
      </c>
      <c r="AR879" s="166">
        <v>0</v>
      </c>
      <c r="AS879" s="166">
        <v>-1</v>
      </c>
      <c r="AT879" s="166">
        <v>0</v>
      </c>
      <c r="AU879" s="166">
        <v>0</v>
      </c>
      <c r="AV879" s="166">
        <v>0</v>
      </c>
      <c r="AW879" s="166">
        <v>2</v>
      </c>
      <c r="AX879" s="166">
        <v>0</v>
      </c>
      <c r="AY879" s="166">
        <v>0</v>
      </c>
      <c r="AZ879" s="166">
        <v>-1</v>
      </c>
      <c r="BA879" s="166">
        <v>0</v>
      </c>
      <c r="BB879" s="166">
        <v>0</v>
      </c>
      <c r="BC879" s="166">
        <v>0</v>
      </c>
      <c r="BD879" s="166">
        <v>0</v>
      </c>
      <c r="BE879" s="166">
        <v>0</v>
      </c>
      <c r="BF879" s="166">
        <v>0</v>
      </c>
      <c r="BG879" s="166">
        <v>0</v>
      </c>
      <c r="BH879" s="166">
        <v>0</v>
      </c>
      <c r="BI879" s="166">
        <v>0</v>
      </c>
      <c r="BJ879" s="166">
        <v>0</v>
      </c>
      <c r="BK879" s="166">
        <v>0</v>
      </c>
      <c r="BL879" s="166">
        <v>0</v>
      </c>
      <c r="BM879" s="166">
        <v>0</v>
      </c>
      <c r="BN879" s="166">
        <v>0</v>
      </c>
      <c r="BO879" s="166">
        <v>0</v>
      </c>
      <c r="BP879" s="166">
        <v>0</v>
      </c>
      <c r="BQ879" s="81" t="s">
        <v>1758</v>
      </c>
      <c r="BR879" s="81" t="s">
        <v>161</v>
      </c>
      <c r="BZ879" s="81" t="s">
        <v>155</v>
      </c>
      <c r="CA879" s="81" t="s">
        <v>1937</v>
      </c>
      <c r="CC879" s="167">
        <v>0</v>
      </c>
      <c r="CD879" s="167">
        <f>$N879/4</f>
        <v>0.25</v>
      </c>
      <c r="CE879" s="167">
        <f>$N879/4</f>
        <v>0.25</v>
      </c>
      <c r="CF879" s="167">
        <f>$N879/4</f>
        <v>0.25</v>
      </c>
      <c r="CG879" s="167">
        <f>$N879/4</f>
        <v>0.25</v>
      </c>
      <c r="CH879" s="167">
        <v>0</v>
      </c>
      <c r="CI879" s="167">
        <v>0</v>
      </c>
      <c r="CJ879" s="167">
        <v>0</v>
      </c>
      <c r="CK879" s="167">
        <v>0</v>
      </c>
      <c r="CL879" s="167">
        <v>0</v>
      </c>
      <c r="CM879" s="167">
        <v>0</v>
      </c>
      <c r="CN879" s="167">
        <v>0</v>
      </c>
      <c r="CO879" s="167">
        <v>0</v>
      </c>
      <c r="CP879" s="167">
        <v>0</v>
      </c>
      <c r="CQ879" s="167">
        <v>0</v>
      </c>
      <c r="CR879" s="167">
        <v>0</v>
      </c>
      <c r="CS879" s="167">
        <v>0</v>
      </c>
      <c r="CT879" s="167">
        <v>0</v>
      </c>
      <c r="CU879" s="167">
        <v>0</v>
      </c>
      <c r="CV879" s="167">
        <v>0</v>
      </c>
      <c r="CW879" s="167">
        <v>0</v>
      </c>
      <c r="CX879" s="167">
        <f>SUM(CD879:CH879)</f>
        <v>1</v>
      </c>
      <c r="CY879" s="167">
        <f>SUM(CD879:CM879)</f>
        <v>1</v>
      </c>
    </row>
    <row r="880" spans="1:103" ht="12.75" customHeight="1" x14ac:dyDescent="0.2">
      <c r="A880" s="81">
        <v>5875</v>
      </c>
      <c r="B880" s="165" t="s">
        <v>1930</v>
      </c>
      <c r="C880" s="165" t="s">
        <v>322</v>
      </c>
      <c r="D880" s="165" t="s">
        <v>323</v>
      </c>
      <c r="E880" s="165" t="s">
        <v>2616</v>
      </c>
      <c r="G880" s="81">
        <v>528631</v>
      </c>
      <c r="H880" s="81">
        <v>177662</v>
      </c>
      <c r="I880" s="165" t="s">
        <v>240</v>
      </c>
      <c r="L880" s="166">
        <v>2</v>
      </c>
      <c r="M880" s="166">
        <v>1</v>
      </c>
      <c r="N880" s="166">
        <v>-1</v>
      </c>
      <c r="O880" s="166">
        <v>1</v>
      </c>
      <c r="P880" s="166">
        <v>-1</v>
      </c>
      <c r="R880" s="165" t="s">
        <v>324</v>
      </c>
      <c r="S880" s="81" t="s">
        <v>113</v>
      </c>
      <c r="T880" s="349">
        <v>42053</v>
      </c>
      <c r="U880" s="349">
        <v>42088</v>
      </c>
      <c r="W880" s="81" t="s">
        <v>114</v>
      </c>
      <c r="Y880" s="81" t="s">
        <v>115</v>
      </c>
      <c r="Z880" s="81" t="s">
        <v>119</v>
      </c>
      <c r="AA880" s="81" t="s">
        <v>117</v>
      </c>
      <c r="AB880" s="81" t="s">
        <v>300</v>
      </c>
      <c r="AC880" s="166">
        <v>1.60000007599592E-2</v>
      </c>
      <c r="AG880" s="81" t="s">
        <v>238</v>
      </c>
      <c r="AH880" s="81" t="s">
        <v>118</v>
      </c>
      <c r="AK880" s="166">
        <v>0</v>
      </c>
      <c r="AM880" s="166">
        <v>0</v>
      </c>
      <c r="AO880" s="166">
        <v>0</v>
      </c>
      <c r="AP880" s="166">
        <v>0</v>
      </c>
      <c r="AQ880" s="166">
        <v>-2</v>
      </c>
      <c r="AR880" s="166">
        <v>1</v>
      </c>
      <c r="AS880" s="166">
        <v>0</v>
      </c>
      <c r="AT880" s="166">
        <v>0</v>
      </c>
      <c r="AU880" s="166">
        <v>0</v>
      </c>
      <c r="AV880" s="166">
        <v>0</v>
      </c>
      <c r="AW880" s="166">
        <v>0</v>
      </c>
      <c r="AX880" s="166">
        <v>-2</v>
      </c>
      <c r="AY880" s="166">
        <v>1</v>
      </c>
      <c r="AZ880" s="166">
        <v>0</v>
      </c>
      <c r="BA880" s="166">
        <v>0</v>
      </c>
      <c r="BB880" s="166">
        <v>0</v>
      </c>
      <c r="BC880" s="166">
        <v>0</v>
      </c>
      <c r="BD880" s="166">
        <v>0</v>
      </c>
      <c r="BE880" s="166">
        <v>0</v>
      </c>
      <c r="BF880" s="166">
        <v>0</v>
      </c>
      <c r="BG880" s="166">
        <v>0</v>
      </c>
      <c r="BH880" s="166">
        <v>0</v>
      </c>
      <c r="BI880" s="166">
        <v>0</v>
      </c>
      <c r="BJ880" s="166">
        <v>0</v>
      </c>
      <c r="BK880" s="166">
        <v>0</v>
      </c>
      <c r="BL880" s="166">
        <v>0</v>
      </c>
      <c r="BM880" s="166">
        <v>0</v>
      </c>
      <c r="BN880" s="166">
        <v>0</v>
      </c>
      <c r="BO880" s="166">
        <v>0</v>
      </c>
      <c r="BP880" s="166">
        <v>0</v>
      </c>
      <c r="BQ880" s="81" t="s">
        <v>1759</v>
      </c>
      <c r="BS880" s="81" t="s">
        <v>155</v>
      </c>
      <c r="BZ880" s="81" t="s">
        <v>155</v>
      </c>
      <c r="CA880" s="81" t="s">
        <v>1937</v>
      </c>
      <c r="CC880" s="167">
        <v>0</v>
      </c>
      <c r="CD880" s="167">
        <f>$N880/4</f>
        <v>-0.25</v>
      </c>
      <c r="CE880" s="167">
        <f>$N880/4</f>
        <v>-0.25</v>
      </c>
      <c r="CF880" s="167">
        <f>$N880/4</f>
        <v>-0.25</v>
      </c>
      <c r="CG880" s="167">
        <f>$N880/4</f>
        <v>-0.25</v>
      </c>
      <c r="CH880" s="167">
        <v>0</v>
      </c>
      <c r="CI880" s="167">
        <v>0</v>
      </c>
      <c r="CJ880" s="167">
        <v>0</v>
      </c>
      <c r="CK880" s="167">
        <v>0</v>
      </c>
      <c r="CL880" s="167">
        <v>0</v>
      </c>
      <c r="CM880" s="167">
        <v>0</v>
      </c>
      <c r="CN880" s="167">
        <v>0</v>
      </c>
      <c r="CO880" s="167">
        <v>0</v>
      </c>
      <c r="CP880" s="167">
        <v>0</v>
      </c>
      <c r="CQ880" s="167">
        <v>0</v>
      </c>
      <c r="CR880" s="167">
        <v>0</v>
      </c>
      <c r="CS880" s="167">
        <v>0</v>
      </c>
      <c r="CT880" s="167">
        <v>0</v>
      </c>
      <c r="CU880" s="167">
        <v>0</v>
      </c>
      <c r="CV880" s="167">
        <v>0</v>
      </c>
      <c r="CW880" s="167">
        <v>0</v>
      </c>
      <c r="CX880" s="167">
        <f>SUM(CD880:CH880)</f>
        <v>-1</v>
      </c>
      <c r="CY880" s="167">
        <f>SUM(CD880:CM880)</f>
        <v>-1</v>
      </c>
    </row>
    <row r="881" spans="1:103" ht="12.75" customHeight="1" x14ac:dyDescent="0.2">
      <c r="A881" s="81">
        <v>5883</v>
      </c>
      <c r="B881" s="165" t="s">
        <v>1930</v>
      </c>
      <c r="C881" s="165" t="s">
        <v>52</v>
      </c>
      <c r="E881" s="165" t="s">
        <v>2617</v>
      </c>
      <c r="G881" s="81">
        <v>521107</v>
      </c>
      <c r="H881" s="81">
        <v>174480</v>
      </c>
      <c r="I881" s="165" t="s">
        <v>877</v>
      </c>
      <c r="L881" s="166">
        <v>1</v>
      </c>
      <c r="M881" s="166">
        <v>1</v>
      </c>
      <c r="N881" s="166">
        <v>0</v>
      </c>
      <c r="O881" s="166">
        <v>1</v>
      </c>
      <c r="P881" s="166">
        <v>0</v>
      </c>
      <c r="R881" s="165" t="s">
        <v>1125</v>
      </c>
      <c r="S881" s="81" t="s">
        <v>113</v>
      </c>
      <c r="T881" s="349">
        <v>42045</v>
      </c>
      <c r="U881" s="349">
        <v>42233</v>
      </c>
      <c r="W881" s="81" t="s">
        <v>114</v>
      </c>
      <c r="Y881" s="81" t="s">
        <v>115</v>
      </c>
      <c r="Z881" s="81" t="s">
        <v>116</v>
      </c>
      <c r="AA881" s="81" t="s">
        <v>117</v>
      </c>
      <c r="AB881" s="81" t="s">
        <v>218</v>
      </c>
      <c r="AC881" s="166">
        <v>0.125</v>
      </c>
      <c r="AG881" s="81" t="s">
        <v>238</v>
      </c>
      <c r="AH881" s="81" t="s">
        <v>118</v>
      </c>
      <c r="AK881" s="166">
        <v>1</v>
      </c>
      <c r="AM881" s="166">
        <v>0</v>
      </c>
      <c r="AO881" s="166">
        <v>0</v>
      </c>
      <c r="AP881" s="166">
        <v>0</v>
      </c>
      <c r="AQ881" s="166">
        <v>0</v>
      </c>
      <c r="AR881" s="166">
        <v>0</v>
      </c>
      <c r="AS881" s="166">
        <v>-1</v>
      </c>
      <c r="AT881" s="166">
        <v>1</v>
      </c>
      <c r="AU881" s="166">
        <v>0</v>
      </c>
      <c r="AV881" s="166">
        <v>0</v>
      </c>
      <c r="AW881" s="166">
        <v>0</v>
      </c>
      <c r="AX881" s="166">
        <v>0</v>
      </c>
      <c r="AY881" s="166">
        <v>0</v>
      </c>
      <c r="AZ881" s="166">
        <v>0</v>
      </c>
      <c r="BA881" s="166">
        <v>0</v>
      </c>
      <c r="BB881" s="166">
        <v>0</v>
      </c>
      <c r="BC881" s="166">
        <v>0</v>
      </c>
      <c r="BD881" s="166">
        <v>0</v>
      </c>
      <c r="BE881" s="166">
        <v>0</v>
      </c>
      <c r="BF881" s="166">
        <v>0</v>
      </c>
      <c r="BG881" s="166">
        <v>-1</v>
      </c>
      <c r="BH881" s="166">
        <v>1</v>
      </c>
      <c r="BI881" s="166">
        <v>0</v>
      </c>
      <c r="BJ881" s="166">
        <v>0</v>
      </c>
      <c r="BK881" s="166">
        <v>0</v>
      </c>
      <c r="BL881" s="166">
        <v>0</v>
      </c>
      <c r="BM881" s="166">
        <v>0</v>
      </c>
      <c r="BN881" s="166">
        <v>0</v>
      </c>
      <c r="BO881" s="166">
        <v>0</v>
      </c>
      <c r="BP881" s="166">
        <v>0</v>
      </c>
      <c r="BQ881" s="81" t="s">
        <v>1758</v>
      </c>
      <c r="BZ881" s="81" t="s">
        <v>155</v>
      </c>
      <c r="CA881" s="81">
        <v>4</v>
      </c>
      <c r="CC881" s="167">
        <v>0</v>
      </c>
      <c r="CD881" s="167">
        <v>0</v>
      </c>
      <c r="CE881" s="167">
        <f>$N881/4</f>
        <v>0</v>
      </c>
      <c r="CF881" s="167">
        <f>$N881/4</f>
        <v>0</v>
      </c>
      <c r="CG881" s="167">
        <f>$N881/4</f>
        <v>0</v>
      </c>
      <c r="CH881" s="167">
        <f>$N881/4</f>
        <v>0</v>
      </c>
      <c r="CI881" s="167">
        <v>0</v>
      </c>
      <c r="CJ881" s="167">
        <v>0</v>
      </c>
      <c r="CK881" s="167">
        <v>0</v>
      </c>
      <c r="CL881" s="167">
        <v>0</v>
      </c>
      <c r="CM881" s="167">
        <v>0</v>
      </c>
      <c r="CN881" s="167">
        <v>0</v>
      </c>
      <c r="CO881" s="167">
        <v>0</v>
      </c>
      <c r="CP881" s="167">
        <v>0</v>
      </c>
      <c r="CQ881" s="167">
        <v>0</v>
      </c>
      <c r="CR881" s="167">
        <v>0</v>
      </c>
      <c r="CS881" s="167">
        <v>0</v>
      </c>
      <c r="CT881" s="167">
        <v>0</v>
      </c>
      <c r="CU881" s="167">
        <v>0</v>
      </c>
      <c r="CV881" s="167">
        <v>0</v>
      </c>
      <c r="CW881" s="167">
        <v>0</v>
      </c>
      <c r="CX881" s="167">
        <f>SUM(CD881:CH881)</f>
        <v>0</v>
      </c>
      <c r="CY881" s="167">
        <f>SUM(CD881:CM881)</f>
        <v>0</v>
      </c>
    </row>
    <row r="882" spans="1:103" ht="12.75" customHeight="1" x14ac:dyDescent="0.2">
      <c r="A882" s="81">
        <v>5887</v>
      </c>
      <c r="B882" s="165" t="s">
        <v>1930</v>
      </c>
      <c r="C882" s="165" t="s">
        <v>637</v>
      </c>
      <c r="E882" s="165" t="s">
        <v>2618</v>
      </c>
      <c r="G882" s="81">
        <v>528584</v>
      </c>
      <c r="H882" s="81">
        <v>173489</v>
      </c>
      <c r="I882" s="165" t="s">
        <v>247</v>
      </c>
      <c r="L882" s="166">
        <v>0</v>
      </c>
      <c r="M882" s="166">
        <v>1</v>
      </c>
      <c r="N882" s="166">
        <v>1</v>
      </c>
      <c r="O882" s="166">
        <v>1</v>
      </c>
      <c r="P882" s="166">
        <v>1</v>
      </c>
      <c r="R882" s="165" t="s">
        <v>638</v>
      </c>
      <c r="S882" s="81" t="s">
        <v>113</v>
      </c>
      <c r="T882" s="349">
        <v>42219</v>
      </c>
      <c r="U882" s="349">
        <v>42419</v>
      </c>
      <c r="W882" s="81" t="s">
        <v>114</v>
      </c>
      <c r="Y882" s="81" t="s">
        <v>115</v>
      </c>
      <c r="Z882" s="81" t="s">
        <v>116</v>
      </c>
      <c r="AA882" s="81" t="s">
        <v>117</v>
      </c>
      <c r="AB882" s="81" t="s">
        <v>218</v>
      </c>
      <c r="AC882" s="166">
        <v>1.4999999664723899E-2</v>
      </c>
      <c r="AG882" s="81" t="s">
        <v>238</v>
      </c>
      <c r="AH882" s="81" t="s">
        <v>118</v>
      </c>
      <c r="AK882" s="166">
        <v>1</v>
      </c>
      <c r="AM882" s="166">
        <v>0</v>
      </c>
      <c r="AO882" s="166">
        <v>0</v>
      </c>
      <c r="AP882" s="166">
        <v>0</v>
      </c>
      <c r="AQ882" s="166">
        <v>0</v>
      </c>
      <c r="AR882" s="166">
        <v>1</v>
      </c>
      <c r="AS882" s="166">
        <v>0</v>
      </c>
      <c r="AT882" s="166">
        <v>0</v>
      </c>
      <c r="AU882" s="166">
        <v>0</v>
      </c>
      <c r="AV882" s="166">
        <v>0</v>
      </c>
      <c r="AW882" s="166">
        <v>0</v>
      </c>
      <c r="AX882" s="166">
        <v>0</v>
      </c>
      <c r="AY882" s="166">
        <v>0</v>
      </c>
      <c r="AZ882" s="166">
        <v>0</v>
      </c>
      <c r="BA882" s="166">
        <v>0</v>
      </c>
      <c r="BB882" s="166">
        <v>0</v>
      </c>
      <c r="BC882" s="166">
        <v>0</v>
      </c>
      <c r="BD882" s="166">
        <v>0</v>
      </c>
      <c r="BE882" s="166">
        <v>0</v>
      </c>
      <c r="BF882" s="166">
        <v>1</v>
      </c>
      <c r="BG882" s="166">
        <v>0</v>
      </c>
      <c r="BH882" s="166">
        <v>0</v>
      </c>
      <c r="BI882" s="166">
        <v>0</v>
      </c>
      <c r="BJ882" s="166">
        <v>0</v>
      </c>
      <c r="BK882" s="166">
        <v>0</v>
      </c>
      <c r="BL882" s="166">
        <v>0</v>
      </c>
      <c r="BM882" s="166">
        <v>0</v>
      </c>
      <c r="BN882" s="166">
        <v>0</v>
      </c>
      <c r="BO882" s="166">
        <v>0</v>
      </c>
      <c r="BP882" s="166">
        <v>0</v>
      </c>
      <c r="BQ882" s="81" t="s">
        <v>1757</v>
      </c>
      <c r="BZ882" s="81" t="s">
        <v>155</v>
      </c>
      <c r="CA882" s="81">
        <v>4</v>
      </c>
      <c r="CC882" s="167">
        <v>0</v>
      </c>
      <c r="CD882" s="167">
        <v>0</v>
      </c>
      <c r="CE882" s="167">
        <f>$N882/4</f>
        <v>0.25</v>
      </c>
      <c r="CF882" s="167">
        <f>$N882/4</f>
        <v>0.25</v>
      </c>
      <c r="CG882" s="167">
        <f>$N882/4</f>
        <v>0.25</v>
      </c>
      <c r="CH882" s="167">
        <f>$N882/4</f>
        <v>0.25</v>
      </c>
      <c r="CI882" s="167">
        <v>0</v>
      </c>
      <c r="CJ882" s="167">
        <v>0</v>
      </c>
      <c r="CK882" s="167">
        <v>0</v>
      </c>
      <c r="CL882" s="167">
        <v>0</v>
      </c>
      <c r="CM882" s="167">
        <v>0</v>
      </c>
      <c r="CN882" s="167">
        <v>0</v>
      </c>
      <c r="CO882" s="167">
        <v>0</v>
      </c>
      <c r="CP882" s="167">
        <v>0</v>
      </c>
      <c r="CQ882" s="167">
        <v>0</v>
      </c>
      <c r="CR882" s="167">
        <v>0</v>
      </c>
      <c r="CS882" s="167">
        <v>0</v>
      </c>
      <c r="CT882" s="167">
        <v>0</v>
      </c>
      <c r="CU882" s="167">
        <v>0</v>
      </c>
      <c r="CV882" s="167">
        <v>0</v>
      </c>
      <c r="CW882" s="167">
        <v>0</v>
      </c>
      <c r="CX882" s="167">
        <f>SUM(CD882:CH882)</f>
        <v>1</v>
      </c>
      <c r="CY882" s="167">
        <f>SUM(CD882:CM882)</f>
        <v>1</v>
      </c>
    </row>
    <row r="883" spans="1:103" ht="12.75" customHeight="1" x14ac:dyDescent="0.2">
      <c r="A883" s="81">
        <v>5890</v>
      </c>
      <c r="B883" s="165" t="s">
        <v>1930</v>
      </c>
      <c r="C883" s="165" t="s">
        <v>279</v>
      </c>
      <c r="E883" s="165" t="s">
        <v>2619</v>
      </c>
      <c r="G883" s="81">
        <v>524758</v>
      </c>
      <c r="H883" s="81">
        <v>174759</v>
      </c>
      <c r="I883" s="165" t="s">
        <v>250</v>
      </c>
      <c r="L883" s="166">
        <v>0</v>
      </c>
      <c r="M883" s="166">
        <v>1</v>
      </c>
      <c r="N883" s="166">
        <v>1</v>
      </c>
      <c r="O883" s="166">
        <v>1</v>
      </c>
      <c r="P883" s="166">
        <v>1</v>
      </c>
      <c r="R883" s="165" t="s">
        <v>280</v>
      </c>
      <c r="S883" s="81" t="s">
        <v>113</v>
      </c>
      <c r="T883" s="349">
        <v>42069</v>
      </c>
      <c r="U883" s="349">
        <v>42125</v>
      </c>
      <c r="W883" s="81" t="s">
        <v>114</v>
      </c>
      <c r="Y883" s="81" t="s">
        <v>115</v>
      </c>
      <c r="Z883" s="81" t="s">
        <v>116</v>
      </c>
      <c r="AA883" s="81" t="s">
        <v>117</v>
      </c>
      <c r="AB883" s="81" t="s">
        <v>218</v>
      </c>
      <c r="AC883" s="166">
        <v>1.8999999389052401E-2</v>
      </c>
      <c r="AG883" s="81" t="s">
        <v>238</v>
      </c>
      <c r="AH883" s="81" t="s">
        <v>118</v>
      </c>
      <c r="AK883" s="166">
        <v>1</v>
      </c>
      <c r="AM883" s="166">
        <v>1</v>
      </c>
      <c r="AO883" s="166">
        <v>0</v>
      </c>
      <c r="AP883" s="166">
        <v>0</v>
      </c>
      <c r="AQ883" s="166">
        <v>0</v>
      </c>
      <c r="AR883" s="166">
        <v>0</v>
      </c>
      <c r="AS883" s="166">
        <v>1</v>
      </c>
      <c r="AT883" s="166">
        <v>0</v>
      </c>
      <c r="AU883" s="166">
        <v>0</v>
      </c>
      <c r="AV883" s="166">
        <v>0</v>
      </c>
      <c r="AW883" s="166">
        <v>0</v>
      </c>
      <c r="AX883" s="166">
        <v>0</v>
      </c>
      <c r="AY883" s="166">
        <v>0</v>
      </c>
      <c r="AZ883" s="166">
        <v>0</v>
      </c>
      <c r="BA883" s="166">
        <v>0</v>
      </c>
      <c r="BB883" s="166">
        <v>0</v>
      </c>
      <c r="BC883" s="166">
        <v>0</v>
      </c>
      <c r="BD883" s="166">
        <v>0</v>
      </c>
      <c r="BE883" s="166">
        <v>0</v>
      </c>
      <c r="BF883" s="166">
        <v>0</v>
      </c>
      <c r="BG883" s="166">
        <v>1</v>
      </c>
      <c r="BH883" s="166">
        <v>0</v>
      </c>
      <c r="BI883" s="166">
        <v>0</v>
      </c>
      <c r="BJ883" s="166">
        <v>0</v>
      </c>
      <c r="BK883" s="166">
        <v>0</v>
      </c>
      <c r="BL883" s="166">
        <v>0</v>
      </c>
      <c r="BM883" s="166">
        <v>0</v>
      </c>
      <c r="BN883" s="166">
        <v>0</v>
      </c>
      <c r="BO883" s="166">
        <v>0</v>
      </c>
      <c r="BP883" s="166">
        <v>0</v>
      </c>
      <c r="BQ883" s="81" t="s">
        <v>1758</v>
      </c>
      <c r="BZ883" s="81" t="s">
        <v>155</v>
      </c>
      <c r="CA883" s="81">
        <v>4</v>
      </c>
      <c r="CC883" s="167">
        <v>0</v>
      </c>
      <c r="CD883" s="167">
        <v>0</v>
      </c>
      <c r="CE883" s="167">
        <f>$N883/4</f>
        <v>0.25</v>
      </c>
      <c r="CF883" s="167">
        <f>$N883/4</f>
        <v>0.25</v>
      </c>
      <c r="CG883" s="167">
        <f>$N883/4</f>
        <v>0.25</v>
      </c>
      <c r="CH883" s="167">
        <f>$N883/4</f>
        <v>0.25</v>
      </c>
      <c r="CI883" s="167">
        <v>0</v>
      </c>
      <c r="CJ883" s="167">
        <v>0</v>
      </c>
      <c r="CK883" s="167">
        <v>0</v>
      </c>
      <c r="CL883" s="167">
        <v>0</v>
      </c>
      <c r="CM883" s="167">
        <v>0</v>
      </c>
      <c r="CN883" s="167">
        <v>0</v>
      </c>
      <c r="CO883" s="167">
        <v>0</v>
      </c>
      <c r="CP883" s="167">
        <v>0</v>
      </c>
      <c r="CQ883" s="167">
        <v>0</v>
      </c>
      <c r="CR883" s="167">
        <v>0</v>
      </c>
      <c r="CS883" s="167">
        <v>0</v>
      </c>
      <c r="CT883" s="167">
        <v>0</v>
      </c>
      <c r="CU883" s="167">
        <v>0</v>
      </c>
      <c r="CV883" s="167">
        <v>0</v>
      </c>
      <c r="CW883" s="167">
        <v>0</v>
      </c>
      <c r="CX883" s="167">
        <f>SUM(CD883:CH883)</f>
        <v>1</v>
      </c>
      <c r="CY883" s="167">
        <f>SUM(CD883:CM883)</f>
        <v>1</v>
      </c>
    </row>
    <row r="884" spans="1:103" ht="12.75" customHeight="1" x14ac:dyDescent="0.2">
      <c r="A884" s="81">
        <v>5892</v>
      </c>
      <c r="B884" s="165" t="s">
        <v>1930</v>
      </c>
      <c r="C884" s="165" t="s">
        <v>496</v>
      </c>
      <c r="E884" s="165" t="s">
        <v>2620</v>
      </c>
      <c r="G884" s="81">
        <v>527620</v>
      </c>
      <c r="H884" s="81">
        <v>174551</v>
      </c>
      <c r="I884" s="165" t="s">
        <v>255</v>
      </c>
      <c r="L884" s="166">
        <v>0</v>
      </c>
      <c r="M884" s="166">
        <v>1</v>
      </c>
      <c r="N884" s="166">
        <v>1</v>
      </c>
      <c r="O884" s="166">
        <v>1</v>
      </c>
      <c r="P884" s="166">
        <v>1</v>
      </c>
      <c r="R884" s="165" t="s">
        <v>497</v>
      </c>
      <c r="S884" s="81" t="s">
        <v>113</v>
      </c>
      <c r="T884" s="349">
        <v>42067</v>
      </c>
      <c r="U884" s="349">
        <v>42123</v>
      </c>
      <c r="W884" s="81" t="s">
        <v>114</v>
      </c>
      <c r="Y884" s="81" t="s">
        <v>115</v>
      </c>
      <c r="Z884" s="81" t="s">
        <v>310</v>
      </c>
      <c r="AA884" s="81" t="s">
        <v>117</v>
      </c>
      <c r="AB884" s="81" t="s">
        <v>399</v>
      </c>
      <c r="AC884" s="166">
        <v>1.09999999403954E-2</v>
      </c>
      <c r="AG884" s="81" t="s">
        <v>238</v>
      </c>
      <c r="AH884" s="81" t="s">
        <v>118</v>
      </c>
      <c r="AK884" s="166">
        <v>0</v>
      </c>
      <c r="AM884" s="166">
        <v>0</v>
      </c>
      <c r="AO884" s="166">
        <v>0</v>
      </c>
      <c r="AP884" s="166">
        <v>0</v>
      </c>
      <c r="AQ884" s="166">
        <v>1</v>
      </c>
      <c r="AR884" s="166">
        <v>0</v>
      </c>
      <c r="AS884" s="166">
        <v>0</v>
      </c>
      <c r="AT884" s="166">
        <v>0</v>
      </c>
      <c r="AU884" s="166">
        <v>0</v>
      </c>
      <c r="AV884" s="166">
        <v>0</v>
      </c>
      <c r="AW884" s="166">
        <v>0</v>
      </c>
      <c r="AX884" s="166">
        <v>0</v>
      </c>
      <c r="AY884" s="166">
        <v>0</v>
      </c>
      <c r="AZ884" s="166">
        <v>0</v>
      </c>
      <c r="BA884" s="166">
        <v>0</v>
      </c>
      <c r="BB884" s="166">
        <v>0</v>
      </c>
      <c r="BC884" s="166">
        <v>0</v>
      </c>
      <c r="BD884" s="166">
        <v>0</v>
      </c>
      <c r="BE884" s="166">
        <v>1</v>
      </c>
      <c r="BF884" s="166">
        <v>0</v>
      </c>
      <c r="BG884" s="166">
        <v>0</v>
      </c>
      <c r="BH884" s="166">
        <v>0</v>
      </c>
      <c r="BI884" s="166">
        <v>0</v>
      </c>
      <c r="BJ884" s="166">
        <v>0</v>
      </c>
      <c r="BK884" s="166">
        <v>0</v>
      </c>
      <c r="BL884" s="166">
        <v>0</v>
      </c>
      <c r="BM884" s="166">
        <v>0</v>
      </c>
      <c r="BN884" s="166">
        <v>0</v>
      </c>
      <c r="BO884" s="166">
        <v>0</v>
      </c>
      <c r="BP884" s="166">
        <v>0</v>
      </c>
      <c r="BQ884" s="81" t="s">
        <v>1757</v>
      </c>
      <c r="BZ884" s="81" t="s">
        <v>155</v>
      </c>
      <c r="CA884" s="81" t="s">
        <v>1937</v>
      </c>
      <c r="CC884" s="167">
        <v>0</v>
      </c>
      <c r="CD884" s="167">
        <f>$N884/4</f>
        <v>0.25</v>
      </c>
      <c r="CE884" s="167">
        <f>$N884/4</f>
        <v>0.25</v>
      </c>
      <c r="CF884" s="167">
        <f>$N884/4</f>
        <v>0.25</v>
      </c>
      <c r="CG884" s="167">
        <f>$N884/4</f>
        <v>0.25</v>
      </c>
      <c r="CH884" s="167">
        <v>0</v>
      </c>
      <c r="CI884" s="167">
        <v>0</v>
      </c>
      <c r="CJ884" s="167">
        <v>0</v>
      </c>
      <c r="CK884" s="167">
        <v>0</v>
      </c>
      <c r="CL884" s="167">
        <v>0</v>
      </c>
      <c r="CM884" s="167">
        <v>0</v>
      </c>
      <c r="CN884" s="167">
        <v>0</v>
      </c>
      <c r="CO884" s="167">
        <v>0</v>
      </c>
      <c r="CP884" s="167">
        <v>0</v>
      </c>
      <c r="CQ884" s="167">
        <v>0</v>
      </c>
      <c r="CR884" s="167">
        <v>0</v>
      </c>
      <c r="CS884" s="167">
        <v>0</v>
      </c>
      <c r="CT884" s="167">
        <v>0</v>
      </c>
      <c r="CU884" s="167">
        <v>0</v>
      </c>
      <c r="CV884" s="167">
        <v>0</v>
      </c>
      <c r="CW884" s="167">
        <v>0</v>
      </c>
      <c r="CX884" s="167">
        <f>SUM(CD884:CH884)</f>
        <v>1</v>
      </c>
      <c r="CY884" s="167">
        <f>SUM(CD884:CM884)</f>
        <v>1</v>
      </c>
    </row>
    <row r="885" spans="1:103" ht="12.75" customHeight="1" x14ac:dyDescent="0.2">
      <c r="A885" s="81">
        <v>5894</v>
      </c>
      <c r="B885" s="165" t="s">
        <v>1930</v>
      </c>
      <c r="C885" s="165" t="s">
        <v>659</v>
      </c>
      <c r="D885" s="165" t="s">
        <v>660</v>
      </c>
      <c r="E885" s="165" t="s">
        <v>2621</v>
      </c>
      <c r="G885" s="81">
        <v>526821</v>
      </c>
      <c r="H885" s="81">
        <v>176772</v>
      </c>
      <c r="I885" s="165" t="s">
        <v>257</v>
      </c>
      <c r="L885" s="166">
        <v>0</v>
      </c>
      <c r="M885" s="166">
        <v>1</v>
      </c>
      <c r="N885" s="166">
        <v>1</v>
      </c>
      <c r="O885" s="166">
        <v>1</v>
      </c>
      <c r="P885" s="166">
        <v>1</v>
      </c>
      <c r="R885" s="165" t="s">
        <v>661</v>
      </c>
      <c r="S885" s="81" t="s">
        <v>113</v>
      </c>
      <c r="T885" s="349">
        <v>42265</v>
      </c>
      <c r="U885" s="349">
        <v>42394</v>
      </c>
      <c r="W885" s="81" t="s">
        <v>114</v>
      </c>
      <c r="Y885" s="81" t="s">
        <v>115</v>
      </c>
      <c r="Z885" s="81" t="s">
        <v>219</v>
      </c>
      <c r="AA885" s="81" t="s">
        <v>117</v>
      </c>
      <c r="AB885" s="81" t="s">
        <v>3889</v>
      </c>
      <c r="AC885" s="166">
        <v>9.9999997764825804E-3</v>
      </c>
      <c r="AG885" s="81" t="s">
        <v>238</v>
      </c>
      <c r="AH885" s="81" t="s">
        <v>118</v>
      </c>
      <c r="AK885" s="166">
        <v>0</v>
      </c>
      <c r="AM885" s="166">
        <v>0</v>
      </c>
      <c r="AO885" s="166">
        <v>0</v>
      </c>
      <c r="AP885" s="166">
        <v>0</v>
      </c>
      <c r="AQ885" s="166">
        <v>1</v>
      </c>
      <c r="AR885" s="166">
        <v>0</v>
      </c>
      <c r="AS885" s="166">
        <v>0</v>
      </c>
      <c r="AT885" s="166">
        <v>0</v>
      </c>
      <c r="AU885" s="166">
        <v>0</v>
      </c>
      <c r="AV885" s="166">
        <v>0</v>
      </c>
      <c r="AW885" s="166">
        <v>0</v>
      </c>
      <c r="AX885" s="166">
        <v>1</v>
      </c>
      <c r="AY885" s="166">
        <v>0</v>
      </c>
      <c r="AZ885" s="166">
        <v>0</v>
      </c>
      <c r="BA885" s="166">
        <v>0</v>
      </c>
      <c r="BB885" s="166">
        <v>0</v>
      </c>
      <c r="BC885" s="166">
        <v>0</v>
      </c>
      <c r="BD885" s="166">
        <v>0</v>
      </c>
      <c r="BE885" s="166">
        <v>0</v>
      </c>
      <c r="BF885" s="166">
        <v>0</v>
      </c>
      <c r="BG885" s="166">
        <v>0</v>
      </c>
      <c r="BH885" s="166">
        <v>0</v>
      </c>
      <c r="BI885" s="166">
        <v>0</v>
      </c>
      <c r="BJ885" s="166">
        <v>0</v>
      </c>
      <c r="BK885" s="166">
        <v>0</v>
      </c>
      <c r="BL885" s="166">
        <v>0</v>
      </c>
      <c r="BM885" s="166">
        <v>0</v>
      </c>
      <c r="BN885" s="166">
        <v>0</v>
      </c>
      <c r="BO885" s="166">
        <v>0</v>
      </c>
      <c r="BP885" s="166">
        <v>0</v>
      </c>
      <c r="BQ885" s="81" t="s">
        <v>1757</v>
      </c>
      <c r="BZ885" s="81" t="s">
        <v>155</v>
      </c>
      <c r="CA885" s="81" t="s">
        <v>1937</v>
      </c>
      <c r="CC885" s="167">
        <v>0</v>
      </c>
      <c r="CD885" s="167">
        <f>$N885/4</f>
        <v>0.25</v>
      </c>
      <c r="CE885" s="167">
        <f>$N885/4</f>
        <v>0.25</v>
      </c>
      <c r="CF885" s="167">
        <f>$N885/4</f>
        <v>0.25</v>
      </c>
      <c r="CG885" s="167">
        <f>$N885/4</f>
        <v>0.25</v>
      </c>
      <c r="CH885" s="167">
        <v>0</v>
      </c>
      <c r="CI885" s="167">
        <v>0</v>
      </c>
      <c r="CJ885" s="167">
        <v>0</v>
      </c>
      <c r="CK885" s="167">
        <v>0</v>
      </c>
      <c r="CL885" s="167">
        <v>0</v>
      </c>
      <c r="CM885" s="167">
        <v>0</v>
      </c>
      <c r="CN885" s="167">
        <v>0</v>
      </c>
      <c r="CO885" s="167">
        <v>0</v>
      </c>
      <c r="CP885" s="167">
        <v>0</v>
      </c>
      <c r="CQ885" s="167">
        <v>0</v>
      </c>
      <c r="CR885" s="167">
        <v>0</v>
      </c>
      <c r="CS885" s="167">
        <v>0</v>
      </c>
      <c r="CT885" s="167">
        <v>0</v>
      </c>
      <c r="CU885" s="167">
        <v>0</v>
      </c>
      <c r="CV885" s="167">
        <v>0</v>
      </c>
      <c r="CW885" s="167">
        <v>0</v>
      </c>
      <c r="CX885" s="167">
        <f>SUM(CD885:CH885)</f>
        <v>1</v>
      </c>
      <c r="CY885" s="167">
        <f>SUM(CD885:CM885)</f>
        <v>1</v>
      </c>
    </row>
    <row r="886" spans="1:103" ht="12.75" customHeight="1" x14ac:dyDescent="0.2">
      <c r="A886" s="81">
        <v>5903</v>
      </c>
      <c r="B886" s="165" t="s">
        <v>1930</v>
      </c>
      <c r="C886" s="165" t="s">
        <v>447</v>
      </c>
      <c r="E886" s="165" t="s">
        <v>2622</v>
      </c>
      <c r="G886" s="81">
        <v>525997</v>
      </c>
      <c r="H886" s="81">
        <v>173088</v>
      </c>
      <c r="I886" s="165" t="s">
        <v>249</v>
      </c>
      <c r="L886" s="166">
        <v>1</v>
      </c>
      <c r="M886" s="166">
        <v>2</v>
      </c>
      <c r="N886" s="166">
        <v>1</v>
      </c>
      <c r="O886" s="166">
        <v>2</v>
      </c>
      <c r="P886" s="166">
        <v>1</v>
      </c>
      <c r="R886" s="165" t="s">
        <v>448</v>
      </c>
      <c r="S886" s="81" t="s">
        <v>113</v>
      </c>
      <c r="T886" s="349">
        <v>42034</v>
      </c>
      <c r="U886" s="349">
        <v>42102</v>
      </c>
      <c r="W886" s="81" t="s">
        <v>114</v>
      </c>
      <c r="Y886" s="81" t="s">
        <v>115</v>
      </c>
      <c r="Z886" s="81" t="s">
        <v>398</v>
      </c>
      <c r="AA886" s="81" t="s">
        <v>117</v>
      </c>
      <c r="AB886" s="81" t="s">
        <v>220</v>
      </c>
      <c r="AC886" s="166">
        <v>8.9999996125698107E-3</v>
      </c>
      <c r="AG886" s="81" t="s">
        <v>238</v>
      </c>
      <c r="AH886" s="81" t="s">
        <v>118</v>
      </c>
      <c r="AK886" s="166">
        <v>0</v>
      </c>
      <c r="AM886" s="166">
        <v>0</v>
      </c>
      <c r="AO886" s="166">
        <v>1</v>
      </c>
      <c r="AP886" s="166">
        <v>0</v>
      </c>
      <c r="AQ886" s="166">
        <v>1</v>
      </c>
      <c r="AR886" s="166">
        <v>-1</v>
      </c>
      <c r="AS886" s="166">
        <v>0</v>
      </c>
      <c r="AT886" s="166">
        <v>0</v>
      </c>
      <c r="AU886" s="166">
        <v>0</v>
      </c>
      <c r="AV886" s="166">
        <v>1</v>
      </c>
      <c r="AW886" s="166">
        <v>0</v>
      </c>
      <c r="AX886" s="166">
        <v>1</v>
      </c>
      <c r="AY886" s="166">
        <v>-1</v>
      </c>
      <c r="AZ886" s="166">
        <v>0</v>
      </c>
      <c r="BA886" s="166">
        <v>0</v>
      </c>
      <c r="BB886" s="166">
        <v>0</v>
      </c>
      <c r="BC886" s="166">
        <v>0</v>
      </c>
      <c r="BD886" s="166">
        <v>0</v>
      </c>
      <c r="BE886" s="166">
        <v>0</v>
      </c>
      <c r="BF886" s="166">
        <v>0</v>
      </c>
      <c r="BG886" s="166">
        <v>0</v>
      </c>
      <c r="BH886" s="166">
        <v>0</v>
      </c>
      <c r="BI886" s="166">
        <v>0</v>
      </c>
      <c r="BJ886" s="166">
        <v>0</v>
      </c>
      <c r="BK886" s="166">
        <v>0</v>
      </c>
      <c r="BL886" s="166">
        <v>0</v>
      </c>
      <c r="BM886" s="166">
        <v>0</v>
      </c>
      <c r="BN886" s="166">
        <v>0</v>
      </c>
      <c r="BO886" s="166">
        <v>0</v>
      </c>
      <c r="BP886" s="166">
        <v>0</v>
      </c>
      <c r="BQ886" s="81" t="s">
        <v>1758</v>
      </c>
      <c r="BY886" s="81" t="s">
        <v>155</v>
      </c>
      <c r="BZ886" s="81" t="s">
        <v>155</v>
      </c>
      <c r="CA886" s="81" t="s">
        <v>1937</v>
      </c>
      <c r="CC886" s="167">
        <v>0</v>
      </c>
      <c r="CD886" s="167">
        <f>$N886/4</f>
        <v>0.25</v>
      </c>
      <c r="CE886" s="167">
        <f>$N886/4</f>
        <v>0.25</v>
      </c>
      <c r="CF886" s="167">
        <f>$N886/4</f>
        <v>0.25</v>
      </c>
      <c r="CG886" s="167">
        <f>$N886/4</f>
        <v>0.25</v>
      </c>
      <c r="CH886" s="167">
        <v>0</v>
      </c>
      <c r="CI886" s="167">
        <v>0</v>
      </c>
      <c r="CJ886" s="167">
        <v>0</v>
      </c>
      <c r="CK886" s="167">
        <v>0</v>
      </c>
      <c r="CL886" s="167">
        <v>0</v>
      </c>
      <c r="CM886" s="167">
        <v>0</v>
      </c>
      <c r="CN886" s="167">
        <v>0</v>
      </c>
      <c r="CO886" s="167">
        <v>0</v>
      </c>
      <c r="CP886" s="167">
        <v>0</v>
      </c>
      <c r="CQ886" s="167">
        <v>0</v>
      </c>
      <c r="CR886" s="167">
        <v>0</v>
      </c>
      <c r="CS886" s="167">
        <v>0</v>
      </c>
      <c r="CT886" s="167">
        <v>0</v>
      </c>
      <c r="CU886" s="167">
        <v>0</v>
      </c>
      <c r="CV886" s="167">
        <v>0</v>
      </c>
      <c r="CW886" s="167">
        <v>0</v>
      </c>
      <c r="CX886" s="167">
        <f>SUM(CD886:CH886)</f>
        <v>1</v>
      </c>
      <c r="CY886" s="167">
        <f>SUM(CD886:CM886)</f>
        <v>1</v>
      </c>
    </row>
    <row r="887" spans="1:103" ht="12.75" customHeight="1" x14ac:dyDescent="0.2">
      <c r="A887" s="81">
        <v>5918</v>
      </c>
      <c r="B887" s="165" t="s">
        <v>1930</v>
      </c>
      <c r="C887" s="165" t="s">
        <v>432</v>
      </c>
      <c r="E887" s="165" t="s">
        <v>2623</v>
      </c>
      <c r="G887" s="81">
        <v>523322</v>
      </c>
      <c r="H887" s="81">
        <v>175861</v>
      </c>
      <c r="I887" s="165" t="s">
        <v>259</v>
      </c>
      <c r="L887" s="166">
        <v>1</v>
      </c>
      <c r="M887" s="166">
        <v>1</v>
      </c>
      <c r="N887" s="166">
        <v>0</v>
      </c>
      <c r="O887" s="166">
        <v>1</v>
      </c>
      <c r="P887" s="166">
        <v>0</v>
      </c>
      <c r="R887" s="165" t="s">
        <v>433</v>
      </c>
      <c r="S887" s="81" t="s">
        <v>113</v>
      </c>
      <c r="T887" s="349">
        <v>42086</v>
      </c>
      <c r="U887" s="349">
        <v>42146</v>
      </c>
      <c r="W887" s="81" t="s">
        <v>114</v>
      </c>
      <c r="Y887" s="81" t="s">
        <v>115</v>
      </c>
      <c r="Z887" s="81" t="s">
        <v>398</v>
      </c>
      <c r="AA887" s="81" t="s">
        <v>117</v>
      </c>
      <c r="AB887" s="81" t="s">
        <v>346</v>
      </c>
      <c r="AC887" s="166">
        <v>4.9999998882412902E-3</v>
      </c>
      <c r="AG887" s="81" t="s">
        <v>238</v>
      </c>
      <c r="AH887" s="81" t="s">
        <v>118</v>
      </c>
      <c r="AK887" s="166">
        <v>0</v>
      </c>
      <c r="AM887" s="166">
        <v>0</v>
      </c>
      <c r="AO887" s="166">
        <v>0</v>
      </c>
      <c r="AP887" s="166">
        <v>0</v>
      </c>
      <c r="AQ887" s="166">
        <v>-1</v>
      </c>
      <c r="AR887" s="166">
        <v>0</v>
      </c>
      <c r="AS887" s="166">
        <v>1</v>
      </c>
      <c r="AT887" s="166">
        <v>0</v>
      </c>
      <c r="AU887" s="166">
        <v>0</v>
      </c>
      <c r="AV887" s="166">
        <v>0</v>
      </c>
      <c r="AW887" s="166">
        <v>0</v>
      </c>
      <c r="AX887" s="166">
        <v>-1</v>
      </c>
      <c r="AY887" s="166">
        <v>0</v>
      </c>
      <c r="AZ887" s="166">
        <v>0</v>
      </c>
      <c r="BA887" s="166">
        <v>0</v>
      </c>
      <c r="BB887" s="166">
        <v>0</v>
      </c>
      <c r="BC887" s="166">
        <v>0</v>
      </c>
      <c r="BD887" s="166">
        <v>0</v>
      </c>
      <c r="BE887" s="166">
        <v>0</v>
      </c>
      <c r="BF887" s="166">
        <v>0</v>
      </c>
      <c r="BG887" s="166">
        <v>0</v>
      </c>
      <c r="BH887" s="166">
        <v>0</v>
      </c>
      <c r="BI887" s="166">
        <v>0</v>
      </c>
      <c r="BJ887" s="166">
        <v>0</v>
      </c>
      <c r="BK887" s="166">
        <v>0</v>
      </c>
      <c r="BL887" s="166">
        <v>0</v>
      </c>
      <c r="BM887" s="166">
        <v>0</v>
      </c>
      <c r="BN887" s="166">
        <v>1</v>
      </c>
      <c r="BO887" s="166">
        <v>0</v>
      </c>
      <c r="BP887" s="166">
        <v>0</v>
      </c>
      <c r="BQ887" s="81" t="s">
        <v>1758</v>
      </c>
      <c r="BZ887" s="81" t="s">
        <v>155</v>
      </c>
      <c r="CA887" s="81" t="s">
        <v>1937</v>
      </c>
      <c r="CC887" s="167">
        <v>0</v>
      </c>
      <c r="CD887" s="167">
        <f>$N887/4</f>
        <v>0</v>
      </c>
      <c r="CE887" s="167">
        <f>$N887/4</f>
        <v>0</v>
      </c>
      <c r="CF887" s="167">
        <f>$N887/4</f>
        <v>0</v>
      </c>
      <c r="CG887" s="167">
        <f>$N887/4</f>
        <v>0</v>
      </c>
      <c r="CH887" s="167">
        <v>0</v>
      </c>
      <c r="CI887" s="167">
        <v>0</v>
      </c>
      <c r="CJ887" s="167">
        <v>0</v>
      </c>
      <c r="CK887" s="167">
        <v>0</v>
      </c>
      <c r="CL887" s="167">
        <v>0</v>
      </c>
      <c r="CM887" s="167">
        <v>0</v>
      </c>
      <c r="CN887" s="167">
        <v>0</v>
      </c>
      <c r="CO887" s="167">
        <v>0</v>
      </c>
      <c r="CP887" s="167">
        <v>0</v>
      </c>
      <c r="CQ887" s="167">
        <v>0</v>
      </c>
      <c r="CR887" s="167">
        <v>0</v>
      </c>
      <c r="CS887" s="167">
        <v>0</v>
      </c>
      <c r="CT887" s="167">
        <v>0</v>
      </c>
      <c r="CU887" s="167">
        <v>0</v>
      </c>
      <c r="CV887" s="167">
        <v>0</v>
      </c>
      <c r="CW887" s="167">
        <v>0</v>
      </c>
      <c r="CX887" s="167">
        <f>SUM(CD887:CH887)</f>
        <v>0</v>
      </c>
      <c r="CY887" s="167">
        <f>SUM(CD887:CM887)</f>
        <v>0</v>
      </c>
    </row>
    <row r="888" spans="1:103" ht="12.75" customHeight="1" x14ac:dyDescent="0.2">
      <c r="A888" s="81">
        <v>5920</v>
      </c>
      <c r="B888" s="165" t="s">
        <v>1930</v>
      </c>
      <c r="C888" s="165" t="s">
        <v>545</v>
      </c>
      <c r="E888" s="165" t="s">
        <v>2624</v>
      </c>
      <c r="G888" s="81">
        <v>524021</v>
      </c>
      <c r="H888" s="81">
        <v>175002</v>
      </c>
      <c r="I888" s="165" t="s">
        <v>250</v>
      </c>
      <c r="L888" s="166">
        <v>0</v>
      </c>
      <c r="M888" s="166">
        <v>3</v>
      </c>
      <c r="N888" s="166">
        <v>3</v>
      </c>
      <c r="O888" s="166">
        <v>3</v>
      </c>
      <c r="P888" s="166">
        <v>3</v>
      </c>
      <c r="R888" s="165" t="s">
        <v>546</v>
      </c>
      <c r="S888" s="81" t="s">
        <v>110</v>
      </c>
      <c r="T888" s="349">
        <v>42117</v>
      </c>
      <c r="U888" s="349">
        <v>42177</v>
      </c>
      <c r="W888" s="81" t="s">
        <v>114</v>
      </c>
      <c r="Y888" s="81" t="s">
        <v>115</v>
      </c>
      <c r="Z888" s="81" t="s">
        <v>310</v>
      </c>
      <c r="AA888" s="81" t="s">
        <v>117</v>
      </c>
      <c r="AB888" s="81" t="s">
        <v>399</v>
      </c>
      <c r="AC888" s="166">
        <v>6.0000000521540598E-3</v>
      </c>
      <c r="AG888" s="81" t="s">
        <v>238</v>
      </c>
      <c r="AH888" s="81" t="s">
        <v>118</v>
      </c>
      <c r="AK888" s="166">
        <v>0</v>
      </c>
      <c r="AM888" s="166">
        <v>0</v>
      </c>
      <c r="AO888" s="166">
        <v>0</v>
      </c>
      <c r="AP888" s="166">
        <v>2</v>
      </c>
      <c r="AQ888" s="166">
        <v>1</v>
      </c>
      <c r="AR888" s="166">
        <v>0</v>
      </c>
      <c r="AS888" s="166">
        <v>0</v>
      </c>
      <c r="AT888" s="166">
        <v>0</v>
      </c>
      <c r="AU888" s="166">
        <v>0</v>
      </c>
      <c r="AV888" s="166">
        <v>0</v>
      </c>
      <c r="AW888" s="166">
        <v>2</v>
      </c>
      <c r="AX888" s="166">
        <v>1</v>
      </c>
      <c r="AY888" s="166">
        <v>0</v>
      </c>
      <c r="AZ888" s="166">
        <v>0</v>
      </c>
      <c r="BA888" s="166">
        <v>0</v>
      </c>
      <c r="BB888" s="166">
        <v>0</v>
      </c>
      <c r="BC888" s="166">
        <v>0</v>
      </c>
      <c r="BD888" s="166">
        <v>0</v>
      </c>
      <c r="BE888" s="166">
        <v>0</v>
      </c>
      <c r="BF888" s="166">
        <v>0</v>
      </c>
      <c r="BG888" s="166">
        <v>0</v>
      </c>
      <c r="BH888" s="166">
        <v>0</v>
      </c>
      <c r="BI888" s="166">
        <v>0</v>
      </c>
      <c r="BJ888" s="166">
        <v>0</v>
      </c>
      <c r="BK888" s="166">
        <v>0</v>
      </c>
      <c r="BL888" s="166">
        <v>0</v>
      </c>
      <c r="BM888" s="166">
        <v>0</v>
      </c>
      <c r="BN888" s="166">
        <v>0</v>
      </c>
      <c r="BO888" s="166">
        <v>0</v>
      </c>
      <c r="BP888" s="166">
        <v>0</v>
      </c>
      <c r="BQ888" s="81" t="s">
        <v>1758</v>
      </c>
      <c r="BR888" s="81" t="s">
        <v>161</v>
      </c>
      <c r="BV888" s="81" t="s">
        <v>155</v>
      </c>
      <c r="BZ888" s="81" t="s">
        <v>155</v>
      </c>
      <c r="CA888" s="81" t="s">
        <v>1937</v>
      </c>
      <c r="CC888" s="167">
        <v>0</v>
      </c>
      <c r="CD888" s="167">
        <f>$N888/4</f>
        <v>0.75</v>
      </c>
      <c r="CE888" s="167">
        <f>$N888/4</f>
        <v>0.75</v>
      </c>
      <c r="CF888" s="167">
        <f>$N888/4</f>
        <v>0.75</v>
      </c>
      <c r="CG888" s="167">
        <f>$N888/4</f>
        <v>0.75</v>
      </c>
      <c r="CH888" s="167">
        <v>0</v>
      </c>
      <c r="CI888" s="167">
        <v>0</v>
      </c>
      <c r="CJ888" s="167">
        <v>0</v>
      </c>
      <c r="CK888" s="167">
        <v>0</v>
      </c>
      <c r="CL888" s="167">
        <v>0</v>
      </c>
      <c r="CM888" s="167">
        <v>0</v>
      </c>
      <c r="CN888" s="167">
        <v>0</v>
      </c>
      <c r="CO888" s="167">
        <v>0</v>
      </c>
      <c r="CP888" s="167">
        <v>0</v>
      </c>
      <c r="CQ888" s="167">
        <v>0</v>
      </c>
      <c r="CR888" s="167">
        <v>0</v>
      </c>
      <c r="CS888" s="167">
        <v>0</v>
      </c>
      <c r="CT888" s="167">
        <v>0</v>
      </c>
      <c r="CU888" s="167">
        <v>0</v>
      </c>
      <c r="CV888" s="167">
        <v>0</v>
      </c>
      <c r="CW888" s="167">
        <v>0</v>
      </c>
      <c r="CX888" s="167">
        <f>SUM(CD888:CH888)</f>
        <v>3</v>
      </c>
      <c r="CY888" s="167">
        <f>SUM(CD888:CM888)</f>
        <v>3</v>
      </c>
    </row>
    <row r="889" spans="1:103" ht="12.75" customHeight="1" x14ac:dyDescent="0.2">
      <c r="A889" s="81">
        <v>5935</v>
      </c>
      <c r="B889" s="165" t="s">
        <v>1930</v>
      </c>
      <c r="C889" s="165" t="s">
        <v>561</v>
      </c>
      <c r="E889" s="165" t="s">
        <v>2625</v>
      </c>
      <c r="G889" s="81">
        <v>523208</v>
      </c>
      <c r="H889" s="81">
        <v>175814</v>
      </c>
      <c r="I889" s="165" t="s">
        <v>259</v>
      </c>
      <c r="L889" s="166">
        <v>0</v>
      </c>
      <c r="M889" s="166">
        <v>1</v>
      </c>
      <c r="N889" s="166">
        <v>1</v>
      </c>
      <c r="O889" s="166">
        <v>1</v>
      </c>
      <c r="P889" s="166">
        <v>1</v>
      </c>
      <c r="R889" s="165" t="s">
        <v>562</v>
      </c>
      <c r="S889" s="81" t="s">
        <v>110</v>
      </c>
      <c r="T889" s="349">
        <v>42121</v>
      </c>
      <c r="U889" s="349">
        <v>42177</v>
      </c>
      <c r="W889" s="81" t="s">
        <v>114</v>
      </c>
      <c r="Y889" s="81" t="s">
        <v>115</v>
      </c>
      <c r="Z889" s="81" t="s">
        <v>310</v>
      </c>
      <c r="AA889" s="81" t="s">
        <v>117</v>
      </c>
      <c r="AB889" s="81" t="s">
        <v>399</v>
      </c>
      <c r="AC889" s="166">
        <v>7.0000002160668399E-3</v>
      </c>
      <c r="AG889" s="81" t="s">
        <v>238</v>
      </c>
      <c r="AH889" s="81" t="s">
        <v>118</v>
      </c>
      <c r="AK889" s="166">
        <v>0</v>
      </c>
      <c r="AM889" s="166">
        <v>0</v>
      </c>
      <c r="AO889" s="166">
        <v>0</v>
      </c>
      <c r="AP889" s="166">
        <v>0</v>
      </c>
      <c r="AQ889" s="166">
        <v>1</v>
      </c>
      <c r="AR889" s="166">
        <v>0</v>
      </c>
      <c r="AS889" s="166">
        <v>0</v>
      </c>
      <c r="AT889" s="166">
        <v>0</v>
      </c>
      <c r="AU889" s="166">
        <v>0</v>
      </c>
      <c r="AV889" s="166">
        <v>0</v>
      </c>
      <c r="AW889" s="166">
        <v>0</v>
      </c>
      <c r="AX889" s="166">
        <v>1</v>
      </c>
      <c r="AY889" s="166">
        <v>0</v>
      </c>
      <c r="AZ889" s="166">
        <v>0</v>
      </c>
      <c r="BA889" s="166">
        <v>0</v>
      </c>
      <c r="BB889" s="166">
        <v>0</v>
      </c>
      <c r="BC889" s="166">
        <v>0</v>
      </c>
      <c r="BD889" s="166">
        <v>0</v>
      </c>
      <c r="BE889" s="166">
        <v>0</v>
      </c>
      <c r="BF889" s="166">
        <v>0</v>
      </c>
      <c r="BG889" s="166">
        <v>0</v>
      </c>
      <c r="BH889" s="166">
        <v>0</v>
      </c>
      <c r="BI889" s="166">
        <v>0</v>
      </c>
      <c r="BJ889" s="166">
        <v>0</v>
      </c>
      <c r="BK889" s="166">
        <v>0</v>
      </c>
      <c r="BL889" s="166">
        <v>0</v>
      </c>
      <c r="BM889" s="166">
        <v>0</v>
      </c>
      <c r="BN889" s="166">
        <v>0</v>
      </c>
      <c r="BO889" s="166">
        <v>0</v>
      </c>
      <c r="BP889" s="166">
        <v>0</v>
      </c>
      <c r="BQ889" s="81" t="s">
        <v>1758</v>
      </c>
      <c r="BZ889" s="81" t="s">
        <v>155</v>
      </c>
      <c r="CA889" s="81" t="s">
        <v>1937</v>
      </c>
      <c r="CC889" s="167">
        <v>0</v>
      </c>
      <c r="CD889" s="167">
        <f>$N889/4</f>
        <v>0.25</v>
      </c>
      <c r="CE889" s="167">
        <f>$N889/4</f>
        <v>0.25</v>
      </c>
      <c r="CF889" s="167">
        <f>$N889/4</f>
        <v>0.25</v>
      </c>
      <c r="CG889" s="167">
        <f>$N889/4</f>
        <v>0.25</v>
      </c>
      <c r="CH889" s="167">
        <v>0</v>
      </c>
      <c r="CI889" s="167">
        <v>0</v>
      </c>
      <c r="CJ889" s="167">
        <v>0</v>
      </c>
      <c r="CK889" s="167">
        <v>0</v>
      </c>
      <c r="CL889" s="167">
        <v>0</v>
      </c>
      <c r="CM889" s="167">
        <v>0</v>
      </c>
      <c r="CN889" s="167">
        <v>0</v>
      </c>
      <c r="CO889" s="167">
        <v>0</v>
      </c>
      <c r="CP889" s="167">
        <v>0</v>
      </c>
      <c r="CQ889" s="167">
        <v>0</v>
      </c>
      <c r="CR889" s="167">
        <v>0</v>
      </c>
      <c r="CS889" s="167">
        <v>0</v>
      </c>
      <c r="CT889" s="167">
        <v>0</v>
      </c>
      <c r="CU889" s="167">
        <v>0</v>
      </c>
      <c r="CV889" s="167">
        <v>0</v>
      </c>
      <c r="CW889" s="167">
        <v>0</v>
      </c>
      <c r="CX889" s="167">
        <f>SUM(CD889:CH889)</f>
        <v>1</v>
      </c>
      <c r="CY889" s="167">
        <f>SUM(CD889:CM889)</f>
        <v>1</v>
      </c>
    </row>
    <row r="890" spans="1:103" ht="12.75" customHeight="1" x14ac:dyDescent="0.2">
      <c r="A890" s="81">
        <v>5949</v>
      </c>
      <c r="B890" s="165" t="s">
        <v>1930</v>
      </c>
      <c r="C890" s="165" t="s">
        <v>672</v>
      </c>
      <c r="E890" s="165" t="s">
        <v>2626</v>
      </c>
      <c r="G890" s="81">
        <v>524987</v>
      </c>
      <c r="H890" s="81">
        <v>174835</v>
      </c>
      <c r="I890" s="165" t="s">
        <v>251</v>
      </c>
      <c r="L890" s="166">
        <v>2</v>
      </c>
      <c r="M890" s="166">
        <v>3</v>
      </c>
      <c r="N890" s="166">
        <v>1</v>
      </c>
      <c r="O890" s="166">
        <v>3</v>
      </c>
      <c r="P890" s="166">
        <v>1</v>
      </c>
      <c r="R890" s="165" t="s">
        <v>1148</v>
      </c>
      <c r="S890" s="81" t="s">
        <v>113</v>
      </c>
      <c r="T890" s="349">
        <v>42289</v>
      </c>
      <c r="U890" s="349">
        <v>42345</v>
      </c>
      <c r="W890" s="81" t="s">
        <v>114</v>
      </c>
      <c r="Y890" s="81" t="s">
        <v>115</v>
      </c>
      <c r="Z890" s="81" t="s">
        <v>398</v>
      </c>
      <c r="AA890" s="81" t="s">
        <v>117</v>
      </c>
      <c r="AB890" s="81" t="s">
        <v>220</v>
      </c>
      <c r="AC890" s="166">
        <v>1.8999999389052401E-2</v>
      </c>
      <c r="AG890" s="81" t="s">
        <v>238</v>
      </c>
      <c r="AH890" s="81" t="s">
        <v>118</v>
      </c>
      <c r="AK890" s="166">
        <v>0</v>
      </c>
      <c r="AM890" s="166">
        <v>0</v>
      </c>
      <c r="AO890" s="166">
        <v>0</v>
      </c>
      <c r="AP890" s="166">
        <v>1</v>
      </c>
      <c r="AQ890" s="166">
        <v>-1</v>
      </c>
      <c r="AR890" s="166">
        <v>1</v>
      </c>
      <c r="AS890" s="166">
        <v>0</v>
      </c>
      <c r="AT890" s="166">
        <v>0</v>
      </c>
      <c r="AU890" s="166">
        <v>0</v>
      </c>
      <c r="AV890" s="166">
        <v>0</v>
      </c>
      <c r="AW890" s="166">
        <v>1</v>
      </c>
      <c r="AX890" s="166">
        <v>-1</v>
      </c>
      <c r="AY890" s="166">
        <v>1</v>
      </c>
      <c r="AZ890" s="166">
        <v>0</v>
      </c>
      <c r="BA890" s="166">
        <v>0</v>
      </c>
      <c r="BB890" s="166">
        <v>0</v>
      </c>
      <c r="BC890" s="166">
        <v>0</v>
      </c>
      <c r="BD890" s="166">
        <v>0</v>
      </c>
      <c r="BE890" s="166">
        <v>0</v>
      </c>
      <c r="BF890" s="166">
        <v>0</v>
      </c>
      <c r="BG890" s="166">
        <v>0</v>
      </c>
      <c r="BH890" s="166">
        <v>0</v>
      </c>
      <c r="BI890" s="166">
        <v>0</v>
      </c>
      <c r="BJ890" s="166">
        <v>0</v>
      </c>
      <c r="BK890" s="166">
        <v>0</v>
      </c>
      <c r="BL890" s="166">
        <v>0</v>
      </c>
      <c r="BM890" s="166">
        <v>0</v>
      </c>
      <c r="BN890" s="166">
        <v>0</v>
      </c>
      <c r="BO890" s="166">
        <v>0</v>
      </c>
      <c r="BP890" s="166">
        <v>0</v>
      </c>
      <c r="BQ890" s="81" t="s">
        <v>1758</v>
      </c>
      <c r="BZ890" s="81" t="s">
        <v>155</v>
      </c>
      <c r="CA890" s="81" t="s">
        <v>1937</v>
      </c>
      <c r="CC890" s="167">
        <v>0</v>
      </c>
      <c r="CD890" s="167">
        <f>$N890/4</f>
        <v>0.25</v>
      </c>
      <c r="CE890" s="167">
        <f>$N890/4</f>
        <v>0.25</v>
      </c>
      <c r="CF890" s="167">
        <f>$N890/4</f>
        <v>0.25</v>
      </c>
      <c r="CG890" s="167">
        <f>$N890/4</f>
        <v>0.25</v>
      </c>
      <c r="CH890" s="167">
        <v>0</v>
      </c>
      <c r="CI890" s="167">
        <v>0</v>
      </c>
      <c r="CJ890" s="167">
        <v>0</v>
      </c>
      <c r="CK890" s="167">
        <v>0</v>
      </c>
      <c r="CL890" s="167">
        <v>0</v>
      </c>
      <c r="CM890" s="167">
        <v>0</v>
      </c>
      <c r="CN890" s="167">
        <v>0</v>
      </c>
      <c r="CO890" s="167">
        <v>0</v>
      </c>
      <c r="CP890" s="167">
        <v>0</v>
      </c>
      <c r="CQ890" s="167">
        <v>0</v>
      </c>
      <c r="CR890" s="167">
        <v>0</v>
      </c>
      <c r="CS890" s="167">
        <v>0</v>
      </c>
      <c r="CT890" s="167">
        <v>0</v>
      </c>
      <c r="CU890" s="167">
        <v>0</v>
      </c>
      <c r="CV890" s="167">
        <v>0</v>
      </c>
      <c r="CW890" s="167">
        <v>0</v>
      </c>
      <c r="CX890" s="167">
        <f>SUM(CD890:CH890)</f>
        <v>1</v>
      </c>
      <c r="CY890" s="167">
        <f>SUM(CD890:CM890)</f>
        <v>1</v>
      </c>
    </row>
    <row r="891" spans="1:103" ht="12.75" customHeight="1" x14ac:dyDescent="0.2">
      <c r="A891" s="81">
        <v>5955</v>
      </c>
      <c r="B891" s="165" t="s">
        <v>1930</v>
      </c>
      <c r="C891" s="165" t="s">
        <v>2627</v>
      </c>
      <c r="E891" s="165" t="s">
        <v>2628</v>
      </c>
      <c r="G891" s="81">
        <v>527059</v>
      </c>
      <c r="H891" s="81">
        <v>176166</v>
      </c>
      <c r="I891" s="165" t="s">
        <v>257</v>
      </c>
      <c r="L891" s="166">
        <v>0</v>
      </c>
      <c r="M891" s="166">
        <v>1</v>
      </c>
      <c r="N891" s="166">
        <v>1</v>
      </c>
      <c r="O891" s="166">
        <v>1</v>
      </c>
      <c r="P891" s="166">
        <v>1</v>
      </c>
      <c r="R891" s="165" t="s">
        <v>2629</v>
      </c>
      <c r="S891" s="81" t="s">
        <v>113</v>
      </c>
      <c r="T891" s="349">
        <v>43082</v>
      </c>
      <c r="U891" s="349">
        <v>43138</v>
      </c>
      <c r="V891" s="81" t="s">
        <v>155</v>
      </c>
      <c r="W891" s="81" t="s">
        <v>114</v>
      </c>
      <c r="Y891" s="81" t="s">
        <v>115</v>
      </c>
      <c r="Z891" s="81" t="s">
        <v>219</v>
      </c>
      <c r="AA891" s="81" t="s">
        <v>117</v>
      </c>
      <c r="AB891" s="81" t="s">
        <v>3889</v>
      </c>
      <c r="AC891" s="166">
        <v>3.0000000260770299E-3</v>
      </c>
      <c r="AG891" s="81" t="s">
        <v>238</v>
      </c>
      <c r="AH891" s="81" t="s">
        <v>118</v>
      </c>
      <c r="AK891" s="166">
        <v>0</v>
      </c>
      <c r="AM891" s="166">
        <v>0</v>
      </c>
      <c r="AO891" s="166">
        <v>0</v>
      </c>
      <c r="AP891" s="166">
        <v>0</v>
      </c>
      <c r="AQ891" s="166">
        <v>1</v>
      </c>
      <c r="AR891" s="166">
        <v>0</v>
      </c>
      <c r="AS891" s="166">
        <v>0</v>
      </c>
      <c r="AT891" s="166">
        <v>0</v>
      </c>
      <c r="AU891" s="166">
        <v>0</v>
      </c>
      <c r="AV891" s="166">
        <v>0</v>
      </c>
      <c r="AW891" s="166">
        <v>0</v>
      </c>
      <c r="AX891" s="166">
        <v>1</v>
      </c>
      <c r="AY891" s="166">
        <v>0</v>
      </c>
      <c r="AZ891" s="166">
        <v>0</v>
      </c>
      <c r="BA891" s="166">
        <v>0</v>
      </c>
      <c r="BB891" s="166">
        <v>0</v>
      </c>
      <c r="BC891" s="166">
        <v>0</v>
      </c>
      <c r="BD891" s="166">
        <v>0</v>
      </c>
      <c r="BE891" s="166">
        <v>0</v>
      </c>
      <c r="BF891" s="166">
        <v>0</v>
      </c>
      <c r="BG891" s="166">
        <v>0</v>
      </c>
      <c r="BH891" s="166">
        <v>0</v>
      </c>
      <c r="BI891" s="166">
        <v>0</v>
      </c>
      <c r="BJ891" s="166">
        <v>0</v>
      </c>
      <c r="BK891" s="166">
        <v>0</v>
      </c>
      <c r="BL891" s="166">
        <v>0</v>
      </c>
      <c r="BM891" s="166">
        <v>0</v>
      </c>
      <c r="BN891" s="166">
        <v>0</v>
      </c>
      <c r="BO891" s="166">
        <v>0</v>
      </c>
      <c r="BP891" s="166">
        <v>0</v>
      </c>
      <c r="BQ891" s="81" t="s">
        <v>1757</v>
      </c>
      <c r="BZ891" s="81" t="s">
        <v>155</v>
      </c>
      <c r="CA891" s="81" t="s">
        <v>1937</v>
      </c>
      <c r="CC891" s="167">
        <v>0</v>
      </c>
      <c r="CD891" s="167">
        <f>$N891/4</f>
        <v>0.25</v>
      </c>
      <c r="CE891" s="167">
        <f>$N891/4</f>
        <v>0.25</v>
      </c>
      <c r="CF891" s="167">
        <f>$N891/4</f>
        <v>0.25</v>
      </c>
      <c r="CG891" s="167">
        <f>$N891/4</f>
        <v>0.25</v>
      </c>
      <c r="CH891" s="167">
        <v>0</v>
      </c>
      <c r="CI891" s="167">
        <v>0</v>
      </c>
      <c r="CJ891" s="167">
        <v>0</v>
      </c>
      <c r="CK891" s="167">
        <v>0</v>
      </c>
      <c r="CL891" s="167">
        <v>0</v>
      </c>
      <c r="CM891" s="167">
        <v>0</v>
      </c>
      <c r="CN891" s="167">
        <v>0</v>
      </c>
      <c r="CO891" s="167">
        <v>0</v>
      </c>
      <c r="CP891" s="167">
        <v>0</v>
      </c>
      <c r="CQ891" s="167">
        <v>0</v>
      </c>
      <c r="CR891" s="167">
        <v>0</v>
      </c>
      <c r="CS891" s="167">
        <v>0</v>
      </c>
      <c r="CT891" s="167">
        <v>0</v>
      </c>
      <c r="CU891" s="167">
        <v>0</v>
      </c>
      <c r="CV891" s="167">
        <v>0</v>
      </c>
      <c r="CW891" s="167">
        <v>0</v>
      </c>
      <c r="CX891" s="167">
        <f>SUM(CD891:CH891)</f>
        <v>1</v>
      </c>
      <c r="CY891" s="167">
        <f>SUM(CD891:CM891)</f>
        <v>1</v>
      </c>
    </row>
    <row r="892" spans="1:103" ht="12.75" customHeight="1" x14ac:dyDescent="0.2">
      <c r="A892" s="81">
        <v>5958</v>
      </c>
      <c r="B892" s="165" t="s">
        <v>1930</v>
      </c>
      <c r="C892" s="165" t="s">
        <v>825</v>
      </c>
      <c r="E892" s="165" t="s">
        <v>2630</v>
      </c>
      <c r="G892" s="81">
        <v>527576</v>
      </c>
      <c r="H892" s="81">
        <v>171713</v>
      </c>
      <c r="I892" s="165" t="s">
        <v>242</v>
      </c>
      <c r="L892" s="166">
        <v>2</v>
      </c>
      <c r="M892" s="166">
        <v>2</v>
      </c>
      <c r="N892" s="166">
        <v>0</v>
      </c>
      <c r="O892" s="166">
        <v>4</v>
      </c>
      <c r="P892" s="166">
        <v>2</v>
      </c>
      <c r="R892" s="165" t="s">
        <v>1186</v>
      </c>
      <c r="S892" s="81" t="s">
        <v>113</v>
      </c>
      <c r="T892" s="349">
        <v>42423</v>
      </c>
      <c r="U892" s="349">
        <v>42478</v>
      </c>
      <c r="W892" s="81" t="s">
        <v>114</v>
      </c>
      <c r="Y892" s="81" t="s">
        <v>115</v>
      </c>
      <c r="Z892" s="81" t="s">
        <v>398</v>
      </c>
      <c r="AA892" s="81" t="s">
        <v>117</v>
      </c>
      <c r="AB892" s="81" t="s">
        <v>220</v>
      </c>
      <c r="AC892" s="166">
        <v>4.9999998882412902E-3</v>
      </c>
      <c r="AG892" s="81" t="s">
        <v>238</v>
      </c>
      <c r="AH892" s="81" t="s">
        <v>118</v>
      </c>
      <c r="AK892" s="166">
        <v>0</v>
      </c>
      <c r="AM892" s="166">
        <v>0</v>
      </c>
      <c r="AO892" s="166">
        <v>0</v>
      </c>
      <c r="AP892" s="166">
        <v>1</v>
      </c>
      <c r="AQ892" s="166">
        <v>-2</v>
      </c>
      <c r="AR892" s="166">
        <v>1</v>
      </c>
      <c r="AS892" s="166">
        <v>0</v>
      </c>
      <c r="AT892" s="166">
        <v>0</v>
      </c>
      <c r="AU892" s="166">
        <v>0</v>
      </c>
      <c r="AV892" s="166">
        <v>0</v>
      </c>
      <c r="AW892" s="166">
        <v>1</v>
      </c>
      <c r="AX892" s="166">
        <v>-2</v>
      </c>
      <c r="AY892" s="166">
        <v>1</v>
      </c>
      <c r="AZ892" s="166">
        <v>0</v>
      </c>
      <c r="BA892" s="166">
        <v>0</v>
      </c>
      <c r="BB892" s="166">
        <v>0</v>
      </c>
      <c r="BC892" s="166">
        <v>0</v>
      </c>
      <c r="BD892" s="166">
        <v>0</v>
      </c>
      <c r="BE892" s="166">
        <v>0</v>
      </c>
      <c r="BF892" s="166">
        <v>0</v>
      </c>
      <c r="BG892" s="166">
        <v>0</v>
      </c>
      <c r="BH892" s="166">
        <v>0</v>
      </c>
      <c r="BI892" s="166">
        <v>0</v>
      </c>
      <c r="BJ892" s="166">
        <v>0</v>
      </c>
      <c r="BK892" s="166">
        <v>0</v>
      </c>
      <c r="BL892" s="166">
        <v>0</v>
      </c>
      <c r="BM892" s="166">
        <v>0</v>
      </c>
      <c r="BN892" s="166">
        <v>0</v>
      </c>
      <c r="BO892" s="166">
        <v>0</v>
      </c>
      <c r="BP892" s="166">
        <v>0</v>
      </c>
      <c r="BQ892" s="81" t="s">
        <v>1757</v>
      </c>
      <c r="BR892" s="81" t="s">
        <v>242</v>
      </c>
      <c r="BZ892" s="81" t="s">
        <v>155</v>
      </c>
      <c r="CA892" s="81" t="s">
        <v>1937</v>
      </c>
      <c r="CC892" s="167">
        <v>0</v>
      </c>
      <c r="CD892" s="167">
        <f>$N892/4</f>
        <v>0</v>
      </c>
      <c r="CE892" s="167">
        <f>$N892/4</f>
        <v>0</v>
      </c>
      <c r="CF892" s="167">
        <f>$N892/4</f>
        <v>0</v>
      </c>
      <c r="CG892" s="167">
        <f>$N892/4</f>
        <v>0</v>
      </c>
      <c r="CH892" s="167">
        <v>0</v>
      </c>
      <c r="CI892" s="167">
        <v>0</v>
      </c>
      <c r="CJ892" s="167">
        <v>0</v>
      </c>
      <c r="CK892" s="167">
        <v>0</v>
      </c>
      <c r="CL892" s="167">
        <v>0</v>
      </c>
      <c r="CM892" s="167">
        <v>0</v>
      </c>
      <c r="CN892" s="167">
        <v>0</v>
      </c>
      <c r="CO892" s="167">
        <v>0</v>
      </c>
      <c r="CP892" s="167">
        <v>0</v>
      </c>
      <c r="CQ892" s="167">
        <v>0</v>
      </c>
      <c r="CR892" s="167">
        <v>0</v>
      </c>
      <c r="CS892" s="167">
        <v>0</v>
      </c>
      <c r="CT892" s="167">
        <v>0</v>
      </c>
      <c r="CU892" s="167">
        <v>0</v>
      </c>
      <c r="CV892" s="167">
        <v>0</v>
      </c>
      <c r="CW892" s="167">
        <v>0</v>
      </c>
      <c r="CX892" s="167">
        <f>SUM(CD892:CH892)</f>
        <v>0</v>
      </c>
      <c r="CY892" s="167">
        <f>SUM(CD892:CM892)</f>
        <v>0</v>
      </c>
    </row>
    <row r="893" spans="1:103" ht="12.75" customHeight="1" x14ac:dyDescent="0.2">
      <c r="A893" s="81">
        <v>5958</v>
      </c>
      <c r="B893" s="165" t="s">
        <v>1930</v>
      </c>
      <c r="C893" s="165" t="s">
        <v>825</v>
      </c>
      <c r="E893" s="165" t="s">
        <v>2630</v>
      </c>
      <c r="G893" s="81">
        <v>527576</v>
      </c>
      <c r="H893" s="81">
        <v>171713</v>
      </c>
      <c r="I893" s="165" t="s">
        <v>242</v>
      </c>
      <c r="L893" s="166">
        <v>0</v>
      </c>
      <c r="M893" s="166">
        <v>2</v>
      </c>
      <c r="N893" s="166">
        <v>2</v>
      </c>
      <c r="O893" s="166">
        <v>4</v>
      </c>
      <c r="P893" s="166">
        <v>2</v>
      </c>
      <c r="R893" s="165" t="s">
        <v>1186</v>
      </c>
      <c r="S893" s="81" t="s">
        <v>113</v>
      </c>
      <c r="T893" s="349">
        <v>42423</v>
      </c>
      <c r="U893" s="349">
        <v>42478</v>
      </c>
      <c r="W893" s="81" t="s">
        <v>114</v>
      </c>
      <c r="Y893" s="81" t="s">
        <v>115</v>
      </c>
      <c r="Z893" s="81" t="s">
        <v>398</v>
      </c>
      <c r="AA893" s="81" t="s">
        <v>117</v>
      </c>
      <c r="AB893" s="81" t="s">
        <v>218</v>
      </c>
      <c r="AC893" s="166">
        <v>4.9999998882412902E-3</v>
      </c>
      <c r="AG893" s="81" t="s">
        <v>238</v>
      </c>
      <c r="AH893" s="81" t="s">
        <v>118</v>
      </c>
      <c r="AK893" s="166">
        <v>0</v>
      </c>
      <c r="AM893" s="166">
        <v>0</v>
      </c>
      <c r="AO893" s="166">
        <v>0</v>
      </c>
      <c r="AP893" s="166">
        <v>2</v>
      </c>
      <c r="AQ893" s="166">
        <v>0</v>
      </c>
      <c r="AR893" s="166">
        <v>0</v>
      </c>
      <c r="AS893" s="166">
        <v>0</v>
      </c>
      <c r="AT893" s="166">
        <v>0</v>
      </c>
      <c r="AU893" s="166">
        <v>0</v>
      </c>
      <c r="AV893" s="166">
        <v>0</v>
      </c>
      <c r="AW893" s="166">
        <v>2</v>
      </c>
      <c r="AX893" s="166">
        <v>0</v>
      </c>
      <c r="AY893" s="166">
        <v>0</v>
      </c>
      <c r="AZ893" s="166">
        <v>0</v>
      </c>
      <c r="BA893" s="166">
        <v>0</v>
      </c>
      <c r="BB893" s="166">
        <v>0</v>
      </c>
      <c r="BC893" s="166">
        <v>0</v>
      </c>
      <c r="BD893" s="166">
        <v>0</v>
      </c>
      <c r="BE893" s="166">
        <v>0</v>
      </c>
      <c r="BF893" s="166">
        <v>0</v>
      </c>
      <c r="BG893" s="166">
        <v>0</v>
      </c>
      <c r="BH893" s="166">
        <v>0</v>
      </c>
      <c r="BI893" s="166">
        <v>0</v>
      </c>
      <c r="BJ893" s="166">
        <v>0</v>
      </c>
      <c r="BK893" s="166">
        <v>0</v>
      </c>
      <c r="BL893" s="166">
        <v>0</v>
      </c>
      <c r="BM893" s="166">
        <v>0</v>
      </c>
      <c r="BN893" s="166">
        <v>0</v>
      </c>
      <c r="BO893" s="166">
        <v>0</v>
      </c>
      <c r="BP893" s="166">
        <v>0</v>
      </c>
      <c r="BQ893" s="81" t="s">
        <v>1757</v>
      </c>
      <c r="BR893" s="81" t="s">
        <v>242</v>
      </c>
      <c r="BZ893" s="81" t="s">
        <v>155</v>
      </c>
      <c r="CA893" s="81" t="s">
        <v>1937</v>
      </c>
      <c r="CC893" s="167">
        <v>0</v>
      </c>
      <c r="CD893" s="167">
        <f>$N893/4</f>
        <v>0.5</v>
      </c>
      <c r="CE893" s="167">
        <f>$N893/4</f>
        <v>0.5</v>
      </c>
      <c r="CF893" s="167">
        <f>$N893/4</f>
        <v>0.5</v>
      </c>
      <c r="CG893" s="167">
        <f>$N893/4</f>
        <v>0.5</v>
      </c>
      <c r="CH893" s="167">
        <v>0</v>
      </c>
      <c r="CI893" s="167">
        <v>0</v>
      </c>
      <c r="CJ893" s="167">
        <v>0</v>
      </c>
      <c r="CK893" s="167">
        <v>0</v>
      </c>
      <c r="CL893" s="167">
        <v>0</v>
      </c>
      <c r="CM893" s="167">
        <v>0</v>
      </c>
      <c r="CN893" s="167">
        <v>0</v>
      </c>
      <c r="CO893" s="167">
        <v>0</v>
      </c>
      <c r="CP893" s="167">
        <v>0</v>
      </c>
      <c r="CQ893" s="167">
        <v>0</v>
      </c>
      <c r="CR893" s="167">
        <v>0</v>
      </c>
      <c r="CS893" s="167">
        <v>0</v>
      </c>
      <c r="CT893" s="167">
        <v>0</v>
      </c>
      <c r="CU893" s="167">
        <v>0</v>
      </c>
      <c r="CV893" s="167">
        <v>0</v>
      </c>
      <c r="CW893" s="167">
        <v>0</v>
      </c>
      <c r="CX893" s="167">
        <f>SUM(CD893:CH893)</f>
        <v>2</v>
      </c>
      <c r="CY893" s="167">
        <f>SUM(CD893:CM893)</f>
        <v>2</v>
      </c>
    </row>
    <row r="894" spans="1:103" ht="12.75" customHeight="1" x14ac:dyDescent="0.2">
      <c r="A894" s="81">
        <v>5960</v>
      </c>
      <c r="B894" s="165" t="s">
        <v>1930</v>
      </c>
      <c r="C894" s="165" t="s">
        <v>633</v>
      </c>
      <c r="E894" s="165" t="s">
        <v>2631</v>
      </c>
      <c r="G894" s="81">
        <v>528068</v>
      </c>
      <c r="H894" s="81">
        <v>176644</v>
      </c>
      <c r="I894" s="165" t="s">
        <v>240</v>
      </c>
      <c r="L894" s="166">
        <v>0</v>
      </c>
      <c r="M894" s="166">
        <v>2</v>
      </c>
      <c r="N894" s="166">
        <v>2</v>
      </c>
      <c r="O894" s="166">
        <v>2</v>
      </c>
      <c r="P894" s="166">
        <v>2</v>
      </c>
      <c r="R894" s="165" t="s">
        <v>634</v>
      </c>
      <c r="S894" s="81" t="s">
        <v>270</v>
      </c>
      <c r="T894" s="349">
        <v>42229</v>
      </c>
      <c r="U894" s="349">
        <v>42285</v>
      </c>
      <c r="W894" s="81" t="s">
        <v>114</v>
      </c>
      <c r="Y894" s="81" t="s">
        <v>115</v>
      </c>
      <c r="Z894" s="81" t="s">
        <v>310</v>
      </c>
      <c r="AA894" s="81" t="s">
        <v>117</v>
      </c>
      <c r="AB894" s="81" t="s">
        <v>399</v>
      </c>
      <c r="AC894" s="166">
        <v>5.4999999701976797E-2</v>
      </c>
      <c r="AG894" s="81" t="s">
        <v>238</v>
      </c>
      <c r="AH894" s="81" t="s">
        <v>118</v>
      </c>
      <c r="AK894" s="166">
        <v>0</v>
      </c>
      <c r="AM894" s="166">
        <v>0</v>
      </c>
      <c r="AO894" s="166">
        <v>0</v>
      </c>
      <c r="AP894" s="166">
        <v>0</v>
      </c>
      <c r="AQ894" s="166">
        <v>2</v>
      </c>
      <c r="AR894" s="166">
        <v>0</v>
      </c>
      <c r="AS894" s="166">
        <v>0</v>
      </c>
      <c r="AT894" s="166">
        <v>0</v>
      </c>
      <c r="AU894" s="166">
        <v>0</v>
      </c>
      <c r="AV894" s="166">
        <v>0</v>
      </c>
      <c r="AW894" s="166">
        <v>0</v>
      </c>
      <c r="AX894" s="166">
        <v>2</v>
      </c>
      <c r="AY894" s="166">
        <v>0</v>
      </c>
      <c r="AZ894" s="166">
        <v>0</v>
      </c>
      <c r="BA894" s="166">
        <v>0</v>
      </c>
      <c r="BB894" s="166">
        <v>0</v>
      </c>
      <c r="BC894" s="166">
        <v>0</v>
      </c>
      <c r="BD894" s="166">
        <v>0</v>
      </c>
      <c r="BE894" s="166">
        <v>0</v>
      </c>
      <c r="BF894" s="166">
        <v>0</v>
      </c>
      <c r="BG894" s="166">
        <v>0</v>
      </c>
      <c r="BH894" s="166">
        <v>0</v>
      </c>
      <c r="BI894" s="166">
        <v>0</v>
      </c>
      <c r="BJ894" s="166">
        <v>0</v>
      </c>
      <c r="BK894" s="166">
        <v>0</v>
      </c>
      <c r="BL894" s="166">
        <v>0</v>
      </c>
      <c r="BM894" s="166">
        <v>0</v>
      </c>
      <c r="BN894" s="166">
        <v>0</v>
      </c>
      <c r="BO894" s="166">
        <v>0</v>
      </c>
      <c r="BP894" s="166">
        <v>0</v>
      </c>
      <c r="BQ894" s="81" t="s">
        <v>1757</v>
      </c>
      <c r="BZ894" s="81" t="s">
        <v>155</v>
      </c>
      <c r="CA894" s="81" t="s">
        <v>1937</v>
      </c>
      <c r="CC894" s="167">
        <v>0</v>
      </c>
      <c r="CD894" s="167">
        <f>$N894/4</f>
        <v>0.5</v>
      </c>
      <c r="CE894" s="167">
        <f>$N894/4</f>
        <v>0.5</v>
      </c>
      <c r="CF894" s="167">
        <f>$N894/4</f>
        <v>0.5</v>
      </c>
      <c r="CG894" s="167">
        <f>$N894/4</f>
        <v>0.5</v>
      </c>
      <c r="CH894" s="167">
        <v>0</v>
      </c>
      <c r="CI894" s="167">
        <v>0</v>
      </c>
      <c r="CJ894" s="167">
        <v>0</v>
      </c>
      <c r="CK894" s="167">
        <v>0</v>
      </c>
      <c r="CL894" s="167">
        <v>0</v>
      </c>
      <c r="CM894" s="167">
        <v>0</v>
      </c>
      <c r="CN894" s="167">
        <v>0</v>
      </c>
      <c r="CO894" s="167">
        <v>0</v>
      </c>
      <c r="CP894" s="167">
        <v>0</v>
      </c>
      <c r="CQ894" s="167">
        <v>0</v>
      </c>
      <c r="CR894" s="167">
        <v>0</v>
      </c>
      <c r="CS894" s="167">
        <v>0</v>
      </c>
      <c r="CT894" s="167">
        <v>0</v>
      </c>
      <c r="CU894" s="167">
        <v>0</v>
      </c>
      <c r="CV894" s="167">
        <v>0</v>
      </c>
      <c r="CW894" s="167">
        <v>0</v>
      </c>
      <c r="CX894" s="167">
        <f>SUM(CD894:CH894)</f>
        <v>2</v>
      </c>
      <c r="CY894" s="167">
        <f>SUM(CD894:CM894)</f>
        <v>2</v>
      </c>
    </row>
    <row r="895" spans="1:103" ht="12.75" customHeight="1" x14ac:dyDescent="0.2">
      <c r="A895" s="81">
        <v>5961</v>
      </c>
      <c r="B895" s="165" t="s">
        <v>1930</v>
      </c>
      <c r="C895" s="165" t="s">
        <v>596</v>
      </c>
      <c r="E895" s="165" t="s">
        <v>2632</v>
      </c>
      <c r="G895" s="81">
        <v>523197</v>
      </c>
      <c r="H895" s="81">
        <v>175814</v>
      </c>
      <c r="I895" s="165" t="s">
        <v>259</v>
      </c>
      <c r="L895" s="166">
        <v>0</v>
      </c>
      <c r="M895" s="166">
        <v>1</v>
      </c>
      <c r="N895" s="166">
        <v>1</v>
      </c>
      <c r="O895" s="166">
        <v>1</v>
      </c>
      <c r="P895" s="166">
        <v>1</v>
      </c>
      <c r="R895" s="165" t="s">
        <v>562</v>
      </c>
      <c r="S895" s="81" t="s">
        <v>110</v>
      </c>
      <c r="T895" s="349">
        <v>42186</v>
      </c>
      <c r="U895" s="349">
        <v>42242</v>
      </c>
      <c r="W895" s="81" t="s">
        <v>114</v>
      </c>
      <c r="Y895" s="81" t="s">
        <v>115</v>
      </c>
      <c r="Z895" s="81" t="s">
        <v>310</v>
      </c>
      <c r="AA895" s="81" t="s">
        <v>117</v>
      </c>
      <c r="AB895" s="81" t="s">
        <v>399</v>
      </c>
      <c r="AC895" s="166">
        <v>6.0000000521540598E-3</v>
      </c>
      <c r="AG895" s="81" t="s">
        <v>238</v>
      </c>
      <c r="AH895" s="81" t="s">
        <v>118</v>
      </c>
      <c r="AK895" s="166">
        <v>0</v>
      </c>
      <c r="AM895" s="166">
        <v>0</v>
      </c>
      <c r="AO895" s="166">
        <v>0</v>
      </c>
      <c r="AP895" s="166">
        <v>0</v>
      </c>
      <c r="AQ895" s="166">
        <v>1</v>
      </c>
      <c r="AR895" s="166">
        <v>0</v>
      </c>
      <c r="AS895" s="166">
        <v>0</v>
      </c>
      <c r="AT895" s="166">
        <v>0</v>
      </c>
      <c r="AU895" s="166">
        <v>0</v>
      </c>
      <c r="AV895" s="166">
        <v>0</v>
      </c>
      <c r="AW895" s="166">
        <v>0</v>
      </c>
      <c r="AX895" s="166">
        <v>1</v>
      </c>
      <c r="AY895" s="166">
        <v>0</v>
      </c>
      <c r="AZ895" s="166">
        <v>0</v>
      </c>
      <c r="BA895" s="166">
        <v>0</v>
      </c>
      <c r="BB895" s="166">
        <v>0</v>
      </c>
      <c r="BC895" s="166">
        <v>0</v>
      </c>
      <c r="BD895" s="166">
        <v>0</v>
      </c>
      <c r="BE895" s="166">
        <v>0</v>
      </c>
      <c r="BF895" s="166">
        <v>0</v>
      </c>
      <c r="BG895" s="166">
        <v>0</v>
      </c>
      <c r="BH895" s="166">
        <v>0</v>
      </c>
      <c r="BI895" s="166">
        <v>0</v>
      </c>
      <c r="BJ895" s="166">
        <v>0</v>
      </c>
      <c r="BK895" s="166">
        <v>0</v>
      </c>
      <c r="BL895" s="166">
        <v>0</v>
      </c>
      <c r="BM895" s="166">
        <v>0</v>
      </c>
      <c r="BN895" s="166">
        <v>0</v>
      </c>
      <c r="BO895" s="166">
        <v>0</v>
      </c>
      <c r="BP895" s="166">
        <v>0</v>
      </c>
      <c r="BQ895" s="81" t="s">
        <v>1758</v>
      </c>
      <c r="BZ895" s="81" t="s">
        <v>155</v>
      </c>
      <c r="CA895" s="81" t="s">
        <v>1937</v>
      </c>
      <c r="CC895" s="167">
        <v>0</v>
      </c>
      <c r="CD895" s="167">
        <f>$N895/4</f>
        <v>0.25</v>
      </c>
      <c r="CE895" s="167">
        <f>$N895/4</f>
        <v>0.25</v>
      </c>
      <c r="CF895" s="167">
        <f>$N895/4</f>
        <v>0.25</v>
      </c>
      <c r="CG895" s="167">
        <f>$N895/4</f>
        <v>0.25</v>
      </c>
      <c r="CH895" s="167">
        <v>0</v>
      </c>
      <c r="CI895" s="167">
        <v>0</v>
      </c>
      <c r="CJ895" s="167">
        <v>0</v>
      </c>
      <c r="CK895" s="167">
        <v>0</v>
      </c>
      <c r="CL895" s="167">
        <v>0</v>
      </c>
      <c r="CM895" s="167">
        <v>0</v>
      </c>
      <c r="CN895" s="167">
        <v>0</v>
      </c>
      <c r="CO895" s="167">
        <v>0</v>
      </c>
      <c r="CP895" s="167">
        <v>0</v>
      </c>
      <c r="CQ895" s="167">
        <v>0</v>
      </c>
      <c r="CR895" s="167">
        <v>0</v>
      </c>
      <c r="CS895" s="167">
        <v>0</v>
      </c>
      <c r="CT895" s="167">
        <v>0</v>
      </c>
      <c r="CU895" s="167">
        <v>0</v>
      </c>
      <c r="CV895" s="167">
        <v>0</v>
      </c>
      <c r="CW895" s="167">
        <v>0</v>
      </c>
      <c r="CX895" s="167">
        <f>SUM(CD895:CH895)</f>
        <v>1</v>
      </c>
      <c r="CY895" s="167">
        <f>SUM(CD895:CM895)</f>
        <v>1</v>
      </c>
    </row>
    <row r="896" spans="1:103" ht="12.75" customHeight="1" x14ac:dyDescent="0.2">
      <c r="A896" s="81">
        <v>5963</v>
      </c>
      <c r="B896" s="165" t="s">
        <v>1930</v>
      </c>
      <c r="C896" s="165" t="s">
        <v>628</v>
      </c>
      <c r="E896" s="165" t="s">
        <v>2633</v>
      </c>
      <c r="G896" s="81">
        <v>523225</v>
      </c>
      <c r="H896" s="81">
        <v>175820</v>
      </c>
      <c r="I896" s="165" t="s">
        <v>259</v>
      </c>
      <c r="L896" s="166">
        <v>0</v>
      </c>
      <c r="M896" s="166">
        <v>1</v>
      </c>
      <c r="N896" s="166">
        <v>1</v>
      </c>
      <c r="O896" s="166">
        <v>1</v>
      </c>
      <c r="P896" s="166">
        <v>1</v>
      </c>
      <c r="R896" s="165" t="s">
        <v>562</v>
      </c>
      <c r="S896" s="81" t="s">
        <v>110</v>
      </c>
      <c r="T896" s="349">
        <v>42265</v>
      </c>
      <c r="U896" s="349">
        <v>42321</v>
      </c>
      <c r="W896" s="81" t="s">
        <v>114</v>
      </c>
      <c r="Y896" s="81" t="s">
        <v>115</v>
      </c>
      <c r="Z896" s="81" t="s">
        <v>310</v>
      </c>
      <c r="AA896" s="81" t="s">
        <v>117</v>
      </c>
      <c r="AB896" s="81" t="s">
        <v>399</v>
      </c>
      <c r="AC896" s="166">
        <v>4.6999998390674598E-2</v>
      </c>
      <c r="AG896" s="81" t="s">
        <v>238</v>
      </c>
      <c r="AH896" s="81" t="s">
        <v>118</v>
      </c>
      <c r="AK896" s="166">
        <v>0</v>
      </c>
      <c r="AM896" s="166">
        <v>0</v>
      </c>
      <c r="AO896" s="166">
        <v>0</v>
      </c>
      <c r="AP896" s="166">
        <v>0</v>
      </c>
      <c r="AQ896" s="166">
        <v>1</v>
      </c>
      <c r="AR896" s="166">
        <v>0</v>
      </c>
      <c r="AS896" s="166">
        <v>0</v>
      </c>
      <c r="AT896" s="166">
        <v>0</v>
      </c>
      <c r="AU896" s="166">
        <v>0</v>
      </c>
      <c r="AV896" s="166">
        <v>0</v>
      </c>
      <c r="AW896" s="166">
        <v>0</v>
      </c>
      <c r="AX896" s="166">
        <v>1</v>
      </c>
      <c r="AY896" s="166">
        <v>0</v>
      </c>
      <c r="AZ896" s="166">
        <v>0</v>
      </c>
      <c r="BA896" s="166">
        <v>0</v>
      </c>
      <c r="BB896" s="166">
        <v>0</v>
      </c>
      <c r="BC896" s="166">
        <v>0</v>
      </c>
      <c r="BD896" s="166">
        <v>0</v>
      </c>
      <c r="BE896" s="166">
        <v>0</v>
      </c>
      <c r="BF896" s="166">
        <v>0</v>
      </c>
      <c r="BG896" s="166">
        <v>0</v>
      </c>
      <c r="BH896" s="166">
        <v>0</v>
      </c>
      <c r="BI896" s="166">
        <v>0</v>
      </c>
      <c r="BJ896" s="166">
        <v>0</v>
      </c>
      <c r="BK896" s="166">
        <v>0</v>
      </c>
      <c r="BL896" s="166">
        <v>0</v>
      </c>
      <c r="BM896" s="166">
        <v>0</v>
      </c>
      <c r="BN896" s="166">
        <v>0</v>
      </c>
      <c r="BO896" s="166">
        <v>0</v>
      </c>
      <c r="BP896" s="166">
        <v>0</v>
      </c>
      <c r="BQ896" s="81" t="s">
        <v>1758</v>
      </c>
      <c r="BZ896" s="81" t="s">
        <v>155</v>
      </c>
      <c r="CA896" s="81" t="s">
        <v>1937</v>
      </c>
      <c r="CC896" s="167">
        <v>0</v>
      </c>
      <c r="CD896" s="167">
        <f>$N896/4</f>
        <v>0.25</v>
      </c>
      <c r="CE896" s="167">
        <f>$N896/4</f>
        <v>0.25</v>
      </c>
      <c r="CF896" s="167">
        <f>$N896/4</f>
        <v>0.25</v>
      </c>
      <c r="CG896" s="167">
        <f>$N896/4</f>
        <v>0.25</v>
      </c>
      <c r="CH896" s="167">
        <v>0</v>
      </c>
      <c r="CI896" s="167">
        <v>0</v>
      </c>
      <c r="CJ896" s="167">
        <v>0</v>
      </c>
      <c r="CK896" s="167">
        <v>0</v>
      </c>
      <c r="CL896" s="167">
        <v>0</v>
      </c>
      <c r="CM896" s="167">
        <v>0</v>
      </c>
      <c r="CN896" s="167">
        <v>0</v>
      </c>
      <c r="CO896" s="167">
        <v>0</v>
      </c>
      <c r="CP896" s="167">
        <v>0</v>
      </c>
      <c r="CQ896" s="167">
        <v>0</v>
      </c>
      <c r="CR896" s="167">
        <v>0</v>
      </c>
      <c r="CS896" s="167">
        <v>0</v>
      </c>
      <c r="CT896" s="167">
        <v>0</v>
      </c>
      <c r="CU896" s="167">
        <v>0</v>
      </c>
      <c r="CV896" s="167">
        <v>0</v>
      </c>
      <c r="CW896" s="167">
        <v>0</v>
      </c>
      <c r="CX896" s="167">
        <f>SUM(CD896:CH896)</f>
        <v>1</v>
      </c>
      <c r="CY896" s="167">
        <f>SUM(CD896:CM896)</f>
        <v>1</v>
      </c>
    </row>
    <row r="897" spans="1:103" ht="12.75" customHeight="1" x14ac:dyDescent="0.2">
      <c r="A897" s="81">
        <v>5967</v>
      </c>
      <c r="B897" s="165" t="s">
        <v>1930</v>
      </c>
      <c r="C897" s="165" t="s">
        <v>539</v>
      </c>
      <c r="E897" s="165" t="s">
        <v>2634</v>
      </c>
      <c r="G897" s="81">
        <v>523256</v>
      </c>
      <c r="H897" s="81">
        <v>175751</v>
      </c>
      <c r="I897" s="165" t="s">
        <v>259</v>
      </c>
      <c r="L897" s="166">
        <v>2</v>
      </c>
      <c r="M897" s="166">
        <v>1</v>
      </c>
      <c r="N897" s="166">
        <v>-1</v>
      </c>
      <c r="O897" s="166">
        <v>1</v>
      </c>
      <c r="P897" s="166">
        <v>-1</v>
      </c>
      <c r="R897" s="165" t="s">
        <v>540</v>
      </c>
      <c r="S897" s="81" t="s">
        <v>113</v>
      </c>
      <c r="T897" s="349">
        <v>42107</v>
      </c>
      <c r="U897" s="349">
        <v>42170</v>
      </c>
      <c r="W897" s="81" t="s">
        <v>114</v>
      </c>
      <c r="Y897" s="81" t="s">
        <v>115</v>
      </c>
      <c r="Z897" s="81" t="s">
        <v>119</v>
      </c>
      <c r="AA897" s="81" t="s">
        <v>117</v>
      </c>
      <c r="AB897" s="81" t="s">
        <v>336</v>
      </c>
      <c r="AC897" s="166">
        <v>1.7999999225139601E-2</v>
      </c>
      <c r="AG897" s="81" t="s">
        <v>238</v>
      </c>
      <c r="AH897" s="81" t="s">
        <v>118</v>
      </c>
      <c r="AK897" s="166">
        <v>0</v>
      </c>
      <c r="AM897" s="166">
        <v>0</v>
      </c>
      <c r="AO897" s="166">
        <v>0</v>
      </c>
      <c r="AP897" s="166">
        <v>-1</v>
      </c>
      <c r="AQ897" s="166">
        <v>-1</v>
      </c>
      <c r="AR897" s="166">
        <v>0</v>
      </c>
      <c r="AS897" s="166">
        <v>1</v>
      </c>
      <c r="AT897" s="166">
        <v>0</v>
      </c>
      <c r="AU897" s="166">
        <v>0</v>
      </c>
      <c r="AV897" s="166">
        <v>0</v>
      </c>
      <c r="AW897" s="166">
        <v>-1</v>
      </c>
      <c r="AX897" s="166">
        <v>-1</v>
      </c>
      <c r="AY897" s="166">
        <v>0</v>
      </c>
      <c r="AZ897" s="166">
        <v>0</v>
      </c>
      <c r="BA897" s="166">
        <v>0</v>
      </c>
      <c r="BB897" s="166">
        <v>0</v>
      </c>
      <c r="BC897" s="166">
        <v>0</v>
      </c>
      <c r="BD897" s="166">
        <v>0</v>
      </c>
      <c r="BE897" s="166">
        <v>0</v>
      </c>
      <c r="BF897" s="166">
        <v>0</v>
      </c>
      <c r="BG897" s="166">
        <v>1</v>
      </c>
      <c r="BH897" s="166">
        <v>0</v>
      </c>
      <c r="BI897" s="166">
        <v>0</v>
      </c>
      <c r="BJ897" s="166">
        <v>0</v>
      </c>
      <c r="BK897" s="166">
        <v>0</v>
      </c>
      <c r="BL897" s="166">
        <v>0</v>
      </c>
      <c r="BM897" s="166">
        <v>0</v>
      </c>
      <c r="BN897" s="166">
        <v>0</v>
      </c>
      <c r="BO897" s="166">
        <v>0</v>
      </c>
      <c r="BP897" s="166">
        <v>0</v>
      </c>
      <c r="BQ897" s="81" t="s">
        <v>1758</v>
      </c>
      <c r="BZ897" s="81" t="s">
        <v>155</v>
      </c>
      <c r="CA897" s="81" t="s">
        <v>1937</v>
      </c>
      <c r="CC897" s="167">
        <v>0</v>
      </c>
      <c r="CD897" s="167">
        <f>$N897/4</f>
        <v>-0.25</v>
      </c>
      <c r="CE897" s="167">
        <f>$N897/4</f>
        <v>-0.25</v>
      </c>
      <c r="CF897" s="167">
        <f>$N897/4</f>
        <v>-0.25</v>
      </c>
      <c r="CG897" s="167">
        <f>$N897/4</f>
        <v>-0.25</v>
      </c>
      <c r="CH897" s="167">
        <v>0</v>
      </c>
      <c r="CI897" s="167">
        <v>0</v>
      </c>
      <c r="CJ897" s="167">
        <v>0</v>
      </c>
      <c r="CK897" s="167">
        <v>0</v>
      </c>
      <c r="CL897" s="167">
        <v>0</v>
      </c>
      <c r="CM897" s="167">
        <v>0</v>
      </c>
      <c r="CN897" s="167">
        <v>0</v>
      </c>
      <c r="CO897" s="167">
        <v>0</v>
      </c>
      <c r="CP897" s="167">
        <v>0</v>
      </c>
      <c r="CQ897" s="167">
        <v>0</v>
      </c>
      <c r="CR897" s="167">
        <v>0</v>
      </c>
      <c r="CS897" s="167">
        <v>0</v>
      </c>
      <c r="CT897" s="167">
        <v>0</v>
      </c>
      <c r="CU897" s="167">
        <v>0</v>
      </c>
      <c r="CV897" s="167">
        <v>0</v>
      </c>
      <c r="CW897" s="167">
        <v>0</v>
      </c>
      <c r="CX897" s="167">
        <f>SUM(CD897:CH897)</f>
        <v>-1</v>
      </c>
      <c r="CY897" s="167">
        <f>SUM(CD897:CM897)</f>
        <v>-1</v>
      </c>
    </row>
    <row r="898" spans="1:103" ht="12.75" customHeight="1" x14ac:dyDescent="0.2">
      <c r="A898" s="81">
        <v>5995</v>
      </c>
      <c r="B898" s="165" t="s">
        <v>1930</v>
      </c>
      <c r="C898" s="165" t="s">
        <v>570</v>
      </c>
      <c r="E898" s="165" t="s">
        <v>2635</v>
      </c>
      <c r="G898" s="81">
        <v>521248</v>
      </c>
      <c r="H898" s="81">
        <v>174669</v>
      </c>
      <c r="I898" s="165" t="s">
        <v>877</v>
      </c>
      <c r="L898" s="166">
        <v>1</v>
      </c>
      <c r="M898" s="166">
        <v>1</v>
      </c>
      <c r="N898" s="166">
        <v>0</v>
      </c>
      <c r="O898" s="166">
        <v>1</v>
      </c>
      <c r="P898" s="166">
        <v>0</v>
      </c>
      <c r="R898" s="165" t="s">
        <v>571</v>
      </c>
      <c r="S898" s="81" t="s">
        <v>113</v>
      </c>
      <c r="T898" s="349">
        <v>42159</v>
      </c>
      <c r="U898" s="349">
        <v>42213</v>
      </c>
      <c r="W898" s="81" t="s">
        <v>114</v>
      </c>
      <c r="Y898" s="81" t="s">
        <v>115</v>
      </c>
      <c r="Z898" s="81" t="s">
        <v>116</v>
      </c>
      <c r="AA898" s="81" t="s">
        <v>117</v>
      </c>
      <c r="AB898" s="81" t="s">
        <v>218</v>
      </c>
      <c r="AC898" s="166">
        <v>0.123000003397465</v>
      </c>
      <c r="AG898" s="81" t="s">
        <v>238</v>
      </c>
      <c r="AH898" s="81" t="s">
        <v>118</v>
      </c>
      <c r="AK898" s="166">
        <v>1</v>
      </c>
      <c r="AM898" s="166">
        <v>0</v>
      </c>
      <c r="AO898" s="166">
        <v>0</v>
      </c>
      <c r="AP898" s="166">
        <v>0</v>
      </c>
      <c r="AQ898" s="166">
        <v>0</v>
      </c>
      <c r="AR898" s="166">
        <v>0</v>
      </c>
      <c r="AS898" s="166">
        <v>0</v>
      </c>
      <c r="AT898" s="166">
        <v>0</v>
      </c>
      <c r="AU898" s="166">
        <v>0</v>
      </c>
      <c r="AV898" s="166">
        <v>0</v>
      </c>
      <c r="AW898" s="166">
        <v>0</v>
      </c>
      <c r="AX898" s="166">
        <v>0</v>
      </c>
      <c r="AY898" s="166">
        <v>0</v>
      </c>
      <c r="AZ898" s="166">
        <v>0</v>
      </c>
      <c r="BA898" s="166">
        <v>0</v>
      </c>
      <c r="BB898" s="166">
        <v>0</v>
      </c>
      <c r="BC898" s="166">
        <v>0</v>
      </c>
      <c r="BD898" s="166">
        <v>0</v>
      </c>
      <c r="BE898" s="166">
        <v>0</v>
      </c>
      <c r="BF898" s="166">
        <v>0</v>
      </c>
      <c r="BG898" s="166">
        <v>0</v>
      </c>
      <c r="BH898" s="166">
        <v>0</v>
      </c>
      <c r="BI898" s="166">
        <v>0</v>
      </c>
      <c r="BJ898" s="166">
        <v>0</v>
      </c>
      <c r="BK898" s="166">
        <v>0</v>
      </c>
      <c r="BL898" s="166">
        <v>0</v>
      </c>
      <c r="BM898" s="166">
        <v>0</v>
      </c>
      <c r="BN898" s="166">
        <v>0</v>
      </c>
      <c r="BO898" s="166">
        <v>0</v>
      </c>
      <c r="BP898" s="166">
        <v>0</v>
      </c>
      <c r="BQ898" s="81" t="s">
        <v>1758</v>
      </c>
      <c r="BZ898" s="81" t="s">
        <v>155</v>
      </c>
      <c r="CA898" s="81">
        <v>4</v>
      </c>
      <c r="CC898" s="167">
        <v>0</v>
      </c>
      <c r="CD898" s="167">
        <v>0</v>
      </c>
      <c r="CE898" s="167">
        <f>$N898/4</f>
        <v>0</v>
      </c>
      <c r="CF898" s="167">
        <f>$N898/4</f>
        <v>0</v>
      </c>
      <c r="CG898" s="167">
        <f>$N898/4</f>
        <v>0</v>
      </c>
      <c r="CH898" s="167">
        <f>$N898/4</f>
        <v>0</v>
      </c>
      <c r="CI898" s="167">
        <v>0</v>
      </c>
      <c r="CJ898" s="167">
        <v>0</v>
      </c>
      <c r="CK898" s="167">
        <v>0</v>
      </c>
      <c r="CL898" s="167">
        <v>0</v>
      </c>
      <c r="CM898" s="167">
        <v>0</v>
      </c>
      <c r="CN898" s="167">
        <v>0</v>
      </c>
      <c r="CO898" s="167">
        <v>0</v>
      </c>
      <c r="CP898" s="167">
        <v>0</v>
      </c>
      <c r="CQ898" s="167">
        <v>0</v>
      </c>
      <c r="CR898" s="167">
        <v>0</v>
      </c>
      <c r="CS898" s="167">
        <v>0</v>
      </c>
      <c r="CT898" s="167">
        <v>0</v>
      </c>
      <c r="CU898" s="167">
        <v>0</v>
      </c>
      <c r="CV898" s="167">
        <v>0</v>
      </c>
      <c r="CW898" s="167">
        <v>0</v>
      </c>
      <c r="CX898" s="167">
        <f>SUM(CD898:CH898)</f>
        <v>0</v>
      </c>
      <c r="CY898" s="167">
        <f>SUM(CD898:CM898)</f>
        <v>0</v>
      </c>
    </row>
    <row r="899" spans="1:103" ht="12.75" customHeight="1" x14ac:dyDescent="0.2">
      <c r="A899" s="81">
        <v>5996</v>
      </c>
      <c r="B899" s="165" t="s">
        <v>1930</v>
      </c>
      <c r="C899" s="165" t="s">
        <v>2636</v>
      </c>
      <c r="E899" s="165" t="s">
        <v>2637</v>
      </c>
      <c r="G899" s="81">
        <v>527571</v>
      </c>
      <c r="H899" s="81">
        <v>171743</v>
      </c>
      <c r="I899" s="165" t="s">
        <v>242</v>
      </c>
      <c r="L899" s="166">
        <v>0</v>
      </c>
      <c r="M899" s="166">
        <v>3</v>
      </c>
      <c r="N899" s="166">
        <v>3</v>
      </c>
      <c r="O899" s="166">
        <v>3</v>
      </c>
      <c r="P899" s="166">
        <v>3</v>
      </c>
      <c r="R899" s="165" t="s">
        <v>2638</v>
      </c>
      <c r="S899" s="81" t="s">
        <v>113</v>
      </c>
      <c r="T899" s="349">
        <v>42873</v>
      </c>
      <c r="U899" s="349">
        <v>43032</v>
      </c>
      <c r="V899" s="81" t="s">
        <v>155</v>
      </c>
      <c r="W899" s="81" t="s">
        <v>114</v>
      </c>
      <c r="Y899" s="81" t="s">
        <v>115</v>
      </c>
      <c r="Z899" s="81" t="s">
        <v>116</v>
      </c>
      <c r="AA899" s="81" t="s">
        <v>117</v>
      </c>
      <c r="AB899" s="81" t="s">
        <v>218</v>
      </c>
      <c r="AC899" s="166">
        <v>1.2000000104308101E-2</v>
      </c>
      <c r="AG899" s="81" t="s">
        <v>238</v>
      </c>
      <c r="AH899" s="81" t="s">
        <v>118</v>
      </c>
      <c r="AK899" s="166">
        <v>3</v>
      </c>
      <c r="AM899" s="166">
        <v>0</v>
      </c>
      <c r="AO899" s="166">
        <v>0</v>
      </c>
      <c r="AP899" s="166">
        <v>2</v>
      </c>
      <c r="AQ899" s="166">
        <v>1</v>
      </c>
      <c r="AR899" s="166">
        <v>0</v>
      </c>
      <c r="AS899" s="166">
        <v>0</v>
      </c>
      <c r="AT899" s="166">
        <v>0</v>
      </c>
      <c r="AU899" s="166">
        <v>0</v>
      </c>
      <c r="AV899" s="166">
        <v>0</v>
      </c>
      <c r="AW899" s="166">
        <v>2</v>
      </c>
      <c r="AX899" s="166">
        <v>1</v>
      </c>
      <c r="AY899" s="166">
        <v>0</v>
      </c>
      <c r="AZ899" s="166">
        <v>0</v>
      </c>
      <c r="BA899" s="166">
        <v>0</v>
      </c>
      <c r="BB899" s="166">
        <v>0</v>
      </c>
      <c r="BC899" s="166">
        <v>0</v>
      </c>
      <c r="BD899" s="166">
        <v>0</v>
      </c>
      <c r="BE899" s="166">
        <v>0</v>
      </c>
      <c r="BF899" s="166">
        <v>0</v>
      </c>
      <c r="BG899" s="166">
        <v>0</v>
      </c>
      <c r="BH899" s="166">
        <v>0</v>
      </c>
      <c r="BI899" s="166">
        <v>0</v>
      </c>
      <c r="BJ899" s="166">
        <v>0</v>
      </c>
      <c r="BK899" s="166">
        <v>0</v>
      </c>
      <c r="BL899" s="166">
        <v>0</v>
      </c>
      <c r="BM899" s="166">
        <v>0</v>
      </c>
      <c r="BN899" s="166">
        <v>0</v>
      </c>
      <c r="BO899" s="166">
        <v>0</v>
      </c>
      <c r="BP899" s="166">
        <v>0</v>
      </c>
      <c r="BQ899" s="81" t="s">
        <v>1757</v>
      </c>
      <c r="BZ899" s="81" t="s">
        <v>155</v>
      </c>
      <c r="CA899" s="81">
        <v>4</v>
      </c>
      <c r="CC899" s="167">
        <v>0</v>
      </c>
      <c r="CD899" s="167">
        <v>0</v>
      </c>
      <c r="CE899" s="167">
        <f>$N899/4</f>
        <v>0.75</v>
      </c>
      <c r="CF899" s="167">
        <f>$N899/4</f>
        <v>0.75</v>
      </c>
      <c r="CG899" s="167">
        <f>$N899/4</f>
        <v>0.75</v>
      </c>
      <c r="CH899" s="167">
        <f>$N899/4</f>
        <v>0.75</v>
      </c>
      <c r="CI899" s="167">
        <v>0</v>
      </c>
      <c r="CJ899" s="167">
        <v>0</v>
      </c>
      <c r="CK899" s="167">
        <v>0</v>
      </c>
      <c r="CL899" s="167">
        <v>0</v>
      </c>
      <c r="CM899" s="167">
        <v>0</v>
      </c>
      <c r="CN899" s="167">
        <v>0</v>
      </c>
      <c r="CO899" s="167">
        <v>0</v>
      </c>
      <c r="CP899" s="167">
        <v>0</v>
      </c>
      <c r="CQ899" s="167">
        <v>0</v>
      </c>
      <c r="CR899" s="167">
        <v>0</v>
      </c>
      <c r="CS899" s="167">
        <v>0</v>
      </c>
      <c r="CT899" s="167">
        <v>0</v>
      </c>
      <c r="CU899" s="167">
        <v>0</v>
      </c>
      <c r="CV899" s="167">
        <v>0</v>
      </c>
      <c r="CW899" s="167">
        <v>0</v>
      </c>
      <c r="CX899" s="167">
        <f>SUM(CD899:CH899)</f>
        <v>3</v>
      </c>
      <c r="CY899" s="167">
        <f>SUM(CD899:CM899)</f>
        <v>3</v>
      </c>
    </row>
    <row r="900" spans="1:103" ht="12.75" customHeight="1" x14ac:dyDescent="0.2">
      <c r="A900" s="81">
        <v>5999</v>
      </c>
      <c r="B900" s="165" t="s">
        <v>1930</v>
      </c>
      <c r="C900" s="165" t="s">
        <v>582</v>
      </c>
      <c r="E900" s="165" t="s">
        <v>2639</v>
      </c>
      <c r="G900" s="81">
        <v>526961</v>
      </c>
      <c r="H900" s="81">
        <v>174225</v>
      </c>
      <c r="I900" s="165" t="s">
        <v>260</v>
      </c>
      <c r="L900" s="166">
        <v>0</v>
      </c>
      <c r="M900" s="166">
        <v>1</v>
      </c>
      <c r="N900" s="166">
        <v>1</v>
      </c>
      <c r="O900" s="166">
        <v>1</v>
      </c>
      <c r="P900" s="166">
        <v>1</v>
      </c>
      <c r="R900" s="165" t="s">
        <v>583</v>
      </c>
      <c r="S900" s="81" t="s">
        <v>113</v>
      </c>
      <c r="T900" s="349">
        <v>42177</v>
      </c>
      <c r="U900" s="349">
        <v>42296</v>
      </c>
      <c r="W900" s="81" t="s">
        <v>114</v>
      </c>
      <c r="Y900" s="81" t="s">
        <v>115</v>
      </c>
      <c r="Z900" s="81" t="s">
        <v>116</v>
      </c>
      <c r="AA900" s="81" t="s">
        <v>117</v>
      </c>
      <c r="AB900" s="81" t="s">
        <v>218</v>
      </c>
      <c r="AC900" s="166">
        <v>8.9999996125698107E-3</v>
      </c>
      <c r="AG900" s="81" t="s">
        <v>238</v>
      </c>
      <c r="AH900" s="81" t="s">
        <v>118</v>
      </c>
      <c r="AK900" s="166">
        <v>1</v>
      </c>
      <c r="AM900" s="166">
        <v>0</v>
      </c>
      <c r="AO900" s="166">
        <v>0</v>
      </c>
      <c r="AP900" s="166">
        <v>0</v>
      </c>
      <c r="AQ900" s="166">
        <v>1</v>
      </c>
      <c r="AR900" s="166">
        <v>0</v>
      </c>
      <c r="AS900" s="166">
        <v>0</v>
      </c>
      <c r="AT900" s="166">
        <v>0</v>
      </c>
      <c r="AU900" s="166">
        <v>0</v>
      </c>
      <c r="AV900" s="166">
        <v>0</v>
      </c>
      <c r="AW900" s="166">
        <v>0</v>
      </c>
      <c r="AX900" s="166">
        <v>0</v>
      </c>
      <c r="AY900" s="166">
        <v>0</v>
      </c>
      <c r="AZ900" s="166">
        <v>0</v>
      </c>
      <c r="BA900" s="166">
        <v>0</v>
      </c>
      <c r="BB900" s="166">
        <v>0</v>
      </c>
      <c r="BC900" s="166">
        <v>0</v>
      </c>
      <c r="BD900" s="166">
        <v>0</v>
      </c>
      <c r="BE900" s="166">
        <v>1</v>
      </c>
      <c r="BF900" s="166">
        <v>0</v>
      </c>
      <c r="BG900" s="166">
        <v>0</v>
      </c>
      <c r="BH900" s="166">
        <v>0</v>
      </c>
      <c r="BI900" s="166">
        <v>0</v>
      </c>
      <c r="BJ900" s="166">
        <v>0</v>
      </c>
      <c r="BK900" s="166">
        <v>0</v>
      </c>
      <c r="BL900" s="166">
        <v>0</v>
      </c>
      <c r="BM900" s="166">
        <v>0</v>
      </c>
      <c r="BN900" s="166">
        <v>0</v>
      </c>
      <c r="BO900" s="166">
        <v>0</v>
      </c>
      <c r="BP900" s="166">
        <v>0</v>
      </c>
      <c r="BQ900" s="81" t="s">
        <v>1758</v>
      </c>
      <c r="BZ900" s="81" t="s">
        <v>155</v>
      </c>
      <c r="CA900" s="81">
        <v>4</v>
      </c>
      <c r="CC900" s="167">
        <v>0</v>
      </c>
      <c r="CD900" s="167">
        <v>0</v>
      </c>
      <c r="CE900" s="167">
        <f>$N900/4</f>
        <v>0.25</v>
      </c>
      <c r="CF900" s="167">
        <f>$N900/4</f>
        <v>0.25</v>
      </c>
      <c r="CG900" s="167">
        <f>$N900/4</f>
        <v>0.25</v>
      </c>
      <c r="CH900" s="167">
        <f>$N900/4</f>
        <v>0.25</v>
      </c>
      <c r="CI900" s="167">
        <v>0</v>
      </c>
      <c r="CJ900" s="167">
        <v>0</v>
      </c>
      <c r="CK900" s="167">
        <v>0</v>
      </c>
      <c r="CL900" s="167">
        <v>0</v>
      </c>
      <c r="CM900" s="167">
        <v>0</v>
      </c>
      <c r="CN900" s="167">
        <v>0</v>
      </c>
      <c r="CO900" s="167">
        <v>0</v>
      </c>
      <c r="CP900" s="167">
        <v>0</v>
      </c>
      <c r="CQ900" s="167">
        <v>0</v>
      </c>
      <c r="CR900" s="167">
        <v>0</v>
      </c>
      <c r="CS900" s="167">
        <v>0</v>
      </c>
      <c r="CT900" s="167">
        <v>0</v>
      </c>
      <c r="CU900" s="167">
        <v>0</v>
      </c>
      <c r="CV900" s="167">
        <v>0</v>
      </c>
      <c r="CW900" s="167">
        <v>0</v>
      </c>
      <c r="CX900" s="167">
        <f>SUM(CD900:CH900)</f>
        <v>1</v>
      </c>
      <c r="CY900" s="167">
        <f>SUM(CD900:CM900)</f>
        <v>1</v>
      </c>
    </row>
    <row r="901" spans="1:103" ht="12.75" customHeight="1" x14ac:dyDescent="0.2">
      <c r="A901" s="81">
        <v>6003</v>
      </c>
      <c r="B901" s="165" t="s">
        <v>1930</v>
      </c>
      <c r="C901" s="165" t="s">
        <v>566</v>
      </c>
      <c r="E901" s="165" t="s">
        <v>2640</v>
      </c>
      <c r="G901" s="81">
        <v>527825</v>
      </c>
      <c r="H901" s="81">
        <v>170600</v>
      </c>
      <c r="I901" s="165" t="s">
        <v>253</v>
      </c>
      <c r="L901" s="166">
        <v>0</v>
      </c>
      <c r="M901" s="166">
        <v>4</v>
      </c>
      <c r="N901" s="166">
        <v>4</v>
      </c>
      <c r="O901" s="166">
        <v>4</v>
      </c>
      <c r="P901" s="166">
        <v>4</v>
      </c>
      <c r="R901" s="165" t="s">
        <v>567</v>
      </c>
      <c r="S901" s="81" t="s">
        <v>113</v>
      </c>
      <c r="T901" s="349">
        <v>42135</v>
      </c>
      <c r="U901" s="349">
        <v>42276</v>
      </c>
      <c r="W901" s="81" t="s">
        <v>114</v>
      </c>
      <c r="Y901" s="81" t="s">
        <v>115</v>
      </c>
      <c r="Z901" s="81" t="s">
        <v>219</v>
      </c>
      <c r="AA901" s="81" t="s">
        <v>117</v>
      </c>
      <c r="AB901" s="81" t="s">
        <v>3889</v>
      </c>
      <c r="AC901" s="166">
        <v>2.3000000044703501E-2</v>
      </c>
      <c r="AG901" s="81" t="s">
        <v>154</v>
      </c>
      <c r="AH901" s="81" t="s">
        <v>312</v>
      </c>
      <c r="AK901" s="166">
        <v>0</v>
      </c>
      <c r="AM901" s="166">
        <v>0</v>
      </c>
      <c r="AO901" s="166">
        <v>0</v>
      </c>
      <c r="AP901" s="166">
        <v>4</v>
      </c>
      <c r="AQ901" s="166">
        <v>0</v>
      </c>
      <c r="AR901" s="166">
        <v>0</v>
      </c>
      <c r="AS901" s="166">
        <v>0</v>
      </c>
      <c r="AT901" s="166">
        <v>0</v>
      </c>
      <c r="AU901" s="166">
        <v>0</v>
      </c>
      <c r="AV901" s="166">
        <v>0</v>
      </c>
      <c r="AW901" s="166">
        <v>4</v>
      </c>
      <c r="AX901" s="166">
        <v>0</v>
      </c>
      <c r="AY901" s="166">
        <v>0</v>
      </c>
      <c r="AZ901" s="166">
        <v>0</v>
      </c>
      <c r="BA901" s="166">
        <v>0</v>
      </c>
      <c r="BB901" s="166">
        <v>0</v>
      </c>
      <c r="BC901" s="166">
        <v>0</v>
      </c>
      <c r="BD901" s="166">
        <v>0</v>
      </c>
      <c r="BE901" s="166">
        <v>0</v>
      </c>
      <c r="BF901" s="166">
        <v>0</v>
      </c>
      <c r="BG901" s="166">
        <v>0</v>
      </c>
      <c r="BH901" s="166">
        <v>0</v>
      </c>
      <c r="BI901" s="166">
        <v>0</v>
      </c>
      <c r="BJ901" s="166">
        <v>0</v>
      </c>
      <c r="BK901" s="166">
        <v>0</v>
      </c>
      <c r="BL901" s="166">
        <v>0</v>
      </c>
      <c r="BM901" s="166">
        <v>0</v>
      </c>
      <c r="BN901" s="166">
        <v>0</v>
      </c>
      <c r="BO901" s="166">
        <v>0</v>
      </c>
      <c r="BP901" s="166">
        <v>0</v>
      </c>
      <c r="BQ901" s="81" t="s">
        <v>1757</v>
      </c>
      <c r="BZ901" s="81" t="s">
        <v>155</v>
      </c>
      <c r="CA901" s="81" t="s">
        <v>1937</v>
      </c>
      <c r="CC901" s="167">
        <v>0</v>
      </c>
      <c r="CD901" s="167">
        <f>$N901/4</f>
        <v>1</v>
      </c>
      <c r="CE901" s="167">
        <f>$N901/4</f>
        <v>1</v>
      </c>
      <c r="CF901" s="167">
        <f>$N901/4</f>
        <v>1</v>
      </c>
      <c r="CG901" s="167">
        <f>$N901/4</f>
        <v>1</v>
      </c>
      <c r="CH901" s="167">
        <v>0</v>
      </c>
      <c r="CI901" s="167">
        <v>0</v>
      </c>
      <c r="CJ901" s="167">
        <v>0</v>
      </c>
      <c r="CK901" s="167">
        <v>0</v>
      </c>
      <c r="CL901" s="167">
        <v>0</v>
      </c>
      <c r="CM901" s="167">
        <v>0</v>
      </c>
      <c r="CN901" s="167">
        <v>0</v>
      </c>
      <c r="CO901" s="167">
        <v>0</v>
      </c>
      <c r="CP901" s="167">
        <v>0</v>
      </c>
      <c r="CQ901" s="167">
        <v>0</v>
      </c>
      <c r="CR901" s="167">
        <v>0</v>
      </c>
      <c r="CS901" s="167">
        <v>0</v>
      </c>
      <c r="CT901" s="167">
        <v>0</v>
      </c>
      <c r="CU901" s="167">
        <v>0</v>
      </c>
      <c r="CV901" s="167">
        <v>0</v>
      </c>
      <c r="CW901" s="167">
        <v>0</v>
      </c>
      <c r="CX901" s="167">
        <f>SUM(CD901:CH901)</f>
        <v>4</v>
      </c>
      <c r="CY901" s="167">
        <f>SUM(CD901:CM901)</f>
        <v>4</v>
      </c>
    </row>
    <row r="902" spans="1:103" ht="12.75" customHeight="1" x14ac:dyDescent="0.2">
      <c r="A902" s="81">
        <v>6008</v>
      </c>
      <c r="B902" s="165" t="s">
        <v>1930</v>
      </c>
      <c r="C902" s="165" t="s">
        <v>779</v>
      </c>
      <c r="E902" s="165" t="s">
        <v>2641</v>
      </c>
      <c r="G902" s="81">
        <v>527696</v>
      </c>
      <c r="H902" s="81">
        <v>175547</v>
      </c>
      <c r="I902" s="165" t="s">
        <v>256</v>
      </c>
      <c r="L902" s="166">
        <v>1</v>
      </c>
      <c r="M902" s="166">
        <v>3</v>
      </c>
      <c r="N902" s="166">
        <v>2</v>
      </c>
      <c r="O902" s="166">
        <v>3</v>
      </c>
      <c r="P902" s="166">
        <v>2</v>
      </c>
      <c r="R902" s="165" t="s">
        <v>1136</v>
      </c>
      <c r="S902" s="81" t="s">
        <v>113</v>
      </c>
      <c r="T902" s="349">
        <v>42177</v>
      </c>
      <c r="U902" s="349">
        <v>42355</v>
      </c>
      <c r="W902" s="81" t="s">
        <v>114</v>
      </c>
      <c r="Y902" s="81" t="s">
        <v>115</v>
      </c>
      <c r="Z902" s="81" t="s">
        <v>398</v>
      </c>
      <c r="AA902" s="81" t="s">
        <v>117</v>
      </c>
      <c r="AB902" s="81" t="s">
        <v>220</v>
      </c>
      <c r="AC902" s="166">
        <v>8.9999996125698107E-3</v>
      </c>
      <c r="AG902" s="81" t="s">
        <v>238</v>
      </c>
      <c r="AH902" s="81" t="s">
        <v>118</v>
      </c>
      <c r="AK902" s="166">
        <v>0</v>
      </c>
      <c r="AM902" s="166">
        <v>0</v>
      </c>
      <c r="AO902" s="166">
        <v>1</v>
      </c>
      <c r="AP902" s="166">
        <v>1</v>
      </c>
      <c r="AQ902" s="166">
        <v>1</v>
      </c>
      <c r="AR902" s="166">
        <v>0</v>
      </c>
      <c r="AS902" s="166">
        <v>-1</v>
      </c>
      <c r="AT902" s="166">
        <v>0</v>
      </c>
      <c r="AU902" s="166">
        <v>0</v>
      </c>
      <c r="AV902" s="166">
        <v>1</v>
      </c>
      <c r="AW902" s="166">
        <v>1</v>
      </c>
      <c r="AX902" s="166">
        <v>1</v>
      </c>
      <c r="AY902" s="166">
        <v>0</v>
      </c>
      <c r="AZ902" s="166">
        <v>-1</v>
      </c>
      <c r="BA902" s="166">
        <v>0</v>
      </c>
      <c r="BB902" s="166">
        <v>0</v>
      </c>
      <c r="BC902" s="166">
        <v>0</v>
      </c>
      <c r="BD902" s="166">
        <v>0</v>
      </c>
      <c r="BE902" s="166">
        <v>0</v>
      </c>
      <c r="BF902" s="166">
        <v>0</v>
      </c>
      <c r="BG902" s="166">
        <v>0</v>
      </c>
      <c r="BH902" s="166">
        <v>0</v>
      </c>
      <c r="BI902" s="166">
        <v>0</v>
      </c>
      <c r="BJ902" s="166">
        <v>0</v>
      </c>
      <c r="BK902" s="166">
        <v>0</v>
      </c>
      <c r="BL902" s="166">
        <v>0</v>
      </c>
      <c r="BM902" s="166">
        <v>0</v>
      </c>
      <c r="BN902" s="166">
        <v>0</v>
      </c>
      <c r="BO902" s="166">
        <v>0</v>
      </c>
      <c r="BP902" s="166">
        <v>0</v>
      </c>
      <c r="BQ902" s="81" t="s">
        <v>1757</v>
      </c>
      <c r="BR902" s="81" t="s">
        <v>160</v>
      </c>
      <c r="BZ902" s="81" t="s">
        <v>155</v>
      </c>
      <c r="CA902" s="81" t="s">
        <v>1937</v>
      </c>
      <c r="CC902" s="167">
        <v>0</v>
      </c>
      <c r="CD902" s="167">
        <f>$N902/4</f>
        <v>0.5</v>
      </c>
      <c r="CE902" s="167">
        <f>$N902/4</f>
        <v>0.5</v>
      </c>
      <c r="CF902" s="167">
        <f>$N902/4</f>
        <v>0.5</v>
      </c>
      <c r="CG902" s="167">
        <f>$N902/4</f>
        <v>0.5</v>
      </c>
      <c r="CH902" s="167">
        <v>0</v>
      </c>
      <c r="CI902" s="167">
        <v>0</v>
      </c>
      <c r="CJ902" s="167">
        <v>0</v>
      </c>
      <c r="CK902" s="167">
        <v>0</v>
      </c>
      <c r="CL902" s="167">
        <v>0</v>
      </c>
      <c r="CM902" s="167">
        <v>0</v>
      </c>
      <c r="CN902" s="167">
        <v>0</v>
      </c>
      <c r="CO902" s="167">
        <v>0</v>
      </c>
      <c r="CP902" s="167">
        <v>0</v>
      </c>
      <c r="CQ902" s="167">
        <v>0</v>
      </c>
      <c r="CR902" s="167">
        <v>0</v>
      </c>
      <c r="CS902" s="167">
        <v>0</v>
      </c>
      <c r="CT902" s="167">
        <v>0</v>
      </c>
      <c r="CU902" s="167">
        <v>0</v>
      </c>
      <c r="CV902" s="167">
        <v>0</v>
      </c>
      <c r="CW902" s="167">
        <v>0</v>
      </c>
      <c r="CX902" s="167">
        <f>SUM(CD902:CH902)</f>
        <v>2</v>
      </c>
      <c r="CY902" s="167">
        <f>SUM(CD902:CM902)</f>
        <v>2</v>
      </c>
    </row>
    <row r="903" spans="1:103" ht="12.75" customHeight="1" x14ac:dyDescent="0.2">
      <c r="A903" s="81">
        <v>6010</v>
      </c>
      <c r="B903" s="165" t="s">
        <v>1930</v>
      </c>
      <c r="C903" s="165" t="s">
        <v>730</v>
      </c>
      <c r="D903" s="165" t="s">
        <v>731</v>
      </c>
      <c r="E903" s="165" t="s">
        <v>2642</v>
      </c>
      <c r="G903" s="81">
        <v>526682</v>
      </c>
      <c r="H903" s="81">
        <v>173711</v>
      </c>
      <c r="I903" s="165" t="s">
        <v>260</v>
      </c>
      <c r="L903" s="166">
        <v>0</v>
      </c>
      <c r="M903" s="166">
        <v>2</v>
      </c>
      <c r="N903" s="166">
        <v>2</v>
      </c>
      <c r="O903" s="166">
        <v>2</v>
      </c>
      <c r="P903" s="166">
        <v>2</v>
      </c>
      <c r="R903" s="165" t="s">
        <v>1178</v>
      </c>
      <c r="S903" s="81" t="s">
        <v>113</v>
      </c>
      <c r="T903" s="349">
        <v>42389</v>
      </c>
      <c r="U903" s="349">
        <v>42453</v>
      </c>
      <c r="W903" s="81" t="s">
        <v>114</v>
      </c>
      <c r="Y903" s="81" t="s">
        <v>115</v>
      </c>
      <c r="Z903" s="81" t="s">
        <v>398</v>
      </c>
      <c r="AA903" s="81" t="s">
        <v>117</v>
      </c>
      <c r="AB903" s="81" t="s">
        <v>218</v>
      </c>
      <c r="AC903" s="166">
        <v>3.7999998778104803E-2</v>
      </c>
      <c r="AG903" s="81" t="s">
        <v>238</v>
      </c>
      <c r="AH903" s="81" t="s">
        <v>118</v>
      </c>
      <c r="AK903" s="166">
        <v>2</v>
      </c>
      <c r="AM903" s="166">
        <v>0</v>
      </c>
      <c r="AO903" s="166">
        <v>0</v>
      </c>
      <c r="AP903" s="166">
        <v>0</v>
      </c>
      <c r="AQ903" s="166">
        <v>0</v>
      </c>
      <c r="AR903" s="166">
        <v>0</v>
      </c>
      <c r="AS903" s="166">
        <v>2</v>
      </c>
      <c r="AT903" s="166">
        <v>0</v>
      </c>
      <c r="AU903" s="166">
        <v>0</v>
      </c>
      <c r="AV903" s="166">
        <v>0</v>
      </c>
      <c r="AW903" s="166">
        <v>0</v>
      </c>
      <c r="AX903" s="166">
        <v>0</v>
      </c>
      <c r="AY903" s="166">
        <v>0</v>
      </c>
      <c r="AZ903" s="166">
        <v>0</v>
      </c>
      <c r="BA903" s="166">
        <v>0</v>
      </c>
      <c r="BB903" s="166">
        <v>0</v>
      </c>
      <c r="BC903" s="166">
        <v>0</v>
      </c>
      <c r="BD903" s="166">
        <v>0</v>
      </c>
      <c r="BE903" s="166">
        <v>0</v>
      </c>
      <c r="BF903" s="166">
        <v>0</v>
      </c>
      <c r="BG903" s="166">
        <v>2</v>
      </c>
      <c r="BH903" s="166">
        <v>0</v>
      </c>
      <c r="BI903" s="166">
        <v>0</v>
      </c>
      <c r="BJ903" s="166">
        <v>0</v>
      </c>
      <c r="BK903" s="166">
        <v>0</v>
      </c>
      <c r="BL903" s="166">
        <v>0</v>
      </c>
      <c r="BM903" s="166">
        <v>0</v>
      </c>
      <c r="BN903" s="166">
        <v>0</v>
      </c>
      <c r="BO903" s="166">
        <v>0</v>
      </c>
      <c r="BP903" s="166">
        <v>0</v>
      </c>
      <c r="BQ903" s="81" t="s">
        <v>1758</v>
      </c>
      <c r="BZ903" s="81" t="s">
        <v>155</v>
      </c>
      <c r="CA903" s="81" t="s">
        <v>1937</v>
      </c>
      <c r="CC903" s="167">
        <v>0</v>
      </c>
      <c r="CD903" s="167">
        <f>$N903/4</f>
        <v>0.5</v>
      </c>
      <c r="CE903" s="167">
        <f>$N903/4</f>
        <v>0.5</v>
      </c>
      <c r="CF903" s="167">
        <f>$N903/4</f>
        <v>0.5</v>
      </c>
      <c r="CG903" s="167">
        <f>$N903/4</f>
        <v>0.5</v>
      </c>
      <c r="CH903" s="167">
        <v>0</v>
      </c>
      <c r="CI903" s="167">
        <v>0</v>
      </c>
      <c r="CJ903" s="167">
        <v>0</v>
      </c>
      <c r="CK903" s="167">
        <v>0</v>
      </c>
      <c r="CL903" s="167">
        <v>0</v>
      </c>
      <c r="CM903" s="167">
        <v>0</v>
      </c>
      <c r="CN903" s="167">
        <v>0</v>
      </c>
      <c r="CO903" s="167">
        <v>0</v>
      </c>
      <c r="CP903" s="167">
        <v>0</v>
      </c>
      <c r="CQ903" s="167">
        <v>0</v>
      </c>
      <c r="CR903" s="167">
        <v>0</v>
      </c>
      <c r="CS903" s="167">
        <v>0</v>
      </c>
      <c r="CT903" s="167">
        <v>0</v>
      </c>
      <c r="CU903" s="167">
        <v>0</v>
      </c>
      <c r="CV903" s="167">
        <v>0</v>
      </c>
      <c r="CW903" s="167">
        <v>0</v>
      </c>
      <c r="CX903" s="167">
        <f>SUM(CD903:CH903)</f>
        <v>2</v>
      </c>
      <c r="CY903" s="167">
        <f>SUM(CD903:CM903)</f>
        <v>2</v>
      </c>
    </row>
    <row r="904" spans="1:103" ht="12.75" customHeight="1" x14ac:dyDescent="0.2">
      <c r="A904" s="81">
        <v>6016</v>
      </c>
      <c r="B904" s="165" t="s">
        <v>1930</v>
      </c>
      <c r="C904" s="165" t="s">
        <v>1515</v>
      </c>
      <c r="E904" s="165" t="s">
        <v>2643</v>
      </c>
      <c r="G904" s="81">
        <v>525206</v>
      </c>
      <c r="H904" s="81">
        <v>173428</v>
      </c>
      <c r="I904" s="165" t="s">
        <v>258</v>
      </c>
      <c r="L904" s="166">
        <v>0</v>
      </c>
      <c r="M904" s="166">
        <v>2</v>
      </c>
      <c r="N904" s="166">
        <v>2</v>
      </c>
      <c r="O904" s="166">
        <v>2</v>
      </c>
      <c r="P904" s="166">
        <v>2</v>
      </c>
      <c r="R904" s="165" t="s">
        <v>1516</v>
      </c>
      <c r="S904" s="81" t="s">
        <v>110</v>
      </c>
      <c r="T904" s="349">
        <v>42746</v>
      </c>
      <c r="U904" s="349">
        <v>42802</v>
      </c>
      <c r="W904" s="81" t="s">
        <v>114</v>
      </c>
      <c r="Y904" s="81" t="s">
        <v>115</v>
      </c>
      <c r="Z904" s="81" t="s">
        <v>310</v>
      </c>
      <c r="AA904" s="81" t="s">
        <v>117</v>
      </c>
      <c r="AB904" s="81" t="s">
        <v>102</v>
      </c>
      <c r="AC904" s="166">
        <v>3.0000000260770299E-3</v>
      </c>
      <c r="AG904" s="81" t="s">
        <v>238</v>
      </c>
      <c r="AH904" s="81" t="s">
        <v>118</v>
      </c>
      <c r="AK904" s="166">
        <v>0</v>
      </c>
      <c r="AM904" s="166">
        <v>0</v>
      </c>
      <c r="AO904" s="166">
        <v>0</v>
      </c>
      <c r="AP904" s="166">
        <v>2</v>
      </c>
      <c r="AQ904" s="166">
        <v>0</v>
      </c>
      <c r="AR904" s="166">
        <v>0</v>
      </c>
      <c r="AS904" s="166">
        <v>0</v>
      </c>
      <c r="AT904" s="166">
        <v>0</v>
      </c>
      <c r="AU904" s="166">
        <v>0</v>
      </c>
      <c r="AV904" s="166">
        <v>0</v>
      </c>
      <c r="AW904" s="166">
        <v>2</v>
      </c>
      <c r="AX904" s="166">
        <v>0</v>
      </c>
      <c r="AY904" s="166">
        <v>0</v>
      </c>
      <c r="AZ904" s="166">
        <v>0</v>
      </c>
      <c r="BA904" s="166">
        <v>0</v>
      </c>
      <c r="BB904" s="166">
        <v>0</v>
      </c>
      <c r="BC904" s="166">
        <v>0</v>
      </c>
      <c r="BD904" s="166">
        <v>0</v>
      </c>
      <c r="BE904" s="166">
        <v>0</v>
      </c>
      <c r="BF904" s="166">
        <v>0</v>
      </c>
      <c r="BG904" s="166">
        <v>0</v>
      </c>
      <c r="BH904" s="166">
        <v>0</v>
      </c>
      <c r="BI904" s="166">
        <v>0</v>
      </c>
      <c r="BJ904" s="166">
        <v>0</v>
      </c>
      <c r="BK904" s="166">
        <v>0</v>
      </c>
      <c r="BL904" s="166">
        <v>0</v>
      </c>
      <c r="BM904" s="166">
        <v>0</v>
      </c>
      <c r="BN904" s="166">
        <v>0</v>
      </c>
      <c r="BO904" s="166">
        <v>0</v>
      </c>
      <c r="BP904" s="166">
        <v>0</v>
      </c>
      <c r="BQ904" s="81" t="s">
        <v>1758</v>
      </c>
      <c r="BZ904" s="81" t="s">
        <v>155</v>
      </c>
      <c r="CA904" s="81" t="s">
        <v>1937</v>
      </c>
      <c r="CC904" s="167">
        <v>0</v>
      </c>
      <c r="CD904" s="167">
        <f>$N904/4</f>
        <v>0.5</v>
      </c>
      <c r="CE904" s="167">
        <f>$N904/4</f>
        <v>0.5</v>
      </c>
      <c r="CF904" s="167">
        <f>$N904/4</f>
        <v>0.5</v>
      </c>
      <c r="CG904" s="167">
        <f>$N904/4</f>
        <v>0.5</v>
      </c>
      <c r="CH904" s="167">
        <v>0</v>
      </c>
      <c r="CI904" s="167">
        <v>0</v>
      </c>
      <c r="CJ904" s="167">
        <v>0</v>
      </c>
      <c r="CK904" s="167">
        <v>0</v>
      </c>
      <c r="CL904" s="167">
        <v>0</v>
      </c>
      <c r="CM904" s="167">
        <v>0</v>
      </c>
      <c r="CN904" s="167">
        <v>0</v>
      </c>
      <c r="CO904" s="167">
        <v>0</v>
      </c>
      <c r="CP904" s="167">
        <v>0</v>
      </c>
      <c r="CQ904" s="167">
        <v>0</v>
      </c>
      <c r="CR904" s="167">
        <v>0</v>
      </c>
      <c r="CS904" s="167">
        <v>0</v>
      </c>
      <c r="CT904" s="167">
        <v>0</v>
      </c>
      <c r="CU904" s="167">
        <v>0</v>
      </c>
      <c r="CV904" s="167">
        <v>0</v>
      </c>
      <c r="CW904" s="167">
        <v>0</v>
      </c>
      <c r="CX904" s="167">
        <f>SUM(CD904:CH904)</f>
        <v>2</v>
      </c>
      <c r="CY904" s="167">
        <f>SUM(CD904:CM904)</f>
        <v>2</v>
      </c>
    </row>
    <row r="905" spans="1:103" ht="12.75" customHeight="1" x14ac:dyDescent="0.2">
      <c r="A905" s="81">
        <v>6017</v>
      </c>
      <c r="B905" s="165" t="s">
        <v>1930</v>
      </c>
      <c r="C905" s="165" t="s">
        <v>1400</v>
      </c>
      <c r="E905" s="165" t="s">
        <v>2644</v>
      </c>
      <c r="G905" s="81">
        <v>527837</v>
      </c>
      <c r="H905" s="81">
        <v>172151</v>
      </c>
      <c r="I905" s="165" t="s">
        <v>242</v>
      </c>
      <c r="L905" s="166">
        <v>0</v>
      </c>
      <c r="M905" s="166">
        <v>1</v>
      </c>
      <c r="N905" s="166">
        <v>1</v>
      </c>
      <c r="O905" s="166">
        <v>1</v>
      </c>
      <c r="P905" s="166">
        <v>1</v>
      </c>
      <c r="R905" s="165" t="s">
        <v>1401</v>
      </c>
      <c r="S905" s="81" t="s">
        <v>113</v>
      </c>
      <c r="T905" s="349">
        <v>42615</v>
      </c>
      <c r="U905" s="349">
        <v>42702</v>
      </c>
      <c r="W905" s="81" t="s">
        <v>114</v>
      </c>
      <c r="Y905" s="81" t="s">
        <v>115</v>
      </c>
      <c r="Z905" s="81" t="s">
        <v>116</v>
      </c>
      <c r="AA905" s="81" t="s">
        <v>117</v>
      </c>
      <c r="AB905" s="81" t="s">
        <v>218</v>
      </c>
      <c r="AC905" s="166">
        <v>3.5999998450279201E-2</v>
      </c>
      <c r="AG905" s="81" t="s">
        <v>238</v>
      </c>
      <c r="AH905" s="81" t="s">
        <v>118</v>
      </c>
      <c r="AK905" s="166">
        <v>0</v>
      </c>
      <c r="AM905" s="166">
        <v>0</v>
      </c>
      <c r="AO905" s="166">
        <v>0</v>
      </c>
      <c r="AP905" s="166">
        <v>1</v>
      </c>
      <c r="AQ905" s="166">
        <v>0</v>
      </c>
      <c r="AR905" s="166">
        <v>0</v>
      </c>
      <c r="AS905" s="166">
        <v>0</v>
      </c>
      <c r="AT905" s="166">
        <v>0</v>
      </c>
      <c r="AU905" s="166">
        <v>0</v>
      </c>
      <c r="AV905" s="166">
        <v>0</v>
      </c>
      <c r="AW905" s="166">
        <v>0</v>
      </c>
      <c r="AX905" s="166">
        <v>0</v>
      </c>
      <c r="AY905" s="166">
        <v>0</v>
      </c>
      <c r="AZ905" s="166">
        <v>0</v>
      </c>
      <c r="BA905" s="166">
        <v>0</v>
      </c>
      <c r="BB905" s="166">
        <v>0</v>
      </c>
      <c r="BC905" s="166">
        <v>0</v>
      </c>
      <c r="BD905" s="166">
        <v>1</v>
      </c>
      <c r="BE905" s="166">
        <v>0</v>
      </c>
      <c r="BF905" s="166">
        <v>0</v>
      </c>
      <c r="BG905" s="166">
        <v>0</v>
      </c>
      <c r="BH905" s="166">
        <v>0</v>
      </c>
      <c r="BI905" s="166">
        <v>0</v>
      </c>
      <c r="BJ905" s="166">
        <v>0</v>
      </c>
      <c r="BK905" s="166">
        <v>0</v>
      </c>
      <c r="BL905" s="166">
        <v>0</v>
      </c>
      <c r="BM905" s="166">
        <v>0</v>
      </c>
      <c r="BN905" s="166">
        <v>0</v>
      </c>
      <c r="BO905" s="166">
        <v>0</v>
      </c>
      <c r="BP905" s="166">
        <v>0</v>
      </c>
      <c r="BQ905" s="81" t="s">
        <v>1757</v>
      </c>
      <c r="BZ905" s="81" t="s">
        <v>155</v>
      </c>
      <c r="CA905" s="81">
        <v>4</v>
      </c>
      <c r="CC905" s="167">
        <v>0</v>
      </c>
      <c r="CD905" s="167">
        <v>0</v>
      </c>
      <c r="CE905" s="167">
        <f>$N905/4</f>
        <v>0.25</v>
      </c>
      <c r="CF905" s="167">
        <f>$N905/4</f>
        <v>0.25</v>
      </c>
      <c r="CG905" s="167">
        <f>$N905/4</f>
        <v>0.25</v>
      </c>
      <c r="CH905" s="167">
        <f>$N905/4</f>
        <v>0.25</v>
      </c>
      <c r="CI905" s="167">
        <v>0</v>
      </c>
      <c r="CJ905" s="167">
        <v>0</v>
      </c>
      <c r="CK905" s="167">
        <v>0</v>
      </c>
      <c r="CL905" s="167">
        <v>0</v>
      </c>
      <c r="CM905" s="167">
        <v>0</v>
      </c>
      <c r="CN905" s="167">
        <v>0</v>
      </c>
      <c r="CO905" s="167">
        <v>0</v>
      </c>
      <c r="CP905" s="167">
        <v>0</v>
      </c>
      <c r="CQ905" s="167">
        <v>0</v>
      </c>
      <c r="CR905" s="167">
        <v>0</v>
      </c>
      <c r="CS905" s="167">
        <v>0</v>
      </c>
      <c r="CT905" s="167">
        <v>0</v>
      </c>
      <c r="CU905" s="167">
        <v>0</v>
      </c>
      <c r="CV905" s="167">
        <v>0</v>
      </c>
      <c r="CW905" s="167">
        <v>0</v>
      </c>
      <c r="CX905" s="167">
        <f>SUM(CD905:CH905)</f>
        <v>1</v>
      </c>
      <c r="CY905" s="167">
        <f>SUM(CD905:CM905)</f>
        <v>1</v>
      </c>
    </row>
    <row r="906" spans="1:103" ht="12.75" customHeight="1" x14ac:dyDescent="0.2">
      <c r="A906" s="81">
        <v>6030</v>
      </c>
      <c r="B906" s="165" t="s">
        <v>1930</v>
      </c>
      <c r="C906" s="165" t="s">
        <v>635</v>
      </c>
      <c r="E906" s="165" t="s">
        <v>2133</v>
      </c>
      <c r="G906" s="81">
        <v>522262</v>
      </c>
      <c r="H906" s="81">
        <v>173980</v>
      </c>
      <c r="I906" s="165" t="s">
        <v>877</v>
      </c>
      <c r="L906" s="166">
        <v>0</v>
      </c>
      <c r="M906" s="166">
        <v>2</v>
      </c>
      <c r="N906" s="166">
        <v>2</v>
      </c>
      <c r="O906" s="166">
        <v>2</v>
      </c>
      <c r="P906" s="166">
        <v>2</v>
      </c>
      <c r="R906" s="165" t="s">
        <v>636</v>
      </c>
      <c r="S906" s="81" t="s">
        <v>113</v>
      </c>
      <c r="T906" s="349">
        <v>42215</v>
      </c>
      <c r="U906" s="349">
        <v>42320</v>
      </c>
      <c r="W906" s="81" t="s">
        <v>114</v>
      </c>
      <c r="Y906" s="81" t="s">
        <v>115</v>
      </c>
      <c r="Z906" s="81" t="s">
        <v>116</v>
      </c>
      <c r="AA906" s="81" t="s">
        <v>117</v>
      </c>
      <c r="AB906" s="81" t="s">
        <v>218</v>
      </c>
      <c r="AC906" s="166">
        <v>0.108999997377396</v>
      </c>
      <c r="AG906" s="81" t="s">
        <v>238</v>
      </c>
      <c r="AH906" s="81" t="s">
        <v>118</v>
      </c>
      <c r="AK906" s="166">
        <v>2</v>
      </c>
      <c r="AM906" s="166">
        <v>0</v>
      </c>
      <c r="AO906" s="166">
        <v>0</v>
      </c>
      <c r="AP906" s="166">
        <v>0</v>
      </c>
      <c r="AQ906" s="166">
        <v>0</v>
      </c>
      <c r="AR906" s="166">
        <v>0</v>
      </c>
      <c r="AS906" s="166">
        <v>0</v>
      </c>
      <c r="AT906" s="166">
        <v>2</v>
      </c>
      <c r="AU906" s="166">
        <v>0</v>
      </c>
      <c r="AV906" s="166">
        <v>0</v>
      </c>
      <c r="AW906" s="166">
        <v>0</v>
      </c>
      <c r="AX906" s="166">
        <v>0</v>
      </c>
      <c r="AY906" s="166">
        <v>0</v>
      </c>
      <c r="AZ906" s="166">
        <v>0</v>
      </c>
      <c r="BA906" s="166">
        <v>0</v>
      </c>
      <c r="BB906" s="166">
        <v>0</v>
      </c>
      <c r="BC906" s="166">
        <v>0</v>
      </c>
      <c r="BD906" s="166">
        <v>0</v>
      </c>
      <c r="BE906" s="166">
        <v>0</v>
      </c>
      <c r="BF906" s="166">
        <v>0</v>
      </c>
      <c r="BG906" s="166">
        <v>0</v>
      </c>
      <c r="BH906" s="166">
        <v>2</v>
      </c>
      <c r="BI906" s="166">
        <v>0</v>
      </c>
      <c r="BJ906" s="166">
        <v>0</v>
      </c>
      <c r="BK906" s="166">
        <v>0</v>
      </c>
      <c r="BL906" s="166">
        <v>0</v>
      </c>
      <c r="BM906" s="166">
        <v>0</v>
      </c>
      <c r="BN906" s="166">
        <v>0</v>
      </c>
      <c r="BO906" s="166">
        <v>0</v>
      </c>
      <c r="BP906" s="166">
        <v>0</v>
      </c>
      <c r="BQ906" s="81" t="s">
        <v>1758</v>
      </c>
      <c r="BZ906" s="81" t="s">
        <v>155</v>
      </c>
      <c r="CA906" s="81">
        <v>4</v>
      </c>
      <c r="CC906" s="167">
        <v>0</v>
      </c>
      <c r="CD906" s="167">
        <v>0</v>
      </c>
      <c r="CE906" s="167">
        <f>$N906/4</f>
        <v>0.5</v>
      </c>
      <c r="CF906" s="167">
        <f>$N906/4</f>
        <v>0.5</v>
      </c>
      <c r="CG906" s="167">
        <f>$N906/4</f>
        <v>0.5</v>
      </c>
      <c r="CH906" s="167">
        <f>$N906/4</f>
        <v>0.5</v>
      </c>
      <c r="CI906" s="167">
        <v>0</v>
      </c>
      <c r="CJ906" s="167">
        <v>0</v>
      </c>
      <c r="CK906" s="167">
        <v>0</v>
      </c>
      <c r="CL906" s="167">
        <v>0</v>
      </c>
      <c r="CM906" s="167">
        <v>0</v>
      </c>
      <c r="CN906" s="167">
        <v>0</v>
      </c>
      <c r="CO906" s="167">
        <v>0</v>
      </c>
      <c r="CP906" s="167">
        <v>0</v>
      </c>
      <c r="CQ906" s="167">
        <v>0</v>
      </c>
      <c r="CR906" s="167">
        <v>0</v>
      </c>
      <c r="CS906" s="167">
        <v>0</v>
      </c>
      <c r="CT906" s="167">
        <v>0</v>
      </c>
      <c r="CU906" s="167">
        <v>0</v>
      </c>
      <c r="CV906" s="167">
        <v>0</v>
      </c>
      <c r="CW906" s="167">
        <v>0</v>
      </c>
      <c r="CX906" s="167">
        <f>SUM(CD906:CH906)</f>
        <v>2</v>
      </c>
      <c r="CY906" s="167">
        <f>SUM(CD906:CM906)</f>
        <v>2</v>
      </c>
    </row>
    <row r="907" spans="1:103" ht="12.75" customHeight="1" x14ac:dyDescent="0.2">
      <c r="A907" s="81">
        <v>6031</v>
      </c>
      <c r="B907" s="165" t="s">
        <v>1930</v>
      </c>
      <c r="C907" s="165" t="s">
        <v>668</v>
      </c>
      <c r="E907" s="165" t="s">
        <v>2645</v>
      </c>
      <c r="G907" s="81">
        <v>523225</v>
      </c>
      <c r="H907" s="81">
        <v>175820</v>
      </c>
      <c r="I907" s="165" t="s">
        <v>259</v>
      </c>
      <c r="L907" s="166">
        <v>0</v>
      </c>
      <c r="M907" s="166">
        <v>1</v>
      </c>
      <c r="N907" s="166">
        <v>1</v>
      </c>
      <c r="O907" s="166">
        <v>1</v>
      </c>
      <c r="P907" s="166">
        <v>1</v>
      </c>
      <c r="R907" s="165" t="s">
        <v>562</v>
      </c>
      <c r="S907" s="81" t="s">
        <v>110</v>
      </c>
      <c r="T907" s="349">
        <v>42307</v>
      </c>
      <c r="U907" s="349">
        <v>42360</v>
      </c>
      <c r="W907" s="81" t="s">
        <v>114</v>
      </c>
      <c r="Y907" s="81" t="s">
        <v>115</v>
      </c>
      <c r="Z907" s="81" t="s">
        <v>310</v>
      </c>
      <c r="AA907" s="81" t="s">
        <v>117</v>
      </c>
      <c r="AB907" s="81" t="s">
        <v>399</v>
      </c>
      <c r="AC907" s="166">
        <v>9.9999997764825804E-3</v>
      </c>
      <c r="AG907" s="81" t="s">
        <v>238</v>
      </c>
      <c r="AH907" s="81" t="s">
        <v>118</v>
      </c>
      <c r="AK907" s="166">
        <v>0</v>
      </c>
      <c r="AM907" s="166">
        <v>0</v>
      </c>
      <c r="AO907" s="166">
        <v>0</v>
      </c>
      <c r="AP907" s="166">
        <v>0</v>
      </c>
      <c r="AQ907" s="166">
        <v>1</v>
      </c>
      <c r="AR907" s="166">
        <v>0</v>
      </c>
      <c r="AS907" s="166">
        <v>0</v>
      </c>
      <c r="AT907" s="166">
        <v>0</v>
      </c>
      <c r="AU907" s="166">
        <v>0</v>
      </c>
      <c r="AV907" s="166">
        <v>0</v>
      </c>
      <c r="AW907" s="166">
        <v>0</v>
      </c>
      <c r="AX907" s="166">
        <v>1</v>
      </c>
      <c r="AY907" s="166">
        <v>0</v>
      </c>
      <c r="AZ907" s="166">
        <v>0</v>
      </c>
      <c r="BA907" s="166">
        <v>0</v>
      </c>
      <c r="BB907" s="166">
        <v>0</v>
      </c>
      <c r="BC907" s="166">
        <v>0</v>
      </c>
      <c r="BD907" s="166">
        <v>0</v>
      </c>
      <c r="BE907" s="166">
        <v>0</v>
      </c>
      <c r="BF907" s="166">
        <v>0</v>
      </c>
      <c r="BG907" s="166">
        <v>0</v>
      </c>
      <c r="BH907" s="166">
        <v>0</v>
      </c>
      <c r="BI907" s="166">
        <v>0</v>
      </c>
      <c r="BJ907" s="166">
        <v>0</v>
      </c>
      <c r="BK907" s="166">
        <v>0</v>
      </c>
      <c r="BL907" s="166">
        <v>0</v>
      </c>
      <c r="BM907" s="166">
        <v>0</v>
      </c>
      <c r="BN907" s="166">
        <v>0</v>
      </c>
      <c r="BO907" s="166">
        <v>0</v>
      </c>
      <c r="BP907" s="166">
        <v>0</v>
      </c>
      <c r="BQ907" s="81" t="s">
        <v>1758</v>
      </c>
      <c r="BZ907" s="81" t="s">
        <v>155</v>
      </c>
      <c r="CA907" s="81" t="s">
        <v>1937</v>
      </c>
      <c r="CC907" s="167">
        <v>0</v>
      </c>
      <c r="CD907" s="167">
        <f>$N907/4</f>
        <v>0.25</v>
      </c>
      <c r="CE907" s="167">
        <f>$N907/4</f>
        <v>0.25</v>
      </c>
      <c r="CF907" s="167">
        <f>$N907/4</f>
        <v>0.25</v>
      </c>
      <c r="CG907" s="167">
        <f>$N907/4</f>
        <v>0.25</v>
      </c>
      <c r="CH907" s="167">
        <v>0</v>
      </c>
      <c r="CI907" s="167">
        <v>0</v>
      </c>
      <c r="CJ907" s="167">
        <v>0</v>
      </c>
      <c r="CK907" s="167">
        <v>0</v>
      </c>
      <c r="CL907" s="167">
        <v>0</v>
      </c>
      <c r="CM907" s="167">
        <v>0</v>
      </c>
      <c r="CN907" s="167">
        <v>0</v>
      </c>
      <c r="CO907" s="167">
        <v>0</v>
      </c>
      <c r="CP907" s="167">
        <v>0</v>
      </c>
      <c r="CQ907" s="167">
        <v>0</v>
      </c>
      <c r="CR907" s="167">
        <v>0</v>
      </c>
      <c r="CS907" s="167">
        <v>0</v>
      </c>
      <c r="CT907" s="167">
        <v>0</v>
      </c>
      <c r="CU907" s="167">
        <v>0</v>
      </c>
      <c r="CV907" s="167">
        <v>0</v>
      </c>
      <c r="CW907" s="167">
        <v>0</v>
      </c>
      <c r="CX907" s="167">
        <f>SUM(CD907:CH907)</f>
        <v>1</v>
      </c>
      <c r="CY907" s="167">
        <f>SUM(CD907:CM907)</f>
        <v>1</v>
      </c>
    </row>
    <row r="908" spans="1:103" ht="12.75" customHeight="1" x14ac:dyDescent="0.2">
      <c r="A908" s="81">
        <v>6032</v>
      </c>
      <c r="B908" s="165" t="s">
        <v>1930</v>
      </c>
      <c r="C908" s="165" t="s">
        <v>1208</v>
      </c>
      <c r="E908" s="165" t="s">
        <v>2646</v>
      </c>
      <c r="G908" s="81">
        <v>524386</v>
      </c>
      <c r="H908" s="81">
        <v>175298</v>
      </c>
      <c r="I908" s="165" t="s">
        <v>259</v>
      </c>
      <c r="L908" s="166">
        <v>0</v>
      </c>
      <c r="M908" s="166">
        <v>1</v>
      </c>
      <c r="N908" s="166">
        <v>1</v>
      </c>
      <c r="O908" s="166">
        <v>1</v>
      </c>
      <c r="P908" s="166">
        <v>1</v>
      </c>
      <c r="R908" s="165" t="s">
        <v>1209</v>
      </c>
      <c r="S908" s="81" t="s">
        <v>270</v>
      </c>
      <c r="T908" s="349">
        <v>42461</v>
      </c>
      <c r="U908" s="349">
        <v>42517</v>
      </c>
      <c r="W908" s="81" t="s">
        <v>114</v>
      </c>
      <c r="Y908" s="81" t="s">
        <v>115</v>
      </c>
      <c r="Z908" s="81" t="s">
        <v>310</v>
      </c>
      <c r="AA908" s="81" t="s">
        <v>117</v>
      </c>
      <c r="AB908" s="81" t="s">
        <v>102</v>
      </c>
      <c r="AC908" s="166">
        <v>6.0000000521540598E-3</v>
      </c>
      <c r="AG908" s="81" t="s">
        <v>238</v>
      </c>
      <c r="AH908" s="81" t="s">
        <v>118</v>
      </c>
      <c r="AK908" s="166">
        <v>0</v>
      </c>
      <c r="AM908" s="166">
        <v>0</v>
      </c>
      <c r="AO908" s="166">
        <v>0</v>
      </c>
      <c r="AP908" s="166">
        <v>1</v>
      </c>
      <c r="AQ908" s="166">
        <v>0</v>
      </c>
      <c r="AR908" s="166">
        <v>0</v>
      </c>
      <c r="AS908" s="166">
        <v>0</v>
      </c>
      <c r="AT908" s="166">
        <v>0</v>
      </c>
      <c r="AU908" s="166">
        <v>0</v>
      </c>
      <c r="AV908" s="166">
        <v>0</v>
      </c>
      <c r="AW908" s="166">
        <v>1</v>
      </c>
      <c r="AX908" s="166">
        <v>0</v>
      </c>
      <c r="AY908" s="166">
        <v>0</v>
      </c>
      <c r="AZ908" s="166">
        <v>0</v>
      </c>
      <c r="BA908" s="166">
        <v>0</v>
      </c>
      <c r="BB908" s="166">
        <v>0</v>
      </c>
      <c r="BC908" s="166">
        <v>0</v>
      </c>
      <c r="BD908" s="166">
        <v>0</v>
      </c>
      <c r="BE908" s="166">
        <v>0</v>
      </c>
      <c r="BF908" s="166">
        <v>0</v>
      </c>
      <c r="BG908" s="166">
        <v>0</v>
      </c>
      <c r="BH908" s="166">
        <v>0</v>
      </c>
      <c r="BI908" s="166">
        <v>0</v>
      </c>
      <c r="BJ908" s="166">
        <v>0</v>
      </c>
      <c r="BK908" s="166">
        <v>0</v>
      </c>
      <c r="BL908" s="166">
        <v>0</v>
      </c>
      <c r="BM908" s="166">
        <v>0</v>
      </c>
      <c r="BN908" s="166">
        <v>0</v>
      </c>
      <c r="BO908" s="166">
        <v>0</v>
      </c>
      <c r="BP908" s="166">
        <v>0</v>
      </c>
      <c r="BQ908" s="81" t="s">
        <v>1758</v>
      </c>
      <c r="BZ908" s="81" t="s">
        <v>155</v>
      </c>
      <c r="CA908" s="81" t="s">
        <v>1937</v>
      </c>
      <c r="CC908" s="167">
        <v>0</v>
      </c>
      <c r="CD908" s="167">
        <f>$N908/4</f>
        <v>0.25</v>
      </c>
      <c r="CE908" s="167">
        <f>$N908/4</f>
        <v>0.25</v>
      </c>
      <c r="CF908" s="167">
        <f>$N908/4</f>
        <v>0.25</v>
      </c>
      <c r="CG908" s="167">
        <f>$N908/4</f>
        <v>0.25</v>
      </c>
      <c r="CH908" s="167">
        <v>0</v>
      </c>
      <c r="CI908" s="167">
        <v>0</v>
      </c>
      <c r="CJ908" s="167">
        <v>0</v>
      </c>
      <c r="CK908" s="167">
        <v>0</v>
      </c>
      <c r="CL908" s="167">
        <v>0</v>
      </c>
      <c r="CM908" s="167">
        <v>0</v>
      </c>
      <c r="CN908" s="167">
        <v>0</v>
      </c>
      <c r="CO908" s="167">
        <v>0</v>
      </c>
      <c r="CP908" s="167">
        <v>0</v>
      </c>
      <c r="CQ908" s="167">
        <v>0</v>
      </c>
      <c r="CR908" s="167">
        <v>0</v>
      </c>
      <c r="CS908" s="167">
        <v>0</v>
      </c>
      <c r="CT908" s="167">
        <v>0</v>
      </c>
      <c r="CU908" s="167">
        <v>0</v>
      </c>
      <c r="CV908" s="167">
        <v>0</v>
      </c>
      <c r="CW908" s="167">
        <v>0</v>
      </c>
      <c r="CX908" s="167">
        <f>SUM(CD908:CH908)</f>
        <v>1</v>
      </c>
      <c r="CY908" s="167">
        <f>SUM(CD908:CM908)</f>
        <v>1</v>
      </c>
    </row>
    <row r="909" spans="1:103" ht="12.75" customHeight="1" x14ac:dyDescent="0.2">
      <c r="A909" s="81">
        <v>6034</v>
      </c>
      <c r="B909" s="165" t="s">
        <v>1930</v>
      </c>
      <c r="C909" s="165" t="s">
        <v>1449</v>
      </c>
      <c r="E909" s="165" t="s">
        <v>2647</v>
      </c>
      <c r="G909" s="81">
        <v>523955</v>
      </c>
      <c r="H909" s="81">
        <v>175134</v>
      </c>
      <c r="I909" s="165" t="s">
        <v>259</v>
      </c>
      <c r="L909" s="166">
        <v>1</v>
      </c>
      <c r="M909" s="166">
        <v>1</v>
      </c>
      <c r="N909" s="166">
        <v>0</v>
      </c>
      <c r="O909" s="166">
        <v>2</v>
      </c>
      <c r="P909" s="166">
        <v>1</v>
      </c>
      <c r="R909" s="165" t="s">
        <v>1450</v>
      </c>
      <c r="S909" s="81" t="s">
        <v>113</v>
      </c>
      <c r="T909" s="349">
        <v>42662</v>
      </c>
      <c r="U909" s="349">
        <v>42718</v>
      </c>
      <c r="W909" s="81" t="s">
        <v>114</v>
      </c>
      <c r="Y909" s="81" t="s">
        <v>115</v>
      </c>
      <c r="Z909" s="81" t="s">
        <v>398</v>
      </c>
      <c r="AA909" s="81" t="s">
        <v>117</v>
      </c>
      <c r="AB909" s="81" t="s">
        <v>220</v>
      </c>
      <c r="AC909" s="166">
        <v>3.0000000260770299E-3</v>
      </c>
      <c r="AG909" s="81" t="s">
        <v>238</v>
      </c>
      <c r="AH909" s="81" t="s">
        <v>118</v>
      </c>
      <c r="AK909" s="166">
        <v>0</v>
      </c>
      <c r="AM909" s="166">
        <v>0</v>
      </c>
      <c r="AO909" s="166">
        <v>0</v>
      </c>
      <c r="AP909" s="166">
        <v>1</v>
      </c>
      <c r="AQ909" s="166">
        <v>-1</v>
      </c>
      <c r="AR909" s="166">
        <v>0</v>
      </c>
      <c r="AS909" s="166">
        <v>0</v>
      </c>
      <c r="AT909" s="166">
        <v>0</v>
      </c>
      <c r="AU909" s="166">
        <v>0</v>
      </c>
      <c r="AV909" s="166">
        <v>0</v>
      </c>
      <c r="AW909" s="166">
        <v>1</v>
      </c>
      <c r="AX909" s="166">
        <v>-1</v>
      </c>
      <c r="AY909" s="166">
        <v>0</v>
      </c>
      <c r="AZ909" s="166">
        <v>0</v>
      </c>
      <c r="BA909" s="166">
        <v>0</v>
      </c>
      <c r="BB909" s="166">
        <v>0</v>
      </c>
      <c r="BC909" s="166">
        <v>0</v>
      </c>
      <c r="BD909" s="166">
        <v>0</v>
      </c>
      <c r="BE909" s="166">
        <v>0</v>
      </c>
      <c r="BF909" s="166">
        <v>0</v>
      </c>
      <c r="BG909" s="166">
        <v>0</v>
      </c>
      <c r="BH909" s="166">
        <v>0</v>
      </c>
      <c r="BI909" s="166">
        <v>0</v>
      </c>
      <c r="BJ909" s="166">
        <v>0</v>
      </c>
      <c r="BK909" s="166">
        <v>0</v>
      </c>
      <c r="BL909" s="166">
        <v>0</v>
      </c>
      <c r="BM909" s="166">
        <v>0</v>
      </c>
      <c r="BN909" s="166">
        <v>0</v>
      </c>
      <c r="BO909" s="166">
        <v>0</v>
      </c>
      <c r="BP909" s="166">
        <v>0</v>
      </c>
      <c r="BQ909" s="81" t="s">
        <v>1758</v>
      </c>
      <c r="BR909" s="81" t="s">
        <v>161</v>
      </c>
      <c r="BZ909" s="81" t="s">
        <v>155</v>
      </c>
      <c r="CA909" s="81" t="s">
        <v>1937</v>
      </c>
      <c r="CC909" s="167">
        <v>0</v>
      </c>
      <c r="CD909" s="167">
        <f>$N909/4</f>
        <v>0</v>
      </c>
      <c r="CE909" s="167">
        <f>$N909/4</f>
        <v>0</v>
      </c>
      <c r="CF909" s="167">
        <f>$N909/4</f>
        <v>0</v>
      </c>
      <c r="CG909" s="167">
        <f>$N909/4</f>
        <v>0</v>
      </c>
      <c r="CH909" s="167">
        <v>0</v>
      </c>
      <c r="CI909" s="167">
        <v>0</v>
      </c>
      <c r="CJ909" s="167">
        <v>0</v>
      </c>
      <c r="CK909" s="167">
        <v>0</v>
      </c>
      <c r="CL909" s="167">
        <v>0</v>
      </c>
      <c r="CM909" s="167">
        <v>0</v>
      </c>
      <c r="CN909" s="167">
        <v>0</v>
      </c>
      <c r="CO909" s="167">
        <v>0</v>
      </c>
      <c r="CP909" s="167">
        <v>0</v>
      </c>
      <c r="CQ909" s="167">
        <v>0</v>
      </c>
      <c r="CR909" s="167">
        <v>0</v>
      </c>
      <c r="CS909" s="167">
        <v>0</v>
      </c>
      <c r="CT909" s="167">
        <v>0</v>
      </c>
      <c r="CU909" s="167">
        <v>0</v>
      </c>
      <c r="CV909" s="167">
        <v>0</v>
      </c>
      <c r="CW909" s="167">
        <v>0</v>
      </c>
      <c r="CX909" s="167">
        <f>SUM(CD909:CH909)</f>
        <v>0</v>
      </c>
      <c r="CY909" s="167">
        <f>SUM(CD909:CM909)</f>
        <v>0</v>
      </c>
    </row>
    <row r="910" spans="1:103" ht="12.75" customHeight="1" x14ac:dyDescent="0.2">
      <c r="A910" s="81">
        <v>6034</v>
      </c>
      <c r="B910" s="165" t="s">
        <v>1930</v>
      </c>
      <c r="C910" s="165" t="s">
        <v>1449</v>
      </c>
      <c r="E910" s="165" t="s">
        <v>2647</v>
      </c>
      <c r="G910" s="81">
        <v>523955</v>
      </c>
      <c r="H910" s="81">
        <v>175134</v>
      </c>
      <c r="I910" s="165" t="s">
        <v>259</v>
      </c>
      <c r="L910" s="166">
        <v>0</v>
      </c>
      <c r="M910" s="166">
        <v>1</v>
      </c>
      <c r="N910" s="166">
        <v>1</v>
      </c>
      <c r="O910" s="166">
        <v>2</v>
      </c>
      <c r="P910" s="166">
        <v>1</v>
      </c>
      <c r="R910" s="165" t="s">
        <v>1450</v>
      </c>
      <c r="S910" s="81" t="s">
        <v>113</v>
      </c>
      <c r="T910" s="349">
        <v>42662</v>
      </c>
      <c r="U910" s="349">
        <v>42718</v>
      </c>
      <c r="W910" s="81" t="s">
        <v>114</v>
      </c>
      <c r="Y910" s="81" t="s">
        <v>115</v>
      </c>
      <c r="Z910" s="81" t="s">
        <v>398</v>
      </c>
      <c r="AA910" s="81" t="s">
        <v>117</v>
      </c>
      <c r="AB910" s="81" t="s">
        <v>220</v>
      </c>
      <c r="AC910" s="166">
        <v>4.9999998882412902E-3</v>
      </c>
      <c r="AG910" s="81" t="s">
        <v>238</v>
      </c>
      <c r="AH910" s="81" t="s">
        <v>118</v>
      </c>
      <c r="AK910" s="166">
        <v>0</v>
      </c>
      <c r="AM910" s="166">
        <v>0</v>
      </c>
      <c r="AO910" s="166">
        <v>0</v>
      </c>
      <c r="AP910" s="166">
        <v>0</v>
      </c>
      <c r="AQ910" s="166">
        <v>1</v>
      </c>
      <c r="AR910" s="166">
        <v>0</v>
      </c>
      <c r="AS910" s="166">
        <v>0</v>
      </c>
      <c r="AT910" s="166">
        <v>0</v>
      </c>
      <c r="AU910" s="166">
        <v>0</v>
      </c>
      <c r="AV910" s="166">
        <v>0</v>
      </c>
      <c r="AW910" s="166">
        <v>0</v>
      </c>
      <c r="AX910" s="166">
        <v>1</v>
      </c>
      <c r="AY910" s="166">
        <v>0</v>
      </c>
      <c r="AZ910" s="166">
        <v>0</v>
      </c>
      <c r="BA910" s="166">
        <v>0</v>
      </c>
      <c r="BB910" s="166">
        <v>0</v>
      </c>
      <c r="BC910" s="166">
        <v>0</v>
      </c>
      <c r="BD910" s="166">
        <v>0</v>
      </c>
      <c r="BE910" s="166">
        <v>0</v>
      </c>
      <c r="BF910" s="166">
        <v>0</v>
      </c>
      <c r="BG910" s="166">
        <v>0</v>
      </c>
      <c r="BH910" s="166">
        <v>0</v>
      </c>
      <c r="BI910" s="166">
        <v>0</v>
      </c>
      <c r="BJ910" s="166">
        <v>0</v>
      </c>
      <c r="BK910" s="166">
        <v>0</v>
      </c>
      <c r="BL910" s="166">
        <v>0</v>
      </c>
      <c r="BM910" s="166">
        <v>0</v>
      </c>
      <c r="BN910" s="166">
        <v>0</v>
      </c>
      <c r="BO910" s="166">
        <v>0</v>
      </c>
      <c r="BP910" s="166">
        <v>0</v>
      </c>
      <c r="BQ910" s="81" t="s">
        <v>1758</v>
      </c>
      <c r="BR910" s="81" t="s">
        <v>161</v>
      </c>
      <c r="BZ910" s="81" t="s">
        <v>155</v>
      </c>
      <c r="CA910" s="81" t="s">
        <v>1937</v>
      </c>
      <c r="CC910" s="167">
        <v>0</v>
      </c>
      <c r="CD910" s="167">
        <f>$N910/4</f>
        <v>0.25</v>
      </c>
      <c r="CE910" s="167">
        <f>$N910/4</f>
        <v>0.25</v>
      </c>
      <c r="CF910" s="167">
        <f>$N910/4</f>
        <v>0.25</v>
      </c>
      <c r="CG910" s="167">
        <f>$N910/4</f>
        <v>0.25</v>
      </c>
      <c r="CH910" s="167">
        <v>0</v>
      </c>
      <c r="CI910" s="167">
        <v>0</v>
      </c>
      <c r="CJ910" s="167">
        <v>0</v>
      </c>
      <c r="CK910" s="167">
        <v>0</v>
      </c>
      <c r="CL910" s="167">
        <v>0</v>
      </c>
      <c r="CM910" s="167">
        <v>0</v>
      </c>
      <c r="CN910" s="167">
        <v>0</v>
      </c>
      <c r="CO910" s="167">
        <v>0</v>
      </c>
      <c r="CP910" s="167">
        <v>0</v>
      </c>
      <c r="CQ910" s="167">
        <v>0</v>
      </c>
      <c r="CR910" s="167">
        <v>0</v>
      </c>
      <c r="CS910" s="167">
        <v>0</v>
      </c>
      <c r="CT910" s="167">
        <v>0</v>
      </c>
      <c r="CU910" s="167">
        <v>0</v>
      </c>
      <c r="CV910" s="167">
        <v>0</v>
      </c>
      <c r="CW910" s="167">
        <v>0</v>
      </c>
      <c r="CX910" s="167">
        <f>SUM(CD910:CH910)</f>
        <v>1</v>
      </c>
      <c r="CY910" s="167">
        <f>SUM(CD910:CM910)</f>
        <v>1</v>
      </c>
    </row>
    <row r="911" spans="1:103" ht="12.75" customHeight="1" x14ac:dyDescent="0.2">
      <c r="A911" s="81">
        <v>6035</v>
      </c>
      <c r="B911" s="165" t="s">
        <v>1930</v>
      </c>
      <c r="C911" s="165" t="s">
        <v>1250</v>
      </c>
      <c r="E911" s="165" t="s">
        <v>2648</v>
      </c>
      <c r="G911" s="81">
        <v>524786</v>
      </c>
      <c r="H911" s="81">
        <v>175120</v>
      </c>
      <c r="I911" s="165" t="s">
        <v>259</v>
      </c>
      <c r="L911" s="166">
        <v>0</v>
      </c>
      <c r="M911" s="166">
        <v>1</v>
      </c>
      <c r="N911" s="166">
        <v>1</v>
      </c>
      <c r="O911" s="166">
        <v>1</v>
      </c>
      <c r="P911" s="166">
        <v>1</v>
      </c>
      <c r="R911" s="165" t="s">
        <v>2649</v>
      </c>
      <c r="S911" s="81" t="s">
        <v>113</v>
      </c>
      <c r="T911" s="349">
        <v>42488</v>
      </c>
      <c r="U911" s="349">
        <v>42543</v>
      </c>
      <c r="W911" s="81" t="s">
        <v>114</v>
      </c>
      <c r="Y911" s="81" t="s">
        <v>115</v>
      </c>
      <c r="Z911" s="81" t="s">
        <v>310</v>
      </c>
      <c r="AA911" s="81" t="s">
        <v>117</v>
      </c>
      <c r="AB911" s="81" t="s">
        <v>399</v>
      </c>
      <c r="AC911" s="166">
        <v>4.0000001899898104E-3</v>
      </c>
      <c r="AG911" s="81" t="s">
        <v>238</v>
      </c>
      <c r="AH911" s="81" t="s">
        <v>118</v>
      </c>
      <c r="AK911" s="166">
        <v>0</v>
      </c>
      <c r="AM911" s="166">
        <v>0</v>
      </c>
      <c r="AO911" s="166">
        <v>0</v>
      </c>
      <c r="AP911" s="166">
        <v>1</v>
      </c>
      <c r="AQ911" s="166">
        <v>0</v>
      </c>
      <c r="AR911" s="166">
        <v>0</v>
      </c>
      <c r="AS911" s="166">
        <v>0</v>
      </c>
      <c r="AT911" s="166">
        <v>0</v>
      </c>
      <c r="AU911" s="166">
        <v>0</v>
      </c>
      <c r="AV911" s="166">
        <v>0</v>
      </c>
      <c r="AW911" s="166">
        <v>1</v>
      </c>
      <c r="AX911" s="166">
        <v>0</v>
      </c>
      <c r="AY911" s="166">
        <v>0</v>
      </c>
      <c r="AZ911" s="166">
        <v>0</v>
      </c>
      <c r="BA911" s="166">
        <v>0</v>
      </c>
      <c r="BB911" s="166">
        <v>0</v>
      </c>
      <c r="BC911" s="166">
        <v>0</v>
      </c>
      <c r="BD911" s="166">
        <v>0</v>
      </c>
      <c r="BE911" s="166">
        <v>0</v>
      </c>
      <c r="BF911" s="166">
        <v>0</v>
      </c>
      <c r="BG911" s="166">
        <v>0</v>
      </c>
      <c r="BH911" s="166">
        <v>0</v>
      </c>
      <c r="BI911" s="166">
        <v>0</v>
      </c>
      <c r="BJ911" s="166">
        <v>0</v>
      </c>
      <c r="BK911" s="166">
        <v>0</v>
      </c>
      <c r="BL911" s="166">
        <v>0</v>
      </c>
      <c r="BM911" s="166">
        <v>0</v>
      </c>
      <c r="BN911" s="166">
        <v>0</v>
      </c>
      <c r="BO911" s="166">
        <v>0</v>
      </c>
      <c r="BP911" s="166">
        <v>0</v>
      </c>
      <c r="BQ911" s="81" t="s">
        <v>1758</v>
      </c>
      <c r="BZ911" s="81" t="s">
        <v>155</v>
      </c>
      <c r="CA911" s="81" t="s">
        <v>1937</v>
      </c>
      <c r="CC911" s="167">
        <v>0</v>
      </c>
      <c r="CD911" s="167">
        <f>$N911/4</f>
        <v>0.25</v>
      </c>
      <c r="CE911" s="167">
        <f>$N911/4</f>
        <v>0.25</v>
      </c>
      <c r="CF911" s="167">
        <f>$N911/4</f>
        <v>0.25</v>
      </c>
      <c r="CG911" s="167">
        <f>$N911/4</f>
        <v>0.25</v>
      </c>
      <c r="CH911" s="167">
        <v>0</v>
      </c>
      <c r="CI911" s="167">
        <v>0</v>
      </c>
      <c r="CJ911" s="167">
        <v>0</v>
      </c>
      <c r="CK911" s="167">
        <v>0</v>
      </c>
      <c r="CL911" s="167">
        <v>0</v>
      </c>
      <c r="CM911" s="167">
        <v>0</v>
      </c>
      <c r="CN911" s="167">
        <v>0</v>
      </c>
      <c r="CO911" s="167">
        <v>0</v>
      </c>
      <c r="CP911" s="167">
        <v>0</v>
      </c>
      <c r="CQ911" s="167">
        <v>0</v>
      </c>
      <c r="CR911" s="167">
        <v>0</v>
      </c>
      <c r="CS911" s="167">
        <v>0</v>
      </c>
      <c r="CT911" s="167">
        <v>0</v>
      </c>
      <c r="CU911" s="167">
        <v>0</v>
      </c>
      <c r="CV911" s="167">
        <v>0</v>
      </c>
      <c r="CW911" s="167">
        <v>0</v>
      </c>
      <c r="CX911" s="167">
        <f>SUM(CD911:CH911)</f>
        <v>1</v>
      </c>
      <c r="CY911" s="167">
        <f>SUM(CD911:CM911)</f>
        <v>1</v>
      </c>
    </row>
    <row r="912" spans="1:103" ht="12.75" customHeight="1" x14ac:dyDescent="0.2">
      <c r="A912" s="81">
        <v>6035</v>
      </c>
      <c r="B912" s="165" t="s">
        <v>1930</v>
      </c>
      <c r="C912" s="165" t="s">
        <v>1527</v>
      </c>
      <c r="E912" s="165" t="s">
        <v>2648</v>
      </c>
      <c r="G912" s="81">
        <v>524786</v>
      </c>
      <c r="H912" s="81">
        <v>175120</v>
      </c>
      <c r="I912" s="165" t="s">
        <v>259</v>
      </c>
      <c r="L912" s="166">
        <v>0</v>
      </c>
      <c r="M912" s="166">
        <v>1</v>
      </c>
      <c r="N912" s="166">
        <v>1</v>
      </c>
      <c r="O912" s="166">
        <v>1</v>
      </c>
      <c r="P912" s="166">
        <v>1</v>
      </c>
      <c r="R912" s="165" t="s">
        <v>562</v>
      </c>
      <c r="S912" s="81" t="s">
        <v>270</v>
      </c>
      <c r="T912" s="349">
        <v>42752</v>
      </c>
      <c r="U912" s="349">
        <v>42808</v>
      </c>
      <c r="W912" s="81" t="s">
        <v>114</v>
      </c>
      <c r="Y912" s="81" t="s">
        <v>115</v>
      </c>
      <c r="Z912" s="81" t="s">
        <v>310</v>
      </c>
      <c r="AA912" s="81" t="s">
        <v>117</v>
      </c>
      <c r="AB912" s="81" t="s">
        <v>399</v>
      </c>
      <c r="AC912" s="166">
        <v>4.0000001899898104E-3</v>
      </c>
      <c r="AG912" s="81" t="s">
        <v>238</v>
      </c>
      <c r="AH912" s="81" t="s">
        <v>118</v>
      </c>
      <c r="AK912" s="166">
        <v>0</v>
      </c>
      <c r="AM912" s="166">
        <v>0</v>
      </c>
      <c r="AO912" s="166">
        <v>0</v>
      </c>
      <c r="AP912" s="166">
        <v>1</v>
      </c>
      <c r="AQ912" s="166">
        <v>0</v>
      </c>
      <c r="AR912" s="166">
        <v>0</v>
      </c>
      <c r="AS912" s="166">
        <v>0</v>
      </c>
      <c r="AT912" s="166">
        <v>0</v>
      </c>
      <c r="AU912" s="166">
        <v>0</v>
      </c>
      <c r="AV912" s="166">
        <v>0</v>
      </c>
      <c r="AW912" s="166">
        <v>1</v>
      </c>
      <c r="AX912" s="166">
        <v>0</v>
      </c>
      <c r="AY912" s="166">
        <v>0</v>
      </c>
      <c r="AZ912" s="166">
        <v>0</v>
      </c>
      <c r="BA912" s="166">
        <v>0</v>
      </c>
      <c r="BB912" s="166">
        <v>0</v>
      </c>
      <c r="BC912" s="166">
        <v>0</v>
      </c>
      <c r="BD912" s="166">
        <v>0</v>
      </c>
      <c r="BE912" s="166">
        <v>0</v>
      </c>
      <c r="BF912" s="166">
        <v>0</v>
      </c>
      <c r="BG912" s="166">
        <v>0</v>
      </c>
      <c r="BH912" s="166">
        <v>0</v>
      </c>
      <c r="BI912" s="166">
        <v>0</v>
      </c>
      <c r="BJ912" s="166">
        <v>0</v>
      </c>
      <c r="BK912" s="166">
        <v>0</v>
      </c>
      <c r="BL912" s="166">
        <v>0</v>
      </c>
      <c r="BM912" s="166">
        <v>0</v>
      </c>
      <c r="BN912" s="166">
        <v>0</v>
      </c>
      <c r="BO912" s="166">
        <v>0</v>
      </c>
      <c r="BP912" s="166">
        <v>0</v>
      </c>
      <c r="BQ912" s="81" t="s">
        <v>1758</v>
      </c>
      <c r="BZ912" s="81" t="s">
        <v>155</v>
      </c>
      <c r="CA912" s="81" t="s">
        <v>1937</v>
      </c>
      <c r="CC912" s="167">
        <v>0</v>
      </c>
      <c r="CD912" s="167">
        <f>$N912/4</f>
        <v>0.25</v>
      </c>
      <c r="CE912" s="167">
        <f>$N912/4</f>
        <v>0.25</v>
      </c>
      <c r="CF912" s="167">
        <f>$N912/4</f>
        <v>0.25</v>
      </c>
      <c r="CG912" s="167">
        <f>$N912/4</f>
        <v>0.25</v>
      </c>
      <c r="CH912" s="167">
        <v>0</v>
      </c>
      <c r="CI912" s="167">
        <v>0</v>
      </c>
      <c r="CJ912" s="167">
        <v>0</v>
      </c>
      <c r="CK912" s="167">
        <v>0</v>
      </c>
      <c r="CL912" s="167">
        <v>0</v>
      </c>
      <c r="CM912" s="167">
        <v>0</v>
      </c>
      <c r="CN912" s="167">
        <v>0</v>
      </c>
      <c r="CO912" s="167">
        <v>0</v>
      </c>
      <c r="CP912" s="167">
        <v>0</v>
      </c>
      <c r="CQ912" s="167">
        <v>0</v>
      </c>
      <c r="CR912" s="167">
        <v>0</v>
      </c>
      <c r="CS912" s="167">
        <v>0</v>
      </c>
      <c r="CT912" s="167">
        <v>0</v>
      </c>
      <c r="CU912" s="167">
        <v>0</v>
      </c>
      <c r="CV912" s="167">
        <v>0</v>
      </c>
      <c r="CW912" s="167">
        <v>0</v>
      </c>
      <c r="CX912" s="167">
        <f>SUM(CD912:CH912)</f>
        <v>1</v>
      </c>
      <c r="CY912" s="167">
        <f>SUM(CD912:CM912)</f>
        <v>1</v>
      </c>
    </row>
    <row r="913" spans="1:103" ht="12.75" customHeight="1" x14ac:dyDescent="0.2">
      <c r="A913" s="81">
        <v>6044</v>
      </c>
      <c r="B913" s="165" t="s">
        <v>1930</v>
      </c>
      <c r="C913" s="165" t="s">
        <v>1187</v>
      </c>
      <c r="E913" s="165" t="s">
        <v>2650</v>
      </c>
      <c r="G913" s="81">
        <v>526143</v>
      </c>
      <c r="H913" s="81">
        <v>172628</v>
      </c>
      <c r="I913" s="165" t="s">
        <v>249</v>
      </c>
      <c r="L913" s="166">
        <v>0</v>
      </c>
      <c r="M913" s="166">
        <v>2</v>
      </c>
      <c r="N913" s="166">
        <v>2</v>
      </c>
      <c r="O913" s="166">
        <v>2</v>
      </c>
      <c r="P913" s="166">
        <v>2</v>
      </c>
      <c r="R913" s="165" t="s">
        <v>1188</v>
      </c>
      <c r="S913" s="81" t="s">
        <v>113</v>
      </c>
      <c r="T913" s="349">
        <v>42472</v>
      </c>
      <c r="U913" s="349">
        <v>42528</v>
      </c>
      <c r="W913" s="81" t="s">
        <v>114</v>
      </c>
      <c r="Y913" s="81" t="s">
        <v>115</v>
      </c>
      <c r="Z913" s="81" t="s">
        <v>398</v>
      </c>
      <c r="AA913" s="81" t="s">
        <v>117</v>
      </c>
      <c r="AB913" s="81" t="s">
        <v>102</v>
      </c>
      <c r="AC913" s="166">
        <v>4.9999998882412902E-3</v>
      </c>
      <c r="AG913" s="81" t="s">
        <v>238</v>
      </c>
      <c r="AH913" s="81" t="s">
        <v>118</v>
      </c>
      <c r="AK913" s="166">
        <v>0</v>
      </c>
      <c r="AM913" s="166">
        <v>0</v>
      </c>
      <c r="AO913" s="166">
        <v>0</v>
      </c>
      <c r="AP913" s="166">
        <v>1</v>
      </c>
      <c r="AQ913" s="166">
        <v>1</v>
      </c>
      <c r="AR913" s="166">
        <v>0</v>
      </c>
      <c r="AS913" s="166">
        <v>0</v>
      </c>
      <c r="AT913" s="166">
        <v>0</v>
      </c>
      <c r="AU913" s="166">
        <v>0</v>
      </c>
      <c r="AV913" s="166">
        <v>0</v>
      </c>
      <c r="AW913" s="166">
        <v>1</v>
      </c>
      <c r="AX913" s="166">
        <v>1</v>
      </c>
      <c r="AY913" s="166">
        <v>0</v>
      </c>
      <c r="AZ913" s="166">
        <v>0</v>
      </c>
      <c r="BA913" s="166">
        <v>0</v>
      </c>
      <c r="BB913" s="166">
        <v>0</v>
      </c>
      <c r="BC913" s="166">
        <v>0</v>
      </c>
      <c r="BD913" s="166">
        <v>0</v>
      </c>
      <c r="BE913" s="166">
        <v>0</v>
      </c>
      <c r="BF913" s="166">
        <v>0</v>
      </c>
      <c r="BG913" s="166">
        <v>0</v>
      </c>
      <c r="BH913" s="166">
        <v>0</v>
      </c>
      <c r="BI913" s="166">
        <v>0</v>
      </c>
      <c r="BJ913" s="166">
        <v>0</v>
      </c>
      <c r="BK913" s="166">
        <v>0</v>
      </c>
      <c r="BL913" s="166">
        <v>0</v>
      </c>
      <c r="BM913" s="166">
        <v>0</v>
      </c>
      <c r="BN913" s="166">
        <v>0</v>
      </c>
      <c r="BO913" s="166">
        <v>0</v>
      </c>
      <c r="BP913" s="166">
        <v>0</v>
      </c>
      <c r="BQ913" s="81" t="s">
        <v>1758</v>
      </c>
      <c r="BZ913" s="81" t="s">
        <v>155</v>
      </c>
      <c r="CA913" s="81" t="s">
        <v>1937</v>
      </c>
      <c r="CC913" s="167">
        <v>0</v>
      </c>
      <c r="CD913" s="167">
        <f>$N913/4</f>
        <v>0.5</v>
      </c>
      <c r="CE913" s="167">
        <f>$N913/4</f>
        <v>0.5</v>
      </c>
      <c r="CF913" s="167">
        <f>$N913/4</f>
        <v>0.5</v>
      </c>
      <c r="CG913" s="167">
        <f>$N913/4</f>
        <v>0.5</v>
      </c>
      <c r="CH913" s="167">
        <v>0</v>
      </c>
      <c r="CI913" s="167">
        <v>0</v>
      </c>
      <c r="CJ913" s="167">
        <v>0</v>
      </c>
      <c r="CK913" s="167">
        <v>0</v>
      </c>
      <c r="CL913" s="167">
        <v>0</v>
      </c>
      <c r="CM913" s="167">
        <v>0</v>
      </c>
      <c r="CN913" s="167">
        <v>0</v>
      </c>
      <c r="CO913" s="167">
        <v>0</v>
      </c>
      <c r="CP913" s="167">
        <v>0</v>
      </c>
      <c r="CQ913" s="167">
        <v>0</v>
      </c>
      <c r="CR913" s="167">
        <v>0</v>
      </c>
      <c r="CS913" s="167">
        <v>0</v>
      </c>
      <c r="CT913" s="167">
        <v>0</v>
      </c>
      <c r="CU913" s="167">
        <v>0</v>
      </c>
      <c r="CV913" s="167">
        <v>0</v>
      </c>
      <c r="CW913" s="167">
        <v>0</v>
      </c>
      <c r="CX913" s="167">
        <f>SUM(CD913:CH913)</f>
        <v>2</v>
      </c>
      <c r="CY913" s="167">
        <f>SUM(CD913:CM913)</f>
        <v>2</v>
      </c>
    </row>
    <row r="914" spans="1:103" ht="12.75" customHeight="1" x14ac:dyDescent="0.2">
      <c r="A914" s="81">
        <v>6058</v>
      </c>
      <c r="B914" s="165" t="s">
        <v>1930</v>
      </c>
      <c r="C914" s="165" t="s">
        <v>653</v>
      </c>
      <c r="E914" s="165" t="s">
        <v>2651</v>
      </c>
      <c r="G914" s="81">
        <v>523963</v>
      </c>
      <c r="H914" s="81">
        <v>175629</v>
      </c>
      <c r="I914" s="165" t="s">
        <v>259</v>
      </c>
      <c r="L914" s="166">
        <v>0</v>
      </c>
      <c r="M914" s="166">
        <v>2</v>
      </c>
      <c r="N914" s="166">
        <v>2</v>
      </c>
      <c r="O914" s="166">
        <v>2</v>
      </c>
      <c r="P914" s="166">
        <v>2</v>
      </c>
      <c r="R914" s="165" t="s">
        <v>1143</v>
      </c>
      <c r="S914" s="81" t="s">
        <v>113</v>
      </c>
      <c r="T914" s="349">
        <v>42264</v>
      </c>
      <c r="U914" s="349">
        <v>42459</v>
      </c>
      <c r="W914" s="81" t="s">
        <v>114</v>
      </c>
      <c r="Y914" s="81" t="s">
        <v>115</v>
      </c>
      <c r="Z914" s="81" t="s">
        <v>116</v>
      </c>
      <c r="AA914" s="81" t="s">
        <v>117</v>
      </c>
      <c r="AB914" s="81" t="s">
        <v>218</v>
      </c>
      <c r="AC914" s="166">
        <v>2.19999998807907E-2</v>
      </c>
      <c r="AG914" s="81" t="s">
        <v>238</v>
      </c>
      <c r="AH914" s="81" t="s">
        <v>118</v>
      </c>
      <c r="AK914" s="166">
        <v>2</v>
      </c>
      <c r="AM914" s="166">
        <v>0</v>
      </c>
      <c r="AO914" s="166">
        <v>0</v>
      </c>
      <c r="AP914" s="166">
        <v>1</v>
      </c>
      <c r="AQ914" s="166">
        <v>1</v>
      </c>
      <c r="AR914" s="166">
        <v>0</v>
      </c>
      <c r="AS914" s="166">
        <v>0</v>
      </c>
      <c r="AT914" s="166">
        <v>0</v>
      </c>
      <c r="AU914" s="166">
        <v>0</v>
      </c>
      <c r="AV914" s="166">
        <v>0</v>
      </c>
      <c r="AW914" s="166">
        <v>1</v>
      </c>
      <c r="AX914" s="166">
        <v>1</v>
      </c>
      <c r="AY914" s="166">
        <v>0</v>
      </c>
      <c r="AZ914" s="166">
        <v>0</v>
      </c>
      <c r="BA914" s="166">
        <v>0</v>
      </c>
      <c r="BB914" s="166">
        <v>0</v>
      </c>
      <c r="BC914" s="166">
        <v>0</v>
      </c>
      <c r="BD914" s="166">
        <v>0</v>
      </c>
      <c r="BE914" s="166">
        <v>0</v>
      </c>
      <c r="BF914" s="166">
        <v>0</v>
      </c>
      <c r="BG914" s="166">
        <v>0</v>
      </c>
      <c r="BH914" s="166">
        <v>0</v>
      </c>
      <c r="BI914" s="166">
        <v>0</v>
      </c>
      <c r="BJ914" s="166">
        <v>0</v>
      </c>
      <c r="BK914" s="166">
        <v>0</v>
      </c>
      <c r="BL914" s="166">
        <v>0</v>
      </c>
      <c r="BM914" s="166">
        <v>0</v>
      </c>
      <c r="BN914" s="166">
        <v>0</v>
      </c>
      <c r="BO914" s="166">
        <v>0</v>
      </c>
      <c r="BP914" s="166">
        <v>0</v>
      </c>
      <c r="BQ914" s="81" t="s">
        <v>1758</v>
      </c>
      <c r="BZ914" s="81" t="s">
        <v>155</v>
      </c>
      <c r="CA914" s="81">
        <v>4</v>
      </c>
      <c r="CC914" s="167">
        <v>0</v>
      </c>
      <c r="CD914" s="167">
        <v>0</v>
      </c>
      <c r="CE914" s="167">
        <f>$N914/4</f>
        <v>0.5</v>
      </c>
      <c r="CF914" s="167">
        <f>$N914/4</f>
        <v>0.5</v>
      </c>
      <c r="CG914" s="167">
        <f>$N914/4</f>
        <v>0.5</v>
      </c>
      <c r="CH914" s="167">
        <f>$N914/4</f>
        <v>0.5</v>
      </c>
      <c r="CI914" s="167">
        <v>0</v>
      </c>
      <c r="CJ914" s="167">
        <v>0</v>
      </c>
      <c r="CK914" s="167">
        <v>0</v>
      </c>
      <c r="CL914" s="167">
        <v>0</v>
      </c>
      <c r="CM914" s="167">
        <v>0</v>
      </c>
      <c r="CN914" s="167">
        <v>0</v>
      </c>
      <c r="CO914" s="167">
        <v>0</v>
      </c>
      <c r="CP914" s="167">
        <v>0</v>
      </c>
      <c r="CQ914" s="167">
        <v>0</v>
      </c>
      <c r="CR914" s="167">
        <v>0</v>
      </c>
      <c r="CS914" s="167">
        <v>0</v>
      </c>
      <c r="CT914" s="167">
        <v>0</v>
      </c>
      <c r="CU914" s="167">
        <v>0</v>
      </c>
      <c r="CV914" s="167">
        <v>0</v>
      </c>
      <c r="CW914" s="167">
        <v>0</v>
      </c>
      <c r="CX914" s="167">
        <f>SUM(CD914:CH914)</f>
        <v>2</v>
      </c>
      <c r="CY914" s="167">
        <f>SUM(CD914:CM914)</f>
        <v>2</v>
      </c>
    </row>
    <row r="915" spans="1:103" ht="12.75" customHeight="1" x14ac:dyDescent="0.2">
      <c r="A915" s="81">
        <v>6063</v>
      </c>
      <c r="B915" s="165" t="s">
        <v>1930</v>
      </c>
      <c r="C915" s="165" t="s">
        <v>784</v>
      </c>
      <c r="E915" s="165" t="s">
        <v>2652</v>
      </c>
      <c r="G915" s="81">
        <v>527408</v>
      </c>
      <c r="H915" s="81">
        <v>176440</v>
      </c>
      <c r="I915" s="165" t="s">
        <v>257</v>
      </c>
      <c r="L915" s="166">
        <v>0</v>
      </c>
      <c r="M915" s="166">
        <v>1</v>
      </c>
      <c r="N915" s="166">
        <v>1</v>
      </c>
      <c r="O915" s="166">
        <v>1</v>
      </c>
      <c r="P915" s="166">
        <v>1</v>
      </c>
      <c r="R915" s="165" t="s">
        <v>1145</v>
      </c>
      <c r="S915" s="81" t="s">
        <v>113</v>
      </c>
      <c r="T915" s="349">
        <v>42257</v>
      </c>
      <c r="U915" s="349">
        <v>42580</v>
      </c>
      <c r="W915" s="81" t="s">
        <v>114</v>
      </c>
      <c r="Y915" s="81" t="s">
        <v>115</v>
      </c>
      <c r="Z915" s="81" t="s">
        <v>116</v>
      </c>
      <c r="AA915" s="81" t="s">
        <v>117</v>
      </c>
      <c r="AB915" s="81" t="s">
        <v>218</v>
      </c>
      <c r="AC915" s="166">
        <v>1.7999999225139601E-2</v>
      </c>
      <c r="AG915" s="81" t="s">
        <v>238</v>
      </c>
      <c r="AH915" s="81" t="s">
        <v>118</v>
      </c>
      <c r="AK915" s="166">
        <v>1</v>
      </c>
      <c r="AM915" s="166">
        <v>0</v>
      </c>
      <c r="AO915" s="166">
        <v>0</v>
      </c>
      <c r="AP915" s="166">
        <v>0</v>
      </c>
      <c r="AQ915" s="166">
        <v>1</v>
      </c>
      <c r="AR915" s="166">
        <v>0</v>
      </c>
      <c r="AS915" s="166">
        <v>0</v>
      </c>
      <c r="AT915" s="166">
        <v>0</v>
      </c>
      <c r="AU915" s="166">
        <v>0</v>
      </c>
      <c r="AV915" s="166">
        <v>0</v>
      </c>
      <c r="AW915" s="166">
        <v>0</v>
      </c>
      <c r="AX915" s="166">
        <v>0</v>
      </c>
      <c r="AY915" s="166">
        <v>0</v>
      </c>
      <c r="AZ915" s="166">
        <v>0</v>
      </c>
      <c r="BA915" s="166">
        <v>0</v>
      </c>
      <c r="BB915" s="166">
        <v>0</v>
      </c>
      <c r="BC915" s="166">
        <v>0</v>
      </c>
      <c r="BD915" s="166">
        <v>0</v>
      </c>
      <c r="BE915" s="166">
        <v>1</v>
      </c>
      <c r="BF915" s="166">
        <v>0</v>
      </c>
      <c r="BG915" s="166">
        <v>0</v>
      </c>
      <c r="BH915" s="166">
        <v>0</v>
      </c>
      <c r="BI915" s="166">
        <v>0</v>
      </c>
      <c r="BJ915" s="166">
        <v>0</v>
      </c>
      <c r="BK915" s="166">
        <v>0</v>
      </c>
      <c r="BL915" s="166">
        <v>0</v>
      </c>
      <c r="BM915" s="166">
        <v>0</v>
      </c>
      <c r="BN915" s="166">
        <v>0</v>
      </c>
      <c r="BO915" s="166">
        <v>0</v>
      </c>
      <c r="BP915" s="166">
        <v>0</v>
      </c>
      <c r="BQ915" s="81" t="s">
        <v>1757</v>
      </c>
      <c r="BZ915" s="81" t="s">
        <v>155</v>
      </c>
      <c r="CA915" s="81">
        <v>4</v>
      </c>
      <c r="CC915" s="167">
        <v>0</v>
      </c>
      <c r="CD915" s="167">
        <v>0</v>
      </c>
      <c r="CE915" s="167">
        <f>$N915/4</f>
        <v>0.25</v>
      </c>
      <c r="CF915" s="167">
        <f>$N915/4</f>
        <v>0.25</v>
      </c>
      <c r="CG915" s="167">
        <f>$N915/4</f>
        <v>0.25</v>
      </c>
      <c r="CH915" s="167">
        <f>$N915/4</f>
        <v>0.25</v>
      </c>
      <c r="CI915" s="167">
        <v>0</v>
      </c>
      <c r="CJ915" s="167">
        <v>0</v>
      </c>
      <c r="CK915" s="167">
        <v>0</v>
      </c>
      <c r="CL915" s="167">
        <v>0</v>
      </c>
      <c r="CM915" s="167">
        <v>0</v>
      </c>
      <c r="CN915" s="167">
        <v>0</v>
      </c>
      <c r="CO915" s="167">
        <v>0</v>
      </c>
      <c r="CP915" s="167">
        <v>0</v>
      </c>
      <c r="CQ915" s="167">
        <v>0</v>
      </c>
      <c r="CR915" s="167">
        <v>0</v>
      </c>
      <c r="CS915" s="167">
        <v>0</v>
      </c>
      <c r="CT915" s="167">
        <v>0</v>
      </c>
      <c r="CU915" s="167">
        <v>0</v>
      </c>
      <c r="CV915" s="167">
        <v>0</v>
      </c>
      <c r="CW915" s="167">
        <v>0</v>
      </c>
      <c r="CX915" s="167">
        <f>SUM(CD915:CH915)</f>
        <v>1</v>
      </c>
      <c r="CY915" s="167">
        <f>SUM(CD915:CM915)</f>
        <v>1</v>
      </c>
    </row>
    <row r="916" spans="1:103" ht="12.75" customHeight="1" x14ac:dyDescent="0.2">
      <c r="A916" s="81">
        <v>6072</v>
      </c>
      <c r="B916" s="165" t="s">
        <v>1930</v>
      </c>
      <c r="C916" s="165" t="s">
        <v>664</v>
      </c>
      <c r="E916" s="165" t="s">
        <v>2653</v>
      </c>
      <c r="G916" s="81">
        <v>528353</v>
      </c>
      <c r="H916" s="81">
        <v>172928</v>
      </c>
      <c r="I916" s="165" t="s">
        <v>248</v>
      </c>
      <c r="L916" s="166">
        <v>0</v>
      </c>
      <c r="M916" s="166">
        <v>1</v>
      </c>
      <c r="N916" s="166">
        <v>1</v>
      </c>
      <c r="O916" s="166">
        <v>1</v>
      </c>
      <c r="P916" s="166">
        <v>1</v>
      </c>
      <c r="R916" s="165" t="s">
        <v>665</v>
      </c>
      <c r="S916" s="81" t="s">
        <v>113</v>
      </c>
      <c r="T916" s="349">
        <v>42327</v>
      </c>
      <c r="U916" s="349">
        <v>42381</v>
      </c>
      <c r="W916" s="81" t="s">
        <v>114</v>
      </c>
      <c r="Y916" s="81" t="s">
        <v>115</v>
      </c>
      <c r="Z916" s="81" t="s">
        <v>398</v>
      </c>
      <c r="AA916" s="81" t="s">
        <v>117</v>
      </c>
      <c r="AB916" s="81" t="s">
        <v>311</v>
      </c>
      <c r="AC916" s="166">
        <v>4.0000001899898104E-3</v>
      </c>
      <c r="AG916" s="81" t="s">
        <v>238</v>
      </c>
      <c r="AH916" s="81" t="s">
        <v>118</v>
      </c>
      <c r="AK916" s="166">
        <v>0</v>
      </c>
      <c r="AM916" s="166">
        <v>0</v>
      </c>
      <c r="AO916" s="166">
        <v>0</v>
      </c>
      <c r="AP916" s="166">
        <v>1</v>
      </c>
      <c r="AQ916" s="166">
        <v>0</v>
      </c>
      <c r="AR916" s="166">
        <v>0</v>
      </c>
      <c r="AS916" s="166">
        <v>0</v>
      </c>
      <c r="AT916" s="166">
        <v>0</v>
      </c>
      <c r="AU916" s="166">
        <v>0</v>
      </c>
      <c r="AV916" s="166">
        <v>0</v>
      </c>
      <c r="AW916" s="166">
        <v>1</v>
      </c>
      <c r="AX916" s="166">
        <v>0</v>
      </c>
      <c r="AY916" s="166">
        <v>0</v>
      </c>
      <c r="AZ916" s="166">
        <v>0</v>
      </c>
      <c r="BA916" s="166">
        <v>0</v>
      </c>
      <c r="BB916" s="166">
        <v>0</v>
      </c>
      <c r="BC916" s="166">
        <v>0</v>
      </c>
      <c r="BD916" s="166">
        <v>0</v>
      </c>
      <c r="BE916" s="166">
        <v>0</v>
      </c>
      <c r="BF916" s="166">
        <v>0</v>
      </c>
      <c r="BG916" s="166">
        <v>0</v>
      </c>
      <c r="BH916" s="166">
        <v>0</v>
      </c>
      <c r="BI916" s="166">
        <v>0</v>
      </c>
      <c r="BJ916" s="166">
        <v>0</v>
      </c>
      <c r="BK916" s="166">
        <v>0</v>
      </c>
      <c r="BL916" s="166">
        <v>0</v>
      </c>
      <c r="BM916" s="166">
        <v>0</v>
      </c>
      <c r="BN916" s="166">
        <v>0</v>
      </c>
      <c r="BO916" s="166">
        <v>0</v>
      </c>
      <c r="BP916" s="166">
        <v>0</v>
      </c>
      <c r="BQ916" s="81" t="s">
        <v>1757</v>
      </c>
      <c r="BZ916" s="81" t="s">
        <v>155</v>
      </c>
      <c r="CA916" s="81" t="s">
        <v>1937</v>
      </c>
      <c r="CC916" s="167">
        <v>0</v>
      </c>
      <c r="CD916" s="167">
        <f>$N916/4</f>
        <v>0.25</v>
      </c>
      <c r="CE916" s="167">
        <f>$N916/4</f>
        <v>0.25</v>
      </c>
      <c r="CF916" s="167">
        <f>$N916/4</f>
        <v>0.25</v>
      </c>
      <c r="CG916" s="167">
        <f>$N916/4</f>
        <v>0.25</v>
      </c>
      <c r="CH916" s="167">
        <v>0</v>
      </c>
      <c r="CI916" s="167">
        <v>0</v>
      </c>
      <c r="CJ916" s="167">
        <v>0</v>
      </c>
      <c r="CK916" s="167">
        <v>0</v>
      </c>
      <c r="CL916" s="167">
        <v>0</v>
      </c>
      <c r="CM916" s="167">
        <v>0</v>
      </c>
      <c r="CN916" s="167">
        <v>0</v>
      </c>
      <c r="CO916" s="167">
        <v>0</v>
      </c>
      <c r="CP916" s="167">
        <v>0</v>
      </c>
      <c r="CQ916" s="167">
        <v>0</v>
      </c>
      <c r="CR916" s="167">
        <v>0</v>
      </c>
      <c r="CS916" s="167">
        <v>0</v>
      </c>
      <c r="CT916" s="167">
        <v>0</v>
      </c>
      <c r="CU916" s="167">
        <v>0</v>
      </c>
      <c r="CV916" s="167">
        <v>0</v>
      </c>
      <c r="CW916" s="167">
        <v>0</v>
      </c>
      <c r="CX916" s="167">
        <f>SUM(CD916:CH916)</f>
        <v>1</v>
      </c>
      <c r="CY916" s="167">
        <f>SUM(CD916:CM916)</f>
        <v>1</v>
      </c>
    </row>
    <row r="917" spans="1:103" ht="12.75" customHeight="1" x14ac:dyDescent="0.2">
      <c r="A917" s="81">
        <v>6078</v>
      </c>
      <c r="B917" s="165" t="s">
        <v>1930</v>
      </c>
      <c r="C917" s="165" t="s">
        <v>713</v>
      </c>
      <c r="E917" s="165" t="s">
        <v>2654</v>
      </c>
      <c r="G917" s="81">
        <v>528173</v>
      </c>
      <c r="H917" s="81">
        <v>172946</v>
      </c>
      <c r="I917" s="165" t="s">
        <v>254</v>
      </c>
      <c r="L917" s="166">
        <v>1</v>
      </c>
      <c r="M917" s="166">
        <v>2</v>
      </c>
      <c r="N917" s="166">
        <v>1</v>
      </c>
      <c r="O917" s="166">
        <v>2</v>
      </c>
      <c r="P917" s="166">
        <v>1</v>
      </c>
      <c r="R917" s="165" t="s">
        <v>1172</v>
      </c>
      <c r="S917" s="81" t="s">
        <v>113</v>
      </c>
      <c r="T917" s="349">
        <v>42359</v>
      </c>
      <c r="U917" s="349">
        <v>42415</v>
      </c>
      <c r="W917" s="81" t="s">
        <v>114</v>
      </c>
      <c r="Y917" s="81" t="s">
        <v>115</v>
      </c>
      <c r="Z917" s="81" t="s">
        <v>398</v>
      </c>
      <c r="AA917" s="81" t="s">
        <v>117</v>
      </c>
      <c r="AB917" s="81" t="s">
        <v>120</v>
      </c>
      <c r="AC917" s="166">
        <v>1.4000000432133701E-2</v>
      </c>
      <c r="AG917" s="81" t="s">
        <v>238</v>
      </c>
      <c r="AH917" s="81" t="s">
        <v>118</v>
      </c>
      <c r="AK917" s="166">
        <v>0</v>
      </c>
      <c r="AM917" s="166">
        <v>0</v>
      </c>
      <c r="AO917" s="166">
        <v>0</v>
      </c>
      <c r="AP917" s="166">
        <v>0</v>
      </c>
      <c r="AQ917" s="166">
        <v>1</v>
      </c>
      <c r="AR917" s="166">
        <v>0</v>
      </c>
      <c r="AS917" s="166">
        <v>0</v>
      </c>
      <c r="AT917" s="166">
        <v>0</v>
      </c>
      <c r="AU917" s="166">
        <v>0</v>
      </c>
      <c r="AV917" s="166">
        <v>0</v>
      </c>
      <c r="AW917" s="166">
        <v>0</v>
      </c>
      <c r="AX917" s="166">
        <v>1</v>
      </c>
      <c r="AY917" s="166">
        <v>0</v>
      </c>
      <c r="AZ917" s="166">
        <v>1</v>
      </c>
      <c r="BA917" s="166">
        <v>0</v>
      </c>
      <c r="BB917" s="166">
        <v>0</v>
      </c>
      <c r="BC917" s="166">
        <v>0</v>
      </c>
      <c r="BD917" s="166">
        <v>0</v>
      </c>
      <c r="BE917" s="166">
        <v>0</v>
      </c>
      <c r="BF917" s="166">
        <v>0</v>
      </c>
      <c r="BG917" s="166">
        <v>-1</v>
      </c>
      <c r="BH917" s="166">
        <v>0</v>
      </c>
      <c r="BI917" s="166">
        <v>0</v>
      </c>
      <c r="BJ917" s="166">
        <v>0</v>
      </c>
      <c r="BK917" s="166">
        <v>0</v>
      </c>
      <c r="BL917" s="166">
        <v>0</v>
      </c>
      <c r="BM917" s="166">
        <v>0</v>
      </c>
      <c r="BN917" s="166">
        <v>0</v>
      </c>
      <c r="BO917" s="166">
        <v>0</v>
      </c>
      <c r="BP917" s="166">
        <v>0</v>
      </c>
      <c r="BQ917" s="81" t="s">
        <v>1757</v>
      </c>
      <c r="BZ917" s="81" t="s">
        <v>155</v>
      </c>
      <c r="CA917" s="81" t="s">
        <v>1937</v>
      </c>
      <c r="CC917" s="167">
        <v>0</v>
      </c>
      <c r="CD917" s="167">
        <f>$N917/4</f>
        <v>0.25</v>
      </c>
      <c r="CE917" s="167">
        <f>$N917/4</f>
        <v>0.25</v>
      </c>
      <c r="CF917" s="167">
        <f>$N917/4</f>
        <v>0.25</v>
      </c>
      <c r="CG917" s="167">
        <f>$N917/4</f>
        <v>0.25</v>
      </c>
      <c r="CH917" s="167">
        <v>0</v>
      </c>
      <c r="CI917" s="167">
        <v>0</v>
      </c>
      <c r="CJ917" s="167">
        <v>0</v>
      </c>
      <c r="CK917" s="167">
        <v>0</v>
      </c>
      <c r="CL917" s="167">
        <v>0</v>
      </c>
      <c r="CM917" s="167">
        <v>0</v>
      </c>
      <c r="CN917" s="167">
        <v>0</v>
      </c>
      <c r="CO917" s="167">
        <v>0</v>
      </c>
      <c r="CP917" s="167">
        <v>0</v>
      </c>
      <c r="CQ917" s="167">
        <v>0</v>
      </c>
      <c r="CR917" s="167">
        <v>0</v>
      </c>
      <c r="CS917" s="167">
        <v>0</v>
      </c>
      <c r="CT917" s="167">
        <v>0</v>
      </c>
      <c r="CU917" s="167">
        <v>0</v>
      </c>
      <c r="CV917" s="167">
        <v>0</v>
      </c>
      <c r="CW917" s="167">
        <v>0</v>
      </c>
      <c r="CX917" s="167">
        <f>SUM(CD917:CH917)</f>
        <v>1</v>
      </c>
      <c r="CY917" s="167">
        <f>SUM(CD917:CM917)</f>
        <v>1</v>
      </c>
    </row>
    <row r="918" spans="1:103" ht="12.75" customHeight="1" x14ac:dyDescent="0.2">
      <c r="A918" s="81">
        <v>6084</v>
      </c>
      <c r="B918" s="165" t="s">
        <v>1930</v>
      </c>
      <c r="C918" s="165" t="s">
        <v>675</v>
      </c>
      <c r="E918" s="165" t="s">
        <v>2655</v>
      </c>
      <c r="G918" s="81">
        <v>527366</v>
      </c>
      <c r="H918" s="81">
        <v>175230</v>
      </c>
      <c r="I918" s="165" t="s">
        <v>255</v>
      </c>
      <c r="L918" s="166">
        <v>0</v>
      </c>
      <c r="M918" s="166">
        <v>4</v>
      </c>
      <c r="N918" s="166">
        <v>4</v>
      </c>
      <c r="O918" s="166">
        <v>4</v>
      </c>
      <c r="P918" s="166">
        <v>4</v>
      </c>
      <c r="R918" s="165" t="s">
        <v>676</v>
      </c>
      <c r="S918" s="81" t="s">
        <v>113</v>
      </c>
      <c r="T918" s="349">
        <v>42298</v>
      </c>
      <c r="U918" s="349">
        <v>42439</v>
      </c>
      <c r="W918" s="81" t="s">
        <v>114</v>
      </c>
      <c r="Y918" s="81" t="s">
        <v>115</v>
      </c>
      <c r="Z918" s="81" t="s">
        <v>219</v>
      </c>
      <c r="AA918" s="81" t="s">
        <v>117</v>
      </c>
      <c r="AB918" s="81" t="s">
        <v>3889</v>
      </c>
      <c r="AC918" s="166">
        <v>2.60000005364418E-2</v>
      </c>
      <c r="AG918" s="81" t="s">
        <v>238</v>
      </c>
      <c r="AH918" s="81" t="s">
        <v>118</v>
      </c>
      <c r="AK918" s="166">
        <v>0</v>
      </c>
      <c r="AM918" s="166">
        <v>0</v>
      </c>
      <c r="AO918" s="166">
        <v>0</v>
      </c>
      <c r="AP918" s="166">
        <v>2</v>
      </c>
      <c r="AQ918" s="166">
        <v>2</v>
      </c>
      <c r="AR918" s="166">
        <v>0</v>
      </c>
      <c r="AS918" s="166">
        <v>0</v>
      </c>
      <c r="AT918" s="166">
        <v>0</v>
      </c>
      <c r="AU918" s="166">
        <v>0</v>
      </c>
      <c r="AV918" s="166">
        <v>0</v>
      </c>
      <c r="AW918" s="166">
        <v>2</v>
      </c>
      <c r="AX918" s="166">
        <v>2</v>
      </c>
      <c r="AY918" s="166">
        <v>0</v>
      </c>
      <c r="AZ918" s="166">
        <v>0</v>
      </c>
      <c r="BA918" s="166">
        <v>0</v>
      </c>
      <c r="BB918" s="166">
        <v>0</v>
      </c>
      <c r="BC918" s="166">
        <v>0</v>
      </c>
      <c r="BD918" s="166">
        <v>0</v>
      </c>
      <c r="BE918" s="166">
        <v>0</v>
      </c>
      <c r="BF918" s="166">
        <v>0</v>
      </c>
      <c r="BG918" s="166">
        <v>0</v>
      </c>
      <c r="BH918" s="166">
        <v>0</v>
      </c>
      <c r="BI918" s="166">
        <v>0</v>
      </c>
      <c r="BJ918" s="166">
        <v>0</v>
      </c>
      <c r="BK918" s="166">
        <v>0</v>
      </c>
      <c r="BL918" s="166">
        <v>0</v>
      </c>
      <c r="BM918" s="166">
        <v>0</v>
      </c>
      <c r="BN918" s="166">
        <v>0</v>
      </c>
      <c r="BO918" s="166">
        <v>0</v>
      </c>
      <c r="BP918" s="166">
        <v>0</v>
      </c>
      <c r="BQ918" s="81" t="s">
        <v>1757</v>
      </c>
      <c r="BR918" s="81" t="s">
        <v>160</v>
      </c>
      <c r="BZ918" s="81" t="s">
        <v>155</v>
      </c>
      <c r="CA918" s="81" t="s">
        <v>1937</v>
      </c>
      <c r="CC918" s="167">
        <v>0</v>
      </c>
      <c r="CD918" s="167">
        <f>$N918/4</f>
        <v>1</v>
      </c>
      <c r="CE918" s="167">
        <f>$N918/4</f>
        <v>1</v>
      </c>
      <c r="CF918" s="167">
        <f>$N918/4</f>
        <v>1</v>
      </c>
      <c r="CG918" s="167">
        <f>$N918/4</f>
        <v>1</v>
      </c>
      <c r="CH918" s="167">
        <v>0</v>
      </c>
      <c r="CI918" s="167">
        <v>0</v>
      </c>
      <c r="CJ918" s="167">
        <v>0</v>
      </c>
      <c r="CK918" s="167">
        <v>0</v>
      </c>
      <c r="CL918" s="167">
        <v>0</v>
      </c>
      <c r="CM918" s="167">
        <v>0</v>
      </c>
      <c r="CN918" s="167">
        <v>0</v>
      </c>
      <c r="CO918" s="167">
        <v>0</v>
      </c>
      <c r="CP918" s="167">
        <v>0</v>
      </c>
      <c r="CQ918" s="167">
        <v>0</v>
      </c>
      <c r="CR918" s="167">
        <v>0</v>
      </c>
      <c r="CS918" s="167">
        <v>0</v>
      </c>
      <c r="CT918" s="167">
        <v>0</v>
      </c>
      <c r="CU918" s="167">
        <v>0</v>
      </c>
      <c r="CV918" s="167">
        <v>0</v>
      </c>
      <c r="CW918" s="167">
        <v>0</v>
      </c>
      <c r="CX918" s="167">
        <f>SUM(CD918:CH918)</f>
        <v>4</v>
      </c>
      <c r="CY918" s="167">
        <f>SUM(CD918:CM918)</f>
        <v>4</v>
      </c>
    </row>
    <row r="919" spans="1:103" ht="12.75" customHeight="1" x14ac:dyDescent="0.2">
      <c r="A919" s="81">
        <v>6090</v>
      </c>
      <c r="B919" s="165" t="s">
        <v>1930</v>
      </c>
      <c r="C919" s="165" t="s">
        <v>674</v>
      </c>
      <c r="E919" s="165" t="s">
        <v>2656</v>
      </c>
      <c r="G919" s="81">
        <v>526934</v>
      </c>
      <c r="H919" s="81">
        <v>171768</v>
      </c>
      <c r="I919" s="165" t="s">
        <v>242</v>
      </c>
      <c r="L919" s="166">
        <v>1</v>
      </c>
      <c r="M919" s="166">
        <v>3</v>
      </c>
      <c r="N919" s="166">
        <v>2</v>
      </c>
      <c r="O919" s="166">
        <v>3</v>
      </c>
      <c r="P919" s="166">
        <v>2</v>
      </c>
      <c r="R919" s="165" t="s">
        <v>1149</v>
      </c>
      <c r="S919" s="81" t="s">
        <v>113</v>
      </c>
      <c r="T919" s="349">
        <v>42304</v>
      </c>
      <c r="U919" s="349">
        <v>42360</v>
      </c>
      <c r="W919" s="81" t="s">
        <v>114</v>
      </c>
      <c r="Y919" s="81" t="s">
        <v>115</v>
      </c>
      <c r="Z919" s="81" t="s">
        <v>398</v>
      </c>
      <c r="AA919" s="81" t="s">
        <v>117</v>
      </c>
      <c r="AB919" s="81" t="s">
        <v>220</v>
      </c>
      <c r="AC919" s="166">
        <v>7.0000002160668399E-3</v>
      </c>
      <c r="AG919" s="81" t="s">
        <v>238</v>
      </c>
      <c r="AH919" s="81" t="s">
        <v>118</v>
      </c>
      <c r="AK919" s="166">
        <v>0</v>
      </c>
      <c r="AM919" s="166">
        <v>0</v>
      </c>
      <c r="AO919" s="166">
        <v>0</v>
      </c>
      <c r="AP919" s="166">
        <v>3</v>
      </c>
      <c r="AQ919" s="166">
        <v>-1</v>
      </c>
      <c r="AR919" s="166">
        <v>0</v>
      </c>
      <c r="AS919" s="166">
        <v>0</v>
      </c>
      <c r="AT919" s="166">
        <v>0</v>
      </c>
      <c r="AU919" s="166">
        <v>0</v>
      </c>
      <c r="AV919" s="166">
        <v>0</v>
      </c>
      <c r="AW919" s="166">
        <v>3</v>
      </c>
      <c r="AX919" s="166">
        <v>-1</v>
      </c>
      <c r="AY919" s="166">
        <v>0</v>
      </c>
      <c r="AZ919" s="166">
        <v>0</v>
      </c>
      <c r="BA919" s="166">
        <v>0</v>
      </c>
      <c r="BB919" s="166">
        <v>0</v>
      </c>
      <c r="BC919" s="166">
        <v>0</v>
      </c>
      <c r="BD919" s="166">
        <v>0</v>
      </c>
      <c r="BE919" s="166">
        <v>0</v>
      </c>
      <c r="BF919" s="166">
        <v>0</v>
      </c>
      <c r="BG919" s="166">
        <v>0</v>
      </c>
      <c r="BH919" s="166">
        <v>0</v>
      </c>
      <c r="BI919" s="166">
        <v>0</v>
      </c>
      <c r="BJ919" s="166">
        <v>0</v>
      </c>
      <c r="BK919" s="166">
        <v>0</v>
      </c>
      <c r="BL919" s="166">
        <v>0</v>
      </c>
      <c r="BM919" s="166">
        <v>0</v>
      </c>
      <c r="BN919" s="166">
        <v>0</v>
      </c>
      <c r="BO919" s="166">
        <v>0</v>
      </c>
      <c r="BP919" s="166">
        <v>0</v>
      </c>
      <c r="BQ919" s="81" t="s">
        <v>1757</v>
      </c>
      <c r="BZ919" s="81" t="s">
        <v>155</v>
      </c>
      <c r="CA919" s="81" t="s">
        <v>1937</v>
      </c>
      <c r="CC919" s="167">
        <v>0</v>
      </c>
      <c r="CD919" s="167">
        <f>$N919/4</f>
        <v>0.5</v>
      </c>
      <c r="CE919" s="167">
        <f>$N919/4</f>
        <v>0.5</v>
      </c>
      <c r="CF919" s="167">
        <f>$N919/4</f>
        <v>0.5</v>
      </c>
      <c r="CG919" s="167">
        <f>$N919/4</f>
        <v>0.5</v>
      </c>
      <c r="CH919" s="167">
        <v>0</v>
      </c>
      <c r="CI919" s="167">
        <v>0</v>
      </c>
      <c r="CJ919" s="167">
        <v>0</v>
      </c>
      <c r="CK919" s="167">
        <v>0</v>
      </c>
      <c r="CL919" s="167">
        <v>0</v>
      </c>
      <c r="CM919" s="167">
        <v>0</v>
      </c>
      <c r="CN919" s="167">
        <v>0</v>
      </c>
      <c r="CO919" s="167">
        <v>0</v>
      </c>
      <c r="CP919" s="167">
        <v>0</v>
      </c>
      <c r="CQ919" s="167">
        <v>0</v>
      </c>
      <c r="CR919" s="167">
        <v>0</v>
      </c>
      <c r="CS919" s="167">
        <v>0</v>
      </c>
      <c r="CT919" s="167">
        <v>0</v>
      </c>
      <c r="CU919" s="167">
        <v>0</v>
      </c>
      <c r="CV919" s="167">
        <v>0</v>
      </c>
      <c r="CW919" s="167">
        <v>0</v>
      </c>
      <c r="CX919" s="167">
        <f>SUM(CD919:CH919)</f>
        <v>2</v>
      </c>
      <c r="CY919" s="167">
        <f>SUM(CD919:CM919)</f>
        <v>2</v>
      </c>
    </row>
    <row r="920" spans="1:103" ht="12.75" customHeight="1" x14ac:dyDescent="0.2">
      <c r="A920" s="81">
        <v>6097</v>
      </c>
      <c r="B920" s="165" t="s">
        <v>1930</v>
      </c>
      <c r="C920" s="165" t="s">
        <v>685</v>
      </c>
      <c r="E920" s="165" t="s">
        <v>2657</v>
      </c>
      <c r="G920" s="81">
        <v>527473</v>
      </c>
      <c r="H920" s="81">
        <v>175071</v>
      </c>
      <c r="I920" s="165" t="s">
        <v>255</v>
      </c>
      <c r="L920" s="166">
        <v>1</v>
      </c>
      <c r="M920" s="166">
        <v>2</v>
      </c>
      <c r="N920" s="166">
        <v>1</v>
      </c>
      <c r="O920" s="166">
        <v>2</v>
      </c>
      <c r="P920" s="166">
        <v>1</v>
      </c>
      <c r="R920" s="165" t="s">
        <v>1152</v>
      </c>
      <c r="S920" s="81" t="s">
        <v>296</v>
      </c>
      <c r="T920" s="349">
        <v>42311</v>
      </c>
      <c r="U920" s="349">
        <v>42362</v>
      </c>
      <c r="W920" s="81" t="s">
        <v>297</v>
      </c>
      <c r="X920" s="349">
        <v>42517</v>
      </c>
      <c r="Y920" s="81" t="s">
        <v>115</v>
      </c>
      <c r="Z920" s="81" t="s">
        <v>398</v>
      </c>
      <c r="AA920" s="81" t="s">
        <v>117</v>
      </c>
      <c r="AB920" s="81" t="s">
        <v>220</v>
      </c>
      <c r="AC920" s="166">
        <v>7.0000002160668399E-3</v>
      </c>
      <c r="AG920" s="81" t="s">
        <v>238</v>
      </c>
      <c r="AH920" s="81" t="s">
        <v>118</v>
      </c>
      <c r="AK920" s="166">
        <v>0</v>
      </c>
      <c r="AM920" s="166">
        <v>0</v>
      </c>
      <c r="AO920" s="166">
        <v>0</v>
      </c>
      <c r="AP920" s="166">
        <v>1</v>
      </c>
      <c r="AQ920" s="166">
        <v>0</v>
      </c>
      <c r="AR920" s="166">
        <v>1</v>
      </c>
      <c r="AS920" s="166">
        <v>-1</v>
      </c>
      <c r="AT920" s="166">
        <v>0</v>
      </c>
      <c r="AU920" s="166">
        <v>0</v>
      </c>
      <c r="AV920" s="166">
        <v>0</v>
      </c>
      <c r="AW920" s="166">
        <v>1</v>
      </c>
      <c r="AX920" s="166">
        <v>0</v>
      </c>
      <c r="AY920" s="166">
        <v>1</v>
      </c>
      <c r="AZ920" s="166">
        <v>-1</v>
      </c>
      <c r="BA920" s="166">
        <v>0</v>
      </c>
      <c r="BB920" s="166">
        <v>0</v>
      </c>
      <c r="BC920" s="166">
        <v>0</v>
      </c>
      <c r="BD920" s="166">
        <v>0</v>
      </c>
      <c r="BE920" s="166">
        <v>0</v>
      </c>
      <c r="BF920" s="166">
        <v>0</v>
      </c>
      <c r="BG920" s="166">
        <v>0</v>
      </c>
      <c r="BH920" s="166">
        <v>0</v>
      </c>
      <c r="BI920" s="166">
        <v>0</v>
      </c>
      <c r="BJ920" s="166">
        <v>0</v>
      </c>
      <c r="BK920" s="166">
        <v>0</v>
      </c>
      <c r="BL920" s="166">
        <v>0</v>
      </c>
      <c r="BM920" s="166">
        <v>0</v>
      </c>
      <c r="BN920" s="166">
        <v>0</v>
      </c>
      <c r="BO920" s="166">
        <v>0</v>
      </c>
      <c r="BP920" s="166">
        <v>0</v>
      </c>
      <c r="BQ920" s="81" t="s">
        <v>1757</v>
      </c>
      <c r="BR920" s="81" t="s">
        <v>160</v>
      </c>
      <c r="BZ920" s="81" t="s">
        <v>155</v>
      </c>
      <c r="CA920" s="81" t="s">
        <v>1937</v>
      </c>
      <c r="CC920" s="167">
        <v>0</v>
      </c>
      <c r="CD920" s="167">
        <f>$N920/4</f>
        <v>0.25</v>
      </c>
      <c r="CE920" s="167">
        <f>$N920/4</f>
        <v>0.25</v>
      </c>
      <c r="CF920" s="167">
        <f>$N920/4</f>
        <v>0.25</v>
      </c>
      <c r="CG920" s="167">
        <f>$N920/4</f>
        <v>0.25</v>
      </c>
      <c r="CH920" s="167">
        <v>0</v>
      </c>
      <c r="CI920" s="167">
        <v>0</v>
      </c>
      <c r="CJ920" s="167">
        <v>0</v>
      </c>
      <c r="CK920" s="167">
        <v>0</v>
      </c>
      <c r="CL920" s="167">
        <v>0</v>
      </c>
      <c r="CM920" s="167">
        <v>0</v>
      </c>
      <c r="CN920" s="167">
        <v>0</v>
      </c>
      <c r="CO920" s="167">
        <v>0</v>
      </c>
      <c r="CP920" s="167">
        <v>0</v>
      </c>
      <c r="CQ920" s="167">
        <v>0</v>
      </c>
      <c r="CR920" s="167">
        <v>0</v>
      </c>
      <c r="CS920" s="167">
        <v>0</v>
      </c>
      <c r="CT920" s="167">
        <v>0</v>
      </c>
      <c r="CU920" s="167">
        <v>0</v>
      </c>
      <c r="CV920" s="167">
        <v>0</v>
      </c>
      <c r="CW920" s="167">
        <v>0</v>
      </c>
      <c r="CX920" s="167">
        <f>SUM(CD920:CH920)</f>
        <v>1</v>
      </c>
      <c r="CY920" s="167">
        <f>SUM(CD920:CM920)</f>
        <v>1</v>
      </c>
    </row>
    <row r="921" spans="1:103" ht="12.75" customHeight="1" x14ac:dyDescent="0.2">
      <c r="A921" s="81">
        <v>6105</v>
      </c>
      <c r="B921" s="165" t="s">
        <v>1930</v>
      </c>
      <c r="C921" s="165" t="s">
        <v>1156</v>
      </c>
      <c r="E921" s="165" t="s">
        <v>2658</v>
      </c>
      <c r="G921" s="81">
        <v>527424</v>
      </c>
      <c r="H921" s="81">
        <v>176731</v>
      </c>
      <c r="I921" s="165" t="s">
        <v>257</v>
      </c>
      <c r="L921" s="166">
        <v>1</v>
      </c>
      <c r="M921" s="166">
        <v>2</v>
      </c>
      <c r="N921" s="166">
        <v>1</v>
      </c>
      <c r="O921" s="166">
        <v>2</v>
      </c>
      <c r="P921" s="166">
        <v>1</v>
      </c>
      <c r="R921" s="165" t="s">
        <v>1157</v>
      </c>
      <c r="S921" s="81" t="s">
        <v>296</v>
      </c>
      <c r="T921" s="349">
        <v>42327</v>
      </c>
      <c r="U921" s="349">
        <v>42383</v>
      </c>
      <c r="W921" s="81" t="s">
        <v>297</v>
      </c>
      <c r="X921" s="349">
        <v>42579</v>
      </c>
      <c r="Y921" s="81" t="s">
        <v>115</v>
      </c>
      <c r="Z921" s="81" t="s">
        <v>119</v>
      </c>
      <c r="AA921" s="81" t="s">
        <v>117</v>
      </c>
      <c r="AB921" s="81" t="s">
        <v>220</v>
      </c>
      <c r="AC921" s="166">
        <v>8.9999996125698107E-3</v>
      </c>
      <c r="AG921" s="81" t="s">
        <v>238</v>
      </c>
      <c r="AH921" s="81" t="s">
        <v>118</v>
      </c>
      <c r="AK921" s="166">
        <v>0</v>
      </c>
      <c r="AM921" s="166">
        <v>0</v>
      </c>
      <c r="AO921" s="166">
        <v>0</v>
      </c>
      <c r="AP921" s="166">
        <v>2</v>
      </c>
      <c r="AQ921" s="166">
        <v>0</v>
      </c>
      <c r="AR921" s="166">
        <v>0</v>
      </c>
      <c r="AS921" s="166">
        <v>-1</v>
      </c>
      <c r="AT921" s="166">
        <v>0</v>
      </c>
      <c r="AU921" s="166">
        <v>0</v>
      </c>
      <c r="AV921" s="166">
        <v>0</v>
      </c>
      <c r="AW921" s="166">
        <v>2</v>
      </c>
      <c r="AX921" s="166">
        <v>0</v>
      </c>
      <c r="AY921" s="166">
        <v>0</v>
      </c>
      <c r="AZ921" s="166">
        <v>-1</v>
      </c>
      <c r="BA921" s="166">
        <v>0</v>
      </c>
      <c r="BB921" s="166">
        <v>0</v>
      </c>
      <c r="BC921" s="166">
        <v>0</v>
      </c>
      <c r="BD921" s="166">
        <v>0</v>
      </c>
      <c r="BE921" s="166">
        <v>0</v>
      </c>
      <c r="BF921" s="166">
        <v>0</v>
      </c>
      <c r="BG921" s="166">
        <v>0</v>
      </c>
      <c r="BH921" s="166">
        <v>0</v>
      </c>
      <c r="BI921" s="166">
        <v>0</v>
      </c>
      <c r="BJ921" s="166">
        <v>0</v>
      </c>
      <c r="BK921" s="166">
        <v>0</v>
      </c>
      <c r="BL921" s="166">
        <v>0</v>
      </c>
      <c r="BM921" s="166">
        <v>0</v>
      </c>
      <c r="BN921" s="166">
        <v>0</v>
      </c>
      <c r="BO921" s="166">
        <v>0</v>
      </c>
      <c r="BP921" s="166">
        <v>0</v>
      </c>
      <c r="BQ921" s="81" t="s">
        <v>1757</v>
      </c>
      <c r="BZ921" s="81" t="s">
        <v>155</v>
      </c>
      <c r="CA921" s="81" t="s">
        <v>1937</v>
      </c>
      <c r="CC921" s="167">
        <v>0</v>
      </c>
      <c r="CD921" s="167">
        <f>$N921/4</f>
        <v>0.25</v>
      </c>
      <c r="CE921" s="167">
        <f>$N921/4</f>
        <v>0.25</v>
      </c>
      <c r="CF921" s="167">
        <f>$N921/4</f>
        <v>0.25</v>
      </c>
      <c r="CG921" s="167">
        <f>$N921/4</f>
        <v>0.25</v>
      </c>
      <c r="CH921" s="167">
        <v>0</v>
      </c>
      <c r="CI921" s="167">
        <v>0</v>
      </c>
      <c r="CJ921" s="167">
        <v>0</v>
      </c>
      <c r="CK921" s="167">
        <v>0</v>
      </c>
      <c r="CL921" s="167">
        <v>0</v>
      </c>
      <c r="CM921" s="167">
        <v>0</v>
      </c>
      <c r="CN921" s="167">
        <v>0</v>
      </c>
      <c r="CO921" s="167">
        <v>0</v>
      </c>
      <c r="CP921" s="167">
        <v>0</v>
      </c>
      <c r="CQ921" s="167">
        <v>0</v>
      </c>
      <c r="CR921" s="167">
        <v>0</v>
      </c>
      <c r="CS921" s="167">
        <v>0</v>
      </c>
      <c r="CT921" s="167">
        <v>0</v>
      </c>
      <c r="CU921" s="167">
        <v>0</v>
      </c>
      <c r="CV921" s="167">
        <v>0</v>
      </c>
      <c r="CW921" s="167">
        <v>0</v>
      </c>
      <c r="CX921" s="167">
        <f>SUM(CD921:CH921)</f>
        <v>1</v>
      </c>
      <c r="CY921" s="167">
        <f>SUM(CD921:CM921)</f>
        <v>1</v>
      </c>
    </row>
    <row r="922" spans="1:103" ht="12.75" customHeight="1" x14ac:dyDescent="0.2">
      <c r="A922" s="81">
        <v>6117</v>
      </c>
      <c r="B922" s="165" t="s">
        <v>1930</v>
      </c>
      <c r="C922" s="165" t="s">
        <v>711</v>
      </c>
      <c r="E922" s="165" t="s">
        <v>2659</v>
      </c>
      <c r="G922" s="81">
        <v>523702</v>
      </c>
      <c r="H922" s="81">
        <v>175127</v>
      </c>
      <c r="I922" s="165" t="s">
        <v>250</v>
      </c>
      <c r="L922" s="166">
        <v>0</v>
      </c>
      <c r="M922" s="166">
        <v>1</v>
      </c>
      <c r="N922" s="166">
        <v>1</v>
      </c>
      <c r="O922" s="166">
        <v>1</v>
      </c>
      <c r="P922" s="166">
        <v>1</v>
      </c>
      <c r="R922" s="165" t="s">
        <v>712</v>
      </c>
      <c r="S922" s="81" t="s">
        <v>113</v>
      </c>
      <c r="T922" s="349">
        <v>42355</v>
      </c>
      <c r="U922" s="349">
        <v>42412</v>
      </c>
      <c r="W922" s="81" t="s">
        <v>114</v>
      </c>
      <c r="Y922" s="81" t="s">
        <v>115</v>
      </c>
      <c r="Z922" s="81" t="s">
        <v>398</v>
      </c>
      <c r="AA922" s="81" t="s">
        <v>117</v>
      </c>
      <c r="AB922" s="81" t="s">
        <v>311</v>
      </c>
      <c r="AC922" s="166">
        <v>3.0000000260770299E-3</v>
      </c>
      <c r="AG922" s="81" t="s">
        <v>238</v>
      </c>
      <c r="AH922" s="81" t="s">
        <v>118</v>
      </c>
      <c r="AK922" s="166">
        <v>0</v>
      </c>
      <c r="AM922" s="166">
        <v>0</v>
      </c>
      <c r="AO922" s="166">
        <v>0</v>
      </c>
      <c r="AP922" s="166">
        <v>1</v>
      </c>
      <c r="AQ922" s="166">
        <v>0</v>
      </c>
      <c r="AR922" s="166">
        <v>0</v>
      </c>
      <c r="AS922" s="166">
        <v>0</v>
      </c>
      <c r="AT922" s="166">
        <v>0</v>
      </c>
      <c r="AU922" s="166">
        <v>0</v>
      </c>
      <c r="AV922" s="166">
        <v>0</v>
      </c>
      <c r="AW922" s="166">
        <v>1</v>
      </c>
      <c r="AX922" s="166">
        <v>0</v>
      </c>
      <c r="AY922" s="166">
        <v>0</v>
      </c>
      <c r="AZ922" s="166">
        <v>0</v>
      </c>
      <c r="BA922" s="166">
        <v>0</v>
      </c>
      <c r="BB922" s="166">
        <v>0</v>
      </c>
      <c r="BC922" s="166">
        <v>0</v>
      </c>
      <c r="BD922" s="166">
        <v>0</v>
      </c>
      <c r="BE922" s="166">
        <v>0</v>
      </c>
      <c r="BF922" s="166">
        <v>0</v>
      </c>
      <c r="BG922" s="166">
        <v>0</v>
      </c>
      <c r="BH922" s="166">
        <v>0</v>
      </c>
      <c r="BI922" s="166">
        <v>0</v>
      </c>
      <c r="BJ922" s="166">
        <v>0</v>
      </c>
      <c r="BK922" s="166">
        <v>0</v>
      </c>
      <c r="BL922" s="166">
        <v>0</v>
      </c>
      <c r="BM922" s="166">
        <v>0</v>
      </c>
      <c r="BN922" s="166">
        <v>0</v>
      </c>
      <c r="BO922" s="166">
        <v>0</v>
      </c>
      <c r="BP922" s="166">
        <v>0</v>
      </c>
      <c r="BQ922" s="81" t="s">
        <v>1758</v>
      </c>
      <c r="BR922" s="81" t="s">
        <v>161</v>
      </c>
      <c r="BZ922" s="81" t="s">
        <v>155</v>
      </c>
      <c r="CA922" s="81" t="s">
        <v>1937</v>
      </c>
      <c r="CC922" s="167">
        <v>0</v>
      </c>
      <c r="CD922" s="167">
        <f>$N922/4</f>
        <v>0.25</v>
      </c>
      <c r="CE922" s="167">
        <f>$N922/4</f>
        <v>0.25</v>
      </c>
      <c r="CF922" s="167">
        <f>$N922/4</f>
        <v>0.25</v>
      </c>
      <c r="CG922" s="167">
        <f>$N922/4</f>
        <v>0.25</v>
      </c>
      <c r="CH922" s="167">
        <v>0</v>
      </c>
      <c r="CI922" s="167">
        <v>0</v>
      </c>
      <c r="CJ922" s="167">
        <v>0</v>
      </c>
      <c r="CK922" s="167">
        <v>0</v>
      </c>
      <c r="CL922" s="167">
        <v>0</v>
      </c>
      <c r="CM922" s="167">
        <v>0</v>
      </c>
      <c r="CN922" s="167">
        <v>0</v>
      </c>
      <c r="CO922" s="167">
        <v>0</v>
      </c>
      <c r="CP922" s="167">
        <v>0</v>
      </c>
      <c r="CQ922" s="167">
        <v>0</v>
      </c>
      <c r="CR922" s="167">
        <v>0</v>
      </c>
      <c r="CS922" s="167">
        <v>0</v>
      </c>
      <c r="CT922" s="167">
        <v>0</v>
      </c>
      <c r="CU922" s="167">
        <v>0</v>
      </c>
      <c r="CV922" s="167">
        <v>0</v>
      </c>
      <c r="CW922" s="167">
        <v>0</v>
      </c>
      <c r="CX922" s="167">
        <f>SUM(CD922:CH922)</f>
        <v>1</v>
      </c>
      <c r="CY922" s="167">
        <f>SUM(CD922:CM922)</f>
        <v>1</v>
      </c>
    </row>
    <row r="923" spans="1:103" ht="12.75" customHeight="1" x14ac:dyDescent="0.2">
      <c r="A923" s="81">
        <v>6122</v>
      </c>
      <c r="B923" s="165" t="s">
        <v>1930</v>
      </c>
      <c r="C923" s="165" t="s">
        <v>2660</v>
      </c>
      <c r="E923" s="165" t="s">
        <v>2661</v>
      </c>
      <c r="G923" s="81">
        <v>526012</v>
      </c>
      <c r="H923" s="81">
        <v>173064</v>
      </c>
      <c r="I923" s="165" t="s">
        <v>249</v>
      </c>
      <c r="L923" s="166">
        <v>1</v>
      </c>
      <c r="M923" s="166">
        <v>3</v>
      </c>
      <c r="N923" s="166">
        <v>2</v>
      </c>
      <c r="O923" s="166">
        <v>3</v>
      </c>
      <c r="P923" s="166">
        <v>2</v>
      </c>
      <c r="R923" s="165" t="s">
        <v>2662</v>
      </c>
      <c r="S923" s="81" t="s">
        <v>113</v>
      </c>
      <c r="T923" s="349">
        <v>43070</v>
      </c>
      <c r="U923" s="349">
        <v>43140</v>
      </c>
      <c r="V923" s="81" t="s">
        <v>155</v>
      </c>
      <c r="W923" s="81" t="s">
        <v>114</v>
      </c>
      <c r="Y923" s="81" t="s">
        <v>115</v>
      </c>
      <c r="Z923" s="81" t="s">
        <v>398</v>
      </c>
      <c r="AA923" s="81" t="s">
        <v>117</v>
      </c>
      <c r="AB923" s="81" t="s">
        <v>220</v>
      </c>
      <c r="AC923" s="166">
        <v>1.09999999403954E-2</v>
      </c>
      <c r="AG923" s="81" t="s">
        <v>238</v>
      </c>
      <c r="AH923" s="81" t="s">
        <v>118</v>
      </c>
      <c r="AK923" s="166">
        <v>0</v>
      </c>
      <c r="AM923" s="166">
        <v>0</v>
      </c>
      <c r="AO923" s="166">
        <v>0</v>
      </c>
      <c r="AP923" s="166">
        <v>2</v>
      </c>
      <c r="AQ923" s="166">
        <v>1</v>
      </c>
      <c r="AR923" s="166">
        <v>-1</v>
      </c>
      <c r="AS923" s="166">
        <v>0</v>
      </c>
      <c r="AT923" s="166">
        <v>0</v>
      </c>
      <c r="AU923" s="166">
        <v>0</v>
      </c>
      <c r="AV923" s="166">
        <v>0</v>
      </c>
      <c r="AW923" s="166">
        <v>2</v>
      </c>
      <c r="AX923" s="166">
        <v>1</v>
      </c>
      <c r="AY923" s="166">
        <v>-1</v>
      </c>
      <c r="AZ923" s="166">
        <v>0</v>
      </c>
      <c r="BA923" s="166">
        <v>0</v>
      </c>
      <c r="BB923" s="166">
        <v>0</v>
      </c>
      <c r="BC923" s="166">
        <v>0</v>
      </c>
      <c r="BD923" s="166">
        <v>0</v>
      </c>
      <c r="BE923" s="166">
        <v>0</v>
      </c>
      <c r="BF923" s="166">
        <v>0</v>
      </c>
      <c r="BG923" s="166">
        <v>0</v>
      </c>
      <c r="BH923" s="166">
        <v>0</v>
      </c>
      <c r="BI923" s="166">
        <v>0</v>
      </c>
      <c r="BJ923" s="166">
        <v>0</v>
      </c>
      <c r="BK923" s="166">
        <v>0</v>
      </c>
      <c r="BL923" s="166">
        <v>0</v>
      </c>
      <c r="BM923" s="166">
        <v>0</v>
      </c>
      <c r="BN923" s="166">
        <v>0</v>
      </c>
      <c r="BO923" s="166">
        <v>0</v>
      </c>
      <c r="BP923" s="166">
        <v>0</v>
      </c>
      <c r="BQ923" s="81" t="s">
        <v>1758</v>
      </c>
      <c r="BY923" s="81" t="s">
        <v>155</v>
      </c>
      <c r="BZ923" s="81" t="s">
        <v>155</v>
      </c>
      <c r="CA923" s="81" t="s">
        <v>1937</v>
      </c>
      <c r="CC923" s="167">
        <v>0</v>
      </c>
      <c r="CD923" s="167">
        <f>$N923/4</f>
        <v>0.5</v>
      </c>
      <c r="CE923" s="167">
        <f>$N923/4</f>
        <v>0.5</v>
      </c>
      <c r="CF923" s="167">
        <f>$N923/4</f>
        <v>0.5</v>
      </c>
      <c r="CG923" s="167">
        <f>$N923/4</f>
        <v>0.5</v>
      </c>
      <c r="CH923" s="167">
        <v>0</v>
      </c>
      <c r="CI923" s="167">
        <v>0</v>
      </c>
      <c r="CJ923" s="167">
        <v>0</v>
      </c>
      <c r="CK923" s="167">
        <v>0</v>
      </c>
      <c r="CL923" s="167">
        <v>0</v>
      </c>
      <c r="CM923" s="167">
        <v>0</v>
      </c>
      <c r="CN923" s="167">
        <v>0</v>
      </c>
      <c r="CO923" s="167">
        <v>0</v>
      </c>
      <c r="CP923" s="167">
        <v>0</v>
      </c>
      <c r="CQ923" s="167">
        <v>0</v>
      </c>
      <c r="CR923" s="167">
        <v>0</v>
      </c>
      <c r="CS923" s="167">
        <v>0</v>
      </c>
      <c r="CT923" s="167">
        <v>0</v>
      </c>
      <c r="CU923" s="167">
        <v>0</v>
      </c>
      <c r="CV923" s="167">
        <v>0</v>
      </c>
      <c r="CW923" s="167">
        <v>0</v>
      </c>
      <c r="CX923" s="167">
        <f>SUM(CD923:CH923)</f>
        <v>2</v>
      </c>
      <c r="CY923" s="167">
        <f>SUM(CD923:CM923)</f>
        <v>2</v>
      </c>
    </row>
    <row r="924" spans="1:103" ht="12.75" customHeight="1" x14ac:dyDescent="0.2">
      <c r="A924" s="81">
        <v>6125</v>
      </c>
      <c r="B924" s="165" t="s">
        <v>1930</v>
      </c>
      <c r="C924" s="165" t="s">
        <v>703</v>
      </c>
      <c r="E924" s="165" t="s">
        <v>2663</v>
      </c>
      <c r="G924" s="81">
        <v>521283</v>
      </c>
      <c r="H924" s="81">
        <v>174446</v>
      </c>
      <c r="I924" s="165" t="s">
        <v>877</v>
      </c>
      <c r="L924" s="166">
        <v>1</v>
      </c>
      <c r="M924" s="166">
        <v>1</v>
      </c>
      <c r="N924" s="166">
        <v>0</v>
      </c>
      <c r="O924" s="166">
        <v>1</v>
      </c>
      <c r="P924" s="166">
        <v>0</v>
      </c>
      <c r="R924" s="165" t="s">
        <v>704</v>
      </c>
      <c r="S924" s="81" t="s">
        <v>113</v>
      </c>
      <c r="T924" s="349">
        <v>42320</v>
      </c>
      <c r="U924" s="349">
        <v>42429</v>
      </c>
      <c r="W924" s="81" t="s">
        <v>114</v>
      </c>
      <c r="Y924" s="81" t="s">
        <v>115</v>
      </c>
      <c r="Z924" s="81" t="s">
        <v>116</v>
      </c>
      <c r="AA924" s="81" t="s">
        <v>117</v>
      </c>
      <c r="AB924" s="81" t="s">
        <v>218</v>
      </c>
      <c r="AC924" s="166">
        <v>7.1999996900558499E-2</v>
      </c>
      <c r="AG924" s="81" t="s">
        <v>238</v>
      </c>
      <c r="AH924" s="81" t="s">
        <v>118</v>
      </c>
      <c r="AK924" s="166">
        <v>1</v>
      </c>
      <c r="AM924" s="166">
        <v>0</v>
      </c>
      <c r="AO924" s="166">
        <v>0</v>
      </c>
      <c r="AP924" s="166">
        <v>0</v>
      </c>
      <c r="AQ924" s="166">
        <v>0</v>
      </c>
      <c r="AR924" s="166">
        <v>-1</v>
      </c>
      <c r="AS924" s="166">
        <v>1</v>
      </c>
      <c r="AT924" s="166">
        <v>0</v>
      </c>
      <c r="AU924" s="166">
        <v>0</v>
      </c>
      <c r="AV924" s="166">
        <v>0</v>
      </c>
      <c r="AW924" s="166">
        <v>0</v>
      </c>
      <c r="AX924" s="166">
        <v>0</v>
      </c>
      <c r="AY924" s="166">
        <v>0</v>
      </c>
      <c r="AZ924" s="166">
        <v>0</v>
      </c>
      <c r="BA924" s="166">
        <v>0</v>
      </c>
      <c r="BB924" s="166">
        <v>0</v>
      </c>
      <c r="BC924" s="166">
        <v>0</v>
      </c>
      <c r="BD924" s="166">
        <v>0</v>
      </c>
      <c r="BE924" s="166">
        <v>0</v>
      </c>
      <c r="BF924" s="166">
        <v>-1</v>
      </c>
      <c r="BG924" s="166">
        <v>1</v>
      </c>
      <c r="BH924" s="166">
        <v>0</v>
      </c>
      <c r="BI924" s="166">
        <v>0</v>
      </c>
      <c r="BJ924" s="166">
        <v>0</v>
      </c>
      <c r="BK924" s="166">
        <v>0</v>
      </c>
      <c r="BL924" s="166">
        <v>0</v>
      </c>
      <c r="BM924" s="166">
        <v>0</v>
      </c>
      <c r="BN924" s="166">
        <v>0</v>
      </c>
      <c r="BO924" s="166">
        <v>0</v>
      </c>
      <c r="BP924" s="166">
        <v>0</v>
      </c>
      <c r="BQ924" s="81" t="s">
        <v>1758</v>
      </c>
      <c r="BZ924" s="81" t="s">
        <v>155</v>
      </c>
      <c r="CA924" s="81">
        <v>4</v>
      </c>
      <c r="CC924" s="167">
        <v>0</v>
      </c>
      <c r="CD924" s="167">
        <v>0</v>
      </c>
      <c r="CE924" s="167">
        <f>$N924/4</f>
        <v>0</v>
      </c>
      <c r="CF924" s="167">
        <f>$N924/4</f>
        <v>0</v>
      </c>
      <c r="CG924" s="167">
        <f>$N924/4</f>
        <v>0</v>
      </c>
      <c r="CH924" s="167">
        <f>$N924/4</f>
        <v>0</v>
      </c>
      <c r="CI924" s="167">
        <v>0</v>
      </c>
      <c r="CJ924" s="167">
        <v>0</v>
      </c>
      <c r="CK924" s="167">
        <v>0</v>
      </c>
      <c r="CL924" s="167">
        <v>0</v>
      </c>
      <c r="CM924" s="167">
        <v>0</v>
      </c>
      <c r="CN924" s="167">
        <v>0</v>
      </c>
      <c r="CO924" s="167">
        <v>0</v>
      </c>
      <c r="CP924" s="167">
        <v>0</v>
      </c>
      <c r="CQ924" s="167">
        <v>0</v>
      </c>
      <c r="CR924" s="167">
        <v>0</v>
      </c>
      <c r="CS924" s="167">
        <v>0</v>
      </c>
      <c r="CT924" s="167">
        <v>0</v>
      </c>
      <c r="CU924" s="167">
        <v>0</v>
      </c>
      <c r="CV924" s="167">
        <v>0</v>
      </c>
      <c r="CW924" s="167">
        <v>0</v>
      </c>
      <c r="CX924" s="167">
        <f>SUM(CD924:CH924)</f>
        <v>0</v>
      </c>
      <c r="CY924" s="167">
        <f>SUM(CD924:CM924)</f>
        <v>0</v>
      </c>
    </row>
    <row r="925" spans="1:103" ht="12.75" customHeight="1" x14ac:dyDescent="0.2">
      <c r="A925" s="81">
        <v>6130</v>
      </c>
      <c r="B925" s="165" t="s">
        <v>1930</v>
      </c>
      <c r="C925" s="165" t="s">
        <v>641</v>
      </c>
      <c r="E925" s="165" t="s">
        <v>2664</v>
      </c>
      <c r="G925" s="81">
        <v>522154</v>
      </c>
      <c r="H925" s="81">
        <v>175135</v>
      </c>
      <c r="I925" s="165" t="s">
        <v>59</v>
      </c>
      <c r="L925" s="166">
        <v>1</v>
      </c>
      <c r="M925" s="166">
        <v>1</v>
      </c>
      <c r="N925" s="166">
        <v>0</v>
      </c>
      <c r="O925" s="166">
        <v>1</v>
      </c>
      <c r="P925" s="166">
        <v>0</v>
      </c>
      <c r="R925" s="165" t="s">
        <v>1140</v>
      </c>
      <c r="S925" s="81" t="s">
        <v>113</v>
      </c>
      <c r="T925" s="349">
        <v>42290</v>
      </c>
      <c r="U925" s="349">
        <v>42429</v>
      </c>
      <c r="W925" s="81" t="s">
        <v>114</v>
      </c>
      <c r="Y925" s="81" t="s">
        <v>115</v>
      </c>
      <c r="Z925" s="81" t="s">
        <v>116</v>
      </c>
      <c r="AA925" s="81" t="s">
        <v>117</v>
      </c>
      <c r="AB925" s="81" t="s">
        <v>218</v>
      </c>
      <c r="AC925" s="166">
        <v>0.13099999725818601</v>
      </c>
      <c r="AG925" s="81" t="s">
        <v>238</v>
      </c>
      <c r="AH925" s="81" t="s">
        <v>118</v>
      </c>
      <c r="AK925" s="166">
        <v>1</v>
      </c>
      <c r="AM925" s="166">
        <v>0</v>
      </c>
      <c r="AO925" s="166">
        <v>0</v>
      </c>
      <c r="AP925" s="166">
        <v>0</v>
      </c>
      <c r="AQ925" s="166">
        <v>0</v>
      </c>
      <c r="AR925" s="166">
        <v>0</v>
      </c>
      <c r="AS925" s="166">
        <v>-1</v>
      </c>
      <c r="AT925" s="166">
        <v>1</v>
      </c>
      <c r="AU925" s="166">
        <v>0</v>
      </c>
      <c r="AV925" s="166">
        <v>0</v>
      </c>
      <c r="AW925" s="166">
        <v>0</v>
      </c>
      <c r="AX925" s="166">
        <v>0</v>
      </c>
      <c r="AY925" s="166">
        <v>0</v>
      </c>
      <c r="AZ925" s="166">
        <v>0</v>
      </c>
      <c r="BA925" s="166">
        <v>0</v>
      </c>
      <c r="BB925" s="166">
        <v>0</v>
      </c>
      <c r="BC925" s="166">
        <v>0</v>
      </c>
      <c r="BD925" s="166">
        <v>0</v>
      </c>
      <c r="BE925" s="166">
        <v>0</v>
      </c>
      <c r="BF925" s="166">
        <v>0</v>
      </c>
      <c r="BG925" s="166">
        <v>-1</v>
      </c>
      <c r="BH925" s="166">
        <v>1</v>
      </c>
      <c r="BI925" s="166">
        <v>0</v>
      </c>
      <c r="BJ925" s="166">
        <v>0</v>
      </c>
      <c r="BK925" s="166">
        <v>0</v>
      </c>
      <c r="BL925" s="166">
        <v>0</v>
      </c>
      <c r="BM925" s="166">
        <v>0</v>
      </c>
      <c r="BN925" s="166">
        <v>0</v>
      </c>
      <c r="BO925" s="166">
        <v>0</v>
      </c>
      <c r="BP925" s="166">
        <v>0</v>
      </c>
      <c r="BQ925" s="81" t="s">
        <v>1758</v>
      </c>
      <c r="BZ925" s="81" t="s">
        <v>155</v>
      </c>
      <c r="CA925" s="81">
        <v>4</v>
      </c>
      <c r="CC925" s="167">
        <v>0</v>
      </c>
      <c r="CD925" s="167">
        <v>0</v>
      </c>
      <c r="CE925" s="167">
        <f>$N925/4</f>
        <v>0</v>
      </c>
      <c r="CF925" s="167">
        <f>$N925/4</f>
        <v>0</v>
      </c>
      <c r="CG925" s="167">
        <f>$N925/4</f>
        <v>0</v>
      </c>
      <c r="CH925" s="167">
        <f>$N925/4</f>
        <v>0</v>
      </c>
      <c r="CI925" s="167">
        <v>0</v>
      </c>
      <c r="CJ925" s="167">
        <v>0</v>
      </c>
      <c r="CK925" s="167">
        <v>0</v>
      </c>
      <c r="CL925" s="167">
        <v>0</v>
      </c>
      <c r="CM925" s="167">
        <v>0</v>
      </c>
      <c r="CN925" s="167">
        <v>0</v>
      </c>
      <c r="CO925" s="167">
        <v>0</v>
      </c>
      <c r="CP925" s="167">
        <v>0</v>
      </c>
      <c r="CQ925" s="167">
        <v>0</v>
      </c>
      <c r="CR925" s="167">
        <v>0</v>
      </c>
      <c r="CS925" s="167">
        <v>0</v>
      </c>
      <c r="CT925" s="167">
        <v>0</v>
      </c>
      <c r="CU925" s="167">
        <v>0</v>
      </c>
      <c r="CV925" s="167">
        <v>0</v>
      </c>
      <c r="CW925" s="167">
        <v>0</v>
      </c>
      <c r="CX925" s="167">
        <f>SUM(CD925:CH925)</f>
        <v>0</v>
      </c>
      <c r="CY925" s="167">
        <f>SUM(CD925:CM925)</f>
        <v>0</v>
      </c>
    </row>
    <row r="926" spans="1:103" ht="12.75" customHeight="1" x14ac:dyDescent="0.2">
      <c r="A926" s="81">
        <v>6135</v>
      </c>
      <c r="B926" s="165" t="s">
        <v>1930</v>
      </c>
      <c r="C926" s="165" t="s">
        <v>721</v>
      </c>
      <c r="E926" s="165" t="s">
        <v>2665</v>
      </c>
      <c r="G926" s="81">
        <v>527630</v>
      </c>
      <c r="H926" s="81">
        <v>171231</v>
      </c>
      <c r="I926" s="165" t="s">
        <v>253</v>
      </c>
      <c r="L926" s="166">
        <v>1</v>
      </c>
      <c r="M926" s="166">
        <v>2</v>
      </c>
      <c r="N926" s="166">
        <v>1</v>
      </c>
      <c r="O926" s="166">
        <v>2</v>
      </c>
      <c r="P926" s="166">
        <v>1</v>
      </c>
      <c r="R926" s="165" t="s">
        <v>1177</v>
      </c>
      <c r="S926" s="81" t="s">
        <v>113</v>
      </c>
      <c r="T926" s="349">
        <v>42387</v>
      </c>
      <c r="U926" s="349">
        <v>42443</v>
      </c>
      <c r="W926" s="81" t="s">
        <v>114</v>
      </c>
      <c r="Y926" s="81" t="s">
        <v>115</v>
      </c>
      <c r="Z926" s="81" t="s">
        <v>398</v>
      </c>
      <c r="AA926" s="81" t="s">
        <v>117</v>
      </c>
      <c r="AB926" s="81" t="s">
        <v>220</v>
      </c>
      <c r="AC926" s="166">
        <v>1.09999999403954E-2</v>
      </c>
      <c r="AG926" s="81" t="s">
        <v>238</v>
      </c>
      <c r="AH926" s="81" t="s">
        <v>118</v>
      </c>
      <c r="AK926" s="166">
        <v>0</v>
      </c>
      <c r="AM926" s="166">
        <v>0</v>
      </c>
      <c r="AO926" s="166">
        <v>0</v>
      </c>
      <c r="AP926" s="166">
        <v>2</v>
      </c>
      <c r="AQ926" s="166">
        <v>0</v>
      </c>
      <c r="AR926" s="166">
        <v>-1</v>
      </c>
      <c r="AS926" s="166">
        <v>0</v>
      </c>
      <c r="AT926" s="166">
        <v>0</v>
      </c>
      <c r="AU926" s="166">
        <v>0</v>
      </c>
      <c r="AV926" s="166">
        <v>0</v>
      </c>
      <c r="AW926" s="166">
        <v>2</v>
      </c>
      <c r="AX926" s="166">
        <v>0</v>
      </c>
      <c r="AY926" s="166">
        <v>-1</v>
      </c>
      <c r="AZ926" s="166">
        <v>0</v>
      </c>
      <c r="BA926" s="166">
        <v>0</v>
      </c>
      <c r="BB926" s="166">
        <v>0</v>
      </c>
      <c r="BC926" s="166">
        <v>0</v>
      </c>
      <c r="BD926" s="166">
        <v>0</v>
      </c>
      <c r="BE926" s="166">
        <v>0</v>
      </c>
      <c r="BF926" s="166">
        <v>0</v>
      </c>
      <c r="BG926" s="166">
        <v>0</v>
      </c>
      <c r="BH926" s="166">
        <v>0</v>
      </c>
      <c r="BI926" s="166">
        <v>0</v>
      </c>
      <c r="BJ926" s="166">
        <v>0</v>
      </c>
      <c r="BK926" s="166">
        <v>0</v>
      </c>
      <c r="BL926" s="166">
        <v>0</v>
      </c>
      <c r="BM926" s="166">
        <v>0</v>
      </c>
      <c r="BN926" s="166">
        <v>0</v>
      </c>
      <c r="BO926" s="166">
        <v>0</v>
      </c>
      <c r="BP926" s="166">
        <v>0</v>
      </c>
      <c r="BQ926" s="81" t="s">
        <v>1757</v>
      </c>
      <c r="BR926" s="81" t="s">
        <v>242</v>
      </c>
      <c r="BZ926" s="81" t="s">
        <v>155</v>
      </c>
      <c r="CA926" s="81" t="s">
        <v>1937</v>
      </c>
      <c r="CC926" s="167">
        <v>0</v>
      </c>
      <c r="CD926" s="167">
        <f>$N926/4</f>
        <v>0.25</v>
      </c>
      <c r="CE926" s="167">
        <f>$N926/4</f>
        <v>0.25</v>
      </c>
      <c r="CF926" s="167">
        <f>$N926/4</f>
        <v>0.25</v>
      </c>
      <c r="CG926" s="167">
        <f>$N926/4</f>
        <v>0.25</v>
      </c>
      <c r="CH926" s="167">
        <v>0</v>
      </c>
      <c r="CI926" s="167">
        <v>0</v>
      </c>
      <c r="CJ926" s="167">
        <v>0</v>
      </c>
      <c r="CK926" s="167">
        <v>0</v>
      </c>
      <c r="CL926" s="167">
        <v>0</v>
      </c>
      <c r="CM926" s="167">
        <v>0</v>
      </c>
      <c r="CN926" s="167">
        <v>0</v>
      </c>
      <c r="CO926" s="167">
        <v>0</v>
      </c>
      <c r="CP926" s="167">
        <v>0</v>
      </c>
      <c r="CQ926" s="167">
        <v>0</v>
      </c>
      <c r="CR926" s="167">
        <v>0</v>
      </c>
      <c r="CS926" s="167">
        <v>0</v>
      </c>
      <c r="CT926" s="167">
        <v>0</v>
      </c>
      <c r="CU926" s="167">
        <v>0</v>
      </c>
      <c r="CV926" s="167">
        <v>0</v>
      </c>
      <c r="CW926" s="167">
        <v>0</v>
      </c>
      <c r="CX926" s="167">
        <f>SUM(CD926:CH926)</f>
        <v>1</v>
      </c>
      <c r="CY926" s="167">
        <f>SUM(CD926:CM926)</f>
        <v>1</v>
      </c>
    </row>
    <row r="927" spans="1:103" ht="12.75" customHeight="1" x14ac:dyDescent="0.2">
      <c r="A927" s="81">
        <v>6142</v>
      </c>
      <c r="B927" s="165" t="s">
        <v>1930</v>
      </c>
      <c r="C927" s="165" t="s">
        <v>732</v>
      </c>
      <c r="E927" s="165" t="s">
        <v>2666</v>
      </c>
      <c r="G927" s="81">
        <v>525109</v>
      </c>
      <c r="H927" s="81">
        <v>175279</v>
      </c>
      <c r="I927" s="165" t="s">
        <v>259</v>
      </c>
      <c r="L927" s="166">
        <v>0</v>
      </c>
      <c r="M927" s="166">
        <v>1</v>
      </c>
      <c r="N927" s="166">
        <v>1</v>
      </c>
      <c r="O927" s="166">
        <v>1</v>
      </c>
      <c r="P927" s="166">
        <v>1</v>
      </c>
      <c r="R927" s="165" t="s">
        <v>562</v>
      </c>
      <c r="S927" s="81" t="s">
        <v>110</v>
      </c>
      <c r="T927" s="349">
        <v>42394</v>
      </c>
      <c r="U927" s="349">
        <v>42450</v>
      </c>
      <c r="W927" s="81" t="s">
        <v>114</v>
      </c>
      <c r="Y927" s="81" t="s">
        <v>115</v>
      </c>
      <c r="Z927" s="81" t="s">
        <v>310</v>
      </c>
      <c r="AA927" s="81" t="s">
        <v>117</v>
      </c>
      <c r="AB927" s="81" t="s">
        <v>399</v>
      </c>
      <c r="AC927" s="166">
        <v>2.0999999716877899E-2</v>
      </c>
      <c r="AG927" s="81" t="s">
        <v>238</v>
      </c>
      <c r="AH927" s="81" t="s">
        <v>118</v>
      </c>
      <c r="AK927" s="166">
        <v>0</v>
      </c>
      <c r="AM927" s="166">
        <v>0</v>
      </c>
      <c r="AO927" s="166">
        <v>0</v>
      </c>
      <c r="AP927" s="166">
        <v>0</v>
      </c>
      <c r="AQ927" s="166">
        <v>1</v>
      </c>
      <c r="AR927" s="166">
        <v>0</v>
      </c>
      <c r="AS927" s="166">
        <v>0</v>
      </c>
      <c r="AT927" s="166">
        <v>0</v>
      </c>
      <c r="AU927" s="166">
        <v>0</v>
      </c>
      <c r="AV927" s="166">
        <v>0</v>
      </c>
      <c r="AW927" s="166">
        <v>0</v>
      </c>
      <c r="AX927" s="166">
        <v>1</v>
      </c>
      <c r="AY927" s="166">
        <v>0</v>
      </c>
      <c r="AZ927" s="166">
        <v>0</v>
      </c>
      <c r="BA927" s="166">
        <v>0</v>
      </c>
      <c r="BB927" s="166">
        <v>0</v>
      </c>
      <c r="BC927" s="166">
        <v>0</v>
      </c>
      <c r="BD927" s="166">
        <v>0</v>
      </c>
      <c r="BE927" s="166">
        <v>0</v>
      </c>
      <c r="BF927" s="166">
        <v>0</v>
      </c>
      <c r="BG927" s="166">
        <v>0</v>
      </c>
      <c r="BH927" s="166">
        <v>0</v>
      </c>
      <c r="BI927" s="166">
        <v>0</v>
      </c>
      <c r="BJ927" s="166">
        <v>0</v>
      </c>
      <c r="BK927" s="166">
        <v>0</v>
      </c>
      <c r="BL927" s="166">
        <v>0</v>
      </c>
      <c r="BM927" s="166">
        <v>0</v>
      </c>
      <c r="BN927" s="166">
        <v>0</v>
      </c>
      <c r="BO927" s="166">
        <v>0</v>
      </c>
      <c r="BP927" s="166">
        <v>0</v>
      </c>
      <c r="BQ927" s="81" t="s">
        <v>1758</v>
      </c>
      <c r="BT927" s="81" t="s">
        <v>155</v>
      </c>
      <c r="BZ927" s="81" t="s">
        <v>155</v>
      </c>
      <c r="CA927" s="81" t="s">
        <v>1937</v>
      </c>
      <c r="CC927" s="167">
        <v>0</v>
      </c>
      <c r="CD927" s="167">
        <f>$N927/4</f>
        <v>0.25</v>
      </c>
      <c r="CE927" s="167">
        <f>$N927/4</f>
        <v>0.25</v>
      </c>
      <c r="CF927" s="167">
        <f>$N927/4</f>
        <v>0.25</v>
      </c>
      <c r="CG927" s="167">
        <f>$N927/4</f>
        <v>0.25</v>
      </c>
      <c r="CH927" s="167">
        <v>0</v>
      </c>
      <c r="CI927" s="167">
        <v>0</v>
      </c>
      <c r="CJ927" s="167">
        <v>0</v>
      </c>
      <c r="CK927" s="167">
        <v>0</v>
      </c>
      <c r="CL927" s="167">
        <v>0</v>
      </c>
      <c r="CM927" s="167">
        <v>0</v>
      </c>
      <c r="CN927" s="167">
        <v>0</v>
      </c>
      <c r="CO927" s="167">
        <v>0</v>
      </c>
      <c r="CP927" s="167">
        <v>0</v>
      </c>
      <c r="CQ927" s="167">
        <v>0</v>
      </c>
      <c r="CR927" s="167">
        <v>0</v>
      </c>
      <c r="CS927" s="167">
        <v>0</v>
      </c>
      <c r="CT927" s="167">
        <v>0</v>
      </c>
      <c r="CU927" s="167">
        <v>0</v>
      </c>
      <c r="CV927" s="167">
        <v>0</v>
      </c>
      <c r="CW927" s="167">
        <v>0</v>
      </c>
      <c r="CX927" s="167">
        <f>SUM(CD927:CH927)</f>
        <v>1</v>
      </c>
      <c r="CY927" s="167">
        <f>SUM(CD927:CM927)</f>
        <v>1</v>
      </c>
    </row>
    <row r="928" spans="1:103" ht="12.75" customHeight="1" x14ac:dyDescent="0.2">
      <c r="A928" s="81">
        <v>6151</v>
      </c>
      <c r="B928" s="165" t="s">
        <v>1930</v>
      </c>
      <c r="C928" s="165" t="s">
        <v>790</v>
      </c>
      <c r="E928" s="165" t="s">
        <v>2667</v>
      </c>
      <c r="G928" s="81">
        <v>523227</v>
      </c>
      <c r="H928" s="81">
        <v>175844</v>
      </c>
      <c r="I928" s="165" t="s">
        <v>259</v>
      </c>
      <c r="L928" s="166">
        <v>0</v>
      </c>
      <c r="M928" s="166">
        <v>1</v>
      </c>
      <c r="N928" s="166">
        <v>1</v>
      </c>
      <c r="O928" s="166">
        <v>1</v>
      </c>
      <c r="P928" s="166">
        <v>1</v>
      </c>
      <c r="R928" s="165" t="s">
        <v>791</v>
      </c>
      <c r="S928" s="81" t="s">
        <v>113</v>
      </c>
      <c r="T928" s="349">
        <v>42497</v>
      </c>
      <c r="U928" s="349">
        <v>42685</v>
      </c>
      <c r="W928" s="81" t="s">
        <v>114</v>
      </c>
      <c r="Y928" s="81" t="s">
        <v>115</v>
      </c>
      <c r="Z928" s="81" t="s">
        <v>310</v>
      </c>
      <c r="AA928" s="81" t="s">
        <v>117</v>
      </c>
      <c r="AB928" s="81" t="s">
        <v>311</v>
      </c>
      <c r="AC928" s="166">
        <v>1.7999999225139601E-2</v>
      </c>
      <c r="AG928" s="81" t="s">
        <v>238</v>
      </c>
      <c r="AH928" s="81" t="s">
        <v>118</v>
      </c>
      <c r="AK928" s="166">
        <v>0</v>
      </c>
      <c r="AM928" s="166">
        <v>0</v>
      </c>
      <c r="AO928" s="166">
        <v>0</v>
      </c>
      <c r="AP928" s="166">
        <v>0</v>
      </c>
      <c r="AQ928" s="166">
        <v>0</v>
      </c>
      <c r="AR928" s="166">
        <v>1</v>
      </c>
      <c r="AS928" s="166">
        <v>0</v>
      </c>
      <c r="AT928" s="166">
        <v>0</v>
      </c>
      <c r="AU928" s="166">
        <v>0</v>
      </c>
      <c r="AV928" s="166">
        <v>0</v>
      </c>
      <c r="AW928" s="166">
        <v>0</v>
      </c>
      <c r="AX928" s="166">
        <v>0</v>
      </c>
      <c r="AY928" s="166">
        <v>1</v>
      </c>
      <c r="AZ928" s="166">
        <v>0</v>
      </c>
      <c r="BA928" s="166">
        <v>0</v>
      </c>
      <c r="BB928" s="166">
        <v>0</v>
      </c>
      <c r="BC928" s="166">
        <v>0</v>
      </c>
      <c r="BD928" s="166">
        <v>0</v>
      </c>
      <c r="BE928" s="166">
        <v>0</v>
      </c>
      <c r="BF928" s="166">
        <v>0</v>
      </c>
      <c r="BG928" s="166">
        <v>0</v>
      </c>
      <c r="BH928" s="166">
        <v>0</v>
      </c>
      <c r="BI928" s="166">
        <v>0</v>
      </c>
      <c r="BJ928" s="166">
        <v>0</v>
      </c>
      <c r="BK928" s="166">
        <v>0</v>
      </c>
      <c r="BL928" s="166">
        <v>0</v>
      </c>
      <c r="BM928" s="166">
        <v>0</v>
      </c>
      <c r="BN928" s="166">
        <v>0</v>
      </c>
      <c r="BO928" s="166">
        <v>0</v>
      </c>
      <c r="BP928" s="166">
        <v>0</v>
      </c>
      <c r="BQ928" s="81" t="s">
        <v>1758</v>
      </c>
      <c r="BZ928" s="81" t="s">
        <v>155</v>
      </c>
      <c r="CA928" s="81" t="s">
        <v>1937</v>
      </c>
      <c r="CC928" s="167">
        <v>0</v>
      </c>
      <c r="CD928" s="167">
        <f>$N928/4</f>
        <v>0.25</v>
      </c>
      <c r="CE928" s="167">
        <f>$N928/4</f>
        <v>0.25</v>
      </c>
      <c r="CF928" s="167">
        <f>$N928/4</f>
        <v>0.25</v>
      </c>
      <c r="CG928" s="167">
        <f>$N928/4</f>
        <v>0.25</v>
      </c>
      <c r="CH928" s="167">
        <v>0</v>
      </c>
      <c r="CI928" s="167">
        <v>0</v>
      </c>
      <c r="CJ928" s="167">
        <v>0</v>
      </c>
      <c r="CK928" s="167">
        <v>0</v>
      </c>
      <c r="CL928" s="167">
        <v>0</v>
      </c>
      <c r="CM928" s="167">
        <v>0</v>
      </c>
      <c r="CN928" s="167">
        <v>0</v>
      </c>
      <c r="CO928" s="167">
        <v>0</v>
      </c>
      <c r="CP928" s="167">
        <v>0</v>
      </c>
      <c r="CQ928" s="167">
        <v>0</v>
      </c>
      <c r="CR928" s="167">
        <v>0</v>
      </c>
      <c r="CS928" s="167">
        <v>0</v>
      </c>
      <c r="CT928" s="167">
        <v>0</v>
      </c>
      <c r="CU928" s="167">
        <v>0</v>
      </c>
      <c r="CV928" s="167">
        <v>0</v>
      </c>
      <c r="CW928" s="167">
        <v>0</v>
      </c>
      <c r="CX928" s="167">
        <f>SUM(CD928:CH928)</f>
        <v>1</v>
      </c>
      <c r="CY928" s="167">
        <f>SUM(CD928:CM928)</f>
        <v>1</v>
      </c>
    </row>
    <row r="929" spans="1:103" ht="12.75" customHeight="1" x14ac:dyDescent="0.2">
      <c r="A929" s="81">
        <v>6159</v>
      </c>
      <c r="B929" s="165" t="s">
        <v>1930</v>
      </c>
      <c r="C929" s="165" t="s">
        <v>1164</v>
      </c>
      <c r="E929" s="165" t="s">
        <v>3427</v>
      </c>
      <c r="F929" s="165" t="s">
        <v>148</v>
      </c>
      <c r="G929" s="81">
        <v>526827</v>
      </c>
      <c r="H929" s="81">
        <v>176609</v>
      </c>
      <c r="I929" s="165" t="s">
        <v>257</v>
      </c>
      <c r="L929" s="166">
        <v>0</v>
      </c>
      <c r="M929" s="166">
        <v>8</v>
      </c>
      <c r="N929" s="166">
        <v>8</v>
      </c>
      <c r="O929" s="166">
        <v>39</v>
      </c>
      <c r="P929" s="166">
        <v>39</v>
      </c>
      <c r="Q929" s="81" t="s">
        <v>155</v>
      </c>
      <c r="R929" s="165" t="s">
        <v>1165</v>
      </c>
      <c r="S929" s="81" t="s">
        <v>104</v>
      </c>
      <c r="T929" s="349">
        <v>42375</v>
      </c>
      <c r="U929" s="349">
        <v>42699</v>
      </c>
      <c r="W929" s="81" t="s">
        <v>114</v>
      </c>
      <c r="Y929" s="81" t="s">
        <v>115</v>
      </c>
      <c r="Z929" s="81" t="s">
        <v>398</v>
      </c>
      <c r="AA929" s="81" t="s">
        <v>116</v>
      </c>
      <c r="AB929" s="81" t="s">
        <v>117</v>
      </c>
      <c r="AC929" s="166">
        <v>3.70000004768372E-2</v>
      </c>
      <c r="AG929" s="81" t="s">
        <v>238</v>
      </c>
      <c r="AH929" s="81" t="s">
        <v>118</v>
      </c>
      <c r="AK929" s="166">
        <v>8</v>
      </c>
      <c r="AM929" s="166">
        <v>1</v>
      </c>
      <c r="AO929" s="166">
        <v>0</v>
      </c>
      <c r="AP929" s="166">
        <v>2</v>
      </c>
      <c r="AQ929" s="166">
        <v>5</v>
      </c>
      <c r="AR929" s="166">
        <v>1</v>
      </c>
      <c r="AS929" s="166">
        <v>0</v>
      </c>
      <c r="AT929" s="166">
        <v>0</v>
      </c>
      <c r="AU929" s="166">
        <v>0</v>
      </c>
      <c r="AV929" s="166">
        <v>0</v>
      </c>
      <c r="AW929" s="166">
        <v>2</v>
      </c>
      <c r="AX929" s="166">
        <v>5</v>
      </c>
      <c r="AY929" s="166">
        <v>1</v>
      </c>
      <c r="AZ929" s="166">
        <v>0</v>
      </c>
      <c r="BA929" s="166">
        <v>0</v>
      </c>
      <c r="BB929" s="166">
        <v>0</v>
      </c>
      <c r="BC929" s="166">
        <v>0</v>
      </c>
      <c r="BD929" s="166">
        <v>0</v>
      </c>
      <c r="BE929" s="166">
        <v>0</v>
      </c>
      <c r="BF929" s="166">
        <v>0</v>
      </c>
      <c r="BG929" s="166">
        <v>0</v>
      </c>
      <c r="BH929" s="166">
        <v>0</v>
      </c>
      <c r="BI929" s="166">
        <v>0</v>
      </c>
      <c r="BJ929" s="166">
        <v>0</v>
      </c>
      <c r="BK929" s="166">
        <v>0</v>
      </c>
      <c r="BL929" s="166">
        <v>0</v>
      </c>
      <c r="BM929" s="166">
        <v>0</v>
      </c>
      <c r="BN929" s="166">
        <v>0</v>
      </c>
      <c r="BO929" s="166">
        <v>0</v>
      </c>
      <c r="BP929" s="166">
        <v>0</v>
      </c>
      <c r="BQ929" s="81" t="s">
        <v>1757</v>
      </c>
      <c r="BZ929" s="81" t="s">
        <v>155</v>
      </c>
      <c r="CA929" s="81" t="s">
        <v>3936</v>
      </c>
      <c r="CC929" s="167">
        <v>0</v>
      </c>
      <c r="CD929" s="167">
        <v>0</v>
      </c>
      <c r="CE929" s="167">
        <v>0</v>
      </c>
      <c r="CF929" s="167">
        <v>0</v>
      </c>
      <c r="CG929" s="167">
        <v>0</v>
      </c>
      <c r="CH929" s="167">
        <f>N929</f>
        <v>8</v>
      </c>
      <c r="CI929" s="167">
        <v>0</v>
      </c>
      <c r="CJ929" s="167">
        <v>0</v>
      </c>
      <c r="CK929" s="167">
        <v>0</v>
      </c>
      <c r="CL929" s="167">
        <v>0</v>
      </c>
      <c r="CM929" s="167">
        <v>0</v>
      </c>
      <c r="CN929" s="167">
        <v>0</v>
      </c>
      <c r="CO929" s="167">
        <v>0</v>
      </c>
      <c r="CP929" s="167">
        <v>0</v>
      </c>
      <c r="CQ929" s="167">
        <v>0</v>
      </c>
      <c r="CR929" s="167">
        <v>0</v>
      </c>
      <c r="CS929" s="167">
        <v>0</v>
      </c>
      <c r="CT929" s="167">
        <v>0</v>
      </c>
      <c r="CU929" s="167">
        <v>0</v>
      </c>
      <c r="CV929" s="167">
        <v>0</v>
      </c>
      <c r="CW929" s="167">
        <v>0</v>
      </c>
      <c r="CX929" s="167">
        <f>SUM(CD929:CH929)</f>
        <v>8</v>
      </c>
      <c r="CY929" s="167">
        <f>SUM(CD929:CM929)</f>
        <v>8</v>
      </c>
    </row>
    <row r="930" spans="1:103" ht="12.75" customHeight="1" x14ac:dyDescent="0.2">
      <c r="A930" s="81">
        <v>6159</v>
      </c>
      <c r="B930" s="165" t="s">
        <v>1930</v>
      </c>
      <c r="C930" s="165" t="s">
        <v>1164</v>
      </c>
      <c r="E930" s="165" t="s">
        <v>3427</v>
      </c>
      <c r="F930" s="165" t="s">
        <v>1166</v>
      </c>
      <c r="G930" s="81">
        <v>526827</v>
      </c>
      <c r="H930" s="81">
        <v>176609</v>
      </c>
      <c r="I930" s="165" t="s">
        <v>257</v>
      </c>
      <c r="L930" s="166">
        <v>0</v>
      </c>
      <c r="M930" s="166">
        <v>3</v>
      </c>
      <c r="N930" s="166">
        <v>3</v>
      </c>
      <c r="O930" s="166">
        <v>39</v>
      </c>
      <c r="P930" s="166">
        <v>39</v>
      </c>
      <c r="Q930" s="81" t="s">
        <v>155</v>
      </c>
      <c r="R930" s="165" t="s">
        <v>1165</v>
      </c>
      <c r="S930" s="81" t="s">
        <v>104</v>
      </c>
      <c r="T930" s="349">
        <v>42375</v>
      </c>
      <c r="U930" s="349">
        <v>42699</v>
      </c>
      <c r="W930" s="81" t="s">
        <v>114</v>
      </c>
      <c r="Y930" s="81" t="s">
        <v>115</v>
      </c>
      <c r="Z930" s="81" t="s">
        <v>398</v>
      </c>
      <c r="AA930" s="81" t="s">
        <v>116</v>
      </c>
      <c r="AB930" s="81" t="s">
        <v>117</v>
      </c>
      <c r="AC930" s="166">
        <v>1.9999999552965199E-2</v>
      </c>
      <c r="AG930" s="81" t="s">
        <v>238</v>
      </c>
      <c r="AH930" s="81" t="s">
        <v>118</v>
      </c>
      <c r="AK930" s="166">
        <v>3</v>
      </c>
      <c r="AM930" s="166">
        <v>0</v>
      </c>
      <c r="AO930" s="166">
        <v>0</v>
      </c>
      <c r="AP930" s="166">
        <v>0</v>
      </c>
      <c r="AQ930" s="166">
        <v>0</v>
      </c>
      <c r="AR930" s="166">
        <v>3</v>
      </c>
      <c r="AS930" s="166">
        <v>0</v>
      </c>
      <c r="AT930" s="166">
        <v>0</v>
      </c>
      <c r="AU930" s="166">
        <v>0</v>
      </c>
      <c r="AV930" s="166">
        <v>0</v>
      </c>
      <c r="AW930" s="166">
        <v>0</v>
      </c>
      <c r="AX930" s="166">
        <v>0</v>
      </c>
      <c r="AY930" s="166">
        <v>3</v>
      </c>
      <c r="AZ930" s="166">
        <v>0</v>
      </c>
      <c r="BA930" s="166">
        <v>0</v>
      </c>
      <c r="BB930" s="166">
        <v>0</v>
      </c>
      <c r="BC930" s="166">
        <v>0</v>
      </c>
      <c r="BD930" s="166">
        <v>0</v>
      </c>
      <c r="BE930" s="166">
        <v>0</v>
      </c>
      <c r="BF930" s="166">
        <v>0</v>
      </c>
      <c r="BG930" s="166">
        <v>0</v>
      </c>
      <c r="BH930" s="166">
        <v>0</v>
      </c>
      <c r="BI930" s="166">
        <v>0</v>
      </c>
      <c r="BJ930" s="166">
        <v>0</v>
      </c>
      <c r="BK930" s="166">
        <v>0</v>
      </c>
      <c r="BL930" s="166">
        <v>0</v>
      </c>
      <c r="BM930" s="166">
        <v>0</v>
      </c>
      <c r="BN930" s="166">
        <v>0</v>
      </c>
      <c r="BO930" s="166">
        <v>0</v>
      </c>
      <c r="BP930" s="166">
        <v>0</v>
      </c>
      <c r="BQ930" s="81" t="s">
        <v>1757</v>
      </c>
      <c r="BZ930" s="81" t="s">
        <v>155</v>
      </c>
      <c r="CA930" s="81" t="s">
        <v>3936</v>
      </c>
      <c r="CC930" s="167">
        <v>0</v>
      </c>
      <c r="CD930" s="167">
        <v>0</v>
      </c>
      <c r="CE930" s="167">
        <v>0</v>
      </c>
      <c r="CF930" s="167">
        <v>0</v>
      </c>
      <c r="CG930" s="167">
        <v>0</v>
      </c>
      <c r="CH930" s="167">
        <f>N930</f>
        <v>3</v>
      </c>
      <c r="CI930" s="167">
        <v>0</v>
      </c>
      <c r="CJ930" s="167">
        <v>0</v>
      </c>
      <c r="CK930" s="167">
        <v>0</v>
      </c>
      <c r="CL930" s="167">
        <v>0</v>
      </c>
      <c r="CM930" s="167">
        <v>0</v>
      </c>
      <c r="CN930" s="167">
        <v>0</v>
      </c>
      <c r="CO930" s="167">
        <v>0</v>
      </c>
      <c r="CP930" s="167">
        <v>0</v>
      </c>
      <c r="CQ930" s="167">
        <v>0</v>
      </c>
      <c r="CR930" s="167">
        <v>0</v>
      </c>
      <c r="CS930" s="167">
        <v>0</v>
      </c>
      <c r="CT930" s="167">
        <v>0</v>
      </c>
      <c r="CU930" s="167">
        <v>0</v>
      </c>
      <c r="CV930" s="167">
        <v>0</v>
      </c>
      <c r="CW930" s="167">
        <v>0</v>
      </c>
      <c r="CX930" s="167">
        <f>SUM(CD930:CH930)</f>
        <v>3</v>
      </c>
      <c r="CY930" s="167">
        <f>SUM(CD930:CM930)</f>
        <v>3</v>
      </c>
    </row>
    <row r="931" spans="1:103" ht="12.75" customHeight="1" x14ac:dyDescent="0.2">
      <c r="A931" s="81">
        <v>6159</v>
      </c>
      <c r="B931" s="165" t="s">
        <v>1930</v>
      </c>
      <c r="C931" s="165" t="s">
        <v>1164</v>
      </c>
      <c r="E931" s="165" t="s">
        <v>3427</v>
      </c>
      <c r="F931" s="165" t="s">
        <v>84</v>
      </c>
      <c r="G931" s="81">
        <v>526827</v>
      </c>
      <c r="H931" s="81">
        <v>176609</v>
      </c>
      <c r="I931" s="165" t="s">
        <v>257</v>
      </c>
      <c r="L931" s="166">
        <v>0</v>
      </c>
      <c r="M931" s="166">
        <v>7</v>
      </c>
      <c r="N931" s="166">
        <v>7</v>
      </c>
      <c r="O931" s="166">
        <v>39</v>
      </c>
      <c r="P931" s="166">
        <v>39</v>
      </c>
      <c r="Q931" s="81" t="s">
        <v>155</v>
      </c>
      <c r="R931" s="165" t="s">
        <v>1165</v>
      </c>
      <c r="S931" s="81" t="s">
        <v>104</v>
      </c>
      <c r="T931" s="349">
        <v>42375</v>
      </c>
      <c r="U931" s="349">
        <v>42699</v>
      </c>
      <c r="W931" s="81" t="s">
        <v>114</v>
      </c>
      <c r="Y931" s="81" t="s">
        <v>115</v>
      </c>
      <c r="Z931" s="81" t="s">
        <v>398</v>
      </c>
      <c r="AA931" s="81" t="s">
        <v>116</v>
      </c>
      <c r="AB931" s="81" t="s">
        <v>117</v>
      </c>
      <c r="AC931" s="166">
        <v>1.0099999606609299E-2</v>
      </c>
      <c r="AG931" s="81" t="s">
        <v>238</v>
      </c>
      <c r="AH931" s="81" t="s">
        <v>118</v>
      </c>
      <c r="AK931" s="166">
        <v>7</v>
      </c>
      <c r="AM931" s="166">
        <v>1</v>
      </c>
      <c r="AO931" s="166">
        <v>0</v>
      </c>
      <c r="AP931" s="166">
        <v>3</v>
      </c>
      <c r="AQ931" s="166">
        <v>3</v>
      </c>
      <c r="AR931" s="166">
        <v>1</v>
      </c>
      <c r="AS931" s="166">
        <v>0</v>
      </c>
      <c r="AT931" s="166">
        <v>0</v>
      </c>
      <c r="AU931" s="166">
        <v>0</v>
      </c>
      <c r="AV931" s="166">
        <v>0</v>
      </c>
      <c r="AW931" s="166">
        <v>3</v>
      </c>
      <c r="AX931" s="166">
        <v>3</v>
      </c>
      <c r="AY931" s="166">
        <v>1</v>
      </c>
      <c r="AZ931" s="166">
        <v>0</v>
      </c>
      <c r="BA931" s="166">
        <v>0</v>
      </c>
      <c r="BB931" s="166">
        <v>0</v>
      </c>
      <c r="BC931" s="166">
        <v>0</v>
      </c>
      <c r="BD931" s="166">
        <v>0</v>
      </c>
      <c r="BE931" s="166">
        <v>0</v>
      </c>
      <c r="BF931" s="166">
        <v>0</v>
      </c>
      <c r="BG931" s="166">
        <v>0</v>
      </c>
      <c r="BH931" s="166">
        <v>0</v>
      </c>
      <c r="BI931" s="166">
        <v>0</v>
      </c>
      <c r="BJ931" s="166">
        <v>0</v>
      </c>
      <c r="BK931" s="166">
        <v>0</v>
      </c>
      <c r="BL931" s="166">
        <v>0</v>
      </c>
      <c r="BM931" s="166">
        <v>0</v>
      </c>
      <c r="BN931" s="166">
        <v>0</v>
      </c>
      <c r="BO931" s="166">
        <v>0</v>
      </c>
      <c r="BP931" s="166">
        <v>0</v>
      </c>
      <c r="BQ931" s="81" t="s">
        <v>1757</v>
      </c>
      <c r="BZ931" s="81" t="s">
        <v>155</v>
      </c>
      <c r="CA931" s="81" t="s">
        <v>3936</v>
      </c>
      <c r="CC931" s="167">
        <v>0</v>
      </c>
      <c r="CD931" s="167">
        <v>0</v>
      </c>
      <c r="CE931" s="167">
        <v>0</v>
      </c>
      <c r="CF931" s="167">
        <v>0</v>
      </c>
      <c r="CG931" s="167">
        <v>0</v>
      </c>
      <c r="CH931" s="167">
        <f>N931</f>
        <v>7</v>
      </c>
      <c r="CI931" s="167">
        <v>0</v>
      </c>
      <c r="CJ931" s="167">
        <v>0</v>
      </c>
      <c r="CK931" s="167">
        <v>0</v>
      </c>
      <c r="CL931" s="167">
        <v>0</v>
      </c>
      <c r="CM931" s="167">
        <v>0</v>
      </c>
      <c r="CN931" s="167">
        <v>0</v>
      </c>
      <c r="CO931" s="167">
        <v>0</v>
      </c>
      <c r="CP931" s="167">
        <v>0</v>
      </c>
      <c r="CQ931" s="167">
        <v>0</v>
      </c>
      <c r="CR931" s="167">
        <v>0</v>
      </c>
      <c r="CS931" s="167">
        <v>0</v>
      </c>
      <c r="CT931" s="167">
        <v>0</v>
      </c>
      <c r="CU931" s="167">
        <v>0</v>
      </c>
      <c r="CV931" s="167">
        <v>0</v>
      </c>
      <c r="CW931" s="167">
        <v>0</v>
      </c>
      <c r="CX931" s="167">
        <f>SUM(CD931:CH931)</f>
        <v>7</v>
      </c>
      <c r="CY931" s="167">
        <f>SUM(CD931:CM931)</f>
        <v>7</v>
      </c>
    </row>
    <row r="932" spans="1:103" ht="12.75" customHeight="1" x14ac:dyDescent="0.2">
      <c r="A932" s="81">
        <v>6159</v>
      </c>
      <c r="B932" s="165" t="s">
        <v>1930</v>
      </c>
      <c r="C932" s="165" t="s">
        <v>1164</v>
      </c>
      <c r="E932" s="165" t="s">
        <v>3427</v>
      </c>
      <c r="F932" s="165" t="s">
        <v>1167</v>
      </c>
      <c r="G932" s="81">
        <v>526827</v>
      </c>
      <c r="H932" s="81">
        <v>176609</v>
      </c>
      <c r="I932" s="165" t="s">
        <v>257</v>
      </c>
      <c r="L932" s="166">
        <v>0</v>
      </c>
      <c r="M932" s="166">
        <v>5</v>
      </c>
      <c r="N932" s="166">
        <v>5</v>
      </c>
      <c r="O932" s="166">
        <v>39</v>
      </c>
      <c r="P932" s="166">
        <v>39</v>
      </c>
      <c r="Q932" s="81" t="s">
        <v>155</v>
      </c>
      <c r="R932" s="165" t="s">
        <v>1165</v>
      </c>
      <c r="S932" s="81" t="s">
        <v>104</v>
      </c>
      <c r="T932" s="349">
        <v>42375</v>
      </c>
      <c r="U932" s="349">
        <v>42699</v>
      </c>
      <c r="W932" s="81" t="s">
        <v>114</v>
      </c>
      <c r="Y932" s="81" t="s">
        <v>115</v>
      </c>
      <c r="Z932" s="81" t="s">
        <v>398</v>
      </c>
      <c r="AA932" s="81" t="s">
        <v>116</v>
      </c>
      <c r="AB932" s="81" t="s">
        <v>218</v>
      </c>
      <c r="AC932" s="166">
        <v>2.19999998807907E-2</v>
      </c>
      <c r="AG932" s="81" t="s">
        <v>238</v>
      </c>
      <c r="AH932" s="81" t="s">
        <v>118</v>
      </c>
      <c r="AK932" s="166">
        <v>5</v>
      </c>
      <c r="AM932" s="166">
        <v>1</v>
      </c>
      <c r="AO932" s="166">
        <v>0</v>
      </c>
      <c r="AP932" s="166">
        <v>0</v>
      </c>
      <c r="AQ932" s="166">
        <v>0</v>
      </c>
      <c r="AR932" s="166">
        <v>0</v>
      </c>
      <c r="AS932" s="166">
        <v>5</v>
      </c>
      <c r="AT932" s="166">
        <v>0</v>
      </c>
      <c r="AU932" s="166">
        <v>0</v>
      </c>
      <c r="AV932" s="166">
        <v>0</v>
      </c>
      <c r="AW932" s="166">
        <v>0</v>
      </c>
      <c r="AX932" s="166">
        <v>0</v>
      </c>
      <c r="AY932" s="166">
        <v>0</v>
      </c>
      <c r="AZ932" s="166">
        <v>0</v>
      </c>
      <c r="BA932" s="166">
        <v>0</v>
      </c>
      <c r="BB932" s="166">
        <v>0</v>
      </c>
      <c r="BC932" s="166">
        <v>0</v>
      </c>
      <c r="BD932" s="166">
        <v>0</v>
      </c>
      <c r="BE932" s="166">
        <v>0</v>
      </c>
      <c r="BF932" s="166">
        <v>0</v>
      </c>
      <c r="BG932" s="166">
        <v>5</v>
      </c>
      <c r="BH932" s="166">
        <v>0</v>
      </c>
      <c r="BI932" s="166">
        <v>0</v>
      </c>
      <c r="BJ932" s="166">
        <v>0</v>
      </c>
      <c r="BK932" s="166">
        <v>0</v>
      </c>
      <c r="BL932" s="166">
        <v>0</v>
      </c>
      <c r="BM932" s="166">
        <v>0</v>
      </c>
      <c r="BN932" s="166">
        <v>0</v>
      </c>
      <c r="BO932" s="166">
        <v>0</v>
      </c>
      <c r="BP932" s="166">
        <v>0</v>
      </c>
      <c r="BQ932" s="81" t="s">
        <v>1757</v>
      </c>
      <c r="BZ932" s="81" t="s">
        <v>155</v>
      </c>
      <c r="CA932" s="81" t="s">
        <v>3936</v>
      </c>
      <c r="CC932" s="167">
        <v>0</v>
      </c>
      <c r="CD932" s="167">
        <v>0</v>
      </c>
      <c r="CE932" s="167">
        <v>0</v>
      </c>
      <c r="CF932" s="167">
        <v>0</v>
      </c>
      <c r="CG932" s="167">
        <v>0</v>
      </c>
      <c r="CH932" s="167">
        <f>N932</f>
        <v>5</v>
      </c>
      <c r="CI932" s="167">
        <v>0</v>
      </c>
      <c r="CJ932" s="167">
        <v>0</v>
      </c>
      <c r="CK932" s="167">
        <v>0</v>
      </c>
      <c r="CL932" s="167">
        <v>0</v>
      </c>
      <c r="CM932" s="167">
        <v>0</v>
      </c>
      <c r="CN932" s="167">
        <v>0</v>
      </c>
      <c r="CO932" s="167">
        <v>0</v>
      </c>
      <c r="CP932" s="167">
        <v>0</v>
      </c>
      <c r="CQ932" s="167">
        <v>0</v>
      </c>
      <c r="CR932" s="167">
        <v>0</v>
      </c>
      <c r="CS932" s="167">
        <v>0</v>
      </c>
      <c r="CT932" s="167">
        <v>0</v>
      </c>
      <c r="CU932" s="167">
        <v>0</v>
      </c>
      <c r="CV932" s="167">
        <v>0</v>
      </c>
      <c r="CW932" s="167">
        <v>0</v>
      </c>
      <c r="CX932" s="167">
        <f>SUM(CD932:CH932)</f>
        <v>5</v>
      </c>
      <c r="CY932" s="167">
        <f>SUM(CD932:CM932)</f>
        <v>5</v>
      </c>
    </row>
    <row r="933" spans="1:103" ht="12.75" customHeight="1" x14ac:dyDescent="0.2">
      <c r="A933" s="81">
        <v>6159</v>
      </c>
      <c r="B933" s="165" t="s">
        <v>1930</v>
      </c>
      <c r="C933" s="165" t="s">
        <v>1164</v>
      </c>
      <c r="E933" s="165" t="s">
        <v>3427</v>
      </c>
      <c r="F933" s="165" t="s">
        <v>1168</v>
      </c>
      <c r="G933" s="81">
        <v>526827</v>
      </c>
      <c r="H933" s="81">
        <v>176609</v>
      </c>
      <c r="I933" s="165" t="s">
        <v>257</v>
      </c>
      <c r="L933" s="166">
        <v>0</v>
      </c>
      <c r="M933" s="166">
        <v>8</v>
      </c>
      <c r="N933" s="166">
        <v>8</v>
      </c>
      <c r="O933" s="166">
        <v>39</v>
      </c>
      <c r="P933" s="166">
        <v>39</v>
      </c>
      <c r="Q933" s="81" t="s">
        <v>155</v>
      </c>
      <c r="R933" s="165" t="s">
        <v>1165</v>
      </c>
      <c r="S933" s="81" t="s">
        <v>104</v>
      </c>
      <c r="T933" s="349">
        <v>42375</v>
      </c>
      <c r="U933" s="349">
        <v>42699</v>
      </c>
      <c r="W933" s="81" t="s">
        <v>114</v>
      </c>
      <c r="Y933" s="81" t="s">
        <v>115</v>
      </c>
      <c r="Z933" s="81" t="s">
        <v>398</v>
      </c>
      <c r="AA933" s="81" t="s">
        <v>116</v>
      </c>
      <c r="AB933" s="81" t="s">
        <v>117</v>
      </c>
      <c r="AC933" s="166">
        <v>3.7999998778104803E-2</v>
      </c>
      <c r="AG933" s="81" t="s">
        <v>238</v>
      </c>
      <c r="AH933" s="81" t="s">
        <v>118</v>
      </c>
      <c r="AK933" s="166">
        <v>0</v>
      </c>
      <c r="AM933" s="166">
        <v>0</v>
      </c>
      <c r="AO933" s="166">
        <v>0</v>
      </c>
      <c r="AP933" s="166">
        <v>2</v>
      </c>
      <c r="AQ933" s="166">
        <v>5</v>
      </c>
      <c r="AR933" s="166">
        <v>1</v>
      </c>
      <c r="AS933" s="166">
        <v>0</v>
      </c>
      <c r="AT933" s="166">
        <v>0</v>
      </c>
      <c r="AU933" s="166">
        <v>0</v>
      </c>
      <c r="AV933" s="166">
        <v>0</v>
      </c>
      <c r="AW933" s="166">
        <v>2</v>
      </c>
      <c r="AX933" s="166">
        <v>5</v>
      </c>
      <c r="AY933" s="166">
        <v>1</v>
      </c>
      <c r="AZ933" s="166">
        <v>0</v>
      </c>
      <c r="BA933" s="166">
        <v>0</v>
      </c>
      <c r="BB933" s="166">
        <v>0</v>
      </c>
      <c r="BC933" s="166">
        <v>0</v>
      </c>
      <c r="BD933" s="166">
        <v>0</v>
      </c>
      <c r="BE933" s="166">
        <v>0</v>
      </c>
      <c r="BF933" s="166">
        <v>0</v>
      </c>
      <c r="BG933" s="166">
        <v>0</v>
      </c>
      <c r="BH933" s="166">
        <v>0</v>
      </c>
      <c r="BI933" s="166">
        <v>0</v>
      </c>
      <c r="BJ933" s="166">
        <v>0</v>
      </c>
      <c r="BK933" s="166">
        <v>0</v>
      </c>
      <c r="BL933" s="166">
        <v>0</v>
      </c>
      <c r="BM933" s="166">
        <v>0</v>
      </c>
      <c r="BN933" s="166">
        <v>0</v>
      </c>
      <c r="BO933" s="166">
        <v>0</v>
      </c>
      <c r="BP933" s="166">
        <v>0</v>
      </c>
      <c r="BQ933" s="81" t="s">
        <v>1757</v>
      </c>
      <c r="BZ933" s="81" t="s">
        <v>155</v>
      </c>
      <c r="CA933" s="81" t="s">
        <v>3936</v>
      </c>
      <c r="CC933" s="167">
        <v>0</v>
      </c>
      <c r="CD933" s="167">
        <v>0</v>
      </c>
      <c r="CE933" s="167">
        <v>0</v>
      </c>
      <c r="CF933" s="167">
        <v>0</v>
      </c>
      <c r="CG933" s="167">
        <v>0</v>
      </c>
      <c r="CH933" s="167">
        <f>N933</f>
        <v>8</v>
      </c>
      <c r="CI933" s="167">
        <v>0</v>
      </c>
      <c r="CJ933" s="167">
        <v>0</v>
      </c>
      <c r="CK933" s="167">
        <v>0</v>
      </c>
      <c r="CL933" s="167">
        <v>0</v>
      </c>
      <c r="CM933" s="167">
        <v>0</v>
      </c>
      <c r="CN933" s="167">
        <v>0</v>
      </c>
      <c r="CO933" s="167">
        <v>0</v>
      </c>
      <c r="CP933" s="167">
        <v>0</v>
      </c>
      <c r="CQ933" s="167">
        <v>0</v>
      </c>
      <c r="CR933" s="167">
        <v>0</v>
      </c>
      <c r="CS933" s="167">
        <v>0</v>
      </c>
      <c r="CT933" s="167">
        <v>0</v>
      </c>
      <c r="CU933" s="167">
        <v>0</v>
      </c>
      <c r="CV933" s="167">
        <v>0</v>
      </c>
      <c r="CW933" s="167">
        <v>0</v>
      </c>
      <c r="CX933" s="167">
        <f>SUM(CD933:CH933)</f>
        <v>8</v>
      </c>
      <c r="CY933" s="167">
        <f>SUM(CD933:CM933)</f>
        <v>8</v>
      </c>
    </row>
    <row r="934" spans="1:103" ht="12.75" customHeight="1" x14ac:dyDescent="0.2">
      <c r="A934" s="81">
        <v>6159</v>
      </c>
      <c r="B934" s="165" t="s">
        <v>1930</v>
      </c>
      <c r="C934" s="165" t="s">
        <v>1164</v>
      </c>
      <c r="E934" s="165" t="s">
        <v>3427</v>
      </c>
      <c r="F934" s="165" t="s">
        <v>1169</v>
      </c>
      <c r="G934" s="81">
        <v>526827</v>
      </c>
      <c r="H934" s="81">
        <v>176609</v>
      </c>
      <c r="I934" s="165" t="s">
        <v>257</v>
      </c>
      <c r="L934" s="166">
        <v>0</v>
      </c>
      <c r="M934" s="166">
        <v>8</v>
      </c>
      <c r="N934" s="166">
        <v>8</v>
      </c>
      <c r="O934" s="166">
        <v>39</v>
      </c>
      <c r="P934" s="166">
        <v>39</v>
      </c>
      <c r="Q934" s="81" t="s">
        <v>155</v>
      </c>
      <c r="R934" s="165" t="s">
        <v>1165</v>
      </c>
      <c r="S934" s="81" t="s">
        <v>104</v>
      </c>
      <c r="T934" s="349">
        <v>42375</v>
      </c>
      <c r="U934" s="349">
        <v>42699</v>
      </c>
      <c r="W934" s="81" t="s">
        <v>114</v>
      </c>
      <c r="Y934" s="81" t="s">
        <v>115</v>
      </c>
      <c r="Z934" s="81" t="s">
        <v>398</v>
      </c>
      <c r="AA934" s="81" t="s">
        <v>116</v>
      </c>
      <c r="AB934" s="81" t="s">
        <v>117</v>
      </c>
      <c r="AC934" s="166">
        <v>3.9000000804662698E-2</v>
      </c>
      <c r="AG934" s="81" t="s">
        <v>238</v>
      </c>
      <c r="AH934" s="81" t="s">
        <v>118</v>
      </c>
      <c r="AK934" s="166">
        <v>8</v>
      </c>
      <c r="AM934" s="166">
        <v>0</v>
      </c>
      <c r="AO934" s="166">
        <v>0</v>
      </c>
      <c r="AP934" s="166">
        <v>2</v>
      </c>
      <c r="AQ934" s="166">
        <v>4</v>
      </c>
      <c r="AR934" s="166">
        <v>2</v>
      </c>
      <c r="AS934" s="166">
        <v>0</v>
      </c>
      <c r="AT934" s="166">
        <v>0</v>
      </c>
      <c r="AU934" s="166">
        <v>0</v>
      </c>
      <c r="AV934" s="166">
        <v>0</v>
      </c>
      <c r="AW934" s="166">
        <v>2</v>
      </c>
      <c r="AX934" s="166">
        <v>4</v>
      </c>
      <c r="AY934" s="166">
        <v>2</v>
      </c>
      <c r="AZ934" s="166">
        <v>0</v>
      </c>
      <c r="BA934" s="166">
        <v>0</v>
      </c>
      <c r="BB934" s="166">
        <v>0</v>
      </c>
      <c r="BC934" s="166">
        <v>0</v>
      </c>
      <c r="BD934" s="166">
        <v>0</v>
      </c>
      <c r="BE934" s="166">
        <v>0</v>
      </c>
      <c r="BF934" s="166">
        <v>0</v>
      </c>
      <c r="BG934" s="166">
        <v>0</v>
      </c>
      <c r="BH934" s="166">
        <v>0</v>
      </c>
      <c r="BI934" s="166">
        <v>0</v>
      </c>
      <c r="BJ934" s="166">
        <v>0</v>
      </c>
      <c r="BK934" s="166">
        <v>0</v>
      </c>
      <c r="BL934" s="166">
        <v>0</v>
      </c>
      <c r="BM934" s="166">
        <v>0</v>
      </c>
      <c r="BN934" s="166">
        <v>0</v>
      </c>
      <c r="BO934" s="166">
        <v>0</v>
      </c>
      <c r="BP934" s="166">
        <v>0</v>
      </c>
      <c r="BQ934" s="81" t="s">
        <v>1757</v>
      </c>
      <c r="BZ934" s="81" t="s">
        <v>155</v>
      </c>
      <c r="CA934" s="81" t="s">
        <v>3936</v>
      </c>
      <c r="CC934" s="167">
        <v>0</v>
      </c>
      <c r="CD934" s="167">
        <v>0</v>
      </c>
      <c r="CE934" s="167">
        <v>0</v>
      </c>
      <c r="CF934" s="167">
        <v>0</v>
      </c>
      <c r="CG934" s="167">
        <v>0</v>
      </c>
      <c r="CH934" s="167">
        <f>N934</f>
        <v>8</v>
      </c>
      <c r="CI934" s="167">
        <v>0</v>
      </c>
      <c r="CJ934" s="167">
        <v>0</v>
      </c>
      <c r="CK934" s="167">
        <v>0</v>
      </c>
      <c r="CL934" s="167">
        <v>0</v>
      </c>
      <c r="CM934" s="167">
        <v>0</v>
      </c>
      <c r="CN934" s="167">
        <v>0</v>
      </c>
      <c r="CO934" s="167">
        <v>0</v>
      </c>
      <c r="CP934" s="167">
        <v>0</v>
      </c>
      <c r="CQ934" s="167">
        <v>0</v>
      </c>
      <c r="CR934" s="167">
        <v>0</v>
      </c>
      <c r="CS934" s="167">
        <v>0</v>
      </c>
      <c r="CT934" s="167">
        <v>0</v>
      </c>
      <c r="CU934" s="167">
        <v>0</v>
      </c>
      <c r="CV934" s="167">
        <v>0</v>
      </c>
      <c r="CW934" s="167">
        <v>0</v>
      </c>
      <c r="CX934" s="167">
        <f>SUM(CD934:CH934)</f>
        <v>8</v>
      </c>
      <c r="CY934" s="167">
        <f>SUM(CD934:CM934)</f>
        <v>8</v>
      </c>
    </row>
    <row r="935" spans="1:103" ht="12.75" customHeight="1" x14ac:dyDescent="0.2">
      <c r="A935" s="81">
        <v>6161</v>
      </c>
      <c r="B935" s="165" t="s">
        <v>1930</v>
      </c>
      <c r="C935" s="165" t="s">
        <v>792</v>
      </c>
      <c r="E935" s="165" t="s">
        <v>2672</v>
      </c>
      <c r="G935" s="81">
        <v>524221</v>
      </c>
      <c r="H935" s="81">
        <v>173791</v>
      </c>
      <c r="I935" s="165" t="s">
        <v>111</v>
      </c>
      <c r="L935" s="166">
        <v>1</v>
      </c>
      <c r="M935" s="166">
        <v>2</v>
      </c>
      <c r="N935" s="166">
        <v>1</v>
      </c>
      <c r="O935" s="166">
        <v>2</v>
      </c>
      <c r="P935" s="166">
        <v>1</v>
      </c>
      <c r="R935" s="165" t="s">
        <v>793</v>
      </c>
      <c r="S935" s="81" t="s">
        <v>113</v>
      </c>
      <c r="T935" s="349">
        <v>42375</v>
      </c>
      <c r="U935" s="349">
        <v>42600</v>
      </c>
      <c r="W935" s="81" t="s">
        <v>114</v>
      </c>
      <c r="Y935" s="81" t="s">
        <v>115</v>
      </c>
      <c r="Z935" s="81" t="s">
        <v>119</v>
      </c>
      <c r="AA935" s="81" t="s">
        <v>117</v>
      </c>
      <c r="AB935" s="81" t="s">
        <v>120</v>
      </c>
      <c r="AC935" s="166">
        <v>4.6999998390674598E-2</v>
      </c>
      <c r="AG935" s="81" t="s">
        <v>238</v>
      </c>
      <c r="AH935" s="81" t="s">
        <v>118</v>
      </c>
      <c r="AK935" s="166">
        <v>0</v>
      </c>
      <c r="AM935" s="166">
        <v>0</v>
      </c>
      <c r="AO935" s="166">
        <v>0</v>
      </c>
      <c r="AP935" s="166">
        <v>1</v>
      </c>
      <c r="AQ935" s="166">
        <v>0</v>
      </c>
      <c r="AR935" s="166">
        <v>0</v>
      </c>
      <c r="AS935" s="166">
        <v>0</v>
      </c>
      <c r="AT935" s="166">
        <v>0</v>
      </c>
      <c r="AU935" s="166">
        <v>0</v>
      </c>
      <c r="AV935" s="166">
        <v>0</v>
      </c>
      <c r="AW935" s="166">
        <v>1</v>
      </c>
      <c r="AX935" s="166">
        <v>0</v>
      </c>
      <c r="AY935" s="166">
        <v>0</v>
      </c>
      <c r="AZ935" s="166">
        <v>0</v>
      </c>
      <c r="BA935" s="166">
        <v>1</v>
      </c>
      <c r="BB935" s="166">
        <v>0</v>
      </c>
      <c r="BC935" s="166">
        <v>0</v>
      </c>
      <c r="BD935" s="166">
        <v>0</v>
      </c>
      <c r="BE935" s="166">
        <v>0</v>
      </c>
      <c r="BF935" s="166">
        <v>0</v>
      </c>
      <c r="BG935" s="166">
        <v>0</v>
      </c>
      <c r="BH935" s="166">
        <v>-1</v>
      </c>
      <c r="BI935" s="166">
        <v>0</v>
      </c>
      <c r="BJ935" s="166">
        <v>0</v>
      </c>
      <c r="BK935" s="166">
        <v>0</v>
      </c>
      <c r="BL935" s="166">
        <v>0</v>
      </c>
      <c r="BM935" s="166">
        <v>0</v>
      </c>
      <c r="BN935" s="166">
        <v>0</v>
      </c>
      <c r="BO935" s="166">
        <v>0</v>
      </c>
      <c r="BP935" s="166">
        <v>0</v>
      </c>
      <c r="BQ935" s="81" t="s">
        <v>1758</v>
      </c>
      <c r="BZ935" s="81" t="s">
        <v>155</v>
      </c>
      <c r="CA935" s="81" t="s">
        <v>1937</v>
      </c>
      <c r="CC935" s="167">
        <v>0</v>
      </c>
      <c r="CD935" s="167">
        <f>$N935/4</f>
        <v>0.25</v>
      </c>
      <c r="CE935" s="167">
        <f>$N935/4</f>
        <v>0.25</v>
      </c>
      <c r="CF935" s="167">
        <f>$N935/4</f>
        <v>0.25</v>
      </c>
      <c r="CG935" s="167">
        <f>$N935/4</f>
        <v>0.25</v>
      </c>
      <c r="CH935" s="167">
        <v>0</v>
      </c>
      <c r="CI935" s="167">
        <v>0</v>
      </c>
      <c r="CJ935" s="167">
        <v>0</v>
      </c>
      <c r="CK935" s="167">
        <v>0</v>
      </c>
      <c r="CL935" s="167">
        <v>0</v>
      </c>
      <c r="CM935" s="167">
        <v>0</v>
      </c>
      <c r="CN935" s="167">
        <v>0</v>
      </c>
      <c r="CO935" s="167">
        <v>0</v>
      </c>
      <c r="CP935" s="167">
        <v>0</v>
      </c>
      <c r="CQ935" s="167">
        <v>0</v>
      </c>
      <c r="CR935" s="167">
        <v>0</v>
      </c>
      <c r="CS935" s="167">
        <v>0</v>
      </c>
      <c r="CT935" s="167">
        <v>0</v>
      </c>
      <c r="CU935" s="167">
        <v>0</v>
      </c>
      <c r="CV935" s="167">
        <v>0</v>
      </c>
      <c r="CW935" s="167">
        <v>0</v>
      </c>
      <c r="CX935" s="167">
        <f>SUM(CD935:CH935)</f>
        <v>1</v>
      </c>
      <c r="CY935" s="167">
        <f>SUM(CD935:CM935)</f>
        <v>1</v>
      </c>
    </row>
    <row r="936" spans="1:103" ht="12.75" customHeight="1" x14ac:dyDescent="0.2">
      <c r="A936" s="81">
        <v>6168</v>
      </c>
      <c r="B936" s="165" t="s">
        <v>1930</v>
      </c>
      <c r="C936" s="165" t="s">
        <v>1276</v>
      </c>
      <c r="E936" s="165" t="s">
        <v>2673</v>
      </c>
      <c r="G936" s="81">
        <v>524806</v>
      </c>
      <c r="H936" s="81">
        <v>174483</v>
      </c>
      <c r="I936" s="165" t="s">
        <v>250</v>
      </c>
      <c r="L936" s="166">
        <v>1</v>
      </c>
      <c r="M936" s="166">
        <v>2</v>
      </c>
      <c r="N936" s="166">
        <v>1</v>
      </c>
      <c r="O936" s="166">
        <v>2</v>
      </c>
      <c r="P936" s="166">
        <v>1</v>
      </c>
      <c r="R936" s="165" t="s">
        <v>1277</v>
      </c>
      <c r="S936" s="81" t="s">
        <v>113</v>
      </c>
      <c r="T936" s="349">
        <v>42534</v>
      </c>
      <c r="U936" s="349">
        <v>42607</v>
      </c>
      <c r="W936" s="81" t="s">
        <v>114</v>
      </c>
      <c r="Y936" s="81" t="s">
        <v>115</v>
      </c>
      <c r="Z936" s="81" t="s">
        <v>116</v>
      </c>
      <c r="AA936" s="81" t="s">
        <v>117</v>
      </c>
      <c r="AB936" s="81" t="s">
        <v>218</v>
      </c>
      <c r="AC936" s="166">
        <v>4.1000001132488299E-2</v>
      </c>
      <c r="AG936" s="81" t="s">
        <v>238</v>
      </c>
      <c r="AH936" s="81" t="s">
        <v>118</v>
      </c>
      <c r="AK936" s="166">
        <v>0</v>
      </c>
      <c r="AM936" s="166">
        <v>0</v>
      </c>
      <c r="AO936" s="166">
        <v>0</v>
      </c>
      <c r="AP936" s="166">
        <v>0</v>
      </c>
      <c r="AQ936" s="166">
        <v>0</v>
      </c>
      <c r="AR936" s="166">
        <v>0</v>
      </c>
      <c r="AS936" s="166">
        <v>1</v>
      </c>
      <c r="AT936" s="166">
        <v>0</v>
      </c>
      <c r="AU936" s="166">
        <v>0</v>
      </c>
      <c r="AV936" s="166">
        <v>0</v>
      </c>
      <c r="AW936" s="166">
        <v>0</v>
      </c>
      <c r="AX936" s="166">
        <v>0</v>
      </c>
      <c r="AY936" s="166">
        <v>0</v>
      </c>
      <c r="AZ936" s="166">
        <v>0</v>
      </c>
      <c r="BA936" s="166">
        <v>0</v>
      </c>
      <c r="BB936" s="166">
        <v>0</v>
      </c>
      <c r="BC936" s="166">
        <v>0</v>
      </c>
      <c r="BD936" s="166">
        <v>0</v>
      </c>
      <c r="BE936" s="166">
        <v>0</v>
      </c>
      <c r="BF936" s="166">
        <v>0</v>
      </c>
      <c r="BG936" s="166">
        <v>1</v>
      </c>
      <c r="BH936" s="166">
        <v>0</v>
      </c>
      <c r="BI936" s="166">
        <v>0</v>
      </c>
      <c r="BJ936" s="166">
        <v>0</v>
      </c>
      <c r="BK936" s="166">
        <v>0</v>
      </c>
      <c r="BL936" s="166">
        <v>0</v>
      </c>
      <c r="BM936" s="166">
        <v>0</v>
      </c>
      <c r="BN936" s="166">
        <v>0</v>
      </c>
      <c r="BO936" s="166">
        <v>0</v>
      </c>
      <c r="BP936" s="166">
        <v>0</v>
      </c>
      <c r="BQ936" s="81" t="s">
        <v>1758</v>
      </c>
      <c r="BZ936" s="81" t="s">
        <v>155</v>
      </c>
      <c r="CA936" s="81">
        <v>4</v>
      </c>
      <c r="CC936" s="167">
        <v>0</v>
      </c>
      <c r="CD936" s="167">
        <v>0</v>
      </c>
      <c r="CE936" s="167">
        <f>$N936/4</f>
        <v>0.25</v>
      </c>
      <c r="CF936" s="167">
        <f>$N936/4</f>
        <v>0.25</v>
      </c>
      <c r="CG936" s="167">
        <f>$N936/4</f>
        <v>0.25</v>
      </c>
      <c r="CH936" s="167">
        <f>$N936/4</f>
        <v>0.25</v>
      </c>
      <c r="CI936" s="167">
        <v>0</v>
      </c>
      <c r="CJ936" s="167">
        <v>0</v>
      </c>
      <c r="CK936" s="167">
        <v>0</v>
      </c>
      <c r="CL936" s="167">
        <v>0</v>
      </c>
      <c r="CM936" s="167">
        <v>0</v>
      </c>
      <c r="CN936" s="167">
        <v>0</v>
      </c>
      <c r="CO936" s="167">
        <v>0</v>
      </c>
      <c r="CP936" s="167">
        <v>0</v>
      </c>
      <c r="CQ936" s="167">
        <v>0</v>
      </c>
      <c r="CR936" s="167">
        <v>0</v>
      </c>
      <c r="CS936" s="167">
        <v>0</v>
      </c>
      <c r="CT936" s="167">
        <v>0</v>
      </c>
      <c r="CU936" s="167">
        <v>0</v>
      </c>
      <c r="CV936" s="167">
        <v>0</v>
      </c>
      <c r="CW936" s="167">
        <v>0</v>
      </c>
      <c r="CX936" s="167">
        <f>SUM(CD936:CH936)</f>
        <v>1</v>
      </c>
      <c r="CY936" s="167">
        <f>SUM(CD936:CM936)</f>
        <v>1</v>
      </c>
    </row>
    <row r="937" spans="1:103" ht="12.75" customHeight="1" x14ac:dyDescent="0.2">
      <c r="A937" s="81">
        <v>6171</v>
      </c>
      <c r="B937" s="165" t="s">
        <v>1930</v>
      </c>
      <c r="C937" s="165" t="s">
        <v>1627</v>
      </c>
      <c r="E937" s="165" t="s">
        <v>2674</v>
      </c>
      <c r="G937" s="81">
        <v>529103</v>
      </c>
      <c r="H937" s="81">
        <v>171425</v>
      </c>
      <c r="I937" s="165" t="s">
        <v>252</v>
      </c>
      <c r="L937" s="166">
        <v>2</v>
      </c>
      <c r="M937" s="166">
        <v>3</v>
      </c>
      <c r="N937" s="166">
        <v>1</v>
      </c>
      <c r="O937" s="166">
        <v>3</v>
      </c>
      <c r="P937" s="166">
        <v>1</v>
      </c>
      <c r="R937" s="165" t="s">
        <v>1628</v>
      </c>
      <c r="S937" s="81" t="s">
        <v>113</v>
      </c>
      <c r="T937" s="349">
        <v>42790</v>
      </c>
      <c r="U937" s="349">
        <v>42846</v>
      </c>
      <c r="V937" s="81" t="s">
        <v>155</v>
      </c>
      <c r="W937" s="81" t="s">
        <v>114</v>
      </c>
      <c r="Y937" s="81" t="s">
        <v>115</v>
      </c>
      <c r="Z937" s="81" t="s">
        <v>398</v>
      </c>
      <c r="AA937" s="81" t="s">
        <v>117</v>
      </c>
      <c r="AB937" s="81" t="s">
        <v>220</v>
      </c>
      <c r="AC937" s="166">
        <v>2.5000000372528999E-2</v>
      </c>
      <c r="AG937" s="81" t="s">
        <v>238</v>
      </c>
      <c r="AH937" s="81" t="s">
        <v>118</v>
      </c>
      <c r="AK937" s="166">
        <v>0</v>
      </c>
      <c r="AM937" s="166">
        <v>0</v>
      </c>
      <c r="AO937" s="166">
        <v>1</v>
      </c>
      <c r="AP937" s="166">
        <v>0</v>
      </c>
      <c r="AQ937" s="166">
        <v>0</v>
      </c>
      <c r="AR937" s="166">
        <v>0</v>
      </c>
      <c r="AS937" s="166">
        <v>0</v>
      </c>
      <c r="AT937" s="166">
        <v>0</v>
      </c>
      <c r="AU937" s="166">
        <v>0</v>
      </c>
      <c r="AV937" s="166">
        <v>1</v>
      </c>
      <c r="AW937" s="166">
        <v>0</v>
      </c>
      <c r="AX937" s="166">
        <v>0</v>
      </c>
      <c r="AY937" s="166">
        <v>0</v>
      </c>
      <c r="AZ937" s="166">
        <v>0</v>
      </c>
      <c r="BA937" s="166">
        <v>0</v>
      </c>
      <c r="BB937" s="166">
        <v>0</v>
      </c>
      <c r="BC937" s="166">
        <v>0</v>
      </c>
      <c r="BD937" s="166">
        <v>0</v>
      </c>
      <c r="BE937" s="166">
        <v>0</v>
      </c>
      <c r="BF937" s="166">
        <v>0</v>
      </c>
      <c r="BG937" s="166">
        <v>0</v>
      </c>
      <c r="BH937" s="166">
        <v>0</v>
      </c>
      <c r="BI937" s="166">
        <v>0</v>
      </c>
      <c r="BJ937" s="166">
        <v>0</v>
      </c>
      <c r="BK937" s="166">
        <v>0</v>
      </c>
      <c r="BL937" s="166">
        <v>0</v>
      </c>
      <c r="BM937" s="166">
        <v>0</v>
      </c>
      <c r="BN937" s="166">
        <v>0</v>
      </c>
      <c r="BO937" s="166">
        <v>0</v>
      </c>
      <c r="BP937" s="166">
        <v>0</v>
      </c>
      <c r="BQ937" s="81" t="s">
        <v>1757</v>
      </c>
      <c r="BZ937" s="81" t="s">
        <v>155</v>
      </c>
      <c r="CA937" s="81" t="s">
        <v>1937</v>
      </c>
      <c r="CC937" s="167">
        <v>0</v>
      </c>
      <c r="CD937" s="167">
        <f>$N937/4</f>
        <v>0.25</v>
      </c>
      <c r="CE937" s="167">
        <f>$N937/4</f>
        <v>0.25</v>
      </c>
      <c r="CF937" s="167">
        <f>$N937/4</f>
        <v>0.25</v>
      </c>
      <c r="CG937" s="167">
        <f>$N937/4</f>
        <v>0.25</v>
      </c>
      <c r="CH937" s="167">
        <v>0</v>
      </c>
      <c r="CI937" s="167">
        <v>0</v>
      </c>
      <c r="CJ937" s="167">
        <v>0</v>
      </c>
      <c r="CK937" s="167">
        <v>0</v>
      </c>
      <c r="CL937" s="167">
        <v>0</v>
      </c>
      <c r="CM937" s="167">
        <v>0</v>
      </c>
      <c r="CN937" s="167">
        <v>0</v>
      </c>
      <c r="CO937" s="167">
        <v>0</v>
      </c>
      <c r="CP937" s="167">
        <v>0</v>
      </c>
      <c r="CQ937" s="167">
        <v>0</v>
      </c>
      <c r="CR937" s="167">
        <v>0</v>
      </c>
      <c r="CS937" s="167">
        <v>0</v>
      </c>
      <c r="CT937" s="167">
        <v>0</v>
      </c>
      <c r="CU937" s="167">
        <v>0</v>
      </c>
      <c r="CV937" s="167">
        <v>0</v>
      </c>
      <c r="CW937" s="167">
        <v>0</v>
      </c>
      <c r="CX937" s="167">
        <f>SUM(CD937:CH937)</f>
        <v>1</v>
      </c>
      <c r="CY937" s="167">
        <f>SUM(CD937:CM937)</f>
        <v>1</v>
      </c>
    </row>
    <row r="938" spans="1:103" ht="12.75" customHeight="1" x14ac:dyDescent="0.2">
      <c r="A938" s="81">
        <v>6176</v>
      </c>
      <c r="B938" s="165" t="s">
        <v>1930</v>
      </c>
      <c r="C938" s="165" t="s">
        <v>803</v>
      </c>
      <c r="E938" s="165" t="s">
        <v>2675</v>
      </c>
      <c r="G938" s="81">
        <v>527289</v>
      </c>
      <c r="H938" s="81">
        <v>175257</v>
      </c>
      <c r="I938" s="165" t="s">
        <v>255</v>
      </c>
      <c r="L938" s="166">
        <v>1</v>
      </c>
      <c r="M938" s="166">
        <v>3</v>
      </c>
      <c r="N938" s="166">
        <v>2</v>
      </c>
      <c r="O938" s="166">
        <v>3</v>
      </c>
      <c r="P938" s="166">
        <v>2</v>
      </c>
      <c r="R938" s="165" t="s">
        <v>1173</v>
      </c>
      <c r="S938" s="81" t="s">
        <v>113</v>
      </c>
      <c r="T938" s="349">
        <v>42395</v>
      </c>
      <c r="U938" s="349">
        <v>42570</v>
      </c>
      <c r="W938" s="81" t="s">
        <v>114</v>
      </c>
      <c r="Y938" s="81" t="s">
        <v>115</v>
      </c>
      <c r="Z938" s="81" t="s">
        <v>398</v>
      </c>
      <c r="AA938" s="81" t="s">
        <v>117</v>
      </c>
      <c r="AB938" s="81" t="s">
        <v>120</v>
      </c>
      <c r="AC938" s="166">
        <v>1.30000002682209E-2</v>
      </c>
      <c r="AG938" s="81" t="s">
        <v>238</v>
      </c>
      <c r="AH938" s="81" t="s">
        <v>118</v>
      </c>
      <c r="AK938" s="166">
        <v>0</v>
      </c>
      <c r="AM938" s="166">
        <v>0</v>
      </c>
      <c r="AO938" s="166">
        <v>0</v>
      </c>
      <c r="AP938" s="166">
        <v>1</v>
      </c>
      <c r="AQ938" s="166">
        <v>0</v>
      </c>
      <c r="AR938" s="166">
        <v>2</v>
      </c>
      <c r="AS938" s="166">
        <v>0</v>
      </c>
      <c r="AT938" s="166">
        <v>-1</v>
      </c>
      <c r="AU938" s="166">
        <v>0</v>
      </c>
      <c r="AV938" s="166">
        <v>0</v>
      </c>
      <c r="AW938" s="166">
        <v>1</v>
      </c>
      <c r="AX938" s="166">
        <v>0</v>
      </c>
      <c r="AY938" s="166">
        <v>2</v>
      </c>
      <c r="AZ938" s="166">
        <v>0</v>
      </c>
      <c r="BA938" s="166">
        <v>0</v>
      </c>
      <c r="BB938" s="166">
        <v>0</v>
      </c>
      <c r="BC938" s="166">
        <v>0</v>
      </c>
      <c r="BD938" s="166">
        <v>0</v>
      </c>
      <c r="BE938" s="166">
        <v>0</v>
      </c>
      <c r="BF938" s="166">
        <v>0</v>
      </c>
      <c r="BG938" s="166">
        <v>0</v>
      </c>
      <c r="BH938" s="166">
        <v>-1</v>
      </c>
      <c r="BI938" s="166">
        <v>0</v>
      </c>
      <c r="BJ938" s="166">
        <v>0</v>
      </c>
      <c r="BK938" s="166">
        <v>0</v>
      </c>
      <c r="BL938" s="166">
        <v>0</v>
      </c>
      <c r="BM938" s="166">
        <v>0</v>
      </c>
      <c r="BN938" s="166">
        <v>0</v>
      </c>
      <c r="BO938" s="166">
        <v>0</v>
      </c>
      <c r="BP938" s="166">
        <v>0</v>
      </c>
      <c r="BQ938" s="81" t="s">
        <v>1757</v>
      </c>
      <c r="BZ938" s="81" t="s">
        <v>155</v>
      </c>
      <c r="CA938" s="81" t="s">
        <v>1937</v>
      </c>
      <c r="CC938" s="167">
        <v>0</v>
      </c>
      <c r="CD938" s="167">
        <f>$N938/4</f>
        <v>0.5</v>
      </c>
      <c r="CE938" s="167">
        <f>$N938/4</f>
        <v>0.5</v>
      </c>
      <c r="CF938" s="167">
        <f>$N938/4</f>
        <v>0.5</v>
      </c>
      <c r="CG938" s="167">
        <f>$N938/4</f>
        <v>0.5</v>
      </c>
      <c r="CH938" s="167">
        <v>0</v>
      </c>
      <c r="CI938" s="167">
        <v>0</v>
      </c>
      <c r="CJ938" s="167">
        <v>0</v>
      </c>
      <c r="CK938" s="167">
        <v>0</v>
      </c>
      <c r="CL938" s="167">
        <v>0</v>
      </c>
      <c r="CM938" s="167">
        <v>0</v>
      </c>
      <c r="CN938" s="167">
        <v>0</v>
      </c>
      <c r="CO938" s="167">
        <v>0</v>
      </c>
      <c r="CP938" s="167">
        <v>0</v>
      </c>
      <c r="CQ938" s="167">
        <v>0</v>
      </c>
      <c r="CR938" s="167">
        <v>0</v>
      </c>
      <c r="CS938" s="167">
        <v>0</v>
      </c>
      <c r="CT938" s="167">
        <v>0</v>
      </c>
      <c r="CU938" s="167">
        <v>0</v>
      </c>
      <c r="CV938" s="167">
        <v>0</v>
      </c>
      <c r="CW938" s="167">
        <v>0</v>
      </c>
      <c r="CX938" s="167">
        <f>SUM(CD938:CH938)</f>
        <v>2</v>
      </c>
      <c r="CY938" s="167">
        <f>SUM(CD938:CM938)</f>
        <v>2</v>
      </c>
    </row>
    <row r="939" spans="1:103" ht="12.75" customHeight="1" x14ac:dyDescent="0.2">
      <c r="A939" s="81">
        <v>6177</v>
      </c>
      <c r="B939" s="165" t="s">
        <v>1930</v>
      </c>
      <c r="C939" s="165" t="s">
        <v>2676</v>
      </c>
      <c r="E939" s="165" t="s">
        <v>2677</v>
      </c>
      <c r="G939" s="81">
        <v>528158</v>
      </c>
      <c r="H939" s="81">
        <v>176681</v>
      </c>
      <c r="I939" s="165" t="s">
        <v>240</v>
      </c>
      <c r="L939" s="166">
        <v>1</v>
      </c>
      <c r="M939" s="166">
        <v>2</v>
      </c>
      <c r="N939" s="166">
        <v>1</v>
      </c>
      <c r="O939" s="166">
        <v>2</v>
      </c>
      <c r="P939" s="166">
        <v>1</v>
      </c>
      <c r="R939" s="165" t="s">
        <v>2678</v>
      </c>
      <c r="S939" s="81" t="s">
        <v>113</v>
      </c>
      <c r="T939" s="349">
        <v>43126</v>
      </c>
      <c r="U939" s="349">
        <v>43182</v>
      </c>
      <c r="V939" s="81" t="s">
        <v>155</v>
      </c>
      <c r="W939" s="81" t="s">
        <v>114</v>
      </c>
      <c r="Y939" s="81" t="s">
        <v>115</v>
      </c>
      <c r="Z939" s="81" t="s">
        <v>119</v>
      </c>
      <c r="AA939" s="81" t="s">
        <v>117</v>
      </c>
      <c r="AB939" s="81" t="s">
        <v>220</v>
      </c>
      <c r="AC939" s="166">
        <v>1.30000002682209E-2</v>
      </c>
      <c r="AG939" s="81" t="s">
        <v>238</v>
      </c>
      <c r="AH939" s="81" t="s">
        <v>118</v>
      </c>
      <c r="AK939" s="166">
        <v>0</v>
      </c>
      <c r="AM939" s="166">
        <v>0</v>
      </c>
      <c r="AO939" s="166">
        <v>0</v>
      </c>
      <c r="AP939" s="166">
        <v>0</v>
      </c>
      <c r="AQ939" s="166">
        <v>1</v>
      </c>
      <c r="AR939" s="166">
        <v>0</v>
      </c>
      <c r="AS939" s="166">
        <v>0</v>
      </c>
      <c r="AT939" s="166">
        <v>0</v>
      </c>
      <c r="AU939" s="166">
        <v>0</v>
      </c>
      <c r="AV939" s="166">
        <v>0</v>
      </c>
      <c r="AW939" s="166">
        <v>0</v>
      </c>
      <c r="AX939" s="166">
        <v>1</v>
      </c>
      <c r="AY939" s="166">
        <v>0</v>
      </c>
      <c r="AZ939" s="166">
        <v>0</v>
      </c>
      <c r="BA939" s="166">
        <v>0</v>
      </c>
      <c r="BB939" s="166">
        <v>0</v>
      </c>
      <c r="BC939" s="166">
        <v>0</v>
      </c>
      <c r="BD939" s="166">
        <v>0</v>
      </c>
      <c r="BE939" s="166">
        <v>0</v>
      </c>
      <c r="BF939" s="166">
        <v>0</v>
      </c>
      <c r="BG939" s="166">
        <v>0</v>
      </c>
      <c r="BH939" s="166">
        <v>0</v>
      </c>
      <c r="BI939" s="166">
        <v>0</v>
      </c>
      <c r="BJ939" s="166">
        <v>0</v>
      </c>
      <c r="BK939" s="166">
        <v>0</v>
      </c>
      <c r="BL939" s="166">
        <v>0</v>
      </c>
      <c r="BM939" s="166">
        <v>0</v>
      </c>
      <c r="BN939" s="166">
        <v>0</v>
      </c>
      <c r="BO939" s="166">
        <v>0</v>
      </c>
      <c r="BP939" s="166">
        <v>0</v>
      </c>
      <c r="BQ939" s="81" t="s">
        <v>1757</v>
      </c>
      <c r="BZ939" s="81" t="s">
        <v>155</v>
      </c>
      <c r="CA939" s="81" t="s">
        <v>1937</v>
      </c>
      <c r="CC939" s="167">
        <v>0</v>
      </c>
      <c r="CD939" s="167">
        <f>$N939/4</f>
        <v>0.25</v>
      </c>
      <c r="CE939" s="167">
        <f>$N939/4</f>
        <v>0.25</v>
      </c>
      <c r="CF939" s="167">
        <f>$N939/4</f>
        <v>0.25</v>
      </c>
      <c r="CG939" s="167">
        <f>$N939/4</f>
        <v>0.25</v>
      </c>
      <c r="CH939" s="167">
        <v>0</v>
      </c>
      <c r="CI939" s="167">
        <v>0</v>
      </c>
      <c r="CJ939" s="167">
        <v>0</v>
      </c>
      <c r="CK939" s="167">
        <v>0</v>
      </c>
      <c r="CL939" s="167">
        <v>0</v>
      </c>
      <c r="CM939" s="167">
        <v>0</v>
      </c>
      <c r="CN939" s="167">
        <v>0</v>
      </c>
      <c r="CO939" s="167">
        <v>0</v>
      </c>
      <c r="CP939" s="167">
        <v>0</v>
      </c>
      <c r="CQ939" s="167">
        <v>0</v>
      </c>
      <c r="CR939" s="167">
        <v>0</v>
      </c>
      <c r="CS939" s="167">
        <v>0</v>
      </c>
      <c r="CT939" s="167">
        <v>0</v>
      </c>
      <c r="CU939" s="167">
        <v>0</v>
      </c>
      <c r="CV939" s="167">
        <v>0</v>
      </c>
      <c r="CW939" s="167">
        <v>0</v>
      </c>
      <c r="CX939" s="167">
        <f>SUM(CD939:CH939)</f>
        <v>1</v>
      </c>
      <c r="CY939" s="167">
        <f>SUM(CD939:CM939)</f>
        <v>1</v>
      </c>
    </row>
    <row r="940" spans="1:103" ht="12.75" customHeight="1" x14ac:dyDescent="0.2">
      <c r="A940" s="81">
        <v>6180</v>
      </c>
      <c r="B940" s="165" t="s">
        <v>1930</v>
      </c>
      <c r="C940" s="165" t="s">
        <v>798</v>
      </c>
      <c r="E940" s="165" t="s">
        <v>2679</v>
      </c>
      <c r="G940" s="81">
        <v>527804</v>
      </c>
      <c r="H940" s="81">
        <v>172172</v>
      </c>
      <c r="I940" s="165" t="s">
        <v>242</v>
      </c>
      <c r="L940" s="166">
        <v>0</v>
      </c>
      <c r="M940" s="166">
        <v>1</v>
      </c>
      <c r="N940" s="166">
        <v>1</v>
      </c>
      <c r="O940" s="166">
        <v>1</v>
      </c>
      <c r="P940" s="166">
        <v>1</v>
      </c>
      <c r="R940" s="165" t="s">
        <v>799</v>
      </c>
      <c r="S940" s="81" t="s">
        <v>113</v>
      </c>
      <c r="T940" s="349">
        <v>42409</v>
      </c>
      <c r="U940" s="349">
        <v>42535</v>
      </c>
      <c r="W940" s="81" t="s">
        <v>114</v>
      </c>
      <c r="Y940" s="81" t="s">
        <v>115</v>
      </c>
      <c r="Z940" s="81" t="s">
        <v>398</v>
      </c>
      <c r="AA940" s="81" t="s">
        <v>117</v>
      </c>
      <c r="AB940" s="81" t="s">
        <v>102</v>
      </c>
      <c r="AC940" s="166">
        <v>6.0000000521540598E-3</v>
      </c>
      <c r="AG940" s="81" t="s">
        <v>238</v>
      </c>
      <c r="AH940" s="81" t="s">
        <v>118</v>
      </c>
      <c r="AK940" s="166">
        <v>0</v>
      </c>
      <c r="AM940" s="166">
        <v>0</v>
      </c>
      <c r="AO940" s="166">
        <v>0</v>
      </c>
      <c r="AP940" s="166">
        <v>0</v>
      </c>
      <c r="AQ940" s="166">
        <v>1</v>
      </c>
      <c r="AR940" s="166">
        <v>0</v>
      </c>
      <c r="AS940" s="166">
        <v>0</v>
      </c>
      <c r="AT940" s="166">
        <v>0</v>
      </c>
      <c r="AU940" s="166">
        <v>0</v>
      </c>
      <c r="AV940" s="166">
        <v>0</v>
      </c>
      <c r="AW940" s="166">
        <v>0</v>
      </c>
      <c r="AX940" s="166">
        <v>1</v>
      </c>
      <c r="AY940" s="166">
        <v>0</v>
      </c>
      <c r="AZ940" s="166">
        <v>0</v>
      </c>
      <c r="BA940" s="166">
        <v>0</v>
      </c>
      <c r="BB940" s="166">
        <v>0</v>
      </c>
      <c r="BC940" s="166">
        <v>0</v>
      </c>
      <c r="BD940" s="166">
        <v>0</v>
      </c>
      <c r="BE940" s="166">
        <v>0</v>
      </c>
      <c r="BF940" s="166">
        <v>0</v>
      </c>
      <c r="BG940" s="166">
        <v>0</v>
      </c>
      <c r="BH940" s="166">
        <v>0</v>
      </c>
      <c r="BI940" s="166">
        <v>0</v>
      </c>
      <c r="BJ940" s="166">
        <v>0</v>
      </c>
      <c r="BK940" s="166">
        <v>0</v>
      </c>
      <c r="BL940" s="166">
        <v>0</v>
      </c>
      <c r="BM940" s="166">
        <v>0</v>
      </c>
      <c r="BN940" s="166">
        <v>0</v>
      </c>
      <c r="BO940" s="166">
        <v>0</v>
      </c>
      <c r="BP940" s="166">
        <v>0</v>
      </c>
      <c r="BQ940" s="81" t="s">
        <v>1757</v>
      </c>
      <c r="BZ940" s="81" t="s">
        <v>155</v>
      </c>
      <c r="CA940" s="81" t="s">
        <v>1937</v>
      </c>
      <c r="CC940" s="167">
        <v>0</v>
      </c>
      <c r="CD940" s="167">
        <f>$N940/4</f>
        <v>0.25</v>
      </c>
      <c r="CE940" s="167">
        <f>$N940/4</f>
        <v>0.25</v>
      </c>
      <c r="CF940" s="167">
        <f>$N940/4</f>
        <v>0.25</v>
      </c>
      <c r="CG940" s="167">
        <f>$N940/4</f>
        <v>0.25</v>
      </c>
      <c r="CH940" s="167">
        <v>0</v>
      </c>
      <c r="CI940" s="167">
        <v>0</v>
      </c>
      <c r="CJ940" s="167">
        <v>0</v>
      </c>
      <c r="CK940" s="167">
        <v>0</v>
      </c>
      <c r="CL940" s="167">
        <v>0</v>
      </c>
      <c r="CM940" s="167">
        <v>0</v>
      </c>
      <c r="CN940" s="167">
        <v>0</v>
      </c>
      <c r="CO940" s="167">
        <v>0</v>
      </c>
      <c r="CP940" s="167">
        <v>0</v>
      </c>
      <c r="CQ940" s="167">
        <v>0</v>
      </c>
      <c r="CR940" s="167">
        <v>0</v>
      </c>
      <c r="CS940" s="167">
        <v>0</v>
      </c>
      <c r="CT940" s="167">
        <v>0</v>
      </c>
      <c r="CU940" s="167">
        <v>0</v>
      </c>
      <c r="CV940" s="167">
        <v>0</v>
      </c>
      <c r="CW940" s="167">
        <v>0</v>
      </c>
      <c r="CX940" s="167">
        <f>SUM(CD940:CH940)</f>
        <v>1</v>
      </c>
      <c r="CY940" s="167">
        <f>SUM(CD940:CM940)</f>
        <v>1</v>
      </c>
    </row>
    <row r="941" spans="1:103" ht="12.75" customHeight="1" x14ac:dyDescent="0.2">
      <c r="A941" s="81">
        <v>6181</v>
      </c>
      <c r="B941" s="165" t="s">
        <v>1930</v>
      </c>
      <c r="C941" s="165" t="s">
        <v>805</v>
      </c>
      <c r="E941" s="165" t="s">
        <v>2680</v>
      </c>
      <c r="G941" s="81">
        <v>525098</v>
      </c>
      <c r="H941" s="81">
        <v>174605</v>
      </c>
      <c r="I941" s="165" t="s">
        <v>250</v>
      </c>
      <c r="L941" s="166">
        <v>0</v>
      </c>
      <c r="M941" s="166">
        <v>1</v>
      </c>
      <c r="N941" s="166">
        <v>1</v>
      </c>
      <c r="O941" s="166">
        <v>1</v>
      </c>
      <c r="P941" s="166">
        <v>1</v>
      </c>
      <c r="R941" s="165" t="s">
        <v>806</v>
      </c>
      <c r="S941" s="81" t="s">
        <v>113</v>
      </c>
      <c r="T941" s="349">
        <v>42410</v>
      </c>
      <c r="U941" s="349">
        <v>42542</v>
      </c>
      <c r="W941" s="81" t="s">
        <v>114</v>
      </c>
      <c r="Y941" s="81" t="s">
        <v>115</v>
      </c>
      <c r="Z941" s="81" t="s">
        <v>398</v>
      </c>
      <c r="AA941" s="81" t="s">
        <v>117</v>
      </c>
      <c r="AB941" s="81" t="s">
        <v>102</v>
      </c>
      <c r="AC941" s="166">
        <v>4.0000001899898104E-3</v>
      </c>
      <c r="AG941" s="81" t="s">
        <v>238</v>
      </c>
      <c r="AH941" s="81" t="s">
        <v>118</v>
      </c>
      <c r="AK941" s="166">
        <v>0</v>
      </c>
      <c r="AM941" s="166">
        <v>0</v>
      </c>
      <c r="AO941" s="166">
        <v>0</v>
      </c>
      <c r="AP941" s="166">
        <v>0</v>
      </c>
      <c r="AQ941" s="166">
        <v>1</v>
      </c>
      <c r="AR941" s="166">
        <v>0</v>
      </c>
      <c r="AS941" s="166">
        <v>0</v>
      </c>
      <c r="AT941" s="166">
        <v>0</v>
      </c>
      <c r="AU941" s="166">
        <v>0</v>
      </c>
      <c r="AV941" s="166">
        <v>0</v>
      </c>
      <c r="AW941" s="166">
        <v>0</v>
      </c>
      <c r="AX941" s="166">
        <v>1</v>
      </c>
      <c r="AY941" s="166">
        <v>0</v>
      </c>
      <c r="AZ941" s="166">
        <v>0</v>
      </c>
      <c r="BA941" s="166">
        <v>0</v>
      </c>
      <c r="BB941" s="166">
        <v>0</v>
      </c>
      <c r="BC941" s="166">
        <v>0</v>
      </c>
      <c r="BD941" s="166">
        <v>0</v>
      </c>
      <c r="BE941" s="166">
        <v>0</v>
      </c>
      <c r="BF941" s="166">
        <v>0</v>
      </c>
      <c r="BG941" s="166">
        <v>0</v>
      </c>
      <c r="BH941" s="166">
        <v>0</v>
      </c>
      <c r="BI941" s="166">
        <v>0</v>
      </c>
      <c r="BJ941" s="166">
        <v>0</v>
      </c>
      <c r="BK941" s="166">
        <v>0</v>
      </c>
      <c r="BL941" s="166">
        <v>0</v>
      </c>
      <c r="BM941" s="166">
        <v>0</v>
      </c>
      <c r="BN941" s="166">
        <v>0</v>
      </c>
      <c r="BO941" s="166">
        <v>0</v>
      </c>
      <c r="BP941" s="166">
        <v>0</v>
      </c>
      <c r="BQ941" s="81" t="s">
        <v>1758</v>
      </c>
      <c r="BZ941" s="81" t="s">
        <v>155</v>
      </c>
      <c r="CA941" s="81" t="s">
        <v>1937</v>
      </c>
      <c r="CC941" s="167">
        <v>0</v>
      </c>
      <c r="CD941" s="167">
        <f>$N941/4</f>
        <v>0.25</v>
      </c>
      <c r="CE941" s="167">
        <f>$N941/4</f>
        <v>0.25</v>
      </c>
      <c r="CF941" s="167">
        <f>$N941/4</f>
        <v>0.25</v>
      </c>
      <c r="CG941" s="167">
        <f>$N941/4</f>
        <v>0.25</v>
      </c>
      <c r="CH941" s="167">
        <v>0</v>
      </c>
      <c r="CI941" s="167">
        <v>0</v>
      </c>
      <c r="CJ941" s="167">
        <v>0</v>
      </c>
      <c r="CK941" s="167">
        <v>0</v>
      </c>
      <c r="CL941" s="167">
        <v>0</v>
      </c>
      <c r="CM941" s="167">
        <v>0</v>
      </c>
      <c r="CN941" s="167">
        <v>0</v>
      </c>
      <c r="CO941" s="167">
        <v>0</v>
      </c>
      <c r="CP941" s="167">
        <v>0</v>
      </c>
      <c r="CQ941" s="167">
        <v>0</v>
      </c>
      <c r="CR941" s="167">
        <v>0</v>
      </c>
      <c r="CS941" s="167">
        <v>0</v>
      </c>
      <c r="CT941" s="167">
        <v>0</v>
      </c>
      <c r="CU941" s="167">
        <v>0</v>
      </c>
      <c r="CV941" s="167">
        <v>0</v>
      </c>
      <c r="CW941" s="167">
        <v>0</v>
      </c>
      <c r="CX941" s="167">
        <f>SUM(CD941:CH941)</f>
        <v>1</v>
      </c>
      <c r="CY941" s="167">
        <f>SUM(CD941:CM941)</f>
        <v>1</v>
      </c>
    </row>
    <row r="942" spans="1:103" ht="12.75" customHeight="1" x14ac:dyDescent="0.2">
      <c r="A942" s="81">
        <v>6182</v>
      </c>
      <c r="B942" s="165" t="s">
        <v>1930</v>
      </c>
      <c r="C942" s="165" t="s">
        <v>807</v>
      </c>
      <c r="E942" s="165" t="s">
        <v>2681</v>
      </c>
      <c r="G942" s="81">
        <v>525093</v>
      </c>
      <c r="H942" s="81">
        <v>174604</v>
      </c>
      <c r="I942" s="165" t="s">
        <v>250</v>
      </c>
      <c r="L942" s="166">
        <v>0</v>
      </c>
      <c r="M942" s="166">
        <v>1</v>
      </c>
      <c r="N942" s="166">
        <v>1</v>
      </c>
      <c r="O942" s="166">
        <v>1</v>
      </c>
      <c r="P942" s="166">
        <v>1</v>
      </c>
      <c r="R942" s="165" t="s">
        <v>808</v>
      </c>
      <c r="S942" s="81" t="s">
        <v>113</v>
      </c>
      <c r="T942" s="349">
        <v>42410</v>
      </c>
      <c r="U942" s="349">
        <v>42466</v>
      </c>
      <c r="W942" s="81" t="s">
        <v>114</v>
      </c>
      <c r="Y942" s="81" t="s">
        <v>115</v>
      </c>
      <c r="Z942" s="81" t="s">
        <v>398</v>
      </c>
      <c r="AA942" s="81" t="s">
        <v>117</v>
      </c>
      <c r="AB942" s="81" t="s">
        <v>102</v>
      </c>
      <c r="AC942" s="166">
        <v>4.0000001899898104E-3</v>
      </c>
      <c r="AG942" s="81" t="s">
        <v>238</v>
      </c>
      <c r="AH942" s="81" t="s">
        <v>118</v>
      </c>
      <c r="AK942" s="166">
        <v>0</v>
      </c>
      <c r="AM942" s="166">
        <v>0</v>
      </c>
      <c r="AO942" s="166">
        <v>0</v>
      </c>
      <c r="AP942" s="166">
        <v>1</v>
      </c>
      <c r="AQ942" s="166">
        <v>0</v>
      </c>
      <c r="AR942" s="166">
        <v>0</v>
      </c>
      <c r="AS942" s="166">
        <v>0</v>
      </c>
      <c r="AT942" s="166">
        <v>0</v>
      </c>
      <c r="AU942" s="166">
        <v>0</v>
      </c>
      <c r="AV942" s="166">
        <v>0</v>
      </c>
      <c r="AW942" s="166">
        <v>1</v>
      </c>
      <c r="AX942" s="166">
        <v>0</v>
      </c>
      <c r="AY942" s="166">
        <v>0</v>
      </c>
      <c r="AZ942" s="166">
        <v>0</v>
      </c>
      <c r="BA942" s="166">
        <v>0</v>
      </c>
      <c r="BB942" s="166">
        <v>0</v>
      </c>
      <c r="BC942" s="166">
        <v>0</v>
      </c>
      <c r="BD942" s="166">
        <v>0</v>
      </c>
      <c r="BE942" s="166">
        <v>0</v>
      </c>
      <c r="BF942" s="166">
        <v>0</v>
      </c>
      <c r="BG942" s="166">
        <v>0</v>
      </c>
      <c r="BH942" s="166">
        <v>0</v>
      </c>
      <c r="BI942" s="166">
        <v>0</v>
      </c>
      <c r="BJ942" s="166">
        <v>0</v>
      </c>
      <c r="BK942" s="166">
        <v>0</v>
      </c>
      <c r="BL942" s="166">
        <v>0</v>
      </c>
      <c r="BM942" s="166">
        <v>0</v>
      </c>
      <c r="BN942" s="166">
        <v>0</v>
      </c>
      <c r="BO942" s="166">
        <v>0</v>
      </c>
      <c r="BP942" s="166">
        <v>0</v>
      </c>
      <c r="BQ942" s="81" t="s">
        <v>1758</v>
      </c>
      <c r="BZ942" s="81" t="s">
        <v>155</v>
      </c>
      <c r="CA942" s="81" t="s">
        <v>1937</v>
      </c>
      <c r="CC942" s="167">
        <v>0</v>
      </c>
      <c r="CD942" s="167">
        <f>$N942/4</f>
        <v>0.25</v>
      </c>
      <c r="CE942" s="167">
        <f>$N942/4</f>
        <v>0.25</v>
      </c>
      <c r="CF942" s="167">
        <f>$N942/4</f>
        <v>0.25</v>
      </c>
      <c r="CG942" s="167">
        <f>$N942/4</f>
        <v>0.25</v>
      </c>
      <c r="CH942" s="167">
        <v>0</v>
      </c>
      <c r="CI942" s="167">
        <v>0</v>
      </c>
      <c r="CJ942" s="167">
        <v>0</v>
      </c>
      <c r="CK942" s="167">
        <v>0</v>
      </c>
      <c r="CL942" s="167">
        <v>0</v>
      </c>
      <c r="CM942" s="167">
        <v>0</v>
      </c>
      <c r="CN942" s="167">
        <v>0</v>
      </c>
      <c r="CO942" s="167">
        <v>0</v>
      </c>
      <c r="CP942" s="167">
        <v>0</v>
      </c>
      <c r="CQ942" s="167">
        <v>0</v>
      </c>
      <c r="CR942" s="167">
        <v>0</v>
      </c>
      <c r="CS942" s="167">
        <v>0</v>
      </c>
      <c r="CT942" s="167">
        <v>0</v>
      </c>
      <c r="CU942" s="167">
        <v>0</v>
      </c>
      <c r="CV942" s="167">
        <v>0</v>
      </c>
      <c r="CW942" s="167">
        <v>0</v>
      </c>
      <c r="CX942" s="167">
        <f>SUM(CD942:CH942)</f>
        <v>1</v>
      </c>
      <c r="CY942" s="167">
        <f>SUM(CD942:CM942)</f>
        <v>1</v>
      </c>
    </row>
    <row r="943" spans="1:103" ht="12.75" customHeight="1" x14ac:dyDescent="0.2">
      <c r="A943" s="81">
        <v>6183</v>
      </c>
      <c r="B943" s="165" t="s">
        <v>1930</v>
      </c>
      <c r="C943" s="165" t="s">
        <v>809</v>
      </c>
      <c r="E943" s="165" t="s">
        <v>2682</v>
      </c>
      <c r="G943" s="81">
        <v>525104</v>
      </c>
      <c r="H943" s="81">
        <v>174606</v>
      </c>
      <c r="I943" s="165" t="s">
        <v>250</v>
      </c>
      <c r="L943" s="166">
        <v>0</v>
      </c>
      <c r="M943" s="166">
        <v>1</v>
      </c>
      <c r="N943" s="166">
        <v>1</v>
      </c>
      <c r="O943" s="166">
        <v>1</v>
      </c>
      <c r="P943" s="166">
        <v>1</v>
      </c>
      <c r="R943" s="165" t="s">
        <v>810</v>
      </c>
      <c r="S943" s="81" t="s">
        <v>113</v>
      </c>
      <c r="T943" s="349">
        <v>42401</v>
      </c>
      <c r="U943" s="349">
        <v>42542</v>
      </c>
      <c r="W943" s="81" t="s">
        <v>114</v>
      </c>
      <c r="Y943" s="81" t="s">
        <v>115</v>
      </c>
      <c r="Z943" s="81" t="s">
        <v>398</v>
      </c>
      <c r="AA943" s="81" t="s">
        <v>117</v>
      </c>
      <c r="AB943" s="81" t="s">
        <v>102</v>
      </c>
      <c r="AC943" s="166">
        <v>4.0000001899898104E-3</v>
      </c>
      <c r="AG943" s="81" t="s">
        <v>238</v>
      </c>
      <c r="AH943" s="81" t="s">
        <v>118</v>
      </c>
      <c r="AK943" s="166">
        <v>0</v>
      </c>
      <c r="AM943" s="166">
        <v>0</v>
      </c>
      <c r="AO943" s="166">
        <v>0</v>
      </c>
      <c r="AP943" s="166">
        <v>1</v>
      </c>
      <c r="AQ943" s="166">
        <v>0</v>
      </c>
      <c r="AR943" s="166">
        <v>0</v>
      </c>
      <c r="AS943" s="166">
        <v>0</v>
      </c>
      <c r="AT943" s="166">
        <v>0</v>
      </c>
      <c r="AU943" s="166">
        <v>0</v>
      </c>
      <c r="AV943" s="166">
        <v>0</v>
      </c>
      <c r="AW943" s="166">
        <v>1</v>
      </c>
      <c r="AX943" s="166">
        <v>0</v>
      </c>
      <c r="AY943" s="166">
        <v>0</v>
      </c>
      <c r="AZ943" s="166">
        <v>0</v>
      </c>
      <c r="BA943" s="166">
        <v>0</v>
      </c>
      <c r="BB943" s="166">
        <v>0</v>
      </c>
      <c r="BC943" s="166">
        <v>0</v>
      </c>
      <c r="BD943" s="166">
        <v>0</v>
      </c>
      <c r="BE943" s="166">
        <v>0</v>
      </c>
      <c r="BF943" s="166">
        <v>0</v>
      </c>
      <c r="BG943" s="166">
        <v>0</v>
      </c>
      <c r="BH943" s="166">
        <v>0</v>
      </c>
      <c r="BI943" s="166">
        <v>0</v>
      </c>
      <c r="BJ943" s="166">
        <v>0</v>
      </c>
      <c r="BK943" s="166">
        <v>0</v>
      </c>
      <c r="BL943" s="166">
        <v>0</v>
      </c>
      <c r="BM943" s="166">
        <v>0</v>
      </c>
      <c r="BN943" s="166">
        <v>0</v>
      </c>
      <c r="BO943" s="166">
        <v>0</v>
      </c>
      <c r="BP943" s="166">
        <v>0</v>
      </c>
      <c r="BQ943" s="81" t="s">
        <v>1758</v>
      </c>
      <c r="BZ943" s="81" t="s">
        <v>155</v>
      </c>
      <c r="CA943" s="81" t="s">
        <v>1937</v>
      </c>
      <c r="CC943" s="167">
        <v>0</v>
      </c>
      <c r="CD943" s="167">
        <f>$N943/4</f>
        <v>0.25</v>
      </c>
      <c r="CE943" s="167">
        <f>$N943/4</f>
        <v>0.25</v>
      </c>
      <c r="CF943" s="167">
        <f>$N943/4</f>
        <v>0.25</v>
      </c>
      <c r="CG943" s="167">
        <f>$N943/4</f>
        <v>0.25</v>
      </c>
      <c r="CH943" s="167">
        <v>0</v>
      </c>
      <c r="CI943" s="167">
        <v>0</v>
      </c>
      <c r="CJ943" s="167">
        <v>0</v>
      </c>
      <c r="CK943" s="167">
        <v>0</v>
      </c>
      <c r="CL943" s="167">
        <v>0</v>
      </c>
      <c r="CM943" s="167">
        <v>0</v>
      </c>
      <c r="CN943" s="167">
        <v>0</v>
      </c>
      <c r="CO943" s="167">
        <v>0</v>
      </c>
      <c r="CP943" s="167">
        <v>0</v>
      </c>
      <c r="CQ943" s="167">
        <v>0</v>
      </c>
      <c r="CR943" s="167">
        <v>0</v>
      </c>
      <c r="CS943" s="167">
        <v>0</v>
      </c>
      <c r="CT943" s="167">
        <v>0</v>
      </c>
      <c r="CU943" s="167">
        <v>0</v>
      </c>
      <c r="CV943" s="167">
        <v>0</v>
      </c>
      <c r="CW943" s="167">
        <v>0</v>
      </c>
      <c r="CX943" s="167">
        <f>SUM(CD943:CH943)</f>
        <v>1</v>
      </c>
      <c r="CY943" s="167">
        <f>SUM(CD943:CM943)</f>
        <v>1</v>
      </c>
    </row>
    <row r="944" spans="1:103" ht="12.75" customHeight="1" x14ac:dyDescent="0.2">
      <c r="A944" s="81">
        <v>6184</v>
      </c>
      <c r="B944" s="165" t="s">
        <v>1930</v>
      </c>
      <c r="C944" s="165" t="s">
        <v>819</v>
      </c>
      <c r="E944" s="165" t="s">
        <v>2683</v>
      </c>
      <c r="G944" s="81">
        <v>524026</v>
      </c>
      <c r="H944" s="81">
        <v>174714</v>
      </c>
      <c r="I944" s="165" t="s">
        <v>250</v>
      </c>
      <c r="L944" s="166">
        <v>0</v>
      </c>
      <c r="M944" s="166">
        <v>1</v>
      </c>
      <c r="N944" s="166">
        <v>1</v>
      </c>
      <c r="O944" s="166">
        <v>1</v>
      </c>
      <c r="P944" s="166">
        <v>1</v>
      </c>
      <c r="R944" s="165" t="s">
        <v>820</v>
      </c>
      <c r="S944" s="81" t="s">
        <v>113</v>
      </c>
      <c r="T944" s="349">
        <v>42418</v>
      </c>
      <c r="U944" s="349">
        <v>42537</v>
      </c>
      <c r="W944" s="81" t="s">
        <v>114</v>
      </c>
      <c r="Y944" s="81" t="s">
        <v>115</v>
      </c>
      <c r="Z944" s="81" t="s">
        <v>310</v>
      </c>
      <c r="AA944" s="81" t="s">
        <v>117</v>
      </c>
      <c r="AB944" s="81" t="s">
        <v>311</v>
      </c>
      <c r="AC944" s="166">
        <v>3.0000000260770299E-3</v>
      </c>
      <c r="AG944" s="81" t="s">
        <v>154</v>
      </c>
      <c r="AH944" s="81" t="s">
        <v>38</v>
      </c>
      <c r="AK944" s="166">
        <v>0</v>
      </c>
      <c r="AM944" s="166">
        <v>0</v>
      </c>
      <c r="AO944" s="166">
        <v>0</v>
      </c>
      <c r="AP944" s="166">
        <v>0</v>
      </c>
      <c r="AQ944" s="166">
        <v>1</v>
      </c>
      <c r="AR944" s="166">
        <v>0</v>
      </c>
      <c r="AS944" s="166">
        <v>0</v>
      </c>
      <c r="AT944" s="166">
        <v>0</v>
      </c>
      <c r="AU944" s="166">
        <v>0</v>
      </c>
      <c r="AV944" s="166">
        <v>0</v>
      </c>
      <c r="AW944" s="166">
        <v>0</v>
      </c>
      <c r="AX944" s="166">
        <v>1</v>
      </c>
      <c r="AY944" s="166">
        <v>0</v>
      </c>
      <c r="AZ944" s="166">
        <v>0</v>
      </c>
      <c r="BA944" s="166">
        <v>0</v>
      </c>
      <c r="BB944" s="166">
        <v>0</v>
      </c>
      <c r="BC944" s="166">
        <v>0</v>
      </c>
      <c r="BD944" s="166">
        <v>0</v>
      </c>
      <c r="BE944" s="166">
        <v>0</v>
      </c>
      <c r="BF944" s="166">
        <v>0</v>
      </c>
      <c r="BG944" s="166">
        <v>0</v>
      </c>
      <c r="BH944" s="166">
        <v>0</v>
      </c>
      <c r="BI944" s="166">
        <v>0</v>
      </c>
      <c r="BJ944" s="166">
        <v>0</v>
      </c>
      <c r="BK944" s="166">
        <v>0</v>
      </c>
      <c r="BL944" s="166">
        <v>0</v>
      </c>
      <c r="BM944" s="166">
        <v>0</v>
      </c>
      <c r="BN944" s="166">
        <v>0</v>
      </c>
      <c r="BO944" s="166">
        <v>0</v>
      </c>
      <c r="BP944" s="166">
        <v>0</v>
      </c>
      <c r="BQ944" s="81" t="s">
        <v>1758</v>
      </c>
      <c r="BZ944" s="81" t="s">
        <v>155</v>
      </c>
      <c r="CA944" s="81" t="s">
        <v>1937</v>
      </c>
      <c r="CC944" s="167">
        <v>0</v>
      </c>
      <c r="CD944" s="167">
        <f>$N944/4</f>
        <v>0.25</v>
      </c>
      <c r="CE944" s="167">
        <f>$N944/4</f>
        <v>0.25</v>
      </c>
      <c r="CF944" s="167">
        <f>$N944/4</f>
        <v>0.25</v>
      </c>
      <c r="CG944" s="167">
        <f>$N944/4</f>
        <v>0.25</v>
      </c>
      <c r="CH944" s="167">
        <v>0</v>
      </c>
      <c r="CI944" s="167">
        <v>0</v>
      </c>
      <c r="CJ944" s="167">
        <v>0</v>
      </c>
      <c r="CK944" s="167">
        <v>0</v>
      </c>
      <c r="CL944" s="167">
        <v>0</v>
      </c>
      <c r="CM944" s="167">
        <v>0</v>
      </c>
      <c r="CN944" s="167">
        <v>0</v>
      </c>
      <c r="CO944" s="167">
        <v>0</v>
      </c>
      <c r="CP944" s="167">
        <v>0</v>
      </c>
      <c r="CQ944" s="167">
        <v>0</v>
      </c>
      <c r="CR944" s="167">
        <v>0</v>
      </c>
      <c r="CS944" s="167">
        <v>0</v>
      </c>
      <c r="CT944" s="167">
        <v>0</v>
      </c>
      <c r="CU944" s="167">
        <v>0</v>
      </c>
      <c r="CV944" s="167">
        <v>0</v>
      </c>
      <c r="CW944" s="167">
        <v>0</v>
      </c>
      <c r="CX944" s="167">
        <f>SUM(CD944:CH944)</f>
        <v>1</v>
      </c>
      <c r="CY944" s="167">
        <f>SUM(CD944:CM944)</f>
        <v>1</v>
      </c>
    </row>
    <row r="945" spans="1:103" ht="12.75" customHeight="1" x14ac:dyDescent="0.2">
      <c r="A945" s="81">
        <v>6188</v>
      </c>
      <c r="B945" s="165" t="s">
        <v>1930</v>
      </c>
      <c r="C945" s="165" t="s">
        <v>2684</v>
      </c>
      <c r="E945" s="165" t="s">
        <v>2685</v>
      </c>
      <c r="G945" s="81">
        <v>525924</v>
      </c>
      <c r="H945" s="81">
        <v>173800</v>
      </c>
      <c r="I945" s="165" t="s">
        <v>249</v>
      </c>
      <c r="L945" s="166">
        <v>0</v>
      </c>
      <c r="M945" s="166">
        <v>4</v>
      </c>
      <c r="N945" s="166">
        <v>4</v>
      </c>
      <c r="O945" s="166">
        <v>5</v>
      </c>
      <c r="P945" s="166">
        <v>5</v>
      </c>
      <c r="R945" s="165" t="s">
        <v>2686</v>
      </c>
      <c r="S945" s="81" t="s">
        <v>113</v>
      </c>
      <c r="T945" s="349">
        <v>42961</v>
      </c>
      <c r="U945" s="349">
        <v>43027</v>
      </c>
      <c r="V945" s="81" t="s">
        <v>155</v>
      </c>
      <c r="W945" s="81" t="s">
        <v>114</v>
      </c>
      <c r="Y945" s="81" t="s">
        <v>115</v>
      </c>
      <c r="Z945" s="81" t="s">
        <v>398</v>
      </c>
      <c r="AA945" s="81" t="s">
        <v>117</v>
      </c>
      <c r="AB945" s="81" t="s">
        <v>399</v>
      </c>
      <c r="AC945" s="166">
        <v>2.60000005364418E-2</v>
      </c>
      <c r="AG945" s="81" t="s">
        <v>238</v>
      </c>
      <c r="AH945" s="81" t="s">
        <v>118</v>
      </c>
      <c r="AK945" s="166">
        <v>0</v>
      </c>
      <c r="AM945" s="166">
        <v>0</v>
      </c>
      <c r="AO945" s="166">
        <v>0</v>
      </c>
      <c r="AP945" s="166">
        <v>0</v>
      </c>
      <c r="AQ945" s="166">
        <v>4</v>
      </c>
      <c r="AR945" s="166">
        <v>0</v>
      </c>
      <c r="AS945" s="166">
        <v>0</v>
      </c>
      <c r="AT945" s="166">
        <v>0</v>
      </c>
      <c r="AU945" s="166">
        <v>0</v>
      </c>
      <c r="AV945" s="166">
        <v>0</v>
      </c>
      <c r="AW945" s="166">
        <v>0</v>
      </c>
      <c r="AX945" s="166">
        <v>4</v>
      </c>
      <c r="AY945" s="166">
        <v>0</v>
      </c>
      <c r="AZ945" s="166">
        <v>0</v>
      </c>
      <c r="BA945" s="166">
        <v>0</v>
      </c>
      <c r="BB945" s="166">
        <v>0</v>
      </c>
      <c r="BC945" s="166">
        <v>0</v>
      </c>
      <c r="BD945" s="166">
        <v>0</v>
      </c>
      <c r="BE945" s="166">
        <v>0</v>
      </c>
      <c r="BF945" s="166">
        <v>0</v>
      </c>
      <c r="BG945" s="166">
        <v>0</v>
      </c>
      <c r="BH945" s="166">
        <v>0</v>
      </c>
      <c r="BI945" s="166">
        <v>0</v>
      </c>
      <c r="BJ945" s="166">
        <v>0</v>
      </c>
      <c r="BK945" s="166">
        <v>0</v>
      </c>
      <c r="BL945" s="166">
        <v>0</v>
      </c>
      <c r="BM945" s="166">
        <v>0</v>
      </c>
      <c r="BN945" s="166">
        <v>0</v>
      </c>
      <c r="BO945" s="166">
        <v>0</v>
      </c>
      <c r="BP945" s="166">
        <v>0</v>
      </c>
      <c r="BQ945" s="81" t="s">
        <v>1758</v>
      </c>
      <c r="BY945" s="81" t="s">
        <v>155</v>
      </c>
      <c r="BZ945" s="81" t="s">
        <v>155</v>
      </c>
      <c r="CA945" s="81" t="s">
        <v>1937</v>
      </c>
      <c r="CC945" s="167">
        <v>0</v>
      </c>
      <c r="CD945" s="167">
        <f>$N945/4</f>
        <v>1</v>
      </c>
      <c r="CE945" s="167">
        <f>$N945/4</f>
        <v>1</v>
      </c>
      <c r="CF945" s="167">
        <f>$N945/4</f>
        <v>1</v>
      </c>
      <c r="CG945" s="167">
        <f>$N945/4</f>
        <v>1</v>
      </c>
      <c r="CH945" s="167">
        <v>0</v>
      </c>
      <c r="CI945" s="167">
        <v>0</v>
      </c>
      <c r="CJ945" s="167">
        <v>0</v>
      </c>
      <c r="CK945" s="167">
        <v>0</v>
      </c>
      <c r="CL945" s="167">
        <v>0</v>
      </c>
      <c r="CM945" s="167">
        <v>0</v>
      </c>
      <c r="CN945" s="167">
        <v>0</v>
      </c>
      <c r="CO945" s="167">
        <v>0</v>
      </c>
      <c r="CP945" s="167">
        <v>0</v>
      </c>
      <c r="CQ945" s="167">
        <v>0</v>
      </c>
      <c r="CR945" s="167">
        <v>0</v>
      </c>
      <c r="CS945" s="167">
        <v>0</v>
      </c>
      <c r="CT945" s="167">
        <v>0</v>
      </c>
      <c r="CU945" s="167">
        <v>0</v>
      </c>
      <c r="CV945" s="167">
        <v>0</v>
      </c>
      <c r="CW945" s="167">
        <v>0</v>
      </c>
      <c r="CX945" s="167">
        <f>SUM(CD945:CH945)</f>
        <v>4</v>
      </c>
      <c r="CY945" s="167">
        <f>SUM(CD945:CM945)</f>
        <v>4</v>
      </c>
    </row>
    <row r="946" spans="1:103" ht="12.75" customHeight="1" x14ac:dyDescent="0.2">
      <c r="A946" s="81">
        <v>6188</v>
      </c>
      <c r="B946" s="165" t="s">
        <v>1930</v>
      </c>
      <c r="C946" s="165" t="s">
        <v>2684</v>
      </c>
      <c r="E946" s="165" t="s">
        <v>2685</v>
      </c>
      <c r="G946" s="81">
        <v>525924</v>
      </c>
      <c r="H946" s="81">
        <v>173800</v>
      </c>
      <c r="I946" s="165" t="s">
        <v>249</v>
      </c>
      <c r="L946" s="166">
        <v>0</v>
      </c>
      <c r="M946" s="166">
        <v>1</v>
      </c>
      <c r="N946" s="166">
        <v>1</v>
      </c>
      <c r="O946" s="166">
        <v>5</v>
      </c>
      <c r="P946" s="166">
        <v>5</v>
      </c>
      <c r="R946" s="165" t="s">
        <v>2686</v>
      </c>
      <c r="S946" s="81" t="s">
        <v>113</v>
      </c>
      <c r="T946" s="349">
        <v>42961</v>
      </c>
      <c r="U946" s="349">
        <v>43027</v>
      </c>
      <c r="V946" s="81" t="s">
        <v>155</v>
      </c>
      <c r="W946" s="81" t="s">
        <v>114</v>
      </c>
      <c r="Y946" s="81" t="s">
        <v>115</v>
      </c>
      <c r="Z946" s="81" t="s">
        <v>398</v>
      </c>
      <c r="AA946" s="81" t="s">
        <v>117</v>
      </c>
      <c r="AB946" s="81" t="s">
        <v>218</v>
      </c>
      <c r="AC946" s="166">
        <v>1.2000000104308101E-2</v>
      </c>
      <c r="AG946" s="81" t="s">
        <v>238</v>
      </c>
      <c r="AH946" s="81" t="s">
        <v>118</v>
      </c>
      <c r="AK946" s="166">
        <v>0</v>
      </c>
      <c r="AM946" s="166">
        <v>0</v>
      </c>
      <c r="AO946" s="166">
        <v>0</v>
      </c>
      <c r="AP946" s="166">
        <v>0</v>
      </c>
      <c r="AQ946" s="166">
        <v>0</v>
      </c>
      <c r="AR946" s="166">
        <v>1</v>
      </c>
      <c r="AS946" s="166">
        <v>0</v>
      </c>
      <c r="AT946" s="166">
        <v>0</v>
      </c>
      <c r="AU946" s="166">
        <v>0</v>
      </c>
      <c r="AV946" s="166">
        <v>0</v>
      </c>
      <c r="AW946" s="166">
        <v>0</v>
      </c>
      <c r="AX946" s="166">
        <v>0</v>
      </c>
      <c r="AY946" s="166">
        <v>0</v>
      </c>
      <c r="AZ946" s="166">
        <v>0</v>
      </c>
      <c r="BA946" s="166">
        <v>0</v>
      </c>
      <c r="BB946" s="166">
        <v>0</v>
      </c>
      <c r="BC946" s="166">
        <v>0</v>
      </c>
      <c r="BD946" s="166">
        <v>0</v>
      </c>
      <c r="BE946" s="166">
        <v>0</v>
      </c>
      <c r="BF946" s="166">
        <v>1</v>
      </c>
      <c r="BG946" s="166">
        <v>0</v>
      </c>
      <c r="BH946" s="166">
        <v>0</v>
      </c>
      <c r="BI946" s="166">
        <v>0</v>
      </c>
      <c r="BJ946" s="166">
        <v>0</v>
      </c>
      <c r="BK946" s="166">
        <v>0</v>
      </c>
      <c r="BL946" s="166">
        <v>0</v>
      </c>
      <c r="BM946" s="166">
        <v>0</v>
      </c>
      <c r="BN946" s="166">
        <v>0</v>
      </c>
      <c r="BO946" s="166">
        <v>0</v>
      </c>
      <c r="BP946" s="166">
        <v>0</v>
      </c>
      <c r="BQ946" s="81" t="s">
        <v>1758</v>
      </c>
      <c r="BY946" s="81" t="s">
        <v>155</v>
      </c>
      <c r="BZ946" s="81" t="s">
        <v>155</v>
      </c>
      <c r="CA946" s="81" t="s">
        <v>1937</v>
      </c>
      <c r="CC946" s="167">
        <v>0</v>
      </c>
      <c r="CD946" s="167">
        <f>$N946/4</f>
        <v>0.25</v>
      </c>
      <c r="CE946" s="167">
        <f>$N946/4</f>
        <v>0.25</v>
      </c>
      <c r="CF946" s="167">
        <f>$N946/4</f>
        <v>0.25</v>
      </c>
      <c r="CG946" s="167">
        <f>$N946/4</f>
        <v>0.25</v>
      </c>
      <c r="CH946" s="167">
        <v>0</v>
      </c>
      <c r="CI946" s="167">
        <v>0</v>
      </c>
      <c r="CJ946" s="167">
        <v>0</v>
      </c>
      <c r="CK946" s="167">
        <v>0</v>
      </c>
      <c r="CL946" s="167">
        <v>0</v>
      </c>
      <c r="CM946" s="167">
        <v>0</v>
      </c>
      <c r="CN946" s="167">
        <v>0</v>
      </c>
      <c r="CO946" s="167">
        <v>0</v>
      </c>
      <c r="CP946" s="167">
        <v>0</v>
      </c>
      <c r="CQ946" s="167">
        <v>0</v>
      </c>
      <c r="CR946" s="167">
        <v>0</v>
      </c>
      <c r="CS946" s="167">
        <v>0</v>
      </c>
      <c r="CT946" s="167">
        <v>0</v>
      </c>
      <c r="CU946" s="167">
        <v>0</v>
      </c>
      <c r="CV946" s="167">
        <v>0</v>
      </c>
      <c r="CW946" s="167">
        <v>0</v>
      </c>
      <c r="CX946" s="167">
        <f>SUM(CD946:CH946)</f>
        <v>1</v>
      </c>
      <c r="CY946" s="167">
        <f>SUM(CD946:CM946)</f>
        <v>1</v>
      </c>
    </row>
    <row r="947" spans="1:103" ht="12.75" customHeight="1" x14ac:dyDescent="0.2">
      <c r="A947" s="81">
        <v>6191</v>
      </c>
      <c r="B947" s="165" t="s">
        <v>1930</v>
      </c>
      <c r="C947" s="165" t="s">
        <v>814</v>
      </c>
      <c r="E947" s="165" t="s">
        <v>2687</v>
      </c>
      <c r="G947" s="81">
        <v>527606</v>
      </c>
      <c r="H947" s="81">
        <v>174610</v>
      </c>
      <c r="I947" s="165" t="s">
        <v>255</v>
      </c>
      <c r="L947" s="166">
        <v>0</v>
      </c>
      <c r="M947" s="166">
        <v>1</v>
      </c>
      <c r="N947" s="166">
        <v>1</v>
      </c>
      <c r="O947" s="166">
        <v>1</v>
      </c>
      <c r="P947" s="166">
        <v>1</v>
      </c>
      <c r="R947" s="165" t="s">
        <v>815</v>
      </c>
      <c r="S947" s="81" t="s">
        <v>113</v>
      </c>
      <c r="T947" s="349">
        <v>42415</v>
      </c>
      <c r="U947" s="349">
        <v>42527</v>
      </c>
      <c r="W947" s="81" t="s">
        <v>114</v>
      </c>
      <c r="Y947" s="81" t="s">
        <v>115</v>
      </c>
      <c r="Z947" s="81" t="s">
        <v>398</v>
      </c>
      <c r="AA947" s="81" t="s">
        <v>117</v>
      </c>
      <c r="AB947" s="81" t="s">
        <v>399</v>
      </c>
      <c r="AC947" s="166">
        <v>4.0000001899898104E-3</v>
      </c>
      <c r="AG947" s="81" t="s">
        <v>238</v>
      </c>
      <c r="AH947" s="81" t="s">
        <v>118</v>
      </c>
      <c r="AK947" s="166">
        <v>0</v>
      </c>
      <c r="AM947" s="166">
        <v>0</v>
      </c>
      <c r="AO947" s="166">
        <v>0</v>
      </c>
      <c r="AP947" s="166">
        <v>1</v>
      </c>
      <c r="AQ947" s="166">
        <v>0</v>
      </c>
      <c r="AR947" s="166">
        <v>0</v>
      </c>
      <c r="AS947" s="166">
        <v>0</v>
      </c>
      <c r="AT947" s="166">
        <v>0</v>
      </c>
      <c r="AU947" s="166">
        <v>0</v>
      </c>
      <c r="AV947" s="166">
        <v>0</v>
      </c>
      <c r="AW947" s="166">
        <v>0</v>
      </c>
      <c r="AX947" s="166">
        <v>0</v>
      </c>
      <c r="AY947" s="166">
        <v>0</v>
      </c>
      <c r="AZ947" s="166">
        <v>0</v>
      </c>
      <c r="BA947" s="166">
        <v>0</v>
      </c>
      <c r="BB947" s="166">
        <v>0</v>
      </c>
      <c r="BC947" s="166">
        <v>0</v>
      </c>
      <c r="BD947" s="166">
        <v>1</v>
      </c>
      <c r="BE947" s="166">
        <v>0</v>
      </c>
      <c r="BF947" s="166">
        <v>0</v>
      </c>
      <c r="BG947" s="166">
        <v>0</v>
      </c>
      <c r="BH947" s="166">
        <v>0</v>
      </c>
      <c r="BI947" s="166">
        <v>0</v>
      </c>
      <c r="BJ947" s="166">
        <v>0</v>
      </c>
      <c r="BK947" s="166">
        <v>0</v>
      </c>
      <c r="BL947" s="166">
        <v>0</v>
      </c>
      <c r="BM947" s="166">
        <v>0</v>
      </c>
      <c r="BN947" s="166">
        <v>0</v>
      </c>
      <c r="BO947" s="166">
        <v>0</v>
      </c>
      <c r="BP947" s="166">
        <v>0</v>
      </c>
      <c r="BQ947" s="81" t="s">
        <v>1757</v>
      </c>
      <c r="BZ947" s="81" t="s">
        <v>155</v>
      </c>
      <c r="CA947" s="81" t="s">
        <v>1937</v>
      </c>
      <c r="CC947" s="167">
        <v>0</v>
      </c>
      <c r="CD947" s="167">
        <f>$N947/4</f>
        <v>0.25</v>
      </c>
      <c r="CE947" s="167">
        <f>$N947/4</f>
        <v>0.25</v>
      </c>
      <c r="CF947" s="167">
        <f>$N947/4</f>
        <v>0.25</v>
      </c>
      <c r="CG947" s="167">
        <f>$N947/4</f>
        <v>0.25</v>
      </c>
      <c r="CH947" s="167">
        <v>0</v>
      </c>
      <c r="CI947" s="167">
        <v>0</v>
      </c>
      <c r="CJ947" s="167">
        <v>0</v>
      </c>
      <c r="CK947" s="167">
        <v>0</v>
      </c>
      <c r="CL947" s="167">
        <v>0</v>
      </c>
      <c r="CM947" s="167">
        <v>0</v>
      </c>
      <c r="CN947" s="167">
        <v>0</v>
      </c>
      <c r="CO947" s="167">
        <v>0</v>
      </c>
      <c r="CP947" s="167">
        <v>0</v>
      </c>
      <c r="CQ947" s="167">
        <v>0</v>
      </c>
      <c r="CR947" s="167">
        <v>0</v>
      </c>
      <c r="CS947" s="167">
        <v>0</v>
      </c>
      <c r="CT947" s="167">
        <v>0</v>
      </c>
      <c r="CU947" s="167">
        <v>0</v>
      </c>
      <c r="CV947" s="167">
        <v>0</v>
      </c>
      <c r="CW947" s="167">
        <v>0</v>
      </c>
      <c r="CX947" s="167">
        <f>SUM(CD947:CH947)</f>
        <v>1</v>
      </c>
      <c r="CY947" s="167">
        <f>SUM(CD947:CM947)</f>
        <v>1</v>
      </c>
    </row>
    <row r="948" spans="1:103" ht="12.75" customHeight="1" x14ac:dyDescent="0.2">
      <c r="A948" s="81">
        <v>6196</v>
      </c>
      <c r="B948" s="165" t="s">
        <v>1930</v>
      </c>
      <c r="C948" s="165" t="s">
        <v>1410</v>
      </c>
      <c r="E948" s="165" t="s">
        <v>2141</v>
      </c>
      <c r="G948" s="81">
        <v>528701</v>
      </c>
      <c r="H948" s="81">
        <v>172342</v>
      </c>
      <c r="I948" s="165" t="s">
        <v>248</v>
      </c>
      <c r="L948" s="166">
        <v>0</v>
      </c>
      <c r="M948" s="166">
        <v>1</v>
      </c>
      <c r="N948" s="166">
        <v>1</v>
      </c>
      <c r="O948" s="166">
        <v>1</v>
      </c>
      <c r="P948" s="166">
        <v>1</v>
      </c>
      <c r="R948" s="165" t="s">
        <v>1411</v>
      </c>
      <c r="S948" s="81" t="s">
        <v>113</v>
      </c>
      <c r="T948" s="349">
        <v>42625</v>
      </c>
      <c r="U948" s="349">
        <v>42723</v>
      </c>
      <c r="W948" s="81" t="s">
        <v>114</v>
      </c>
      <c r="Y948" s="81" t="s">
        <v>115</v>
      </c>
      <c r="Z948" s="81" t="s">
        <v>116</v>
      </c>
      <c r="AA948" s="81" t="s">
        <v>117</v>
      </c>
      <c r="AB948" s="81" t="s">
        <v>218</v>
      </c>
      <c r="AC948" s="166">
        <v>8.9999996125698107E-3</v>
      </c>
      <c r="AG948" s="81" t="s">
        <v>238</v>
      </c>
      <c r="AH948" s="81" t="s">
        <v>118</v>
      </c>
      <c r="AK948" s="166">
        <v>1</v>
      </c>
      <c r="AM948" s="166">
        <v>0</v>
      </c>
      <c r="AO948" s="166">
        <v>0</v>
      </c>
      <c r="AP948" s="166">
        <v>1</v>
      </c>
      <c r="AQ948" s="166">
        <v>0</v>
      </c>
      <c r="AR948" s="166">
        <v>0</v>
      </c>
      <c r="AS948" s="166">
        <v>0</v>
      </c>
      <c r="AT948" s="166">
        <v>0</v>
      </c>
      <c r="AU948" s="166">
        <v>0</v>
      </c>
      <c r="AV948" s="166">
        <v>0</v>
      </c>
      <c r="AW948" s="166">
        <v>0</v>
      </c>
      <c r="AX948" s="166">
        <v>0</v>
      </c>
      <c r="AY948" s="166">
        <v>0</v>
      </c>
      <c r="AZ948" s="166">
        <v>0</v>
      </c>
      <c r="BA948" s="166">
        <v>0</v>
      </c>
      <c r="BB948" s="166">
        <v>0</v>
      </c>
      <c r="BC948" s="166">
        <v>0</v>
      </c>
      <c r="BD948" s="166">
        <v>1</v>
      </c>
      <c r="BE948" s="166">
        <v>0</v>
      </c>
      <c r="BF948" s="166">
        <v>0</v>
      </c>
      <c r="BG948" s="166">
        <v>0</v>
      </c>
      <c r="BH948" s="166">
        <v>0</v>
      </c>
      <c r="BI948" s="166">
        <v>0</v>
      </c>
      <c r="BJ948" s="166">
        <v>0</v>
      </c>
      <c r="BK948" s="166">
        <v>0</v>
      </c>
      <c r="BL948" s="166">
        <v>0</v>
      </c>
      <c r="BM948" s="166">
        <v>0</v>
      </c>
      <c r="BN948" s="166">
        <v>0</v>
      </c>
      <c r="BO948" s="166">
        <v>0</v>
      </c>
      <c r="BP948" s="166">
        <v>0</v>
      </c>
      <c r="BQ948" s="81" t="s">
        <v>1757</v>
      </c>
      <c r="BZ948" s="81" t="s">
        <v>155</v>
      </c>
      <c r="CA948" s="81">
        <v>4</v>
      </c>
      <c r="CC948" s="167">
        <v>0</v>
      </c>
      <c r="CD948" s="167">
        <v>0</v>
      </c>
      <c r="CE948" s="167">
        <f>$N948/4</f>
        <v>0.25</v>
      </c>
      <c r="CF948" s="167">
        <f>$N948/4</f>
        <v>0.25</v>
      </c>
      <c r="CG948" s="167">
        <f>$N948/4</f>
        <v>0.25</v>
      </c>
      <c r="CH948" s="167">
        <f>$N948/4</f>
        <v>0.25</v>
      </c>
      <c r="CI948" s="167">
        <v>0</v>
      </c>
      <c r="CJ948" s="167">
        <v>0</v>
      </c>
      <c r="CK948" s="167">
        <v>0</v>
      </c>
      <c r="CL948" s="167">
        <v>0</v>
      </c>
      <c r="CM948" s="167">
        <v>0</v>
      </c>
      <c r="CN948" s="167">
        <v>0</v>
      </c>
      <c r="CO948" s="167">
        <v>0</v>
      </c>
      <c r="CP948" s="167">
        <v>0</v>
      </c>
      <c r="CQ948" s="167">
        <v>0</v>
      </c>
      <c r="CR948" s="167">
        <v>0</v>
      </c>
      <c r="CS948" s="167">
        <v>0</v>
      </c>
      <c r="CT948" s="167">
        <v>0</v>
      </c>
      <c r="CU948" s="167">
        <v>0</v>
      </c>
      <c r="CV948" s="167">
        <v>0</v>
      </c>
      <c r="CW948" s="167">
        <v>0</v>
      </c>
      <c r="CX948" s="167">
        <f>SUM(CD948:CH948)</f>
        <v>1</v>
      </c>
      <c r="CY948" s="167">
        <f>SUM(CD948:CM948)</f>
        <v>1</v>
      </c>
    </row>
    <row r="949" spans="1:103" ht="12.75" customHeight="1" x14ac:dyDescent="0.2">
      <c r="A949" s="81">
        <v>6198</v>
      </c>
      <c r="B949" s="165" t="s">
        <v>1930</v>
      </c>
      <c r="C949" s="165" t="s">
        <v>811</v>
      </c>
      <c r="E949" s="165" t="s">
        <v>2688</v>
      </c>
      <c r="G949" s="81">
        <v>521202</v>
      </c>
      <c r="H949" s="81">
        <v>174373</v>
      </c>
      <c r="I949" s="165" t="s">
        <v>877</v>
      </c>
      <c r="L949" s="166">
        <v>1</v>
      </c>
      <c r="M949" s="166">
        <v>1</v>
      </c>
      <c r="N949" s="166">
        <v>0</v>
      </c>
      <c r="O949" s="166">
        <v>1</v>
      </c>
      <c r="P949" s="166">
        <v>0</v>
      </c>
      <c r="R949" s="165" t="s">
        <v>812</v>
      </c>
      <c r="S949" s="81" t="s">
        <v>113</v>
      </c>
      <c r="T949" s="349">
        <v>42433</v>
      </c>
      <c r="U949" s="349">
        <v>42488</v>
      </c>
      <c r="W949" s="81" t="s">
        <v>114</v>
      </c>
      <c r="Y949" s="81" t="s">
        <v>115</v>
      </c>
      <c r="Z949" s="81" t="s">
        <v>116</v>
      </c>
      <c r="AA949" s="81" t="s">
        <v>117</v>
      </c>
      <c r="AB949" s="81" t="s">
        <v>218</v>
      </c>
      <c r="AC949" s="166">
        <v>6.4999997615814195E-2</v>
      </c>
      <c r="AG949" s="81" t="s">
        <v>238</v>
      </c>
      <c r="AH949" s="81" t="s">
        <v>118</v>
      </c>
      <c r="AK949" s="166">
        <v>1</v>
      </c>
      <c r="AM949" s="166">
        <v>0</v>
      </c>
      <c r="AO949" s="166">
        <v>0</v>
      </c>
      <c r="AP949" s="166">
        <v>0</v>
      </c>
      <c r="AQ949" s="166">
        <v>0</v>
      </c>
      <c r="AR949" s="166">
        <v>0</v>
      </c>
      <c r="AS949" s="166">
        <v>-1</v>
      </c>
      <c r="AT949" s="166">
        <v>1</v>
      </c>
      <c r="AU949" s="166">
        <v>0</v>
      </c>
      <c r="AV949" s="166">
        <v>0</v>
      </c>
      <c r="AW949" s="166">
        <v>0</v>
      </c>
      <c r="AX949" s="166">
        <v>0</v>
      </c>
      <c r="AY949" s="166">
        <v>0</v>
      </c>
      <c r="AZ949" s="166">
        <v>0</v>
      </c>
      <c r="BA949" s="166">
        <v>0</v>
      </c>
      <c r="BB949" s="166">
        <v>0</v>
      </c>
      <c r="BC949" s="166">
        <v>0</v>
      </c>
      <c r="BD949" s="166">
        <v>0</v>
      </c>
      <c r="BE949" s="166">
        <v>0</v>
      </c>
      <c r="BF949" s="166">
        <v>0</v>
      </c>
      <c r="BG949" s="166">
        <v>-1</v>
      </c>
      <c r="BH949" s="166">
        <v>1</v>
      </c>
      <c r="BI949" s="166">
        <v>0</v>
      </c>
      <c r="BJ949" s="166">
        <v>0</v>
      </c>
      <c r="BK949" s="166">
        <v>0</v>
      </c>
      <c r="BL949" s="166">
        <v>0</v>
      </c>
      <c r="BM949" s="166">
        <v>0</v>
      </c>
      <c r="BN949" s="166">
        <v>0</v>
      </c>
      <c r="BO949" s="166">
        <v>0</v>
      </c>
      <c r="BP949" s="166">
        <v>0</v>
      </c>
      <c r="BQ949" s="81" t="s">
        <v>1758</v>
      </c>
      <c r="BZ949" s="81" t="s">
        <v>155</v>
      </c>
      <c r="CA949" s="81">
        <v>4</v>
      </c>
      <c r="CC949" s="167">
        <v>0</v>
      </c>
      <c r="CD949" s="167">
        <v>0</v>
      </c>
      <c r="CE949" s="167">
        <f>$N949/4</f>
        <v>0</v>
      </c>
      <c r="CF949" s="167">
        <f>$N949/4</f>
        <v>0</v>
      </c>
      <c r="CG949" s="167">
        <f>$N949/4</f>
        <v>0</v>
      </c>
      <c r="CH949" s="167">
        <f>$N949/4</f>
        <v>0</v>
      </c>
      <c r="CI949" s="167">
        <v>0</v>
      </c>
      <c r="CJ949" s="167">
        <v>0</v>
      </c>
      <c r="CK949" s="167">
        <v>0</v>
      </c>
      <c r="CL949" s="167">
        <v>0</v>
      </c>
      <c r="CM949" s="167">
        <v>0</v>
      </c>
      <c r="CN949" s="167">
        <v>0</v>
      </c>
      <c r="CO949" s="167">
        <v>0</v>
      </c>
      <c r="CP949" s="167">
        <v>0</v>
      </c>
      <c r="CQ949" s="167">
        <v>0</v>
      </c>
      <c r="CR949" s="167">
        <v>0</v>
      </c>
      <c r="CS949" s="167">
        <v>0</v>
      </c>
      <c r="CT949" s="167">
        <v>0</v>
      </c>
      <c r="CU949" s="167">
        <v>0</v>
      </c>
      <c r="CV949" s="167">
        <v>0</v>
      </c>
      <c r="CW949" s="167">
        <v>0</v>
      </c>
      <c r="CX949" s="167">
        <f>SUM(CD949:CH949)</f>
        <v>0</v>
      </c>
      <c r="CY949" s="167">
        <f>SUM(CD949:CM949)</f>
        <v>0</v>
      </c>
    </row>
    <row r="950" spans="1:103" ht="12.75" customHeight="1" x14ac:dyDescent="0.2">
      <c r="A950" s="81">
        <v>6207</v>
      </c>
      <c r="B950" s="165" t="s">
        <v>1930</v>
      </c>
      <c r="C950" s="165" t="s">
        <v>796</v>
      </c>
      <c r="D950" s="165" t="s">
        <v>797</v>
      </c>
      <c r="E950" s="165" t="s">
        <v>2689</v>
      </c>
      <c r="G950" s="81">
        <v>524680</v>
      </c>
      <c r="H950" s="81">
        <v>173245</v>
      </c>
      <c r="I950" s="165" t="s">
        <v>111</v>
      </c>
      <c r="L950" s="166">
        <v>0</v>
      </c>
      <c r="M950" s="166">
        <v>6</v>
      </c>
      <c r="N950" s="166">
        <v>6</v>
      </c>
      <c r="O950" s="166">
        <v>6</v>
      </c>
      <c r="P950" s="166">
        <v>6</v>
      </c>
      <c r="R950" s="165" t="s">
        <v>1163</v>
      </c>
      <c r="S950" s="81" t="s">
        <v>113</v>
      </c>
      <c r="T950" s="349">
        <v>42341</v>
      </c>
      <c r="U950" s="349">
        <v>42501</v>
      </c>
      <c r="W950" s="81" t="s">
        <v>114</v>
      </c>
      <c r="Y950" s="81" t="s">
        <v>115</v>
      </c>
      <c r="Z950" s="81" t="s">
        <v>116</v>
      </c>
      <c r="AA950" s="81" t="s">
        <v>117</v>
      </c>
      <c r="AB950" s="81" t="s">
        <v>218</v>
      </c>
      <c r="AC950" s="166">
        <v>9.7999997437000302E-2</v>
      </c>
      <c r="AG950" s="81" t="s">
        <v>238</v>
      </c>
      <c r="AH950" s="81" t="s">
        <v>118</v>
      </c>
      <c r="AK950" s="166">
        <v>6</v>
      </c>
      <c r="AM950" s="166">
        <v>0</v>
      </c>
      <c r="AO950" s="166">
        <v>0</v>
      </c>
      <c r="AP950" s="166">
        <v>0</v>
      </c>
      <c r="AQ950" s="166">
        <v>6</v>
      </c>
      <c r="AR950" s="166">
        <v>0</v>
      </c>
      <c r="AS950" s="166">
        <v>0</v>
      </c>
      <c r="AT950" s="166">
        <v>0</v>
      </c>
      <c r="AU950" s="166">
        <v>0</v>
      </c>
      <c r="AV950" s="166">
        <v>0</v>
      </c>
      <c r="AW950" s="166">
        <v>0</v>
      </c>
      <c r="AX950" s="166">
        <v>6</v>
      </c>
      <c r="AY950" s="166">
        <v>0</v>
      </c>
      <c r="AZ950" s="166">
        <v>0</v>
      </c>
      <c r="BA950" s="166">
        <v>0</v>
      </c>
      <c r="BB950" s="166">
        <v>0</v>
      </c>
      <c r="BC950" s="166">
        <v>0</v>
      </c>
      <c r="BD950" s="166">
        <v>0</v>
      </c>
      <c r="BE950" s="166">
        <v>0</v>
      </c>
      <c r="BF950" s="166">
        <v>0</v>
      </c>
      <c r="BG950" s="166">
        <v>0</v>
      </c>
      <c r="BH950" s="166">
        <v>0</v>
      </c>
      <c r="BI950" s="166">
        <v>0</v>
      </c>
      <c r="BJ950" s="166">
        <v>0</v>
      </c>
      <c r="BK950" s="166">
        <v>0</v>
      </c>
      <c r="BL950" s="166">
        <v>0</v>
      </c>
      <c r="BM950" s="166">
        <v>0</v>
      </c>
      <c r="BN950" s="166">
        <v>0</v>
      </c>
      <c r="BO950" s="166">
        <v>0</v>
      </c>
      <c r="BP950" s="166">
        <v>0</v>
      </c>
      <c r="BQ950" s="81" t="s">
        <v>1758</v>
      </c>
      <c r="BZ950" s="81" t="s">
        <v>155</v>
      </c>
      <c r="CA950" s="81" t="s">
        <v>3968</v>
      </c>
      <c r="CC950" s="167">
        <v>0</v>
      </c>
      <c r="CD950" s="167">
        <v>0</v>
      </c>
      <c r="CE950" s="167">
        <v>0</v>
      </c>
      <c r="CF950" s="167">
        <v>0</v>
      </c>
      <c r="CG950" s="167">
        <f>$N950/3</f>
        <v>2</v>
      </c>
      <c r="CH950" s="167">
        <f>$N950/3</f>
        <v>2</v>
      </c>
      <c r="CI950" s="167">
        <f>$N950/3</f>
        <v>2</v>
      </c>
      <c r="CJ950" s="167">
        <v>0</v>
      </c>
      <c r="CK950" s="167">
        <v>0</v>
      </c>
      <c r="CL950" s="167">
        <v>0</v>
      </c>
      <c r="CM950" s="167">
        <v>0</v>
      </c>
      <c r="CN950" s="167">
        <v>0</v>
      </c>
      <c r="CO950" s="167">
        <v>0</v>
      </c>
      <c r="CP950" s="167">
        <v>0</v>
      </c>
      <c r="CQ950" s="167">
        <v>0</v>
      </c>
      <c r="CR950" s="167">
        <v>0</v>
      </c>
      <c r="CS950" s="167">
        <v>0</v>
      </c>
      <c r="CT950" s="167">
        <v>0</v>
      </c>
      <c r="CU950" s="167">
        <v>0</v>
      </c>
      <c r="CV950" s="167">
        <v>0</v>
      </c>
      <c r="CW950" s="167">
        <v>0</v>
      </c>
      <c r="CX950" s="167">
        <f>SUM(CD950:CH950)</f>
        <v>4</v>
      </c>
      <c r="CY950" s="167">
        <f>SUM(CD950:CM950)</f>
        <v>6</v>
      </c>
    </row>
    <row r="951" spans="1:103" ht="12.75" customHeight="1" x14ac:dyDescent="0.2">
      <c r="A951" s="81">
        <v>6208</v>
      </c>
      <c r="B951" s="165" t="s">
        <v>1930</v>
      </c>
      <c r="C951" s="165" t="s">
        <v>1722</v>
      </c>
      <c r="E951" s="165" t="s">
        <v>3428</v>
      </c>
      <c r="F951" s="165" t="s">
        <v>3429</v>
      </c>
      <c r="G951" s="81">
        <v>526352</v>
      </c>
      <c r="H951" s="81">
        <v>175489</v>
      </c>
      <c r="I951" s="165" t="s">
        <v>257</v>
      </c>
      <c r="L951" s="166">
        <v>0</v>
      </c>
      <c r="M951" s="166">
        <v>18</v>
      </c>
      <c r="N951" s="166">
        <v>18</v>
      </c>
      <c r="O951" s="166">
        <v>89</v>
      </c>
      <c r="P951" s="166">
        <v>89</v>
      </c>
      <c r="Q951" s="81" t="s">
        <v>155</v>
      </c>
      <c r="R951" s="165" t="s">
        <v>1723</v>
      </c>
      <c r="S951" s="81" t="s">
        <v>104</v>
      </c>
      <c r="T951" s="349">
        <v>42627</v>
      </c>
      <c r="U951" s="349">
        <v>42955</v>
      </c>
      <c r="V951" s="81" t="s">
        <v>155</v>
      </c>
      <c r="W951" s="81" t="s">
        <v>114</v>
      </c>
      <c r="Y951" s="81" t="s">
        <v>115</v>
      </c>
      <c r="Z951" s="81" t="s">
        <v>116</v>
      </c>
      <c r="AA951" s="81" t="s">
        <v>116</v>
      </c>
      <c r="AB951" s="81" t="s">
        <v>117</v>
      </c>
      <c r="AC951" s="166">
        <v>2.19999998807907E-2</v>
      </c>
      <c r="AG951" s="81" t="s">
        <v>238</v>
      </c>
      <c r="AH951" s="81" t="s">
        <v>1815</v>
      </c>
      <c r="AK951" s="166">
        <v>0</v>
      </c>
      <c r="AL951" s="166">
        <v>16</v>
      </c>
      <c r="AM951" s="166">
        <v>9</v>
      </c>
      <c r="AN951" s="166">
        <v>2</v>
      </c>
      <c r="AO951" s="166">
        <v>0</v>
      </c>
      <c r="AP951" s="166">
        <v>12</v>
      </c>
      <c r="AQ951" s="166">
        <v>6</v>
      </c>
      <c r="AR951" s="166">
        <v>0</v>
      </c>
      <c r="AS951" s="166">
        <v>0</v>
      </c>
      <c r="AT951" s="166">
        <v>0</v>
      </c>
      <c r="AU951" s="166">
        <v>0</v>
      </c>
      <c r="AV951" s="166">
        <v>0</v>
      </c>
      <c r="AW951" s="166">
        <v>12</v>
      </c>
      <c r="AX951" s="166">
        <v>6</v>
      </c>
      <c r="AY951" s="166">
        <v>0</v>
      </c>
      <c r="AZ951" s="166">
        <v>0</v>
      </c>
      <c r="BA951" s="166">
        <v>0</v>
      </c>
      <c r="BB951" s="166">
        <v>0</v>
      </c>
      <c r="BC951" s="166">
        <v>0</v>
      </c>
      <c r="BD951" s="166">
        <v>0</v>
      </c>
      <c r="BE951" s="166">
        <v>0</v>
      </c>
      <c r="BF951" s="166">
        <v>0</v>
      </c>
      <c r="BG951" s="166">
        <v>0</v>
      </c>
      <c r="BH951" s="166">
        <v>0</v>
      </c>
      <c r="BI951" s="166">
        <v>0</v>
      </c>
      <c r="BJ951" s="166">
        <v>0</v>
      </c>
      <c r="BK951" s="166">
        <v>0</v>
      </c>
      <c r="BL951" s="166">
        <v>0</v>
      </c>
      <c r="BM951" s="166">
        <v>0</v>
      </c>
      <c r="BN951" s="166">
        <v>0</v>
      </c>
      <c r="BO951" s="166">
        <v>0</v>
      </c>
      <c r="BP951" s="166">
        <v>0</v>
      </c>
      <c r="BQ951" s="81" t="s">
        <v>1757</v>
      </c>
      <c r="BX951" s="81" t="s">
        <v>155</v>
      </c>
      <c r="BZ951" s="81" t="s">
        <v>155</v>
      </c>
      <c r="CA951" s="81" t="s">
        <v>3936</v>
      </c>
      <c r="CC951" s="167">
        <v>0</v>
      </c>
      <c r="CD951" s="167">
        <v>0</v>
      </c>
      <c r="CE951" s="167">
        <v>0</v>
      </c>
      <c r="CF951" s="167">
        <v>0</v>
      </c>
      <c r="CG951" s="167">
        <v>0</v>
      </c>
      <c r="CH951" s="167">
        <v>0</v>
      </c>
      <c r="CI951" s="167">
        <f>$N951/5</f>
        <v>3.6</v>
      </c>
      <c r="CJ951" s="167">
        <f>$N951/5</f>
        <v>3.6</v>
      </c>
      <c r="CK951" s="167">
        <f>$N951/5</f>
        <v>3.6</v>
      </c>
      <c r="CL951" s="167">
        <f>$N951/5</f>
        <v>3.6</v>
      </c>
      <c r="CM951" s="167">
        <f>$N951/5</f>
        <v>3.6</v>
      </c>
      <c r="CN951" s="167">
        <v>0</v>
      </c>
      <c r="CO951" s="167">
        <v>0</v>
      </c>
      <c r="CP951" s="167">
        <v>0</v>
      </c>
      <c r="CQ951" s="167">
        <v>0</v>
      </c>
      <c r="CR951" s="167">
        <v>0</v>
      </c>
      <c r="CS951" s="167">
        <v>0</v>
      </c>
      <c r="CT951" s="167">
        <v>0</v>
      </c>
      <c r="CU951" s="167">
        <v>0</v>
      </c>
      <c r="CV951" s="167">
        <v>0</v>
      </c>
      <c r="CW951" s="167">
        <v>0</v>
      </c>
      <c r="CX951" s="167">
        <f>SUM(CD951:CH951)</f>
        <v>0</v>
      </c>
      <c r="CY951" s="167">
        <f>SUM(CD951:CM951)</f>
        <v>18</v>
      </c>
    </row>
    <row r="952" spans="1:103" ht="12.75" customHeight="1" x14ac:dyDescent="0.2">
      <c r="A952" s="81">
        <v>6208</v>
      </c>
      <c r="B952" s="165" t="s">
        <v>1930</v>
      </c>
      <c r="C952" s="165" t="s">
        <v>1722</v>
      </c>
      <c r="E952" s="165" t="s">
        <v>3428</v>
      </c>
      <c r="G952" s="81">
        <v>526352</v>
      </c>
      <c r="H952" s="81">
        <v>175489</v>
      </c>
      <c r="I952" s="165" t="s">
        <v>257</v>
      </c>
      <c r="L952" s="166">
        <v>0</v>
      </c>
      <c r="M952" s="166">
        <v>71</v>
      </c>
      <c r="N952" s="166">
        <v>71</v>
      </c>
      <c r="O952" s="166">
        <v>89</v>
      </c>
      <c r="P952" s="166">
        <v>89</v>
      </c>
      <c r="Q952" s="81" t="s">
        <v>155</v>
      </c>
      <c r="R952" s="165" t="s">
        <v>1723</v>
      </c>
      <c r="S952" s="81" t="s">
        <v>104</v>
      </c>
      <c r="T952" s="349">
        <v>42627</v>
      </c>
      <c r="U952" s="349">
        <v>42955</v>
      </c>
      <c r="V952" s="81" t="s">
        <v>155</v>
      </c>
      <c r="W952" s="81" t="s">
        <v>114</v>
      </c>
      <c r="Y952" s="81" t="s">
        <v>115</v>
      </c>
      <c r="Z952" s="81" t="s">
        <v>116</v>
      </c>
      <c r="AA952" s="81" t="s">
        <v>116</v>
      </c>
      <c r="AB952" s="81" t="s">
        <v>117</v>
      </c>
      <c r="AC952" s="166">
        <v>0.104999996721745</v>
      </c>
      <c r="AG952" s="81" t="s">
        <v>238</v>
      </c>
      <c r="AH952" s="81" t="s">
        <v>118</v>
      </c>
      <c r="AK952" s="166">
        <v>0</v>
      </c>
      <c r="AL952" s="166">
        <v>64</v>
      </c>
      <c r="AM952" s="166">
        <v>0</v>
      </c>
      <c r="AN952" s="166">
        <v>7</v>
      </c>
      <c r="AO952" s="166">
        <v>0</v>
      </c>
      <c r="AP952" s="166">
        <v>24</v>
      </c>
      <c r="AQ952" s="166">
        <v>42</v>
      </c>
      <c r="AR952" s="166">
        <v>5</v>
      </c>
      <c r="AS952" s="166">
        <v>0</v>
      </c>
      <c r="AT952" s="166">
        <v>0</v>
      </c>
      <c r="AU952" s="166">
        <v>0</v>
      </c>
      <c r="AV952" s="166">
        <v>0</v>
      </c>
      <c r="AW952" s="166">
        <v>24</v>
      </c>
      <c r="AX952" s="166">
        <v>42</v>
      </c>
      <c r="AY952" s="166">
        <v>5</v>
      </c>
      <c r="AZ952" s="166">
        <v>0</v>
      </c>
      <c r="BA952" s="166">
        <v>0</v>
      </c>
      <c r="BB952" s="166">
        <v>0</v>
      </c>
      <c r="BC952" s="166">
        <v>0</v>
      </c>
      <c r="BD952" s="166">
        <v>0</v>
      </c>
      <c r="BE952" s="166">
        <v>0</v>
      </c>
      <c r="BF952" s="166">
        <v>0</v>
      </c>
      <c r="BG952" s="166">
        <v>0</v>
      </c>
      <c r="BH952" s="166">
        <v>0</v>
      </c>
      <c r="BI952" s="166">
        <v>0</v>
      </c>
      <c r="BJ952" s="166">
        <v>0</v>
      </c>
      <c r="BK952" s="166">
        <v>0</v>
      </c>
      <c r="BL952" s="166">
        <v>0</v>
      </c>
      <c r="BM952" s="166">
        <v>0</v>
      </c>
      <c r="BN952" s="166">
        <v>0</v>
      </c>
      <c r="BO952" s="166">
        <v>0</v>
      </c>
      <c r="BP952" s="166">
        <v>0</v>
      </c>
      <c r="BQ952" s="81" t="s">
        <v>1757</v>
      </c>
      <c r="BX952" s="81" t="s">
        <v>155</v>
      </c>
      <c r="BZ952" s="81" t="s">
        <v>155</v>
      </c>
      <c r="CA952" s="81" t="s">
        <v>3936</v>
      </c>
      <c r="CC952" s="167">
        <v>0</v>
      </c>
      <c r="CD952" s="167">
        <v>0</v>
      </c>
      <c r="CE952" s="167">
        <v>0</v>
      </c>
      <c r="CF952" s="167">
        <v>0</v>
      </c>
      <c r="CG952" s="167">
        <v>0</v>
      </c>
      <c r="CH952" s="167">
        <v>0</v>
      </c>
      <c r="CI952" s="167">
        <f>$N952/5</f>
        <v>14.2</v>
      </c>
      <c r="CJ952" s="167">
        <f>$N952/5</f>
        <v>14.2</v>
      </c>
      <c r="CK952" s="167">
        <f>$N952/5</f>
        <v>14.2</v>
      </c>
      <c r="CL952" s="167">
        <f>$N952/5</f>
        <v>14.2</v>
      </c>
      <c r="CM952" s="167">
        <f>$N952/5</f>
        <v>14.2</v>
      </c>
      <c r="CN952" s="167">
        <v>0</v>
      </c>
      <c r="CO952" s="167">
        <v>0</v>
      </c>
      <c r="CP952" s="167">
        <v>0</v>
      </c>
      <c r="CQ952" s="167">
        <v>0</v>
      </c>
      <c r="CR952" s="167">
        <v>0</v>
      </c>
      <c r="CS952" s="167">
        <v>0</v>
      </c>
      <c r="CT952" s="167">
        <v>0</v>
      </c>
      <c r="CU952" s="167">
        <v>0</v>
      </c>
      <c r="CV952" s="167">
        <v>0</v>
      </c>
      <c r="CW952" s="167">
        <v>0</v>
      </c>
      <c r="CX952" s="167">
        <f>SUM(CD952:CH952)</f>
        <v>0</v>
      </c>
      <c r="CY952" s="167">
        <f>SUM(CD952:CM952)</f>
        <v>71</v>
      </c>
    </row>
    <row r="953" spans="1:103" ht="12.75" customHeight="1" x14ac:dyDescent="0.2">
      <c r="A953" s="81">
        <v>6211</v>
      </c>
      <c r="B953" s="165" t="s">
        <v>1930</v>
      </c>
      <c r="C953" s="165" t="s">
        <v>1199</v>
      </c>
      <c r="E953" s="165" t="s">
        <v>2690</v>
      </c>
      <c r="G953" s="81">
        <v>528429</v>
      </c>
      <c r="H953" s="81">
        <v>172911</v>
      </c>
      <c r="I953" s="165" t="s">
        <v>248</v>
      </c>
      <c r="L953" s="166">
        <v>0</v>
      </c>
      <c r="M953" s="166">
        <v>2</v>
      </c>
      <c r="N953" s="166">
        <v>2</v>
      </c>
      <c r="O953" s="166">
        <v>2</v>
      </c>
      <c r="P953" s="166">
        <v>2</v>
      </c>
      <c r="R953" s="165" t="s">
        <v>1200</v>
      </c>
      <c r="S953" s="81" t="s">
        <v>113</v>
      </c>
      <c r="T953" s="349">
        <v>42501</v>
      </c>
      <c r="U953" s="349">
        <v>42541</v>
      </c>
      <c r="W953" s="81" t="s">
        <v>114</v>
      </c>
      <c r="Y953" s="81" t="s">
        <v>115</v>
      </c>
      <c r="Z953" s="81" t="s">
        <v>219</v>
      </c>
      <c r="AA953" s="81" t="s">
        <v>117</v>
      </c>
      <c r="AB953" s="81" t="s">
        <v>3889</v>
      </c>
      <c r="AC953" s="166">
        <v>1.2000000104308101E-2</v>
      </c>
      <c r="AG953" s="81" t="s">
        <v>238</v>
      </c>
      <c r="AH953" s="81" t="s">
        <v>118</v>
      </c>
      <c r="AK953" s="166">
        <v>0</v>
      </c>
      <c r="AM953" s="166">
        <v>0</v>
      </c>
      <c r="AO953" s="166">
        <v>0</v>
      </c>
      <c r="AP953" s="166">
        <v>2</v>
      </c>
      <c r="AQ953" s="166">
        <v>0</v>
      </c>
      <c r="AR953" s="166">
        <v>0</v>
      </c>
      <c r="AS953" s="166">
        <v>0</v>
      </c>
      <c r="AT953" s="166">
        <v>0</v>
      </c>
      <c r="AU953" s="166">
        <v>0</v>
      </c>
      <c r="AV953" s="166">
        <v>0</v>
      </c>
      <c r="AW953" s="166">
        <v>2</v>
      </c>
      <c r="AX953" s="166">
        <v>0</v>
      </c>
      <c r="AY953" s="166">
        <v>0</v>
      </c>
      <c r="AZ953" s="166">
        <v>0</v>
      </c>
      <c r="BA953" s="166">
        <v>0</v>
      </c>
      <c r="BB953" s="166">
        <v>0</v>
      </c>
      <c r="BC953" s="166">
        <v>0</v>
      </c>
      <c r="BD953" s="166">
        <v>0</v>
      </c>
      <c r="BE953" s="166">
        <v>0</v>
      </c>
      <c r="BF953" s="166">
        <v>0</v>
      </c>
      <c r="BG953" s="166">
        <v>0</v>
      </c>
      <c r="BH953" s="166">
        <v>0</v>
      </c>
      <c r="BI953" s="166">
        <v>0</v>
      </c>
      <c r="BJ953" s="166">
        <v>0</v>
      </c>
      <c r="BK953" s="166">
        <v>0</v>
      </c>
      <c r="BL953" s="166">
        <v>0</v>
      </c>
      <c r="BM953" s="166">
        <v>0</v>
      </c>
      <c r="BN953" s="166">
        <v>0</v>
      </c>
      <c r="BO953" s="166">
        <v>0</v>
      </c>
      <c r="BP953" s="166">
        <v>0</v>
      </c>
      <c r="BQ953" s="81" t="s">
        <v>1757</v>
      </c>
      <c r="BZ953" s="81" t="s">
        <v>155</v>
      </c>
      <c r="CA953" s="81" t="s">
        <v>1937</v>
      </c>
      <c r="CC953" s="167">
        <v>0</v>
      </c>
      <c r="CD953" s="167">
        <f>$N953/4</f>
        <v>0.5</v>
      </c>
      <c r="CE953" s="167">
        <f>$N953/4</f>
        <v>0.5</v>
      </c>
      <c r="CF953" s="167">
        <f>$N953/4</f>
        <v>0.5</v>
      </c>
      <c r="CG953" s="167">
        <f>$N953/4</f>
        <v>0.5</v>
      </c>
      <c r="CH953" s="167">
        <v>0</v>
      </c>
      <c r="CI953" s="167">
        <v>0</v>
      </c>
      <c r="CJ953" s="167">
        <v>0</v>
      </c>
      <c r="CK953" s="167">
        <v>0</v>
      </c>
      <c r="CL953" s="167">
        <v>0</v>
      </c>
      <c r="CM953" s="167">
        <v>0</v>
      </c>
      <c r="CN953" s="167">
        <v>0</v>
      </c>
      <c r="CO953" s="167">
        <v>0</v>
      </c>
      <c r="CP953" s="167">
        <v>0</v>
      </c>
      <c r="CQ953" s="167">
        <v>0</v>
      </c>
      <c r="CR953" s="167">
        <v>0</v>
      </c>
      <c r="CS953" s="167">
        <v>0</v>
      </c>
      <c r="CT953" s="167">
        <v>0</v>
      </c>
      <c r="CU953" s="167">
        <v>0</v>
      </c>
      <c r="CV953" s="167">
        <v>0</v>
      </c>
      <c r="CW953" s="167">
        <v>0</v>
      </c>
      <c r="CX953" s="167">
        <f>SUM(CD953:CH953)</f>
        <v>2</v>
      </c>
      <c r="CY953" s="167">
        <f>SUM(CD953:CM953)</f>
        <v>2</v>
      </c>
    </row>
    <row r="954" spans="1:103" ht="12.75" customHeight="1" x14ac:dyDescent="0.2">
      <c r="A954" s="81">
        <v>6212</v>
      </c>
      <c r="B954" s="165" t="s">
        <v>1930</v>
      </c>
      <c r="C954" s="165" t="s">
        <v>1244</v>
      </c>
      <c r="E954" s="165" t="s">
        <v>2147</v>
      </c>
      <c r="G954" s="81">
        <v>529084</v>
      </c>
      <c r="H954" s="81">
        <v>173102</v>
      </c>
      <c r="I954" s="165" t="s">
        <v>247</v>
      </c>
      <c r="L954" s="166">
        <v>1</v>
      </c>
      <c r="M954" s="166">
        <v>3</v>
      </c>
      <c r="N954" s="166">
        <v>2</v>
      </c>
      <c r="O954" s="166">
        <v>3</v>
      </c>
      <c r="P954" s="166">
        <v>2</v>
      </c>
      <c r="R954" s="165" t="s">
        <v>1245</v>
      </c>
      <c r="S954" s="81" t="s">
        <v>113</v>
      </c>
      <c r="T954" s="349">
        <v>42486</v>
      </c>
      <c r="U954" s="349">
        <v>42542</v>
      </c>
      <c r="W954" s="81" t="s">
        <v>114</v>
      </c>
      <c r="Y954" s="81" t="s">
        <v>115</v>
      </c>
      <c r="Z954" s="81" t="s">
        <v>398</v>
      </c>
      <c r="AA954" s="81" t="s">
        <v>117</v>
      </c>
      <c r="AB954" s="81" t="s">
        <v>120</v>
      </c>
      <c r="AC954" s="166">
        <v>2.5000000372528999E-2</v>
      </c>
      <c r="AG954" s="81" t="s">
        <v>238</v>
      </c>
      <c r="AH954" s="81" t="s">
        <v>118</v>
      </c>
      <c r="AK954" s="166">
        <v>0</v>
      </c>
      <c r="AM954" s="166">
        <v>0</v>
      </c>
      <c r="AO954" s="166">
        <v>0</v>
      </c>
      <c r="AP954" s="166">
        <v>1</v>
      </c>
      <c r="AQ954" s="166">
        <v>1</v>
      </c>
      <c r="AR954" s="166">
        <v>1</v>
      </c>
      <c r="AS954" s="166">
        <v>-1</v>
      </c>
      <c r="AT954" s="166">
        <v>0</v>
      </c>
      <c r="AU954" s="166">
        <v>0</v>
      </c>
      <c r="AV954" s="166">
        <v>0</v>
      </c>
      <c r="AW954" s="166">
        <v>1</v>
      </c>
      <c r="AX954" s="166">
        <v>1</v>
      </c>
      <c r="AY954" s="166">
        <v>1</v>
      </c>
      <c r="AZ954" s="166">
        <v>0</v>
      </c>
      <c r="BA954" s="166">
        <v>0</v>
      </c>
      <c r="BB954" s="166">
        <v>0</v>
      </c>
      <c r="BC954" s="166">
        <v>0</v>
      </c>
      <c r="BD954" s="166">
        <v>0</v>
      </c>
      <c r="BE954" s="166">
        <v>0</v>
      </c>
      <c r="BF954" s="166">
        <v>0</v>
      </c>
      <c r="BG954" s="166">
        <v>-1</v>
      </c>
      <c r="BH954" s="166">
        <v>0</v>
      </c>
      <c r="BI954" s="166">
        <v>0</v>
      </c>
      <c r="BJ954" s="166">
        <v>0</v>
      </c>
      <c r="BK954" s="166">
        <v>0</v>
      </c>
      <c r="BL954" s="166">
        <v>0</v>
      </c>
      <c r="BM954" s="166">
        <v>0</v>
      </c>
      <c r="BN954" s="166">
        <v>0</v>
      </c>
      <c r="BO954" s="166">
        <v>0</v>
      </c>
      <c r="BP954" s="166">
        <v>0</v>
      </c>
      <c r="BQ954" s="81" t="s">
        <v>1757</v>
      </c>
      <c r="BZ954" s="81" t="s">
        <v>155</v>
      </c>
      <c r="CA954" s="81" t="s">
        <v>1937</v>
      </c>
      <c r="CC954" s="167">
        <v>0</v>
      </c>
      <c r="CD954" s="167">
        <f>$N954/4</f>
        <v>0.5</v>
      </c>
      <c r="CE954" s="167">
        <f>$N954/4</f>
        <v>0.5</v>
      </c>
      <c r="CF954" s="167">
        <f>$N954/4</f>
        <v>0.5</v>
      </c>
      <c r="CG954" s="167">
        <f>$N954/4</f>
        <v>0.5</v>
      </c>
      <c r="CH954" s="167">
        <v>0</v>
      </c>
      <c r="CI954" s="167">
        <v>0</v>
      </c>
      <c r="CJ954" s="167">
        <v>0</v>
      </c>
      <c r="CK954" s="167">
        <v>0</v>
      </c>
      <c r="CL954" s="167">
        <v>0</v>
      </c>
      <c r="CM954" s="167">
        <v>0</v>
      </c>
      <c r="CN954" s="167">
        <v>0</v>
      </c>
      <c r="CO954" s="167">
        <v>0</v>
      </c>
      <c r="CP954" s="167">
        <v>0</v>
      </c>
      <c r="CQ954" s="167">
        <v>0</v>
      </c>
      <c r="CR954" s="167">
        <v>0</v>
      </c>
      <c r="CS954" s="167">
        <v>0</v>
      </c>
      <c r="CT954" s="167">
        <v>0</v>
      </c>
      <c r="CU954" s="167">
        <v>0</v>
      </c>
      <c r="CV954" s="167">
        <v>0</v>
      </c>
      <c r="CW954" s="167">
        <v>0</v>
      </c>
      <c r="CX954" s="167">
        <f>SUM(CD954:CH954)</f>
        <v>2</v>
      </c>
      <c r="CY954" s="167">
        <f>SUM(CD954:CM954)</f>
        <v>2</v>
      </c>
    </row>
    <row r="955" spans="1:103" ht="12.75" customHeight="1" x14ac:dyDescent="0.2">
      <c r="A955" s="81">
        <v>6214</v>
      </c>
      <c r="B955" s="165" t="s">
        <v>1930</v>
      </c>
      <c r="C955" s="165" t="s">
        <v>1195</v>
      </c>
      <c r="E955" s="165" t="s">
        <v>2691</v>
      </c>
      <c r="G955" s="81">
        <v>521143</v>
      </c>
      <c r="H955" s="81">
        <v>174601</v>
      </c>
      <c r="I955" s="165" t="s">
        <v>877</v>
      </c>
      <c r="L955" s="166">
        <v>1</v>
      </c>
      <c r="M955" s="166">
        <v>1</v>
      </c>
      <c r="N955" s="166">
        <v>0</v>
      </c>
      <c r="O955" s="166">
        <v>1</v>
      </c>
      <c r="P955" s="166">
        <v>0</v>
      </c>
      <c r="R955" s="165" t="s">
        <v>1196</v>
      </c>
      <c r="S955" s="81" t="s">
        <v>113</v>
      </c>
      <c r="T955" s="349">
        <v>42488</v>
      </c>
      <c r="U955" s="349">
        <v>42544</v>
      </c>
      <c r="W955" s="81" t="s">
        <v>114</v>
      </c>
      <c r="Y955" s="81" t="s">
        <v>115</v>
      </c>
      <c r="Z955" s="81" t="s">
        <v>116</v>
      </c>
      <c r="AA955" s="81" t="s">
        <v>117</v>
      </c>
      <c r="AB955" s="81" t="s">
        <v>218</v>
      </c>
      <c r="AC955" s="166">
        <v>0.125</v>
      </c>
      <c r="AG955" s="81" t="s">
        <v>238</v>
      </c>
      <c r="AH955" s="81" t="s">
        <v>118</v>
      </c>
      <c r="AK955" s="166">
        <v>1</v>
      </c>
      <c r="AM955" s="166">
        <v>0</v>
      </c>
      <c r="AO955" s="166">
        <v>0</v>
      </c>
      <c r="AP955" s="166">
        <v>0</v>
      </c>
      <c r="AQ955" s="166">
        <v>0</v>
      </c>
      <c r="AR955" s="166">
        <v>0</v>
      </c>
      <c r="AS955" s="166">
        <v>0</v>
      </c>
      <c r="AT955" s="166">
        <v>0</v>
      </c>
      <c r="AU955" s="166">
        <v>0</v>
      </c>
      <c r="AV955" s="166">
        <v>0</v>
      </c>
      <c r="AW955" s="166">
        <v>0</v>
      </c>
      <c r="AX955" s="166">
        <v>0</v>
      </c>
      <c r="AY955" s="166">
        <v>0</v>
      </c>
      <c r="AZ955" s="166">
        <v>0</v>
      </c>
      <c r="BA955" s="166">
        <v>0</v>
      </c>
      <c r="BB955" s="166">
        <v>0</v>
      </c>
      <c r="BC955" s="166">
        <v>0</v>
      </c>
      <c r="BD955" s="166">
        <v>0</v>
      </c>
      <c r="BE955" s="166">
        <v>0</v>
      </c>
      <c r="BF955" s="166">
        <v>0</v>
      </c>
      <c r="BG955" s="166">
        <v>0</v>
      </c>
      <c r="BH955" s="166">
        <v>0</v>
      </c>
      <c r="BI955" s="166">
        <v>0</v>
      </c>
      <c r="BJ955" s="166">
        <v>0</v>
      </c>
      <c r="BK955" s="166">
        <v>0</v>
      </c>
      <c r="BL955" s="166">
        <v>0</v>
      </c>
      <c r="BM955" s="166">
        <v>0</v>
      </c>
      <c r="BN955" s="166">
        <v>0</v>
      </c>
      <c r="BO955" s="166">
        <v>0</v>
      </c>
      <c r="BP955" s="166">
        <v>0</v>
      </c>
      <c r="BQ955" s="81" t="s">
        <v>1758</v>
      </c>
      <c r="BZ955" s="81" t="s">
        <v>155</v>
      </c>
      <c r="CA955" s="81">
        <v>4</v>
      </c>
      <c r="CC955" s="167">
        <v>0</v>
      </c>
      <c r="CD955" s="167">
        <v>0</v>
      </c>
      <c r="CE955" s="167">
        <f>$N955/4</f>
        <v>0</v>
      </c>
      <c r="CF955" s="167">
        <f>$N955/4</f>
        <v>0</v>
      </c>
      <c r="CG955" s="167">
        <f>$N955/4</f>
        <v>0</v>
      </c>
      <c r="CH955" s="167">
        <f>$N955/4</f>
        <v>0</v>
      </c>
      <c r="CI955" s="167">
        <v>0</v>
      </c>
      <c r="CJ955" s="167">
        <v>0</v>
      </c>
      <c r="CK955" s="167">
        <v>0</v>
      </c>
      <c r="CL955" s="167">
        <v>0</v>
      </c>
      <c r="CM955" s="167">
        <v>0</v>
      </c>
      <c r="CN955" s="167">
        <v>0</v>
      </c>
      <c r="CO955" s="167">
        <v>0</v>
      </c>
      <c r="CP955" s="167">
        <v>0</v>
      </c>
      <c r="CQ955" s="167">
        <v>0</v>
      </c>
      <c r="CR955" s="167">
        <v>0</v>
      </c>
      <c r="CS955" s="167">
        <v>0</v>
      </c>
      <c r="CT955" s="167">
        <v>0</v>
      </c>
      <c r="CU955" s="167">
        <v>0</v>
      </c>
      <c r="CV955" s="167">
        <v>0</v>
      </c>
      <c r="CW955" s="167">
        <v>0</v>
      </c>
      <c r="CX955" s="167">
        <f>SUM(CD955:CH955)</f>
        <v>0</v>
      </c>
      <c r="CY955" s="167">
        <f>SUM(CD955:CM955)</f>
        <v>0</v>
      </c>
    </row>
    <row r="956" spans="1:103" ht="12.75" customHeight="1" x14ac:dyDescent="0.2">
      <c r="A956" s="81">
        <v>6221</v>
      </c>
      <c r="B956" s="165" t="s">
        <v>1930</v>
      </c>
      <c r="C956" s="165" t="s">
        <v>1197</v>
      </c>
      <c r="E956" s="165" t="s">
        <v>3430</v>
      </c>
      <c r="G956" s="81">
        <v>526099</v>
      </c>
      <c r="H956" s="81">
        <v>173957</v>
      </c>
      <c r="I956" s="165" t="s">
        <v>260</v>
      </c>
      <c r="L956" s="166">
        <v>24</v>
      </c>
      <c r="M956" s="166">
        <v>24</v>
      </c>
      <c r="N956" s="166">
        <v>0</v>
      </c>
      <c r="O956" s="166">
        <v>31</v>
      </c>
      <c r="P956" s="166">
        <v>7</v>
      </c>
      <c r="Q956" s="81" t="s">
        <v>155</v>
      </c>
      <c r="R956" s="165" t="s">
        <v>1198</v>
      </c>
      <c r="S956" s="81" t="s">
        <v>113</v>
      </c>
      <c r="T956" s="349">
        <v>42467</v>
      </c>
      <c r="U956" s="349">
        <v>42691</v>
      </c>
      <c r="W956" s="81" t="s">
        <v>114</v>
      </c>
      <c r="Y956" s="81" t="s">
        <v>115</v>
      </c>
      <c r="Z956" s="81" t="s">
        <v>398</v>
      </c>
      <c r="AA956" s="81" t="s">
        <v>117</v>
      </c>
      <c r="AB956" s="81" t="s">
        <v>300</v>
      </c>
      <c r="AC956" s="166">
        <v>9.2000000178813907E-2</v>
      </c>
      <c r="AG956" s="81" t="s">
        <v>238</v>
      </c>
      <c r="AH956" s="81" t="s">
        <v>118</v>
      </c>
      <c r="AK956" s="166">
        <v>0</v>
      </c>
      <c r="AM956" s="166">
        <v>0</v>
      </c>
      <c r="AO956" s="166">
        <v>4</v>
      </c>
      <c r="AP956" s="166">
        <v>-4</v>
      </c>
      <c r="AQ956" s="166">
        <v>0</v>
      </c>
      <c r="AR956" s="166">
        <v>0</v>
      </c>
      <c r="AS956" s="166">
        <v>0</v>
      </c>
      <c r="AT956" s="166">
        <v>0</v>
      </c>
      <c r="AU956" s="166">
        <v>0</v>
      </c>
      <c r="AV956" s="166">
        <v>4</v>
      </c>
      <c r="AW956" s="166">
        <v>-4</v>
      </c>
      <c r="AX956" s="166">
        <v>0</v>
      </c>
      <c r="AY956" s="166">
        <v>0</v>
      </c>
      <c r="AZ956" s="166">
        <v>0</v>
      </c>
      <c r="BA956" s="166">
        <v>0</v>
      </c>
      <c r="BB956" s="166">
        <v>0</v>
      </c>
      <c r="BC956" s="166">
        <v>0</v>
      </c>
      <c r="BD956" s="166">
        <v>0</v>
      </c>
      <c r="BE956" s="166">
        <v>0</v>
      </c>
      <c r="BF956" s="166">
        <v>0</v>
      </c>
      <c r="BG956" s="166">
        <v>0</v>
      </c>
      <c r="BH956" s="166">
        <v>0</v>
      </c>
      <c r="BI956" s="166">
        <v>0</v>
      </c>
      <c r="BJ956" s="166">
        <v>0</v>
      </c>
      <c r="BK956" s="166">
        <v>0</v>
      </c>
      <c r="BL956" s="166">
        <v>0</v>
      </c>
      <c r="BM956" s="166">
        <v>0</v>
      </c>
      <c r="BN956" s="166">
        <v>0</v>
      </c>
      <c r="BO956" s="166">
        <v>0</v>
      </c>
      <c r="BP956" s="166">
        <v>0</v>
      </c>
      <c r="BQ956" s="81" t="s">
        <v>1758</v>
      </c>
      <c r="BZ956" s="81" t="s">
        <v>155</v>
      </c>
      <c r="CA956" s="81" t="s">
        <v>3936</v>
      </c>
      <c r="CC956" s="167">
        <v>0</v>
      </c>
      <c r="CD956" s="167">
        <v>0</v>
      </c>
      <c r="CE956" s="167">
        <v>0</v>
      </c>
      <c r="CF956" s="167">
        <v>0</v>
      </c>
      <c r="CG956" s="167">
        <v>0</v>
      </c>
      <c r="CH956" s="167">
        <v>0</v>
      </c>
      <c r="CI956" s="167">
        <f>$N956/3</f>
        <v>0</v>
      </c>
      <c r="CJ956" s="167">
        <f>$N956/3</f>
        <v>0</v>
      </c>
      <c r="CK956" s="167">
        <f>$N956/3</f>
        <v>0</v>
      </c>
      <c r="CL956" s="167">
        <v>0</v>
      </c>
      <c r="CM956" s="167">
        <v>0</v>
      </c>
      <c r="CN956" s="167">
        <v>0</v>
      </c>
      <c r="CO956" s="167">
        <v>0</v>
      </c>
      <c r="CP956" s="167">
        <v>0</v>
      </c>
      <c r="CQ956" s="167">
        <v>0</v>
      </c>
      <c r="CR956" s="167">
        <v>0</v>
      </c>
      <c r="CS956" s="167">
        <v>0</v>
      </c>
      <c r="CT956" s="167">
        <v>0</v>
      </c>
      <c r="CU956" s="167">
        <v>0</v>
      </c>
      <c r="CV956" s="167">
        <v>0</v>
      </c>
      <c r="CW956" s="167">
        <v>0</v>
      </c>
      <c r="CX956" s="167">
        <f>SUM(CD956:CH956)</f>
        <v>0</v>
      </c>
      <c r="CY956" s="167">
        <f>SUM(CD956:CM956)</f>
        <v>0</v>
      </c>
    </row>
    <row r="957" spans="1:103" ht="12.75" customHeight="1" x14ac:dyDescent="0.2">
      <c r="A957" s="81">
        <v>6221</v>
      </c>
      <c r="B957" s="165" t="s">
        <v>1930</v>
      </c>
      <c r="C957" s="165" t="s">
        <v>1197</v>
      </c>
      <c r="E957" s="165" t="s">
        <v>3430</v>
      </c>
      <c r="G957" s="81">
        <v>526099</v>
      </c>
      <c r="H957" s="81">
        <v>173957</v>
      </c>
      <c r="I957" s="165" t="s">
        <v>260</v>
      </c>
      <c r="L957" s="166">
        <v>0</v>
      </c>
      <c r="M957" s="166">
        <v>7</v>
      </c>
      <c r="N957" s="166">
        <v>7</v>
      </c>
      <c r="O957" s="166">
        <v>31</v>
      </c>
      <c r="P957" s="166">
        <v>7</v>
      </c>
      <c r="Q957" s="81" t="s">
        <v>155</v>
      </c>
      <c r="R957" s="165" t="s">
        <v>1198</v>
      </c>
      <c r="S957" s="81" t="s">
        <v>113</v>
      </c>
      <c r="T957" s="349">
        <v>42467</v>
      </c>
      <c r="U957" s="349">
        <v>42691</v>
      </c>
      <c r="W957" s="81" t="s">
        <v>114</v>
      </c>
      <c r="Y957" s="81" t="s">
        <v>115</v>
      </c>
      <c r="Z957" s="81" t="s">
        <v>398</v>
      </c>
      <c r="AA957" s="81" t="s">
        <v>117</v>
      </c>
      <c r="AB957" s="81" t="s">
        <v>218</v>
      </c>
      <c r="AC957" s="166">
        <v>5.2000001072883599E-2</v>
      </c>
      <c r="AG957" s="81" t="s">
        <v>238</v>
      </c>
      <c r="AH957" s="81" t="s">
        <v>118</v>
      </c>
      <c r="AK957" s="166">
        <v>0</v>
      </c>
      <c r="AM957" s="166">
        <v>0</v>
      </c>
      <c r="AO957" s="166">
        <v>0</v>
      </c>
      <c r="AP957" s="166">
        <v>0</v>
      </c>
      <c r="AQ957" s="166">
        <v>7</v>
      </c>
      <c r="AR957" s="166">
        <v>0</v>
      </c>
      <c r="AS957" s="166">
        <v>0</v>
      </c>
      <c r="AT957" s="166">
        <v>0</v>
      </c>
      <c r="AU957" s="166">
        <v>0</v>
      </c>
      <c r="AV957" s="166">
        <v>0</v>
      </c>
      <c r="AW957" s="166">
        <v>0</v>
      </c>
      <c r="AX957" s="166">
        <v>7</v>
      </c>
      <c r="AY957" s="166">
        <v>0</v>
      </c>
      <c r="AZ957" s="166">
        <v>0</v>
      </c>
      <c r="BA957" s="166">
        <v>0</v>
      </c>
      <c r="BB957" s="166">
        <v>0</v>
      </c>
      <c r="BC957" s="166">
        <v>0</v>
      </c>
      <c r="BD957" s="166">
        <v>0</v>
      </c>
      <c r="BE957" s="166">
        <v>0</v>
      </c>
      <c r="BF957" s="166">
        <v>0</v>
      </c>
      <c r="BG957" s="166">
        <v>0</v>
      </c>
      <c r="BH957" s="166">
        <v>0</v>
      </c>
      <c r="BI957" s="166">
        <v>0</v>
      </c>
      <c r="BJ957" s="166">
        <v>0</v>
      </c>
      <c r="BK957" s="166">
        <v>0</v>
      </c>
      <c r="BL957" s="166">
        <v>0</v>
      </c>
      <c r="BM957" s="166">
        <v>0</v>
      </c>
      <c r="BN957" s="166">
        <v>0</v>
      </c>
      <c r="BO957" s="166">
        <v>0</v>
      </c>
      <c r="BP957" s="166">
        <v>0</v>
      </c>
      <c r="BQ957" s="81" t="s">
        <v>1758</v>
      </c>
      <c r="BZ957" s="81" t="s">
        <v>155</v>
      </c>
      <c r="CA957" s="81" t="s">
        <v>3936</v>
      </c>
      <c r="CC957" s="167">
        <v>0</v>
      </c>
      <c r="CD957" s="167">
        <v>0</v>
      </c>
      <c r="CE957" s="167">
        <v>0</v>
      </c>
      <c r="CF957" s="167">
        <v>0</v>
      </c>
      <c r="CG957" s="167">
        <v>0</v>
      </c>
      <c r="CH957" s="167">
        <v>0</v>
      </c>
      <c r="CI957" s="167">
        <f>$N957/3</f>
        <v>2.3333333333333335</v>
      </c>
      <c r="CJ957" s="167">
        <f>$N957/3</f>
        <v>2.3333333333333335</v>
      </c>
      <c r="CK957" s="167">
        <f>$N957/3</f>
        <v>2.3333333333333335</v>
      </c>
      <c r="CL957" s="167">
        <v>0</v>
      </c>
      <c r="CM957" s="167">
        <v>0</v>
      </c>
      <c r="CN957" s="167">
        <v>0</v>
      </c>
      <c r="CO957" s="167">
        <v>0</v>
      </c>
      <c r="CP957" s="167">
        <v>0</v>
      </c>
      <c r="CQ957" s="167">
        <v>0</v>
      </c>
      <c r="CR957" s="167">
        <v>0</v>
      </c>
      <c r="CS957" s="167">
        <v>0</v>
      </c>
      <c r="CT957" s="167">
        <v>0</v>
      </c>
      <c r="CU957" s="167">
        <v>0</v>
      </c>
      <c r="CV957" s="167">
        <v>0</v>
      </c>
      <c r="CW957" s="167">
        <v>0</v>
      </c>
      <c r="CX957" s="167">
        <f>SUM(CD957:CH957)</f>
        <v>0</v>
      </c>
      <c r="CY957" s="167">
        <f>SUM(CD957:CM957)</f>
        <v>7</v>
      </c>
    </row>
    <row r="958" spans="1:103" ht="12.75" customHeight="1" x14ac:dyDescent="0.2">
      <c r="A958" s="81">
        <v>6223</v>
      </c>
      <c r="B958" s="165" t="s">
        <v>1930</v>
      </c>
      <c r="C958" s="165" t="s">
        <v>1384</v>
      </c>
      <c r="D958" s="165" t="s">
        <v>2107</v>
      </c>
      <c r="E958" s="165" t="s">
        <v>2694</v>
      </c>
      <c r="G958" s="81">
        <v>527302</v>
      </c>
      <c r="H958" s="81">
        <v>177164</v>
      </c>
      <c r="I958" s="165" t="s">
        <v>257</v>
      </c>
      <c r="L958" s="166">
        <v>0</v>
      </c>
      <c r="M958" s="166">
        <v>4</v>
      </c>
      <c r="N958" s="166">
        <v>4</v>
      </c>
      <c r="O958" s="166">
        <v>4</v>
      </c>
      <c r="P958" s="166">
        <v>4</v>
      </c>
      <c r="R958" s="165" t="s">
        <v>1385</v>
      </c>
      <c r="S958" s="81" t="s">
        <v>110</v>
      </c>
      <c r="T958" s="349">
        <v>42600</v>
      </c>
      <c r="U958" s="349">
        <v>42656</v>
      </c>
      <c r="W958" s="81" t="s">
        <v>114</v>
      </c>
      <c r="Y958" s="81" t="s">
        <v>115</v>
      </c>
      <c r="Z958" s="81" t="s">
        <v>310</v>
      </c>
      <c r="AA958" s="81" t="s">
        <v>117</v>
      </c>
      <c r="AB958" s="81" t="s">
        <v>399</v>
      </c>
      <c r="AC958" s="166">
        <v>2.19999998807907E-2</v>
      </c>
      <c r="AG958" s="81" t="s">
        <v>238</v>
      </c>
      <c r="AH958" s="81" t="s">
        <v>118</v>
      </c>
      <c r="AK958" s="166">
        <v>0</v>
      </c>
      <c r="AM958" s="166">
        <v>0</v>
      </c>
      <c r="AO958" s="166">
        <v>0</v>
      </c>
      <c r="AP958" s="166">
        <v>2</v>
      </c>
      <c r="AQ958" s="166">
        <v>2</v>
      </c>
      <c r="AR958" s="166">
        <v>0</v>
      </c>
      <c r="AS958" s="166">
        <v>0</v>
      </c>
      <c r="AT958" s="166">
        <v>0</v>
      </c>
      <c r="AU958" s="166">
        <v>0</v>
      </c>
      <c r="AV958" s="166">
        <v>0</v>
      </c>
      <c r="AW958" s="166">
        <v>2</v>
      </c>
      <c r="AX958" s="166">
        <v>2</v>
      </c>
      <c r="AY958" s="166">
        <v>0</v>
      </c>
      <c r="AZ958" s="166">
        <v>0</v>
      </c>
      <c r="BA958" s="166">
        <v>0</v>
      </c>
      <c r="BB958" s="166">
        <v>0</v>
      </c>
      <c r="BC958" s="166">
        <v>0</v>
      </c>
      <c r="BD958" s="166">
        <v>0</v>
      </c>
      <c r="BE958" s="166">
        <v>0</v>
      </c>
      <c r="BF958" s="166">
        <v>0</v>
      </c>
      <c r="BG958" s="166">
        <v>0</v>
      </c>
      <c r="BH958" s="166">
        <v>0</v>
      </c>
      <c r="BI958" s="166">
        <v>0</v>
      </c>
      <c r="BJ958" s="166">
        <v>0</v>
      </c>
      <c r="BK958" s="166">
        <v>0</v>
      </c>
      <c r="BL958" s="166">
        <v>0</v>
      </c>
      <c r="BM958" s="166">
        <v>0</v>
      </c>
      <c r="BN958" s="166">
        <v>0</v>
      </c>
      <c r="BO958" s="166">
        <v>0</v>
      </c>
      <c r="BP958" s="166">
        <v>0</v>
      </c>
      <c r="BQ958" s="81" t="s">
        <v>1757</v>
      </c>
      <c r="BX958" s="81" t="s">
        <v>155</v>
      </c>
      <c r="BZ958" s="81" t="s">
        <v>155</v>
      </c>
      <c r="CA958" s="81" t="s">
        <v>3972</v>
      </c>
      <c r="CC958" s="167">
        <v>0</v>
      </c>
      <c r="CD958" s="167">
        <f>$N958/4</f>
        <v>1</v>
      </c>
      <c r="CE958" s="167">
        <f>$N958/4</f>
        <v>1</v>
      </c>
      <c r="CF958" s="167">
        <f>$N958/4</f>
        <v>1</v>
      </c>
      <c r="CG958" s="167">
        <f>$N958/4</f>
        <v>1</v>
      </c>
      <c r="CH958" s="167">
        <v>0</v>
      </c>
      <c r="CI958" s="167">
        <v>0</v>
      </c>
      <c r="CJ958" s="167">
        <v>0</v>
      </c>
      <c r="CK958" s="167">
        <v>0</v>
      </c>
      <c r="CL958" s="167">
        <v>0</v>
      </c>
      <c r="CM958" s="167">
        <v>0</v>
      </c>
      <c r="CN958" s="167">
        <v>0</v>
      </c>
      <c r="CO958" s="167">
        <v>0</v>
      </c>
      <c r="CP958" s="167">
        <v>0</v>
      </c>
      <c r="CQ958" s="167">
        <v>0</v>
      </c>
      <c r="CR958" s="167">
        <v>0</v>
      </c>
      <c r="CS958" s="167">
        <v>0</v>
      </c>
      <c r="CT958" s="167">
        <v>0</v>
      </c>
      <c r="CU958" s="167">
        <v>0</v>
      </c>
      <c r="CV958" s="167">
        <v>0</v>
      </c>
      <c r="CW958" s="167">
        <v>0</v>
      </c>
      <c r="CX958" s="167">
        <f>SUM(CD958:CH958)</f>
        <v>4</v>
      </c>
      <c r="CY958" s="167">
        <f>SUM(CD958:CM958)</f>
        <v>4</v>
      </c>
    </row>
    <row r="959" spans="1:103" ht="12.75" customHeight="1" x14ac:dyDescent="0.2">
      <c r="A959" s="81">
        <v>6225</v>
      </c>
      <c r="B959" s="165" t="s">
        <v>1930</v>
      </c>
      <c r="C959" s="165" t="s">
        <v>1235</v>
      </c>
      <c r="E959" s="165" t="s">
        <v>2695</v>
      </c>
      <c r="G959" s="81">
        <v>525212</v>
      </c>
      <c r="H959" s="81">
        <v>174623</v>
      </c>
      <c r="I959" s="165" t="s">
        <v>250</v>
      </c>
      <c r="L959" s="166">
        <v>0</v>
      </c>
      <c r="M959" s="166">
        <v>3</v>
      </c>
      <c r="N959" s="166">
        <v>3</v>
      </c>
      <c r="O959" s="166">
        <v>3</v>
      </c>
      <c r="P959" s="166">
        <v>3</v>
      </c>
      <c r="R959" s="165" t="s">
        <v>1236</v>
      </c>
      <c r="S959" s="81" t="s">
        <v>113</v>
      </c>
      <c r="T959" s="349">
        <v>42495</v>
      </c>
      <c r="U959" s="349">
        <v>42641</v>
      </c>
      <c r="W959" s="81" t="s">
        <v>114</v>
      </c>
      <c r="Y959" s="81" t="s">
        <v>115</v>
      </c>
      <c r="Z959" s="81" t="s">
        <v>398</v>
      </c>
      <c r="AA959" s="81" t="s">
        <v>117</v>
      </c>
      <c r="AB959" s="81" t="s">
        <v>399</v>
      </c>
      <c r="AC959" s="166">
        <v>9.9999997764825804E-3</v>
      </c>
      <c r="AG959" s="81" t="s">
        <v>238</v>
      </c>
      <c r="AH959" s="81" t="s">
        <v>118</v>
      </c>
      <c r="AK959" s="166">
        <v>0</v>
      </c>
      <c r="AM959" s="166">
        <v>0</v>
      </c>
      <c r="AO959" s="166">
        <v>0</v>
      </c>
      <c r="AP959" s="166">
        <v>2</v>
      </c>
      <c r="AQ959" s="166">
        <v>0</v>
      </c>
      <c r="AR959" s="166">
        <v>1</v>
      </c>
      <c r="AS959" s="166">
        <v>0</v>
      </c>
      <c r="AT959" s="166">
        <v>0</v>
      </c>
      <c r="AU959" s="166">
        <v>0</v>
      </c>
      <c r="AV959" s="166">
        <v>0</v>
      </c>
      <c r="AW959" s="166">
        <v>2</v>
      </c>
      <c r="AX959" s="166">
        <v>0</v>
      </c>
      <c r="AY959" s="166">
        <v>1</v>
      </c>
      <c r="AZ959" s="166">
        <v>0</v>
      </c>
      <c r="BA959" s="166">
        <v>0</v>
      </c>
      <c r="BB959" s="166">
        <v>0</v>
      </c>
      <c r="BC959" s="166">
        <v>0</v>
      </c>
      <c r="BD959" s="166">
        <v>0</v>
      </c>
      <c r="BE959" s="166">
        <v>0</v>
      </c>
      <c r="BF959" s="166">
        <v>0</v>
      </c>
      <c r="BG959" s="166">
        <v>0</v>
      </c>
      <c r="BH959" s="166">
        <v>0</v>
      </c>
      <c r="BI959" s="166">
        <v>0</v>
      </c>
      <c r="BJ959" s="166">
        <v>0</v>
      </c>
      <c r="BK959" s="166">
        <v>0</v>
      </c>
      <c r="BL959" s="166">
        <v>0</v>
      </c>
      <c r="BM959" s="166">
        <v>0</v>
      </c>
      <c r="BN959" s="166">
        <v>0</v>
      </c>
      <c r="BO959" s="166">
        <v>0</v>
      </c>
      <c r="BP959" s="166">
        <v>0</v>
      </c>
      <c r="BQ959" s="81" t="s">
        <v>1758</v>
      </c>
      <c r="BZ959" s="81" t="s">
        <v>155</v>
      </c>
      <c r="CA959" s="81" t="s">
        <v>1937</v>
      </c>
      <c r="CC959" s="167">
        <v>0</v>
      </c>
      <c r="CD959" s="167">
        <f>$N959/4</f>
        <v>0.75</v>
      </c>
      <c r="CE959" s="167">
        <f>$N959/4</f>
        <v>0.75</v>
      </c>
      <c r="CF959" s="167">
        <f>$N959/4</f>
        <v>0.75</v>
      </c>
      <c r="CG959" s="167">
        <f>$N959/4</f>
        <v>0.75</v>
      </c>
      <c r="CH959" s="167">
        <v>0</v>
      </c>
      <c r="CI959" s="167">
        <v>0</v>
      </c>
      <c r="CJ959" s="167">
        <v>0</v>
      </c>
      <c r="CK959" s="167">
        <v>0</v>
      </c>
      <c r="CL959" s="167">
        <v>0</v>
      </c>
      <c r="CM959" s="167">
        <v>0</v>
      </c>
      <c r="CN959" s="167">
        <v>0</v>
      </c>
      <c r="CO959" s="167">
        <v>0</v>
      </c>
      <c r="CP959" s="167">
        <v>0</v>
      </c>
      <c r="CQ959" s="167">
        <v>0</v>
      </c>
      <c r="CR959" s="167">
        <v>0</v>
      </c>
      <c r="CS959" s="167">
        <v>0</v>
      </c>
      <c r="CT959" s="167">
        <v>0</v>
      </c>
      <c r="CU959" s="167">
        <v>0</v>
      </c>
      <c r="CV959" s="167">
        <v>0</v>
      </c>
      <c r="CW959" s="167">
        <v>0</v>
      </c>
      <c r="CX959" s="167">
        <f>SUM(CD959:CH959)</f>
        <v>3</v>
      </c>
      <c r="CY959" s="167">
        <f>SUM(CD959:CM959)</f>
        <v>3</v>
      </c>
    </row>
    <row r="960" spans="1:103" ht="12.75" customHeight="1" x14ac:dyDescent="0.2">
      <c r="A960" s="81">
        <v>6227</v>
      </c>
      <c r="B960" s="165" t="s">
        <v>1930</v>
      </c>
      <c r="C960" s="165" t="s">
        <v>1424</v>
      </c>
      <c r="E960" s="165" t="s">
        <v>2696</v>
      </c>
      <c r="G960" s="81">
        <v>526996</v>
      </c>
      <c r="H960" s="81">
        <v>172953</v>
      </c>
      <c r="I960" s="165" t="s">
        <v>260</v>
      </c>
      <c r="L960" s="166">
        <v>0</v>
      </c>
      <c r="M960" s="166">
        <v>1</v>
      </c>
      <c r="N960" s="166">
        <v>1</v>
      </c>
      <c r="O960" s="166">
        <v>1</v>
      </c>
      <c r="P960" s="166">
        <v>1</v>
      </c>
      <c r="R960" s="165" t="s">
        <v>1425</v>
      </c>
      <c r="S960" s="81" t="s">
        <v>113</v>
      </c>
      <c r="T960" s="349">
        <v>42640</v>
      </c>
      <c r="U960" s="349">
        <v>42753</v>
      </c>
      <c r="W960" s="81" t="s">
        <v>114</v>
      </c>
      <c r="Y960" s="81" t="s">
        <v>115</v>
      </c>
      <c r="Z960" s="81" t="s">
        <v>116</v>
      </c>
      <c r="AA960" s="81" t="s">
        <v>117</v>
      </c>
      <c r="AB960" s="81" t="s">
        <v>218</v>
      </c>
      <c r="AC960" s="166">
        <v>8.9999996125698107E-3</v>
      </c>
      <c r="AG960" s="81" t="s">
        <v>238</v>
      </c>
      <c r="AH960" s="81" t="s">
        <v>118</v>
      </c>
      <c r="AK960" s="166">
        <v>1</v>
      </c>
      <c r="AM960" s="166">
        <v>0</v>
      </c>
      <c r="AO960" s="166">
        <v>0</v>
      </c>
      <c r="AP960" s="166">
        <v>0</v>
      </c>
      <c r="AQ960" s="166">
        <v>0</v>
      </c>
      <c r="AR960" s="166">
        <v>1</v>
      </c>
      <c r="AS960" s="166">
        <v>0</v>
      </c>
      <c r="AT960" s="166">
        <v>0</v>
      </c>
      <c r="AU960" s="166">
        <v>0</v>
      </c>
      <c r="AV960" s="166">
        <v>0</v>
      </c>
      <c r="AW960" s="166">
        <v>0</v>
      </c>
      <c r="AX960" s="166">
        <v>0</v>
      </c>
      <c r="AY960" s="166">
        <v>0</v>
      </c>
      <c r="AZ960" s="166">
        <v>0</v>
      </c>
      <c r="BA960" s="166">
        <v>0</v>
      </c>
      <c r="BB960" s="166">
        <v>0</v>
      </c>
      <c r="BC960" s="166">
        <v>0</v>
      </c>
      <c r="BD960" s="166">
        <v>0</v>
      </c>
      <c r="BE960" s="166">
        <v>0</v>
      </c>
      <c r="BF960" s="166">
        <v>1</v>
      </c>
      <c r="BG960" s="166">
        <v>0</v>
      </c>
      <c r="BH960" s="166">
        <v>0</v>
      </c>
      <c r="BI960" s="166">
        <v>0</v>
      </c>
      <c r="BJ960" s="166">
        <v>0</v>
      </c>
      <c r="BK960" s="166">
        <v>0</v>
      </c>
      <c r="BL960" s="166">
        <v>0</v>
      </c>
      <c r="BM960" s="166">
        <v>0</v>
      </c>
      <c r="BN960" s="166">
        <v>0</v>
      </c>
      <c r="BO960" s="166">
        <v>0</v>
      </c>
      <c r="BP960" s="166">
        <v>0</v>
      </c>
      <c r="BQ960" s="81" t="s">
        <v>1758</v>
      </c>
      <c r="BZ960" s="81" t="s">
        <v>155</v>
      </c>
      <c r="CA960" s="81">
        <v>4</v>
      </c>
      <c r="CC960" s="167">
        <v>0</v>
      </c>
      <c r="CD960" s="167">
        <v>0</v>
      </c>
      <c r="CE960" s="167">
        <f>$N960/4</f>
        <v>0.25</v>
      </c>
      <c r="CF960" s="167">
        <f>$N960/4</f>
        <v>0.25</v>
      </c>
      <c r="CG960" s="167">
        <f>$N960/4</f>
        <v>0.25</v>
      </c>
      <c r="CH960" s="167">
        <f>$N960/4</f>
        <v>0.25</v>
      </c>
      <c r="CI960" s="167">
        <v>0</v>
      </c>
      <c r="CJ960" s="167">
        <v>0</v>
      </c>
      <c r="CK960" s="167">
        <v>0</v>
      </c>
      <c r="CL960" s="167">
        <v>0</v>
      </c>
      <c r="CM960" s="167">
        <v>0</v>
      </c>
      <c r="CN960" s="167">
        <v>0</v>
      </c>
      <c r="CO960" s="167">
        <v>0</v>
      </c>
      <c r="CP960" s="167">
        <v>0</v>
      </c>
      <c r="CQ960" s="167">
        <v>0</v>
      </c>
      <c r="CR960" s="167">
        <v>0</v>
      </c>
      <c r="CS960" s="167">
        <v>0</v>
      </c>
      <c r="CT960" s="167">
        <v>0</v>
      </c>
      <c r="CU960" s="167">
        <v>0</v>
      </c>
      <c r="CV960" s="167">
        <v>0</v>
      </c>
      <c r="CW960" s="167">
        <v>0</v>
      </c>
      <c r="CX960" s="167">
        <f>SUM(CD960:CH960)</f>
        <v>1</v>
      </c>
      <c r="CY960" s="167">
        <f>SUM(CD960:CM960)</f>
        <v>1</v>
      </c>
    </row>
    <row r="961" spans="1:103" ht="12.75" customHeight="1" x14ac:dyDescent="0.2">
      <c r="A961" s="81">
        <v>6231</v>
      </c>
      <c r="B961" s="165" t="s">
        <v>1930</v>
      </c>
      <c r="C961" s="165" t="s">
        <v>1253</v>
      </c>
      <c r="E961" s="165" t="s">
        <v>2697</v>
      </c>
      <c r="G961" s="81">
        <v>528546</v>
      </c>
      <c r="H961" s="81">
        <v>173121</v>
      </c>
      <c r="I961" s="165" t="s">
        <v>254</v>
      </c>
      <c r="L961" s="166">
        <v>0</v>
      </c>
      <c r="M961" s="166">
        <v>1</v>
      </c>
      <c r="N961" s="166">
        <v>1</v>
      </c>
      <c r="O961" s="166">
        <v>1</v>
      </c>
      <c r="P961" s="166">
        <v>1</v>
      </c>
      <c r="R961" s="165" t="s">
        <v>1254</v>
      </c>
      <c r="S961" s="81" t="s">
        <v>113</v>
      </c>
      <c r="T961" s="349">
        <v>42501</v>
      </c>
      <c r="U961" s="349">
        <v>42557</v>
      </c>
      <c r="W961" s="81" t="s">
        <v>114</v>
      </c>
      <c r="Y961" s="81" t="s">
        <v>115</v>
      </c>
      <c r="Z961" s="81" t="s">
        <v>116</v>
      </c>
      <c r="AA961" s="81" t="s">
        <v>117</v>
      </c>
      <c r="AB961" s="81" t="s">
        <v>218</v>
      </c>
      <c r="AC961" s="166">
        <v>4.9999998882412902E-3</v>
      </c>
      <c r="AG961" s="81" t="s">
        <v>238</v>
      </c>
      <c r="AH961" s="81" t="s">
        <v>118</v>
      </c>
      <c r="AK961" s="166">
        <v>0</v>
      </c>
      <c r="AM961" s="166">
        <v>0</v>
      </c>
      <c r="AO961" s="166">
        <v>0</v>
      </c>
      <c r="AP961" s="166">
        <v>1</v>
      </c>
      <c r="AQ961" s="166">
        <v>0</v>
      </c>
      <c r="AR961" s="166">
        <v>0</v>
      </c>
      <c r="AS961" s="166">
        <v>0</v>
      </c>
      <c r="AT961" s="166">
        <v>0</v>
      </c>
      <c r="AU961" s="166">
        <v>0</v>
      </c>
      <c r="AV961" s="166">
        <v>0</v>
      </c>
      <c r="AW961" s="166">
        <v>1</v>
      </c>
      <c r="AX961" s="166">
        <v>0</v>
      </c>
      <c r="AY961" s="166">
        <v>0</v>
      </c>
      <c r="AZ961" s="166">
        <v>0</v>
      </c>
      <c r="BA961" s="166">
        <v>0</v>
      </c>
      <c r="BB961" s="166">
        <v>0</v>
      </c>
      <c r="BC961" s="166">
        <v>0</v>
      </c>
      <c r="BD961" s="166">
        <v>0</v>
      </c>
      <c r="BE961" s="166">
        <v>0</v>
      </c>
      <c r="BF961" s="166">
        <v>0</v>
      </c>
      <c r="BG961" s="166">
        <v>0</v>
      </c>
      <c r="BH961" s="166">
        <v>0</v>
      </c>
      <c r="BI961" s="166">
        <v>0</v>
      </c>
      <c r="BJ961" s="166">
        <v>0</v>
      </c>
      <c r="BK961" s="166">
        <v>0</v>
      </c>
      <c r="BL961" s="166">
        <v>0</v>
      </c>
      <c r="BM961" s="166">
        <v>0</v>
      </c>
      <c r="BN961" s="166">
        <v>0</v>
      </c>
      <c r="BO961" s="166">
        <v>0</v>
      </c>
      <c r="BP961" s="166">
        <v>0</v>
      </c>
      <c r="BQ961" s="81" t="s">
        <v>1757</v>
      </c>
      <c r="BZ961" s="81" t="s">
        <v>155</v>
      </c>
      <c r="CA961" s="81">
        <v>4</v>
      </c>
      <c r="CC961" s="167">
        <v>0</v>
      </c>
      <c r="CD961" s="167">
        <v>0</v>
      </c>
      <c r="CE961" s="167">
        <f>$N961/4</f>
        <v>0.25</v>
      </c>
      <c r="CF961" s="167">
        <f>$N961/4</f>
        <v>0.25</v>
      </c>
      <c r="CG961" s="167">
        <f>$N961/4</f>
        <v>0.25</v>
      </c>
      <c r="CH961" s="167">
        <f>$N961/4</f>
        <v>0.25</v>
      </c>
      <c r="CI961" s="167">
        <v>0</v>
      </c>
      <c r="CJ961" s="167">
        <v>0</v>
      </c>
      <c r="CK961" s="167">
        <v>0</v>
      </c>
      <c r="CL961" s="167">
        <v>0</v>
      </c>
      <c r="CM961" s="167">
        <v>0</v>
      </c>
      <c r="CN961" s="167">
        <v>0</v>
      </c>
      <c r="CO961" s="167">
        <v>0</v>
      </c>
      <c r="CP961" s="167">
        <v>0</v>
      </c>
      <c r="CQ961" s="167">
        <v>0</v>
      </c>
      <c r="CR961" s="167">
        <v>0</v>
      </c>
      <c r="CS961" s="167">
        <v>0</v>
      </c>
      <c r="CT961" s="167">
        <v>0</v>
      </c>
      <c r="CU961" s="167">
        <v>0</v>
      </c>
      <c r="CV961" s="167">
        <v>0</v>
      </c>
      <c r="CW961" s="167">
        <v>0</v>
      </c>
      <c r="CX961" s="167">
        <f>SUM(CD961:CH961)</f>
        <v>1</v>
      </c>
      <c r="CY961" s="167">
        <f>SUM(CD961:CM961)</f>
        <v>1</v>
      </c>
    </row>
    <row r="962" spans="1:103" ht="12.75" customHeight="1" x14ac:dyDescent="0.2">
      <c r="A962" s="81">
        <v>6236</v>
      </c>
      <c r="B962" s="165" t="s">
        <v>1930</v>
      </c>
      <c r="C962" s="165" t="s">
        <v>1256</v>
      </c>
      <c r="E962" s="165" t="s">
        <v>2698</v>
      </c>
      <c r="G962" s="81">
        <v>524331</v>
      </c>
      <c r="H962" s="81">
        <v>174652</v>
      </c>
      <c r="I962" s="165" t="s">
        <v>250</v>
      </c>
      <c r="L962" s="166">
        <v>0</v>
      </c>
      <c r="M962" s="166">
        <v>4</v>
      </c>
      <c r="N962" s="166">
        <v>4</v>
      </c>
      <c r="O962" s="166">
        <v>4</v>
      </c>
      <c r="P962" s="166">
        <v>4</v>
      </c>
      <c r="R962" s="165" t="s">
        <v>1257</v>
      </c>
      <c r="S962" s="81" t="s">
        <v>113</v>
      </c>
      <c r="T962" s="349">
        <v>42513</v>
      </c>
      <c r="U962" s="349">
        <v>42628</v>
      </c>
      <c r="W962" s="81" t="s">
        <v>114</v>
      </c>
      <c r="Y962" s="81" t="s">
        <v>115</v>
      </c>
      <c r="Z962" s="81" t="s">
        <v>116</v>
      </c>
      <c r="AA962" s="81" t="s">
        <v>117</v>
      </c>
      <c r="AB962" s="81" t="s">
        <v>218</v>
      </c>
      <c r="AC962" s="166">
        <v>2.60000005364418E-2</v>
      </c>
      <c r="AG962" s="81" t="s">
        <v>238</v>
      </c>
      <c r="AH962" s="81" t="s">
        <v>118</v>
      </c>
      <c r="AK962" s="166">
        <v>0</v>
      </c>
      <c r="AM962" s="166">
        <v>0</v>
      </c>
      <c r="AO962" s="166">
        <v>0</v>
      </c>
      <c r="AP962" s="166">
        <v>3</v>
      </c>
      <c r="AQ962" s="166">
        <v>1</v>
      </c>
      <c r="AR962" s="166">
        <v>0</v>
      </c>
      <c r="AS962" s="166">
        <v>0</v>
      </c>
      <c r="AT962" s="166">
        <v>0</v>
      </c>
      <c r="AU962" s="166">
        <v>0</v>
      </c>
      <c r="AV962" s="166">
        <v>0</v>
      </c>
      <c r="AW962" s="166">
        <v>3</v>
      </c>
      <c r="AX962" s="166">
        <v>1</v>
      </c>
      <c r="AY962" s="166">
        <v>0</v>
      </c>
      <c r="AZ962" s="166">
        <v>0</v>
      </c>
      <c r="BA962" s="166">
        <v>0</v>
      </c>
      <c r="BB962" s="166">
        <v>0</v>
      </c>
      <c r="BC962" s="166">
        <v>0</v>
      </c>
      <c r="BD962" s="166">
        <v>0</v>
      </c>
      <c r="BE962" s="166">
        <v>0</v>
      </c>
      <c r="BF962" s="166">
        <v>0</v>
      </c>
      <c r="BG962" s="166">
        <v>0</v>
      </c>
      <c r="BH962" s="166">
        <v>0</v>
      </c>
      <c r="BI962" s="166">
        <v>0</v>
      </c>
      <c r="BJ962" s="166">
        <v>0</v>
      </c>
      <c r="BK962" s="166">
        <v>0</v>
      </c>
      <c r="BL962" s="166">
        <v>0</v>
      </c>
      <c r="BM962" s="166">
        <v>0</v>
      </c>
      <c r="BN962" s="166">
        <v>0</v>
      </c>
      <c r="BO962" s="166">
        <v>0</v>
      </c>
      <c r="BP962" s="166">
        <v>0</v>
      </c>
      <c r="BQ962" s="81" t="s">
        <v>1758</v>
      </c>
      <c r="BZ962" s="81" t="s">
        <v>155</v>
      </c>
      <c r="CA962" s="81">
        <v>4</v>
      </c>
      <c r="CC962" s="167">
        <v>0</v>
      </c>
      <c r="CD962" s="167">
        <v>0</v>
      </c>
      <c r="CE962" s="167">
        <f>$N962/4</f>
        <v>1</v>
      </c>
      <c r="CF962" s="167">
        <f>$N962/4</f>
        <v>1</v>
      </c>
      <c r="CG962" s="167">
        <f>$N962/4</f>
        <v>1</v>
      </c>
      <c r="CH962" s="167">
        <f>$N962/4</f>
        <v>1</v>
      </c>
      <c r="CI962" s="167">
        <v>0</v>
      </c>
      <c r="CJ962" s="167">
        <v>0</v>
      </c>
      <c r="CK962" s="167">
        <v>0</v>
      </c>
      <c r="CL962" s="167">
        <v>0</v>
      </c>
      <c r="CM962" s="167">
        <v>0</v>
      </c>
      <c r="CN962" s="167">
        <v>0</v>
      </c>
      <c r="CO962" s="167">
        <v>0</v>
      </c>
      <c r="CP962" s="167">
        <v>0</v>
      </c>
      <c r="CQ962" s="167">
        <v>0</v>
      </c>
      <c r="CR962" s="167">
        <v>0</v>
      </c>
      <c r="CS962" s="167">
        <v>0</v>
      </c>
      <c r="CT962" s="167">
        <v>0</v>
      </c>
      <c r="CU962" s="167">
        <v>0</v>
      </c>
      <c r="CV962" s="167">
        <v>0</v>
      </c>
      <c r="CW962" s="167">
        <v>0</v>
      </c>
      <c r="CX962" s="167">
        <f>SUM(CD962:CH962)</f>
        <v>4</v>
      </c>
      <c r="CY962" s="167">
        <f>SUM(CD962:CM962)</f>
        <v>4</v>
      </c>
    </row>
    <row r="963" spans="1:103" ht="12.75" customHeight="1" x14ac:dyDescent="0.2">
      <c r="A963" s="81">
        <v>6237</v>
      </c>
      <c r="B963" s="165" t="s">
        <v>1930</v>
      </c>
      <c r="C963" s="165" t="s">
        <v>1255</v>
      </c>
      <c r="E963" s="165" t="s">
        <v>2699</v>
      </c>
      <c r="G963" s="81">
        <v>527817</v>
      </c>
      <c r="H963" s="81">
        <v>174580</v>
      </c>
      <c r="I963" s="165" t="s">
        <v>255</v>
      </c>
      <c r="L963" s="166">
        <v>0</v>
      </c>
      <c r="M963" s="166">
        <v>1</v>
      </c>
      <c r="N963" s="166">
        <v>1</v>
      </c>
      <c r="O963" s="166">
        <v>1</v>
      </c>
      <c r="P963" s="166">
        <v>1</v>
      </c>
      <c r="R963" s="165" t="s">
        <v>562</v>
      </c>
      <c r="S963" s="81" t="s">
        <v>110</v>
      </c>
      <c r="T963" s="349">
        <v>42506</v>
      </c>
      <c r="U963" s="349">
        <v>42562</v>
      </c>
      <c r="W963" s="81" t="s">
        <v>114</v>
      </c>
      <c r="Y963" s="81" t="s">
        <v>115</v>
      </c>
      <c r="Z963" s="81" t="s">
        <v>310</v>
      </c>
      <c r="AA963" s="81" t="s">
        <v>117</v>
      </c>
      <c r="AB963" s="81" t="s">
        <v>399</v>
      </c>
      <c r="AC963" s="166">
        <v>9.9999997764825804E-3</v>
      </c>
      <c r="AG963" s="81" t="s">
        <v>238</v>
      </c>
      <c r="AH963" s="81" t="s">
        <v>118</v>
      </c>
      <c r="AK963" s="166">
        <v>0</v>
      </c>
      <c r="AM963" s="166">
        <v>0</v>
      </c>
      <c r="AO963" s="166">
        <v>0</v>
      </c>
      <c r="AP963" s="166">
        <v>1</v>
      </c>
      <c r="AQ963" s="166">
        <v>0</v>
      </c>
      <c r="AR963" s="166">
        <v>0</v>
      </c>
      <c r="AS963" s="166">
        <v>0</v>
      </c>
      <c r="AT963" s="166">
        <v>0</v>
      </c>
      <c r="AU963" s="166">
        <v>0</v>
      </c>
      <c r="AV963" s="166">
        <v>0</v>
      </c>
      <c r="AW963" s="166">
        <v>1</v>
      </c>
      <c r="AX963" s="166">
        <v>0</v>
      </c>
      <c r="AY963" s="166">
        <v>0</v>
      </c>
      <c r="AZ963" s="166">
        <v>0</v>
      </c>
      <c r="BA963" s="166">
        <v>0</v>
      </c>
      <c r="BB963" s="166">
        <v>0</v>
      </c>
      <c r="BC963" s="166">
        <v>0</v>
      </c>
      <c r="BD963" s="166">
        <v>0</v>
      </c>
      <c r="BE963" s="166">
        <v>0</v>
      </c>
      <c r="BF963" s="166">
        <v>0</v>
      </c>
      <c r="BG963" s="166">
        <v>0</v>
      </c>
      <c r="BH963" s="166">
        <v>0</v>
      </c>
      <c r="BI963" s="166">
        <v>0</v>
      </c>
      <c r="BJ963" s="166">
        <v>0</v>
      </c>
      <c r="BK963" s="166">
        <v>0</v>
      </c>
      <c r="BL963" s="166">
        <v>0</v>
      </c>
      <c r="BM963" s="166">
        <v>0</v>
      </c>
      <c r="BN963" s="166">
        <v>0</v>
      </c>
      <c r="BO963" s="166">
        <v>0</v>
      </c>
      <c r="BP963" s="166">
        <v>0</v>
      </c>
      <c r="BQ963" s="81" t="s">
        <v>1757</v>
      </c>
      <c r="BZ963" s="81" t="s">
        <v>155</v>
      </c>
      <c r="CA963" s="81" t="s">
        <v>1937</v>
      </c>
      <c r="CC963" s="167">
        <v>0</v>
      </c>
      <c r="CD963" s="167">
        <f>$N963/4</f>
        <v>0.25</v>
      </c>
      <c r="CE963" s="167">
        <f>$N963/4</f>
        <v>0.25</v>
      </c>
      <c r="CF963" s="167">
        <f>$N963/4</f>
        <v>0.25</v>
      </c>
      <c r="CG963" s="167">
        <f>$N963/4</f>
        <v>0.25</v>
      </c>
      <c r="CH963" s="167">
        <v>0</v>
      </c>
      <c r="CI963" s="167">
        <v>0</v>
      </c>
      <c r="CJ963" s="167">
        <v>0</v>
      </c>
      <c r="CK963" s="167">
        <v>0</v>
      </c>
      <c r="CL963" s="167">
        <v>0</v>
      </c>
      <c r="CM963" s="167">
        <v>0</v>
      </c>
      <c r="CN963" s="167">
        <v>0</v>
      </c>
      <c r="CO963" s="167">
        <v>0</v>
      </c>
      <c r="CP963" s="167">
        <v>0</v>
      </c>
      <c r="CQ963" s="167">
        <v>0</v>
      </c>
      <c r="CR963" s="167">
        <v>0</v>
      </c>
      <c r="CS963" s="167">
        <v>0</v>
      </c>
      <c r="CT963" s="167">
        <v>0</v>
      </c>
      <c r="CU963" s="167">
        <v>0</v>
      </c>
      <c r="CV963" s="167">
        <v>0</v>
      </c>
      <c r="CW963" s="167">
        <v>0</v>
      </c>
      <c r="CX963" s="167">
        <f>SUM(CD963:CH963)</f>
        <v>1</v>
      </c>
      <c r="CY963" s="167">
        <f>SUM(CD963:CM963)</f>
        <v>1</v>
      </c>
    </row>
    <row r="964" spans="1:103" ht="12.75" customHeight="1" x14ac:dyDescent="0.2">
      <c r="A964" s="81">
        <v>6251</v>
      </c>
      <c r="B964" s="165" t="s">
        <v>1930</v>
      </c>
      <c r="C964" s="165" t="s">
        <v>1191</v>
      </c>
      <c r="E964" s="165" t="s">
        <v>2700</v>
      </c>
      <c r="G964" s="81">
        <v>522836</v>
      </c>
      <c r="H964" s="81">
        <v>174659</v>
      </c>
      <c r="I964" s="165" t="s">
        <v>59</v>
      </c>
      <c r="L964" s="166">
        <v>1</v>
      </c>
      <c r="M964" s="166">
        <v>1</v>
      </c>
      <c r="N964" s="166">
        <v>0</v>
      </c>
      <c r="O964" s="166">
        <v>1</v>
      </c>
      <c r="P964" s="166">
        <v>0</v>
      </c>
      <c r="R964" s="165" t="s">
        <v>1192</v>
      </c>
      <c r="S964" s="81" t="s">
        <v>113</v>
      </c>
      <c r="T964" s="349">
        <v>42506</v>
      </c>
      <c r="U964" s="349">
        <v>42562</v>
      </c>
      <c r="W964" s="81" t="s">
        <v>114</v>
      </c>
      <c r="Y964" s="81" t="s">
        <v>115</v>
      </c>
      <c r="Z964" s="81" t="s">
        <v>116</v>
      </c>
      <c r="AA964" s="81" t="s">
        <v>117</v>
      </c>
      <c r="AB964" s="81" t="s">
        <v>218</v>
      </c>
      <c r="AC964" s="166">
        <v>5.0999999046325697E-2</v>
      </c>
      <c r="AG964" s="81" t="s">
        <v>238</v>
      </c>
      <c r="AH964" s="81" t="s">
        <v>118</v>
      </c>
      <c r="AK964" s="166">
        <v>0</v>
      </c>
      <c r="AM964" s="166">
        <v>1</v>
      </c>
      <c r="AO964" s="166">
        <v>0</v>
      </c>
      <c r="AP964" s="166">
        <v>0</v>
      </c>
      <c r="AQ964" s="166">
        <v>0</v>
      </c>
      <c r="AR964" s="166">
        <v>-1</v>
      </c>
      <c r="AS964" s="166">
        <v>0</v>
      </c>
      <c r="AT964" s="166">
        <v>1</v>
      </c>
      <c r="AU964" s="166">
        <v>0</v>
      </c>
      <c r="AV964" s="166">
        <v>0</v>
      </c>
      <c r="AW964" s="166">
        <v>0</v>
      </c>
      <c r="AX964" s="166">
        <v>0</v>
      </c>
      <c r="AY964" s="166">
        <v>0</v>
      </c>
      <c r="AZ964" s="166">
        <v>0</v>
      </c>
      <c r="BA964" s="166">
        <v>0</v>
      </c>
      <c r="BB964" s="166">
        <v>0</v>
      </c>
      <c r="BC964" s="166">
        <v>0</v>
      </c>
      <c r="BD964" s="166">
        <v>0</v>
      </c>
      <c r="BE964" s="166">
        <v>0</v>
      </c>
      <c r="BF964" s="166">
        <v>-1</v>
      </c>
      <c r="BG964" s="166">
        <v>0</v>
      </c>
      <c r="BH964" s="166">
        <v>1</v>
      </c>
      <c r="BI964" s="166">
        <v>0</v>
      </c>
      <c r="BJ964" s="166">
        <v>0</v>
      </c>
      <c r="BK964" s="166">
        <v>0</v>
      </c>
      <c r="BL964" s="166">
        <v>0</v>
      </c>
      <c r="BM964" s="166">
        <v>0</v>
      </c>
      <c r="BN964" s="166">
        <v>0</v>
      </c>
      <c r="BO964" s="166">
        <v>0</v>
      </c>
      <c r="BP964" s="166">
        <v>0</v>
      </c>
      <c r="BQ964" s="81" t="s">
        <v>1758</v>
      </c>
      <c r="BZ964" s="81" t="s">
        <v>155</v>
      </c>
      <c r="CA964" s="81">
        <v>4</v>
      </c>
      <c r="CC964" s="167">
        <v>0</v>
      </c>
      <c r="CD964" s="167">
        <v>0</v>
      </c>
      <c r="CE964" s="167">
        <f>$N964/4</f>
        <v>0</v>
      </c>
      <c r="CF964" s="167">
        <f>$N964/4</f>
        <v>0</v>
      </c>
      <c r="CG964" s="167">
        <f>$N964/4</f>
        <v>0</v>
      </c>
      <c r="CH964" s="167">
        <f>$N964/4</f>
        <v>0</v>
      </c>
      <c r="CI964" s="167">
        <v>0</v>
      </c>
      <c r="CJ964" s="167">
        <v>0</v>
      </c>
      <c r="CK964" s="167">
        <v>0</v>
      </c>
      <c r="CL964" s="167">
        <v>0</v>
      </c>
      <c r="CM964" s="167">
        <v>0</v>
      </c>
      <c r="CN964" s="167">
        <v>0</v>
      </c>
      <c r="CO964" s="167">
        <v>0</v>
      </c>
      <c r="CP964" s="167">
        <v>0</v>
      </c>
      <c r="CQ964" s="167">
        <v>0</v>
      </c>
      <c r="CR964" s="167">
        <v>0</v>
      </c>
      <c r="CS964" s="167">
        <v>0</v>
      </c>
      <c r="CT964" s="167">
        <v>0</v>
      </c>
      <c r="CU964" s="167">
        <v>0</v>
      </c>
      <c r="CV964" s="167">
        <v>0</v>
      </c>
      <c r="CW964" s="167">
        <v>0</v>
      </c>
      <c r="CX964" s="167">
        <f>SUM(CD964:CH964)</f>
        <v>0</v>
      </c>
      <c r="CY964" s="167">
        <f>SUM(CD964:CM964)</f>
        <v>0</v>
      </c>
    </row>
    <row r="965" spans="1:103" ht="12.75" customHeight="1" x14ac:dyDescent="0.2">
      <c r="A965" s="81">
        <v>6256</v>
      </c>
      <c r="B965" s="165" t="s">
        <v>1930</v>
      </c>
      <c r="C965" s="165" t="s">
        <v>1266</v>
      </c>
      <c r="E965" s="165" t="s">
        <v>2701</v>
      </c>
      <c r="G965" s="81">
        <v>528092</v>
      </c>
      <c r="H965" s="81">
        <v>176612</v>
      </c>
      <c r="I965" s="165" t="s">
        <v>241</v>
      </c>
      <c r="L965" s="166">
        <v>0</v>
      </c>
      <c r="M965" s="166">
        <v>3</v>
      </c>
      <c r="N965" s="166">
        <v>3</v>
      </c>
      <c r="O965" s="166">
        <v>5</v>
      </c>
      <c r="P965" s="166">
        <v>5</v>
      </c>
      <c r="R965" s="165" t="s">
        <v>1267</v>
      </c>
      <c r="S965" s="81" t="s">
        <v>113</v>
      </c>
      <c r="T965" s="349">
        <v>42515</v>
      </c>
      <c r="U965" s="349">
        <v>42605</v>
      </c>
      <c r="W965" s="81" t="s">
        <v>114</v>
      </c>
      <c r="Y965" s="81" t="s">
        <v>115</v>
      </c>
      <c r="Z965" s="81" t="s">
        <v>398</v>
      </c>
      <c r="AA965" s="81" t="s">
        <v>117</v>
      </c>
      <c r="AB965" s="81" t="s">
        <v>218</v>
      </c>
      <c r="AC965" s="166">
        <v>1.2000000104308101E-2</v>
      </c>
      <c r="AG965" s="81" t="s">
        <v>238</v>
      </c>
      <c r="AH965" s="81" t="s">
        <v>118</v>
      </c>
      <c r="AK965" s="166">
        <v>3</v>
      </c>
      <c r="AM965" s="166">
        <v>0</v>
      </c>
      <c r="AO965" s="166">
        <v>0</v>
      </c>
      <c r="AP965" s="166">
        <v>0</v>
      </c>
      <c r="AQ965" s="166">
        <v>3</v>
      </c>
      <c r="AR965" s="166">
        <v>0</v>
      </c>
      <c r="AS965" s="166">
        <v>0</v>
      </c>
      <c r="AT965" s="166">
        <v>0</v>
      </c>
      <c r="AU965" s="166">
        <v>0</v>
      </c>
      <c r="AV965" s="166">
        <v>0</v>
      </c>
      <c r="AW965" s="166">
        <v>0</v>
      </c>
      <c r="AX965" s="166">
        <v>3</v>
      </c>
      <c r="AY965" s="166">
        <v>0</v>
      </c>
      <c r="AZ965" s="166">
        <v>0</v>
      </c>
      <c r="BA965" s="166">
        <v>0</v>
      </c>
      <c r="BB965" s="166">
        <v>0</v>
      </c>
      <c r="BC965" s="166">
        <v>0</v>
      </c>
      <c r="BD965" s="166">
        <v>0</v>
      </c>
      <c r="BE965" s="166">
        <v>0</v>
      </c>
      <c r="BF965" s="166">
        <v>0</v>
      </c>
      <c r="BG965" s="166">
        <v>0</v>
      </c>
      <c r="BH965" s="166">
        <v>0</v>
      </c>
      <c r="BI965" s="166">
        <v>0</v>
      </c>
      <c r="BJ965" s="166">
        <v>0</v>
      </c>
      <c r="BK965" s="166">
        <v>0</v>
      </c>
      <c r="BL965" s="166">
        <v>0</v>
      </c>
      <c r="BM965" s="166">
        <v>0</v>
      </c>
      <c r="BN965" s="166">
        <v>0</v>
      </c>
      <c r="BO965" s="166">
        <v>0</v>
      </c>
      <c r="BP965" s="166">
        <v>0</v>
      </c>
      <c r="BQ965" s="81" t="s">
        <v>1757</v>
      </c>
      <c r="BZ965" s="81" t="s">
        <v>155</v>
      </c>
      <c r="CA965" s="81" t="s">
        <v>1937</v>
      </c>
      <c r="CC965" s="167">
        <v>0</v>
      </c>
      <c r="CD965" s="167">
        <f>$N965/4</f>
        <v>0.75</v>
      </c>
      <c r="CE965" s="167">
        <f>$N965/4</f>
        <v>0.75</v>
      </c>
      <c r="CF965" s="167">
        <f>$N965/4</f>
        <v>0.75</v>
      </c>
      <c r="CG965" s="167">
        <f>$N965/4</f>
        <v>0.75</v>
      </c>
      <c r="CH965" s="167">
        <v>0</v>
      </c>
      <c r="CI965" s="167">
        <v>0</v>
      </c>
      <c r="CJ965" s="167">
        <v>0</v>
      </c>
      <c r="CK965" s="167">
        <v>0</v>
      </c>
      <c r="CL965" s="167">
        <v>0</v>
      </c>
      <c r="CM965" s="167">
        <v>0</v>
      </c>
      <c r="CN965" s="167">
        <v>0</v>
      </c>
      <c r="CO965" s="167">
        <v>0</v>
      </c>
      <c r="CP965" s="167">
        <v>0</v>
      </c>
      <c r="CQ965" s="167">
        <v>0</v>
      </c>
      <c r="CR965" s="167">
        <v>0</v>
      </c>
      <c r="CS965" s="167">
        <v>0</v>
      </c>
      <c r="CT965" s="167">
        <v>0</v>
      </c>
      <c r="CU965" s="167">
        <v>0</v>
      </c>
      <c r="CV965" s="167">
        <v>0</v>
      </c>
      <c r="CW965" s="167">
        <v>0</v>
      </c>
      <c r="CX965" s="167">
        <f>SUM(CD965:CH965)</f>
        <v>3</v>
      </c>
      <c r="CY965" s="167">
        <f>SUM(CD965:CM965)</f>
        <v>3</v>
      </c>
    </row>
    <row r="966" spans="1:103" ht="12.75" customHeight="1" x14ac:dyDescent="0.2">
      <c r="A966" s="81">
        <v>6256</v>
      </c>
      <c r="B966" s="165" t="s">
        <v>1930</v>
      </c>
      <c r="C966" s="165" t="s">
        <v>1266</v>
      </c>
      <c r="E966" s="165" t="s">
        <v>2701</v>
      </c>
      <c r="G966" s="81">
        <v>528092</v>
      </c>
      <c r="H966" s="81">
        <v>176612</v>
      </c>
      <c r="I966" s="165" t="s">
        <v>241</v>
      </c>
      <c r="L966" s="166">
        <v>0</v>
      </c>
      <c r="M966" s="166">
        <v>2</v>
      </c>
      <c r="N966" s="166">
        <v>2</v>
      </c>
      <c r="O966" s="166">
        <v>5</v>
      </c>
      <c r="P966" s="166">
        <v>5</v>
      </c>
      <c r="R966" s="165" t="s">
        <v>1267</v>
      </c>
      <c r="S966" s="81" t="s">
        <v>113</v>
      </c>
      <c r="T966" s="349">
        <v>42515</v>
      </c>
      <c r="U966" s="349">
        <v>42605</v>
      </c>
      <c r="W966" s="81" t="s">
        <v>114</v>
      </c>
      <c r="Y966" s="81" t="s">
        <v>115</v>
      </c>
      <c r="Z966" s="81" t="s">
        <v>398</v>
      </c>
      <c r="AA966" s="81" t="s">
        <v>117</v>
      </c>
      <c r="AB966" s="81" t="s">
        <v>311</v>
      </c>
      <c r="AC966" s="166">
        <v>1.09999999403954E-2</v>
      </c>
      <c r="AG966" s="81" t="s">
        <v>238</v>
      </c>
      <c r="AH966" s="81" t="s">
        <v>118</v>
      </c>
      <c r="AK966" s="166">
        <v>2</v>
      </c>
      <c r="AM966" s="166">
        <v>0</v>
      </c>
      <c r="AO966" s="166">
        <v>1</v>
      </c>
      <c r="AP966" s="166">
        <v>1</v>
      </c>
      <c r="AQ966" s="166">
        <v>0</v>
      </c>
      <c r="AR966" s="166">
        <v>0</v>
      </c>
      <c r="AS966" s="166">
        <v>0</v>
      </c>
      <c r="AT966" s="166">
        <v>0</v>
      </c>
      <c r="AU966" s="166">
        <v>0</v>
      </c>
      <c r="AV966" s="166">
        <v>1</v>
      </c>
      <c r="AW966" s="166">
        <v>1</v>
      </c>
      <c r="AX966" s="166">
        <v>0</v>
      </c>
      <c r="AY966" s="166">
        <v>0</v>
      </c>
      <c r="AZ966" s="166">
        <v>0</v>
      </c>
      <c r="BA966" s="166">
        <v>0</v>
      </c>
      <c r="BB966" s="166">
        <v>0</v>
      </c>
      <c r="BC966" s="166">
        <v>0</v>
      </c>
      <c r="BD966" s="166">
        <v>0</v>
      </c>
      <c r="BE966" s="166">
        <v>0</v>
      </c>
      <c r="BF966" s="166">
        <v>0</v>
      </c>
      <c r="BG966" s="166">
        <v>0</v>
      </c>
      <c r="BH966" s="166">
        <v>0</v>
      </c>
      <c r="BI966" s="166">
        <v>0</v>
      </c>
      <c r="BJ966" s="166">
        <v>0</v>
      </c>
      <c r="BK966" s="166">
        <v>0</v>
      </c>
      <c r="BL966" s="166">
        <v>0</v>
      </c>
      <c r="BM966" s="166">
        <v>0</v>
      </c>
      <c r="BN966" s="166">
        <v>0</v>
      </c>
      <c r="BO966" s="166">
        <v>0</v>
      </c>
      <c r="BP966" s="166">
        <v>0</v>
      </c>
      <c r="BQ966" s="81" t="s">
        <v>1757</v>
      </c>
      <c r="BZ966" s="81" t="s">
        <v>155</v>
      </c>
      <c r="CA966" s="81" t="s">
        <v>1937</v>
      </c>
      <c r="CC966" s="167">
        <v>0</v>
      </c>
      <c r="CD966" s="167">
        <f>$N966/4</f>
        <v>0.5</v>
      </c>
      <c r="CE966" s="167">
        <f>$N966/4</f>
        <v>0.5</v>
      </c>
      <c r="CF966" s="167">
        <f>$N966/4</f>
        <v>0.5</v>
      </c>
      <c r="CG966" s="167">
        <f>$N966/4</f>
        <v>0.5</v>
      </c>
      <c r="CH966" s="167">
        <v>0</v>
      </c>
      <c r="CI966" s="167">
        <v>0</v>
      </c>
      <c r="CJ966" s="167">
        <v>0</v>
      </c>
      <c r="CK966" s="167">
        <v>0</v>
      </c>
      <c r="CL966" s="167">
        <v>0</v>
      </c>
      <c r="CM966" s="167">
        <v>0</v>
      </c>
      <c r="CN966" s="167">
        <v>0</v>
      </c>
      <c r="CO966" s="167">
        <v>0</v>
      </c>
      <c r="CP966" s="167">
        <v>0</v>
      </c>
      <c r="CQ966" s="167">
        <v>0</v>
      </c>
      <c r="CR966" s="167">
        <v>0</v>
      </c>
      <c r="CS966" s="167">
        <v>0</v>
      </c>
      <c r="CT966" s="167">
        <v>0</v>
      </c>
      <c r="CU966" s="167">
        <v>0</v>
      </c>
      <c r="CV966" s="167">
        <v>0</v>
      </c>
      <c r="CW966" s="167">
        <v>0</v>
      </c>
      <c r="CX966" s="167">
        <f>SUM(CD966:CH966)</f>
        <v>2</v>
      </c>
      <c r="CY966" s="167">
        <f>SUM(CD966:CM966)</f>
        <v>2</v>
      </c>
    </row>
    <row r="967" spans="1:103" ht="12.75" customHeight="1" x14ac:dyDescent="0.2">
      <c r="A967" s="81">
        <v>6256</v>
      </c>
      <c r="B967" s="165" t="s">
        <v>1930</v>
      </c>
      <c r="C967" s="165" t="s">
        <v>1525</v>
      </c>
      <c r="E967" s="165" t="s">
        <v>2701</v>
      </c>
      <c r="G967" s="81">
        <v>528092</v>
      </c>
      <c r="H967" s="81">
        <v>176612</v>
      </c>
      <c r="I967" s="165" t="s">
        <v>241</v>
      </c>
      <c r="L967" s="166">
        <v>0</v>
      </c>
      <c r="M967" s="166">
        <v>3</v>
      </c>
      <c r="N967" s="166">
        <v>3</v>
      </c>
      <c r="O967" s="166">
        <v>3</v>
      </c>
      <c r="P967" s="166">
        <v>3</v>
      </c>
      <c r="R967" s="165" t="s">
        <v>1526</v>
      </c>
      <c r="S967" s="81" t="s">
        <v>113</v>
      </c>
      <c r="T967" s="349">
        <v>42752</v>
      </c>
      <c r="U967" s="349">
        <v>42793</v>
      </c>
      <c r="W967" s="81" t="s">
        <v>114</v>
      </c>
      <c r="Y967" s="81" t="s">
        <v>115</v>
      </c>
      <c r="Z967" s="81" t="s">
        <v>116</v>
      </c>
      <c r="AA967" s="81" t="s">
        <v>117</v>
      </c>
      <c r="AB967" s="81" t="s">
        <v>218</v>
      </c>
      <c r="AC967" s="166">
        <v>1.4000000432133701E-2</v>
      </c>
      <c r="AG967" s="81" t="s">
        <v>238</v>
      </c>
      <c r="AH967" s="81" t="s">
        <v>118</v>
      </c>
      <c r="AK967" s="166">
        <v>0</v>
      </c>
      <c r="AM967" s="166">
        <v>0</v>
      </c>
      <c r="AO967" s="166">
        <v>0</v>
      </c>
      <c r="AP967" s="166">
        <v>0</v>
      </c>
      <c r="AQ967" s="166">
        <v>3</v>
      </c>
      <c r="AR967" s="166">
        <v>0</v>
      </c>
      <c r="AS967" s="166">
        <v>0</v>
      </c>
      <c r="AT967" s="166">
        <v>0</v>
      </c>
      <c r="AU967" s="166">
        <v>0</v>
      </c>
      <c r="AV967" s="166">
        <v>0</v>
      </c>
      <c r="AW967" s="166">
        <v>0</v>
      </c>
      <c r="AX967" s="166">
        <v>3</v>
      </c>
      <c r="AY967" s="166">
        <v>0</v>
      </c>
      <c r="AZ967" s="166">
        <v>0</v>
      </c>
      <c r="BA967" s="166">
        <v>0</v>
      </c>
      <c r="BB967" s="166">
        <v>0</v>
      </c>
      <c r="BC967" s="166">
        <v>0</v>
      </c>
      <c r="BD967" s="166">
        <v>0</v>
      </c>
      <c r="BE967" s="166">
        <v>0</v>
      </c>
      <c r="BF967" s="166">
        <v>0</v>
      </c>
      <c r="BG967" s="166">
        <v>0</v>
      </c>
      <c r="BH967" s="166">
        <v>0</v>
      </c>
      <c r="BI967" s="166">
        <v>0</v>
      </c>
      <c r="BJ967" s="166">
        <v>0</v>
      </c>
      <c r="BK967" s="166">
        <v>0</v>
      </c>
      <c r="BL967" s="166">
        <v>0</v>
      </c>
      <c r="BM967" s="166">
        <v>0</v>
      </c>
      <c r="BN967" s="166">
        <v>0</v>
      </c>
      <c r="BO967" s="166">
        <v>0</v>
      </c>
      <c r="BP967" s="166">
        <v>0</v>
      </c>
      <c r="BQ967" s="81" t="s">
        <v>1757</v>
      </c>
      <c r="BZ967" s="81" t="s">
        <v>155</v>
      </c>
      <c r="CA967" s="81">
        <v>4</v>
      </c>
      <c r="CC967" s="167">
        <v>0</v>
      </c>
      <c r="CD967" s="167">
        <v>0</v>
      </c>
      <c r="CE967" s="167">
        <f>$N967/4</f>
        <v>0.75</v>
      </c>
      <c r="CF967" s="167">
        <f>$N967/4</f>
        <v>0.75</v>
      </c>
      <c r="CG967" s="167">
        <f>$N967/4</f>
        <v>0.75</v>
      </c>
      <c r="CH967" s="167">
        <f>$N967/4</f>
        <v>0.75</v>
      </c>
      <c r="CI967" s="167">
        <v>0</v>
      </c>
      <c r="CJ967" s="167">
        <v>0</v>
      </c>
      <c r="CK967" s="167">
        <v>0</v>
      </c>
      <c r="CL967" s="167">
        <v>0</v>
      </c>
      <c r="CM967" s="167">
        <v>0</v>
      </c>
      <c r="CN967" s="167">
        <v>0</v>
      </c>
      <c r="CO967" s="167">
        <v>0</v>
      </c>
      <c r="CP967" s="167">
        <v>0</v>
      </c>
      <c r="CQ967" s="167">
        <v>0</v>
      </c>
      <c r="CR967" s="167">
        <v>0</v>
      </c>
      <c r="CS967" s="167">
        <v>0</v>
      </c>
      <c r="CT967" s="167">
        <v>0</v>
      </c>
      <c r="CU967" s="167">
        <v>0</v>
      </c>
      <c r="CV967" s="167">
        <v>0</v>
      </c>
      <c r="CW967" s="167">
        <v>0</v>
      </c>
      <c r="CX967" s="167">
        <f>SUM(CD967:CH967)</f>
        <v>3</v>
      </c>
      <c r="CY967" s="167">
        <f>SUM(CD967:CM967)</f>
        <v>3</v>
      </c>
    </row>
    <row r="968" spans="1:103" ht="12.75" customHeight="1" x14ac:dyDescent="0.2">
      <c r="A968" s="81">
        <v>6259</v>
      </c>
      <c r="B968" s="165" t="s">
        <v>1930</v>
      </c>
      <c r="C968" s="165" t="s">
        <v>1270</v>
      </c>
      <c r="D968" s="165" t="s">
        <v>876</v>
      </c>
      <c r="E968" s="165" t="s">
        <v>2702</v>
      </c>
      <c r="G968" s="81">
        <v>526526</v>
      </c>
      <c r="H968" s="81">
        <v>175804</v>
      </c>
      <c r="I968" s="165" t="s">
        <v>257</v>
      </c>
      <c r="L968" s="166">
        <v>0</v>
      </c>
      <c r="M968" s="166">
        <v>6</v>
      </c>
      <c r="N968" s="166">
        <v>6</v>
      </c>
      <c r="O968" s="166">
        <v>6</v>
      </c>
      <c r="P968" s="166">
        <v>6</v>
      </c>
      <c r="R968" s="165" t="s">
        <v>1271</v>
      </c>
      <c r="S968" s="81" t="s">
        <v>270</v>
      </c>
      <c r="T968" s="349">
        <v>42527</v>
      </c>
      <c r="U968" s="349">
        <v>42583</v>
      </c>
      <c r="W968" s="81" t="s">
        <v>114</v>
      </c>
      <c r="Y968" s="81" t="s">
        <v>115</v>
      </c>
      <c r="Z968" s="81" t="s">
        <v>310</v>
      </c>
      <c r="AA968" s="81" t="s">
        <v>117</v>
      </c>
      <c r="AB968" s="81" t="s">
        <v>399</v>
      </c>
      <c r="AC968" s="166">
        <v>1.60000007599592E-2</v>
      </c>
      <c r="AG968" s="81" t="s">
        <v>238</v>
      </c>
      <c r="AH968" s="81" t="s">
        <v>118</v>
      </c>
      <c r="AI968" s="81" t="s">
        <v>1939</v>
      </c>
      <c r="AK968" s="166">
        <v>0</v>
      </c>
      <c r="AM968" s="166">
        <v>0</v>
      </c>
      <c r="AO968" s="166">
        <v>3</v>
      </c>
      <c r="AP968" s="166">
        <v>3</v>
      </c>
      <c r="AQ968" s="166">
        <v>0</v>
      </c>
      <c r="AR968" s="166">
        <v>0</v>
      </c>
      <c r="AS968" s="166">
        <v>0</v>
      </c>
      <c r="AT968" s="166">
        <v>0</v>
      </c>
      <c r="AU968" s="166">
        <v>0</v>
      </c>
      <c r="AV968" s="166">
        <v>3</v>
      </c>
      <c r="AW968" s="166">
        <v>3</v>
      </c>
      <c r="AX968" s="166">
        <v>0</v>
      </c>
      <c r="AY968" s="166">
        <v>0</v>
      </c>
      <c r="AZ968" s="166">
        <v>0</v>
      </c>
      <c r="BA968" s="166">
        <v>0</v>
      </c>
      <c r="BB968" s="166">
        <v>0</v>
      </c>
      <c r="BC968" s="166">
        <v>0</v>
      </c>
      <c r="BD968" s="166">
        <v>0</v>
      </c>
      <c r="BE968" s="166">
        <v>0</v>
      </c>
      <c r="BF968" s="166">
        <v>0</v>
      </c>
      <c r="BG968" s="166">
        <v>0</v>
      </c>
      <c r="BH968" s="166">
        <v>0</v>
      </c>
      <c r="BI968" s="166">
        <v>0</v>
      </c>
      <c r="BJ968" s="166">
        <v>0</v>
      </c>
      <c r="BK968" s="166">
        <v>0</v>
      </c>
      <c r="BL968" s="166">
        <v>0</v>
      </c>
      <c r="BM968" s="166">
        <v>0</v>
      </c>
      <c r="BN968" s="166">
        <v>0</v>
      </c>
      <c r="BO968" s="166">
        <v>0</v>
      </c>
      <c r="BP968" s="166">
        <v>0</v>
      </c>
      <c r="BQ968" s="81" t="s">
        <v>1757</v>
      </c>
      <c r="BX968" s="81" t="s">
        <v>155</v>
      </c>
      <c r="BZ968" s="81" t="s">
        <v>155</v>
      </c>
      <c r="CA968" s="81" t="s">
        <v>3972</v>
      </c>
      <c r="CC968" s="167">
        <v>0</v>
      </c>
      <c r="CD968" s="167">
        <f>$N968/4</f>
        <v>1.5</v>
      </c>
      <c r="CE968" s="167">
        <f>$N968/4</f>
        <v>1.5</v>
      </c>
      <c r="CF968" s="167">
        <f>$N968/4</f>
        <v>1.5</v>
      </c>
      <c r="CG968" s="167">
        <f>$N968/4</f>
        <v>1.5</v>
      </c>
      <c r="CH968" s="167">
        <v>0</v>
      </c>
      <c r="CI968" s="167">
        <v>0</v>
      </c>
      <c r="CJ968" s="167">
        <v>0</v>
      </c>
      <c r="CK968" s="167">
        <v>0</v>
      </c>
      <c r="CL968" s="167">
        <v>0</v>
      </c>
      <c r="CM968" s="167">
        <v>0</v>
      </c>
      <c r="CN968" s="167">
        <v>0</v>
      </c>
      <c r="CO968" s="167">
        <v>0</v>
      </c>
      <c r="CP968" s="167">
        <v>0</v>
      </c>
      <c r="CQ968" s="167">
        <v>0</v>
      </c>
      <c r="CR968" s="167">
        <v>0</v>
      </c>
      <c r="CS968" s="167">
        <v>0</v>
      </c>
      <c r="CT968" s="167">
        <v>0</v>
      </c>
      <c r="CU968" s="167">
        <v>0</v>
      </c>
      <c r="CV968" s="167">
        <v>0</v>
      </c>
      <c r="CW968" s="167">
        <v>0</v>
      </c>
      <c r="CX968" s="167">
        <f>SUM(CD968:CH968)</f>
        <v>6</v>
      </c>
      <c r="CY968" s="167">
        <f>SUM(CD968:CM968)</f>
        <v>6</v>
      </c>
    </row>
    <row r="969" spans="1:103" ht="12.75" customHeight="1" x14ac:dyDescent="0.2">
      <c r="A969" s="81">
        <v>6262</v>
      </c>
      <c r="B969" s="165" t="s">
        <v>1930</v>
      </c>
      <c r="C969" s="165" t="s">
        <v>1223</v>
      </c>
      <c r="E969" s="165" t="s">
        <v>2703</v>
      </c>
      <c r="G969" s="81">
        <v>528646</v>
      </c>
      <c r="H969" s="81">
        <v>173547</v>
      </c>
      <c r="I969" s="165" t="s">
        <v>247</v>
      </c>
      <c r="L969" s="166">
        <v>0</v>
      </c>
      <c r="M969" s="166">
        <v>0</v>
      </c>
      <c r="N969" s="166">
        <v>0</v>
      </c>
      <c r="O969" s="166">
        <v>0</v>
      </c>
      <c r="P969" s="166">
        <v>0</v>
      </c>
      <c r="R969" s="165" t="s">
        <v>1224</v>
      </c>
      <c r="S969" s="81" t="s">
        <v>113</v>
      </c>
      <c r="T969" s="349">
        <v>42529</v>
      </c>
      <c r="U969" s="349">
        <v>42754</v>
      </c>
      <c r="W969" s="81" t="s">
        <v>114</v>
      </c>
      <c r="Y969" s="81" t="s">
        <v>115</v>
      </c>
      <c r="Z969" s="81" t="s">
        <v>398</v>
      </c>
      <c r="AA969" s="81" t="s">
        <v>117</v>
      </c>
      <c r="AB969" s="81" t="s">
        <v>117</v>
      </c>
      <c r="AC969" s="166">
        <v>0</v>
      </c>
      <c r="AG969" s="81" t="s">
        <v>238</v>
      </c>
      <c r="AH969" s="81" t="s">
        <v>118</v>
      </c>
      <c r="AK969" s="166">
        <v>0</v>
      </c>
      <c r="AM969" s="166">
        <v>0</v>
      </c>
      <c r="AO969" s="166">
        <v>0</v>
      </c>
      <c r="AP969" s="166">
        <v>0</v>
      </c>
      <c r="AQ969" s="166">
        <v>0</v>
      </c>
      <c r="AR969" s="166">
        <v>0</v>
      </c>
      <c r="AS969" s="166">
        <v>0</v>
      </c>
      <c r="AT969" s="166">
        <v>0</v>
      </c>
      <c r="AU969" s="166">
        <v>0</v>
      </c>
      <c r="AV969" s="166">
        <v>0</v>
      </c>
      <c r="AW969" s="166">
        <v>0</v>
      </c>
      <c r="AX969" s="166">
        <v>0</v>
      </c>
      <c r="AY969" s="166">
        <v>0</v>
      </c>
      <c r="AZ969" s="166">
        <v>0</v>
      </c>
      <c r="BA969" s="166">
        <v>0</v>
      </c>
      <c r="BB969" s="166">
        <v>0</v>
      </c>
      <c r="BC969" s="166">
        <v>0</v>
      </c>
      <c r="BD969" s="166">
        <v>0</v>
      </c>
      <c r="BE969" s="166">
        <v>0</v>
      </c>
      <c r="BF969" s="166">
        <v>0</v>
      </c>
      <c r="BG969" s="166">
        <v>0</v>
      </c>
      <c r="BH969" s="166">
        <v>0</v>
      </c>
      <c r="BI969" s="166">
        <v>0</v>
      </c>
      <c r="BJ969" s="166">
        <v>0</v>
      </c>
      <c r="BK969" s="166">
        <v>0</v>
      </c>
      <c r="BL969" s="166">
        <v>0</v>
      </c>
      <c r="BM969" s="166">
        <v>0</v>
      </c>
      <c r="BN969" s="166">
        <v>0</v>
      </c>
      <c r="BO969" s="166">
        <v>0</v>
      </c>
      <c r="BP969" s="166">
        <v>0</v>
      </c>
      <c r="BQ969" s="81" t="s">
        <v>1757</v>
      </c>
      <c r="BR969" s="81" t="s">
        <v>247</v>
      </c>
      <c r="BZ969" s="81" t="s">
        <v>155</v>
      </c>
      <c r="CA969" s="81" t="s">
        <v>1937</v>
      </c>
      <c r="CC969" s="167">
        <v>0</v>
      </c>
      <c r="CD969" s="167">
        <f>$N969/4</f>
        <v>0</v>
      </c>
      <c r="CE969" s="167">
        <f>$N969/4</f>
        <v>0</v>
      </c>
      <c r="CF969" s="167">
        <f>$N969/4</f>
        <v>0</v>
      </c>
      <c r="CG969" s="167">
        <f>$N969/4</f>
        <v>0</v>
      </c>
      <c r="CH969" s="167">
        <v>0</v>
      </c>
      <c r="CI969" s="167">
        <v>0</v>
      </c>
      <c r="CJ969" s="167">
        <v>0</v>
      </c>
      <c r="CK969" s="167">
        <v>0</v>
      </c>
      <c r="CL969" s="167">
        <v>0</v>
      </c>
      <c r="CM969" s="167">
        <v>0</v>
      </c>
      <c r="CN969" s="167">
        <v>0</v>
      </c>
      <c r="CO969" s="167">
        <v>0</v>
      </c>
      <c r="CP969" s="167">
        <v>0</v>
      </c>
      <c r="CQ969" s="167">
        <v>0</v>
      </c>
      <c r="CR969" s="167">
        <v>0</v>
      </c>
      <c r="CS969" s="167">
        <v>0</v>
      </c>
      <c r="CT969" s="167">
        <v>0</v>
      </c>
      <c r="CU969" s="167">
        <v>0</v>
      </c>
      <c r="CV969" s="167">
        <v>0</v>
      </c>
      <c r="CW969" s="167">
        <v>0</v>
      </c>
      <c r="CX969" s="167">
        <f>SUM(CD969:CH969)</f>
        <v>0</v>
      </c>
      <c r="CY969" s="167">
        <f>SUM(CD969:CM969)</f>
        <v>0</v>
      </c>
    </row>
    <row r="970" spans="1:103" ht="12.75" customHeight="1" x14ac:dyDescent="0.2">
      <c r="A970" s="81">
        <v>6263</v>
      </c>
      <c r="B970" s="165" t="s">
        <v>1930</v>
      </c>
      <c r="C970" s="165" t="s">
        <v>1268</v>
      </c>
      <c r="E970" s="165" t="s">
        <v>2704</v>
      </c>
      <c r="G970" s="81">
        <v>526852</v>
      </c>
      <c r="H970" s="81">
        <v>175075</v>
      </c>
      <c r="I970" s="165" t="s">
        <v>251</v>
      </c>
      <c r="L970" s="166">
        <v>1</v>
      </c>
      <c r="M970" s="166">
        <v>2</v>
      </c>
      <c r="N970" s="166">
        <v>1</v>
      </c>
      <c r="O970" s="166">
        <v>2</v>
      </c>
      <c r="P970" s="166">
        <v>1</v>
      </c>
      <c r="R970" s="165" t="s">
        <v>1269</v>
      </c>
      <c r="S970" s="81" t="s">
        <v>113</v>
      </c>
      <c r="T970" s="349">
        <v>42524</v>
      </c>
      <c r="U970" s="349">
        <v>42579</v>
      </c>
      <c r="W970" s="81" t="s">
        <v>114</v>
      </c>
      <c r="Y970" s="81" t="s">
        <v>115</v>
      </c>
      <c r="Z970" s="81" t="s">
        <v>119</v>
      </c>
      <c r="AA970" s="81" t="s">
        <v>117</v>
      </c>
      <c r="AB970" s="81" t="s">
        <v>220</v>
      </c>
      <c r="AC970" s="166">
        <v>4.0000001899898104E-3</v>
      </c>
      <c r="AG970" s="81" t="s">
        <v>238</v>
      </c>
      <c r="AH970" s="81" t="s">
        <v>118</v>
      </c>
      <c r="AK970" s="166">
        <v>0</v>
      </c>
      <c r="AM970" s="166">
        <v>0</v>
      </c>
      <c r="AO970" s="166">
        <v>1</v>
      </c>
      <c r="AP970" s="166">
        <v>1</v>
      </c>
      <c r="AQ970" s="166">
        <v>0</v>
      </c>
      <c r="AR970" s="166">
        <v>0</v>
      </c>
      <c r="AS970" s="166">
        <v>-1</v>
      </c>
      <c r="AT970" s="166">
        <v>0</v>
      </c>
      <c r="AU970" s="166">
        <v>0</v>
      </c>
      <c r="AV970" s="166">
        <v>1</v>
      </c>
      <c r="AW970" s="166">
        <v>1</v>
      </c>
      <c r="AX970" s="166">
        <v>0</v>
      </c>
      <c r="AY970" s="166">
        <v>0</v>
      </c>
      <c r="AZ970" s="166">
        <v>-1</v>
      </c>
      <c r="BA970" s="166">
        <v>0</v>
      </c>
      <c r="BB970" s="166">
        <v>0</v>
      </c>
      <c r="BC970" s="166">
        <v>0</v>
      </c>
      <c r="BD970" s="166">
        <v>0</v>
      </c>
      <c r="BE970" s="166">
        <v>0</v>
      </c>
      <c r="BF970" s="166">
        <v>0</v>
      </c>
      <c r="BG970" s="166">
        <v>0</v>
      </c>
      <c r="BH970" s="166">
        <v>0</v>
      </c>
      <c r="BI970" s="166">
        <v>0</v>
      </c>
      <c r="BJ970" s="166">
        <v>0</v>
      </c>
      <c r="BK970" s="166">
        <v>0</v>
      </c>
      <c r="BL970" s="166">
        <v>0</v>
      </c>
      <c r="BM970" s="166">
        <v>0</v>
      </c>
      <c r="BN970" s="166">
        <v>0</v>
      </c>
      <c r="BO970" s="166">
        <v>0</v>
      </c>
      <c r="BP970" s="166">
        <v>0</v>
      </c>
      <c r="BQ970" s="81" t="s">
        <v>1758</v>
      </c>
      <c r="BZ970" s="81" t="s">
        <v>155</v>
      </c>
      <c r="CA970" s="81" t="s">
        <v>1937</v>
      </c>
      <c r="CC970" s="167">
        <v>0</v>
      </c>
      <c r="CD970" s="167">
        <f>$N970/4</f>
        <v>0.25</v>
      </c>
      <c r="CE970" s="167">
        <f>$N970/4</f>
        <v>0.25</v>
      </c>
      <c r="CF970" s="167">
        <f>$N970/4</f>
        <v>0.25</v>
      </c>
      <c r="CG970" s="167">
        <f>$N970/4</f>
        <v>0.25</v>
      </c>
      <c r="CH970" s="167">
        <v>0</v>
      </c>
      <c r="CI970" s="167">
        <v>0</v>
      </c>
      <c r="CJ970" s="167">
        <v>0</v>
      </c>
      <c r="CK970" s="167">
        <v>0</v>
      </c>
      <c r="CL970" s="167">
        <v>0</v>
      </c>
      <c r="CM970" s="167">
        <v>0</v>
      </c>
      <c r="CN970" s="167">
        <v>0</v>
      </c>
      <c r="CO970" s="167">
        <v>0</v>
      </c>
      <c r="CP970" s="167">
        <v>0</v>
      </c>
      <c r="CQ970" s="167">
        <v>0</v>
      </c>
      <c r="CR970" s="167">
        <v>0</v>
      </c>
      <c r="CS970" s="167">
        <v>0</v>
      </c>
      <c r="CT970" s="167">
        <v>0</v>
      </c>
      <c r="CU970" s="167">
        <v>0</v>
      </c>
      <c r="CV970" s="167">
        <v>0</v>
      </c>
      <c r="CW970" s="167">
        <v>0</v>
      </c>
      <c r="CX970" s="167">
        <f>SUM(CD970:CH970)</f>
        <v>1</v>
      </c>
      <c r="CY970" s="167">
        <f>SUM(CD970:CM970)</f>
        <v>1</v>
      </c>
    </row>
    <row r="971" spans="1:103" ht="12.75" customHeight="1" x14ac:dyDescent="0.2">
      <c r="A971" s="81">
        <v>6272</v>
      </c>
      <c r="B971" s="165" t="s">
        <v>1930</v>
      </c>
      <c r="C971" s="165" t="s">
        <v>2705</v>
      </c>
      <c r="E971" s="165" t="s">
        <v>2706</v>
      </c>
      <c r="G971" s="81">
        <v>522345</v>
      </c>
      <c r="H971" s="81">
        <v>174051</v>
      </c>
      <c r="I971" s="165" t="s">
        <v>877</v>
      </c>
      <c r="L971" s="166">
        <v>0</v>
      </c>
      <c r="M971" s="166">
        <v>1</v>
      </c>
      <c r="N971" s="166">
        <v>1</v>
      </c>
      <c r="O971" s="166">
        <v>1</v>
      </c>
      <c r="P971" s="166">
        <v>1</v>
      </c>
      <c r="R971" s="165" t="s">
        <v>2707</v>
      </c>
      <c r="S971" s="81" t="s">
        <v>113</v>
      </c>
      <c r="T971" s="349">
        <v>43013</v>
      </c>
      <c r="U971" s="349">
        <v>43068</v>
      </c>
      <c r="V971" s="81" t="s">
        <v>155</v>
      </c>
      <c r="W971" s="81" t="s">
        <v>114</v>
      </c>
      <c r="Y971" s="81" t="s">
        <v>115</v>
      </c>
      <c r="Z971" s="81" t="s">
        <v>398</v>
      </c>
      <c r="AA971" s="81" t="s">
        <v>117</v>
      </c>
      <c r="AB971" s="81" t="s">
        <v>298</v>
      </c>
      <c r="AC971" s="166">
        <v>4.6000000089407002E-2</v>
      </c>
      <c r="AG971" s="81" t="s">
        <v>238</v>
      </c>
      <c r="AH971" s="81" t="s">
        <v>118</v>
      </c>
      <c r="AK971" s="166">
        <v>0</v>
      </c>
      <c r="AM971" s="166">
        <v>0</v>
      </c>
      <c r="AO971" s="166">
        <v>0</v>
      </c>
      <c r="AP971" s="166">
        <v>0</v>
      </c>
      <c r="AQ971" s="166">
        <v>0</v>
      </c>
      <c r="AR971" s="166">
        <v>1</v>
      </c>
      <c r="AS971" s="166">
        <v>0</v>
      </c>
      <c r="AT971" s="166">
        <v>0</v>
      </c>
      <c r="AU971" s="166">
        <v>0</v>
      </c>
      <c r="AV971" s="166">
        <v>0</v>
      </c>
      <c r="AW971" s="166">
        <v>0</v>
      </c>
      <c r="AX971" s="166">
        <v>0</v>
      </c>
      <c r="AY971" s="166">
        <v>0</v>
      </c>
      <c r="AZ971" s="166">
        <v>0</v>
      </c>
      <c r="BA971" s="166">
        <v>0</v>
      </c>
      <c r="BB971" s="166">
        <v>0</v>
      </c>
      <c r="BC971" s="166">
        <v>0</v>
      </c>
      <c r="BD971" s="166">
        <v>0</v>
      </c>
      <c r="BE971" s="166">
        <v>0</v>
      </c>
      <c r="BF971" s="166">
        <v>1</v>
      </c>
      <c r="BG971" s="166">
        <v>0</v>
      </c>
      <c r="BH971" s="166">
        <v>0</v>
      </c>
      <c r="BI971" s="166">
        <v>0</v>
      </c>
      <c r="BJ971" s="166">
        <v>0</v>
      </c>
      <c r="BK971" s="166">
        <v>0</v>
      </c>
      <c r="BL971" s="166">
        <v>0</v>
      </c>
      <c r="BM971" s="166">
        <v>0</v>
      </c>
      <c r="BN971" s="166">
        <v>0</v>
      </c>
      <c r="BO971" s="166">
        <v>0</v>
      </c>
      <c r="BP971" s="166">
        <v>0</v>
      </c>
      <c r="BQ971" s="81" t="s">
        <v>1758</v>
      </c>
      <c r="BZ971" s="81" t="s">
        <v>155</v>
      </c>
      <c r="CA971" s="81">
        <v>4</v>
      </c>
      <c r="CC971" s="167">
        <v>0</v>
      </c>
      <c r="CD971" s="167">
        <v>0</v>
      </c>
      <c r="CE971" s="167">
        <f>$N971/4</f>
        <v>0.25</v>
      </c>
      <c r="CF971" s="167">
        <f>$N971/4</f>
        <v>0.25</v>
      </c>
      <c r="CG971" s="167">
        <f>$N971/4</f>
        <v>0.25</v>
      </c>
      <c r="CH971" s="167">
        <f>$N971/4</f>
        <v>0.25</v>
      </c>
      <c r="CI971" s="167">
        <v>0</v>
      </c>
      <c r="CJ971" s="167">
        <v>0</v>
      </c>
      <c r="CK971" s="167">
        <v>0</v>
      </c>
      <c r="CL971" s="167">
        <v>0</v>
      </c>
      <c r="CM971" s="167">
        <v>0</v>
      </c>
      <c r="CN971" s="167">
        <v>0</v>
      </c>
      <c r="CO971" s="167">
        <v>0</v>
      </c>
      <c r="CP971" s="167">
        <v>0</v>
      </c>
      <c r="CQ971" s="167">
        <v>0</v>
      </c>
      <c r="CR971" s="167">
        <v>0</v>
      </c>
      <c r="CS971" s="167">
        <v>0</v>
      </c>
      <c r="CT971" s="167">
        <v>0</v>
      </c>
      <c r="CU971" s="167">
        <v>0</v>
      </c>
      <c r="CV971" s="167">
        <v>0</v>
      </c>
      <c r="CW971" s="167">
        <v>0</v>
      </c>
      <c r="CX971" s="167">
        <f>SUM(CD971:CH971)</f>
        <v>1</v>
      </c>
      <c r="CY971" s="167">
        <f>SUM(CD971:CM971)</f>
        <v>1</v>
      </c>
    </row>
    <row r="972" spans="1:103" ht="12.75" customHeight="1" x14ac:dyDescent="0.2">
      <c r="A972" s="81">
        <v>6273</v>
      </c>
      <c r="B972" s="165" t="s">
        <v>1930</v>
      </c>
      <c r="C972" s="165" t="s">
        <v>1204</v>
      </c>
      <c r="E972" s="165" t="s">
        <v>2708</v>
      </c>
      <c r="G972" s="81">
        <v>527811</v>
      </c>
      <c r="H972" s="81">
        <v>171019</v>
      </c>
      <c r="I972" s="165" t="s">
        <v>253</v>
      </c>
      <c r="L972" s="166">
        <v>0</v>
      </c>
      <c r="M972" s="166">
        <v>1</v>
      </c>
      <c r="N972" s="166">
        <v>1</v>
      </c>
      <c r="O972" s="166">
        <v>2</v>
      </c>
      <c r="P972" s="166">
        <v>1</v>
      </c>
      <c r="R972" s="165" t="s">
        <v>1205</v>
      </c>
      <c r="S972" s="81" t="s">
        <v>113</v>
      </c>
      <c r="T972" s="349">
        <v>42474</v>
      </c>
      <c r="U972" s="349">
        <v>42530</v>
      </c>
      <c r="W972" s="81" t="s">
        <v>114</v>
      </c>
      <c r="Y972" s="81" t="s">
        <v>115</v>
      </c>
      <c r="Z972" s="81" t="s">
        <v>398</v>
      </c>
      <c r="AA972" s="81" t="s">
        <v>117</v>
      </c>
      <c r="AB972" s="81" t="s">
        <v>218</v>
      </c>
      <c r="AC972" s="166">
        <v>6.0000000521540598E-3</v>
      </c>
      <c r="AG972" s="81" t="s">
        <v>238</v>
      </c>
      <c r="AH972" s="81" t="s">
        <v>118</v>
      </c>
      <c r="AK972" s="166">
        <v>1</v>
      </c>
      <c r="AM972" s="166">
        <v>0</v>
      </c>
      <c r="AO972" s="166">
        <v>0</v>
      </c>
      <c r="AP972" s="166">
        <v>0</v>
      </c>
      <c r="AQ972" s="166">
        <v>1</v>
      </c>
      <c r="AR972" s="166">
        <v>0</v>
      </c>
      <c r="AS972" s="166">
        <v>0</v>
      </c>
      <c r="AT972" s="166">
        <v>0</v>
      </c>
      <c r="AU972" s="166">
        <v>0</v>
      </c>
      <c r="AV972" s="166">
        <v>0</v>
      </c>
      <c r="AW972" s="166">
        <v>0</v>
      </c>
      <c r="AX972" s="166">
        <v>1</v>
      </c>
      <c r="AY972" s="166">
        <v>0</v>
      </c>
      <c r="AZ972" s="166">
        <v>0</v>
      </c>
      <c r="BA972" s="166">
        <v>0</v>
      </c>
      <c r="BB972" s="166">
        <v>0</v>
      </c>
      <c r="BC972" s="166">
        <v>0</v>
      </c>
      <c r="BD972" s="166">
        <v>0</v>
      </c>
      <c r="BE972" s="166">
        <v>0</v>
      </c>
      <c r="BF972" s="166">
        <v>0</v>
      </c>
      <c r="BG972" s="166">
        <v>0</v>
      </c>
      <c r="BH972" s="166">
        <v>0</v>
      </c>
      <c r="BI972" s="166">
        <v>0</v>
      </c>
      <c r="BJ972" s="166">
        <v>0</v>
      </c>
      <c r="BK972" s="166">
        <v>0</v>
      </c>
      <c r="BL972" s="166">
        <v>0</v>
      </c>
      <c r="BM972" s="166">
        <v>0</v>
      </c>
      <c r="BN972" s="166">
        <v>0</v>
      </c>
      <c r="BO972" s="166">
        <v>0</v>
      </c>
      <c r="BP972" s="166">
        <v>0</v>
      </c>
      <c r="BQ972" s="81" t="s">
        <v>1757</v>
      </c>
      <c r="BZ972" s="81" t="s">
        <v>155</v>
      </c>
      <c r="CA972" s="81" t="s">
        <v>1937</v>
      </c>
      <c r="CC972" s="167">
        <v>0</v>
      </c>
      <c r="CD972" s="167">
        <f>$N972/4</f>
        <v>0.25</v>
      </c>
      <c r="CE972" s="167">
        <f>$N972/4</f>
        <v>0.25</v>
      </c>
      <c r="CF972" s="167">
        <f>$N972/4</f>
        <v>0.25</v>
      </c>
      <c r="CG972" s="167">
        <f>$N972/4</f>
        <v>0.25</v>
      </c>
      <c r="CH972" s="167">
        <v>0</v>
      </c>
      <c r="CI972" s="167">
        <v>0</v>
      </c>
      <c r="CJ972" s="167">
        <v>0</v>
      </c>
      <c r="CK972" s="167">
        <v>0</v>
      </c>
      <c r="CL972" s="167">
        <v>0</v>
      </c>
      <c r="CM972" s="167">
        <v>0</v>
      </c>
      <c r="CN972" s="167">
        <v>0</v>
      </c>
      <c r="CO972" s="167">
        <v>0</v>
      </c>
      <c r="CP972" s="167">
        <v>0</v>
      </c>
      <c r="CQ972" s="167">
        <v>0</v>
      </c>
      <c r="CR972" s="167">
        <v>0</v>
      </c>
      <c r="CS972" s="167">
        <v>0</v>
      </c>
      <c r="CT972" s="167">
        <v>0</v>
      </c>
      <c r="CU972" s="167">
        <v>0</v>
      </c>
      <c r="CV972" s="167">
        <v>0</v>
      </c>
      <c r="CW972" s="167">
        <v>0</v>
      </c>
      <c r="CX972" s="167">
        <f>SUM(CD972:CH972)</f>
        <v>1</v>
      </c>
      <c r="CY972" s="167">
        <f>SUM(CD972:CM972)</f>
        <v>1</v>
      </c>
    </row>
    <row r="973" spans="1:103" ht="12.75" customHeight="1" x14ac:dyDescent="0.2">
      <c r="A973" s="81">
        <v>6273</v>
      </c>
      <c r="B973" s="165" t="s">
        <v>1930</v>
      </c>
      <c r="C973" s="165" t="s">
        <v>1204</v>
      </c>
      <c r="E973" s="165" t="s">
        <v>2708</v>
      </c>
      <c r="G973" s="81">
        <v>527811</v>
      </c>
      <c r="H973" s="81">
        <v>171019</v>
      </c>
      <c r="I973" s="165" t="s">
        <v>253</v>
      </c>
      <c r="L973" s="166">
        <v>1</v>
      </c>
      <c r="M973" s="166">
        <v>1</v>
      </c>
      <c r="N973" s="166">
        <v>0</v>
      </c>
      <c r="O973" s="166">
        <v>2</v>
      </c>
      <c r="P973" s="166">
        <v>1</v>
      </c>
      <c r="R973" s="165" t="s">
        <v>1205</v>
      </c>
      <c r="S973" s="81" t="s">
        <v>113</v>
      </c>
      <c r="T973" s="349">
        <v>42474</v>
      </c>
      <c r="U973" s="349">
        <v>42530</v>
      </c>
      <c r="W973" s="81" t="s">
        <v>114</v>
      </c>
      <c r="Y973" s="81" t="s">
        <v>115</v>
      </c>
      <c r="Z973" s="81" t="s">
        <v>398</v>
      </c>
      <c r="AA973" s="81" t="s">
        <v>117</v>
      </c>
      <c r="AB973" s="81" t="s">
        <v>220</v>
      </c>
      <c r="AC973" s="166">
        <v>4.9999998882412902E-3</v>
      </c>
      <c r="AG973" s="81" t="s">
        <v>238</v>
      </c>
      <c r="AH973" s="81" t="s">
        <v>118</v>
      </c>
      <c r="AK973" s="166">
        <v>0</v>
      </c>
      <c r="AM973" s="166">
        <v>0</v>
      </c>
      <c r="AO973" s="166">
        <v>0</v>
      </c>
      <c r="AP973" s="166">
        <v>-1</v>
      </c>
      <c r="AQ973" s="166">
        <v>1</v>
      </c>
      <c r="AR973" s="166">
        <v>0</v>
      </c>
      <c r="AS973" s="166">
        <v>0</v>
      </c>
      <c r="AT973" s="166">
        <v>0</v>
      </c>
      <c r="AU973" s="166">
        <v>0</v>
      </c>
      <c r="AV973" s="166">
        <v>0</v>
      </c>
      <c r="AW973" s="166">
        <v>-1</v>
      </c>
      <c r="AX973" s="166">
        <v>1</v>
      </c>
      <c r="AY973" s="166">
        <v>0</v>
      </c>
      <c r="AZ973" s="166">
        <v>0</v>
      </c>
      <c r="BA973" s="166">
        <v>0</v>
      </c>
      <c r="BB973" s="166">
        <v>0</v>
      </c>
      <c r="BC973" s="166">
        <v>0</v>
      </c>
      <c r="BD973" s="166">
        <v>0</v>
      </c>
      <c r="BE973" s="166">
        <v>0</v>
      </c>
      <c r="BF973" s="166">
        <v>0</v>
      </c>
      <c r="BG973" s="166">
        <v>0</v>
      </c>
      <c r="BH973" s="166">
        <v>0</v>
      </c>
      <c r="BI973" s="166">
        <v>0</v>
      </c>
      <c r="BJ973" s="166">
        <v>0</v>
      </c>
      <c r="BK973" s="166">
        <v>0</v>
      </c>
      <c r="BL973" s="166">
        <v>0</v>
      </c>
      <c r="BM973" s="166">
        <v>0</v>
      </c>
      <c r="BN973" s="166">
        <v>0</v>
      </c>
      <c r="BO973" s="166">
        <v>0</v>
      </c>
      <c r="BP973" s="166">
        <v>0</v>
      </c>
      <c r="BQ973" s="81" t="s">
        <v>1757</v>
      </c>
      <c r="BZ973" s="81" t="s">
        <v>155</v>
      </c>
      <c r="CA973" s="81" t="s">
        <v>1937</v>
      </c>
      <c r="CC973" s="167">
        <v>0</v>
      </c>
      <c r="CD973" s="167">
        <f>$N973/4</f>
        <v>0</v>
      </c>
      <c r="CE973" s="167">
        <f>$N973/4</f>
        <v>0</v>
      </c>
      <c r="CF973" s="167">
        <f>$N973/4</f>
        <v>0</v>
      </c>
      <c r="CG973" s="167">
        <f>$N973/4</f>
        <v>0</v>
      </c>
      <c r="CH973" s="167">
        <v>0</v>
      </c>
      <c r="CI973" s="167">
        <v>0</v>
      </c>
      <c r="CJ973" s="167">
        <v>0</v>
      </c>
      <c r="CK973" s="167">
        <v>0</v>
      </c>
      <c r="CL973" s="167">
        <v>0</v>
      </c>
      <c r="CM973" s="167">
        <v>0</v>
      </c>
      <c r="CN973" s="167">
        <v>0</v>
      </c>
      <c r="CO973" s="167">
        <v>0</v>
      </c>
      <c r="CP973" s="167">
        <v>0</v>
      </c>
      <c r="CQ973" s="167">
        <v>0</v>
      </c>
      <c r="CR973" s="167">
        <v>0</v>
      </c>
      <c r="CS973" s="167">
        <v>0</v>
      </c>
      <c r="CT973" s="167">
        <v>0</v>
      </c>
      <c r="CU973" s="167">
        <v>0</v>
      </c>
      <c r="CV973" s="167">
        <v>0</v>
      </c>
      <c r="CW973" s="167">
        <v>0</v>
      </c>
      <c r="CX973" s="167">
        <f>SUM(CD973:CH973)</f>
        <v>0</v>
      </c>
      <c r="CY973" s="167">
        <f>SUM(CD973:CM973)</f>
        <v>0</v>
      </c>
    </row>
    <row r="974" spans="1:103" ht="12.75" customHeight="1" x14ac:dyDescent="0.2">
      <c r="A974" s="81">
        <v>6276</v>
      </c>
      <c r="B974" s="165" t="s">
        <v>1930</v>
      </c>
      <c r="C974" s="165" t="s">
        <v>1282</v>
      </c>
      <c r="E974" s="165" t="s">
        <v>2709</v>
      </c>
      <c r="G974" s="81">
        <v>527521</v>
      </c>
      <c r="H974" s="81">
        <v>171508</v>
      </c>
      <c r="I974" s="165" t="s">
        <v>253</v>
      </c>
      <c r="L974" s="166">
        <v>0</v>
      </c>
      <c r="M974" s="166">
        <v>2</v>
      </c>
      <c r="N974" s="166">
        <v>2</v>
      </c>
      <c r="O974" s="166">
        <v>2</v>
      </c>
      <c r="P974" s="166">
        <v>2</v>
      </c>
      <c r="R974" s="165" t="s">
        <v>1283</v>
      </c>
      <c r="S974" s="81" t="s">
        <v>113</v>
      </c>
      <c r="T974" s="349">
        <v>42542</v>
      </c>
      <c r="U974" s="349">
        <v>42598</v>
      </c>
      <c r="W974" s="81" t="s">
        <v>114</v>
      </c>
      <c r="Y974" s="81" t="s">
        <v>115</v>
      </c>
      <c r="Z974" s="81" t="s">
        <v>310</v>
      </c>
      <c r="AA974" s="81" t="s">
        <v>117</v>
      </c>
      <c r="AB974" s="81" t="s">
        <v>399</v>
      </c>
      <c r="AC974" s="166">
        <v>1.60000007599592E-2</v>
      </c>
      <c r="AG974" s="81" t="s">
        <v>238</v>
      </c>
      <c r="AH974" s="81" t="s">
        <v>118</v>
      </c>
      <c r="AI974" s="81" t="s">
        <v>2448</v>
      </c>
      <c r="AK974" s="166">
        <v>0</v>
      </c>
      <c r="AM974" s="166">
        <v>0</v>
      </c>
      <c r="AO974" s="166">
        <v>0</v>
      </c>
      <c r="AP974" s="166">
        <v>2</v>
      </c>
      <c r="AQ974" s="166">
        <v>0</v>
      </c>
      <c r="AR974" s="166">
        <v>0</v>
      </c>
      <c r="AS974" s="166">
        <v>0</v>
      </c>
      <c r="AT974" s="166">
        <v>0</v>
      </c>
      <c r="AU974" s="166">
        <v>0</v>
      </c>
      <c r="AV974" s="166">
        <v>0</v>
      </c>
      <c r="AW974" s="166">
        <v>2</v>
      </c>
      <c r="AX974" s="166">
        <v>0</v>
      </c>
      <c r="AY974" s="166">
        <v>0</v>
      </c>
      <c r="AZ974" s="166">
        <v>0</v>
      </c>
      <c r="BA974" s="166">
        <v>0</v>
      </c>
      <c r="BB974" s="166">
        <v>0</v>
      </c>
      <c r="BC974" s="166">
        <v>0</v>
      </c>
      <c r="BD974" s="166">
        <v>0</v>
      </c>
      <c r="BE974" s="166">
        <v>0</v>
      </c>
      <c r="BF974" s="166">
        <v>0</v>
      </c>
      <c r="BG974" s="166">
        <v>0</v>
      </c>
      <c r="BH974" s="166">
        <v>0</v>
      </c>
      <c r="BI974" s="166">
        <v>0</v>
      </c>
      <c r="BJ974" s="166">
        <v>0</v>
      </c>
      <c r="BK974" s="166">
        <v>0</v>
      </c>
      <c r="BL974" s="166">
        <v>0</v>
      </c>
      <c r="BM974" s="166">
        <v>0</v>
      </c>
      <c r="BN974" s="166">
        <v>0</v>
      </c>
      <c r="BO974" s="166">
        <v>0</v>
      </c>
      <c r="BP974" s="166">
        <v>0</v>
      </c>
      <c r="BQ974" s="81" t="s">
        <v>1757</v>
      </c>
      <c r="BR974" s="81" t="s">
        <v>242</v>
      </c>
      <c r="BZ974" s="81" t="s">
        <v>155</v>
      </c>
      <c r="CA974" s="81" t="s">
        <v>1937</v>
      </c>
      <c r="CC974" s="167">
        <v>0</v>
      </c>
      <c r="CD974" s="167">
        <f>$N974/4</f>
        <v>0.5</v>
      </c>
      <c r="CE974" s="167">
        <f>$N974/4</f>
        <v>0.5</v>
      </c>
      <c r="CF974" s="167">
        <f>$N974/4</f>
        <v>0.5</v>
      </c>
      <c r="CG974" s="167">
        <f>$N974/4</f>
        <v>0.5</v>
      </c>
      <c r="CH974" s="167">
        <v>0</v>
      </c>
      <c r="CI974" s="167">
        <v>0</v>
      </c>
      <c r="CJ974" s="167">
        <v>0</v>
      </c>
      <c r="CK974" s="167">
        <v>0</v>
      </c>
      <c r="CL974" s="167">
        <v>0</v>
      </c>
      <c r="CM974" s="167">
        <v>0</v>
      </c>
      <c r="CN974" s="167">
        <v>0</v>
      </c>
      <c r="CO974" s="167">
        <v>0</v>
      </c>
      <c r="CP974" s="167">
        <v>0</v>
      </c>
      <c r="CQ974" s="167">
        <v>0</v>
      </c>
      <c r="CR974" s="167">
        <v>0</v>
      </c>
      <c r="CS974" s="167">
        <v>0</v>
      </c>
      <c r="CT974" s="167">
        <v>0</v>
      </c>
      <c r="CU974" s="167">
        <v>0</v>
      </c>
      <c r="CV974" s="167">
        <v>0</v>
      </c>
      <c r="CW974" s="167">
        <v>0</v>
      </c>
      <c r="CX974" s="167">
        <f>SUM(CD974:CH974)</f>
        <v>2</v>
      </c>
      <c r="CY974" s="167">
        <f>SUM(CD974:CM974)</f>
        <v>2</v>
      </c>
    </row>
    <row r="975" spans="1:103" ht="12.75" customHeight="1" x14ac:dyDescent="0.2">
      <c r="A975" s="81">
        <v>6279</v>
      </c>
      <c r="B975" s="165" t="s">
        <v>1930</v>
      </c>
      <c r="C975" s="165" t="s">
        <v>1382</v>
      </c>
      <c r="E975" s="165" t="s">
        <v>2710</v>
      </c>
      <c r="G975" s="81">
        <v>523783</v>
      </c>
      <c r="H975" s="81">
        <v>173677</v>
      </c>
      <c r="I975" s="165" t="s">
        <v>111</v>
      </c>
      <c r="L975" s="166">
        <v>0</v>
      </c>
      <c r="M975" s="166">
        <v>1</v>
      </c>
      <c r="N975" s="166">
        <v>1</v>
      </c>
      <c r="O975" s="166">
        <v>1</v>
      </c>
      <c r="P975" s="166">
        <v>1</v>
      </c>
      <c r="R975" s="165" t="s">
        <v>1383</v>
      </c>
      <c r="S975" s="81" t="s">
        <v>113</v>
      </c>
      <c r="T975" s="349">
        <v>42646</v>
      </c>
      <c r="U975" s="349">
        <v>42719</v>
      </c>
      <c r="W975" s="81" t="s">
        <v>114</v>
      </c>
      <c r="Y975" s="81" t="s">
        <v>115</v>
      </c>
      <c r="Z975" s="81" t="s">
        <v>219</v>
      </c>
      <c r="AA975" s="81" t="s">
        <v>117</v>
      </c>
      <c r="AB975" s="81" t="s">
        <v>3889</v>
      </c>
      <c r="AC975" s="166">
        <v>7.0000002160668399E-3</v>
      </c>
      <c r="AG975" s="81" t="s">
        <v>238</v>
      </c>
      <c r="AH975" s="81" t="s">
        <v>118</v>
      </c>
      <c r="AK975" s="166">
        <v>0</v>
      </c>
      <c r="AM975" s="166">
        <v>0</v>
      </c>
      <c r="AO975" s="166">
        <v>0</v>
      </c>
      <c r="AP975" s="166">
        <v>1</v>
      </c>
      <c r="AQ975" s="166">
        <v>0</v>
      </c>
      <c r="AR975" s="166">
        <v>0</v>
      </c>
      <c r="AS975" s="166">
        <v>0</v>
      </c>
      <c r="AT975" s="166">
        <v>0</v>
      </c>
      <c r="AU975" s="166">
        <v>0</v>
      </c>
      <c r="AV975" s="166">
        <v>0</v>
      </c>
      <c r="AW975" s="166">
        <v>1</v>
      </c>
      <c r="AX975" s="166">
        <v>0</v>
      </c>
      <c r="AY975" s="166">
        <v>0</v>
      </c>
      <c r="AZ975" s="166">
        <v>0</v>
      </c>
      <c r="BA975" s="166">
        <v>0</v>
      </c>
      <c r="BB975" s="166">
        <v>0</v>
      </c>
      <c r="BC975" s="166">
        <v>0</v>
      </c>
      <c r="BD975" s="166">
        <v>0</v>
      </c>
      <c r="BE975" s="166">
        <v>0</v>
      </c>
      <c r="BF975" s="166">
        <v>0</v>
      </c>
      <c r="BG975" s="166">
        <v>0</v>
      </c>
      <c r="BH975" s="166">
        <v>0</v>
      </c>
      <c r="BI975" s="166">
        <v>0</v>
      </c>
      <c r="BJ975" s="166">
        <v>0</v>
      </c>
      <c r="BK975" s="166">
        <v>0</v>
      </c>
      <c r="BL975" s="166">
        <v>0</v>
      </c>
      <c r="BM975" s="166">
        <v>0</v>
      </c>
      <c r="BN975" s="166">
        <v>0</v>
      </c>
      <c r="BO975" s="166">
        <v>0</v>
      </c>
      <c r="BP975" s="166">
        <v>0</v>
      </c>
      <c r="BQ975" s="81" t="s">
        <v>1758</v>
      </c>
      <c r="BZ975" s="81" t="s">
        <v>155</v>
      </c>
      <c r="CA975" s="81" t="s">
        <v>1937</v>
      </c>
      <c r="CC975" s="167">
        <v>0</v>
      </c>
      <c r="CD975" s="167">
        <f>$N975/4</f>
        <v>0.25</v>
      </c>
      <c r="CE975" s="167">
        <f>$N975/4</f>
        <v>0.25</v>
      </c>
      <c r="CF975" s="167">
        <f>$N975/4</f>
        <v>0.25</v>
      </c>
      <c r="CG975" s="167">
        <f>$N975/4</f>
        <v>0.25</v>
      </c>
      <c r="CH975" s="167">
        <v>0</v>
      </c>
      <c r="CI975" s="167">
        <v>0</v>
      </c>
      <c r="CJ975" s="167">
        <v>0</v>
      </c>
      <c r="CK975" s="167">
        <v>0</v>
      </c>
      <c r="CL975" s="167">
        <v>0</v>
      </c>
      <c r="CM975" s="167">
        <v>0</v>
      </c>
      <c r="CN975" s="167">
        <v>0</v>
      </c>
      <c r="CO975" s="167">
        <v>0</v>
      </c>
      <c r="CP975" s="167">
        <v>0</v>
      </c>
      <c r="CQ975" s="167">
        <v>0</v>
      </c>
      <c r="CR975" s="167">
        <v>0</v>
      </c>
      <c r="CS975" s="167">
        <v>0</v>
      </c>
      <c r="CT975" s="167">
        <v>0</v>
      </c>
      <c r="CU975" s="167">
        <v>0</v>
      </c>
      <c r="CV975" s="167">
        <v>0</v>
      </c>
      <c r="CW975" s="167">
        <v>0</v>
      </c>
      <c r="CX975" s="167">
        <f>SUM(CD975:CH975)</f>
        <v>1</v>
      </c>
      <c r="CY975" s="167">
        <f>SUM(CD975:CM975)</f>
        <v>1</v>
      </c>
    </row>
    <row r="976" spans="1:103" ht="12.75" customHeight="1" x14ac:dyDescent="0.2">
      <c r="A976" s="81">
        <v>6280</v>
      </c>
      <c r="B976" s="165" t="s">
        <v>1930</v>
      </c>
      <c r="C976" s="165" t="s">
        <v>1184</v>
      </c>
      <c r="E976" s="165" t="s">
        <v>2711</v>
      </c>
      <c r="G976" s="81">
        <v>523210</v>
      </c>
      <c r="H976" s="81">
        <v>175380</v>
      </c>
      <c r="I976" s="165" t="s">
        <v>59</v>
      </c>
      <c r="L976" s="166">
        <v>0</v>
      </c>
      <c r="M976" s="166">
        <v>9</v>
      </c>
      <c r="N976" s="166">
        <v>9</v>
      </c>
      <c r="O976" s="166">
        <v>9</v>
      </c>
      <c r="P976" s="166">
        <v>9</v>
      </c>
      <c r="R976" s="165" t="s">
        <v>1185</v>
      </c>
      <c r="S976" s="81" t="s">
        <v>113</v>
      </c>
      <c r="T976" s="349">
        <v>42620</v>
      </c>
      <c r="U976" s="349">
        <v>42669</v>
      </c>
      <c r="W976" s="81" t="s">
        <v>114</v>
      </c>
      <c r="Y976" s="81" t="s">
        <v>115</v>
      </c>
      <c r="Z976" s="81" t="s">
        <v>116</v>
      </c>
      <c r="AA976" s="81" t="s">
        <v>117</v>
      </c>
      <c r="AB976" s="81" t="s">
        <v>218</v>
      </c>
      <c r="AC976" s="166">
        <v>6.4999997615814195E-2</v>
      </c>
      <c r="AG976" s="81" t="s">
        <v>238</v>
      </c>
      <c r="AH976" s="81" t="s">
        <v>118</v>
      </c>
      <c r="AK976" s="166">
        <v>9</v>
      </c>
      <c r="AM976" s="166">
        <v>1</v>
      </c>
      <c r="AO976" s="166">
        <v>0</v>
      </c>
      <c r="AP976" s="166">
        <v>2</v>
      </c>
      <c r="AQ976" s="166">
        <v>6</v>
      </c>
      <c r="AR976" s="166">
        <v>1</v>
      </c>
      <c r="AS976" s="166">
        <v>0</v>
      </c>
      <c r="AT976" s="166">
        <v>0</v>
      </c>
      <c r="AU976" s="166">
        <v>0</v>
      </c>
      <c r="AV976" s="166">
        <v>0</v>
      </c>
      <c r="AW976" s="166">
        <v>2</v>
      </c>
      <c r="AX976" s="166">
        <v>6</v>
      </c>
      <c r="AY976" s="166">
        <v>1</v>
      </c>
      <c r="AZ976" s="166">
        <v>0</v>
      </c>
      <c r="BA976" s="166">
        <v>0</v>
      </c>
      <c r="BB976" s="166">
        <v>0</v>
      </c>
      <c r="BC976" s="166">
        <v>0</v>
      </c>
      <c r="BD976" s="166">
        <v>0</v>
      </c>
      <c r="BE976" s="166">
        <v>0</v>
      </c>
      <c r="BF976" s="166">
        <v>0</v>
      </c>
      <c r="BG976" s="166">
        <v>0</v>
      </c>
      <c r="BH976" s="166">
        <v>0</v>
      </c>
      <c r="BI976" s="166">
        <v>0</v>
      </c>
      <c r="BJ976" s="166">
        <v>0</v>
      </c>
      <c r="BK976" s="166">
        <v>0</v>
      </c>
      <c r="BL976" s="166">
        <v>0</v>
      </c>
      <c r="BM976" s="166">
        <v>0</v>
      </c>
      <c r="BN976" s="166">
        <v>0</v>
      </c>
      <c r="BO976" s="166">
        <v>0</v>
      </c>
      <c r="BP976" s="166">
        <v>0</v>
      </c>
      <c r="BQ976" s="81" t="s">
        <v>1758</v>
      </c>
      <c r="BZ976" s="81" t="s">
        <v>155</v>
      </c>
      <c r="CA976" s="81" t="s">
        <v>3968</v>
      </c>
      <c r="CC976" s="167">
        <v>0</v>
      </c>
      <c r="CD976" s="167">
        <v>0</v>
      </c>
      <c r="CE976" s="167">
        <v>0</v>
      </c>
      <c r="CF976" s="167">
        <v>0</v>
      </c>
      <c r="CG976" s="167">
        <f>$N976/3</f>
        <v>3</v>
      </c>
      <c r="CH976" s="167">
        <f>$N976/3</f>
        <v>3</v>
      </c>
      <c r="CI976" s="167">
        <f>$N976/3</f>
        <v>3</v>
      </c>
      <c r="CJ976" s="167">
        <v>0</v>
      </c>
      <c r="CK976" s="167">
        <v>0</v>
      </c>
      <c r="CL976" s="167">
        <v>0</v>
      </c>
      <c r="CM976" s="167">
        <v>0</v>
      </c>
      <c r="CN976" s="167">
        <v>0</v>
      </c>
      <c r="CO976" s="167">
        <v>0</v>
      </c>
      <c r="CP976" s="167">
        <v>0</v>
      </c>
      <c r="CQ976" s="167">
        <v>0</v>
      </c>
      <c r="CR976" s="167">
        <v>0</v>
      </c>
      <c r="CS976" s="167">
        <v>0</v>
      </c>
      <c r="CT976" s="167">
        <v>0</v>
      </c>
      <c r="CU976" s="167">
        <v>0</v>
      </c>
      <c r="CV976" s="167">
        <v>0</v>
      </c>
      <c r="CW976" s="167">
        <v>0</v>
      </c>
      <c r="CX976" s="167">
        <f>SUM(CD976:CH976)</f>
        <v>6</v>
      </c>
      <c r="CY976" s="167">
        <f>SUM(CD976:CM976)</f>
        <v>9</v>
      </c>
    </row>
    <row r="977" spans="1:103" ht="12.75" customHeight="1" x14ac:dyDescent="0.2">
      <c r="A977" s="81">
        <v>6282</v>
      </c>
      <c r="B977" s="165" t="s">
        <v>1930</v>
      </c>
      <c r="C977" s="165" t="s">
        <v>1605</v>
      </c>
      <c r="E977" s="165" t="s">
        <v>2712</v>
      </c>
      <c r="G977" s="81">
        <v>524759</v>
      </c>
      <c r="H977" s="81">
        <v>174251</v>
      </c>
      <c r="I977" s="165" t="s">
        <v>250</v>
      </c>
      <c r="L977" s="166">
        <v>1</v>
      </c>
      <c r="M977" s="166">
        <v>4</v>
      </c>
      <c r="N977" s="166">
        <v>3</v>
      </c>
      <c r="O977" s="166">
        <v>4</v>
      </c>
      <c r="P977" s="166">
        <v>3</v>
      </c>
      <c r="R977" s="165" t="s">
        <v>1606</v>
      </c>
      <c r="S977" s="81" t="s">
        <v>113</v>
      </c>
      <c r="T977" s="349">
        <v>42796</v>
      </c>
      <c r="U977" s="349">
        <v>42873</v>
      </c>
      <c r="V977" s="81" t="s">
        <v>155</v>
      </c>
      <c r="W977" s="81" t="s">
        <v>114</v>
      </c>
      <c r="Y977" s="81" t="s">
        <v>115</v>
      </c>
      <c r="Z977" s="81" t="s">
        <v>116</v>
      </c>
      <c r="AA977" s="81" t="s">
        <v>117</v>
      </c>
      <c r="AB977" s="81" t="s">
        <v>218</v>
      </c>
      <c r="AC977" s="166">
        <v>0.193000003695488</v>
      </c>
      <c r="AG977" s="81" t="s">
        <v>238</v>
      </c>
      <c r="AH977" s="81" t="s">
        <v>118</v>
      </c>
      <c r="AK977" s="166">
        <v>0</v>
      </c>
      <c r="AM977" s="166">
        <v>0</v>
      </c>
      <c r="AO977" s="166">
        <v>0</v>
      </c>
      <c r="AP977" s="166">
        <v>0</v>
      </c>
      <c r="AQ977" s="166">
        <v>0</v>
      </c>
      <c r="AR977" s="166">
        <v>0</v>
      </c>
      <c r="AS977" s="166">
        <v>0</v>
      </c>
      <c r="AT977" s="166">
        <v>3</v>
      </c>
      <c r="AU977" s="166">
        <v>0</v>
      </c>
      <c r="AV977" s="166">
        <v>0</v>
      </c>
      <c r="AW977" s="166">
        <v>0</v>
      </c>
      <c r="AX977" s="166">
        <v>0</v>
      </c>
      <c r="AY977" s="166">
        <v>0</v>
      </c>
      <c r="AZ977" s="166">
        <v>0</v>
      </c>
      <c r="BA977" s="166">
        <v>0</v>
      </c>
      <c r="BB977" s="166">
        <v>0</v>
      </c>
      <c r="BC977" s="166">
        <v>0</v>
      </c>
      <c r="BD977" s="166">
        <v>0</v>
      </c>
      <c r="BE977" s="166">
        <v>0</v>
      </c>
      <c r="BF977" s="166">
        <v>0</v>
      </c>
      <c r="BG977" s="166">
        <v>0</v>
      </c>
      <c r="BH977" s="166">
        <v>3</v>
      </c>
      <c r="BI977" s="166">
        <v>0</v>
      </c>
      <c r="BJ977" s="166">
        <v>0</v>
      </c>
      <c r="BK977" s="166">
        <v>0</v>
      </c>
      <c r="BL977" s="166">
        <v>0</v>
      </c>
      <c r="BM977" s="166">
        <v>0</v>
      </c>
      <c r="BN977" s="166">
        <v>0</v>
      </c>
      <c r="BO977" s="166">
        <v>0</v>
      </c>
      <c r="BP977" s="166">
        <v>0</v>
      </c>
      <c r="BQ977" s="81" t="s">
        <v>1758</v>
      </c>
      <c r="BZ977" s="81" t="s">
        <v>155</v>
      </c>
      <c r="CA977" s="81">
        <v>4</v>
      </c>
      <c r="CC977" s="167">
        <v>0</v>
      </c>
      <c r="CD977" s="167">
        <v>0</v>
      </c>
      <c r="CE977" s="167">
        <f>$N977/4</f>
        <v>0.75</v>
      </c>
      <c r="CF977" s="167">
        <f>$N977/4</f>
        <v>0.75</v>
      </c>
      <c r="CG977" s="167">
        <f>$N977/4</f>
        <v>0.75</v>
      </c>
      <c r="CH977" s="167">
        <f>$N977/4</f>
        <v>0.75</v>
      </c>
      <c r="CI977" s="167">
        <v>0</v>
      </c>
      <c r="CJ977" s="167">
        <v>0</v>
      </c>
      <c r="CK977" s="167">
        <v>0</v>
      </c>
      <c r="CL977" s="167">
        <v>0</v>
      </c>
      <c r="CM977" s="167">
        <v>0</v>
      </c>
      <c r="CN977" s="167">
        <v>0</v>
      </c>
      <c r="CO977" s="167">
        <v>0</v>
      </c>
      <c r="CP977" s="167">
        <v>0</v>
      </c>
      <c r="CQ977" s="167">
        <v>0</v>
      </c>
      <c r="CR977" s="167">
        <v>0</v>
      </c>
      <c r="CS977" s="167">
        <v>0</v>
      </c>
      <c r="CT977" s="167">
        <v>0</v>
      </c>
      <c r="CU977" s="167">
        <v>0</v>
      </c>
      <c r="CV977" s="167">
        <v>0</v>
      </c>
      <c r="CW977" s="167">
        <v>0</v>
      </c>
      <c r="CX977" s="167">
        <f>SUM(CD977:CH977)</f>
        <v>3</v>
      </c>
      <c r="CY977" s="167">
        <f>SUM(CD977:CM977)</f>
        <v>3</v>
      </c>
    </row>
    <row r="978" spans="1:103" ht="12.75" customHeight="1" x14ac:dyDescent="0.2">
      <c r="A978" s="81">
        <v>6284</v>
      </c>
      <c r="B978" s="165" t="s">
        <v>1930</v>
      </c>
      <c r="C978" s="165" t="s">
        <v>1668</v>
      </c>
      <c r="E978" s="165" t="s">
        <v>3431</v>
      </c>
      <c r="G978" s="81">
        <v>525537</v>
      </c>
      <c r="H978" s="81">
        <v>174739</v>
      </c>
      <c r="I978" s="165" t="s">
        <v>251</v>
      </c>
      <c r="L978" s="166">
        <v>0</v>
      </c>
      <c r="M978" s="166">
        <v>34</v>
      </c>
      <c r="N978" s="166">
        <v>34</v>
      </c>
      <c r="O978" s="166">
        <v>50</v>
      </c>
      <c r="P978" s="166">
        <v>50</v>
      </c>
      <c r="Q978" s="81" t="s">
        <v>155</v>
      </c>
      <c r="R978" s="165" t="s">
        <v>1669</v>
      </c>
      <c r="S978" s="81" t="s">
        <v>104</v>
      </c>
      <c r="T978" s="349">
        <v>42804</v>
      </c>
      <c r="U978" s="349">
        <v>43069</v>
      </c>
      <c r="V978" s="81" t="s">
        <v>155</v>
      </c>
      <c r="W978" s="81" t="s">
        <v>114</v>
      </c>
      <c r="Y978" s="81" t="s">
        <v>115</v>
      </c>
      <c r="Z978" s="81" t="s">
        <v>398</v>
      </c>
      <c r="AA978" s="81" t="s">
        <v>116</v>
      </c>
      <c r="AB978" s="81" t="s">
        <v>117</v>
      </c>
      <c r="AC978" s="166">
        <v>0.17499999701976801</v>
      </c>
      <c r="AG978" s="81" t="s">
        <v>238</v>
      </c>
      <c r="AH978" s="81" t="s">
        <v>118</v>
      </c>
      <c r="AI978" s="81" t="s">
        <v>2693</v>
      </c>
      <c r="AK978" s="166">
        <v>50</v>
      </c>
      <c r="AL978" s="166">
        <v>27</v>
      </c>
      <c r="AM978" s="166">
        <v>5</v>
      </c>
      <c r="AN978" s="166">
        <v>5</v>
      </c>
      <c r="AO978" s="166">
        <v>8</v>
      </c>
      <c r="AP978" s="166">
        <v>26</v>
      </c>
      <c r="AQ978" s="166">
        <v>0</v>
      </c>
      <c r="AR978" s="166">
        <v>0</v>
      </c>
      <c r="AS978" s="166">
        <v>0</v>
      </c>
      <c r="AT978" s="166">
        <v>0</v>
      </c>
      <c r="AU978" s="166">
        <v>0</v>
      </c>
      <c r="AV978" s="166">
        <v>6</v>
      </c>
      <c r="AW978" s="166">
        <v>26</v>
      </c>
      <c r="AX978" s="166">
        <v>0</v>
      </c>
      <c r="AY978" s="166">
        <v>0</v>
      </c>
      <c r="AZ978" s="166">
        <v>0</v>
      </c>
      <c r="BA978" s="166">
        <v>0</v>
      </c>
      <c r="BB978" s="166">
        <v>0</v>
      </c>
      <c r="BC978" s="166">
        <v>0</v>
      </c>
      <c r="BD978" s="166">
        <v>0</v>
      </c>
      <c r="BE978" s="166">
        <v>0</v>
      </c>
      <c r="BF978" s="166">
        <v>0</v>
      </c>
      <c r="BG978" s="166">
        <v>0</v>
      </c>
      <c r="BH978" s="166">
        <v>0</v>
      </c>
      <c r="BI978" s="166">
        <v>0</v>
      </c>
      <c r="BJ978" s="166">
        <v>2</v>
      </c>
      <c r="BK978" s="166">
        <v>0</v>
      </c>
      <c r="BL978" s="166">
        <v>0</v>
      </c>
      <c r="BM978" s="166">
        <v>0</v>
      </c>
      <c r="BN978" s="166">
        <v>0</v>
      </c>
      <c r="BO978" s="166">
        <v>0</v>
      </c>
      <c r="BP978" s="166">
        <v>0</v>
      </c>
      <c r="BQ978" s="81" t="s">
        <v>1758</v>
      </c>
      <c r="BR978" s="81" t="s">
        <v>202</v>
      </c>
      <c r="BT978" s="81" t="s">
        <v>155</v>
      </c>
      <c r="BZ978" s="81" t="s">
        <v>155</v>
      </c>
      <c r="CA978" s="81" t="s">
        <v>3936</v>
      </c>
      <c r="CC978" s="167">
        <v>0</v>
      </c>
      <c r="CD978" s="167">
        <f>$N978/10</f>
        <v>3.4</v>
      </c>
      <c r="CE978" s="167">
        <f>$N978/10</f>
        <v>3.4</v>
      </c>
      <c r="CF978" s="167">
        <f>$N978/10</f>
        <v>3.4</v>
      </c>
      <c r="CG978" s="167">
        <f>$N978/10</f>
        <v>3.4</v>
      </c>
      <c r="CH978" s="167">
        <f>$N978/10</f>
        <v>3.4</v>
      </c>
      <c r="CI978" s="167">
        <f>$N978/10</f>
        <v>3.4</v>
      </c>
      <c r="CJ978" s="167">
        <f>$N978/10</f>
        <v>3.4</v>
      </c>
      <c r="CK978" s="167">
        <f>$N978/10</f>
        <v>3.4</v>
      </c>
      <c r="CL978" s="167">
        <f>$N978/10</f>
        <v>3.4</v>
      </c>
      <c r="CM978" s="167">
        <f>$N978/10</f>
        <v>3.4</v>
      </c>
      <c r="CN978" s="167">
        <v>0</v>
      </c>
      <c r="CO978" s="167">
        <v>0</v>
      </c>
      <c r="CP978" s="167">
        <v>0</v>
      </c>
      <c r="CQ978" s="167">
        <v>0</v>
      </c>
      <c r="CR978" s="167">
        <v>0</v>
      </c>
      <c r="CS978" s="167">
        <v>0</v>
      </c>
      <c r="CT978" s="167">
        <v>0</v>
      </c>
      <c r="CU978" s="167">
        <v>0</v>
      </c>
      <c r="CV978" s="167">
        <v>0</v>
      </c>
      <c r="CW978" s="167">
        <v>0</v>
      </c>
      <c r="CX978" s="167">
        <f>SUM(CD978:CH978)</f>
        <v>17</v>
      </c>
      <c r="CY978" s="167">
        <f>SUM(CD978:CM978)</f>
        <v>33.999999999999993</v>
      </c>
    </row>
    <row r="979" spans="1:103" ht="12.75" customHeight="1" x14ac:dyDescent="0.2">
      <c r="A979" s="81">
        <v>6284</v>
      </c>
      <c r="B979" s="165" t="s">
        <v>1930</v>
      </c>
      <c r="C979" s="165" t="s">
        <v>1668</v>
      </c>
      <c r="E979" s="165" t="s">
        <v>3431</v>
      </c>
      <c r="G979" s="81">
        <v>525537</v>
      </c>
      <c r="H979" s="81">
        <v>174739</v>
      </c>
      <c r="I979" s="165" t="s">
        <v>251</v>
      </c>
      <c r="L979" s="166">
        <v>0</v>
      </c>
      <c r="M979" s="166">
        <v>16</v>
      </c>
      <c r="N979" s="166">
        <v>16</v>
      </c>
      <c r="O979" s="166">
        <v>50</v>
      </c>
      <c r="P979" s="166">
        <v>50</v>
      </c>
      <c r="Q979" s="81" t="s">
        <v>155</v>
      </c>
      <c r="R979" s="165" t="s">
        <v>1669</v>
      </c>
      <c r="S979" s="81" t="s">
        <v>104</v>
      </c>
      <c r="T979" s="349">
        <v>42804</v>
      </c>
      <c r="U979" s="349">
        <v>43069</v>
      </c>
      <c r="V979" s="81" t="s">
        <v>155</v>
      </c>
      <c r="W979" s="81" t="s">
        <v>114</v>
      </c>
      <c r="Y979" s="81" t="s">
        <v>115</v>
      </c>
      <c r="Z979" s="81" t="s">
        <v>398</v>
      </c>
      <c r="AA979" s="81" t="s">
        <v>1764</v>
      </c>
      <c r="AB979" s="81" t="s">
        <v>117</v>
      </c>
      <c r="AC979" s="166">
        <v>8.2999996840953799E-2</v>
      </c>
      <c r="AG979" s="81" t="s">
        <v>238</v>
      </c>
      <c r="AH979" s="81" t="s">
        <v>118</v>
      </c>
      <c r="AI979" s="81" t="s">
        <v>2693</v>
      </c>
      <c r="AK979" s="166">
        <v>0</v>
      </c>
      <c r="AL979" s="166">
        <v>16</v>
      </c>
      <c r="AM979" s="166">
        <v>0</v>
      </c>
      <c r="AO979" s="166">
        <v>0</v>
      </c>
      <c r="AP979" s="166">
        <v>0</v>
      </c>
      <c r="AQ979" s="166">
        <v>12</v>
      </c>
      <c r="AR979" s="166">
        <v>4</v>
      </c>
      <c r="AS979" s="166">
        <v>0</v>
      </c>
      <c r="AT979" s="166">
        <v>0</v>
      </c>
      <c r="AU979" s="166">
        <v>0</v>
      </c>
      <c r="AV979" s="166">
        <v>0</v>
      </c>
      <c r="AW979" s="166">
        <v>0</v>
      </c>
      <c r="AX979" s="166">
        <v>12</v>
      </c>
      <c r="AY979" s="166">
        <v>3</v>
      </c>
      <c r="AZ979" s="166">
        <v>0</v>
      </c>
      <c r="BA979" s="166">
        <v>0</v>
      </c>
      <c r="BB979" s="166">
        <v>0</v>
      </c>
      <c r="BC979" s="166">
        <v>0</v>
      </c>
      <c r="BD979" s="166">
        <v>0</v>
      </c>
      <c r="BE979" s="166">
        <v>0</v>
      </c>
      <c r="BF979" s="166">
        <v>1</v>
      </c>
      <c r="BG979" s="166">
        <v>0</v>
      </c>
      <c r="BH979" s="166">
        <v>0</v>
      </c>
      <c r="BI979" s="166">
        <v>0</v>
      </c>
      <c r="BJ979" s="166">
        <v>0</v>
      </c>
      <c r="BK979" s="166">
        <v>0</v>
      </c>
      <c r="BL979" s="166">
        <v>0</v>
      </c>
      <c r="BM979" s="166">
        <v>0</v>
      </c>
      <c r="BN979" s="166">
        <v>0</v>
      </c>
      <c r="BO979" s="166">
        <v>0</v>
      </c>
      <c r="BP979" s="166">
        <v>0</v>
      </c>
      <c r="BQ979" s="81" t="s">
        <v>1758</v>
      </c>
      <c r="BR979" s="81" t="s">
        <v>202</v>
      </c>
      <c r="BT979" s="81" t="s">
        <v>155</v>
      </c>
      <c r="BZ979" s="81" t="s">
        <v>155</v>
      </c>
      <c r="CA979" s="81" t="s">
        <v>3936</v>
      </c>
      <c r="CC979" s="167">
        <v>0</v>
      </c>
      <c r="CD979" s="167">
        <f>$N979/10</f>
        <v>1.6</v>
      </c>
      <c r="CE979" s="167">
        <f>$N979/10</f>
        <v>1.6</v>
      </c>
      <c r="CF979" s="167">
        <f>$N979/10</f>
        <v>1.6</v>
      </c>
      <c r="CG979" s="167">
        <f>$N979/10</f>
        <v>1.6</v>
      </c>
      <c r="CH979" s="167">
        <f>$N979/10</f>
        <v>1.6</v>
      </c>
      <c r="CI979" s="167">
        <f>$N979/10</f>
        <v>1.6</v>
      </c>
      <c r="CJ979" s="167">
        <f>$N979/10</f>
        <v>1.6</v>
      </c>
      <c r="CK979" s="167">
        <f>$N979/10</f>
        <v>1.6</v>
      </c>
      <c r="CL979" s="167">
        <f>$N979/10</f>
        <v>1.6</v>
      </c>
      <c r="CM979" s="167">
        <f>$N979/10</f>
        <v>1.6</v>
      </c>
      <c r="CN979" s="167">
        <v>0</v>
      </c>
      <c r="CO979" s="167">
        <v>0</v>
      </c>
      <c r="CP979" s="167">
        <v>0</v>
      </c>
      <c r="CQ979" s="167">
        <v>0</v>
      </c>
      <c r="CR979" s="167">
        <v>0</v>
      </c>
      <c r="CS979" s="167">
        <v>0</v>
      </c>
      <c r="CT979" s="167">
        <v>0</v>
      </c>
      <c r="CU979" s="167">
        <v>0</v>
      </c>
      <c r="CV979" s="167">
        <v>0</v>
      </c>
      <c r="CW979" s="167">
        <v>0</v>
      </c>
      <c r="CX979" s="167">
        <f>SUM(CD979:CH979)</f>
        <v>8</v>
      </c>
      <c r="CY979" s="167">
        <f>SUM(CD979:CM979)</f>
        <v>15.999999999999998</v>
      </c>
    </row>
    <row r="980" spans="1:103" ht="12.75" customHeight="1" x14ac:dyDescent="0.2">
      <c r="A980" s="81">
        <v>6287</v>
      </c>
      <c r="B980" s="165" t="s">
        <v>1930</v>
      </c>
      <c r="C980" s="165" t="s">
        <v>1274</v>
      </c>
      <c r="E980" s="165" t="s">
        <v>2713</v>
      </c>
      <c r="G980" s="81">
        <v>527271</v>
      </c>
      <c r="H980" s="81">
        <v>176566</v>
      </c>
      <c r="I980" s="165" t="s">
        <v>257</v>
      </c>
      <c r="L980" s="166">
        <v>1</v>
      </c>
      <c r="M980" s="166">
        <v>1</v>
      </c>
      <c r="N980" s="166">
        <v>0</v>
      </c>
      <c r="O980" s="166">
        <v>1</v>
      </c>
      <c r="P980" s="166">
        <v>0</v>
      </c>
      <c r="R980" s="165" t="s">
        <v>1275</v>
      </c>
      <c r="S980" s="81" t="s">
        <v>113</v>
      </c>
      <c r="T980" s="349">
        <v>42544</v>
      </c>
      <c r="U980" s="349">
        <v>42723</v>
      </c>
      <c r="W980" s="81" t="s">
        <v>114</v>
      </c>
      <c r="Y980" s="81" t="s">
        <v>115</v>
      </c>
      <c r="Z980" s="81" t="s">
        <v>398</v>
      </c>
      <c r="AA980" s="81" t="s">
        <v>117</v>
      </c>
      <c r="AB980" s="81" t="s">
        <v>218</v>
      </c>
      <c r="AC980" s="166">
        <v>2.8000000864267301E-2</v>
      </c>
      <c r="AG980" s="81" t="s">
        <v>238</v>
      </c>
      <c r="AH980" s="81" t="s">
        <v>118</v>
      </c>
      <c r="AK980" s="166">
        <v>1</v>
      </c>
      <c r="AM980" s="166">
        <v>0</v>
      </c>
      <c r="AO980" s="166">
        <v>0</v>
      </c>
      <c r="AP980" s="166">
        <v>0</v>
      </c>
      <c r="AQ980" s="166">
        <v>0</v>
      </c>
      <c r="AR980" s="166">
        <v>0</v>
      </c>
      <c r="AS980" s="166">
        <v>0</v>
      </c>
      <c r="AT980" s="166">
        <v>0</v>
      </c>
      <c r="AU980" s="166">
        <v>0</v>
      </c>
      <c r="AV980" s="166">
        <v>0</v>
      </c>
      <c r="AW980" s="166">
        <v>0</v>
      </c>
      <c r="AX980" s="166">
        <v>0</v>
      </c>
      <c r="AY980" s="166">
        <v>0</v>
      </c>
      <c r="AZ980" s="166">
        <v>0</v>
      </c>
      <c r="BA980" s="166">
        <v>0</v>
      </c>
      <c r="BB980" s="166">
        <v>0</v>
      </c>
      <c r="BC980" s="166">
        <v>0</v>
      </c>
      <c r="BD980" s="166">
        <v>0</v>
      </c>
      <c r="BE980" s="166">
        <v>0</v>
      </c>
      <c r="BF980" s="166">
        <v>0</v>
      </c>
      <c r="BG980" s="166">
        <v>0</v>
      </c>
      <c r="BH980" s="166">
        <v>0</v>
      </c>
      <c r="BI980" s="166">
        <v>0</v>
      </c>
      <c r="BJ980" s="166">
        <v>0</v>
      </c>
      <c r="BK980" s="166">
        <v>0</v>
      </c>
      <c r="BL980" s="166">
        <v>0</v>
      </c>
      <c r="BM980" s="166">
        <v>0</v>
      </c>
      <c r="BN980" s="166">
        <v>0</v>
      </c>
      <c r="BO980" s="166">
        <v>0</v>
      </c>
      <c r="BP980" s="166">
        <v>0</v>
      </c>
      <c r="BQ980" s="81" t="s">
        <v>1757</v>
      </c>
      <c r="BZ980" s="81" t="s">
        <v>155</v>
      </c>
      <c r="CA980" s="81" t="s">
        <v>1937</v>
      </c>
      <c r="CC980" s="167">
        <v>0</v>
      </c>
      <c r="CD980" s="167">
        <f>$N980/4</f>
        <v>0</v>
      </c>
      <c r="CE980" s="167">
        <f>$N980/4</f>
        <v>0</v>
      </c>
      <c r="CF980" s="167">
        <f>$N980/4</f>
        <v>0</v>
      </c>
      <c r="CG980" s="167">
        <f>$N980/4</f>
        <v>0</v>
      </c>
      <c r="CH980" s="167">
        <v>0</v>
      </c>
      <c r="CI980" s="167">
        <v>0</v>
      </c>
      <c r="CJ980" s="167">
        <v>0</v>
      </c>
      <c r="CK980" s="167">
        <v>0</v>
      </c>
      <c r="CL980" s="167">
        <v>0</v>
      </c>
      <c r="CM980" s="167">
        <v>0</v>
      </c>
      <c r="CN980" s="167">
        <v>0</v>
      </c>
      <c r="CO980" s="167">
        <v>0</v>
      </c>
      <c r="CP980" s="167">
        <v>0</v>
      </c>
      <c r="CQ980" s="167">
        <v>0</v>
      </c>
      <c r="CR980" s="167">
        <v>0</v>
      </c>
      <c r="CS980" s="167">
        <v>0</v>
      </c>
      <c r="CT980" s="167">
        <v>0</v>
      </c>
      <c r="CU980" s="167">
        <v>0</v>
      </c>
      <c r="CV980" s="167">
        <v>0</v>
      </c>
      <c r="CW980" s="167">
        <v>0</v>
      </c>
      <c r="CX980" s="167">
        <f>SUM(CD980:CH980)</f>
        <v>0</v>
      </c>
      <c r="CY980" s="167">
        <f>SUM(CD980:CM980)</f>
        <v>0</v>
      </c>
    </row>
    <row r="981" spans="1:103" ht="12.75" customHeight="1" x14ac:dyDescent="0.2">
      <c r="A981" s="81">
        <v>6291</v>
      </c>
      <c r="B981" s="165" t="s">
        <v>1930</v>
      </c>
      <c r="C981" s="165" t="s">
        <v>1320</v>
      </c>
      <c r="E981" s="165" t="s">
        <v>2714</v>
      </c>
      <c r="G981" s="81">
        <v>525235</v>
      </c>
      <c r="H981" s="81">
        <v>173834</v>
      </c>
      <c r="I981" s="165" t="s">
        <v>258</v>
      </c>
      <c r="L981" s="166">
        <v>0</v>
      </c>
      <c r="M981" s="166">
        <v>2</v>
      </c>
      <c r="N981" s="166">
        <v>2</v>
      </c>
      <c r="O981" s="166">
        <v>2</v>
      </c>
      <c r="P981" s="166">
        <v>2</v>
      </c>
      <c r="R981" s="165" t="s">
        <v>1321</v>
      </c>
      <c r="S981" s="81" t="s">
        <v>113</v>
      </c>
      <c r="T981" s="349">
        <v>42548</v>
      </c>
      <c r="U981" s="349">
        <v>42604</v>
      </c>
      <c r="W981" s="81" t="s">
        <v>114</v>
      </c>
      <c r="Y981" s="81" t="s">
        <v>115</v>
      </c>
      <c r="Z981" s="81" t="s">
        <v>116</v>
      </c>
      <c r="AA981" s="81" t="s">
        <v>117</v>
      </c>
      <c r="AB981" s="81" t="s">
        <v>218</v>
      </c>
      <c r="AC981" s="166">
        <v>1.4000000432133701E-2</v>
      </c>
      <c r="AG981" s="81" t="s">
        <v>238</v>
      </c>
      <c r="AH981" s="81" t="s">
        <v>118</v>
      </c>
      <c r="AK981" s="166">
        <v>2</v>
      </c>
      <c r="AM981" s="166">
        <v>0</v>
      </c>
      <c r="AO981" s="166">
        <v>0</v>
      </c>
      <c r="AP981" s="166">
        <v>0</v>
      </c>
      <c r="AQ981" s="166">
        <v>2</v>
      </c>
      <c r="AR981" s="166">
        <v>0</v>
      </c>
      <c r="AS981" s="166">
        <v>0</v>
      </c>
      <c r="AT981" s="166">
        <v>0</v>
      </c>
      <c r="AU981" s="166">
        <v>0</v>
      </c>
      <c r="AV981" s="166">
        <v>0</v>
      </c>
      <c r="AW981" s="166">
        <v>0</v>
      </c>
      <c r="AX981" s="166">
        <v>2</v>
      </c>
      <c r="AY981" s="166">
        <v>0</v>
      </c>
      <c r="AZ981" s="166">
        <v>0</v>
      </c>
      <c r="BA981" s="166">
        <v>0</v>
      </c>
      <c r="BB981" s="166">
        <v>0</v>
      </c>
      <c r="BC981" s="166">
        <v>0</v>
      </c>
      <c r="BD981" s="166">
        <v>0</v>
      </c>
      <c r="BE981" s="166">
        <v>0</v>
      </c>
      <c r="BF981" s="166">
        <v>0</v>
      </c>
      <c r="BG981" s="166">
        <v>0</v>
      </c>
      <c r="BH981" s="166">
        <v>0</v>
      </c>
      <c r="BI981" s="166">
        <v>0</v>
      </c>
      <c r="BJ981" s="166">
        <v>0</v>
      </c>
      <c r="BK981" s="166">
        <v>0</v>
      </c>
      <c r="BL981" s="166">
        <v>0</v>
      </c>
      <c r="BM981" s="166">
        <v>0</v>
      </c>
      <c r="BN981" s="166">
        <v>0</v>
      </c>
      <c r="BO981" s="166">
        <v>0</v>
      </c>
      <c r="BP981" s="166">
        <v>0</v>
      </c>
      <c r="BQ981" s="81" t="s">
        <v>1758</v>
      </c>
      <c r="BZ981" s="81" t="s">
        <v>155</v>
      </c>
      <c r="CA981" s="81">
        <v>4</v>
      </c>
      <c r="CC981" s="167">
        <v>0</v>
      </c>
      <c r="CD981" s="167">
        <v>0</v>
      </c>
      <c r="CE981" s="167">
        <f>$N981/4</f>
        <v>0.5</v>
      </c>
      <c r="CF981" s="167">
        <f>$N981/4</f>
        <v>0.5</v>
      </c>
      <c r="CG981" s="167">
        <f>$N981/4</f>
        <v>0.5</v>
      </c>
      <c r="CH981" s="167">
        <f>$N981/4</f>
        <v>0.5</v>
      </c>
      <c r="CI981" s="167">
        <v>0</v>
      </c>
      <c r="CJ981" s="167">
        <v>0</v>
      </c>
      <c r="CK981" s="167">
        <v>0</v>
      </c>
      <c r="CL981" s="167">
        <v>0</v>
      </c>
      <c r="CM981" s="167">
        <v>0</v>
      </c>
      <c r="CN981" s="167">
        <v>0</v>
      </c>
      <c r="CO981" s="167">
        <v>0</v>
      </c>
      <c r="CP981" s="167">
        <v>0</v>
      </c>
      <c r="CQ981" s="167">
        <v>0</v>
      </c>
      <c r="CR981" s="167">
        <v>0</v>
      </c>
      <c r="CS981" s="167">
        <v>0</v>
      </c>
      <c r="CT981" s="167">
        <v>0</v>
      </c>
      <c r="CU981" s="167">
        <v>0</v>
      </c>
      <c r="CV981" s="167">
        <v>0</v>
      </c>
      <c r="CW981" s="167">
        <v>0</v>
      </c>
      <c r="CX981" s="167">
        <f>SUM(CD981:CH981)</f>
        <v>2</v>
      </c>
      <c r="CY981" s="167">
        <f>SUM(CD981:CM981)</f>
        <v>2</v>
      </c>
    </row>
    <row r="982" spans="1:103" ht="12.75" customHeight="1" x14ac:dyDescent="0.2">
      <c r="A982" s="81">
        <v>6293</v>
      </c>
      <c r="B982" s="165" t="s">
        <v>1930</v>
      </c>
      <c r="C982" s="165" t="s">
        <v>1334</v>
      </c>
      <c r="E982" s="165" t="s">
        <v>2715</v>
      </c>
      <c r="G982" s="81">
        <v>529372</v>
      </c>
      <c r="H982" s="81">
        <v>171169</v>
      </c>
      <c r="I982" s="165" t="s">
        <v>252</v>
      </c>
      <c r="L982" s="166">
        <v>0</v>
      </c>
      <c r="M982" s="166">
        <v>1</v>
      </c>
      <c r="N982" s="166">
        <v>1</v>
      </c>
      <c r="O982" s="166">
        <v>1</v>
      </c>
      <c r="P982" s="166">
        <v>1</v>
      </c>
      <c r="R982" s="165" t="s">
        <v>1335</v>
      </c>
      <c r="S982" s="81" t="s">
        <v>113</v>
      </c>
      <c r="T982" s="349">
        <v>42550</v>
      </c>
      <c r="U982" s="349">
        <v>42606</v>
      </c>
      <c r="W982" s="81" t="s">
        <v>114</v>
      </c>
      <c r="Y982" s="81" t="s">
        <v>115</v>
      </c>
      <c r="Z982" s="81" t="s">
        <v>310</v>
      </c>
      <c r="AA982" s="81" t="s">
        <v>117</v>
      </c>
      <c r="AB982" s="81" t="s">
        <v>102</v>
      </c>
      <c r="AC982" s="166">
        <v>8.9999996125698107E-3</v>
      </c>
      <c r="AG982" s="81" t="s">
        <v>238</v>
      </c>
      <c r="AH982" s="81" t="s">
        <v>118</v>
      </c>
      <c r="AK982" s="166">
        <v>0</v>
      </c>
      <c r="AM982" s="166">
        <v>0</v>
      </c>
      <c r="AO982" s="166">
        <v>0</v>
      </c>
      <c r="AP982" s="166">
        <v>1</v>
      </c>
      <c r="AQ982" s="166">
        <v>0</v>
      </c>
      <c r="AR982" s="166">
        <v>0</v>
      </c>
      <c r="AS982" s="166">
        <v>0</v>
      </c>
      <c r="AT982" s="166">
        <v>0</v>
      </c>
      <c r="AU982" s="166">
        <v>0</v>
      </c>
      <c r="AV982" s="166">
        <v>0</v>
      </c>
      <c r="AW982" s="166">
        <v>1</v>
      </c>
      <c r="AX982" s="166">
        <v>0</v>
      </c>
      <c r="AY982" s="166">
        <v>0</v>
      </c>
      <c r="AZ982" s="166">
        <v>0</v>
      </c>
      <c r="BA982" s="166">
        <v>0</v>
      </c>
      <c r="BB982" s="166">
        <v>0</v>
      </c>
      <c r="BC982" s="166">
        <v>0</v>
      </c>
      <c r="BD982" s="166">
        <v>0</v>
      </c>
      <c r="BE982" s="166">
        <v>0</v>
      </c>
      <c r="BF982" s="166">
        <v>0</v>
      </c>
      <c r="BG982" s="166">
        <v>0</v>
      </c>
      <c r="BH982" s="166">
        <v>0</v>
      </c>
      <c r="BI982" s="166">
        <v>0</v>
      </c>
      <c r="BJ982" s="166">
        <v>0</v>
      </c>
      <c r="BK982" s="166">
        <v>0</v>
      </c>
      <c r="BL982" s="166">
        <v>0</v>
      </c>
      <c r="BM982" s="166">
        <v>0</v>
      </c>
      <c r="BN982" s="166">
        <v>0</v>
      </c>
      <c r="BO982" s="166">
        <v>0</v>
      </c>
      <c r="BP982" s="166">
        <v>0</v>
      </c>
      <c r="BQ982" s="81" t="s">
        <v>1757</v>
      </c>
      <c r="BZ982" s="81" t="s">
        <v>155</v>
      </c>
      <c r="CA982" s="81" t="s">
        <v>1937</v>
      </c>
      <c r="CC982" s="167">
        <v>0</v>
      </c>
      <c r="CD982" s="167">
        <f>$N982/4</f>
        <v>0.25</v>
      </c>
      <c r="CE982" s="167">
        <f>$N982/4</f>
        <v>0.25</v>
      </c>
      <c r="CF982" s="167">
        <f>$N982/4</f>
        <v>0.25</v>
      </c>
      <c r="CG982" s="167">
        <f>$N982/4</f>
        <v>0.25</v>
      </c>
      <c r="CH982" s="167">
        <v>0</v>
      </c>
      <c r="CI982" s="167">
        <v>0</v>
      </c>
      <c r="CJ982" s="167">
        <v>0</v>
      </c>
      <c r="CK982" s="167">
        <v>0</v>
      </c>
      <c r="CL982" s="167">
        <v>0</v>
      </c>
      <c r="CM982" s="167">
        <v>0</v>
      </c>
      <c r="CN982" s="167">
        <v>0</v>
      </c>
      <c r="CO982" s="167">
        <v>0</v>
      </c>
      <c r="CP982" s="167">
        <v>0</v>
      </c>
      <c r="CQ982" s="167">
        <v>0</v>
      </c>
      <c r="CR982" s="167">
        <v>0</v>
      </c>
      <c r="CS982" s="167">
        <v>0</v>
      </c>
      <c r="CT982" s="167">
        <v>0</v>
      </c>
      <c r="CU982" s="167">
        <v>0</v>
      </c>
      <c r="CV982" s="167">
        <v>0</v>
      </c>
      <c r="CW982" s="167">
        <v>0</v>
      </c>
      <c r="CX982" s="167">
        <f>SUM(CD982:CH982)</f>
        <v>1</v>
      </c>
      <c r="CY982" s="167">
        <f>SUM(CD982:CM982)</f>
        <v>1</v>
      </c>
    </row>
    <row r="983" spans="1:103" ht="12.75" customHeight="1" x14ac:dyDescent="0.2">
      <c r="A983" s="81">
        <v>6303</v>
      </c>
      <c r="B983" s="165" t="s">
        <v>1930</v>
      </c>
      <c r="C983" s="165" t="s">
        <v>1348</v>
      </c>
      <c r="E983" s="165" t="s">
        <v>2716</v>
      </c>
      <c r="G983" s="81">
        <v>527362</v>
      </c>
      <c r="H983" s="81">
        <v>176577</v>
      </c>
      <c r="I983" s="165" t="s">
        <v>257</v>
      </c>
      <c r="L983" s="166">
        <v>0</v>
      </c>
      <c r="M983" s="166">
        <v>1</v>
      </c>
      <c r="N983" s="166">
        <v>1</v>
      </c>
      <c r="O983" s="166">
        <v>1</v>
      </c>
      <c r="P983" s="166">
        <v>1</v>
      </c>
      <c r="R983" s="165" t="s">
        <v>1349</v>
      </c>
      <c r="S983" s="81" t="s">
        <v>270</v>
      </c>
      <c r="T983" s="349">
        <v>42562</v>
      </c>
      <c r="U983" s="349">
        <v>42618</v>
      </c>
      <c r="W983" s="81" t="s">
        <v>114</v>
      </c>
      <c r="Y983" s="81" t="s">
        <v>115</v>
      </c>
      <c r="Z983" s="81" t="s">
        <v>310</v>
      </c>
      <c r="AA983" s="81" t="s">
        <v>117</v>
      </c>
      <c r="AB983" s="81" t="s">
        <v>399</v>
      </c>
      <c r="AC983" s="166">
        <v>6.0000000521540598E-3</v>
      </c>
      <c r="AG983" s="81" t="s">
        <v>238</v>
      </c>
      <c r="AH983" s="81" t="s">
        <v>118</v>
      </c>
      <c r="AK983" s="166">
        <v>0</v>
      </c>
      <c r="AM983" s="166">
        <v>0</v>
      </c>
      <c r="AO983" s="166">
        <v>0</v>
      </c>
      <c r="AP983" s="166">
        <v>1</v>
      </c>
      <c r="AQ983" s="166">
        <v>0</v>
      </c>
      <c r="AR983" s="166">
        <v>0</v>
      </c>
      <c r="AS983" s="166">
        <v>0</v>
      </c>
      <c r="AT983" s="166">
        <v>0</v>
      </c>
      <c r="AU983" s="166">
        <v>0</v>
      </c>
      <c r="AV983" s="166">
        <v>0</v>
      </c>
      <c r="AW983" s="166">
        <v>0</v>
      </c>
      <c r="AX983" s="166">
        <v>0</v>
      </c>
      <c r="AY983" s="166">
        <v>0</v>
      </c>
      <c r="AZ983" s="166">
        <v>0</v>
      </c>
      <c r="BA983" s="166">
        <v>0</v>
      </c>
      <c r="BB983" s="166">
        <v>0</v>
      </c>
      <c r="BC983" s="166">
        <v>0</v>
      </c>
      <c r="BD983" s="166">
        <v>1</v>
      </c>
      <c r="BE983" s="166">
        <v>0</v>
      </c>
      <c r="BF983" s="166">
        <v>0</v>
      </c>
      <c r="BG983" s="166">
        <v>0</v>
      </c>
      <c r="BH983" s="166">
        <v>0</v>
      </c>
      <c r="BI983" s="166">
        <v>0</v>
      </c>
      <c r="BJ983" s="166">
        <v>0</v>
      </c>
      <c r="BK983" s="166">
        <v>0</v>
      </c>
      <c r="BL983" s="166">
        <v>0</v>
      </c>
      <c r="BM983" s="166">
        <v>0</v>
      </c>
      <c r="BN983" s="166">
        <v>0</v>
      </c>
      <c r="BO983" s="166">
        <v>0</v>
      </c>
      <c r="BP983" s="166">
        <v>0</v>
      </c>
      <c r="BQ983" s="81" t="s">
        <v>1757</v>
      </c>
      <c r="BZ983" s="81" t="s">
        <v>155</v>
      </c>
      <c r="CA983" s="81" t="s">
        <v>1937</v>
      </c>
      <c r="CC983" s="167">
        <v>0</v>
      </c>
      <c r="CD983" s="167">
        <f>$N983/4</f>
        <v>0.25</v>
      </c>
      <c r="CE983" s="167">
        <f>$N983/4</f>
        <v>0.25</v>
      </c>
      <c r="CF983" s="167">
        <f>$N983/4</f>
        <v>0.25</v>
      </c>
      <c r="CG983" s="167">
        <f>$N983/4</f>
        <v>0.25</v>
      </c>
      <c r="CH983" s="167">
        <v>0</v>
      </c>
      <c r="CI983" s="167">
        <v>0</v>
      </c>
      <c r="CJ983" s="167">
        <v>0</v>
      </c>
      <c r="CK983" s="167">
        <v>0</v>
      </c>
      <c r="CL983" s="167">
        <v>0</v>
      </c>
      <c r="CM983" s="167">
        <v>0</v>
      </c>
      <c r="CN983" s="167">
        <v>0</v>
      </c>
      <c r="CO983" s="167">
        <v>0</v>
      </c>
      <c r="CP983" s="167">
        <v>0</v>
      </c>
      <c r="CQ983" s="167">
        <v>0</v>
      </c>
      <c r="CR983" s="167">
        <v>0</v>
      </c>
      <c r="CS983" s="167">
        <v>0</v>
      </c>
      <c r="CT983" s="167">
        <v>0</v>
      </c>
      <c r="CU983" s="167">
        <v>0</v>
      </c>
      <c r="CV983" s="167">
        <v>0</v>
      </c>
      <c r="CW983" s="167">
        <v>0</v>
      </c>
      <c r="CX983" s="167">
        <f>SUM(CD983:CH983)</f>
        <v>1</v>
      </c>
      <c r="CY983" s="167">
        <f>SUM(CD983:CM983)</f>
        <v>1</v>
      </c>
    </row>
    <row r="984" spans="1:103" ht="12.75" customHeight="1" x14ac:dyDescent="0.2">
      <c r="A984" s="81">
        <v>6304</v>
      </c>
      <c r="B984" s="165" t="s">
        <v>1930</v>
      </c>
      <c r="C984" s="165" t="s">
        <v>2717</v>
      </c>
      <c r="E984" s="165" t="s">
        <v>2718</v>
      </c>
      <c r="G984" s="81">
        <v>526579</v>
      </c>
      <c r="H984" s="81">
        <v>173879</v>
      </c>
      <c r="I984" s="165" t="s">
        <v>260</v>
      </c>
      <c r="L984" s="166">
        <v>0</v>
      </c>
      <c r="M984" s="166">
        <v>1</v>
      </c>
      <c r="N984" s="166">
        <v>1</v>
      </c>
      <c r="O984" s="166">
        <v>1</v>
      </c>
      <c r="P984" s="166">
        <v>1</v>
      </c>
      <c r="R984" s="165" t="s">
        <v>2719</v>
      </c>
      <c r="S984" s="81" t="s">
        <v>296</v>
      </c>
      <c r="T984" s="349">
        <v>42569</v>
      </c>
      <c r="U984" s="349">
        <v>42795</v>
      </c>
      <c r="V984" s="81" t="s">
        <v>155</v>
      </c>
      <c r="W984" s="81" t="s">
        <v>297</v>
      </c>
      <c r="X984" s="349">
        <v>43048</v>
      </c>
      <c r="Y984" s="81" t="s">
        <v>397</v>
      </c>
      <c r="Z984" s="81" t="s">
        <v>116</v>
      </c>
      <c r="AA984" s="81" t="s">
        <v>117</v>
      </c>
      <c r="AB984" s="81" t="s">
        <v>218</v>
      </c>
      <c r="AC984" s="166">
        <v>1.7999999225139601E-2</v>
      </c>
      <c r="AG984" s="81" t="s">
        <v>238</v>
      </c>
      <c r="AH984" s="81" t="s">
        <v>118</v>
      </c>
      <c r="AK984" s="166">
        <v>1</v>
      </c>
      <c r="AM984" s="166">
        <v>0</v>
      </c>
      <c r="AO984" s="166">
        <v>0</v>
      </c>
      <c r="AP984" s="166">
        <v>0</v>
      </c>
      <c r="AQ984" s="166">
        <v>0</v>
      </c>
      <c r="AR984" s="166">
        <v>0</v>
      </c>
      <c r="AS984" s="166">
        <v>0</v>
      </c>
      <c r="AT984" s="166">
        <v>1</v>
      </c>
      <c r="AU984" s="166">
        <v>0</v>
      </c>
      <c r="AV984" s="166">
        <v>0</v>
      </c>
      <c r="AW984" s="166">
        <v>0</v>
      </c>
      <c r="AX984" s="166">
        <v>0</v>
      </c>
      <c r="AY984" s="166">
        <v>0</v>
      </c>
      <c r="AZ984" s="166">
        <v>0</v>
      </c>
      <c r="BA984" s="166">
        <v>0</v>
      </c>
      <c r="BB984" s="166">
        <v>0</v>
      </c>
      <c r="BC984" s="166">
        <v>0</v>
      </c>
      <c r="BD984" s="166">
        <v>0</v>
      </c>
      <c r="BE984" s="166">
        <v>0</v>
      </c>
      <c r="BF984" s="166">
        <v>0</v>
      </c>
      <c r="BG984" s="166">
        <v>0</v>
      </c>
      <c r="BH984" s="166">
        <v>1</v>
      </c>
      <c r="BI984" s="166">
        <v>0</v>
      </c>
      <c r="BJ984" s="166">
        <v>0</v>
      </c>
      <c r="BK984" s="166">
        <v>0</v>
      </c>
      <c r="BL984" s="166">
        <v>0</v>
      </c>
      <c r="BM984" s="166">
        <v>0</v>
      </c>
      <c r="BN984" s="166">
        <v>0</v>
      </c>
      <c r="BO984" s="166">
        <v>0</v>
      </c>
      <c r="BP984" s="166">
        <v>0</v>
      </c>
      <c r="BQ984" s="81" t="s">
        <v>1758</v>
      </c>
      <c r="BZ984" s="81" t="s">
        <v>155</v>
      </c>
      <c r="CA984" s="81">
        <v>4</v>
      </c>
      <c r="CC984" s="167">
        <v>0</v>
      </c>
      <c r="CD984" s="167">
        <v>0</v>
      </c>
      <c r="CE984" s="167">
        <f>$N984/4</f>
        <v>0.25</v>
      </c>
      <c r="CF984" s="167">
        <f>$N984/4</f>
        <v>0.25</v>
      </c>
      <c r="CG984" s="167">
        <f>$N984/4</f>
        <v>0.25</v>
      </c>
      <c r="CH984" s="167">
        <f>$N984/4</f>
        <v>0.25</v>
      </c>
      <c r="CI984" s="167">
        <v>0</v>
      </c>
      <c r="CJ984" s="167">
        <v>0</v>
      </c>
      <c r="CK984" s="167">
        <v>0</v>
      </c>
      <c r="CL984" s="167">
        <v>0</v>
      </c>
      <c r="CM984" s="167">
        <v>0</v>
      </c>
      <c r="CN984" s="167">
        <v>0</v>
      </c>
      <c r="CO984" s="167">
        <v>0</v>
      </c>
      <c r="CP984" s="167">
        <v>0</v>
      </c>
      <c r="CQ984" s="167">
        <v>0</v>
      </c>
      <c r="CR984" s="167">
        <v>0</v>
      </c>
      <c r="CS984" s="167">
        <v>0</v>
      </c>
      <c r="CT984" s="167">
        <v>0</v>
      </c>
      <c r="CU984" s="167">
        <v>0</v>
      </c>
      <c r="CV984" s="167">
        <v>0</v>
      </c>
      <c r="CW984" s="167">
        <v>0</v>
      </c>
      <c r="CX984" s="167">
        <f>SUM(CD984:CH984)</f>
        <v>1</v>
      </c>
      <c r="CY984" s="167">
        <f>SUM(CD984:CM984)</f>
        <v>1</v>
      </c>
    </row>
    <row r="985" spans="1:103" ht="12.75" customHeight="1" x14ac:dyDescent="0.2">
      <c r="A985" s="81">
        <v>6305</v>
      </c>
      <c r="B985" s="165" t="s">
        <v>1930</v>
      </c>
      <c r="C985" s="165" t="s">
        <v>1286</v>
      </c>
      <c r="E985" s="165" t="s">
        <v>2720</v>
      </c>
      <c r="G985" s="81">
        <v>522122</v>
      </c>
      <c r="H985" s="81">
        <v>175335</v>
      </c>
      <c r="I985" s="165" t="s">
        <v>59</v>
      </c>
      <c r="L985" s="166">
        <v>0</v>
      </c>
      <c r="M985" s="166">
        <v>4</v>
      </c>
      <c r="N985" s="166">
        <v>4</v>
      </c>
      <c r="O985" s="166">
        <v>4</v>
      </c>
      <c r="P985" s="166">
        <v>4</v>
      </c>
      <c r="R985" s="165" t="s">
        <v>1287</v>
      </c>
      <c r="S985" s="81" t="s">
        <v>113</v>
      </c>
      <c r="T985" s="349">
        <v>42556</v>
      </c>
      <c r="U985" s="349">
        <v>42626</v>
      </c>
      <c r="W985" s="81" t="s">
        <v>114</v>
      </c>
      <c r="Y985" s="81" t="s">
        <v>115</v>
      </c>
      <c r="Z985" s="81" t="s">
        <v>398</v>
      </c>
      <c r="AA985" s="81" t="s">
        <v>117</v>
      </c>
      <c r="AB985" s="81" t="s">
        <v>120</v>
      </c>
      <c r="AC985" s="166">
        <v>4.39999997615814E-2</v>
      </c>
      <c r="AG985" s="81" t="s">
        <v>238</v>
      </c>
      <c r="AH985" s="81" t="s">
        <v>118</v>
      </c>
      <c r="AK985" s="166">
        <v>0</v>
      </c>
      <c r="AM985" s="166">
        <v>0</v>
      </c>
      <c r="AO985" s="166">
        <v>0</v>
      </c>
      <c r="AP985" s="166">
        <v>1</v>
      </c>
      <c r="AQ985" s="166">
        <v>1</v>
      </c>
      <c r="AR985" s="166">
        <v>2</v>
      </c>
      <c r="AS985" s="166">
        <v>0</v>
      </c>
      <c r="AT985" s="166">
        <v>0</v>
      </c>
      <c r="AU985" s="166">
        <v>0</v>
      </c>
      <c r="AV985" s="166">
        <v>0</v>
      </c>
      <c r="AW985" s="166">
        <v>1</v>
      </c>
      <c r="AX985" s="166">
        <v>1</v>
      </c>
      <c r="AY985" s="166">
        <v>2</v>
      </c>
      <c r="AZ985" s="166">
        <v>0</v>
      </c>
      <c r="BA985" s="166">
        <v>0</v>
      </c>
      <c r="BB985" s="166">
        <v>0</v>
      </c>
      <c r="BC985" s="166">
        <v>0</v>
      </c>
      <c r="BD985" s="166">
        <v>0</v>
      </c>
      <c r="BE985" s="166">
        <v>0</v>
      </c>
      <c r="BF985" s="166">
        <v>0</v>
      </c>
      <c r="BG985" s="166">
        <v>0</v>
      </c>
      <c r="BH985" s="166">
        <v>0</v>
      </c>
      <c r="BI985" s="166">
        <v>0</v>
      </c>
      <c r="BJ985" s="166">
        <v>0</v>
      </c>
      <c r="BK985" s="166">
        <v>0</v>
      </c>
      <c r="BL985" s="166">
        <v>0</v>
      </c>
      <c r="BM985" s="166">
        <v>0</v>
      </c>
      <c r="BN985" s="166">
        <v>0</v>
      </c>
      <c r="BO985" s="166">
        <v>0</v>
      </c>
      <c r="BP985" s="166">
        <v>0</v>
      </c>
      <c r="BQ985" s="81" t="s">
        <v>1758</v>
      </c>
      <c r="BZ985" s="81" t="s">
        <v>155</v>
      </c>
      <c r="CA985" s="81" t="s">
        <v>1937</v>
      </c>
      <c r="CC985" s="167">
        <v>0</v>
      </c>
      <c r="CD985" s="167">
        <f>$N985/4</f>
        <v>1</v>
      </c>
      <c r="CE985" s="167">
        <f>$N985/4</f>
        <v>1</v>
      </c>
      <c r="CF985" s="167">
        <f>$N985/4</f>
        <v>1</v>
      </c>
      <c r="CG985" s="167">
        <f>$N985/4</f>
        <v>1</v>
      </c>
      <c r="CH985" s="167">
        <v>0</v>
      </c>
      <c r="CI985" s="167">
        <v>0</v>
      </c>
      <c r="CJ985" s="167">
        <v>0</v>
      </c>
      <c r="CK985" s="167">
        <v>0</v>
      </c>
      <c r="CL985" s="167">
        <v>0</v>
      </c>
      <c r="CM985" s="167">
        <v>0</v>
      </c>
      <c r="CN985" s="167">
        <v>0</v>
      </c>
      <c r="CO985" s="167">
        <v>0</v>
      </c>
      <c r="CP985" s="167">
        <v>0</v>
      </c>
      <c r="CQ985" s="167">
        <v>0</v>
      </c>
      <c r="CR985" s="167">
        <v>0</v>
      </c>
      <c r="CS985" s="167">
        <v>0</v>
      </c>
      <c r="CT985" s="167">
        <v>0</v>
      </c>
      <c r="CU985" s="167">
        <v>0</v>
      </c>
      <c r="CV985" s="167">
        <v>0</v>
      </c>
      <c r="CW985" s="167">
        <v>0</v>
      </c>
      <c r="CX985" s="167">
        <f>SUM(CD985:CH985)</f>
        <v>4</v>
      </c>
      <c r="CY985" s="167">
        <f>SUM(CD985:CM985)</f>
        <v>4</v>
      </c>
    </row>
    <row r="986" spans="1:103" ht="12.75" customHeight="1" x14ac:dyDescent="0.2">
      <c r="A986" s="81">
        <v>6315</v>
      </c>
      <c r="B986" s="165" t="s">
        <v>1930</v>
      </c>
      <c r="C986" s="165" t="s">
        <v>1322</v>
      </c>
      <c r="E986" s="165" t="s">
        <v>2721</v>
      </c>
      <c r="G986" s="81">
        <v>527754</v>
      </c>
      <c r="H986" s="81">
        <v>172112</v>
      </c>
      <c r="I986" s="165" t="s">
        <v>242</v>
      </c>
      <c r="L986" s="166">
        <v>0</v>
      </c>
      <c r="M986" s="166">
        <v>1</v>
      </c>
      <c r="N986" s="166">
        <v>1</v>
      </c>
      <c r="O986" s="166">
        <v>1</v>
      </c>
      <c r="P986" s="166">
        <v>1</v>
      </c>
      <c r="R986" s="165" t="s">
        <v>1323</v>
      </c>
      <c r="S986" s="81" t="s">
        <v>113</v>
      </c>
      <c r="T986" s="349">
        <v>42566</v>
      </c>
      <c r="U986" s="349">
        <v>42719</v>
      </c>
      <c r="W986" s="81" t="s">
        <v>114</v>
      </c>
      <c r="Y986" s="81" t="s">
        <v>115</v>
      </c>
      <c r="Z986" s="81" t="s">
        <v>116</v>
      </c>
      <c r="AA986" s="81" t="s">
        <v>117</v>
      </c>
      <c r="AB986" s="81" t="s">
        <v>218</v>
      </c>
      <c r="AC986" s="166">
        <v>8.0000003799796104E-3</v>
      </c>
      <c r="AG986" s="81" t="s">
        <v>238</v>
      </c>
      <c r="AH986" s="81" t="s">
        <v>118</v>
      </c>
      <c r="AK986" s="166">
        <v>0</v>
      </c>
      <c r="AM986" s="166">
        <v>0</v>
      </c>
      <c r="AO986" s="166">
        <v>0</v>
      </c>
      <c r="AP986" s="166">
        <v>0</v>
      </c>
      <c r="AQ986" s="166">
        <v>1</v>
      </c>
      <c r="AR986" s="166">
        <v>0</v>
      </c>
      <c r="AS986" s="166">
        <v>0</v>
      </c>
      <c r="AT986" s="166">
        <v>0</v>
      </c>
      <c r="AU986" s="166">
        <v>0</v>
      </c>
      <c r="AV986" s="166">
        <v>0</v>
      </c>
      <c r="AW986" s="166">
        <v>0</v>
      </c>
      <c r="AX986" s="166">
        <v>1</v>
      </c>
      <c r="AY986" s="166">
        <v>0</v>
      </c>
      <c r="AZ986" s="166">
        <v>0</v>
      </c>
      <c r="BA986" s="166">
        <v>0</v>
      </c>
      <c r="BB986" s="166">
        <v>0</v>
      </c>
      <c r="BC986" s="166">
        <v>0</v>
      </c>
      <c r="BD986" s="166">
        <v>0</v>
      </c>
      <c r="BE986" s="166">
        <v>0</v>
      </c>
      <c r="BF986" s="166">
        <v>0</v>
      </c>
      <c r="BG986" s="166">
        <v>0</v>
      </c>
      <c r="BH986" s="166">
        <v>0</v>
      </c>
      <c r="BI986" s="166">
        <v>0</v>
      </c>
      <c r="BJ986" s="166">
        <v>0</v>
      </c>
      <c r="BK986" s="166">
        <v>0</v>
      </c>
      <c r="BL986" s="166">
        <v>0</v>
      </c>
      <c r="BM986" s="166">
        <v>0</v>
      </c>
      <c r="BN986" s="166">
        <v>0</v>
      </c>
      <c r="BO986" s="166">
        <v>0</v>
      </c>
      <c r="BP986" s="166">
        <v>0</v>
      </c>
      <c r="BQ986" s="81" t="s">
        <v>1757</v>
      </c>
      <c r="BZ986" s="81" t="s">
        <v>155</v>
      </c>
      <c r="CA986" s="81">
        <v>4</v>
      </c>
      <c r="CC986" s="167">
        <v>0</v>
      </c>
      <c r="CD986" s="167">
        <v>0</v>
      </c>
      <c r="CE986" s="167">
        <f>$N986/4</f>
        <v>0.25</v>
      </c>
      <c r="CF986" s="167">
        <f>$N986/4</f>
        <v>0.25</v>
      </c>
      <c r="CG986" s="167">
        <f>$N986/4</f>
        <v>0.25</v>
      </c>
      <c r="CH986" s="167">
        <f>$N986/4</f>
        <v>0.25</v>
      </c>
      <c r="CI986" s="167">
        <v>0</v>
      </c>
      <c r="CJ986" s="167">
        <v>0</v>
      </c>
      <c r="CK986" s="167">
        <v>0</v>
      </c>
      <c r="CL986" s="167">
        <v>0</v>
      </c>
      <c r="CM986" s="167">
        <v>0</v>
      </c>
      <c r="CN986" s="167">
        <v>0</v>
      </c>
      <c r="CO986" s="167">
        <v>0</v>
      </c>
      <c r="CP986" s="167">
        <v>0</v>
      </c>
      <c r="CQ986" s="167">
        <v>0</v>
      </c>
      <c r="CR986" s="167">
        <v>0</v>
      </c>
      <c r="CS986" s="167">
        <v>0</v>
      </c>
      <c r="CT986" s="167">
        <v>0</v>
      </c>
      <c r="CU986" s="167">
        <v>0</v>
      </c>
      <c r="CV986" s="167">
        <v>0</v>
      </c>
      <c r="CW986" s="167">
        <v>0</v>
      </c>
      <c r="CX986" s="167">
        <f>SUM(CD986:CH986)</f>
        <v>1</v>
      </c>
      <c r="CY986" s="167">
        <f>SUM(CD986:CM986)</f>
        <v>1</v>
      </c>
    </row>
    <row r="987" spans="1:103" ht="12.75" customHeight="1" x14ac:dyDescent="0.2">
      <c r="A987" s="81">
        <v>6317</v>
      </c>
      <c r="B987" s="165" t="s">
        <v>1930</v>
      </c>
      <c r="C987" s="165" t="s">
        <v>1473</v>
      </c>
      <c r="E987" s="165" t="s">
        <v>2722</v>
      </c>
      <c r="G987" s="81">
        <v>522879</v>
      </c>
      <c r="H987" s="81">
        <v>174549</v>
      </c>
      <c r="I987" s="165" t="s">
        <v>59</v>
      </c>
      <c r="L987" s="166">
        <v>0</v>
      </c>
      <c r="M987" s="166">
        <v>1</v>
      </c>
      <c r="N987" s="166">
        <v>1</v>
      </c>
      <c r="O987" s="166">
        <v>1</v>
      </c>
      <c r="P987" s="166">
        <v>1</v>
      </c>
      <c r="R987" s="165" t="s">
        <v>1474</v>
      </c>
      <c r="S987" s="81" t="s">
        <v>113</v>
      </c>
      <c r="T987" s="349">
        <v>42681</v>
      </c>
      <c r="U987" s="349">
        <v>42790</v>
      </c>
      <c r="W987" s="81" t="s">
        <v>114</v>
      </c>
      <c r="Y987" s="81" t="s">
        <v>115</v>
      </c>
      <c r="Z987" s="81" t="s">
        <v>116</v>
      </c>
      <c r="AA987" s="81" t="s">
        <v>117</v>
      </c>
      <c r="AB987" s="81" t="s">
        <v>218</v>
      </c>
      <c r="AC987" s="166">
        <v>5.6000001728534698E-2</v>
      </c>
      <c r="AG987" s="81" t="s">
        <v>238</v>
      </c>
      <c r="AH987" s="81" t="s">
        <v>118</v>
      </c>
      <c r="AK987" s="166">
        <v>0</v>
      </c>
      <c r="AM987" s="166">
        <v>0</v>
      </c>
      <c r="AO987" s="166">
        <v>0</v>
      </c>
      <c r="AP987" s="166">
        <v>0</v>
      </c>
      <c r="AQ987" s="166">
        <v>0</v>
      </c>
      <c r="AR987" s="166">
        <v>0</v>
      </c>
      <c r="AS987" s="166">
        <v>0</v>
      </c>
      <c r="AT987" s="166">
        <v>1</v>
      </c>
      <c r="AU987" s="166">
        <v>0</v>
      </c>
      <c r="AV987" s="166">
        <v>0</v>
      </c>
      <c r="AW987" s="166">
        <v>0</v>
      </c>
      <c r="AX987" s="166">
        <v>0</v>
      </c>
      <c r="AY987" s="166">
        <v>0</v>
      </c>
      <c r="AZ987" s="166">
        <v>0</v>
      </c>
      <c r="BA987" s="166">
        <v>0</v>
      </c>
      <c r="BB987" s="166">
        <v>0</v>
      </c>
      <c r="BC987" s="166">
        <v>0</v>
      </c>
      <c r="BD987" s="166">
        <v>0</v>
      </c>
      <c r="BE987" s="166">
        <v>0</v>
      </c>
      <c r="BF987" s="166">
        <v>0</v>
      </c>
      <c r="BG987" s="166">
        <v>0</v>
      </c>
      <c r="BH987" s="166">
        <v>1</v>
      </c>
      <c r="BI987" s="166">
        <v>0</v>
      </c>
      <c r="BJ987" s="166">
        <v>0</v>
      </c>
      <c r="BK987" s="166">
        <v>0</v>
      </c>
      <c r="BL987" s="166">
        <v>0</v>
      </c>
      <c r="BM987" s="166">
        <v>0</v>
      </c>
      <c r="BN987" s="166">
        <v>0</v>
      </c>
      <c r="BO987" s="166">
        <v>0</v>
      </c>
      <c r="BP987" s="166">
        <v>0</v>
      </c>
      <c r="BQ987" s="81" t="s">
        <v>1758</v>
      </c>
      <c r="BZ987" s="81" t="s">
        <v>155</v>
      </c>
      <c r="CA987" s="81">
        <v>4</v>
      </c>
      <c r="CC987" s="167">
        <v>0</v>
      </c>
      <c r="CD987" s="167">
        <v>0</v>
      </c>
      <c r="CE987" s="167">
        <f>$N987/4</f>
        <v>0.25</v>
      </c>
      <c r="CF987" s="167">
        <f>$N987/4</f>
        <v>0.25</v>
      </c>
      <c r="CG987" s="167">
        <f>$N987/4</f>
        <v>0.25</v>
      </c>
      <c r="CH987" s="167">
        <f>$N987/4</f>
        <v>0.25</v>
      </c>
      <c r="CI987" s="167">
        <v>0</v>
      </c>
      <c r="CJ987" s="167">
        <v>0</v>
      </c>
      <c r="CK987" s="167">
        <v>0</v>
      </c>
      <c r="CL987" s="167">
        <v>0</v>
      </c>
      <c r="CM987" s="167">
        <v>0</v>
      </c>
      <c r="CN987" s="167">
        <v>0</v>
      </c>
      <c r="CO987" s="167">
        <v>0</v>
      </c>
      <c r="CP987" s="167">
        <v>0</v>
      </c>
      <c r="CQ987" s="167">
        <v>0</v>
      </c>
      <c r="CR987" s="167">
        <v>0</v>
      </c>
      <c r="CS987" s="167">
        <v>0</v>
      </c>
      <c r="CT987" s="167">
        <v>0</v>
      </c>
      <c r="CU987" s="167">
        <v>0</v>
      </c>
      <c r="CV987" s="167">
        <v>0</v>
      </c>
      <c r="CW987" s="167">
        <v>0</v>
      </c>
      <c r="CX987" s="167">
        <f>SUM(CD987:CH987)</f>
        <v>1</v>
      </c>
      <c r="CY987" s="167">
        <f>SUM(CD987:CM987)</f>
        <v>1</v>
      </c>
    </row>
    <row r="988" spans="1:103" ht="12.75" customHeight="1" x14ac:dyDescent="0.2">
      <c r="A988" s="81">
        <v>6318</v>
      </c>
      <c r="B988" s="165" t="s">
        <v>1930</v>
      </c>
      <c r="C988" s="165" t="s">
        <v>2723</v>
      </c>
      <c r="E988" s="165" t="s">
        <v>2724</v>
      </c>
      <c r="G988" s="81">
        <v>528567</v>
      </c>
      <c r="H988" s="81">
        <v>173770</v>
      </c>
      <c r="I988" s="165" t="s">
        <v>247</v>
      </c>
      <c r="L988" s="166">
        <v>1</v>
      </c>
      <c r="M988" s="166">
        <v>5</v>
      </c>
      <c r="N988" s="166">
        <v>4</v>
      </c>
      <c r="O988" s="166">
        <v>5</v>
      </c>
      <c r="P988" s="166">
        <v>4</v>
      </c>
      <c r="R988" s="165" t="s">
        <v>2725</v>
      </c>
      <c r="S988" s="81" t="s">
        <v>113</v>
      </c>
      <c r="T988" s="349">
        <v>42891</v>
      </c>
      <c r="U988" s="349">
        <v>43032</v>
      </c>
      <c r="V988" s="81" t="s">
        <v>155</v>
      </c>
      <c r="W988" s="81" t="s">
        <v>114</v>
      </c>
      <c r="Y988" s="81" t="s">
        <v>115</v>
      </c>
      <c r="Z988" s="81" t="s">
        <v>116</v>
      </c>
      <c r="AA988" s="81" t="s">
        <v>117</v>
      </c>
      <c r="AB988" s="81" t="s">
        <v>218</v>
      </c>
      <c r="AC988" s="166">
        <v>9.9999997764825804E-3</v>
      </c>
      <c r="AG988" s="81" t="s">
        <v>238</v>
      </c>
      <c r="AH988" s="81" t="s">
        <v>118</v>
      </c>
      <c r="AK988" s="166">
        <v>0</v>
      </c>
      <c r="AM988" s="166">
        <v>0</v>
      </c>
      <c r="AO988" s="166">
        <v>1</v>
      </c>
      <c r="AP988" s="166">
        <v>2</v>
      </c>
      <c r="AQ988" s="166">
        <v>1</v>
      </c>
      <c r="AR988" s="166">
        <v>0</v>
      </c>
      <c r="AS988" s="166">
        <v>0</v>
      </c>
      <c r="AT988" s="166">
        <v>0</v>
      </c>
      <c r="AU988" s="166">
        <v>0</v>
      </c>
      <c r="AV988" s="166">
        <v>1</v>
      </c>
      <c r="AW988" s="166">
        <v>1</v>
      </c>
      <c r="AX988" s="166">
        <v>2</v>
      </c>
      <c r="AY988" s="166">
        <v>0</v>
      </c>
      <c r="AZ988" s="166">
        <v>0</v>
      </c>
      <c r="BA988" s="166">
        <v>0</v>
      </c>
      <c r="BB988" s="166">
        <v>0</v>
      </c>
      <c r="BC988" s="166">
        <v>0</v>
      </c>
      <c r="BD988" s="166">
        <v>1</v>
      </c>
      <c r="BE988" s="166">
        <v>-1</v>
      </c>
      <c r="BF988" s="166">
        <v>0</v>
      </c>
      <c r="BG988" s="166">
        <v>0</v>
      </c>
      <c r="BH988" s="166">
        <v>0</v>
      </c>
      <c r="BI988" s="166">
        <v>0</v>
      </c>
      <c r="BJ988" s="166">
        <v>0</v>
      </c>
      <c r="BK988" s="166">
        <v>0</v>
      </c>
      <c r="BL988" s="166">
        <v>0</v>
      </c>
      <c r="BM988" s="166">
        <v>0</v>
      </c>
      <c r="BN988" s="166">
        <v>0</v>
      </c>
      <c r="BO988" s="166">
        <v>0</v>
      </c>
      <c r="BP988" s="166">
        <v>0</v>
      </c>
      <c r="BQ988" s="81" t="s">
        <v>1757</v>
      </c>
      <c r="BZ988" s="81" t="s">
        <v>155</v>
      </c>
      <c r="CA988" s="81">
        <v>4</v>
      </c>
      <c r="CC988" s="167">
        <v>0</v>
      </c>
      <c r="CD988" s="167">
        <v>0</v>
      </c>
      <c r="CE988" s="167">
        <f>$N988/4</f>
        <v>1</v>
      </c>
      <c r="CF988" s="167">
        <f>$N988/4</f>
        <v>1</v>
      </c>
      <c r="CG988" s="167">
        <f>$N988/4</f>
        <v>1</v>
      </c>
      <c r="CH988" s="167">
        <f>$N988/4</f>
        <v>1</v>
      </c>
      <c r="CI988" s="167">
        <v>0</v>
      </c>
      <c r="CJ988" s="167">
        <v>0</v>
      </c>
      <c r="CK988" s="167">
        <v>0</v>
      </c>
      <c r="CL988" s="167">
        <v>0</v>
      </c>
      <c r="CM988" s="167">
        <v>0</v>
      </c>
      <c r="CN988" s="167">
        <v>0</v>
      </c>
      <c r="CO988" s="167">
        <v>0</v>
      </c>
      <c r="CP988" s="167">
        <v>0</v>
      </c>
      <c r="CQ988" s="167">
        <v>0</v>
      </c>
      <c r="CR988" s="167">
        <v>0</v>
      </c>
      <c r="CS988" s="167">
        <v>0</v>
      </c>
      <c r="CT988" s="167">
        <v>0</v>
      </c>
      <c r="CU988" s="167">
        <v>0</v>
      </c>
      <c r="CV988" s="167">
        <v>0</v>
      </c>
      <c r="CW988" s="167">
        <v>0</v>
      </c>
      <c r="CX988" s="167">
        <f>SUM(CD988:CH988)</f>
        <v>4</v>
      </c>
      <c r="CY988" s="167">
        <f>SUM(CD988:CM988)</f>
        <v>4</v>
      </c>
    </row>
    <row r="989" spans="1:103" ht="12.75" customHeight="1" x14ac:dyDescent="0.2">
      <c r="A989" s="81">
        <v>6321</v>
      </c>
      <c r="B989" s="165" t="s">
        <v>1930</v>
      </c>
      <c r="C989" s="165" t="s">
        <v>1418</v>
      </c>
      <c r="E989" s="165" t="s">
        <v>2726</v>
      </c>
      <c r="G989" s="81">
        <v>529156</v>
      </c>
      <c r="H989" s="81">
        <v>171226</v>
      </c>
      <c r="I989" s="165" t="s">
        <v>252</v>
      </c>
      <c r="L989" s="166">
        <v>1</v>
      </c>
      <c r="M989" s="166">
        <v>3</v>
      </c>
      <c r="N989" s="166">
        <v>2</v>
      </c>
      <c r="O989" s="166">
        <v>3</v>
      </c>
      <c r="P989" s="166">
        <v>2</v>
      </c>
      <c r="R989" s="165" t="s">
        <v>1419</v>
      </c>
      <c r="S989" s="81" t="s">
        <v>113</v>
      </c>
      <c r="T989" s="349">
        <v>42633</v>
      </c>
      <c r="U989" s="349">
        <v>42689</v>
      </c>
      <c r="W989" s="81" t="s">
        <v>114</v>
      </c>
      <c r="Y989" s="81" t="s">
        <v>115</v>
      </c>
      <c r="Z989" s="81" t="s">
        <v>398</v>
      </c>
      <c r="AA989" s="81" t="s">
        <v>117</v>
      </c>
      <c r="AB989" s="81" t="s">
        <v>120</v>
      </c>
      <c r="AC989" s="166">
        <v>1.60000007599592E-2</v>
      </c>
      <c r="AG989" s="81" t="s">
        <v>238</v>
      </c>
      <c r="AH989" s="81" t="s">
        <v>118</v>
      </c>
      <c r="AK989" s="166">
        <v>0</v>
      </c>
      <c r="AM989" s="166">
        <v>0</v>
      </c>
      <c r="AO989" s="166">
        <v>1</v>
      </c>
      <c r="AP989" s="166">
        <v>1</v>
      </c>
      <c r="AQ989" s="166">
        <v>0</v>
      </c>
      <c r="AR989" s="166">
        <v>1</v>
      </c>
      <c r="AS989" s="166">
        <v>0</v>
      </c>
      <c r="AT989" s="166">
        <v>-1</v>
      </c>
      <c r="AU989" s="166">
        <v>0</v>
      </c>
      <c r="AV989" s="166">
        <v>1</v>
      </c>
      <c r="AW989" s="166">
        <v>1</v>
      </c>
      <c r="AX989" s="166">
        <v>0</v>
      </c>
      <c r="AY989" s="166">
        <v>1</v>
      </c>
      <c r="AZ989" s="166">
        <v>0</v>
      </c>
      <c r="BA989" s="166">
        <v>0</v>
      </c>
      <c r="BB989" s="166">
        <v>0</v>
      </c>
      <c r="BC989" s="166">
        <v>0</v>
      </c>
      <c r="BD989" s="166">
        <v>0</v>
      </c>
      <c r="BE989" s="166">
        <v>0</v>
      </c>
      <c r="BF989" s="166">
        <v>0</v>
      </c>
      <c r="BG989" s="166">
        <v>0</v>
      </c>
      <c r="BH989" s="166">
        <v>-1</v>
      </c>
      <c r="BI989" s="166">
        <v>0</v>
      </c>
      <c r="BJ989" s="166">
        <v>0</v>
      </c>
      <c r="BK989" s="166">
        <v>0</v>
      </c>
      <c r="BL989" s="166">
        <v>0</v>
      </c>
      <c r="BM989" s="166">
        <v>0</v>
      </c>
      <c r="BN989" s="166">
        <v>0</v>
      </c>
      <c r="BO989" s="166">
        <v>0</v>
      </c>
      <c r="BP989" s="166">
        <v>0</v>
      </c>
      <c r="BQ989" s="81" t="s">
        <v>1757</v>
      </c>
      <c r="BZ989" s="81" t="s">
        <v>155</v>
      </c>
      <c r="CA989" s="81" t="s">
        <v>1937</v>
      </c>
      <c r="CC989" s="167">
        <v>0</v>
      </c>
      <c r="CD989" s="167">
        <f>$N989/4</f>
        <v>0.5</v>
      </c>
      <c r="CE989" s="167">
        <f>$N989/4</f>
        <v>0.5</v>
      </c>
      <c r="CF989" s="167">
        <f>$N989/4</f>
        <v>0.5</v>
      </c>
      <c r="CG989" s="167">
        <f>$N989/4</f>
        <v>0.5</v>
      </c>
      <c r="CH989" s="167">
        <v>0</v>
      </c>
      <c r="CI989" s="167">
        <v>0</v>
      </c>
      <c r="CJ989" s="167">
        <v>0</v>
      </c>
      <c r="CK989" s="167">
        <v>0</v>
      </c>
      <c r="CL989" s="167">
        <v>0</v>
      </c>
      <c r="CM989" s="167">
        <v>0</v>
      </c>
      <c r="CN989" s="167">
        <v>0</v>
      </c>
      <c r="CO989" s="167">
        <v>0</v>
      </c>
      <c r="CP989" s="167">
        <v>0</v>
      </c>
      <c r="CQ989" s="167">
        <v>0</v>
      </c>
      <c r="CR989" s="167">
        <v>0</v>
      </c>
      <c r="CS989" s="167">
        <v>0</v>
      </c>
      <c r="CT989" s="167">
        <v>0</v>
      </c>
      <c r="CU989" s="167">
        <v>0</v>
      </c>
      <c r="CV989" s="167">
        <v>0</v>
      </c>
      <c r="CW989" s="167">
        <v>0</v>
      </c>
      <c r="CX989" s="167">
        <f>SUM(CD989:CH989)</f>
        <v>2</v>
      </c>
      <c r="CY989" s="167">
        <f>SUM(CD989:CM989)</f>
        <v>2</v>
      </c>
    </row>
    <row r="990" spans="1:103" ht="12.75" customHeight="1" x14ac:dyDescent="0.2">
      <c r="A990" s="81">
        <v>6326</v>
      </c>
      <c r="B990" s="165" t="s">
        <v>1930</v>
      </c>
      <c r="C990" s="165" t="s">
        <v>1350</v>
      </c>
      <c r="E990" s="165" t="s">
        <v>2727</v>
      </c>
      <c r="G990" s="81">
        <v>522791</v>
      </c>
      <c r="H990" s="81">
        <v>175064</v>
      </c>
      <c r="I990" s="165" t="s">
        <v>59</v>
      </c>
      <c r="L990" s="166">
        <v>4</v>
      </c>
      <c r="M990" s="166">
        <v>4</v>
      </c>
      <c r="N990" s="166">
        <v>0</v>
      </c>
      <c r="O990" s="166">
        <v>4</v>
      </c>
      <c r="P990" s="166">
        <v>0</v>
      </c>
      <c r="R990" s="165" t="s">
        <v>1351</v>
      </c>
      <c r="S990" s="81" t="s">
        <v>113</v>
      </c>
      <c r="T990" s="349">
        <v>42564</v>
      </c>
      <c r="U990" s="349">
        <v>42689</v>
      </c>
      <c r="W990" s="81" t="s">
        <v>114</v>
      </c>
      <c r="Y990" s="81" t="s">
        <v>115</v>
      </c>
      <c r="Z990" s="81" t="s">
        <v>398</v>
      </c>
      <c r="AA990" s="81" t="s">
        <v>117</v>
      </c>
      <c r="AB990" s="81" t="s">
        <v>300</v>
      </c>
      <c r="AC990" s="166">
        <v>6.1000000685453401E-2</v>
      </c>
      <c r="AG990" s="81" t="s">
        <v>238</v>
      </c>
      <c r="AH990" s="81" t="s">
        <v>118</v>
      </c>
      <c r="AK990" s="166">
        <v>0</v>
      </c>
      <c r="AM990" s="166">
        <v>0</v>
      </c>
      <c r="AO990" s="166">
        <v>0</v>
      </c>
      <c r="AP990" s="166">
        <v>1</v>
      </c>
      <c r="AQ990" s="166">
        <v>-2</v>
      </c>
      <c r="AR990" s="166">
        <v>2</v>
      </c>
      <c r="AS990" s="166">
        <v>-1</v>
      </c>
      <c r="AT990" s="166">
        <v>0</v>
      </c>
      <c r="AU990" s="166">
        <v>0</v>
      </c>
      <c r="AV990" s="166">
        <v>0</v>
      </c>
      <c r="AW990" s="166">
        <v>1</v>
      </c>
      <c r="AX990" s="166">
        <v>-2</v>
      </c>
      <c r="AY990" s="166">
        <v>2</v>
      </c>
      <c r="AZ990" s="166">
        <v>-1</v>
      </c>
      <c r="BA990" s="166">
        <v>0</v>
      </c>
      <c r="BB990" s="166">
        <v>0</v>
      </c>
      <c r="BC990" s="166">
        <v>0</v>
      </c>
      <c r="BD990" s="166">
        <v>0</v>
      </c>
      <c r="BE990" s="166">
        <v>0</v>
      </c>
      <c r="BF990" s="166">
        <v>0</v>
      </c>
      <c r="BG990" s="166">
        <v>0</v>
      </c>
      <c r="BH990" s="166">
        <v>0</v>
      </c>
      <c r="BI990" s="166">
        <v>0</v>
      </c>
      <c r="BJ990" s="166">
        <v>0</v>
      </c>
      <c r="BK990" s="166">
        <v>0</v>
      </c>
      <c r="BL990" s="166">
        <v>0</v>
      </c>
      <c r="BM990" s="166">
        <v>0</v>
      </c>
      <c r="BN990" s="166">
        <v>0</v>
      </c>
      <c r="BO990" s="166">
        <v>0</v>
      </c>
      <c r="BP990" s="166">
        <v>0</v>
      </c>
      <c r="BQ990" s="81" t="s">
        <v>1758</v>
      </c>
      <c r="BZ990" s="81" t="s">
        <v>155</v>
      </c>
      <c r="CA990" s="81" t="s">
        <v>1937</v>
      </c>
      <c r="CC990" s="167">
        <v>0</v>
      </c>
      <c r="CD990" s="167">
        <f>$N990/4</f>
        <v>0</v>
      </c>
      <c r="CE990" s="167">
        <f>$N990/4</f>
        <v>0</v>
      </c>
      <c r="CF990" s="167">
        <f>$N990/4</f>
        <v>0</v>
      </c>
      <c r="CG990" s="167">
        <f>$N990/4</f>
        <v>0</v>
      </c>
      <c r="CH990" s="167">
        <v>0</v>
      </c>
      <c r="CI990" s="167">
        <v>0</v>
      </c>
      <c r="CJ990" s="167">
        <v>0</v>
      </c>
      <c r="CK990" s="167">
        <v>0</v>
      </c>
      <c r="CL990" s="167">
        <v>0</v>
      </c>
      <c r="CM990" s="167">
        <v>0</v>
      </c>
      <c r="CN990" s="167">
        <v>0</v>
      </c>
      <c r="CO990" s="167">
        <v>0</v>
      </c>
      <c r="CP990" s="167">
        <v>0</v>
      </c>
      <c r="CQ990" s="167">
        <v>0</v>
      </c>
      <c r="CR990" s="167">
        <v>0</v>
      </c>
      <c r="CS990" s="167">
        <v>0</v>
      </c>
      <c r="CT990" s="167">
        <v>0</v>
      </c>
      <c r="CU990" s="167">
        <v>0</v>
      </c>
      <c r="CV990" s="167">
        <v>0</v>
      </c>
      <c r="CW990" s="167">
        <v>0</v>
      </c>
      <c r="CX990" s="167">
        <f>SUM(CD990:CH990)</f>
        <v>0</v>
      </c>
      <c r="CY990" s="167">
        <f>SUM(CD990:CM990)</f>
        <v>0</v>
      </c>
    </row>
    <row r="991" spans="1:103" ht="12.75" customHeight="1" x14ac:dyDescent="0.2">
      <c r="A991" s="81">
        <v>6332</v>
      </c>
      <c r="B991" s="165" t="s">
        <v>1930</v>
      </c>
      <c r="C991" s="165" t="s">
        <v>1354</v>
      </c>
      <c r="E991" s="165" t="s">
        <v>2728</v>
      </c>
      <c r="G991" s="81">
        <v>524599</v>
      </c>
      <c r="H991" s="81">
        <v>175302</v>
      </c>
      <c r="I991" s="165" t="s">
        <v>259</v>
      </c>
      <c r="L991" s="166">
        <v>0</v>
      </c>
      <c r="M991" s="166">
        <v>6</v>
      </c>
      <c r="N991" s="166">
        <v>6</v>
      </c>
      <c r="O991" s="166">
        <v>6</v>
      </c>
      <c r="P991" s="166">
        <v>6</v>
      </c>
      <c r="R991" s="165" t="s">
        <v>1355</v>
      </c>
      <c r="S991" s="81" t="s">
        <v>270</v>
      </c>
      <c r="T991" s="349">
        <v>42573</v>
      </c>
      <c r="U991" s="349">
        <v>42629</v>
      </c>
      <c r="W991" s="81" t="s">
        <v>114</v>
      </c>
      <c r="Y991" s="81" t="s">
        <v>115</v>
      </c>
      <c r="Z991" s="81" t="s">
        <v>310</v>
      </c>
      <c r="AA991" s="81" t="s">
        <v>117</v>
      </c>
      <c r="AB991" s="81" t="s">
        <v>399</v>
      </c>
      <c r="AC991" s="166">
        <v>2.0999999716877899E-2</v>
      </c>
      <c r="AG991" s="81" t="s">
        <v>238</v>
      </c>
      <c r="AH991" s="81" t="s">
        <v>118</v>
      </c>
      <c r="AK991" s="166">
        <v>0</v>
      </c>
      <c r="AM991" s="166">
        <v>0</v>
      </c>
      <c r="AO991" s="166">
        <v>0</v>
      </c>
      <c r="AP991" s="166">
        <v>0</v>
      </c>
      <c r="AQ991" s="166">
        <v>6</v>
      </c>
      <c r="AR991" s="166">
        <v>0</v>
      </c>
      <c r="AS991" s="166">
        <v>0</v>
      </c>
      <c r="AT991" s="166">
        <v>0</v>
      </c>
      <c r="AU991" s="166">
        <v>0</v>
      </c>
      <c r="AV991" s="166">
        <v>0</v>
      </c>
      <c r="AW991" s="166">
        <v>0</v>
      </c>
      <c r="AX991" s="166">
        <v>6</v>
      </c>
      <c r="AY991" s="166">
        <v>0</v>
      </c>
      <c r="AZ991" s="166">
        <v>0</v>
      </c>
      <c r="BA991" s="166">
        <v>0</v>
      </c>
      <c r="BB991" s="166">
        <v>0</v>
      </c>
      <c r="BC991" s="166">
        <v>0</v>
      </c>
      <c r="BD991" s="166">
        <v>0</v>
      </c>
      <c r="BE991" s="166">
        <v>0</v>
      </c>
      <c r="BF991" s="166">
        <v>0</v>
      </c>
      <c r="BG991" s="166">
        <v>0</v>
      </c>
      <c r="BH991" s="166">
        <v>0</v>
      </c>
      <c r="BI991" s="166">
        <v>0</v>
      </c>
      <c r="BJ991" s="166">
        <v>0</v>
      </c>
      <c r="BK991" s="166">
        <v>0</v>
      </c>
      <c r="BL991" s="166">
        <v>0</v>
      </c>
      <c r="BM991" s="166">
        <v>0</v>
      </c>
      <c r="BN991" s="166">
        <v>0</v>
      </c>
      <c r="BO991" s="166">
        <v>0</v>
      </c>
      <c r="BP991" s="166">
        <v>0</v>
      </c>
      <c r="BQ991" s="81" t="s">
        <v>1758</v>
      </c>
      <c r="BX991" s="81" t="s">
        <v>155</v>
      </c>
      <c r="BZ991" s="81" t="s">
        <v>155</v>
      </c>
      <c r="CA991" s="81" t="s">
        <v>3972</v>
      </c>
      <c r="CC991" s="167">
        <v>0</v>
      </c>
      <c r="CD991" s="167">
        <f>$N991/4</f>
        <v>1.5</v>
      </c>
      <c r="CE991" s="167">
        <f>$N991/4</f>
        <v>1.5</v>
      </c>
      <c r="CF991" s="167">
        <f>$N991/4</f>
        <v>1.5</v>
      </c>
      <c r="CG991" s="167">
        <f>$N991/4</f>
        <v>1.5</v>
      </c>
      <c r="CH991" s="167">
        <v>0</v>
      </c>
      <c r="CI991" s="167">
        <v>0</v>
      </c>
      <c r="CJ991" s="167">
        <v>0</v>
      </c>
      <c r="CK991" s="167">
        <v>0</v>
      </c>
      <c r="CL991" s="167">
        <v>0</v>
      </c>
      <c r="CM991" s="167">
        <v>0</v>
      </c>
      <c r="CN991" s="167">
        <v>0</v>
      </c>
      <c r="CO991" s="167">
        <v>0</v>
      </c>
      <c r="CP991" s="167">
        <v>0</v>
      </c>
      <c r="CQ991" s="167">
        <v>0</v>
      </c>
      <c r="CR991" s="167">
        <v>0</v>
      </c>
      <c r="CS991" s="167">
        <v>0</v>
      </c>
      <c r="CT991" s="167">
        <v>0</v>
      </c>
      <c r="CU991" s="167">
        <v>0</v>
      </c>
      <c r="CV991" s="167">
        <v>0</v>
      </c>
      <c r="CW991" s="167">
        <v>0</v>
      </c>
      <c r="CX991" s="167">
        <f>SUM(CD991:CH991)</f>
        <v>6</v>
      </c>
      <c r="CY991" s="167">
        <f>SUM(CD991:CM991)</f>
        <v>6</v>
      </c>
    </row>
    <row r="992" spans="1:103" ht="12.75" customHeight="1" x14ac:dyDescent="0.2">
      <c r="A992" s="81">
        <v>6335</v>
      </c>
      <c r="B992" s="165" t="s">
        <v>1930</v>
      </c>
      <c r="C992" s="165" t="s">
        <v>1394</v>
      </c>
      <c r="D992" s="165" t="s">
        <v>2107</v>
      </c>
      <c r="E992" s="165" t="s">
        <v>2156</v>
      </c>
      <c r="G992" s="81">
        <v>527310</v>
      </c>
      <c r="H992" s="81">
        <v>177196</v>
      </c>
      <c r="I992" s="165" t="s">
        <v>257</v>
      </c>
      <c r="L992" s="166">
        <v>0</v>
      </c>
      <c r="M992" s="166">
        <v>1</v>
      </c>
      <c r="N992" s="166">
        <v>1</v>
      </c>
      <c r="O992" s="166">
        <v>1</v>
      </c>
      <c r="P992" s="166">
        <v>1</v>
      </c>
      <c r="R992" s="165" t="s">
        <v>1395</v>
      </c>
      <c r="S992" s="81" t="s">
        <v>110</v>
      </c>
      <c r="T992" s="349">
        <v>42606</v>
      </c>
      <c r="U992" s="349">
        <v>42661</v>
      </c>
      <c r="W992" s="81" t="s">
        <v>114</v>
      </c>
      <c r="Y992" s="81" t="s">
        <v>115</v>
      </c>
      <c r="Z992" s="81" t="s">
        <v>310</v>
      </c>
      <c r="AA992" s="81" t="s">
        <v>117</v>
      </c>
      <c r="AB992" s="81" t="s">
        <v>399</v>
      </c>
      <c r="AC992" s="166">
        <v>1.60000007599592E-2</v>
      </c>
      <c r="AG992" s="81" t="s">
        <v>238</v>
      </c>
      <c r="AH992" s="81" t="s">
        <v>118</v>
      </c>
      <c r="AI992" s="81" t="s">
        <v>1996</v>
      </c>
      <c r="AK992" s="166">
        <v>0</v>
      </c>
      <c r="AM992" s="166">
        <v>0</v>
      </c>
      <c r="AO992" s="166">
        <v>0</v>
      </c>
      <c r="AP992" s="166">
        <v>0</v>
      </c>
      <c r="AQ992" s="166">
        <v>0</v>
      </c>
      <c r="AR992" s="166">
        <v>0</v>
      </c>
      <c r="AS992" s="166">
        <v>1</v>
      </c>
      <c r="AT992" s="166">
        <v>0</v>
      </c>
      <c r="AU992" s="166">
        <v>0</v>
      </c>
      <c r="AV992" s="166">
        <v>0</v>
      </c>
      <c r="AW992" s="166">
        <v>0</v>
      </c>
      <c r="AX992" s="166">
        <v>0</v>
      </c>
      <c r="AY992" s="166">
        <v>0</v>
      </c>
      <c r="AZ992" s="166">
        <v>1</v>
      </c>
      <c r="BA992" s="166">
        <v>0</v>
      </c>
      <c r="BB992" s="166">
        <v>0</v>
      </c>
      <c r="BC992" s="166">
        <v>0</v>
      </c>
      <c r="BD992" s="166">
        <v>0</v>
      </c>
      <c r="BE992" s="166">
        <v>0</v>
      </c>
      <c r="BF992" s="166">
        <v>0</v>
      </c>
      <c r="BG992" s="166">
        <v>0</v>
      </c>
      <c r="BH992" s="166">
        <v>0</v>
      </c>
      <c r="BI992" s="166">
        <v>0</v>
      </c>
      <c r="BJ992" s="166">
        <v>0</v>
      </c>
      <c r="BK992" s="166">
        <v>0</v>
      </c>
      <c r="BL992" s="166">
        <v>0</v>
      </c>
      <c r="BM992" s="166">
        <v>0</v>
      </c>
      <c r="BN992" s="166">
        <v>0</v>
      </c>
      <c r="BO992" s="166">
        <v>0</v>
      </c>
      <c r="BP992" s="166">
        <v>0</v>
      </c>
      <c r="BQ992" s="81" t="s">
        <v>1757</v>
      </c>
      <c r="BX992" s="81" t="s">
        <v>155</v>
      </c>
      <c r="BZ992" s="81" t="s">
        <v>155</v>
      </c>
      <c r="CA992" s="81" t="s">
        <v>3972</v>
      </c>
      <c r="CC992" s="167">
        <v>0</v>
      </c>
      <c r="CD992" s="167">
        <f>$N992/4</f>
        <v>0.25</v>
      </c>
      <c r="CE992" s="167">
        <f>$N992/4</f>
        <v>0.25</v>
      </c>
      <c r="CF992" s="167">
        <f>$N992/4</f>
        <v>0.25</v>
      </c>
      <c r="CG992" s="167">
        <f>$N992/4</f>
        <v>0.25</v>
      </c>
      <c r="CH992" s="167">
        <v>0</v>
      </c>
      <c r="CI992" s="167">
        <v>0</v>
      </c>
      <c r="CJ992" s="167">
        <v>0</v>
      </c>
      <c r="CK992" s="167">
        <v>0</v>
      </c>
      <c r="CL992" s="167">
        <v>0</v>
      </c>
      <c r="CM992" s="167">
        <v>0</v>
      </c>
      <c r="CN992" s="167">
        <v>0</v>
      </c>
      <c r="CO992" s="167">
        <v>0</v>
      </c>
      <c r="CP992" s="167">
        <v>0</v>
      </c>
      <c r="CQ992" s="167">
        <v>0</v>
      </c>
      <c r="CR992" s="167">
        <v>0</v>
      </c>
      <c r="CS992" s="167">
        <v>0</v>
      </c>
      <c r="CT992" s="167">
        <v>0</v>
      </c>
      <c r="CU992" s="167">
        <v>0</v>
      </c>
      <c r="CV992" s="167">
        <v>0</v>
      </c>
      <c r="CW992" s="167">
        <v>0</v>
      </c>
      <c r="CX992" s="167">
        <f>SUM(CD992:CH992)</f>
        <v>1</v>
      </c>
      <c r="CY992" s="167">
        <f>SUM(CD992:CM992)</f>
        <v>1</v>
      </c>
    </row>
    <row r="993" spans="1:103" ht="12.75" customHeight="1" x14ac:dyDescent="0.2">
      <c r="A993" s="81">
        <v>6336</v>
      </c>
      <c r="B993" s="165" t="s">
        <v>1930</v>
      </c>
      <c r="C993" s="165" t="s">
        <v>1402</v>
      </c>
      <c r="E993" s="165" t="s">
        <v>2729</v>
      </c>
      <c r="G993" s="81">
        <v>527649</v>
      </c>
      <c r="H993" s="81">
        <v>176406</v>
      </c>
      <c r="I993" s="165" t="s">
        <v>241</v>
      </c>
      <c r="L993" s="166">
        <v>0</v>
      </c>
      <c r="M993" s="166">
        <v>1</v>
      </c>
      <c r="N993" s="166">
        <v>1</v>
      </c>
      <c r="O993" s="166">
        <v>1</v>
      </c>
      <c r="P993" s="166">
        <v>1</v>
      </c>
      <c r="R993" s="165" t="s">
        <v>1403</v>
      </c>
      <c r="S993" s="81" t="s">
        <v>270</v>
      </c>
      <c r="T993" s="349">
        <v>42627</v>
      </c>
      <c r="U993" s="349">
        <v>42682</v>
      </c>
      <c r="W993" s="81" t="s">
        <v>114</v>
      </c>
      <c r="Y993" s="81" t="s">
        <v>115</v>
      </c>
      <c r="Z993" s="81" t="s">
        <v>310</v>
      </c>
      <c r="AA993" s="81" t="s">
        <v>117</v>
      </c>
      <c r="AB993" s="81" t="s">
        <v>399</v>
      </c>
      <c r="AC993" s="166">
        <v>8.0000003799796104E-3</v>
      </c>
      <c r="AG993" s="81" t="s">
        <v>238</v>
      </c>
      <c r="AH993" s="81" t="s">
        <v>118</v>
      </c>
      <c r="AK993" s="166">
        <v>0</v>
      </c>
      <c r="AM993" s="166">
        <v>0</v>
      </c>
      <c r="AO993" s="166">
        <v>0</v>
      </c>
      <c r="AP993" s="166">
        <v>0</v>
      </c>
      <c r="AQ993" s="166">
        <v>1</v>
      </c>
      <c r="AR993" s="166">
        <v>0</v>
      </c>
      <c r="AS993" s="166">
        <v>0</v>
      </c>
      <c r="AT993" s="166">
        <v>0</v>
      </c>
      <c r="AU993" s="166">
        <v>0</v>
      </c>
      <c r="AV993" s="166">
        <v>0</v>
      </c>
      <c r="AW993" s="166">
        <v>0</v>
      </c>
      <c r="AX993" s="166">
        <v>1</v>
      </c>
      <c r="AY993" s="166">
        <v>0</v>
      </c>
      <c r="AZ993" s="166">
        <v>0</v>
      </c>
      <c r="BA993" s="166">
        <v>0</v>
      </c>
      <c r="BB993" s="166">
        <v>0</v>
      </c>
      <c r="BC993" s="166">
        <v>0</v>
      </c>
      <c r="BD993" s="166">
        <v>0</v>
      </c>
      <c r="BE993" s="166">
        <v>0</v>
      </c>
      <c r="BF993" s="166">
        <v>0</v>
      </c>
      <c r="BG993" s="166">
        <v>0</v>
      </c>
      <c r="BH993" s="166">
        <v>0</v>
      </c>
      <c r="BI993" s="166">
        <v>0</v>
      </c>
      <c r="BJ993" s="166">
        <v>0</v>
      </c>
      <c r="BK993" s="166">
        <v>0</v>
      </c>
      <c r="BL993" s="166">
        <v>0</v>
      </c>
      <c r="BM993" s="166">
        <v>0</v>
      </c>
      <c r="BN993" s="166">
        <v>0</v>
      </c>
      <c r="BO993" s="166">
        <v>0</v>
      </c>
      <c r="BP993" s="166">
        <v>0</v>
      </c>
      <c r="BQ993" s="81" t="s">
        <v>1757</v>
      </c>
      <c r="BZ993" s="81" t="s">
        <v>155</v>
      </c>
      <c r="CA993" s="81" t="s">
        <v>1937</v>
      </c>
      <c r="CC993" s="167">
        <v>0</v>
      </c>
      <c r="CD993" s="167">
        <f>$N993/4</f>
        <v>0.25</v>
      </c>
      <c r="CE993" s="167">
        <f>$N993/4</f>
        <v>0.25</v>
      </c>
      <c r="CF993" s="167">
        <f>$N993/4</f>
        <v>0.25</v>
      </c>
      <c r="CG993" s="167">
        <f>$N993/4</f>
        <v>0.25</v>
      </c>
      <c r="CH993" s="167">
        <v>0</v>
      </c>
      <c r="CI993" s="167">
        <v>0</v>
      </c>
      <c r="CJ993" s="167">
        <v>0</v>
      </c>
      <c r="CK993" s="167">
        <v>0</v>
      </c>
      <c r="CL993" s="167">
        <v>0</v>
      </c>
      <c r="CM993" s="167">
        <v>0</v>
      </c>
      <c r="CN993" s="167">
        <v>0</v>
      </c>
      <c r="CO993" s="167">
        <v>0</v>
      </c>
      <c r="CP993" s="167">
        <v>0</v>
      </c>
      <c r="CQ993" s="167">
        <v>0</v>
      </c>
      <c r="CR993" s="167">
        <v>0</v>
      </c>
      <c r="CS993" s="167">
        <v>0</v>
      </c>
      <c r="CT993" s="167">
        <v>0</v>
      </c>
      <c r="CU993" s="167">
        <v>0</v>
      </c>
      <c r="CV993" s="167">
        <v>0</v>
      </c>
      <c r="CW993" s="167">
        <v>0</v>
      </c>
      <c r="CX993" s="167">
        <f>SUM(CD993:CH993)</f>
        <v>1</v>
      </c>
      <c r="CY993" s="167">
        <f>SUM(CD993:CM993)</f>
        <v>1</v>
      </c>
    </row>
    <row r="994" spans="1:103" ht="12.75" customHeight="1" x14ac:dyDescent="0.2">
      <c r="A994" s="81">
        <v>6337</v>
      </c>
      <c r="B994" s="165" t="s">
        <v>1930</v>
      </c>
      <c r="C994" s="165" t="s">
        <v>1404</v>
      </c>
      <c r="E994" s="165" t="s">
        <v>2730</v>
      </c>
      <c r="G994" s="81">
        <v>527649</v>
      </c>
      <c r="H994" s="81">
        <v>176406</v>
      </c>
      <c r="I994" s="165" t="s">
        <v>241</v>
      </c>
      <c r="L994" s="166">
        <v>0</v>
      </c>
      <c r="M994" s="166">
        <v>1</v>
      </c>
      <c r="N994" s="166">
        <v>1</v>
      </c>
      <c r="O994" s="166">
        <v>1</v>
      </c>
      <c r="P994" s="166">
        <v>1</v>
      </c>
      <c r="R994" s="165" t="s">
        <v>1405</v>
      </c>
      <c r="S994" s="81" t="s">
        <v>270</v>
      </c>
      <c r="T994" s="349">
        <v>42627</v>
      </c>
      <c r="U994" s="349">
        <v>42683</v>
      </c>
      <c r="W994" s="81" t="s">
        <v>114</v>
      </c>
      <c r="Y994" s="81" t="s">
        <v>115</v>
      </c>
      <c r="Z994" s="81" t="s">
        <v>310</v>
      </c>
      <c r="AA994" s="81" t="s">
        <v>117</v>
      </c>
      <c r="AB994" s="81" t="s">
        <v>399</v>
      </c>
      <c r="AC994" s="166">
        <v>9.9999997764825804E-3</v>
      </c>
      <c r="AG994" s="81" t="s">
        <v>238</v>
      </c>
      <c r="AH994" s="81" t="s">
        <v>118</v>
      </c>
      <c r="AK994" s="166">
        <v>0</v>
      </c>
      <c r="AM994" s="166">
        <v>0</v>
      </c>
      <c r="AO994" s="166">
        <v>0</v>
      </c>
      <c r="AP994" s="166">
        <v>0</v>
      </c>
      <c r="AQ994" s="166">
        <v>0</v>
      </c>
      <c r="AR994" s="166">
        <v>1</v>
      </c>
      <c r="AS994" s="166">
        <v>0</v>
      </c>
      <c r="AT994" s="166">
        <v>0</v>
      </c>
      <c r="AU994" s="166">
        <v>0</v>
      </c>
      <c r="AV994" s="166">
        <v>0</v>
      </c>
      <c r="AW994" s="166">
        <v>0</v>
      </c>
      <c r="AX994" s="166">
        <v>0</v>
      </c>
      <c r="AY994" s="166">
        <v>1</v>
      </c>
      <c r="AZ994" s="166">
        <v>0</v>
      </c>
      <c r="BA994" s="166">
        <v>0</v>
      </c>
      <c r="BB994" s="166">
        <v>0</v>
      </c>
      <c r="BC994" s="166">
        <v>0</v>
      </c>
      <c r="BD994" s="166">
        <v>0</v>
      </c>
      <c r="BE994" s="166">
        <v>0</v>
      </c>
      <c r="BF994" s="166">
        <v>0</v>
      </c>
      <c r="BG994" s="166">
        <v>0</v>
      </c>
      <c r="BH994" s="166">
        <v>0</v>
      </c>
      <c r="BI994" s="166">
        <v>0</v>
      </c>
      <c r="BJ994" s="166">
        <v>0</v>
      </c>
      <c r="BK994" s="166">
        <v>0</v>
      </c>
      <c r="BL994" s="166">
        <v>0</v>
      </c>
      <c r="BM994" s="166">
        <v>0</v>
      </c>
      <c r="BN994" s="166">
        <v>0</v>
      </c>
      <c r="BO994" s="166">
        <v>0</v>
      </c>
      <c r="BP994" s="166">
        <v>0</v>
      </c>
      <c r="BQ994" s="81" t="s">
        <v>1757</v>
      </c>
      <c r="BZ994" s="81" t="s">
        <v>155</v>
      </c>
      <c r="CA994" s="81" t="s">
        <v>1937</v>
      </c>
      <c r="CC994" s="167">
        <v>0</v>
      </c>
      <c r="CD994" s="167">
        <f>$N994/4</f>
        <v>0.25</v>
      </c>
      <c r="CE994" s="167">
        <f>$N994/4</f>
        <v>0.25</v>
      </c>
      <c r="CF994" s="167">
        <f>$N994/4</f>
        <v>0.25</v>
      </c>
      <c r="CG994" s="167">
        <f>$N994/4</f>
        <v>0.25</v>
      </c>
      <c r="CH994" s="167">
        <v>0</v>
      </c>
      <c r="CI994" s="167">
        <v>0</v>
      </c>
      <c r="CJ994" s="167">
        <v>0</v>
      </c>
      <c r="CK994" s="167">
        <v>0</v>
      </c>
      <c r="CL994" s="167">
        <v>0</v>
      </c>
      <c r="CM994" s="167">
        <v>0</v>
      </c>
      <c r="CN994" s="167">
        <v>0</v>
      </c>
      <c r="CO994" s="167">
        <v>0</v>
      </c>
      <c r="CP994" s="167">
        <v>0</v>
      </c>
      <c r="CQ994" s="167">
        <v>0</v>
      </c>
      <c r="CR994" s="167">
        <v>0</v>
      </c>
      <c r="CS994" s="167">
        <v>0</v>
      </c>
      <c r="CT994" s="167">
        <v>0</v>
      </c>
      <c r="CU994" s="167">
        <v>0</v>
      </c>
      <c r="CV994" s="167">
        <v>0</v>
      </c>
      <c r="CW994" s="167">
        <v>0</v>
      </c>
      <c r="CX994" s="167">
        <f>SUM(CD994:CH994)</f>
        <v>1</v>
      </c>
      <c r="CY994" s="167">
        <f>SUM(CD994:CM994)</f>
        <v>1</v>
      </c>
    </row>
    <row r="995" spans="1:103" ht="12.75" customHeight="1" x14ac:dyDescent="0.2">
      <c r="A995" s="81">
        <v>6338</v>
      </c>
      <c r="B995" s="165" t="s">
        <v>1930</v>
      </c>
      <c r="C995" s="165" t="s">
        <v>1406</v>
      </c>
      <c r="E995" s="165" t="s">
        <v>2731</v>
      </c>
      <c r="G995" s="81">
        <v>527649</v>
      </c>
      <c r="H995" s="81">
        <v>176406</v>
      </c>
      <c r="I995" s="165" t="s">
        <v>241</v>
      </c>
      <c r="L995" s="166">
        <v>0</v>
      </c>
      <c r="M995" s="166">
        <v>1</v>
      </c>
      <c r="N995" s="166">
        <v>1</v>
      </c>
      <c r="O995" s="166">
        <v>1</v>
      </c>
      <c r="P995" s="166">
        <v>1</v>
      </c>
      <c r="R995" s="165" t="s">
        <v>1403</v>
      </c>
      <c r="S995" s="81" t="s">
        <v>270</v>
      </c>
      <c r="T995" s="349">
        <v>42627</v>
      </c>
      <c r="U995" s="349">
        <v>42683</v>
      </c>
      <c r="W995" s="81" t="s">
        <v>114</v>
      </c>
      <c r="Y995" s="81" t="s">
        <v>115</v>
      </c>
      <c r="Z995" s="81" t="s">
        <v>310</v>
      </c>
      <c r="AA995" s="81" t="s">
        <v>117</v>
      </c>
      <c r="AB995" s="81" t="s">
        <v>399</v>
      </c>
      <c r="AC995" s="166">
        <v>6.0000000521540598E-3</v>
      </c>
      <c r="AG995" s="81" t="s">
        <v>238</v>
      </c>
      <c r="AH995" s="81" t="s">
        <v>118</v>
      </c>
      <c r="AK995" s="166">
        <v>0</v>
      </c>
      <c r="AM995" s="166">
        <v>0</v>
      </c>
      <c r="AO995" s="166">
        <v>0</v>
      </c>
      <c r="AP995" s="166">
        <v>0</v>
      </c>
      <c r="AQ995" s="166">
        <v>1</v>
      </c>
      <c r="AR995" s="166">
        <v>0</v>
      </c>
      <c r="AS995" s="166">
        <v>0</v>
      </c>
      <c r="AT995" s="166">
        <v>0</v>
      </c>
      <c r="AU995" s="166">
        <v>0</v>
      </c>
      <c r="AV995" s="166">
        <v>0</v>
      </c>
      <c r="AW995" s="166">
        <v>0</v>
      </c>
      <c r="AX995" s="166">
        <v>1</v>
      </c>
      <c r="AY995" s="166">
        <v>0</v>
      </c>
      <c r="AZ995" s="166">
        <v>0</v>
      </c>
      <c r="BA995" s="166">
        <v>0</v>
      </c>
      <c r="BB995" s="166">
        <v>0</v>
      </c>
      <c r="BC995" s="166">
        <v>0</v>
      </c>
      <c r="BD995" s="166">
        <v>0</v>
      </c>
      <c r="BE995" s="166">
        <v>0</v>
      </c>
      <c r="BF995" s="166">
        <v>0</v>
      </c>
      <c r="BG995" s="166">
        <v>0</v>
      </c>
      <c r="BH995" s="166">
        <v>0</v>
      </c>
      <c r="BI995" s="166">
        <v>0</v>
      </c>
      <c r="BJ995" s="166">
        <v>0</v>
      </c>
      <c r="BK995" s="166">
        <v>0</v>
      </c>
      <c r="BL995" s="166">
        <v>0</v>
      </c>
      <c r="BM995" s="166">
        <v>0</v>
      </c>
      <c r="BN995" s="166">
        <v>0</v>
      </c>
      <c r="BO995" s="166">
        <v>0</v>
      </c>
      <c r="BP995" s="166">
        <v>0</v>
      </c>
      <c r="BQ995" s="81" t="s">
        <v>1757</v>
      </c>
      <c r="BZ995" s="81" t="s">
        <v>155</v>
      </c>
      <c r="CA995" s="81" t="s">
        <v>1937</v>
      </c>
      <c r="CC995" s="167">
        <v>0</v>
      </c>
      <c r="CD995" s="167">
        <f>$N995/4</f>
        <v>0.25</v>
      </c>
      <c r="CE995" s="167">
        <f>$N995/4</f>
        <v>0.25</v>
      </c>
      <c r="CF995" s="167">
        <f>$N995/4</f>
        <v>0.25</v>
      </c>
      <c r="CG995" s="167">
        <f>$N995/4</f>
        <v>0.25</v>
      </c>
      <c r="CH995" s="167">
        <v>0</v>
      </c>
      <c r="CI995" s="167">
        <v>0</v>
      </c>
      <c r="CJ995" s="167">
        <v>0</v>
      </c>
      <c r="CK995" s="167">
        <v>0</v>
      </c>
      <c r="CL995" s="167">
        <v>0</v>
      </c>
      <c r="CM995" s="167">
        <v>0</v>
      </c>
      <c r="CN995" s="167">
        <v>0</v>
      </c>
      <c r="CO995" s="167">
        <v>0</v>
      </c>
      <c r="CP995" s="167">
        <v>0</v>
      </c>
      <c r="CQ995" s="167">
        <v>0</v>
      </c>
      <c r="CR995" s="167">
        <v>0</v>
      </c>
      <c r="CS995" s="167">
        <v>0</v>
      </c>
      <c r="CT995" s="167">
        <v>0</v>
      </c>
      <c r="CU995" s="167">
        <v>0</v>
      </c>
      <c r="CV995" s="167">
        <v>0</v>
      </c>
      <c r="CW995" s="167">
        <v>0</v>
      </c>
      <c r="CX995" s="167">
        <f>SUM(CD995:CH995)</f>
        <v>1</v>
      </c>
      <c r="CY995" s="167">
        <f>SUM(CD995:CM995)</f>
        <v>1</v>
      </c>
    </row>
    <row r="996" spans="1:103" ht="12.75" customHeight="1" x14ac:dyDescent="0.2">
      <c r="A996" s="81">
        <v>6339</v>
      </c>
      <c r="B996" s="165" t="s">
        <v>1930</v>
      </c>
      <c r="C996" s="165" t="s">
        <v>1407</v>
      </c>
      <c r="E996" s="165" t="s">
        <v>2732</v>
      </c>
      <c r="G996" s="81">
        <v>527649</v>
      </c>
      <c r="H996" s="81">
        <v>176406</v>
      </c>
      <c r="I996" s="165" t="s">
        <v>241</v>
      </c>
      <c r="L996" s="166">
        <v>0</v>
      </c>
      <c r="M996" s="166">
        <v>1</v>
      </c>
      <c r="N996" s="166">
        <v>1</v>
      </c>
      <c r="O996" s="166">
        <v>1</v>
      </c>
      <c r="P996" s="166">
        <v>1</v>
      </c>
      <c r="R996" s="165" t="s">
        <v>1403</v>
      </c>
      <c r="S996" s="81" t="s">
        <v>270</v>
      </c>
      <c r="T996" s="349">
        <v>42627</v>
      </c>
      <c r="U996" s="349">
        <v>42683</v>
      </c>
      <c r="W996" s="81" t="s">
        <v>114</v>
      </c>
      <c r="Y996" s="81" t="s">
        <v>115</v>
      </c>
      <c r="Z996" s="81" t="s">
        <v>310</v>
      </c>
      <c r="AA996" s="81" t="s">
        <v>117</v>
      </c>
      <c r="AB996" s="81" t="s">
        <v>399</v>
      </c>
      <c r="AC996" s="166">
        <v>6.0000000521540598E-3</v>
      </c>
      <c r="AG996" s="81" t="s">
        <v>238</v>
      </c>
      <c r="AH996" s="81" t="s">
        <v>118</v>
      </c>
      <c r="AK996" s="166">
        <v>0</v>
      </c>
      <c r="AM996" s="166">
        <v>0</v>
      </c>
      <c r="AO996" s="166">
        <v>0</v>
      </c>
      <c r="AP996" s="166">
        <v>0</v>
      </c>
      <c r="AQ996" s="166">
        <v>1</v>
      </c>
      <c r="AR996" s="166">
        <v>0</v>
      </c>
      <c r="AS996" s="166">
        <v>0</v>
      </c>
      <c r="AT996" s="166">
        <v>0</v>
      </c>
      <c r="AU996" s="166">
        <v>0</v>
      </c>
      <c r="AV996" s="166">
        <v>0</v>
      </c>
      <c r="AW996" s="166">
        <v>0</v>
      </c>
      <c r="AX996" s="166">
        <v>1</v>
      </c>
      <c r="AY996" s="166">
        <v>0</v>
      </c>
      <c r="AZ996" s="166">
        <v>0</v>
      </c>
      <c r="BA996" s="166">
        <v>0</v>
      </c>
      <c r="BB996" s="166">
        <v>0</v>
      </c>
      <c r="BC996" s="166">
        <v>0</v>
      </c>
      <c r="BD996" s="166">
        <v>0</v>
      </c>
      <c r="BE996" s="166">
        <v>0</v>
      </c>
      <c r="BF996" s="166">
        <v>0</v>
      </c>
      <c r="BG996" s="166">
        <v>0</v>
      </c>
      <c r="BH996" s="166">
        <v>0</v>
      </c>
      <c r="BI996" s="166">
        <v>0</v>
      </c>
      <c r="BJ996" s="166">
        <v>0</v>
      </c>
      <c r="BK996" s="166">
        <v>0</v>
      </c>
      <c r="BL996" s="166">
        <v>0</v>
      </c>
      <c r="BM996" s="166">
        <v>0</v>
      </c>
      <c r="BN996" s="166">
        <v>0</v>
      </c>
      <c r="BO996" s="166">
        <v>0</v>
      </c>
      <c r="BP996" s="166">
        <v>0</v>
      </c>
      <c r="BQ996" s="81" t="s">
        <v>1757</v>
      </c>
      <c r="BZ996" s="81" t="s">
        <v>155</v>
      </c>
      <c r="CA996" s="81" t="s">
        <v>1937</v>
      </c>
      <c r="CC996" s="167">
        <v>0</v>
      </c>
      <c r="CD996" s="167">
        <f>$N996/4</f>
        <v>0.25</v>
      </c>
      <c r="CE996" s="167">
        <f>$N996/4</f>
        <v>0.25</v>
      </c>
      <c r="CF996" s="167">
        <f>$N996/4</f>
        <v>0.25</v>
      </c>
      <c r="CG996" s="167">
        <f>$N996/4</f>
        <v>0.25</v>
      </c>
      <c r="CH996" s="167">
        <v>0</v>
      </c>
      <c r="CI996" s="167">
        <v>0</v>
      </c>
      <c r="CJ996" s="167">
        <v>0</v>
      </c>
      <c r="CK996" s="167">
        <v>0</v>
      </c>
      <c r="CL996" s="167">
        <v>0</v>
      </c>
      <c r="CM996" s="167">
        <v>0</v>
      </c>
      <c r="CN996" s="167">
        <v>0</v>
      </c>
      <c r="CO996" s="167">
        <v>0</v>
      </c>
      <c r="CP996" s="167">
        <v>0</v>
      </c>
      <c r="CQ996" s="167">
        <v>0</v>
      </c>
      <c r="CR996" s="167">
        <v>0</v>
      </c>
      <c r="CS996" s="167">
        <v>0</v>
      </c>
      <c r="CT996" s="167">
        <v>0</v>
      </c>
      <c r="CU996" s="167">
        <v>0</v>
      </c>
      <c r="CV996" s="167">
        <v>0</v>
      </c>
      <c r="CW996" s="167">
        <v>0</v>
      </c>
      <c r="CX996" s="167">
        <f>SUM(CD996:CH996)</f>
        <v>1</v>
      </c>
      <c r="CY996" s="167">
        <f>SUM(CD996:CM996)</f>
        <v>1</v>
      </c>
    </row>
    <row r="997" spans="1:103" ht="12.75" customHeight="1" x14ac:dyDescent="0.2">
      <c r="A997" s="81">
        <v>6345</v>
      </c>
      <c r="B997" s="165" t="s">
        <v>1930</v>
      </c>
      <c r="C997" s="165" t="s">
        <v>1370</v>
      </c>
      <c r="E997" s="165" t="s">
        <v>2733</v>
      </c>
      <c r="G997" s="81">
        <v>523036</v>
      </c>
      <c r="H997" s="81">
        <v>175142</v>
      </c>
      <c r="I997" s="165" t="s">
        <v>59</v>
      </c>
      <c r="L997" s="166">
        <v>0</v>
      </c>
      <c r="M997" s="166">
        <v>2</v>
      </c>
      <c r="N997" s="166">
        <v>2</v>
      </c>
      <c r="O997" s="166">
        <v>2</v>
      </c>
      <c r="P997" s="166">
        <v>2</v>
      </c>
      <c r="R997" s="165" t="s">
        <v>1371</v>
      </c>
      <c r="S997" s="81" t="s">
        <v>113</v>
      </c>
      <c r="T997" s="349">
        <v>42599</v>
      </c>
      <c r="U997" s="349">
        <v>42655</v>
      </c>
      <c r="W997" s="81" t="s">
        <v>114</v>
      </c>
      <c r="Y997" s="81" t="s">
        <v>115</v>
      </c>
      <c r="Z997" s="81" t="s">
        <v>116</v>
      </c>
      <c r="AA997" s="81" t="s">
        <v>117</v>
      </c>
      <c r="AB997" s="81" t="s">
        <v>218</v>
      </c>
      <c r="AC997" s="166">
        <v>1.09999999403954E-2</v>
      </c>
      <c r="AG997" s="81" t="s">
        <v>154</v>
      </c>
      <c r="AH997" s="81" t="s">
        <v>312</v>
      </c>
      <c r="AK997" s="166">
        <v>0</v>
      </c>
      <c r="AM997" s="166">
        <v>0</v>
      </c>
      <c r="AO997" s="166">
        <v>0</v>
      </c>
      <c r="AP997" s="166">
        <v>2</v>
      </c>
      <c r="AQ997" s="166">
        <v>0</v>
      </c>
      <c r="AR997" s="166">
        <v>0</v>
      </c>
      <c r="AS997" s="166">
        <v>0</v>
      </c>
      <c r="AT997" s="166">
        <v>0</v>
      </c>
      <c r="AU997" s="166">
        <v>0</v>
      </c>
      <c r="AV997" s="166">
        <v>0</v>
      </c>
      <c r="AW997" s="166">
        <v>2</v>
      </c>
      <c r="AX997" s="166">
        <v>0</v>
      </c>
      <c r="AY997" s="166">
        <v>0</v>
      </c>
      <c r="AZ997" s="166">
        <v>0</v>
      </c>
      <c r="BA997" s="166">
        <v>0</v>
      </c>
      <c r="BB997" s="166">
        <v>0</v>
      </c>
      <c r="BC997" s="166">
        <v>0</v>
      </c>
      <c r="BD997" s="166">
        <v>0</v>
      </c>
      <c r="BE997" s="166">
        <v>0</v>
      </c>
      <c r="BF997" s="166">
        <v>0</v>
      </c>
      <c r="BG997" s="166">
        <v>0</v>
      </c>
      <c r="BH997" s="166">
        <v>0</v>
      </c>
      <c r="BI997" s="166">
        <v>0</v>
      </c>
      <c r="BJ997" s="166">
        <v>0</v>
      </c>
      <c r="BK997" s="166">
        <v>0</v>
      </c>
      <c r="BL997" s="166">
        <v>0</v>
      </c>
      <c r="BM997" s="166">
        <v>0</v>
      </c>
      <c r="BN997" s="166">
        <v>0</v>
      </c>
      <c r="BO997" s="166">
        <v>0</v>
      </c>
      <c r="BP997" s="166">
        <v>0</v>
      </c>
      <c r="BQ997" s="81" t="s">
        <v>1758</v>
      </c>
      <c r="BZ997" s="81" t="s">
        <v>155</v>
      </c>
      <c r="CA997" s="81">
        <v>4</v>
      </c>
      <c r="CC997" s="167">
        <v>0</v>
      </c>
      <c r="CD997" s="167">
        <v>0</v>
      </c>
      <c r="CE997" s="167">
        <f>$N997/4</f>
        <v>0.5</v>
      </c>
      <c r="CF997" s="167">
        <f>$N997/4</f>
        <v>0.5</v>
      </c>
      <c r="CG997" s="167">
        <f>$N997/4</f>
        <v>0.5</v>
      </c>
      <c r="CH997" s="167">
        <f>$N997/4</f>
        <v>0.5</v>
      </c>
      <c r="CI997" s="167">
        <v>0</v>
      </c>
      <c r="CJ997" s="167">
        <v>0</v>
      </c>
      <c r="CK997" s="167">
        <v>0</v>
      </c>
      <c r="CL997" s="167">
        <v>0</v>
      </c>
      <c r="CM997" s="167">
        <v>0</v>
      </c>
      <c r="CN997" s="167">
        <v>0</v>
      </c>
      <c r="CO997" s="167">
        <v>0</v>
      </c>
      <c r="CP997" s="167">
        <v>0</v>
      </c>
      <c r="CQ997" s="167">
        <v>0</v>
      </c>
      <c r="CR997" s="167">
        <v>0</v>
      </c>
      <c r="CS997" s="167">
        <v>0</v>
      </c>
      <c r="CT997" s="167">
        <v>0</v>
      </c>
      <c r="CU997" s="167">
        <v>0</v>
      </c>
      <c r="CV997" s="167">
        <v>0</v>
      </c>
      <c r="CW997" s="167">
        <v>0</v>
      </c>
      <c r="CX997" s="167">
        <f>SUM(CD997:CH997)</f>
        <v>2</v>
      </c>
      <c r="CY997" s="167">
        <f>SUM(CD997:CM997)</f>
        <v>2</v>
      </c>
    </row>
    <row r="998" spans="1:103" ht="12.75" customHeight="1" x14ac:dyDescent="0.2">
      <c r="A998" s="81">
        <v>6348</v>
      </c>
      <c r="B998" s="165" t="s">
        <v>1930</v>
      </c>
      <c r="C998" s="165" t="s">
        <v>1471</v>
      </c>
      <c r="E998" s="165" t="s">
        <v>2734</v>
      </c>
      <c r="G998" s="81">
        <v>525098</v>
      </c>
      <c r="H998" s="81">
        <v>174608</v>
      </c>
      <c r="I998" s="165" t="s">
        <v>250</v>
      </c>
      <c r="L998" s="166">
        <v>0</v>
      </c>
      <c r="M998" s="166">
        <v>5</v>
      </c>
      <c r="N998" s="166">
        <v>5</v>
      </c>
      <c r="O998" s="166">
        <v>5</v>
      </c>
      <c r="P998" s="166">
        <v>5</v>
      </c>
      <c r="R998" s="165" t="s">
        <v>1472</v>
      </c>
      <c r="S998" s="81" t="s">
        <v>113</v>
      </c>
      <c r="T998" s="349">
        <v>42710</v>
      </c>
      <c r="U998" s="349">
        <v>42766</v>
      </c>
      <c r="W998" s="81" t="s">
        <v>114</v>
      </c>
      <c r="Y998" s="81" t="s">
        <v>115</v>
      </c>
      <c r="Z998" s="81" t="s">
        <v>398</v>
      </c>
      <c r="AA998" s="81" t="s">
        <v>117</v>
      </c>
      <c r="AB998" s="81" t="s">
        <v>102</v>
      </c>
      <c r="AC998" s="166">
        <v>3.5000000149011598E-2</v>
      </c>
      <c r="AG998" s="81" t="s">
        <v>238</v>
      </c>
      <c r="AH998" s="81" t="s">
        <v>118</v>
      </c>
      <c r="AK998" s="166">
        <v>0</v>
      </c>
      <c r="AM998" s="166">
        <v>0</v>
      </c>
      <c r="AO998" s="166">
        <v>0</v>
      </c>
      <c r="AP998" s="166">
        <v>1</v>
      </c>
      <c r="AQ998" s="166">
        <v>4</v>
      </c>
      <c r="AR998" s="166">
        <v>0</v>
      </c>
      <c r="AS998" s="166">
        <v>0</v>
      </c>
      <c r="AT998" s="166">
        <v>0</v>
      </c>
      <c r="AU998" s="166">
        <v>0</v>
      </c>
      <c r="AV998" s="166">
        <v>0</v>
      </c>
      <c r="AW998" s="166">
        <v>1</v>
      </c>
      <c r="AX998" s="166">
        <v>4</v>
      </c>
      <c r="AY998" s="166">
        <v>0</v>
      </c>
      <c r="AZ998" s="166">
        <v>0</v>
      </c>
      <c r="BA998" s="166">
        <v>0</v>
      </c>
      <c r="BB998" s="166">
        <v>0</v>
      </c>
      <c r="BC998" s="166">
        <v>0</v>
      </c>
      <c r="BD998" s="166">
        <v>0</v>
      </c>
      <c r="BE998" s="166">
        <v>0</v>
      </c>
      <c r="BF998" s="166">
        <v>0</v>
      </c>
      <c r="BG998" s="166">
        <v>0</v>
      </c>
      <c r="BH998" s="166">
        <v>0</v>
      </c>
      <c r="BI998" s="166">
        <v>0</v>
      </c>
      <c r="BJ998" s="166">
        <v>0</v>
      </c>
      <c r="BK998" s="166">
        <v>0</v>
      </c>
      <c r="BL998" s="166">
        <v>0</v>
      </c>
      <c r="BM998" s="166">
        <v>0</v>
      </c>
      <c r="BN998" s="166">
        <v>0</v>
      </c>
      <c r="BO998" s="166">
        <v>0</v>
      </c>
      <c r="BP998" s="166">
        <v>0</v>
      </c>
      <c r="BQ998" s="81" t="s">
        <v>1758</v>
      </c>
      <c r="BZ998" s="81" t="s">
        <v>155</v>
      </c>
      <c r="CA998" s="81" t="s">
        <v>1937</v>
      </c>
      <c r="CC998" s="167">
        <v>0</v>
      </c>
      <c r="CD998" s="167">
        <f>$N998/4</f>
        <v>1.25</v>
      </c>
      <c r="CE998" s="167">
        <f>$N998/4</f>
        <v>1.25</v>
      </c>
      <c r="CF998" s="167">
        <f>$N998/4</f>
        <v>1.25</v>
      </c>
      <c r="CG998" s="167">
        <f>$N998/4</f>
        <v>1.25</v>
      </c>
      <c r="CH998" s="167">
        <v>0</v>
      </c>
      <c r="CI998" s="167">
        <v>0</v>
      </c>
      <c r="CJ998" s="167">
        <v>0</v>
      </c>
      <c r="CK998" s="167">
        <v>0</v>
      </c>
      <c r="CL998" s="167">
        <v>0</v>
      </c>
      <c r="CM998" s="167">
        <v>0</v>
      </c>
      <c r="CN998" s="167">
        <v>0</v>
      </c>
      <c r="CO998" s="167">
        <v>0</v>
      </c>
      <c r="CP998" s="167">
        <v>0</v>
      </c>
      <c r="CQ998" s="167">
        <v>0</v>
      </c>
      <c r="CR998" s="167">
        <v>0</v>
      </c>
      <c r="CS998" s="167">
        <v>0</v>
      </c>
      <c r="CT998" s="167">
        <v>0</v>
      </c>
      <c r="CU998" s="167">
        <v>0</v>
      </c>
      <c r="CV998" s="167">
        <v>0</v>
      </c>
      <c r="CW998" s="167">
        <v>0</v>
      </c>
      <c r="CX998" s="167">
        <f>SUM(CD998:CH998)</f>
        <v>5</v>
      </c>
      <c r="CY998" s="167">
        <f>SUM(CD998:CM998)</f>
        <v>5</v>
      </c>
    </row>
    <row r="999" spans="1:103" ht="12.75" customHeight="1" x14ac:dyDescent="0.2">
      <c r="A999" s="81">
        <v>6349</v>
      </c>
      <c r="B999" s="165" t="s">
        <v>1930</v>
      </c>
      <c r="C999" s="165" t="s">
        <v>1386</v>
      </c>
      <c r="E999" s="165" t="s">
        <v>2735</v>
      </c>
      <c r="G999" s="81">
        <v>527506</v>
      </c>
      <c r="H999" s="81">
        <v>171531</v>
      </c>
      <c r="I999" s="165" t="s">
        <v>253</v>
      </c>
      <c r="L999" s="166">
        <v>1</v>
      </c>
      <c r="M999" s="166">
        <v>3</v>
      </c>
      <c r="N999" s="166">
        <v>2</v>
      </c>
      <c r="O999" s="166">
        <v>3</v>
      </c>
      <c r="P999" s="166">
        <v>2</v>
      </c>
      <c r="R999" s="165" t="s">
        <v>1387</v>
      </c>
      <c r="S999" s="81" t="s">
        <v>113</v>
      </c>
      <c r="T999" s="349">
        <v>42600</v>
      </c>
      <c r="U999" s="349">
        <v>42656</v>
      </c>
      <c r="W999" s="81" t="s">
        <v>114</v>
      </c>
      <c r="Y999" s="81" t="s">
        <v>115</v>
      </c>
      <c r="Z999" s="81" t="s">
        <v>398</v>
      </c>
      <c r="AA999" s="81" t="s">
        <v>117</v>
      </c>
      <c r="AB999" s="81" t="s">
        <v>220</v>
      </c>
      <c r="AC999" s="166">
        <v>8.0000003799796104E-3</v>
      </c>
      <c r="AG999" s="81" t="s">
        <v>238</v>
      </c>
      <c r="AH999" s="81" t="s">
        <v>118</v>
      </c>
      <c r="AI999" s="81" t="s">
        <v>2448</v>
      </c>
      <c r="AK999" s="166">
        <v>0</v>
      </c>
      <c r="AM999" s="166">
        <v>0</v>
      </c>
      <c r="AO999" s="166">
        <v>0</v>
      </c>
      <c r="AP999" s="166">
        <v>3</v>
      </c>
      <c r="AQ999" s="166">
        <v>0</v>
      </c>
      <c r="AR999" s="166">
        <v>-1</v>
      </c>
      <c r="AS999" s="166">
        <v>0</v>
      </c>
      <c r="AT999" s="166">
        <v>0</v>
      </c>
      <c r="AU999" s="166">
        <v>0</v>
      </c>
      <c r="AV999" s="166">
        <v>0</v>
      </c>
      <c r="AW999" s="166">
        <v>3</v>
      </c>
      <c r="AX999" s="166">
        <v>0</v>
      </c>
      <c r="AY999" s="166">
        <v>-1</v>
      </c>
      <c r="AZ999" s="166">
        <v>0</v>
      </c>
      <c r="BA999" s="166">
        <v>0</v>
      </c>
      <c r="BB999" s="166">
        <v>0</v>
      </c>
      <c r="BC999" s="166">
        <v>0</v>
      </c>
      <c r="BD999" s="166">
        <v>0</v>
      </c>
      <c r="BE999" s="166">
        <v>0</v>
      </c>
      <c r="BF999" s="166">
        <v>0</v>
      </c>
      <c r="BG999" s="166">
        <v>0</v>
      </c>
      <c r="BH999" s="166">
        <v>0</v>
      </c>
      <c r="BI999" s="166">
        <v>0</v>
      </c>
      <c r="BJ999" s="166">
        <v>0</v>
      </c>
      <c r="BK999" s="166">
        <v>0</v>
      </c>
      <c r="BL999" s="166">
        <v>0</v>
      </c>
      <c r="BM999" s="166">
        <v>0</v>
      </c>
      <c r="BN999" s="166">
        <v>0</v>
      </c>
      <c r="BO999" s="166">
        <v>0</v>
      </c>
      <c r="BP999" s="166">
        <v>0</v>
      </c>
      <c r="BQ999" s="81" t="s">
        <v>1757</v>
      </c>
      <c r="BR999" s="81" t="s">
        <v>242</v>
      </c>
      <c r="BZ999" s="81" t="s">
        <v>155</v>
      </c>
      <c r="CA999" s="81" t="s">
        <v>1937</v>
      </c>
      <c r="CC999" s="167">
        <v>0</v>
      </c>
      <c r="CD999" s="167">
        <f>$N999/4</f>
        <v>0.5</v>
      </c>
      <c r="CE999" s="167">
        <f>$N999/4</f>
        <v>0.5</v>
      </c>
      <c r="CF999" s="167">
        <f>$N999/4</f>
        <v>0.5</v>
      </c>
      <c r="CG999" s="167">
        <f>$N999/4</f>
        <v>0.5</v>
      </c>
      <c r="CH999" s="167">
        <v>0</v>
      </c>
      <c r="CI999" s="167">
        <v>0</v>
      </c>
      <c r="CJ999" s="167">
        <v>0</v>
      </c>
      <c r="CK999" s="167">
        <v>0</v>
      </c>
      <c r="CL999" s="167">
        <v>0</v>
      </c>
      <c r="CM999" s="167">
        <v>0</v>
      </c>
      <c r="CN999" s="167">
        <v>0</v>
      </c>
      <c r="CO999" s="167">
        <v>0</v>
      </c>
      <c r="CP999" s="167">
        <v>0</v>
      </c>
      <c r="CQ999" s="167">
        <v>0</v>
      </c>
      <c r="CR999" s="167">
        <v>0</v>
      </c>
      <c r="CS999" s="167">
        <v>0</v>
      </c>
      <c r="CT999" s="167">
        <v>0</v>
      </c>
      <c r="CU999" s="167">
        <v>0</v>
      </c>
      <c r="CV999" s="167">
        <v>0</v>
      </c>
      <c r="CW999" s="167">
        <v>0</v>
      </c>
      <c r="CX999" s="167">
        <f>SUM(CD999:CH999)</f>
        <v>2</v>
      </c>
      <c r="CY999" s="167">
        <f>SUM(CD999:CM999)</f>
        <v>2</v>
      </c>
    </row>
    <row r="1000" spans="1:103" ht="12.75" customHeight="1" x14ac:dyDescent="0.2">
      <c r="A1000" s="81">
        <v>6354</v>
      </c>
      <c r="B1000" s="165" t="s">
        <v>1930</v>
      </c>
      <c r="C1000" s="165" t="s">
        <v>1477</v>
      </c>
      <c r="E1000" s="165" t="s">
        <v>2736</v>
      </c>
      <c r="G1000" s="81">
        <v>528320</v>
      </c>
      <c r="H1000" s="81">
        <v>174495</v>
      </c>
      <c r="I1000" s="165" t="s">
        <v>247</v>
      </c>
      <c r="L1000" s="166">
        <v>2</v>
      </c>
      <c r="M1000" s="166">
        <v>1</v>
      </c>
      <c r="N1000" s="166">
        <v>-1</v>
      </c>
      <c r="O1000" s="166">
        <v>1</v>
      </c>
      <c r="P1000" s="166">
        <v>-1</v>
      </c>
      <c r="R1000" s="165" t="s">
        <v>1478</v>
      </c>
      <c r="S1000" s="81" t="s">
        <v>113</v>
      </c>
      <c r="T1000" s="349">
        <v>42682</v>
      </c>
      <c r="U1000" s="349">
        <v>42738</v>
      </c>
      <c r="W1000" s="81" t="s">
        <v>114</v>
      </c>
      <c r="Y1000" s="81" t="s">
        <v>115</v>
      </c>
      <c r="Z1000" s="81" t="s">
        <v>398</v>
      </c>
      <c r="AA1000" s="81" t="s">
        <v>117</v>
      </c>
      <c r="AB1000" s="81" t="s">
        <v>336</v>
      </c>
      <c r="AC1000" s="166">
        <v>1.4000000432133701E-2</v>
      </c>
      <c r="AG1000" s="81" t="s">
        <v>238</v>
      </c>
      <c r="AH1000" s="81" t="s">
        <v>118</v>
      </c>
      <c r="AK1000" s="166">
        <v>0</v>
      </c>
      <c r="AM1000" s="166">
        <v>0</v>
      </c>
      <c r="AO1000" s="166">
        <v>0</v>
      </c>
      <c r="AP1000" s="166">
        <v>-1</v>
      </c>
      <c r="AQ1000" s="166">
        <v>-1</v>
      </c>
      <c r="AR1000" s="166">
        <v>0</v>
      </c>
      <c r="AS1000" s="166">
        <v>1</v>
      </c>
      <c r="AT1000" s="166">
        <v>0</v>
      </c>
      <c r="AU1000" s="166">
        <v>0</v>
      </c>
      <c r="AV1000" s="166">
        <v>0</v>
      </c>
      <c r="AW1000" s="166">
        <v>-1</v>
      </c>
      <c r="AX1000" s="166">
        <v>-1</v>
      </c>
      <c r="AY1000" s="166">
        <v>0</v>
      </c>
      <c r="AZ1000" s="166">
        <v>0</v>
      </c>
      <c r="BA1000" s="166">
        <v>0</v>
      </c>
      <c r="BB1000" s="166">
        <v>0</v>
      </c>
      <c r="BC1000" s="166">
        <v>0</v>
      </c>
      <c r="BD1000" s="166">
        <v>0</v>
      </c>
      <c r="BE1000" s="166">
        <v>0</v>
      </c>
      <c r="BF1000" s="166">
        <v>0</v>
      </c>
      <c r="BG1000" s="166">
        <v>1</v>
      </c>
      <c r="BH1000" s="166">
        <v>0</v>
      </c>
      <c r="BI1000" s="166">
        <v>0</v>
      </c>
      <c r="BJ1000" s="166">
        <v>0</v>
      </c>
      <c r="BK1000" s="166">
        <v>0</v>
      </c>
      <c r="BL1000" s="166">
        <v>0</v>
      </c>
      <c r="BM1000" s="166">
        <v>0</v>
      </c>
      <c r="BN1000" s="166">
        <v>0</v>
      </c>
      <c r="BO1000" s="166">
        <v>0</v>
      </c>
      <c r="BP1000" s="166">
        <v>0</v>
      </c>
      <c r="BQ1000" s="81" t="s">
        <v>1757</v>
      </c>
      <c r="BZ1000" s="81" t="s">
        <v>155</v>
      </c>
      <c r="CA1000" s="81" t="s">
        <v>1937</v>
      </c>
      <c r="CC1000" s="167">
        <v>0</v>
      </c>
      <c r="CD1000" s="167">
        <f>$N1000/4</f>
        <v>-0.25</v>
      </c>
      <c r="CE1000" s="167">
        <f>$N1000/4</f>
        <v>-0.25</v>
      </c>
      <c r="CF1000" s="167">
        <f>$N1000/4</f>
        <v>-0.25</v>
      </c>
      <c r="CG1000" s="167">
        <f>$N1000/4</f>
        <v>-0.25</v>
      </c>
      <c r="CH1000" s="167">
        <v>0</v>
      </c>
      <c r="CI1000" s="167">
        <v>0</v>
      </c>
      <c r="CJ1000" s="167">
        <v>0</v>
      </c>
      <c r="CK1000" s="167">
        <v>0</v>
      </c>
      <c r="CL1000" s="167">
        <v>0</v>
      </c>
      <c r="CM1000" s="167">
        <v>0</v>
      </c>
      <c r="CN1000" s="167">
        <v>0</v>
      </c>
      <c r="CO1000" s="167">
        <v>0</v>
      </c>
      <c r="CP1000" s="167">
        <v>0</v>
      </c>
      <c r="CQ1000" s="167">
        <v>0</v>
      </c>
      <c r="CR1000" s="167">
        <v>0</v>
      </c>
      <c r="CS1000" s="167">
        <v>0</v>
      </c>
      <c r="CT1000" s="167">
        <v>0</v>
      </c>
      <c r="CU1000" s="167">
        <v>0</v>
      </c>
      <c r="CV1000" s="167">
        <v>0</v>
      </c>
      <c r="CW1000" s="167">
        <v>0</v>
      </c>
      <c r="CX1000" s="167">
        <f>SUM(CD1000:CH1000)</f>
        <v>-1</v>
      </c>
      <c r="CY1000" s="167">
        <f>SUM(CD1000:CM1000)</f>
        <v>-1</v>
      </c>
    </row>
    <row r="1001" spans="1:103" ht="12.75" customHeight="1" x14ac:dyDescent="0.2">
      <c r="A1001" s="81">
        <v>6355</v>
      </c>
      <c r="B1001" s="165" t="s">
        <v>1930</v>
      </c>
      <c r="C1001" s="165" t="s">
        <v>1390</v>
      </c>
      <c r="E1001" s="165" t="s">
        <v>2737</v>
      </c>
      <c r="G1001" s="81">
        <v>529010</v>
      </c>
      <c r="H1001" s="81">
        <v>173294</v>
      </c>
      <c r="I1001" s="165" t="s">
        <v>247</v>
      </c>
      <c r="L1001" s="166">
        <v>0</v>
      </c>
      <c r="M1001" s="166">
        <v>2</v>
      </c>
      <c r="N1001" s="166">
        <v>2</v>
      </c>
      <c r="O1001" s="166">
        <v>2</v>
      </c>
      <c r="P1001" s="166">
        <v>2</v>
      </c>
      <c r="R1001" s="165" t="s">
        <v>1391</v>
      </c>
      <c r="S1001" s="81" t="s">
        <v>113</v>
      </c>
      <c r="T1001" s="349">
        <v>42601</v>
      </c>
      <c r="U1001" s="349">
        <v>42706</v>
      </c>
      <c r="W1001" s="81" t="s">
        <v>114</v>
      </c>
      <c r="Y1001" s="81" t="s">
        <v>115</v>
      </c>
      <c r="Z1001" s="81" t="s">
        <v>398</v>
      </c>
      <c r="AA1001" s="81" t="s">
        <v>117</v>
      </c>
      <c r="AB1001" s="81" t="s">
        <v>102</v>
      </c>
      <c r="AC1001" s="166">
        <v>1.09999999403954E-2</v>
      </c>
      <c r="AG1001" s="81" t="s">
        <v>238</v>
      </c>
      <c r="AH1001" s="81" t="s">
        <v>118</v>
      </c>
      <c r="AK1001" s="166">
        <v>0</v>
      </c>
      <c r="AM1001" s="166">
        <v>0</v>
      </c>
      <c r="AO1001" s="166">
        <v>1</v>
      </c>
      <c r="AP1001" s="166">
        <v>1</v>
      </c>
      <c r="AQ1001" s="166">
        <v>0</v>
      </c>
      <c r="AR1001" s="166">
        <v>0</v>
      </c>
      <c r="AS1001" s="166">
        <v>0</v>
      </c>
      <c r="AT1001" s="166">
        <v>0</v>
      </c>
      <c r="AU1001" s="166">
        <v>0</v>
      </c>
      <c r="AV1001" s="166">
        <v>1</v>
      </c>
      <c r="AW1001" s="166">
        <v>1</v>
      </c>
      <c r="AX1001" s="166">
        <v>0</v>
      </c>
      <c r="AY1001" s="166">
        <v>0</v>
      </c>
      <c r="AZ1001" s="166">
        <v>0</v>
      </c>
      <c r="BA1001" s="166">
        <v>0</v>
      </c>
      <c r="BB1001" s="166">
        <v>0</v>
      </c>
      <c r="BC1001" s="166">
        <v>0</v>
      </c>
      <c r="BD1001" s="166">
        <v>0</v>
      </c>
      <c r="BE1001" s="166">
        <v>0</v>
      </c>
      <c r="BF1001" s="166">
        <v>0</v>
      </c>
      <c r="BG1001" s="166">
        <v>0</v>
      </c>
      <c r="BH1001" s="166">
        <v>0</v>
      </c>
      <c r="BI1001" s="166">
        <v>0</v>
      </c>
      <c r="BJ1001" s="166">
        <v>0</v>
      </c>
      <c r="BK1001" s="166">
        <v>0</v>
      </c>
      <c r="BL1001" s="166">
        <v>0</v>
      </c>
      <c r="BM1001" s="166">
        <v>0</v>
      </c>
      <c r="BN1001" s="166">
        <v>0</v>
      </c>
      <c r="BO1001" s="166">
        <v>0</v>
      </c>
      <c r="BP1001" s="166">
        <v>0</v>
      </c>
      <c r="BQ1001" s="81" t="s">
        <v>1757</v>
      </c>
      <c r="BZ1001" s="81" t="s">
        <v>155</v>
      </c>
      <c r="CA1001" s="81" t="s">
        <v>1937</v>
      </c>
      <c r="CC1001" s="167">
        <v>0</v>
      </c>
      <c r="CD1001" s="167">
        <f>$N1001/4</f>
        <v>0.5</v>
      </c>
      <c r="CE1001" s="167">
        <f>$N1001/4</f>
        <v>0.5</v>
      </c>
      <c r="CF1001" s="167">
        <f>$N1001/4</f>
        <v>0.5</v>
      </c>
      <c r="CG1001" s="167">
        <f>$N1001/4</f>
        <v>0.5</v>
      </c>
      <c r="CH1001" s="167">
        <v>0</v>
      </c>
      <c r="CI1001" s="167">
        <v>0</v>
      </c>
      <c r="CJ1001" s="167">
        <v>0</v>
      </c>
      <c r="CK1001" s="167">
        <v>0</v>
      </c>
      <c r="CL1001" s="167">
        <v>0</v>
      </c>
      <c r="CM1001" s="167">
        <v>0</v>
      </c>
      <c r="CN1001" s="167">
        <v>0</v>
      </c>
      <c r="CO1001" s="167">
        <v>0</v>
      </c>
      <c r="CP1001" s="167">
        <v>0</v>
      </c>
      <c r="CQ1001" s="167">
        <v>0</v>
      </c>
      <c r="CR1001" s="167">
        <v>0</v>
      </c>
      <c r="CS1001" s="167">
        <v>0</v>
      </c>
      <c r="CT1001" s="167">
        <v>0</v>
      </c>
      <c r="CU1001" s="167">
        <v>0</v>
      </c>
      <c r="CV1001" s="167">
        <v>0</v>
      </c>
      <c r="CW1001" s="167">
        <v>0</v>
      </c>
      <c r="CX1001" s="167">
        <f>SUM(CD1001:CH1001)</f>
        <v>2</v>
      </c>
      <c r="CY1001" s="167">
        <f>SUM(CD1001:CM1001)</f>
        <v>2</v>
      </c>
    </row>
    <row r="1002" spans="1:103" ht="12.75" customHeight="1" x14ac:dyDescent="0.2">
      <c r="A1002" s="81">
        <v>6357</v>
      </c>
      <c r="B1002" s="165" t="s">
        <v>1930</v>
      </c>
      <c r="C1002" s="165" t="s">
        <v>1388</v>
      </c>
      <c r="E1002" s="165" t="s">
        <v>2738</v>
      </c>
      <c r="G1002" s="81">
        <v>526523</v>
      </c>
      <c r="H1002" s="81">
        <v>174841</v>
      </c>
      <c r="I1002" s="165" t="s">
        <v>251</v>
      </c>
      <c r="L1002" s="166">
        <v>1</v>
      </c>
      <c r="M1002" s="166">
        <v>2</v>
      </c>
      <c r="N1002" s="166">
        <v>1</v>
      </c>
      <c r="O1002" s="166">
        <v>2</v>
      </c>
      <c r="P1002" s="166">
        <v>1</v>
      </c>
      <c r="R1002" s="165" t="s">
        <v>1389</v>
      </c>
      <c r="S1002" s="81" t="s">
        <v>113</v>
      </c>
      <c r="T1002" s="349">
        <v>42607</v>
      </c>
      <c r="U1002" s="349">
        <v>42661</v>
      </c>
      <c r="W1002" s="81" t="s">
        <v>114</v>
      </c>
      <c r="Y1002" s="81" t="s">
        <v>115</v>
      </c>
      <c r="Z1002" s="81" t="s">
        <v>119</v>
      </c>
      <c r="AA1002" s="81" t="s">
        <v>117</v>
      </c>
      <c r="AB1002" s="81" t="s">
        <v>120</v>
      </c>
      <c r="AC1002" s="166">
        <v>6.0000000521540598E-3</v>
      </c>
      <c r="AG1002" s="81" t="s">
        <v>238</v>
      </c>
      <c r="AH1002" s="81" t="s">
        <v>118</v>
      </c>
      <c r="AK1002" s="166">
        <v>0</v>
      </c>
      <c r="AM1002" s="166">
        <v>0</v>
      </c>
      <c r="AO1002" s="166">
        <v>0</v>
      </c>
      <c r="AP1002" s="166">
        <v>1</v>
      </c>
      <c r="AQ1002" s="166">
        <v>0</v>
      </c>
      <c r="AR1002" s="166">
        <v>0</v>
      </c>
      <c r="AS1002" s="166">
        <v>0</v>
      </c>
      <c r="AT1002" s="166">
        <v>0</v>
      </c>
      <c r="AU1002" s="166">
        <v>0</v>
      </c>
      <c r="AV1002" s="166">
        <v>0</v>
      </c>
      <c r="AW1002" s="166">
        <v>1</v>
      </c>
      <c r="AX1002" s="166">
        <v>0</v>
      </c>
      <c r="AY1002" s="166">
        <v>0</v>
      </c>
      <c r="AZ1002" s="166">
        <v>0</v>
      </c>
      <c r="BA1002" s="166">
        <v>1</v>
      </c>
      <c r="BB1002" s="166">
        <v>0</v>
      </c>
      <c r="BC1002" s="166">
        <v>0</v>
      </c>
      <c r="BD1002" s="166">
        <v>0</v>
      </c>
      <c r="BE1002" s="166">
        <v>0</v>
      </c>
      <c r="BF1002" s="166">
        <v>0</v>
      </c>
      <c r="BG1002" s="166">
        <v>0</v>
      </c>
      <c r="BH1002" s="166">
        <v>-1</v>
      </c>
      <c r="BI1002" s="166">
        <v>0</v>
      </c>
      <c r="BJ1002" s="166">
        <v>0</v>
      </c>
      <c r="BK1002" s="166">
        <v>0</v>
      </c>
      <c r="BL1002" s="166">
        <v>0</v>
      </c>
      <c r="BM1002" s="166">
        <v>0</v>
      </c>
      <c r="BN1002" s="166">
        <v>0</v>
      </c>
      <c r="BO1002" s="166">
        <v>0</v>
      </c>
      <c r="BP1002" s="166">
        <v>0</v>
      </c>
      <c r="BQ1002" s="81" t="s">
        <v>1758</v>
      </c>
      <c r="BZ1002" s="81" t="s">
        <v>155</v>
      </c>
      <c r="CA1002" s="81" t="s">
        <v>1937</v>
      </c>
      <c r="CC1002" s="167">
        <v>0</v>
      </c>
      <c r="CD1002" s="167">
        <f>$N1002/4</f>
        <v>0.25</v>
      </c>
      <c r="CE1002" s="167">
        <f>$N1002/4</f>
        <v>0.25</v>
      </c>
      <c r="CF1002" s="167">
        <f>$N1002/4</f>
        <v>0.25</v>
      </c>
      <c r="CG1002" s="167">
        <f>$N1002/4</f>
        <v>0.25</v>
      </c>
      <c r="CH1002" s="167">
        <v>0</v>
      </c>
      <c r="CI1002" s="167">
        <v>0</v>
      </c>
      <c r="CJ1002" s="167">
        <v>0</v>
      </c>
      <c r="CK1002" s="167">
        <v>0</v>
      </c>
      <c r="CL1002" s="167">
        <v>0</v>
      </c>
      <c r="CM1002" s="167">
        <v>0</v>
      </c>
      <c r="CN1002" s="167">
        <v>0</v>
      </c>
      <c r="CO1002" s="167">
        <v>0</v>
      </c>
      <c r="CP1002" s="167">
        <v>0</v>
      </c>
      <c r="CQ1002" s="167">
        <v>0</v>
      </c>
      <c r="CR1002" s="167">
        <v>0</v>
      </c>
      <c r="CS1002" s="167">
        <v>0</v>
      </c>
      <c r="CT1002" s="167">
        <v>0</v>
      </c>
      <c r="CU1002" s="167">
        <v>0</v>
      </c>
      <c r="CV1002" s="167">
        <v>0</v>
      </c>
      <c r="CW1002" s="167">
        <v>0</v>
      </c>
      <c r="CX1002" s="167">
        <f>SUM(CD1002:CH1002)</f>
        <v>1</v>
      </c>
      <c r="CY1002" s="167">
        <f>SUM(CD1002:CM1002)</f>
        <v>1</v>
      </c>
    </row>
    <row r="1003" spans="1:103" ht="12.75" customHeight="1" x14ac:dyDescent="0.2">
      <c r="A1003" s="81">
        <v>6365</v>
      </c>
      <c r="B1003" s="165" t="s">
        <v>1930</v>
      </c>
      <c r="C1003" s="165" t="s">
        <v>2739</v>
      </c>
      <c r="E1003" s="165" t="s">
        <v>2740</v>
      </c>
      <c r="G1003" s="81">
        <v>527536</v>
      </c>
      <c r="H1003" s="81">
        <v>176382</v>
      </c>
      <c r="I1003" s="165" t="s">
        <v>241</v>
      </c>
      <c r="L1003" s="166">
        <v>1</v>
      </c>
      <c r="M1003" s="166">
        <v>5</v>
      </c>
      <c r="N1003" s="166">
        <v>4</v>
      </c>
      <c r="O1003" s="166">
        <v>5</v>
      </c>
      <c r="P1003" s="166">
        <v>4</v>
      </c>
      <c r="R1003" s="165" t="s">
        <v>2741</v>
      </c>
      <c r="S1003" s="81" t="s">
        <v>113</v>
      </c>
      <c r="T1003" s="349">
        <v>42824</v>
      </c>
      <c r="U1003" s="349">
        <v>43003</v>
      </c>
      <c r="V1003" s="81" t="s">
        <v>155</v>
      </c>
      <c r="W1003" s="81" t="s">
        <v>114</v>
      </c>
      <c r="Y1003" s="81" t="s">
        <v>115</v>
      </c>
      <c r="Z1003" s="81" t="s">
        <v>398</v>
      </c>
      <c r="AA1003" s="81" t="s">
        <v>117</v>
      </c>
      <c r="AB1003" s="81" t="s">
        <v>218</v>
      </c>
      <c r="AC1003" s="166">
        <v>1.09999999403954E-2</v>
      </c>
      <c r="AG1003" s="81" t="s">
        <v>238</v>
      </c>
      <c r="AH1003" s="81" t="s">
        <v>118</v>
      </c>
      <c r="AK1003" s="166">
        <v>0</v>
      </c>
      <c r="AM1003" s="166">
        <v>0</v>
      </c>
      <c r="AO1003" s="166">
        <v>1</v>
      </c>
      <c r="AP1003" s="166">
        <v>2</v>
      </c>
      <c r="AQ1003" s="166">
        <v>1</v>
      </c>
      <c r="AR1003" s="166">
        <v>0</v>
      </c>
      <c r="AS1003" s="166">
        <v>0</v>
      </c>
      <c r="AT1003" s="166">
        <v>0</v>
      </c>
      <c r="AU1003" s="166">
        <v>0</v>
      </c>
      <c r="AV1003" s="166">
        <v>1</v>
      </c>
      <c r="AW1003" s="166">
        <v>2</v>
      </c>
      <c r="AX1003" s="166">
        <v>1</v>
      </c>
      <c r="AY1003" s="166">
        <v>0</v>
      </c>
      <c r="AZ1003" s="166">
        <v>0</v>
      </c>
      <c r="BA1003" s="166">
        <v>0</v>
      </c>
      <c r="BB1003" s="166">
        <v>0</v>
      </c>
      <c r="BC1003" s="166">
        <v>0</v>
      </c>
      <c r="BD1003" s="166">
        <v>0</v>
      </c>
      <c r="BE1003" s="166">
        <v>0</v>
      </c>
      <c r="BF1003" s="166">
        <v>0</v>
      </c>
      <c r="BG1003" s="166">
        <v>0</v>
      </c>
      <c r="BH1003" s="166">
        <v>0</v>
      </c>
      <c r="BI1003" s="166">
        <v>0</v>
      </c>
      <c r="BJ1003" s="166">
        <v>0</v>
      </c>
      <c r="BK1003" s="166">
        <v>0</v>
      </c>
      <c r="BL1003" s="166">
        <v>0</v>
      </c>
      <c r="BM1003" s="166">
        <v>0</v>
      </c>
      <c r="BN1003" s="166">
        <v>0</v>
      </c>
      <c r="BO1003" s="166">
        <v>0</v>
      </c>
      <c r="BP1003" s="166">
        <v>0</v>
      </c>
      <c r="BQ1003" s="81" t="s">
        <v>1757</v>
      </c>
      <c r="BZ1003" s="81" t="s">
        <v>155</v>
      </c>
      <c r="CA1003" s="81" t="s">
        <v>1937</v>
      </c>
      <c r="CC1003" s="167">
        <v>0</v>
      </c>
      <c r="CD1003" s="167">
        <f>$N1003/4</f>
        <v>1</v>
      </c>
      <c r="CE1003" s="167">
        <f>$N1003/4</f>
        <v>1</v>
      </c>
      <c r="CF1003" s="167">
        <f>$N1003/4</f>
        <v>1</v>
      </c>
      <c r="CG1003" s="167">
        <f>$N1003/4</f>
        <v>1</v>
      </c>
      <c r="CH1003" s="167">
        <v>0</v>
      </c>
      <c r="CI1003" s="167">
        <v>0</v>
      </c>
      <c r="CJ1003" s="167">
        <v>0</v>
      </c>
      <c r="CK1003" s="167">
        <v>0</v>
      </c>
      <c r="CL1003" s="167">
        <v>0</v>
      </c>
      <c r="CM1003" s="167">
        <v>0</v>
      </c>
      <c r="CN1003" s="167">
        <v>0</v>
      </c>
      <c r="CO1003" s="167">
        <v>0</v>
      </c>
      <c r="CP1003" s="167">
        <v>0</v>
      </c>
      <c r="CQ1003" s="167">
        <v>0</v>
      </c>
      <c r="CR1003" s="167">
        <v>0</v>
      </c>
      <c r="CS1003" s="167">
        <v>0</v>
      </c>
      <c r="CT1003" s="167">
        <v>0</v>
      </c>
      <c r="CU1003" s="167">
        <v>0</v>
      </c>
      <c r="CV1003" s="167">
        <v>0</v>
      </c>
      <c r="CW1003" s="167">
        <v>0</v>
      </c>
      <c r="CX1003" s="167">
        <f>SUM(CD1003:CH1003)</f>
        <v>4</v>
      </c>
      <c r="CY1003" s="167">
        <f>SUM(CD1003:CM1003)</f>
        <v>4</v>
      </c>
    </row>
    <row r="1004" spans="1:103" ht="12.75" customHeight="1" x14ac:dyDescent="0.2">
      <c r="A1004" s="81">
        <v>6372</v>
      </c>
      <c r="B1004" s="165" t="s">
        <v>1930</v>
      </c>
      <c r="C1004" s="165" t="s">
        <v>1536</v>
      </c>
      <c r="E1004" s="165" t="s">
        <v>2742</v>
      </c>
      <c r="G1004" s="81">
        <v>528591</v>
      </c>
      <c r="H1004" s="81">
        <v>173471</v>
      </c>
      <c r="I1004" s="165" t="s">
        <v>247</v>
      </c>
      <c r="L1004" s="166">
        <v>0</v>
      </c>
      <c r="M1004" s="166">
        <v>2</v>
      </c>
      <c r="N1004" s="166">
        <v>2</v>
      </c>
      <c r="O1004" s="166">
        <v>2</v>
      </c>
      <c r="P1004" s="166">
        <v>2</v>
      </c>
      <c r="R1004" s="165" t="s">
        <v>1537</v>
      </c>
      <c r="S1004" s="81" t="s">
        <v>110</v>
      </c>
      <c r="T1004" s="349">
        <v>42762</v>
      </c>
      <c r="U1004" s="349">
        <v>42815</v>
      </c>
      <c r="W1004" s="81" t="s">
        <v>114</v>
      </c>
      <c r="Y1004" s="81" t="s">
        <v>115</v>
      </c>
      <c r="Z1004" s="81" t="s">
        <v>310</v>
      </c>
      <c r="AA1004" s="81" t="s">
        <v>117</v>
      </c>
      <c r="AB1004" s="81" t="s">
        <v>399</v>
      </c>
      <c r="AC1004" s="166">
        <v>8.0000003799796104E-3</v>
      </c>
      <c r="AG1004" s="81" t="s">
        <v>238</v>
      </c>
      <c r="AH1004" s="81" t="s">
        <v>118</v>
      </c>
      <c r="AK1004" s="166">
        <v>0</v>
      </c>
      <c r="AM1004" s="166">
        <v>0</v>
      </c>
      <c r="AO1004" s="166">
        <v>0</v>
      </c>
      <c r="AP1004" s="166">
        <v>2</v>
      </c>
      <c r="AQ1004" s="166">
        <v>0</v>
      </c>
      <c r="AR1004" s="166">
        <v>0</v>
      </c>
      <c r="AS1004" s="166">
        <v>0</v>
      </c>
      <c r="AT1004" s="166">
        <v>0</v>
      </c>
      <c r="AU1004" s="166">
        <v>0</v>
      </c>
      <c r="AV1004" s="166">
        <v>0</v>
      </c>
      <c r="AW1004" s="166">
        <v>2</v>
      </c>
      <c r="AX1004" s="166">
        <v>0</v>
      </c>
      <c r="AY1004" s="166">
        <v>0</v>
      </c>
      <c r="AZ1004" s="166">
        <v>0</v>
      </c>
      <c r="BA1004" s="166">
        <v>0</v>
      </c>
      <c r="BB1004" s="166">
        <v>0</v>
      </c>
      <c r="BC1004" s="166">
        <v>0</v>
      </c>
      <c r="BD1004" s="166">
        <v>0</v>
      </c>
      <c r="BE1004" s="166">
        <v>0</v>
      </c>
      <c r="BF1004" s="166">
        <v>0</v>
      </c>
      <c r="BG1004" s="166">
        <v>0</v>
      </c>
      <c r="BH1004" s="166">
        <v>0</v>
      </c>
      <c r="BI1004" s="166">
        <v>0</v>
      </c>
      <c r="BJ1004" s="166">
        <v>0</v>
      </c>
      <c r="BK1004" s="166">
        <v>0</v>
      </c>
      <c r="BL1004" s="166">
        <v>0</v>
      </c>
      <c r="BM1004" s="166">
        <v>0</v>
      </c>
      <c r="BN1004" s="166">
        <v>0</v>
      </c>
      <c r="BO1004" s="166">
        <v>0</v>
      </c>
      <c r="BP1004" s="166">
        <v>0</v>
      </c>
      <c r="BQ1004" s="81" t="s">
        <v>1757</v>
      </c>
      <c r="BR1004" s="81" t="s">
        <v>247</v>
      </c>
      <c r="BZ1004" s="81" t="s">
        <v>155</v>
      </c>
      <c r="CA1004" s="81" t="s">
        <v>1937</v>
      </c>
      <c r="CC1004" s="167">
        <v>0</v>
      </c>
      <c r="CD1004" s="167">
        <f>$N1004/4</f>
        <v>0.5</v>
      </c>
      <c r="CE1004" s="167">
        <f>$N1004/4</f>
        <v>0.5</v>
      </c>
      <c r="CF1004" s="167">
        <f>$N1004/4</f>
        <v>0.5</v>
      </c>
      <c r="CG1004" s="167">
        <f>$N1004/4</f>
        <v>0.5</v>
      </c>
      <c r="CH1004" s="167">
        <v>0</v>
      </c>
      <c r="CI1004" s="167">
        <v>0</v>
      </c>
      <c r="CJ1004" s="167">
        <v>0</v>
      </c>
      <c r="CK1004" s="167">
        <v>0</v>
      </c>
      <c r="CL1004" s="167">
        <v>0</v>
      </c>
      <c r="CM1004" s="167">
        <v>0</v>
      </c>
      <c r="CN1004" s="167">
        <v>0</v>
      </c>
      <c r="CO1004" s="167">
        <v>0</v>
      </c>
      <c r="CP1004" s="167">
        <v>0</v>
      </c>
      <c r="CQ1004" s="167">
        <v>0</v>
      </c>
      <c r="CR1004" s="167">
        <v>0</v>
      </c>
      <c r="CS1004" s="167">
        <v>0</v>
      </c>
      <c r="CT1004" s="167">
        <v>0</v>
      </c>
      <c r="CU1004" s="167">
        <v>0</v>
      </c>
      <c r="CV1004" s="167">
        <v>0</v>
      </c>
      <c r="CW1004" s="167">
        <v>0</v>
      </c>
      <c r="CX1004" s="167">
        <f>SUM(CD1004:CH1004)</f>
        <v>2</v>
      </c>
      <c r="CY1004" s="167">
        <f>SUM(CD1004:CM1004)</f>
        <v>2</v>
      </c>
    </row>
    <row r="1005" spans="1:103" ht="12.75" customHeight="1" x14ac:dyDescent="0.2">
      <c r="A1005" s="81">
        <v>6373</v>
      </c>
      <c r="B1005" s="165" t="s">
        <v>1930</v>
      </c>
      <c r="C1005" s="165" t="s">
        <v>1501</v>
      </c>
      <c r="E1005" s="165" t="s">
        <v>3961</v>
      </c>
      <c r="F1005" s="165" t="s">
        <v>1502</v>
      </c>
      <c r="G1005" s="81">
        <v>527327</v>
      </c>
      <c r="H1005" s="81">
        <v>175384</v>
      </c>
      <c r="I1005" s="165" t="s">
        <v>255</v>
      </c>
      <c r="L1005" s="166">
        <v>0</v>
      </c>
      <c r="M1005" s="166">
        <v>10</v>
      </c>
      <c r="N1005" s="166">
        <v>10</v>
      </c>
      <c r="O1005" s="166">
        <v>35</v>
      </c>
      <c r="P1005" s="166">
        <v>35</v>
      </c>
      <c r="Q1005" s="81" t="s">
        <v>155</v>
      </c>
      <c r="R1005" s="165" t="s">
        <v>1503</v>
      </c>
      <c r="S1005" s="81" t="s">
        <v>270</v>
      </c>
      <c r="T1005" s="349">
        <v>42716</v>
      </c>
      <c r="U1005" s="349">
        <v>42772</v>
      </c>
      <c r="W1005" s="81" t="s">
        <v>114</v>
      </c>
      <c r="Y1005" s="81" t="s">
        <v>115</v>
      </c>
      <c r="Z1005" s="81" t="s">
        <v>310</v>
      </c>
      <c r="AA1005" s="81" t="s">
        <v>117</v>
      </c>
      <c r="AB1005" s="81" t="s">
        <v>399</v>
      </c>
      <c r="AC1005" s="166">
        <v>4.3000001460313797E-2</v>
      </c>
      <c r="AG1005" s="81" t="s">
        <v>238</v>
      </c>
      <c r="AH1005" s="81" t="s">
        <v>118</v>
      </c>
      <c r="AK1005" s="166">
        <v>0</v>
      </c>
      <c r="AM1005" s="166">
        <v>0</v>
      </c>
      <c r="AO1005" s="166">
        <v>0</v>
      </c>
      <c r="AP1005" s="166">
        <v>9</v>
      </c>
      <c r="AQ1005" s="166">
        <v>1</v>
      </c>
      <c r="AR1005" s="166">
        <v>0</v>
      </c>
      <c r="AS1005" s="166">
        <v>0</v>
      </c>
      <c r="AT1005" s="166">
        <v>0</v>
      </c>
      <c r="AU1005" s="166">
        <v>0</v>
      </c>
      <c r="AV1005" s="166">
        <v>0</v>
      </c>
      <c r="AW1005" s="166">
        <v>9</v>
      </c>
      <c r="AX1005" s="166">
        <v>1</v>
      </c>
      <c r="AY1005" s="166">
        <v>0</v>
      </c>
      <c r="AZ1005" s="166">
        <v>0</v>
      </c>
      <c r="BA1005" s="166">
        <v>0</v>
      </c>
      <c r="BB1005" s="166">
        <v>0</v>
      </c>
      <c r="BC1005" s="166">
        <v>0</v>
      </c>
      <c r="BD1005" s="166">
        <v>0</v>
      </c>
      <c r="BE1005" s="166">
        <v>0</v>
      </c>
      <c r="BF1005" s="166">
        <v>0</v>
      </c>
      <c r="BG1005" s="166">
        <v>0</v>
      </c>
      <c r="BH1005" s="166">
        <v>0</v>
      </c>
      <c r="BI1005" s="166">
        <v>0</v>
      </c>
      <c r="BJ1005" s="166">
        <v>0</v>
      </c>
      <c r="BK1005" s="166">
        <v>0</v>
      </c>
      <c r="BL1005" s="166">
        <v>0</v>
      </c>
      <c r="BM1005" s="166">
        <v>0</v>
      </c>
      <c r="BN1005" s="166">
        <v>0</v>
      </c>
      <c r="BO1005" s="166">
        <v>0</v>
      </c>
      <c r="BP1005" s="166">
        <v>0</v>
      </c>
      <c r="BQ1005" s="81" t="s">
        <v>1757</v>
      </c>
      <c r="BR1005" s="81" t="s">
        <v>160</v>
      </c>
      <c r="BZ1005" s="81" t="s">
        <v>155</v>
      </c>
      <c r="CA1005" s="81" t="s">
        <v>1957</v>
      </c>
      <c r="CC1005" s="167">
        <v>0</v>
      </c>
      <c r="CD1005" s="167">
        <v>0</v>
      </c>
      <c r="CE1005" s="167">
        <f>N1005</f>
        <v>10</v>
      </c>
      <c r="CF1005" s="167">
        <v>0</v>
      </c>
      <c r="CG1005" s="167">
        <v>0</v>
      </c>
      <c r="CH1005" s="167">
        <v>0</v>
      </c>
      <c r="CI1005" s="167">
        <v>0</v>
      </c>
      <c r="CJ1005" s="167">
        <v>0</v>
      </c>
      <c r="CK1005" s="167">
        <v>0</v>
      </c>
      <c r="CL1005" s="167">
        <v>0</v>
      </c>
      <c r="CM1005" s="167">
        <v>0</v>
      </c>
      <c r="CN1005" s="167">
        <v>0</v>
      </c>
      <c r="CO1005" s="167">
        <v>0</v>
      </c>
      <c r="CP1005" s="167">
        <v>0</v>
      </c>
      <c r="CQ1005" s="167">
        <v>0</v>
      </c>
      <c r="CR1005" s="167">
        <v>0</v>
      </c>
      <c r="CS1005" s="167">
        <v>0</v>
      </c>
      <c r="CT1005" s="167">
        <v>0</v>
      </c>
      <c r="CU1005" s="167">
        <v>0</v>
      </c>
      <c r="CV1005" s="167">
        <v>0</v>
      </c>
      <c r="CW1005" s="167">
        <v>0</v>
      </c>
      <c r="CX1005" s="167">
        <f>SUM(CD1005:CH1005)</f>
        <v>10</v>
      </c>
      <c r="CY1005" s="167">
        <f>SUM(CD1005:CM1005)</f>
        <v>10</v>
      </c>
    </row>
    <row r="1006" spans="1:103" ht="12.75" customHeight="1" x14ac:dyDescent="0.2">
      <c r="A1006" s="81">
        <v>6373</v>
      </c>
      <c r="B1006" s="165" t="s">
        <v>1930</v>
      </c>
      <c r="C1006" s="165" t="s">
        <v>1501</v>
      </c>
      <c r="E1006" s="165" t="s">
        <v>3961</v>
      </c>
      <c r="F1006" s="165" t="s">
        <v>1504</v>
      </c>
      <c r="G1006" s="81">
        <v>527327</v>
      </c>
      <c r="H1006" s="81">
        <v>175384</v>
      </c>
      <c r="I1006" s="165" t="s">
        <v>255</v>
      </c>
      <c r="L1006" s="166">
        <v>0</v>
      </c>
      <c r="M1006" s="166">
        <v>10</v>
      </c>
      <c r="N1006" s="166">
        <v>10</v>
      </c>
      <c r="O1006" s="166">
        <v>35</v>
      </c>
      <c r="P1006" s="166">
        <v>35</v>
      </c>
      <c r="Q1006" s="81" t="s">
        <v>155</v>
      </c>
      <c r="R1006" s="165" t="s">
        <v>1503</v>
      </c>
      <c r="S1006" s="81" t="s">
        <v>270</v>
      </c>
      <c r="T1006" s="349">
        <v>42716</v>
      </c>
      <c r="U1006" s="349">
        <v>42772</v>
      </c>
      <c r="W1006" s="81" t="s">
        <v>114</v>
      </c>
      <c r="Y1006" s="81" t="s">
        <v>115</v>
      </c>
      <c r="Z1006" s="81" t="s">
        <v>310</v>
      </c>
      <c r="AA1006" s="81" t="s">
        <v>117</v>
      </c>
      <c r="AB1006" s="81" t="s">
        <v>399</v>
      </c>
      <c r="AC1006" s="166">
        <v>4.3000001460313797E-2</v>
      </c>
      <c r="AG1006" s="81" t="s">
        <v>238</v>
      </c>
      <c r="AH1006" s="81" t="s">
        <v>118</v>
      </c>
      <c r="AK1006" s="166">
        <v>0</v>
      </c>
      <c r="AM1006" s="166">
        <v>0</v>
      </c>
      <c r="AO1006" s="166">
        <v>0</v>
      </c>
      <c r="AP1006" s="166">
        <v>9</v>
      </c>
      <c r="AQ1006" s="166">
        <v>1</v>
      </c>
      <c r="AR1006" s="166">
        <v>0</v>
      </c>
      <c r="AS1006" s="166">
        <v>0</v>
      </c>
      <c r="AT1006" s="166">
        <v>0</v>
      </c>
      <c r="AU1006" s="166">
        <v>0</v>
      </c>
      <c r="AV1006" s="166">
        <v>0</v>
      </c>
      <c r="AW1006" s="166">
        <v>9</v>
      </c>
      <c r="AX1006" s="166">
        <v>1</v>
      </c>
      <c r="AY1006" s="166">
        <v>0</v>
      </c>
      <c r="AZ1006" s="166">
        <v>0</v>
      </c>
      <c r="BA1006" s="166">
        <v>0</v>
      </c>
      <c r="BB1006" s="166">
        <v>0</v>
      </c>
      <c r="BC1006" s="166">
        <v>0</v>
      </c>
      <c r="BD1006" s="166">
        <v>0</v>
      </c>
      <c r="BE1006" s="166">
        <v>0</v>
      </c>
      <c r="BF1006" s="166">
        <v>0</v>
      </c>
      <c r="BG1006" s="166">
        <v>0</v>
      </c>
      <c r="BH1006" s="166">
        <v>0</v>
      </c>
      <c r="BI1006" s="166">
        <v>0</v>
      </c>
      <c r="BJ1006" s="166">
        <v>0</v>
      </c>
      <c r="BK1006" s="166">
        <v>0</v>
      </c>
      <c r="BL1006" s="166">
        <v>0</v>
      </c>
      <c r="BM1006" s="166">
        <v>0</v>
      </c>
      <c r="BN1006" s="166">
        <v>0</v>
      </c>
      <c r="BO1006" s="166">
        <v>0</v>
      </c>
      <c r="BP1006" s="166">
        <v>0</v>
      </c>
      <c r="BQ1006" s="81" t="s">
        <v>1757</v>
      </c>
      <c r="BR1006" s="81" t="s">
        <v>160</v>
      </c>
      <c r="BZ1006" s="81" t="s">
        <v>155</v>
      </c>
      <c r="CA1006" s="81" t="s">
        <v>1957</v>
      </c>
      <c r="CC1006" s="167">
        <v>0</v>
      </c>
      <c r="CD1006" s="167">
        <v>0</v>
      </c>
      <c r="CE1006" s="167">
        <f>N1006</f>
        <v>10</v>
      </c>
      <c r="CF1006" s="167">
        <v>0</v>
      </c>
      <c r="CG1006" s="167">
        <v>0</v>
      </c>
      <c r="CH1006" s="167">
        <v>0</v>
      </c>
      <c r="CI1006" s="167">
        <v>0</v>
      </c>
      <c r="CJ1006" s="167">
        <v>0</v>
      </c>
      <c r="CK1006" s="167">
        <v>0</v>
      </c>
      <c r="CL1006" s="167">
        <v>0</v>
      </c>
      <c r="CM1006" s="167">
        <v>0</v>
      </c>
      <c r="CN1006" s="167">
        <v>0</v>
      </c>
      <c r="CO1006" s="167">
        <v>0</v>
      </c>
      <c r="CP1006" s="167">
        <v>0</v>
      </c>
      <c r="CQ1006" s="167">
        <v>0</v>
      </c>
      <c r="CR1006" s="167">
        <v>0</v>
      </c>
      <c r="CS1006" s="167">
        <v>0</v>
      </c>
      <c r="CT1006" s="167">
        <v>0</v>
      </c>
      <c r="CU1006" s="167">
        <v>0</v>
      </c>
      <c r="CV1006" s="167">
        <v>0</v>
      </c>
      <c r="CW1006" s="167">
        <v>0</v>
      </c>
      <c r="CX1006" s="167">
        <f>SUM(CD1006:CH1006)</f>
        <v>10</v>
      </c>
      <c r="CY1006" s="167">
        <f>SUM(CD1006:CM1006)</f>
        <v>10</v>
      </c>
    </row>
    <row r="1007" spans="1:103" ht="12.75" customHeight="1" x14ac:dyDescent="0.2">
      <c r="A1007" s="81">
        <v>6373</v>
      </c>
      <c r="B1007" s="165" t="s">
        <v>1930</v>
      </c>
      <c r="C1007" s="165" t="s">
        <v>1501</v>
      </c>
      <c r="E1007" s="165" t="s">
        <v>3961</v>
      </c>
      <c r="F1007" s="165" t="s">
        <v>1505</v>
      </c>
      <c r="G1007" s="81">
        <v>527327</v>
      </c>
      <c r="H1007" s="81">
        <v>175384</v>
      </c>
      <c r="I1007" s="165" t="s">
        <v>255</v>
      </c>
      <c r="L1007" s="166">
        <v>0</v>
      </c>
      <c r="M1007" s="166">
        <v>10</v>
      </c>
      <c r="N1007" s="166">
        <v>10</v>
      </c>
      <c r="O1007" s="166">
        <v>35</v>
      </c>
      <c r="P1007" s="166">
        <v>35</v>
      </c>
      <c r="Q1007" s="81" t="s">
        <v>155</v>
      </c>
      <c r="R1007" s="165" t="s">
        <v>1503</v>
      </c>
      <c r="S1007" s="81" t="s">
        <v>270</v>
      </c>
      <c r="T1007" s="349">
        <v>42716</v>
      </c>
      <c r="U1007" s="349">
        <v>42772</v>
      </c>
      <c r="W1007" s="81" t="s">
        <v>114</v>
      </c>
      <c r="Y1007" s="81" t="s">
        <v>115</v>
      </c>
      <c r="Z1007" s="81" t="s">
        <v>310</v>
      </c>
      <c r="AA1007" s="81" t="s">
        <v>117</v>
      </c>
      <c r="AB1007" s="81" t="s">
        <v>399</v>
      </c>
      <c r="AC1007" s="166">
        <v>3.9000000804662698E-2</v>
      </c>
      <c r="AG1007" s="81" t="s">
        <v>238</v>
      </c>
      <c r="AH1007" s="81" t="s">
        <v>118</v>
      </c>
      <c r="AK1007" s="166">
        <v>0</v>
      </c>
      <c r="AM1007" s="166">
        <v>0</v>
      </c>
      <c r="AO1007" s="166">
        <v>0</v>
      </c>
      <c r="AP1007" s="166">
        <v>9</v>
      </c>
      <c r="AQ1007" s="166">
        <v>1</v>
      </c>
      <c r="AR1007" s="166">
        <v>0</v>
      </c>
      <c r="AS1007" s="166">
        <v>0</v>
      </c>
      <c r="AT1007" s="166">
        <v>0</v>
      </c>
      <c r="AU1007" s="166">
        <v>0</v>
      </c>
      <c r="AV1007" s="166">
        <v>0</v>
      </c>
      <c r="AW1007" s="166">
        <v>9</v>
      </c>
      <c r="AX1007" s="166">
        <v>1</v>
      </c>
      <c r="AY1007" s="166">
        <v>0</v>
      </c>
      <c r="AZ1007" s="166">
        <v>0</v>
      </c>
      <c r="BA1007" s="166">
        <v>0</v>
      </c>
      <c r="BB1007" s="166">
        <v>0</v>
      </c>
      <c r="BC1007" s="166">
        <v>0</v>
      </c>
      <c r="BD1007" s="166">
        <v>0</v>
      </c>
      <c r="BE1007" s="166">
        <v>0</v>
      </c>
      <c r="BF1007" s="166">
        <v>0</v>
      </c>
      <c r="BG1007" s="166">
        <v>0</v>
      </c>
      <c r="BH1007" s="166">
        <v>0</v>
      </c>
      <c r="BI1007" s="166">
        <v>0</v>
      </c>
      <c r="BJ1007" s="166">
        <v>0</v>
      </c>
      <c r="BK1007" s="166">
        <v>0</v>
      </c>
      <c r="BL1007" s="166">
        <v>0</v>
      </c>
      <c r="BM1007" s="166">
        <v>0</v>
      </c>
      <c r="BN1007" s="166">
        <v>0</v>
      </c>
      <c r="BO1007" s="166">
        <v>0</v>
      </c>
      <c r="BP1007" s="166">
        <v>0</v>
      </c>
      <c r="BQ1007" s="81" t="s">
        <v>1757</v>
      </c>
      <c r="BR1007" s="81" t="s">
        <v>160</v>
      </c>
      <c r="BZ1007" s="81" t="s">
        <v>155</v>
      </c>
      <c r="CA1007" s="81" t="s">
        <v>1957</v>
      </c>
      <c r="CC1007" s="167">
        <v>0</v>
      </c>
      <c r="CD1007" s="167">
        <v>0</v>
      </c>
      <c r="CE1007" s="167">
        <f>N1007</f>
        <v>10</v>
      </c>
      <c r="CF1007" s="167">
        <v>0</v>
      </c>
      <c r="CG1007" s="167">
        <v>0</v>
      </c>
      <c r="CH1007" s="167">
        <v>0</v>
      </c>
      <c r="CI1007" s="167">
        <v>0</v>
      </c>
      <c r="CJ1007" s="167">
        <v>0</v>
      </c>
      <c r="CK1007" s="167">
        <v>0</v>
      </c>
      <c r="CL1007" s="167">
        <v>0</v>
      </c>
      <c r="CM1007" s="167">
        <v>0</v>
      </c>
      <c r="CN1007" s="167">
        <v>0</v>
      </c>
      <c r="CO1007" s="167">
        <v>0</v>
      </c>
      <c r="CP1007" s="167">
        <v>0</v>
      </c>
      <c r="CQ1007" s="167">
        <v>0</v>
      </c>
      <c r="CR1007" s="167">
        <v>0</v>
      </c>
      <c r="CS1007" s="167">
        <v>0</v>
      </c>
      <c r="CT1007" s="167">
        <v>0</v>
      </c>
      <c r="CU1007" s="167">
        <v>0</v>
      </c>
      <c r="CV1007" s="167">
        <v>0</v>
      </c>
      <c r="CW1007" s="167">
        <v>0</v>
      </c>
      <c r="CX1007" s="167">
        <f>SUM(CD1007:CH1007)</f>
        <v>10</v>
      </c>
      <c r="CY1007" s="167">
        <f>SUM(CD1007:CM1007)</f>
        <v>10</v>
      </c>
    </row>
    <row r="1008" spans="1:103" ht="12.75" customHeight="1" x14ac:dyDescent="0.2">
      <c r="A1008" s="81">
        <v>6373</v>
      </c>
      <c r="B1008" s="165" t="s">
        <v>1930</v>
      </c>
      <c r="C1008" s="165" t="s">
        <v>1501</v>
      </c>
      <c r="E1008" s="165" t="s">
        <v>3961</v>
      </c>
      <c r="F1008" s="165" t="s">
        <v>1506</v>
      </c>
      <c r="G1008" s="81">
        <v>527327</v>
      </c>
      <c r="H1008" s="81">
        <v>175384</v>
      </c>
      <c r="I1008" s="165" t="s">
        <v>255</v>
      </c>
      <c r="L1008" s="166">
        <v>0</v>
      </c>
      <c r="M1008" s="166">
        <v>5</v>
      </c>
      <c r="N1008" s="166">
        <v>5</v>
      </c>
      <c r="O1008" s="166">
        <v>35</v>
      </c>
      <c r="P1008" s="166">
        <v>35</v>
      </c>
      <c r="Q1008" s="81" t="s">
        <v>155</v>
      </c>
      <c r="R1008" s="165" t="s">
        <v>1503</v>
      </c>
      <c r="S1008" s="81" t="s">
        <v>270</v>
      </c>
      <c r="T1008" s="349">
        <v>42716</v>
      </c>
      <c r="U1008" s="349">
        <v>42772</v>
      </c>
      <c r="W1008" s="81" t="s">
        <v>114</v>
      </c>
      <c r="Y1008" s="81" t="s">
        <v>115</v>
      </c>
      <c r="Z1008" s="81" t="s">
        <v>310</v>
      </c>
      <c r="AA1008" s="81" t="s">
        <v>117</v>
      </c>
      <c r="AB1008" s="81" t="s">
        <v>399</v>
      </c>
      <c r="AC1008" s="166">
        <v>1.9999999552965199E-2</v>
      </c>
      <c r="AG1008" s="81" t="s">
        <v>238</v>
      </c>
      <c r="AH1008" s="81" t="s">
        <v>118</v>
      </c>
      <c r="AK1008" s="166">
        <v>0</v>
      </c>
      <c r="AM1008" s="166">
        <v>0</v>
      </c>
      <c r="AO1008" s="166">
        <v>0</v>
      </c>
      <c r="AP1008" s="166">
        <v>5</v>
      </c>
      <c r="AQ1008" s="166">
        <v>0</v>
      </c>
      <c r="AR1008" s="166">
        <v>0</v>
      </c>
      <c r="AS1008" s="166">
        <v>0</v>
      </c>
      <c r="AT1008" s="166">
        <v>0</v>
      </c>
      <c r="AU1008" s="166">
        <v>0</v>
      </c>
      <c r="AV1008" s="166">
        <v>0</v>
      </c>
      <c r="AW1008" s="166">
        <v>5</v>
      </c>
      <c r="AX1008" s="166">
        <v>0</v>
      </c>
      <c r="AY1008" s="166">
        <v>0</v>
      </c>
      <c r="AZ1008" s="166">
        <v>0</v>
      </c>
      <c r="BA1008" s="166">
        <v>0</v>
      </c>
      <c r="BB1008" s="166">
        <v>0</v>
      </c>
      <c r="BC1008" s="166">
        <v>0</v>
      </c>
      <c r="BD1008" s="166">
        <v>0</v>
      </c>
      <c r="BE1008" s="166">
        <v>0</v>
      </c>
      <c r="BF1008" s="166">
        <v>0</v>
      </c>
      <c r="BG1008" s="166">
        <v>0</v>
      </c>
      <c r="BH1008" s="166">
        <v>0</v>
      </c>
      <c r="BI1008" s="166">
        <v>0</v>
      </c>
      <c r="BJ1008" s="166">
        <v>0</v>
      </c>
      <c r="BK1008" s="166">
        <v>0</v>
      </c>
      <c r="BL1008" s="166">
        <v>0</v>
      </c>
      <c r="BM1008" s="166">
        <v>0</v>
      </c>
      <c r="BN1008" s="166">
        <v>0</v>
      </c>
      <c r="BO1008" s="166">
        <v>0</v>
      </c>
      <c r="BP1008" s="166">
        <v>0</v>
      </c>
      <c r="BQ1008" s="81" t="s">
        <v>1757</v>
      </c>
      <c r="BR1008" s="81" t="s">
        <v>160</v>
      </c>
      <c r="BZ1008" s="81" t="s">
        <v>155</v>
      </c>
      <c r="CA1008" s="81" t="s">
        <v>1957</v>
      </c>
      <c r="CC1008" s="167">
        <v>0</v>
      </c>
      <c r="CD1008" s="167">
        <v>0</v>
      </c>
      <c r="CE1008" s="167">
        <f>N1008</f>
        <v>5</v>
      </c>
      <c r="CF1008" s="167">
        <v>0</v>
      </c>
      <c r="CG1008" s="167">
        <v>0</v>
      </c>
      <c r="CH1008" s="167">
        <v>0</v>
      </c>
      <c r="CI1008" s="167">
        <v>0</v>
      </c>
      <c r="CJ1008" s="167">
        <v>0</v>
      </c>
      <c r="CK1008" s="167">
        <v>0</v>
      </c>
      <c r="CL1008" s="167">
        <v>0</v>
      </c>
      <c r="CM1008" s="167">
        <v>0</v>
      </c>
      <c r="CN1008" s="167">
        <v>0</v>
      </c>
      <c r="CO1008" s="167">
        <v>0</v>
      </c>
      <c r="CP1008" s="167">
        <v>0</v>
      </c>
      <c r="CQ1008" s="167">
        <v>0</v>
      </c>
      <c r="CR1008" s="167">
        <v>0</v>
      </c>
      <c r="CS1008" s="167">
        <v>0</v>
      </c>
      <c r="CT1008" s="167">
        <v>0</v>
      </c>
      <c r="CU1008" s="167">
        <v>0</v>
      </c>
      <c r="CV1008" s="167">
        <v>0</v>
      </c>
      <c r="CW1008" s="167">
        <v>0</v>
      </c>
      <c r="CX1008" s="167">
        <f>SUM(CD1008:CH1008)</f>
        <v>5</v>
      </c>
      <c r="CY1008" s="167">
        <f>SUM(CD1008:CM1008)</f>
        <v>5</v>
      </c>
    </row>
    <row r="1009" spans="1:103" ht="12.75" customHeight="1" x14ac:dyDescent="0.2">
      <c r="A1009" s="81">
        <v>6376</v>
      </c>
      <c r="B1009" s="165" t="s">
        <v>1930</v>
      </c>
      <c r="C1009" s="165" t="s">
        <v>1507</v>
      </c>
      <c r="E1009" s="165" t="s">
        <v>2743</v>
      </c>
      <c r="G1009" s="81">
        <v>527524</v>
      </c>
      <c r="H1009" s="81">
        <v>173106</v>
      </c>
      <c r="I1009" s="165" t="s">
        <v>254</v>
      </c>
      <c r="L1009" s="166">
        <v>1</v>
      </c>
      <c r="M1009" s="166">
        <v>2</v>
      </c>
      <c r="N1009" s="166">
        <v>1</v>
      </c>
      <c r="O1009" s="166">
        <v>2</v>
      </c>
      <c r="P1009" s="166">
        <v>1</v>
      </c>
      <c r="R1009" s="165" t="s">
        <v>1508</v>
      </c>
      <c r="S1009" s="81" t="s">
        <v>113</v>
      </c>
      <c r="T1009" s="349">
        <v>42716</v>
      </c>
      <c r="U1009" s="349">
        <v>42793</v>
      </c>
      <c r="W1009" s="81" t="s">
        <v>114</v>
      </c>
      <c r="Y1009" s="81" t="s">
        <v>115</v>
      </c>
      <c r="Z1009" s="81" t="s">
        <v>119</v>
      </c>
      <c r="AA1009" s="81" t="s">
        <v>117</v>
      </c>
      <c r="AB1009" s="81" t="s">
        <v>220</v>
      </c>
      <c r="AC1009" s="166">
        <v>8.0000003799796104E-3</v>
      </c>
      <c r="AG1009" s="81" t="s">
        <v>238</v>
      </c>
      <c r="AH1009" s="81" t="s">
        <v>118</v>
      </c>
      <c r="AK1009" s="166">
        <v>0</v>
      </c>
      <c r="AM1009" s="166">
        <v>0</v>
      </c>
      <c r="AO1009" s="166">
        <v>0</v>
      </c>
      <c r="AP1009" s="166">
        <v>1</v>
      </c>
      <c r="AQ1009" s="166">
        <v>0</v>
      </c>
      <c r="AR1009" s="166">
        <v>0</v>
      </c>
      <c r="AS1009" s="166">
        <v>0</v>
      </c>
      <c r="AT1009" s="166">
        <v>0</v>
      </c>
      <c r="AU1009" s="166">
        <v>0</v>
      </c>
      <c r="AV1009" s="166">
        <v>0</v>
      </c>
      <c r="AW1009" s="166">
        <v>1</v>
      </c>
      <c r="AX1009" s="166">
        <v>0</v>
      </c>
      <c r="AY1009" s="166">
        <v>0</v>
      </c>
      <c r="AZ1009" s="166">
        <v>0</v>
      </c>
      <c r="BA1009" s="166">
        <v>0</v>
      </c>
      <c r="BB1009" s="166">
        <v>0</v>
      </c>
      <c r="BC1009" s="166">
        <v>0</v>
      </c>
      <c r="BD1009" s="166">
        <v>0</v>
      </c>
      <c r="BE1009" s="166">
        <v>0</v>
      </c>
      <c r="BF1009" s="166">
        <v>0</v>
      </c>
      <c r="BG1009" s="166">
        <v>0</v>
      </c>
      <c r="BH1009" s="166">
        <v>0</v>
      </c>
      <c r="BI1009" s="166">
        <v>0</v>
      </c>
      <c r="BJ1009" s="166">
        <v>0</v>
      </c>
      <c r="BK1009" s="166">
        <v>0</v>
      </c>
      <c r="BL1009" s="166">
        <v>0</v>
      </c>
      <c r="BM1009" s="166">
        <v>0</v>
      </c>
      <c r="BN1009" s="166">
        <v>0</v>
      </c>
      <c r="BO1009" s="166">
        <v>0</v>
      </c>
      <c r="BP1009" s="166">
        <v>0</v>
      </c>
      <c r="BQ1009" s="81" t="s">
        <v>1757</v>
      </c>
      <c r="BZ1009" s="81" t="s">
        <v>155</v>
      </c>
      <c r="CA1009" s="81" t="s">
        <v>1937</v>
      </c>
      <c r="CC1009" s="167">
        <v>0</v>
      </c>
      <c r="CD1009" s="167">
        <f>$N1009/4</f>
        <v>0.25</v>
      </c>
      <c r="CE1009" s="167">
        <f>$N1009/4</f>
        <v>0.25</v>
      </c>
      <c r="CF1009" s="167">
        <f>$N1009/4</f>
        <v>0.25</v>
      </c>
      <c r="CG1009" s="167">
        <f>$N1009/4</f>
        <v>0.25</v>
      </c>
      <c r="CH1009" s="167">
        <v>0</v>
      </c>
      <c r="CI1009" s="167">
        <v>0</v>
      </c>
      <c r="CJ1009" s="167">
        <v>0</v>
      </c>
      <c r="CK1009" s="167">
        <v>0</v>
      </c>
      <c r="CL1009" s="167">
        <v>0</v>
      </c>
      <c r="CM1009" s="167">
        <v>0</v>
      </c>
      <c r="CN1009" s="167">
        <v>0</v>
      </c>
      <c r="CO1009" s="167">
        <v>0</v>
      </c>
      <c r="CP1009" s="167">
        <v>0</v>
      </c>
      <c r="CQ1009" s="167">
        <v>0</v>
      </c>
      <c r="CR1009" s="167">
        <v>0</v>
      </c>
      <c r="CS1009" s="167">
        <v>0</v>
      </c>
      <c r="CT1009" s="167">
        <v>0</v>
      </c>
      <c r="CU1009" s="167">
        <v>0</v>
      </c>
      <c r="CV1009" s="167">
        <v>0</v>
      </c>
      <c r="CW1009" s="167">
        <v>0</v>
      </c>
      <c r="CX1009" s="167">
        <f>SUM(CD1009:CH1009)</f>
        <v>1</v>
      </c>
      <c r="CY1009" s="167">
        <f>SUM(CD1009:CM1009)</f>
        <v>1</v>
      </c>
    </row>
    <row r="1010" spans="1:103" ht="12.75" customHeight="1" x14ac:dyDescent="0.2">
      <c r="A1010" s="81">
        <v>6379</v>
      </c>
      <c r="B1010" s="165" t="s">
        <v>1930</v>
      </c>
      <c r="C1010" s="165" t="s">
        <v>1416</v>
      </c>
      <c r="E1010" s="165" t="s">
        <v>2744</v>
      </c>
      <c r="G1010" s="81">
        <v>528016</v>
      </c>
      <c r="H1010" s="81">
        <v>174865</v>
      </c>
      <c r="I1010" s="165" t="s">
        <v>255</v>
      </c>
      <c r="L1010" s="166">
        <v>2</v>
      </c>
      <c r="M1010" s="166">
        <v>1</v>
      </c>
      <c r="N1010" s="166">
        <v>-1</v>
      </c>
      <c r="O1010" s="166">
        <v>1</v>
      </c>
      <c r="P1010" s="166">
        <v>-1</v>
      </c>
      <c r="R1010" s="165" t="s">
        <v>1417</v>
      </c>
      <c r="S1010" s="81" t="s">
        <v>113</v>
      </c>
      <c r="T1010" s="349">
        <v>42633</v>
      </c>
      <c r="U1010" s="349">
        <v>42688</v>
      </c>
      <c r="W1010" s="81" t="s">
        <v>114</v>
      </c>
      <c r="Y1010" s="81" t="s">
        <v>115</v>
      </c>
      <c r="Z1010" s="81" t="s">
        <v>119</v>
      </c>
      <c r="AA1010" s="81" t="s">
        <v>117</v>
      </c>
      <c r="AB1010" s="81" t="s">
        <v>336</v>
      </c>
      <c r="AC1010" s="166">
        <v>1.09999999403954E-2</v>
      </c>
      <c r="AG1010" s="81" t="s">
        <v>238</v>
      </c>
      <c r="AH1010" s="81" t="s">
        <v>118</v>
      </c>
      <c r="AK1010" s="166">
        <v>0</v>
      </c>
      <c r="AM1010" s="166">
        <v>0</v>
      </c>
      <c r="AO1010" s="166">
        <v>0</v>
      </c>
      <c r="AP1010" s="166">
        <v>-1</v>
      </c>
      <c r="AQ1010" s="166">
        <v>-1</v>
      </c>
      <c r="AR1010" s="166">
        <v>0</v>
      </c>
      <c r="AS1010" s="166">
        <v>1</v>
      </c>
      <c r="AT1010" s="166">
        <v>0</v>
      </c>
      <c r="AU1010" s="166">
        <v>0</v>
      </c>
      <c r="AV1010" s="166">
        <v>0</v>
      </c>
      <c r="AW1010" s="166">
        <v>-1</v>
      </c>
      <c r="AX1010" s="166">
        <v>-1</v>
      </c>
      <c r="AY1010" s="166">
        <v>0</v>
      </c>
      <c r="AZ1010" s="166">
        <v>0</v>
      </c>
      <c r="BA1010" s="166">
        <v>0</v>
      </c>
      <c r="BB1010" s="166">
        <v>0</v>
      </c>
      <c r="BC1010" s="166">
        <v>0</v>
      </c>
      <c r="BD1010" s="166">
        <v>0</v>
      </c>
      <c r="BE1010" s="166">
        <v>0</v>
      </c>
      <c r="BF1010" s="166">
        <v>0</v>
      </c>
      <c r="BG1010" s="166">
        <v>1</v>
      </c>
      <c r="BH1010" s="166">
        <v>0</v>
      </c>
      <c r="BI1010" s="166">
        <v>0</v>
      </c>
      <c r="BJ1010" s="166">
        <v>0</v>
      </c>
      <c r="BK1010" s="166">
        <v>0</v>
      </c>
      <c r="BL1010" s="166">
        <v>0</v>
      </c>
      <c r="BM1010" s="166">
        <v>0</v>
      </c>
      <c r="BN1010" s="166">
        <v>0</v>
      </c>
      <c r="BO1010" s="166">
        <v>0</v>
      </c>
      <c r="BP1010" s="166">
        <v>0</v>
      </c>
      <c r="BQ1010" s="81" t="s">
        <v>1757</v>
      </c>
      <c r="BZ1010" s="81" t="s">
        <v>155</v>
      </c>
      <c r="CA1010" s="81" t="s">
        <v>1937</v>
      </c>
      <c r="CC1010" s="167">
        <v>0</v>
      </c>
      <c r="CD1010" s="167">
        <f>$N1010/4</f>
        <v>-0.25</v>
      </c>
      <c r="CE1010" s="167">
        <f>$N1010/4</f>
        <v>-0.25</v>
      </c>
      <c r="CF1010" s="167">
        <f>$N1010/4</f>
        <v>-0.25</v>
      </c>
      <c r="CG1010" s="167">
        <f>$N1010/4</f>
        <v>-0.25</v>
      </c>
      <c r="CH1010" s="167">
        <v>0</v>
      </c>
      <c r="CI1010" s="167">
        <v>0</v>
      </c>
      <c r="CJ1010" s="167">
        <v>0</v>
      </c>
      <c r="CK1010" s="167">
        <v>0</v>
      </c>
      <c r="CL1010" s="167">
        <v>0</v>
      </c>
      <c r="CM1010" s="167">
        <v>0</v>
      </c>
      <c r="CN1010" s="167">
        <v>0</v>
      </c>
      <c r="CO1010" s="167">
        <v>0</v>
      </c>
      <c r="CP1010" s="167">
        <v>0</v>
      </c>
      <c r="CQ1010" s="167">
        <v>0</v>
      </c>
      <c r="CR1010" s="167">
        <v>0</v>
      </c>
      <c r="CS1010" s="167">
        <v>0</v>
      </c>
      <c r="CT1010" s="167">
        <v>0</v>
      </c>
      <c r="CU1010" s="167">
        <v>0</v>
      </c>
      <c r="CV1010" s="167">
        <v>0</v>
      </c>
      <c r="CW1010" s="167">
        <v>0</v>
      </c>
      <c r="CX1010" s="167">
        <f>SUM(CD1010:CH1010)</f>
        <v>-1</v>
      </c>
      <c r="CY1010" s="167">
        <f>SUM(CD1010:CM1010)</f>
        <v>-1</v>
      </c>
    </row>
    <row r="1011" spans="1:103" ht="12.75" customHeight="1" x14ac:dyDescent="0.2">
      <c r="A1011" s="81">
        <v>6381</v>
      </c>
      <c r="B1011" s="165" t="s">
        <v>1930</v>
      </c>
      <c r="C1011" s="165" t="s">
        <v>1441</v>
      </c>
      <c r="E1011" s="165" t="s">
        <v>2745</v>
      </c>
      <c r="G1011" s="81">
        <v>528420</v>
      </c>
      <c r="H1011" s="81">
        <v>173036</v>
      </c>
      <c r="I1011" s="165" t="s">
        <v>248</v>
      </c>
      <c r="L1011" s="166">
        <v>0</v>
      </c>
      <c r="M1011" s="166">
        <v>1</v>
      </c>
      <c r="N1011" s="166">
        <v>1</v>
      </c>
      <c r="O1011" s="166">
        <v>1</v>
      </c>
      <c r="P1011" s="166">
        <v>1</v>
      </c>
      <c r="R1011" s="165" t="s">
        <v>1442</v>
      </c>
      <c r="S1011" s="81" t="s">
        <v>113</v>
      </c>
      <c r="T1011" s="349">
        <v>42648</v>
      </c>
      <c r="U1011" s="349">
        <v>42704</v>
      </c>
      <c r="W1011" s="81" t="s">
        <v>114</v>
      </c>
      <c r="Y1011" s="81" t="s">
        <v>115</v>
      </c>
      <c r="Z1011" s="81" t="s">
        <v>310</v>
      </c>
      <c r="AA1011" s="81" t="s">
        <v>117</v>
      </c>
      <c r="AB1011" s="81" t="s">
        <v>311</v>
      </c>
      <c r="AC1011" s="166">
        <v>6.0000000521540598E-3</v>
      </c>
      <c r="AG1011" s="81" t="s">
        <v>238</v>
      </c>
      <c r="AH1011" s="81" t="s">
        <v>118</v>
      </c>
      <c r="AK1011" s="166">
        <v>0</v>
      </c>
      <c r="AM1011" s="166">
        <v>0</v>
      </c>
      <c r="AO1011" s="166">
        <v>0</v>
      </c>
      <c r="AP1011" s="166">
        <v>0</v>
      </c>
      <c r="AQ1011" s="166">
        <v>0</v>
      </c>
      <c r="AR1011" s="166">
        <v>1</v>
      </c>
      <c r="AS1011" s="166">
        <v>0</v>
      </c>
      <c r="AT1011" s="166">
        <v>0</v>
      </c>
      <c r="AU1011" s="166">
        <v>0</v>
      </c>
      <c r="AV1011" s="166">
        <v>0</v>
      </c>
      <c r="AW1011" s="166">
        <v>0</v>
      </c>
      <c r="AX1011" s="166">
        <v>0</v>
      </c>
      <c r="AY1011" s="166">
        <v>0</v>
      </c>
      <c r="AZ1011" s="166">
        <v>0</v>
      </c>
      <c r="BA1011" s="166">
        <v>0</v>
      </c>
      <c r="BB1011" s="166">
        <v>0</v>
      </c>
      <c r="BC1011" s="166">
        <v>0</v>
      </c>
      <c r="BD1011" s="166">
        <v>0</v>
      </c>
      <c r="BE1011" s="166">
        <v>0</v>
      </c>
      <c r="BF1011" s="166">
        <v>1</v>
      </c>
      <c r="BG1011" s="166">
        <v>0</v>
      </c>
      <c r="BH1011" s="166">
        <v>0</v>
      </c>
      <c r="BI1011" s="166">
        <v>0</v>
      </c>
      <c r="BJ1011" s="166">
        <v>0</v>
      </c>
      <c r="BK1011" s="166">
        <v>0</v>
      </c>
      <c r="BL1011" s="166">
        <v>0</v>
      </c>
      <c r="BM1011" s="166">
        <v>0</v>
      </c>
      <c r="BN1011" s="166">
        <v>0</v>
      </c>
      <c r="BO1011" s="166">
        <v>0</v>
      </c>
      <c r="BP1011" s="166">
        <v>0</v>
      </c>
      <c r="BQ1011" s="81" t="s">
        <v>1757</v>
      </c>
      <c r="BZ1011" s="81" t="s">
        <v>155</v>
      </c>
      <c r="CA1011" s="81" t="s">
        <v>1937</v>
      </c>
      <c r="CC1011" s="167">
        <v>0</v>
      </c>
      <c r="CD1011" s="167">
        <f>$N1011/4</f>
        <v>0.25</v>
      </c>
      <c r="CE1011" s="167">
        <f>$N1011/4</f>
        <v>0.25</v>
      </c>
      <c r="CF1011" s="167">
        <f>$N1011/4</f>
        <v>0.25</v>
      </c>
      <c r="CG1011" s="167">
        <f>$N1011/4</f>
        <v>0.25</v>
      </c>
      <c r="CH1011" s="167">
        <v>0</v>
      </c>
      <c r="CI1011" s="167">
        <v>0</v>
      </c>
      <c r="CJ1011" s="167">
        <v>0</v>
      </c>
      <c r="CK1011" s="167">
        <v>0</v>
      </c>
      <c r="CL1011" s="167">
        <v>0</v>
      </c>
      <c r="CM1011" s="167">
        <v>0</v>
      </c>
      <c r="CN1011" s="167">
        <v>0</v>
      </c>
      <c r="CO1011" s="167">
        <v>0</v>
      </c>
      <c r="CP1011" s="167">
        <v>0</v>
      </c>
      <c r="CQ1011" s="167">
        <v>0</v>
      </c>
      <c r="CR1011" s="167">
        <v>0</v>
      </c>
      <c r="CS1011" s="167">
        <v>0</v>
      </c>
      <c r="CT1011" s="167">
        <v>0</v>
      </c>
      <c r="CU1011" s="167">
        <v>0</v>
      </c>
      <c r="CV1011" s="167">
        <v>0</v>
      </c>
      <c r="CW1011" s="167">
        <v>0</v>
      </c>
      <c r="CX1011" s="167">
        <f>SUM(CD1011:CH1011)</f>
        <v>1</v>
      </c>
      <c r="CY1011" s="167">
        <f>SUM(CD1011:CM1011)</f>
        <v>1</v>
      </c>
    </row>
    <row r="1012" spans="1:103" ht="12.75" customHeight="1" x14ac:dyDescent="0.2">
      <c r="A1012" s="81">
        <v>6384</v>
      </c>
      <c r="B1012" s="165" t="s">
        <v>1930</v>
      </c>
      <c r="C1012" s="165" t="s">
        <v>1437</v>
      </c>
      <c r="E1012" s="165" t="s">
        <v>2746</v>
      </c>
      <c r="G1012" s="81">
        <v>525320</v>
      </c>
      <c r="H1012" s="81">
        <v>174642</v>
      </c>
      <c r="I1012" s="165" t="s">
        <v>258</v>
      </c>
      <c r="L1012" s="166">
        <v>1</v>
      </c>
      <c r="M1012" s="166">
        <v>1</v>
      </c>
      <c r="N1012" s="166">
        <v>0</v>
      </c>
      <c r="O1012" s="166">
        <v>2</v>
      </c>
      <c r="P1012" s="166">
        <v>1</v>
      </c>
      <c r="R1012" s="165" t="s">
        <v>1438</v>
      </c>
      <c r="S1012" s="81" t="s">
        <v>113</v>
      </c>
      <c r="T1012" s="349">
        <v>42655</v>
      </c>
      <c r="U1012" s="349">
        <v>42711</v>
      </c>
      <c r="W1012" s="81" t="s">
        <v>114</v>
      </c>
      <c r="Y1012" s="81" t="s">
        <v>115</v>
      </c>
      <c r="Z1012" s="81" t="s">
        <v>398</v>
      </c>
      <c r="AA1012" s="81" t="s">
        <v>117</v>
      </c>
      <c r="AB1012" s="81" t="s">
        <v>220</v>
      </c>
      <c r="AC1012" s="166">
        <v>3.0000000260770299E-3</v>
      </c>
      <c r="AG1012" s="81" t="s">
        <v>238</v>
      </c>
      <c r="AH1012" s="81" t="s">
        <v>118</v>
      </c>
      <c r="AK1012" s="166">
        <v>0</v>
      </c>
      <c r="AM1012" s="166">
        <v>0</v>
      </c>
      <c r="AO1012" s="166">
        <v>0</v>
      </c>
      <c r="AP1012" s="166">
        <v>1</v>
      </c>
      <c r="AQ1012" s="166">
        <v>-1</v>
      </c>
      <c r="AR1012" s="166">
        <v>0</v>
      </c>
      <c r="AS1012" s="166">
        <v>0</v>
      </c>
      <c r="AT1012" s="166">
        <v>0</v>
      </c>
      <c r="AU1012" s="166">
        <v>0</v>
      </c>
      <c r="AV1012" s="166">
        <v>0</v>
      </c>
      <c r="AW1012" s="166">
        <v>1</v>
      </c>
      <c r="AX1012" s="166">
        <v>-1</v>
      </c>
      <c r="AY1012" s="166">
        <v>0</v>
      </c>
      <c r="AZ1012" s="166">
        <v>0</v>
      </c>
      <c r="BA1012" s="166">
        <v>0</v>
      </c>
      <c r="BB1012" s="166">
        <v>0</v>
      </c>
      <c r="BC1012" s="166">
        <v>0</v>
      </c>
      <c r="BD1012" s="166">
        <v>0</v>
      </c>
      <c r="BE1012" s="166">
        <v>0</v>
      </c>
      <c r="BF1012" s="166">
        <v>0</v>
      </c>
      <c r="BG1012" s="166">
        <v>0</v>
      </c>
      <c r="BH1012" s="166">
        <v>0</v>
      </c>
      <c r="BI1012" s="166">
        <v>0</v>
      </c>
      <c r="BJ1012" s="166">
        <v>0</v>
      </c>
      <c r="BK1012" s="166">
        <v>0</v>
      </c>
      <c r="BL1012" s="166">
        <v>0</v>
      </c>
      <c r="BM1012" s="166">
        <v>0</v>
      </c>
      <c r="BN1012" s="166">
        <v>0</v>
      </c>
      <c r="BO1012" s="166">
        <v>0</v>
      </c>
      <c r="BP1012" s="166">
        <v>0</v>
      </c>
      <c r="BQ1012" s="81" t="s">
        <v>1758</v>
      </c>
      <c r="BR1012" s="81" t="s">
        <v>202</v>
      </c>
      <c r="BT1012" s="81" t="s">
        <v>155</v>
      </c>
      <c r="BZ1012" s="81" t="s">
        <v>155</v>
      </c>
      <c r="CA1012" s="81" t="s">
        <v>1937</v>
      </c>
      <c r="CC1012" s="167">
        <v>0</v>
      </c>
      <c r="CD1012" s="167">
        <f>$N1012/4</f>
        <v>0</v>
      </c>
      <c r="CE1012" s="167">
        <f>$N1012/4</f>
        <v>0</v>
      </c>
      <c r="CF1012" s="167">
        <f>$N1012/4</f>
        <v>0</v>
      </c>
      <c r="CG1012" s="167">
        <f>$N1012/4</f>
        <v>0</v>
      </c>
      <c r="CH1012" s="167">
        <v>0</v>
      </c>
      <c r="CI1012" s="167">
        <v>0</v>
      </c>
      <c r="CJ1012" s="167">
        <v>0</v>
      </c>
      <c r="CK1012" s="167">
        <v>0</v>
      </c>
      <c r="CL1012" s="167">
        <v>0</v>
      </c>
      <c r="CM1012" s="167">
        <v>0</v>
      </c>
      <c r="CN1012" s="167">
        <v>0</v>
      </c>
      <c r="CO1012" s="167">
        <v>0</v>
      </c>
      <c r="CP1012" s="167">
        <v>0</v>
      </c>
      <c r="CQ1012" s="167">
        <v>0</v>
      </c>
      <c r="CR1012" s="167">
        <v>0</v>
      </c>
      <c r="CS1012" s="167">
        <v>0</v>
      </c>
      <c r="CT1012" s="167">
        <v>0</v>
      </c>
      <c r="CU1012" s="167">
        <v>0</v>
      </c>
      <c r="CV1012" s="167">
        <v>0</v>
      </c>
      <c r="CW1012" s="167">
        <v>0</v>
      </c>
      <c r="CX1012" s="167">
        <f>SUM(CD1012:CH1012)</f>
        <v>0</v>
      </c>
      <c r="CY1012" s="167">
        <f>SUM(CD1012:CM1012)</f>
        <v>0</v>
      </c>
    </row>
    <row r="1013" spans="1:103" ht="12.75" customHeight="1" x14ac:dyDescent="0.2">
      <c r="A1013" s="81">
        <v>6384</v>
      </c>
      <c r="B1013" s="165" t="s">
        <v>1930</v>
      </c>
      <c r="C1013" s="165" t="s">
        <v>1437</v>
      </c>
      <c r="E1013" s="165" t="s">
        <v>2746</v>
      </c>
      <c r="G1013" s="81">
        <v>525320</v>
      </c>
      <c r="H1013" s="81">
        <v>174642</v>
      </c>
      <c r="I1013" s="165" t="s">
        <v>258</v>
      </c>
      <c r="L1013" s="166">
        <v>0</v>
      </c>
      <c r="M1013" s="166">
        <v>1</v>
      </c>
      <c r="N1013" s="166">
        <v>1</v>
      </c>
      <c r="O1013" s="166">
        <v>2</v>
      </c>
      <c r="P1013" s="166">
        <v>1</v>
      </c>
      <c r="R1013" s="165" t="s">
        <v>1438</v>
      </c>
      <c r="S1013" s="81" t="s">
        <v>113</v>
      </c>
      <c r="T1013" s="349">
        <v>42655</v>
      </c>
      <c r="U1013" s="349">
        <v>42711</v>
      </c>
      <c r="W1013" s="81" t="s">
        <v>114</v>
      </c>
      <c r="Y1013" s="81" t="s">
        <v>115</v>
      </c>
      <c r="Z1013" s="81" t="s">
        <v>398</v>
      </c>
      <c r="AA1013" s="81" t="s">
        <v>117</v>
      </c>
      <c r="AB1013" s="81" t="s">
        <v>218</v>
      </c>
      <c r="AC1013" s="166">
        <v>2.0000000949949E-3</v>
      </c>
      <c r="AG1013" s="81" t="s">
        <v>238</v>
      </c>
      <c r="AH1013" s="81" t="s">
        <v>118</v>
      </c>
      <c r="AK1013" s="166">
        <v>0</v>
      </c>
      <c r="AM1013" s="166">
        <v>0</v>
      </c>
      <c r="AO1013" s="166">
        <v>0</v>
      </c>
      <c r="AP1013" s="166">
        <v>1</v>
      </c>
      <c r="AQ1013" s="166">
        <v>0</v>
      </c>
      <c r="AR1013" s="166">
        <v>0</v>
      </c>
      <c r="AS1013" s="166">
        <v>0</v>
      </c>
      <c r="AT1013" s="166">
        <v>0</v>
      </c>
      <c r="AU1013" s="166">
        <v>0</v>
      </c>
      <c r="AV1013" s="166">
        <v>0</v>
      </c>
      <c r="AW1013" s="166">
        <v>1</v>
      </c>
      <c r="AX1013" s="166">
        <v>0</v>
      </c>
      <c r="AY1013" s="166">
        <v>0</v>
      </c>
      <c r="AZ1013" s="166">
        <v>0</v>
      </c>
      <c r="BA1013" s="166">
        <v>0</v>
      </c>
      <c r="BB1013" s="166">
        <v>0</v>
      </c>
      <c r="BC1013" s="166">
        <v>0</v>
      </c>
      <c r="BD1013" s="166">
        <v>0</v>
      </c>
      <c r="BE1013" s="166">
        <v>0</v>
      </c>
      <c r="BF1013" s="166">
        <v>0</v>
      </c>
      <c r="BG1013" s="166">
        <v>0</v>
      </c>
      <c r="BH1013" s="166">
        <v>0</v>
      </c>
      <c r="BI1013" s="166">
        <v>0</v>
      </c>
      <c r="BJ1013" s="166">
        <v>0</v>
      </c>
      <c r="BK1013" s="166">
        <v>0</v>
      </c>
      <c r="BL1013" s="166">
        <v>0</v>
      </c>
      <c r="BM1013" s="166">
        <v>0</v>
      </c>
      <c r="BN1013" s="166">
        <v>0</v>
      </c>
      <c r="BO1013" s="166">
        <v>0</v>
      </c>
      <c r="BP1013" s="166">
        <v>0</v>
      </c>
      <c r="BQ1013" s="81" t="s">
        <v>1758</v>
      </c>
      <c r="BR1013" s="81" t="s">
        <v>202</v>
      </c>
      <c r="BT1013" s="81" t="s">
        <v>155</v>
      </c>
      <c r="BZ1013" s="81" t="s">
        <v>155</v>
      </c>
      <c r="CA1013" s="81" t="s">
        <v>1937</v>
      </c>
      <c r="CC1013" s="167">
        <v>0</v>
      </c>
      <c r="CD1013" s="167">
        <f>$N1013/4</f>
        <v>0.25</v>
      </c>
      <c r="CE1013" s="167">
        <f>$N1013/4</f>
        <v>0.25</v>
      </c>
      <c r="CF1013" s="167">
        <f>$N1013/4</f>
        <v>0.25</v>
      </c>
      <c r="CG1013" s="167">
        <f>$N1013/4</f>
        <v>0.25</v>
      </c>
      <c r="CH1013" s="167">
        <v>0</v>
      </c>
      <c r="CI1013" s="167">
        <v>0</v>
      </c>
      <c r="CJ1013" s="167">
        <v>0</v>
      </c>
      <c r="CK1013" s="167">
        <v>0</v>
      </c>
      <c r="CL1013" s="167">
        <v>0</v>
      </c>
      <c r="CM1013" s="167">
        <v>0</v>
      </c>
      <c r="CN1013" s="167">
        <v>0</v>
      </c>
      <c r="CO1013" s="167">
        <v>0</v>
      </c>
      <c r="CP1013" s="167">
        <v>0</v>
      </c>
      <c r="CQ1013" s="167">
        <v>0</v>
      </c>
      <c r="CR1013" s="167">
        <v>0</v>
      </c>
      <c r="CS1013" s="167">
        <v>0</v>
      </c>
      <c r="CT1013" s="167">
        <v>0</v>
      </c>
      <c r="CU1013" s="167">
        <v>0</v>
      </c>
      <c r="CV1013" s="167">
        <v>0</v>
      </c>
      <c r="CW1013" s="167">
        <v>0</v>
      </c>
      <c r="CX1013" s="167">
        <f>SUM(CD1013:CH1013)</f>
        <v>1</v>
      </c>
      <c r="CY1013" s="167">
        <f>SUM(CD1013:CM1013)</f>
        <v>1</v>
      </c>
    </row>
    <row r="1014" spans="1:103" ht="12.75" customHeight="1" x14ac:dyDescent="0.2">
      <c r="A1014" s="81">
        <v>6387</v>
      </c>
      <c r="B1014" s="165" t="s">
        <v>1930</v>
      </c>
      <c r="C1014" s="165" t="s">
        <v>1426</v>
      </c>
      <c r="E1014" s="165" t="s">
        <v>2747</v>
      </c>
      <c r="G1014" s="81">
        <v>526873</v>
      </c>
      <c r="H1014" s="81">
        <v>174722</v>
      </c>
      <c r="I1014" s="165" t="s">
        <v>260</v>
      </c>
      <c r="L1014" s="166">
        <v>1</v>
      </c>
      <c r="M1014" s="166">
        <v>2</v>
      </c>
      <c r="N1014" s="166">
        <v>1</v>
      </c>
      <c r="O1014" s="166">
        <v>2</v>
      </c>
      <c r="P1014" s="166">
        <v>1</v>
      </c>
      <c r="R1014" s="165" t="s">
        <v>1427</v>
      </c>
      <c r="S1014" s="81" t="s">
        <v>113</v>
      </c>
      <c r="T1014" s="349">
        <v>42667</v>
      </c>
      <c r="U1014" s="349">
        <v>42723</v>
      </c>
      <c r="W1014" s="81" t="s">
        <v>114</v>
      </c>
      <c r="Y1014" s="81" t="s">
        <v>115</v>
      </c>
      <c r="Z1014" s="81" t="s">
        <v>398</v>
      </c>
      <c r="AA1014" s="81" t="s">
        <v>117</v>
      </c>
      <c r="AB1014" s="81" t="s">
        <v>220</v>
      </c>
      <c r="AC1014" s="166">
        <v>7.9999998211860698E-2</v>
      </c>
      <c r="AG1014" s="81" t="s">
        <v>238</v>
      </c>
      <c r="AH1014" s="81" t="s">
        <v>118</v>
      </c>
      <c r="AK1014" s="166">
        <v>0</v>
      </c>
      <c r="AM1014" s="166">
        <v>0</v>
      </c>
      <c r="AO1014" s="166">
        <v>0</v>
      </c>
      <c r="AP1014" s="166">
        <v>0</v>
      </c>
      <c r="AQ1014" s="166">
        <v>0</v>
      </c>
      <c r="AR1014" s="166">
        <v>1</v>
      </c>
      <c r="AS1014" s="166">
        <v>0</v>
      </c>
      <c r="AT1014" s="166">
        <v>0</v>
      </c>
      <c r="AU1014" s="166">
        <v>0</v>
      </c>
      <c r="AV1014" s="166">
        <v>0</v>
      </c>
      <c r="AW1014" s="166">
        <v>0</v>
      </c>
      <c r="AX1014" s="166">
        <v>0</v>
      </c>
      <c r="AY1014" s="166">
        <v>0</v>
      </c>
      <c r="AZ1014" s="166">
        <v>0</v>
      </c>
      <c r="BA1014" s="166">
        <v>0</v>
      </c>
      <c r="BB1014" s="166">
        <v>0</v>
      </c>
      <c r="BC1014" s="166">
        <v>0</v>
      </c>
      <c r="BD1014" s="166">
        <v>0</v>
      </c>
      <c r="BE1014" s="166">
        <v>0</v>
      </c>
      <c r="BF1014" s="166">
        <v>1</v>
      </c>
      <c r="BG1014" s="166">
        <v>0</v>
      </c>
      <c r="BH1014" s="166">
        <v>0</v>
      </c>
      <c r="BI1014" s="166">
        <v>0</v>
      </c>
      <c r="BJ1014" s="166">
        <v>0</v>
      </c>
      <c r="BK1014" s="166">
        <v>0</v>
      </c>
      <c r="BL1014" s="166">
        <v>0</v>
      </c>
      <c r="BM1014" s="166">
        <v>0</v>
      </c>
      <c r="BN1014" s="166">
        <v>0</v>
      </c>
      <c r="BO1014" s="166">
        <v>0</v>
      </c>
      <c r="BP1014" s="166">
        <v>0</v>
      </c>
      <c r="BQ1014" s="81" t="s">
        <v>1758</v>
      </c>
      <c r="BZ1014" s="81" t="s">
        <v>155</v>
      </c>
      <c r="CA1014" s="81" t="s">
        <v>1937</v>
      </c>
      <c r="CC1014" s="167">
        <v>0</v>
      </c>
      <c r="CD1014" s="167">
        <f>$N1014/4</f>
        <v>0.25</v>
      </c>
      <c r="CE1014" s="167">
        <f>$N1014/4</f>
        <v>0.25</v>
      </c>
      <c r="CF1014" s="167">
        <f>$N1014/4</f>
        <v>0.25</v>
      </c>
      <c r="CG1014" s="167">
        <f>$N1014/4</f>
        <v>0.25</v>
      </c>
      <c r="CH1014" s="167">
        <v>0</v>
      </c>
      <c r="CI1014" s="167">
        <v>0</v>
      </c>
      <c r="CJ1014" s="167">
        <v>0</v>
      </c>
      <c r="CK1014" s="167">
        <v>0</v>
      </c>
      <c r="CL1014" s="167">
        <v>0</v>
      </c>
      <c r="CM1014" s="167">
        <v>0</v>
      </c>
      <c r="CN1014" s="167">
        <v>0</v>
      </c>
      <c r="CO1014" s="167">
        <v>0</v>
      </c>
      <c r="CP1014" s="167">
        <v>0</v>
      </c>
      <c r="CQ1014" s="167">
        <v>0</v>
      </c>
      <c r="CR1014" s="167">
        <v>0</v>
      </c>
      <c r="CS1014" s="167">
        <v>0</v>
      </c>
      <c r="CT1014" s="167">
        <v>0</v>
      </c>
      <c r="CU1014" s="167">
        <v>0</v>
      </c>
      <c r="CV1014" s="167">
        <v>0</v>
      </c>
      <c r="CW1014" s="167">
        <v>0</v>
      </c>
      <c r="CX1014" s="167">
        <f>SUM(CD1014:CH1014)</f>
        <v>1</v>
      </c>
      <c r="CY1014" s="167">
        <f>SUM(CD1014:CM1014)</f>
        <v>1</v>
      </c>
    </row>
    <row r="1015" spans="1:103" ht="12.75" customHeight="1" x14ac:dyDescent="0.2">
      <c r="A1015" s="81">
        <v>6388</v>
      </c>
      <c r="B1015" s="165" t="s">
        <v>1930</v>
      </c>
      <c r="C1015" s="165" t="s">
        <v>1453</v>
      </c>
      <c r="E1015" s="165" t="s">
        <v>2748</v>
      </c>
      <c r="G1015" s="81">
        <v>527765</v>
      </c>
      <c r="H1015" s="81">
        <v>175737</v>
      </c>
      <c r="I1015" s="165" t="s">
        <v>256</v>
      </c>
      <c r="L1015" s="166">
        <v>1</v>
      </c>
      <c r="M1015" s="166">
        <v>1</v>
      </c>
      <c r="N1015" s="166">
        <v>0</v>
      </c>
      <c r="O1015" s="166">
        <v>2</v>
      </c>
      <c r="P1015" s="166">
        <v>1</v>
      </c>
      <c r="R1015" s="165" t="s">
        <v>1454</v>
      </c>
      <c r="S1015" s="81" t="s">
        <v>113</v>
      </c>
      <c r="T1015" s="349">
        <v>42668</v>
      </c>
      <c r="U1015" s="349">
        <v>42724</v>
      </c>
      <c r="W1015" s="81" t="s">
        <v>114</v>
      </c>
      <c r="Y1015" s="81" t="s">
        <v>115</v>
      </c>
      <c r="Z1015" s="81" t="s">
        <v>398</v>
      </c>
      <c r="AA1015" s="81" t="s">
        <v>117</v>
      </c>
      <c r="AB1015" s="81" t="s">
        <v>220</v>
      </c>
      <c r="AC1015" s="166">
        <v>7.0000002160668399E-3</v>
      </c>
      <c r="AG1015" s="81" t="s">
        <v>238</v>
      </c>
      <c r="AH1015" s="81" t="s">
        <v>118</v>
      </c>
      <c r="AK1015" s="166">
        <v>0</v>
      </c>
      <c r="AM1015" s="166">
        <v>0</v>
      </c>
      <c r="AO1015" s="166">
        <v>0</v>
      </c>
      <c r="AP1015" s="166">
        <v>0</v>
      </c>
      <c r="AQ1015" s="166">
        <v>-1</v>
      </c>
      <c r="AR1015" s="166">
        <v>1</v>
      </c>
      <c r="AS1015" s="166">
        <v>0</v>
      </c>
      <c r="AT1015" s="166">
        <v>0</v>
      </c>
      <c r="AU1015" s="166">
        <v>0</v>
      </c>
      <c r="AV1015" s="166">
        <v>0</v>
      </c>
      <c r="AW1015" s="166">
        <v>0</v>
      </c>
      <c r="AX1015" s="166">
        <v>-1</v>
      </c>
      <c r="AY1015" s="166">
        <v>1</v>
      </c>
      <c r="AZ1015" s="166">
        <v>0</v>
      </c>
      <c r="BA1015" s="166">
        <v>0</v>
      </c>
      <c r="BB1015" s="166">
        <v>0</v>
      </c>
      <c r="BC1015" s="166">
        <v>0</v>
      </c>
      <c r="BD1015" s="166">
        <v>0</v>
      </c>
      <c r="BE1015" s="166">
        <v>0</v>
      </c>
      <c r="BF1015" s="166">
        <v>0</v>
      </c>
      <c r="BG1015" s="166">
        <v>0</v>
      </c>
      <c r="BH1015" s="166">
        <v>0</v>
      </c>
      <c r="BI1015" s="166">
        <v>0</v>
      </c>
      <c r="BJ1015" s="166">
        <v>0</v>
      </c>
      <c r="BK1015" s="166">
        <v>0</v>
      </c>
      <c r="BL1015" s="166">
        <v>0</v>
      </c>
      <c r="BM1015" s="166">
        <v>0</v>
      </c>
      <c r="BN1015" s="166">
        <v>0</v>
      </c>
      <c r="BO1015" s="166">
        <v>0</v>
      </c>
      <c r="BP1015" s="166">
        <v>0</v>
      </c>
      <c r="BQ1015" s="81" t="s">
        <v>1757</v>
      </c>
      <c r="BZ1015" s="81" t="s">
        <v>155</v>
      </c>
      <c r="CA1015" s="81" t="s">
        <v>1937</v>
      </c>
      <c r="CC1015" s="167">
        <v>0</v>
      </c>
      <c r="CD1015" s="167">
        <f>$N1015/4</f>
        <v>0</v>
      </c>
      <c r="CE1015" s="167">
        <f>$N1015/4</f>
        <v>0</v>
      </c>
      <c r="CF1015" s="167">
        <f>$N1015/4</f>
        <v>0</v>
      </c>
      <c r="CG1015" s="167">
        <f>$N1015/4</f>
        <v>0</v>
      </c>
      <c r="CH1015" s="167">
        <v>0</v>
      </c>
      <c r="CI1015" s="167">
        <v>0</v>
      </c>
      <c r="CJ1015" s="167">
        <v>0</v>
      </c>
      <c r="CK1015" s="167">
        <v>0</v>
      </c>
      <c r="CL1015" s="167">
        <v>0</v>
      </c>
      <c r="CM1015" s="167">
        <v>0</v>
      </c>
      <c r="CN1015" s="167">
        <v>0</v>
      </c>
      <c r="CO1015" s="167">
        <v>0</v>
      </c>
      <c r="CP1015" s="167">
        <v>0</v>
      </c>
      <c r="CQ1015" s="167">
        <v>0</v>
      </c>
      <c r="CR1015" s="167">
        <v>0</v>
      </c>
      <c r="CS1015" s="167">
        <v>0</v>
      </c>
      <c r="CT1015" s="167">
        <v>0</v>
      </c>
      <c r="CU1015" s="167">
        <v>0</v>
      </c>
      <c r="CV1015" s="167">
        <v>0</v>
      </c>
      <c r="CW1015" s="167">
        <v>0</v>
      </c>
      <c r="CX1015" s="167">
        <f>SUM(CD1015:CH1015)</f>
        <v>0</v>
      </c>
      <c r="CY1015" s="167">
        <f>SUM(CD1015:CM1015)</f>
        <v>0</v>
      </c>
    </row>
    <row r="1016" spans="1:103" ht="12.75" customHeight="1" x14ac:dyDescent="0.2">
      <c r="A1016" s="81">
        <v>6388</v>
      </c>
      <c r="B1016" s="165" t="s">
        <v>1930</v>
      </c>
      <c r="C1016" s="165" t="s">
        <v>1453</v>
      </c>
      <c r="E1016" s="165" t="s">
        <v>2748</v>
      </c>
      <c r="G1016" s="81">
        <v>527765</v>
      </c>
      <c r="H1016" s="81">
        <v>175737</v>
      </c>
      <c r="I1016" s="165" t="s">
        <v>256</v>
      </c>
      <c r="L1016" s="166">
        <v>0</v>
      </c>
      <c r="M1016" s="166">
        <v>1</v>
      </c>
      <c r="N1016" s="166">
        <v>1</v>
      </c>
      <c r="O1016" s="166">
        <v>2</v>
      </c>
      <c r="P1016" s="166">
        <v>1</v>
      </c>
      <c r="R1016" s="165" t="s">
        <v>1454</v>
      </c>
      <c r="S1016" s="81" t="s">
        <v>113</v>
      </c>
      <c r="T1016" s="349">
        <v>42668</v>
      </c>
      <c r="U1016" s="349">
        <v>42724</v>
      </c>
      <c r="W1016" s="81" t="s">
        <v>114</v>
      </c>
      <c r="Y1016" s="81" t="s">
        <v>115</v>
      </c>
      <c r="Z1016" s="81" t="s">
        <v>398</v>
      </c>
      <c r="AA1016" s="81" t="s">
        <v>117</v>
      </c>
      <c r="AB1016" s="81" t="s">
        <v>218</v>
      </c>
      <c r="AC1016" s="166">
        <v>6.0000000521540598E-3</v>
      </c>
      <c r="AG1016" s="81" t="s">
        <v>238</v>
      </c>
      <c r="AH1016" s="81" t="s">
        <v>118</v>
      </c>
      <c r="AK1016" s="166">
        <v>0</v>
      </c>
      <c r="AM1016" s="166">
        <v>0</v>
      </c>
      <c r="AO1016" s="166">
        <v>0</v>
      </c>
      <c r="AP1016" s="166">
        <v>0</v>
      </c>
      <c r="AQ1016" s="166">
        <v>1</v>
      </c>
      <c r="AR1016" s="166">
        <v>0</v>
      </c>
      <c r="AS1016" s="166">
        <v>0</v>
      </c>
      <c r="AT1016" s="166">
        <v>0</v>
      </c>
      <c r="AU1016" s="166">
        <v>0</v>
      </c>
      <c r="AV1016" s="166">
        <v>0</v>
      </c>
      <c r="AW1016" s="166">
        <v>0</v>
      </c>
      <c r="AX1016" s="166">
        <v>1</v>
      </c>
      <c r="AY1016" s="166">
        <v>0</v>
      </c>
      <c r="AZ1016" s="166">
        <v>0</v>
      </c>
      <c r="BA1016" s="166">
        <v>0</v>
      </c>
      <c r="BB1016" s="166">
        <v>0</v>
      </c>
      <c r="BC1016" s="166">
        <v>0</v>
      </c>
      <c r="BD1016" s="166">
        <v>0</v>
      </c>
      <c r="BE1016" s="166">
        <v>0</v>
      </c>
      <c r="BF1016" s="166">
        <v>0</v>
      </c>
      <c r="BG1016" s="166">
        <v>0</v>
      </c>
      <c r="BH1016" s="166">
        <v>0</v>
      </c>
      <c r="BI1016" s="166">
        <v>0</v>
      </c>
      <c r="BJ1016" s="166">
        <v>0</v>
      </c>
      <c r="BK1016" s="166">
        <v>0</v>
      </c>
      <c r="BL1016" s="166">
        <v>0</v>
      </c>
      <c r="BM1016" s="166">
        <v>0</v>
      </c>
      <c r="BN1016" s="166">
        <v>0</v>
      </c>
      <c r="BO1016" s="166">
        <v>0</v>
      </c>
      <c r="BP1016" s="166">
        <v>0</v>
      </c>
      <c r="BQ1016" s="81" t="s">
        <v>1757</v>
      </c>
      <c r="BZ1016" s="81" t="s">
        <v>155</v>
      </c>
      <c r="CA1016" s="81" t="s">
        <v>1937</v>
      </c>
      <c r="CC1016" s="167">
        <v>0</v>
      </c>
      <c r="CD1016" s="167">
        <f>$N1016/4</f>
        <v>0.25</v>
      </c>
      <c r="CE1016" s="167">
        <f>$N1016/4</f>
        <v>0.25</v>
      </c>
      <c r="CF1016" s="167">
        <f>$N1016/4</f>
        <v>0.25</v>
      </c>
      <c r="CG1016" s="167">
        <f>$N1016/4</f>
        <v>0.25</v>
      </c>
      <c r="CH1016" s="167">
        <v>0</v>
      </c>
      <c r="CI1016" s="167">
        <v>0</v>
      </c>
      <c r="CJ1016" s="167">
        <v>0</v>
      </c>
      <c r="CK1016" s="167">
        <v>0</v>
      </c>
      <c r="CL1016" s="167">
        <v>0</v>
      </c>
      <c r="CM1016" s="167">
        <v>0</v>
      </c>
      <c r="CN1016" s="167">
        <v>0</v>
      </c>
      <c r="CO1016" s="167">
        <v>0</v>
      </c>
      <c r="CP1016" s="167">
        <v>0</v>
      </c>
      <c r="CQ1016" s="167">
        <v>0</v>
      </c>
      <c r="CR1016" s="167">
        <v>0</v>
      </c>
      <c r="CS1016" s="167">
        <v>0</v>
      </c>
      <c r="CT1016" s="167">
        <v>0</v>
      </c>
      <c r="CU1016" s="167">
        <v>0</v>
      </c>
      <c r="CV1016" s="167">
        <v>0</v>
      </c>
      <c r="CW1016" s="167">
        <v>0</v>
      </c>
      <c r="CX1016" s="167">
        <f>SUM(CD1016:CH1016)</f>
        <v>1</v>
      </c>
      <c r="CY1016" s="167">
        <f>SUM(CD1016:CM1016)</f>
        <v>1</v>
      </c>
    </row>
    <row r="1017" spans="1:103" ht="12.75" customHeight="1" x14ac:dyDescent="0.2">
      <c r="A1017" s="81">
        <v>6390</v>
      </c>
      <c r="B1017" s="165" t="s">
        <v>1930</v>
      </c>
      <c r="C1017" s="165" t="s">
        <v>1455</v>
      </c>
      <c r="E1017" s="165" t="s">
        <v>2749</v>
      </c>
      <c r="G1017" s="81">
        <v>526853</v>
      </c>
      <c r="H1017" s="81">
        <v>175074</v>
      </c>
      <c r="I1017" s="165" t="s">
        <v>251</v>
      </c>
      <c r="L1017" s="166">
        <v>1</v>
      </c>
      <c r="M1017" s="166">
        <v>2</v>
      </c>
      <c r="N1017" s="166">
        <v>1</v>
      </c>
      <c r="O1017" s="166">
        <v>2</v>
      </c>
      <c r="P1017" s="166">
        <v>1</v>
      </c>
      <c r="R1017" s="165" t="s">
        <v>1456</v>
      </c>
      <c r="S1017" s="81" t="s">
        <v>113</v>
      </c>
      <c r="T1017" s="349">
        <v>42670</v>
      </c>
      <c r="U1017" s="349">
        <v>42725</v>
      </c>
      <c r="W1017" s="81" t="s">
        <v>114</v>
      </c>
      <c r="Y1017" s="81" t="s">
        <v>115</v>
      </c>
      <c r="Z1017" s="81" t="s">
        <v>119</v>
      </c>
      <c r="AA1017" s="81" t="s">
        <v>117</v>
      </c>
      <c r="AB1017" s="81" t="s">
        <v>220</v>
      </c>
      <c r="AC1017" s="166">
        <v>8.0000003799796104E-3</v>
      </c>
      <c r="AG1017" s="81" t="s">
        <v>238</v>
      </c>
      <c r="AH1017" s="81" t="s">
        <v>118</v>
      </c>
      <c r="AK1017" s="166">
        <v>0</v>
      </c>
      <c r="AM1017" s="166">
        <v>0</v>
      </c>
      <c r="AO1017" s="166">
        <v>1</v>
      </c>
      <c r="AP1017" s="166">
        <v>1</v>
      </c>
      <c r="AQ1017" s="166">
        <v>0</v>
      </c>
      <c r="AR1017" s="166">
        <v>0</v>
      </c>
      <c r="AS1017" s="166">
        <v>-1</v>
      </c>
      <c r="AT1017" s="166">
        <v>0</v>
      </c>
      <c r="AU1017" s="166">
        <v>0</v>
      </c>
      <c r="AV1017" s="166">
        <v>1</v>
      </c>
      <c r="AW1017" s="166">
        <v>1</v>
      </c>
      <c r="AX1017" s="166">
        <v>0</v>
      </c>
      <c r="AY1017" s="166">
        <v>0</v>
      </c>
      <c r="AZ1017" s="166">
        <v>-1</v>
      </c>
      <c r="BA1017" s="166">
        <v>0</v>
      </c>
      <c r="BB1017" s="166">
        <v>0</v>
      </c>
      <c r="BC1017" s="166">
        <v>0</v>
      </c>
      <c r="BD1017" s="166">
        <v>0</v>
      </c>
      <c r="BE1017" s="166">
        <v>0</v>
      </c>
      <c r="BF1017" s="166">
        <v>0</v>
      </c>
      <c r="BG1017" s="166">
        <v>0</v>
      </c>
      <c r="BH1017" s="166">
        <v>0</v>
      </c>
      <c r="BI1017" s="166">
        <v>0</v>
      </c>
      <c r="BJ1017" s="166">
        <v>0</v>
      </c>
      <c r="BK1017" s="166">
        <v>0</v>
      </c>
      <c r="BL1017" s="166">
        <v>0</v>
      </c>
      <c r="BM1017" s="166">
        <v>0</v>
      </c>
      <c r="BN1017" s="166">
        <v>0</v>
      </c>
      <c r="BO1017" s="166">
        <v>0</v>
      </c>
      <c r="BP1017" s="166">
        <v>0</v>
      </c>
      <c r="BQ1017" s="81" t="s">
        <v>1758</v>
      </c>
      <c r="BZ1017" s="81" t="s">
        <v>155</v>
      </c>
      <c r="CA1017" s="81" t="s">
        <v>1937</v>
      </c>
      <c r="CC1017" s="167">
        <v>0</v>
      </c>
      <c r="CD1017" s="167">
        <f>$N1017/4</f>
        <v>0.25</v>
      </c>
      <c r="CE1017" s="167">
        <f>$N1017/4</f>
        <v>0.25</v>
      </c>
      <c r="CF1017" s="167">
        <f>$N1017/4</f>
        <v>0.25</v>
      </c>
      <c r="CG1017" s="167">
        <f>$N1017/4</f>
        <v>0.25</v>
      </c>
      <c r="CH1017" s="167">
        <v>0</v>
      </c>
      <c r="CI1017" s="167">
        <v>0</v>
      </c>
      <c r="CJ1017" s="167">
        <v>0</v>
      </c>
      <c r="CK1017" s="167">
        <v>0</v>
      </c>
      <c r="CL1017" s="167">
        <v>0</v>
      </c>
      <c r="CM1017" s="167">
        <v>0</v>
      </c>
      <c r="CN1017" s="167">
        <v>0</v>
      </c>
      <c r="CO1017" s="167">
        <v>0</v>
      </c>
      <c r="CP1017" s="167">
        <v>0</v>
      </c>
      <c r="CQ1017" s="167">
        <v>0</v>
      </c>
      <c r="CR1017" s="167">
        <v>0</v>
      </c>
      <c r="CS1017" s="167">
        <v>0</v>
      </c>
      <c r="CT1017" s="167">
        <v>0</v>
      </c>
      <c r="CU1017" s="167">
        <v>0</v>
      </c>
      <c r="CV1017" s="167">
        <v>0</v>
      </c>
      <c r="CW1017" s="167">
        <v>0</v>
      </c>
      <c r="CX1017" s="167">
        <f>SUM(CD1017:CH1017)</f>
        <v>1</v>
      </c>
      <c r="CY1017" s="167">
        <f>SUM(CD1017:CM1017)</f>
        <v>1</v>
      </c>
    </row>
    <row r="1018" spans="1:103" ht="12.75" customHeight="1" x14ac:dyDescent="0.2">
      <c r="A1018" s="81">
        <v>6391</v>
      </c>
      <c r="B1018" s="165" t="s">
        <v>1930</v>
      </c>
      <c r="C1018" s="165" t="s">
        <v>1459</v>
      </c>
      <c r="E1018" s="165" t="s">
        <v>2750</v>
      </c>
      <c r="G1018" s="81">
        <v>526853</v>
      </c>
      <c r="H1018" s="81">
        <v>175074</v>
      </c>
      <c r="I1018" s="165" t="s">
        <v>251</v>
      </c>
      <c r="L1018" s="166">
        <v>1</v>
      </c>
      <c r="M1018" s="166">
        <v>2</v>
      </c>
      <c r="N1018" s="166">
        <v>1</v>
      </c>
      <c r="O1018" s="166">
        <v>2</v>
      </c>
      <c r="P1018" s="166">
        <v>1</v>
      </c>
      <c r="R1018" s="165" t="s">
        <v>1456</v>
      </c>
      <c r="S1018" s="81" t="s">
        <v>113</v>
      </c>
      <c r="T1018" s="349">
        <v>42670</v>
      </c>
      <c r="U1018" s="349">
        <v>42725</v>
      </c>
      <c r="W1018" s="81" t="s">
        <v>114</v>
      </c>
      <c r="Y1018" s="81" t="s">
        <v>115</v>
      </c>
      <c r="Z1018" s="81" t="s">
        <v>119</v>
      </c>
      <c r="AA1018" s="81" t="s">
        <v>117</v>
      </c>
      <c r="AB1018" s="81" t="s">
        <v>220</v>
      </c>
      <c r="AC1018" s="166">
        <v>6.0000000521540598E-3</v>
      </c>
      <c r="AG1018" s="81" t="s">
        <v>238</v>
      </c>
      <c r="AH1018" s="81" t="s">
        <v>118</v>
      </c>
      <c r="AK1018" s="166">
        <v>0</v>
      </c>
      <c r="AM1018" s="166">
        <v>0</v>
      </c>
      <c r="AO1018" s="166">
        <v>1</v>
      </c>
      <c r="AP1018" s="166">
        <v>1</v>
      </c>
      <c r="AQ1018" s="166">
        <v>0</v>
      </c>
      <c r="AR1018" s="166">
        <v>0</v>
      </c>
      <c r="AS1018" s="166">
        <v>-1</v>
      </c>
      <c r="AT1018" s="166">
        <v>0</v>
      </c>
      <c r="AU1018" s="166">
        <v>0</v>
      </c>
      <c r="AV1018" s="166">
        <v>1</v>
      </c>
      <c r="AW1018" s="166">
        <v>1</v>
      </c>
      <c r="AX1018" s="166">
        <v>0</v>
      </c>
      <c r="AY1018" s="166">
        <v>0</v>
      </c>
      <c r="AZ1018" s="166">
        <v>-1</v>
      </c>
      <c r="BA1018" s="166">
        <v>0</v>
      </c>
      <c r="BB1018" s="166">
        <v>0</v>
      </c>
      <c r="BC1018" s="166">
        <v>0</v>
      </c>
      <c r="BD1018" s="166">
        <v>0</v>
      </c>
      <c r="BE1018" s="166">
        <v>0</v>
      </c>
      <c r="BF1018" s="166">
        <v>0</v>
      </c>
      <c r="BG1018" s="166">
        <v>0</v>
      </c>
      <c r="BH1018" s="166">
        <v>0</v>
      </c>
      <c r="BI1018" s="166">
        <v>0</v>
      </c>
      <c r="BJ1018" s="166">
        <v>0</v>
      </c>
      <c r="BK1018" s="166">
        <v>0</v>
      </c>
      <c r="BL1018" s="166">
        <v>0</v>
      </c>
      <c r="BM1018" s="166">
        <v>0</v>
      </c>
      <c r="BN1018" s="166">
        <v>0</v>
      </c>
      <c r="BO1018" s="166">
        <v>0</v>
      </c>
      <c r="BP1018" s="166">
        <v>0</v>
      </c>
      <c r="BQ1018" s="81" t="s">
        <v>1758</v>
      </c>
      <c r="BZ1018" s="81" t="s">
        <v>155</v>
      </c>
      <c r="CA1018" s="81" t="s">
        <v>1937</v>
      </c>
      <c r="CC1018" s="167">
        <v>0</v>
      </c>
      <c r="CD1018" s="167">
        <f>$N1018/4</f>
        <v>0.25</v>
      </c>
      <c r="CE1018" s="167">
        <f>$N1018/4</f>
        <v>0.25</v>
      </c>
      <c r="CF1018" s="167">
        <f>$N1018/4</f>
        <v>0.25</v>
      </c>
      <c r="CG1018" s="167">
        <f>$N1018/4</f>
        <v>0.25</v>
      </c>
      <c r="CH1018" s="167">
        <v>0</v>
      </c>
      <c r="CI1018" s="167">
        <v>0</v>
      </c>
      <c r="CJ1018" s="167">
        <v>0</v>
      </c>
      <c r="CK1018" s="167">
        <v>0</v>
      </c>
      <c r="CL1018" s="167">
        <v>0</v>
      </c>
      <c r="CM1018" s="167">
        <v>0</v>
      </c>
      <c r="CN1018" s="167">
        <v>0</v>
      </c>
      <c r="CO1018" s="167">
        <v>0</v>
      </c>
      <c r="CP1018" s="167">
        <v>0</v>
      </c>
      <c r="CQ1018" s="167">
        <v>0</v>
      </c>
      <c r="CR1018" s="167">
        <v>0</v>
      </c>
      <c r="CS1018" s="167">
        <v>0</v>
      </c>
      <c r="CT1018" s="167">
        <v>0</v>
      </c>
      <c r="CU1018" s="167">
        <v>0</v>
      </c>
      <c r="CV1018" s="167">
        <v>0</v>
      </c>
      <c r="CW1018" s="167">
        <v>0</v>
      </c>
      <c r="CX1018" s="167">
        <f>SUM(CD1018:CH1018)</f>
        <v>1</v>
      </c>
      <c r="CY1018" s="167">
        <f>SUM(CD1018:CM1018)</f>
        <v>1</v>
      </c>
    </row>
    <row r="1019" spans="1:103" ht="12.75" customHeight="1" x14ac:dyDescent="0.2">
      <c r="A1019" s="81">
        <v>6392</v>
      </c>
      <c r="B1019" s="165" t="s">
        <v>1930</v>
      </c>
      <c r="C1019" s="165" t="s">
        <v>1469</v>
      </c>
      <c r="E1019" s="165" t="s">
        <v>2751</v>
      </c>
      <c r="G1019" s="81">
        <v>528007</v>
      </c>
      <c r="H1019" s="81">
        <v>175012</v>
      </c>
      <c r="I1019" s="165" t="s">
        <v>255</v>
      </c>
      <c r="L1019" s="166">
        <v>2</v>
      </c>
      <c r="M1019" s="166">
        <v>2</v>
      </c>
      <c r="N1019" s="166">
        <v>0</v>
      </c>
      <c r="O1019" s="166">
        <v>2</v>
      </c>
      <c r="P1019" s="166">
        <v>0</v>
      </c>
      <c r="R1019" s="165" t="s">
        <v>1470</v>
      </c>
      <c r="S1019" s="81" t="s">
        <v>113</v>
      </c>
      <c r="T1019" s="349">
        <v>42674</v>
      </c>
      <c r="U1019" s="349">
        <v>42726</v>
      </c>
      <c r="W1019" s="81" t="s">
        <v>114</v>
      </c>
      <c r="Y1019" s="81" t="s">
        <v>115</v>
      </c>
      <c r="Z1019" s="81" t="s">
        <v>398</v>
      </c>
      <c r="AA1019" s="81" t="s">
        <v>117</v>
      </c>
      <c r="AB1019" s="81" t="s">
        <v>120</v>
      </c>
      <c r="AC1019" s="166">
        <v>1.9999999552965199E-2</v>
      </c>
      <c r="AG1019" s="81" t="s">
        <v>238</v>
      </c>
      <c r="AH1019" s="81" t="s">
        <v>118</v>
      </c>
      <c r="AK1019" s="166">
        <v>0</v>
      </c>
      <c r="AM1019" s="166">
        <v>0</v>
      </c>
      <c r="AO1019" s="166">
        <v>-1</v>
      </c>
      <c r="AP1019" s="166">
        <v>0</v>
      </c>
      <c r="AQ1019" s="166">
        <v>0</v>
      </c>
      <c r="AR1019" s="166">
        <v>2</v>
      </c>
      <c r="AS1019" s="166">
        <v>-1</v>
      </c>
      <c r="AT1019" s="166">
        <v>0</v>
      </c>
      <c r="AU1019" s="166">
        <v>0</v>
      </c>
      <c r="AV1019" s="166">
        <v>-1</v>
      </c>
      <c r="AW1019" s="166">
        <v>0</v>
      </c>
      <c r="AX1019" s="166">
        <v>0</v>
      </c>
      <c r="AY1019" s="166">
        <v>2</v>
      </c>
      <c r="AZ1019" s="166">
        <v>0</v>
      </c>
      <c r="BA1019" s="166">
        <v>0</v>
      </c>
      <c r="BB1019" s="166">
        <v>0</v>
      </c>
      <c r="BC1019" s="166">
        <v>0</v>
      </c>
      <c r="BD1019" s="166">
        <v>0</v>
      </c>
      <c r="BE1019" s="166">
        <v>0</v>
      </c>
      <c r="BF1019" s="166">
        <v>0</v>
      </c>
      <c r="BG1019" s="166">
        <v>-1</v>
      </c>
      <c r="BH1019" s="166">
        <v>0</v>
      </c>
      <c r="BI1019" s="166">
        <v>0</v>
      </c>
      <c r="BJ1019" s="166">
        <v>0</v>
      </c>
      <c r="BK1019" s="166">
        <v>0</v>
      </c>
      <c r="BL1019" s="166">
        <v>0</v>
      </c>
      <c r="BM1019" s="166">
        <v>0</v>
      </c>
      <c r="BN1019" s="166">
        <v>0</v>
      </c>
      <c r="BO1019" s="166">
        <v>0</v>
      </c>
      <c r="BP1019" s="166">
        <v>0</v>
      </c>
      <c r="BQ1019" s="81" t="s">
        <v>1757</v>
      </c>
      <c r="BZ1019" s="81" t="s">
        <v>155</v>
      </c>
      <c r="CA1019" s="81" t="s">
        <v>1937</v>
      </c>
      <c r="CC1019" s="167">
        <v>0</v>
      </c>
      <c r="CD1019" s="167">
        <f>$N1019/4</f>
        <v>0</v>
      </c>
      <c r="CE1019" s="167">
        <f>$N1019/4</f>
        <v>0</v>
      </c>
      <c r="CF1019" s="167">
        <f>$N1019/4</f>
        <v>0</v>
      </c>
      <c r="CG1019" s="167">
        <f>$N1019/4</f>
        <v>0</v>
      </c>
      <c r="CH1019" s="167">
        <v>0</v>
      </c>
      <c r="CI1019" s="167">
        <v>0</v>
      </c>
      <c r="CJ1019" s="167">
        <v>0</v>
      </c>
      <c r="CK1019" s="167">
        <v>0</v>
      </c>
      <c r="CL1019" s="167">
        <v>0</v>
      </c>
      <c r="CM1019" s="167">
        <v>0</v>
      </c>
      <c r="CN1019" s="167">
        <v>0</v>
      </c>
      <c r="CO1019" s="167">
        <v>0</v>
      </c>
      <c r="CP1019" s="167">
        <v>0</v>
      </c>
      <c r="CQ1019" s="167">
        <v>0</v>
      </c>
      <c r="CR1019" s="167">
        <v>0</v>
      </c>
      <c r="CS1019" s="167">
        <v>0</v>
      </c>
      <c r="CT1019" s="167">
        <v>0</v>
      </c>
      <c r="CU1019" s="167">
        <v>0</v>
      </c>
      <c r="CV1019" s="167">
        <v>0</v>
      </c>
      <c r="CW1019" s="167">
        <v>0</v>
      </c>
      <c r="CX1019" s="167">
        <f>SUM(CD1019:CH1019)</f>
        <v>0</v>
      </c>
      <c r="CY1019" s="167">
        <f>SUM(CD1019:CM1019)</f>
        <v>0</v>
      </c>
    </row>
    <row r="1020" spans="1:103" ht="12.75" customHeight="1" x14ac:dyDescent="0.2">
      <c r="A1020" s="81">
        <v>6393</v>
      </c>
      <c r="B1020" s="165" t="s">
        <v>1930</v>
      </c>
      <c r="C1020" s="165" t="s">
        <v>1467</v>
      </c>
      <c r="E1020" s="165" t="s">
        <v>2752</v>
      </c>
      <c r="G1020" s="81">
        <v>524601</v>
      </c>
      <c r="H1020" s="81">
        <v>175366</v>
      </c>
      <c r="I1020" s="165" t="s">
        <v>259</v>
      </c>
      <c r="L1020" s="166">
        <v>2</v>
      </c>
      <c r="M1020" s="166">
        <v>1</v>
      </c>
      <c r="N1020" s="166">
        <v>-1</v>
      </c>
      <c r="O1020" s="166">
        <v>1</v>
      </c>
      <c r="P1020" s="166">
        <v>-1</v>
      </c>
      <c r="R1020" s="165" t="s">
        <v>1468</v>
      </c>
      <c r="S1020" s="81" t="s">
        <v>113</v>
      </c>
      <c r="T1020" s="349">
        <v>42681</v>
      </c>
      <c r="U1020" s="349">
        <v>42734</v>
      </c>
      <c r="W1020" s="81" t="s">
        <v>114</v>
      </c>
      <c r="Y1020" s="81" t="s">
        <v>115</v>
      </c>
      <c r="Z1020" s="81" t="s">
        <v>119</v>
      </c>
      <c r="AA1020" s="81" t="s">
        <v>117</v>
      </c>
      <c r="AB1020" s="81" t="s">
        <v>300</v>
      </c>
      <c r="AC1020" s="166">
        <v>1.4999999664723899E-2</v>
      </c>
      <c r="AG1020" s="81" t="s">
        <v>238</v>
      </c>
      <c r="AH1020" s="81" t="s">
        <v>118</v>
      </c>
      <c r="AK1020" s="166">
        <v>1</v>
      </c>
      <c r="AM1020" s="166">
        <v>0</v>
      </c>
      <c r="AO1020" s="166">
        <v>0</v>
      </c>
      <c r="AP1020" s="166">
        <v>0</v>
      </c>
      <c r="AQ1020" s="166">
        <v>0</v>
      </c>
      <c r="AR1020" s="166">
        <v>-2</v>
      </c>
      <c r="AS1020" s="166">
        <v>0</v>
      </c>
      <c r="AT1020" s="166">
        <v>1</v>
      </c>
      <c r="AU1020" s="166">
        <v>0</v>
      </c>
      <c r="AV1020" s="166">
        <v>0</v>
      </c>
      <c r="AW1020" s="166">
        <v>0</v>
      </c>
      <c r="AX1020" s="166">
        <v>0</v>
      </c>
      <c r="AY1020" s="166">
        <v>-2</v>
      </c>
      <c r="AZ1020" s="166">
        <v>0</v>
      </c>
      <c r="BA1020" s="166">
        <v>1</v>
      </c>
      <c r="BB1020" s="166">
        <v>0</v>
      </c>
      <c r="BC1020" s="166">
        <v>0</v>
      </c>
      <c r="BD1020" s="166">
        <v>0</v>
      </c>
      <c r="BE1020" s="166">
        <v>0</v>
      </c>
      <c r="BF1020" s="166">
        <v>0</v>
      </c>
      <c r="BG1020" s="166">
        <v>0</v>
      </c>
      <c r="BH1020" s="166">
        <v>0</v>
      </c>
      <c r="BI1020" s="166">
        <v>0</v>
      </c>
      <c r="BJ1020" s="166">
        <v>0</v>
      </c>
      <c r="BK1020" s="166">
        <v>0</v>
      </c>
      <c r="BL1020" s="166">
        <v>0</v>
      </c>
      <c r="BM1020" s="166">
        <v>0</v>
      </c>
      <c r="BN1020" s="166">
        <v>0</v>
      </c>
      <c r="BO1020" s="166">
        <v>0</v>
      </c>
      <c r="BP1020" s="166">
        <v>0</v>
      </c>
      <c r="BQ1020" s="81" t="s">
        <v>1758</v>
      </c>
      <c r="BX1020" s="81" t="s">
        <v>155</v>
      </c>
      <c r="BZ1020" s="81" t="s">
        <v>155</v>
      </c>
      <c r="CA1020" s="81" t="s">
        <v>1937</v>
      </c>
      <c r="CC1020" s="167">
        <v>0</v>
      </c>
      <c r="CD1020" s="167">
        <f>$N1020/4</f>
        <v>-0.25</v>
      </c>
      <c r="CE1020" s="167">
        <f>$N1020/4</f>
        <v>-0.25</v>
      </c>
      <c r="CF1020" s="167">
        <f>$N1020/4</f>
        <v>-0.25</v>
      </c>
      <c r="CG1020" s="167">
        <f>$N1020/4</f>
        <v>-0.25</v>
      </c>
      <c r="CH1020" s="167">
        <v>0</v>
      </c>
      <c r="CI1020" s="167">
        <v>0</v>
      </c>
      <c r="CJ1020" s="167">
        <v>0</v>
      </c>
      <c r="CK1020" s="167">
        <v>0</v>
      </c>
      <c r="CL1020" s="167">
        <v>0</v>
      </c>
      <c r="CM1020" s="167">
        <v>0</v>
      </c>
      <c r="CN1020" s="167">
        <v>0</v>
      </c>
      <c r="CO1020" s="167">
        <v>0</v>
      </c>
      <c r="CP1020" s="167">
        <v>0</v>
      </c>
      <c r="CQ1020" s="167">
        <v>0</v>
      </c>
      <c r="CR1020" s="167">
        <v>0</v>
      </c>
      <c r="CS1020" s="167">
        <v>0</v>
      </c>
      <c r="CT1020" s="167">
        <v>0</v>
      </c>
      <c r="CU1020" s="167">
        <v>0</v>
      </c>
      <c r="CV1020" s="167">
        <v>0</v>
      </c>
      <c r="CW1020" s="167">
        <v>0</v>
      </c>
      <c r="CX1020" s="167">
        <f>SUM(CD1020:CH1020)</f>
        <v>-1</v>
      </c>
      <c r="CY1020" s="167">
        <f>SUM(CD1020:CM1020)</f>
        <v>-1</v>
      </c>
    </row>
    <row r="1021" spans="1:103" ht="12.75" customHeight="1" x14ac:dyDescent="0.2">
      <c r="A1021" s="81">
        <v>6395</v>
      </c>
      <c r="B1021" s="165" t="s">
        <v>1930</v>
      </c>
      <c r="C1021" s="165" t="s">
        <v>2753</v>
      </c>
      <c r="E1021" s="165" t="s">
        <v>2754</v>
      </c>
      <c r="G1021" s="81">
        <v>527848</v>
      </c>
      <c r="H1021" s="81">
        <v>174152</v>
      </c>
      <c r="I1021" s="165" t="s">
        <v>255</v>
      </c>
      <c r="L1021" s="166">
        <v>1</v>
      </c>
      <c r="M1021" s="166">
        <v>2</v>
      </c>
      <c r="N1021" s="166">
        <v>1</v>
      </c>
      <c r="O1021" s="166">
        <v>2</v>
      </c>
      <c r="P1021" s="166">
        <v>1</v>
      </c>
      <c r="R1021" s="165" t="s">
        <v>2755</v>
      </c>
      <c r="S1021" s="81" t="s">
        <v>113</v>
      </c>
      <c r="T1021" s="349">
        <v>43006</v>
      </c>
      <c r="U1021" s="349">
        <v>43053</v>
      </c>
      <c r="V1021" s="81" t="s">
        <v>155</v>
      </c>
      <c r="W1021" s="81" t="s">
        <v>114</v>
      </c>
      <c r="Y1021" s="81" t="s">
        <v>115</v>
      </c>
      <c r="Z1021" s="81" t="s">
        <v>398</v>
      </c>
      <c r="AA1021" s="81" t="s">
        <v>117</v>
      </c>
      <c r="AB1021" s="81" t="s">
        <v>120</v>
      </c>
      <c r="AC1021" s="166">
        <v>1.30000002682209E-2</v>
      </c>
      <c r="AG1021" s="81" t="s">
        <v>238</v>
      </c>
      <c r="AH1021" s="81" t="s">
        <v>118</v>
      </c>
      <c r="AK1021" s="166">
        <v>0</v>
      </c>
      <c r="AM1021" s="166">
        <v>0</v>
      </c>
      <c r="AO1021" s="166">
        <v>0</v>
      </c>
      <c r="AP1021" s="166">
        <v>0</v>
      </c>
      <c r="AQ1021" s="166">
        <v>0</v>
      </c>
      <c r="AR1021" s="166">
        <v>2</v>
      </c>
      <c r="AS1021" s="166">
        <v>-1</v>
      </c>
      <c r="AT1021" s="166">
        <v>0</v>
      </c>
      <c r="AU1021" s="166">
        <v>0</v>
      </c>
      <c r="AV1021" s="166">
        <v>0</v>
      </c>
      <c r="AW1021" s="166">
        <v>0</v>
      </c>
      <c r="AX1021" s="166">
        <v>0</v>
      </c>
      <c r="AY1021" s="166">
        <v>2</v>
      </c>
      <c r="AZ1021" s="166">
        <v>0</v>
      </c>
      <c r="BA1021" s="166">
        <v>0</v>
      </c>
      <c r="BB1021" s="166">
        <v>0</v>
      </c>
      <c r="BC1021" s="166">
        <v>0</v>
      </c>
      <c r="BD1021" s="166">
        <v>0</v>
      </c>
      <c r="BE1021" s="166">
        <v>0</v>
      </c>
      <c r="BF1021" s="166">
        <v>0</v>
      </c>
      <c r="BG1021" s="166">
        <v>-1</v>
      </c>
      <c r="BH1021" s="166">
        <v>0</v>
      </c>
      <c r="BI1021" s="166">
        <v>0</v>
      </c>
      <c r="BJ1021" s="166">
        <v>0</v>
      </c>
      <c r="BK1021" s="166">
        <v>0</v>
      </c>
      <c r="BL1021" s="166">
        <v>0</v>
      </c>
      <c r="BM1021" s="166">
        <v>0</v>
      </c>
      <c r="BN1021" s="166">
        <v>0</v>
      </c>
      <c r="BO1021" s="166">
        <v>0</v>
      </c>
      <c r="BP1021" s="166">
        <v>0</v>
      </c>
      <c r="BQ1021" s="81" t="s">
        <v>1757</v>
      </c>
      <c r="BZ1021" s="81" t="s">
        <v>155</v>
      </c>
      <c r="CA1021" s="81" t="s">
        <v>1937</v>
      </c>
      <c r="CC1021" s="167">
        <v>0</v>
      </c>
      <c r="CD1021" s="167">
        <f>$N1021/4</f>
        <v>0.25</v>
      </c>
      <c r="CE1021" s="167">
        <f>$N1021/4</f>
        <v>0.25</v>
      </c>
      <c r="CF1021" s="167">
        <f>$N1021/4</f>
        <v>0.25</v>
      </c>
      <c r="CG1021" s="167">
        <f>$N1021/4</f>
        <v>0.25</v>
      </c>
      <c r="CH1021" s="167">
        <v>0</v>
      </c>
      <c r="CI1021" s="167">
        <v>0</v>
      </c>
      <c r="CJ1021" s="167">
        <v>0</v>
      </c>
      <c r="CK1021" s="167">
        <v>0</v>
      </c>
      <c r="CL1021" s="167">
        <v>0</v>
      </c>
      <c r="CM1021" s="167">
        <v>0</v>
      </c>
      <c r="CN1021" s="167">
        <v>0</v>
      </c>
      <c r="CO1021" s="167">
        <v>0</v>
      </c>
      <c r="CP1021" s="167">
        <v>0</v>
      </c>
      <c r="CQ1021" s="167">
        <v>0</v>
      </c>
      <c r="CR1021" s="167">
        <v>0</v>
      </c>
      <c r="CS1021" s="167">
        <v>0</v>
      </c>
      <c r="CT1021" s="167">
        <v>0</v>
      </c>
      <c r="CU1021" s="167">
        <v>0</v>
      </c>
      <c r="CV1021" s="167">
        <v>0</v>
      </c>
      <c r="CW1021" s="167">
        <v>0</v>
      </c>
      <c r="CX1021" s="167">
        <f>SUM(CD1021:CH1021)</f>
        <v>1</v>
      </c>
      <c r="CY1021" s="167">
        <f>SUM(CD1021:CM1021)</f>
        <v>1</v>
      </c>
    </row>
    <row r="1022" spans="1:103" ht="12.75" customHeight="1" x14ac:dyDescent="0.2">
      <c r="A1022" s="81">
        <v>6401</v>
      </c>
      <c r="B1022" s="165" t="s">
        <v>1930</v>
      </c>
      <c r="C1022" s="165" t="s">
        <v>2756</v>
      </c>
      <c r="E1022" s="165" t="s">
        <v>2757</v>
      </c>
      <c r="G1022" s="81">
        <v>527976</v>
      </c>
      <c r="H1022" s="81">
        <v>170842</v>
      </c>
      <c r="I1022" s="165" t="s">
        <v>253</v>
      </c>
      <c r="L1022" s="166">
        <v>1</v>
      </c>
      <c r="M1022" s="166">
        <v>5</v>
      </c>
      <c r="N1022" s="166">
        <v>4</v>
      </c>
      <c r="O1022" s="166">
        <v>5</v>
      </c>
      <c r="P1022" s="166">
        <v>4</v>
      </c>
      <c r="R1022" s="165" t="s">
        <v>2758</v>
      </c>
      <c r="S1022" s="81" t="s">
        <v>113</v>
      </c>
      <c r="T1022" s="349">
        <v>42877</v>
      </c>
      <c r="U1022" s="349">
        <v>43003</v>
      </c>
      <c r="V1022" s="81" t="s">
        <v>155</v>
      </c>
      <c r="W1022" s="81" t="s">
        <v>114</v>
      </c>
      <c r="Y1022" s="81" t="s">
        <v>115</v>
      </c>
      <c r="Z1022" s="81" t="s">
        <v>398</v>
      </c>
      <c r="AA1022" s="81" t="s">
        <v>117</v>
      </c>
      <c r="AB1022" s="81" t="s">
        <v>120</v>
      </c>
      <c r="AC1022" s="166">
        <v>3.29999998211861E-2</v>
      </c>
      <c r="AG1022" s="81" t="s">
        <v>238</v>
      </c>
      <c r="AH1022" s="81" t="s">
        <v>118</v>
      </c>
      <c r="AK1022" s="166">
        <v>0</v>
      </c>
      <c r="AM1022" s="166">
        <v>0</v>
      </c>
      <c r="AO1022" s="166">
        <v>0</v>
      </c>
      <c r="AP1022" s="166">
        <v>0</v>
      </c>
      <c r="AQ1022" s="166">
        <v>2</v>
      </c>
      <c r="AR1022" s="166">
        <v>3</v>
      </c>
      <c r="AS1022" s="166">
        <v>0</v>
      </c>
      <c r="AT1022" s="166">
        <v>-1</v>
      </c>
      <c r="AU1022" s="166">
        <v>0</v>
      </c>
      <c r="AV1022" s="166">
        <v>0</v>
      </c>
      <c r="AW1022" s="166">
        <v>0</v>
      </c>
      <c r="AX1022" s="166">
        <v>2</v>
      </c>
      <c r="AY1022" s="166">
        <v>3</v>
      </c>
      <c r="AZ1022" s="166">
        <v>0</v>
      </c>
      <c r="BA1022" s="166">
        <v>0</v>
      </c>
      <c r="BB1022" s="166">
        <v>0</v>
      </c>
      <c r="BC1022" s="166">
        <v>0</v>
      </c>
      <c r="BD1022" s="166">
        <v>0</v>
      </c>
      <c r="BE1022" s="166">
        <v>0</v>
      </c>
      <c r="BF1022" s="166">
        <v>0</v>
      </c>
      <c r="BG1022" s="166">
        <v>0</v>
      </c>
      <c r="BH1022" s="166">
        <v>-1</v>
      </c>
      <c r="BI1022" s="166">
        <v>0</v>
      </c>
      <c r="BJ1022" s="166">
        <v>0</v>
      </c>
      <c r="BK1022" s="166">
        <v>0</v>
      </c>
      <c r="BL1022" s="166">
        <v>0</v>
      </c>
      <c r="BM1022" s="166">
        <v>0</v>
      </c>
      <c r="BN1022" s="166">
        <v>0</v>
      </c>
      <c r="BO1022" s="166">
        <v>0</v>
      </c>
      <c r="BP1022" s="166">
        <v>0</v>
      </c>
      <c r="BQ1022" s="81" t="s">
        <v>1757</v>
      </c>
      <c r="BZ1022" s="81" t="s">
        <v>155</v>
      </c>
      <c r="CA1022" s="81" t="s">
        <v>1937</v>
      </c>
      <c r="CC1022" s="167">
        <v>0</v>
      </c>
      <c r="CD1022" s="167">
        <f>$N1022/4</f>
        <v>1</v>
      </c>
      <c r="CE1022" s="167">
        <f>$N1022/4</f>
        <v>1</v>
      </c>
      <c r="CF1022" s="167">
        <f>$N1022/4</f>
        <v>1</v>
      </c>
      <c r="CG1022" s="167">
        <f>$N1022/4</f>
        <v>1</v>
      </c>
      <c r="CH1022" s="167">
        <v>0</v>
      </c>
      <c r="CI1022" s="167">
        <v>0</v>
      </c>
      <c r="CJ1022" s="167">
        <v>0</v>
      </c>
      <c r="CK1022" s="167">
        <v>0</v>
      </c>
      <c r="CL1022" s="167">
        <v>0</v>
      </c>
      <c r="CM1022" s="167">
        <v>0</v>
      </c>
      <c r="CN1022" s="167">
        <v>0</v>
      </c>
      <c r="CO1022" s="167">
        <v>0</v>
      </c>
      <c r="CP1022" s="167">
        <v>0</v>
      </c>
      <c r="CQ1022" s="167">
        <v>0</v>
      </c>
      <c r="CR1022" s="167">
        <v>0</v>
      </c>
      <c r="CS1022" s="167">
        <v>0</v>
      </c>
      <c r="CT1022" s="167">
        <v>0</v>
      </c>
      <c r="CU1022" s="167">
        <v>0</v>
      </c>
      <c r="CV1022" s="167">
        <v>0</v>
      </c>
      <c r="CW1022" s="167">
        <v>0</v>
      </c>
      <c r="CX1022" s="167">
        <f>SUM(CD1022:CH1022)</f>
        <v>4</v>
      </c>
      <c r="CY1022" s="167">
        <f>SUM(CD1022:CM1022)</f>
        <v>4</v>
      </c>
    </row>
    <row r="1023" spans="1:103" ht="12.75" customHeight="1" x14ac:dyDescent="0.2">
      <c r="A1023" s="81">
        <v>6403</v>
      </c>
      <c r="B1023" s="165" t="s">
        <v>1930</v>
      </c>
      <c r="C1023" s="165" t="s">
        <v>1447</v>
      </c>
      <c r="E1023" s="165" t="s">
        <v>2759</v>
      </c>
      <c r="G1023" s="81">
        <v>523845</v>
      </c>
      <c r="H1023" s="81">
        <v>174877</v>
      </c>
      <c r="I1023" s="165" t="s">
        <v>250</v>
      </c>
      <c r="L1023" s="166">
        <v>2</v>
      </c>
      <c r="M1023" s="166">
        <v>2</v>
      </c>
      <c r="N1023" s="166">
        <v>0</v>
      </c>
      <c r="O1023" s="166">
        <v>2</v>
      </c>
      <c r="P1023" s="166">
        <v>0</v>
      </c>
      <c r="R1023" s="165" t="s">
        <v>1448</v>
      </c>
      <c r="S1023" s="81" t="s">
        <v>113</v>
      </c>
      <c r="T1023" s="349">
        <v>42661</v>
      </c>
      <c r="U1023" s="349">
        <v>42753</v>
      </c>
      <c r="W1023" s="81" t="s">
        <v>114</v>
      </c>
      <c r="Y1023" s="81" t="s">
        <v>115</v>
      </c>
      <c r="Z1023" s="81" t="s">
        <v>116</v>
      </c>
      <c r="AA1023" s="81" t="s">
        <v>117</v>
      </c>
      <c r="AB1023" s="81" t="s">
        <v>218</v>
      </c>
      <c r="AC1023" s="166">
        <v>0.10199999809265101</v>
      </c>
      <c r="AG1023" s="81" t="s">
        <v>238</v>
      </c>
      <c r="AH1023" s="81" t="s">
        <v>118</v>
      </c>
      <c r="AK1023" s="166">
        <v>0</v>
      </c>
      <c r="AM1023" s="166">
        <v>2</v>
      </c>
      <c r="AO1023" s="166">
        <v>0</v>
      </c>
      <c r="AP1023" s="166">
        <v>0</v>
      </c>
      <c r="AQ1023" s="166">
        <v>0</v>
      </c>
      <c r="AR1023" s="166">
        <v>-1</v>
      </c>
      <c r="AS1023" s="166">
        <v>1</v>
      </c>
      <c r="AT1023" s="166">
        <v>0</v>
      </c>
      <c r="AU1023" s="166">
        <v>0</v>
      </c>
      <c r="AV1023" s="166">
        <v>0</v>
      </c>
      <c r="AW1023" s="166">
        <v>0</v>
      </c>
      <c r="AX1023" s="166">
        <v>0</v>
      </c>
      <c r="AY1023" s="166">
        <v>0</v>
      </c>
      <c r="AZ1023" s="166">
        <v>0</v>
      </c>
      <c r="BA1023" s="166">
        <v>0</v>
      </c>
      <c r="BB1023" s="166">
        <v>0</v>
      </c>
      <c r="BC1023" s="166">
        <v>0</v>
      </c>
      <c r="BD1023" s="166">
        <v>0</v>
      </c>
      <c r="BE1023" s="166">
        <v>0</v>
      </c>
      <c r="BF1023" s="166">
        <v>-1</v>
      </c>
      <c r="BG1023" s="166">
        <v>1</v>
      </c>
      <c r="BH1023" s="166">
        <v>0</v>
      </c>
      <c r="BI1023" s="166">
        <v>0</v>
      </c>
      <c r="BJ1023" s="166">
        <v>0</v>
      </c>
      <c r="BK1023" s="166">
        <v>0</v>
      </c>
      <c r="BL1023" s="166">
        <v>0</v>
      </c>
      <c r="BM1023" s="166">
        <v>0</v>
      </c>
      <c r="BN1023" s="166">
        <v>0</v>
      </c>
      <c r="BO1023" s="166">
        <v>0</v>
      </c>
      <c r="BP1023" s="166">
        <v>0</v>
      </c>
      <c r="BQ1023" s="81" t="s">
        <v>1758</v>
      </c>
      <c r="BZ1023" s="81" t="s">
        <v>155</v>
      </c>
      <c r="CA1023" s="81">
        <v>4</v>
      </c>
      <c r="CC1023" s="167">
        <v>0</v>
      </c>
      <c r="CD1023" s="167">
        <v>0</v>
      </c>
      <c r="CE1023" s="167">
        <f>$N1023/4</f>
        <v>0</v>
      </c>
      <c r="CF1023" s="167">
        <f>$N1023/4</f>
        <v>0</v>
      </c>
      <c r="CG1023" s="167">
        <f>$N1023/4</f>
        <v>0</v>
      </c>
      <c r="CH1023" s="167">
        <f>$N1023/4</f>
        <v>0</v>
      </c>
      <c r="CI1023" s="167">
        <v>0</v>
      </c>
      <c r="CJ1023" s="167">
        <v>0</v>
      </c>
      <c r="CK1023" s="167">
        <v>0</v>
      </c>
      <c r="CL1023" s="167">
        <v>0</v>
      </c>
      <c r="CM1023" s="167">
        <v>0</v>
      </c>
      <c r="CN1023" s="167">
        <v>0</v>
      </c>
      <c r="CO1023" s="167">
        <v>0</v>
      </c>
      <c r="CP1023" s="167">
        <v>0</v>
      </c>
      <c r="CQ1023" s="167">
        <v>0</v>
      </c>
      <c r="CR1023" s="167">
        <v>0</v>
      </c>
      <c r="CS1023" s="167">
        <v>0</v>
      </c>
      <c r="CT1023" s="167">
        <v>0</v>
      </c>
      <c r="CU1023" s="167">
        <v>0</v>
      </c>
      <c r="CV1023" s="167">
        <v>0</v>
      </c>
      <c r="CW1023" s="167">
        <v>0</v>
      </c>
      <c r="CX1023" s="167">
        <f>SUM(CD1023:CH1023)</f>
        <v>0</v>
      </c>
      <c r="CY1023" s="167">
        <f>SUM(CD1023:CM1023)</f>
        <v>0</v>
      </c>
    </row>
    <row r="1024" spans="1:103" ht="12.75" customHeight="1" x14ac:dyDescent="0.2">
      <c r="A1024" s="81">
        <v>6404</v>
      </c>
      <c r="B1024" s="165" t="s">
        <v>1930</v>
      </c>
      <c r="C1024" s="165" t="s">
        <v>1635</v>
      </c>
      <c r="E1024" s="165" t="s">
        <v>3432</v>
      </c>
      <c r="G1024" s="81">
        <v>526552</v>
      </c>
      <c r="H1024" s="81">
        <v>172073</v>
      </c>
      <c r="I1024" s="165" t="s">
        <v>249</v>
      </c>
      <c r="L1024" s="166">
        <v>1</v>
      </c>
      <c r="M1024" s="166">
        <v>9</v>
      </c>
      <c r="N1024" s="166">
        <v>8</v>
      </c>
      <c r="O1024" s="166">
        <v>9</v>
      </c>
      <c r="P1024" s="166">
        <v>8</v>
      </c>
      <c r="R1024" s="165" t="s">
        <v>1636</v>
      </c>
      <c r="S1024" s="81" t="s">
        <v>113</v>
      </c>
      <c r="T1024" s="349">
        <v>42776</v>
      </c>
      <c r="U1024" s="349">
        <v>42852</v>
      </c>
      <c r="V1024" s="81" t="s">
        <v>155</v>
      </c>
      <c r="W1024" s="81" t="s">
        <v>114</v>
      </c>
      <c r="Y1024" s="81" t="s">
        <v>115</v>
      </c>
      <c r="Z1024" s="81" t="s">
        <v>116</v>
      </c>
      <c r="AA1024" s="81" t="s">
        <v>117</v>
      </c>
      <c r="AB1024" s="81" t="s">
        <v>218</v>
      </c>
      <c r="AC1024" s="166">
        <v>1.7999999225139601E-2</v>
      </c>
      <c r="AG1024" s="81" t="s">
        <v>238</v>
      </c>
      <c r="AH1024" s="81" t="s">
        <v>118</v>
      </c>
      <c r="AK1024" s="166">
        <v>8</v>
      </c>
      <c r="AM1024" s="166">
        <v>1</v>
      </c>
      <c r="AO1024" s="166">
        <v>0</v>
      </c>
      <c r="AP1024" s="166">
        <v>5</v>
      </c>
      <c r="AQ1024" s="166">
        <v>3</v>
      </c>
      <c r="AR1024" s="166">
        <v>0</v>
      </c>
      <c r="AS1024" s="166">
        <v>0</v>
      </c>
      <c r="AT1024" s="166">
        <v>0</v>
      </c>
      <c r="AU1024" s="166">
        <v>0</v>
      </c>
      <c r="AV1024" s="166">
        <v>0</v>
      </c>
      <c r="AW1024" s="166">
        <v>5</v>
      </c>
      <c r="AX1024" s="166">
        <v>4</v>
      </c>
      <c r="AY1024" s="166">
        <v>0</v>
      </c>
      <c r="AZ1024" s="166">
        <v>0</v>
      </c>
      <c r="BA1024" s="166">
        <v>0</v>
      </c>
      <c r="BB1024" s="166">
        <v>0</v>
      </c>
      <c r="BC1024" s="166">
        <v>0</v>
      </c>
      <c r="BD1024" s="166">
        <v>0</v>
      </c>
      <c r="BE1024" s="166">
        <v>-1</v>
      </c>
      <c r="BF1024" s="166">
        <v>0</v>
      </c>
      <c r="BG1024" s="166">
        <v>0</v>
      </c>
      <c r="BH1024" s="166">
        <v>0</v>
      </c>
      <c r="BI1024" s="166">
        <v>0</v>
      </c>
      <c r="BJ1024" s="166">
        <v>0</v>
      </c>
      <c r="BK1024" s="166">
        <v>0</v>
      </c>
      <c r="BL1024" s="166">
        <v>0</v>
      </c>
      <c r="BM1024" s="166">
        <v>0</v>
      </c>
      <c r="BN1024" s="166">
        <v>0</v>
      </c>
      <c r="BO1024" s="166">
        <v>0</v>
      </c>
      <c r="BP1024" s="166">
        <v>0</v>
      </c>
      <c r="BQ1024" s="81" t="s">
        <v>1758</v>
      </c>
      <c r="BZ1024" s="81" t="s">
        <v>155</v>
      </c>
      <c r="CA1024" s="81" t="s">
        <v>3936</v>
      </c>
      <c r="CC1024" s="167">
        <v>0</v>
      </c>
      <c r="CD1024" s="167">
        <v>0</v>
      </c>
      <c r="CE1024" s="167">
        <f>N1024</f>
        <v>8</v>
      </c>
      <c r="CF1024" s="167">
        <v>0</v>
      </c>
      <c r="CG1024" s="167">
        <v>0</v>
      </c>
      <c r="CH1024" s="167">
        <v>0</v>
      </c>
      <c r="CI1024" s="167">
        <v>0</v>
      </c>
      <c r="CJ1024" s="167">
        <v>0</v>
      </c>
      <c r="CK1024" s="167">
        <v>0</v>
      </c>
      <c r="CL1024" s="167">
        <v>0</v>
      </c>
      <c r="CM1024" s="167">
        <v>0</v>
      </c>
      <c r="CN1024" s="167">
        <v>0</v>
      </c>
      <c r="CO1024" s="167">
        <v>0</v>
      </c>
      <c r="CP1024" s="167">
        <v>0</v>
      </c>
      <c r="CQ1024" s="167">
        <v>0</v>
      </c>
      <c r="CR1024" s="167">
        <v>0</v>
      </c>
      <c r="CS1024" s="167">
        <v>0</v>
      </c>
      <c r="CT1024" s="167">
        <v>0</v>
      </c>
      <c r="CU1024" s="167">
        <v>0</v>
      </c>
      <c r="CV1024" s="167">
        <v>0</v>
      </c>
      <c r="CW1024" s="167">
        <v>0</v>
      </c>
      <c r="CX1024" s="167">
        <f>SUM(CD1024:CH1024)</f>
        <v>8</v>
      </c>
      <c r="CY1024" s="167">
        <f>SUM(CD1024:CM1024)</f>
        <v>8</v>
      </c>
    </row>
    <row r="1025" spans="1:103" ht="12.75" customHeight="1" x14ac:dyDescent="0.2">
      <c r="A1025" s="81">
        <v>6405</v>
      </c>
      <c r="B1025" s="165" t="s">
        <v>1930</v>
      </c>
      <c r="C1025" s="165" t="s">
        <v>1483</v>
      </c>
      <c r="E1025" s="165" t="s">
        <v>2760</v>
      </c>
      <c r="G1025" s="81">
        <v>528518</v>
      </c>
      <c r="H1025" s="81">
        <v>173236</v>
      </c>
      <c r="I1025" s="165" t="s">
        <v>247</v>
      </c>
      <c r="L1025" s="166">
        <v>0</v>
      </c>
      <c r="M1025" s="166">
        <v>4</v>
      </c>
      <c r="N1025" s="166">
        <v>4</v>
      </c>
      <c r="O1025" s="166">
        <v>4</v>
      </c>
      <c r="P1025" s="166">
        <v>4</v>
      </c>
      <c r="R1025" s="165" t="s">
        <v>1484</v>
      </c>
      <c r="S1025" s="81" t="s">
        <v>113</v>
      </c>
      <c r="T1025" s="349">
        <v>42691</v>
      </c>
      <c r="U1025" s="349">
        <v>42753</v>
      </c>
      <c r="W1025" s="81" t="s">
        <v>114</v>
      </c>
      <c r="Y1025" s="81" t="s">
        <v>115</v>
      </c>
      <c r="Z1025" s="81" t="s">
        <v>398</v>
      </c>
      <c r="AA1025" s="81" t="s">
        <v>117</v>
      </c>
      <c r="AB1025" s="81" t="s">
        <v>102</v>
      </c>
      <c r="AC1025" s="166">
        <v>4.6999998390674598E-2</v>
      </c>
      <c r="AG1025" s="81" t="s">
        <v>238</v>
      </c>
      <c r="AH1025" s="81" t="s">
        <v>118</v>
      </c>
      <c r="AK1025" s="166">
        <v>0</v>
      </c>
      <c r="AM1025" s="166">
        <v>0</v>
      </c>
      <c r="AO1025" s="166">
        <v>0</v>
      </c>
      <c r="AP1025" s="166">
        <v>0</v>
      </c>
      <c r="AQ1025" s="166">
        <v>4</v>
      </c>
      <c r="AR1025" s="166">
        <v>0</v>
      </c>
      <c r="AS1025" s="166">
        <v>0</v>
      </c>
      <c r="AT1025" s="166">
        <v>0</v>
      </c>
      <c r="AU1025" s="166">
        <v>0</v>
      </c>
      <c r="AV1025" s="166">
        <v>0</v>
      </c>
      <c r="AW1025" s="166">
        <v>0</v>
      </c>
      <c r="AX1025" s="166">
        <v>4</v>
      </c>
      <c r="AY1025" s="166">
        <v>0</v>
      </c>
      <c r="AZ1025" s="166">
        <v>0</v>
      </c>
      <c r="BA1025" s="166">
        <v>0</v>
      </c>
      <c r="BB1025" s="166">
        <v>0</v>
      </c>
      <c r="BC1025" s="166">
        <v>0</v>
      </c>
      <c r="BD1025" s="166">
        <v>0</v>
      </c>
      <c r="BE1025" s="166">
        <v>0</v>
      </c>
      <c r="BF1025" s="166">
        <v>0</v>
      </c>
      <c r="BG1025" s="166">
        <v>0</v>
      </c>
      <c r="BH1025" s="166">
        <v>0</v>
      </c>
      <c r="BI1025" s="166">
        <v>0</v>
      </c>
      <c r="BJ1025" s="166">
        <v>0</v>
      </c>
      <c r="BK1025" s="166">
        <v>0</v>
      </c>
      <c r="BL1025" s="166">
        <v>0</v>
      </c>
      <c r="BM1025" s="166">
        <v>0</v>
      </c>
      <c r="BN1025" s="166">
        <v>0</v>
      </c>
      <c r="BO1025" s="166">
        <v>0</v>
      </c>
      <c r="BP1025" s="166">
        <v>0</v>
      </c>
      <c r="BQ1025" s="81" t="s">
        <v>1757</v>
      </c>
      <c r="BR1025" s="81" t="s">
        <v>247</v>
      </c>
      <c r="BZ1025" s="81" t="s">
        <v>155</v>
      </c>
      <c r="CA1025" s="81" t="s">
        <v>1937</v>
      </c>
      <c r="CC1025" s="167">
        <v>0</v>
      </c>
      <c r="CD1025" s="167">
        <f>$N1025/4</f>
        <v>1</v>
      </c>
      <c r="CE1025" s="167">
        <f>$N1025/4</f>
        <v>1</v>
      </c>
      <c r="CF1025" s="167">
        <f>$N1025/4</f>
        <v>1</v>
      </c>
      <c r="CG1025" s="167">
        <f>$N1025/4</f>
        <v>1</v>
      </c>
      <c r="CH1025" s="167">
        <v>0</v>
      </c>
      <c r="CI1025" s="167">
        <v>0</v>
      </c>
      <c r="CJ1025" s="167">
        <v>0</v>
      </c>
      <c r="CK1025" s="167">
        <v>0</v>
      </c>
      <c r="CL1025" s="167">
        <v>0</v>
      </c>
      <c r="CM1025" s="167">
        <v>0</v>
      </c>
      <c r="CN1025" s="167">
        <v>0</v>
      </c>
      <c r="CO1025" s="167">
        <v>0</v>
      </c>
      <c r="CP1025" s="167">
        <v>0</v>
      </c>
      <c r="CQ1025" s="167">
        <v>0</v>
      </c>
      <c r="CR1025" s="167">
        <v>0</v>
      </c>
      <c r="CS1025" s="167">
        <v>0</v>
      </c>
      <c r="CT1025" s="167">
        <v>0</v>
      </c>
      <c r="CU1025" s="167">
        <v>0</v>
      </c>
      <c r="CV1025" s="167">
        <v>0</v>
      </c>
      <c r="CW1025" s="167">
        <v>0</v>
      </c>
      <c r="CX1025" s="167">
        <f>SUM(CD1025:CH1025)</f>
        <v>4</v>
      </c>
      <c r="CY1025" s="167">
        <f>SUM(CD1025:CM1025)</f>
        <v>4</v>
      </c>
    </row>
    <row r="1026" spans="1:103" ht="12.75" customHeight="1" x14ac:dyDescent="0.2">
      <c r="A1026" s="81">
        <v>6406</v>
      </c>
      <c r="B1026" s="165" t="s">
        <v>1930</v>
      </c>
      <c r="C1026" s="165" t="s">
        <v>1495</v>
      </c>
      <c r="E1026" s="165" t="s">
        <v>2761</v>
      </c>
      <c r="G1026" s="81">
        <v>524844</v>
      </c>
      <c r="H1026" s="81">
        <v>174634</v>
      </c>
      <c r="I1026" s="165" t="s">
        <v>250</v>
      </c>
      <c r="L1026" s="166">
        <v>0</v>
      </c>
      <c r="M1026" s="166">
        <v>1</v>
      </c>
      <c r="N1026" s="166">
        <v>1</v>
      </c>
      <c r="O1026" s="166">
        <v>1</v>
      </c>
      <c r="P1026" s="166">
        <v>1</v>
      </c>
      <c r="R1026" s="165" t="s">
        <v>1496</v>
      </c>
      <c r="S1026" s="81" t="s">
        <v>110</v>
      </c>
      <c r="T1026" s="349">
        <v>42706</v>
      </c>
      <c r="U1026" s="349">
        <v>42761</v>
      </c>
      <c r="W1026" s="81" t="s">
        <v>114</v>
      </c>
      <c r="Y1026" s="81" t="s">
        <v>115</v>
      </c>
      <c r="Z1026" s="81" t="s">
        <v>310</v>
      </c>
      <c r="AA1026" s="81" t="s">
        <v>117</v>
      </c>
      <c r="AB1026" s="81" t="s">
        <v>102</v>
      </c>
      <c r="AC1026" s="166">
        <v>4.0000001899898104E-3</v>
      </c>
      <c r="AG1026" s="81" t="s">
        <v>238</v>
      </c>
      <c r="AH1026" s="81" t="s">
        <v>118</v>
      </c>
      <c r="AK1026" s="166">
        <v>0</v>
      </c>
      <c r="AM1026" s="166">
        <v>0</v>
      </c>
      <c r="AO1026" s="166">
        <v>0</v>
      </c>
      <c r="AP1026" s="166">
        <v>1</v>
      </c>
      <c r="AQ1026" s="166">
        <v>0</v>
      </c>
      <c r="AR1026" s="166">
        <v>0</v>
      </c>
      <c r="AS1026" s="166">
        <v>0</v>
      </c>
      <c r="AT1026" s="166">
        <v>0</v>
      </c>
      <c r="AU1026" s="166">
        <v>0</v>
      </c>
      <c r="AV1026" s="166">
        <v>0</v>
      </c>
      <c r="AW1026" s="166">
        <v>1</v>
      </c>
      <c r="AX1026" s="166">
        <v>0</v>
      </c>
      <c r="AY1026" s="166">
        <v>0</v>
      </c>
      <c r="AZ1026" s="166">
        <v>0</v>
      </c>
      <c r="BA1026" s="166">
        <v>0</v>
      </c>
      <c r="BB1026" s="166">
        <v>0</v>
      </c>
      <c r="BC1026" s="166">
        <v>0</v>
      </c>
      <c r="BD1026" s="166">
        <v>0</v>
      </c>
      <c r="BE1026" s="166">
        <v>0</v>
      </c>
      <c r="BF1026" s="166">
        <v>0</v>
      </c>
      <c r="BG1026" s="166">
        <v>0</v>
      </c>
      <c r="BH1026" s="166">
        <v>0</v>
      </c>
      <c r="BI1026" s="166">
        <v>0</v>
      </c>
      <c r="BJ1026" s="166">
        <v>0</v>
      </c>
      <c r="BK1026" s="166">
        <v>0</v>
      </c>
      <c r="BL1026" s="166">
        <v>0</v>
      </c>
      <c r="BM1026" s="166">
        <v>0</v>
      </c>
      <c r="BN1026" s="166">
        <v>0</v>
      </c>
      <c r="BO1026" s="166">
        <v>0</v>
      </c>
      <c r="BP1026" s="166">
        <v>0</v>
      </c>
      <c r="BQ1026" s="81" t="s">
        <v>1758</v>
      </c>
      <c r="BZ1026" s="81" t="s">
        <v>155</v>
      </c>
      <c r="CA1026" s="81" t="s">
        <v>1937</v>
      </c>
      <c r="CC1026" s="167">
        <v>0</v>
      </c>
      <c r="CD1026" s="167">
        <f>$N1026/4</f>
        <v>0.25</v>
      </c>
      <c r="CE1026" s="167">
        <f>$N1026/4</f>
        <v>0.25</v>
      </c>
      <c r="CF1026" s="167">
        <f>$N1026/4</f>
        <v>0.25</v>
      </c>
      <c r="CG1026" s="167">
        <f>$N1026/4</f>
        <v>0.25</v>
      </c>
      <c r="CH1026" s="167">
        <v>0</v>
      </c>
      <c r="CI1026" s="167">
        <v>0</v>
      </c>
      <c r="CJ1026" s="167">
        <v>0</v>
      </c>
      <c r="CK1026" s="167">
        <v>0</v>
      </c>
      <c r="CL1026" s="167">
        <v>0</v>
      </c>
      <c r="CM1026" s="167">
        <v>0</v>
      </c>
      <c r="CN1026" s="167">
        <v>0</v>
      </c>
      <c r="CO1026" s="167">
        <v>0</v>
      </c>
      <c r="CP1026" s="167">
        <v>0</v>
      </c>
      <c r="CQ1026" s="167">
        <v>0</v>
      </c>
      <c r="CR1026" s="167">
        <v>0</v>
      </c>
      <c r="CS1026" s="167">
        <v>0</v>
      </c>
      <c r="CT1026" s="167">
        <v>0</v>
      </c>
      <c r="CU1026" s="167">
        <v>0</v>
      </c>
      <c r="CV1026" s="167">
        <v>0</v>
      </c>
      <c r="CW1026" s="167">
        <v>0</v>
      </c>
      <c r="CX1026" s="167">
        <f>SUM(CD1026:CH1026)</f>
        <v>1</v>
      </c>
      <c r="CY1026" s="167">
        <f>SUM(CD1026:CM1026)</f>
        <v>1</v>
      </c>
    </row>
    <row r="1027" spans="1:103" ht="12.75" customHeight="1" x14ac:dyDescent="0.2">
      <c r="A1027" s="81">
        <v>6414</v>
      </c>
      <c r="B1027" s="165" t="s">
        <v>1930</v>
      </c>
      <c r="C1027" s="165" t="s">
        <v>1475</v>
      </c>
      <c r="E1027" s="165" t="s">
        <v>2762</v>
      </c>
      <c r="G1027" s="81">
        <v>526402</v>
      </c>
      <c r="H1027" s="81">
        <v>173902</v>
      </c>
      <c r="I1027" s="165" t="s">
        <v>260</v>
      </c>
      <c r="L1027" s="166">
        <v>1</v>
      </c>
      <c r="M1027" s="166">
        <v>1</v>
      </c>
      <c r="N1027" s="166">
        <v>0</v>
      </c>
      <c r="O1027" s="166">
        <v>1</v>
      </c>
      <c r="P1027" s="166">
        <v>0</v>
      </c>
      <c r="R1027" s="165" t="s">
        <v>1476</v>
      </c>
      <c r="S1027" s="81" t="s">
        <v>113</v>
      </c>
      <c r="T1027" s="349">
        <v>42716</v>
      </c>
      <c r="U1027" s="349">
        <v>42772</v>
      </c>
      <c r="W1027" s="81" t="s">
        <v>114</v>
      </c>
      <c r="Y1027" s="81" t="s">
        <v>115</v>
      </c>
      <c r="Z1027" s="81" t="s">
        <v>119</v>
      </c>
      <c r="AA1027" s="81" t="s">
        <v>117</v>
      </c>
      <c r="AB1027" s="81" t="s">
        <v>120</v>
      </c>
      <c r="AC1027" s="166">
        <v>1.9999999552965199E-2</v>
      </c>
      <c r="AG1027" s="81" t="s">
        <v>238</v>
      </c>
      <c r="AH1027" s="81" t="s">
        <v>118</v>
      </c>
      <c r="AK1027" s="166">
        <v>0</v>
      </c>
      <c r="AM1027" s="166">
        <v>0</v>
      </c>
      <c r="AO1027" s="166">
        <v>0</v>
      </c>
      <c r="AP1027" s="166">
        <v>0</v>
      </c>
      <c r="AQ1027" s="166">
        <v>1</v>
      </c>
      <c r="AR1027" s="166">
        <v>0</v>
      </c>
      <c r="AS1027" s="166">
        <v>0</v>
      </c>
      <c r="AT1027" s="166">
        <v>-1</v>
      </c>
      <c r="AU1027" s="166">
        <v>0</v>
      </c>
      <c r="AV1027" s="166">
        <v>0</v>
      </c>
      <c r="AW1027" s="166">
        <v>0</v>
      </c>
      <c r="AX1027" s="166">
        <v>1</v>
      </c>
      <c r="AY1027" s="166">
        <v>0</v>
      </c>
      <c r="AZ1027" s="166">
        <v>0</v>
      </c>
      <c r="BA1027" s="166">
        <v>0</v>
      </c>
      <c r="BB1027" s="166">
        <v>0</v>
      </c>
      <c r="BC1027" s="166">
        <v>0</v>
      </c>
      <c r="BD1027" s="166">
        <v>0</v>
      </c>
      <c r="BE1027" s="166">
        <v>0</v>
      </c>
      <c r="BF1027" s="166">
        <v>0</v>
      </c>
      <c r="BG1027" s="166">
        <v>0</v>
      </c>
      <c r="BH1027" s="166">
        <v>-1</v>
      </c>
      <c r="BI1027" s="166">
        <v>0</v>
      </c>
      <c r="BJ1027" s="166">
        <v>0</v>
      </c>
      <c r="BK1027" s="166">
        <v>0</v>
      </c>
      <c r="BL1027" s="166">
        <v>0</v>
      </c>
      <c r="BM1027" s="166">
        <v>0</v>
      </c>
      <c r="BN1027" s="166">
        <v>0</v>
      </c>
      <c r="BO1027" s="166">
        <v>0</v>
      </c>
      <c r="BP1027" s="166">
        <v>0</v>
      </c>
      <c r="BQ1027" s="81" t="s">
        <v>1758</v>
      </c>
      <c r="BZ1027" s="81" t="s">
        <v>155</v>
      </c>
      <c r="CA1027" s="81" t="s">
        <v>1937</v>
      </c>
      <c r="CC1027" s="167">
        <v>0</v>
      </c>
      <c r="CD1027" s="167">
        <f>$N1027/4</f>
        <v>0</v>
      </c>
      <c r="CE1027" s="167">
        <f>$N1027/4</f>
        <v>0</v>
      </c>
      <c r="CF1027" s="167">
        <f>$N1027/4</f>
        <v>0</v>
      </c>
      <c r="CG1027" s="167">
        <f>$N1027/4</f>
        <v>0</v>
      </c>
      <c r="CH1027" s="167">
        <v>0</v>
      </c>
      <c r="CI1027" s="167">
        <v>0</v>
      </c>
      <c r="CJ1027" s="167">
        <v>0</v>
      </c>
      <c r="CK1027" s="167">
        <v>0</v>
      </c>
      <c r="CL1027" s="167">
        <v>0</v>
      </c>
      <c r="CM1027" s="167">
        <v>0</v>
      </c>
      <c r="CN1027" s="167">
        <v>0</v>
      </c>
      <c r="CO1027" s="167">
        <v>0</v>
      </c>
      <c r="CP1027" s="167">
        <v>0</v>
      </c>
      <c r="CQ1027" s="167">
        <v>0</v>
      </c>
      <c r="CR1027" s="167">
        <v>0</v>
      </c>
      <c r="CS1027" s="167">
        <v>0</v>
      </c>
      <c r="CT1027" s="167">
        <v>0</v>
      </c>
      <c r="CU1027" s="167">
        <v>0</v>
      </c>
      <c r="CV1027" s="167">
        <v>0</v>
      </c>
      <c r="CW1027" s="167">
        <v>0</v>
      </c>
      <c r="CX1027" s="167">
        <f>SUM(CD1027:CH1027)</f>
        <v>0</v>
      </c>
      <c r="CY1027" s="167">
        <f>SUM(CD1027:CM1027)</f>
        <v>0</v>
      </c>
    </row>
    <row r="1028" spans="1:103" ht="12.75" customHeight="1" x14ac:dyDescent="0.2">
      <c r="A1028" s="81">
        <v>6417</v>
      </c>
      <c r="B1028" s="165" t="s">
        <v>1930</v>
      </c>
      <c r="C1028" s="165" t="s">
        <v>1420</v>
      </c>
      <c r="E1028" s="165" t="s">
        <v>2763</v>
      </c>
      <c r="G1028" s="81">
        <v>527317</v>
      </c>
      <c r="H1028" s="81">
        <v>176327</v>
      </c>
      <c r="I1028" s="165" t="s">
        <v>257</v>
      </c>
      <c r="L1028" s="166">
        <v>0</v>
      </c>
      <c r="M1028" s="166">
        <v>1</v>
      </c>
      <c r="N1028" s="166">
        <v>1</v>
      </c>
      <c r="O1028" s="166">
        <v>1</v>
      </c>
      <c r="P1028" s="166">
        <v>1</v>
      </c>
      <c r="R1028" s="165" t="s">
        <v>1421</v>
      </c>
      <c r="S1028" s="81" t="s">
        <v>113</v>
      </c>
      <c r="T1028" s="349">
        <v>42634</v>
      </c>
      <c r="U1028" s="349">
        <v>42793</v>
      </c>
      <c r="W1028" s="81" t="s">
        <v>114</v>
      </c>
      <c r="Y1028" s="81" t="s">
        <v>115</v>
      </c>
      <c r="Z1028" s="81" t="s">
        <v>219</v>
      </c>
      <c r="AA1028" s="81" t="s">
        <v>117</v>
      </c>
      <c r="AB1028" s="81" t="s">
        <v>3889</v>
      </c>
      <c r="AC1028" s="166">
        <v>3.0000000260770299E-3</v>
      </c>
      <c r="AG1028" s="81" t="s">
        <v>238</v>
      </c>
      <c r="AH1028" s="81" t="s">
        <v>118</v>
      </c>
      <c r="AK1028" s="166">
        <v>0</v>
      </c>
      <c r="AM1028" s="166">
        <v>0</v>
      </c>
      <c r="AO1028" s="166">
        <v>0</v>
      </c>
      <c r="AP1028" s="166">
        <v>1</v>
      </c>
      <c r="AQ1028" s="166">
        <v>0</v>
      </c>
      <c r="AR1028" s="166">
        <v>0</v>
      </c>
      <c r="AS1028" s="166">
        <v>0</v>
      </c>
      <c r="AT1028" s="166">
        <v>0</v>
      </c>
      <c r="AU1028" s="166">
        <v>0</v>
      </c>
      <c r="AV1028" s="166">
        <v>0</v>
      </c>
      <c r="AW1028" s="166">
        <v>1</v>
      </c>
      <c r="AX1028" s="166">
        <v>0</v>
      </c>
      <c r="AY1028" s="166">
        <v>0</v>
      </c>
      <c r="AZ1028" s="166">
        <v>0</v>
      </c>
      <c r="BA1028" s="166">
        <v>0</v>
      </c>
      <c r="BB1028" s="166">
        <v>0</v>
      </c>
      <c r="BC1028" s="166">
        <v>0</v>
      </c>
      <c r="BD1028" s="166">
        <v>0</v>
      </c>
      <c r="BE1028" s="166">
        <v>0</v>
      </c>
      <c r="BF1028" s="166">
        <v>0</v>
      </c>
      <c r="BG1028" s="166">
        <v>0</v>
      </c>
      <c r="BH1028" s="166">
        <v>0</v>
      </c>
      <c r="BI1028" s="166">
        <v>0</v>
      </c>
      <c r="BJ1028" s="166">
        <v>0</v>
      </c>
      <c r="BK1028" s="166">
        <v>0</v>
      </c>
      <c r="BL1028" s="166">
        <v>0</v>
      </c>
      <c r="BM1028" s="166">
        <v>0</v>
      </c>
      <c r="BN1028" s="166">
        <v>0</v>
      </c>
      <c r="BO1028" s="166">
        <v>0</v>
      </c>
      <c r="BP1028" s="166">
        <v>0</v>
      </c>
      <c r="BQ1028" s="81" t="s">
        <v>1757</v>
      </c>
      <c r="BZ1028" s="81" t="s">
        <v>155</v>
      </c>
      <c r="CA1028" s="81" t="s">
        <v>1937</v>
      </c>
      <c r="CC1028" s="167">
        <v>0</v>
      </c>
      <c r="CD1028" s="167">
        <f>$N1028/4</f>
        <v>0.25</v>
      </c>
      <c r="CE1028" s="167">
        <f>$N1028/4</f>
        <v>0.25</v>
      </c>
      <c r="CF1028" s="167">
        <f>$N1028/4</f>
        <v>0.25</v>
      </c>
      <c r="CG1028" s="167">
        <f>$N1028/4</f>
        <v>0.25</v>
      </c>
      <c r="CH1028" s="167">
        <v>0</v>
      </c>
      <c r="CI1028" s="167">
        <v>0</v>
      </c>
      <c r="CJ1028" s="167">
        <v>0</v>
      </c>
      <c r="CK1028" s="167">
        <v>0</v>
      </c>
      <c r="CL1028" s="167">
        <v>0</v>
      </c>
      <c r="CM1028" s="167">
        <v>0</v>
      </c>
      <c r="CN1028" s="167">
        <v>0</v>
      </c>
      <c r="CO1028" s="167">
        <v>0</v>
      </c>
      <c r="CP1028" s="167">
        <v>0</v>
      </c>
      <c r="CQ1028" s="167">
        <v>0</v>
      </c>
      <c r="CR1028" s="167">
        <v>0</v>
      </c>
      <c r="CS1028" s="167">
        <v>0</v>
      </c>
      <c r="CT1028" s="167">
        <v>0</v>
      </c>
      <c r="CU1028" s="167">
        <v>0</v>
      </c>
      <c r="CV1028" s="167">
        <v>0</v>
      </c>
      <c r="CW1028" s="167">
        <v>0</v>
      </c>
      <c r="CX1028" s="167">
        <f>SUM(CD1028:CH1028)</f>
        <v>1</v>
      </c>
      <c r="CY1028" s="167">
        <f>SUM(CD1028:CM1028)</f>
        <v>1</v>
      </c>
    </row>
    <row r="1029" spans="1:103" ht="12.75" customHeight="1" x14ac:dyDescent="0.2">
      <c r="A1029" s="81">
        <v>6419</v>
      </c>
      <c r="B1029" s="165" t="s">
        <v>1930</v>
      </c>
      <c r="C1029" s="165" t="s">
        <v>1221</v>
      </c>
      <c r="E1029" s="165" t="s">
        <v>3435</v>
      </c>
      <c r="G1029" s="81">
        <v>527130</v>
      </c>
      <c r="H1029" s="81">
        <v>176085</v>
      </c>
      <c r="I1029" s="165" t="s">
        <v>241</v>
      </c>
      <c r="L1029" s="166">
        <v>0</v>
      </c>
      <c r="M1029" s="166">
        <v>25</v>
      </c>
      <c r="N1029" s="166">
        <v>25</v>
      </c>
      <c r="O1029" s="166">
        <v>25</v>
      </c>
      <c r="P1029" s="166">
        <v>25</v>
      </c>
      <c r="Q1029" s="81" t="s">
        <v>155</v>
      </c>
      <c r="R1029" s="165" t="s">
        <v>1222</v>
      </c>
      <c r="S1029" s="81" t="s">
        <v>104</v>
      </c>
      <c r="T1029" s="349">
        <v>42472</v>
      </c>
      <c r="U1029" s="349">
        <v>42790</v>
      </c>
      <c r="W1029" s="81" t="s">
        <v>114</v>
      </c>
      <c r="Y1029" s="81" t="s">
        <v>115</v>
      </c>
      <c r="Z1029" s="81" t="s">
        <v>116</v>
      </c>
      <c r="AA1029" s="81" t="s">
        <v>116</v>
      </c>
      <c r="AB1029" s="81" t="s">
        <v>117</v>
      </c>
      <c r="AC1029" s="166">
        <v>7.1000002324581105E-2</v>
      </c>
      <c r="AG1029" s="81" t="s">
        <v>238</v>
      </c>
      <c r="AH1029" s="81" t="s">
        <v>118</v>
      </c>
      <c r="AK1029" s="166">
        <v>3</v>
      </c>
      <c r="AM1029" s="166">
        <v>25</v>
      </c>
      <c r="AO1029" s="166">
        <v>0</v>
      </c>
      <c r="AP1029" s="166">
        <v>8</v>
      </c>
      <c r="AQ1029" s="166">
        <v>13</v>
      </c>
      <c r="AR1029" s="166">
        <v>4</v>
      </c>
      <c r="AS1029" s="166">
        <v>0</v>
      </c>
      <c r="AT1029" s="166">
        <v>0</v>
      </c>
      <c r="AU1029" s="166">
        <v>0</v>
      </c>
      <c r="AV1029" s="166">
        <v>0</v>
      </c>
      <c r="AW1029" s="166">
        <v>8</v>
      </c>
      <c r="AX1029" s="166">
        <v>13</v>
      </c>
      <c r="AY1029" s="166">
        <v>4</v>
      </c>
      <c r="AZ1029" s="166">
        <v>0</v>
      </c>
      <c r="BA1029" s="166">
        <v>0</v>
      </c>
      <c r="BB1029" s="166">
        <v>0</v>
      </c>
      <c r="BC1029" s="166">
        <v>0</v>
      </c>
      <c r="BD1029" s="166">
        <v>0</v>
      </c>
      <c r="BE1029" s="166">
        <v>0</v>
      </c>
      <c r="BF1029" s="166">
        <v>0</v>
      </c>
      <c r="BG1029" s="166">
        <v>0</v>
      </c>
      <c r="BH1029" s="166">
        <v>0</v>
      </c>
      <c r="BI1029" s="166">
        <v>0</v>
      </c>
      <c r="BJ1029" s="166">
        <v>0</v>
      </c>
      <c r="BK1029" s="166">
        <v>0</v>
      </c>
      <c r="BL1029" s="166">
        <v>0</v>
      </c>
      <c r="BM1029" s="166">
        <v>0</v>
      </c>
      <c r="BN1029" s="166">
        <v>0</v>
      </c>
      <c r="BO1029" s="166">
        <v>0</v>
      </c>
      <c r="BP1029" s="166">
        <v>0</v>
      </c>
      <c r="BQ1029" s="81" t="s">
        <v>1757</v>
      </c>
      <c r="BZ1029" s="81" t="s">
        <v>155</v>
      </c>
      <c r="CA1029" s="81" t="s">
        <v>3936</v>
      </c>
      <c r="CC1029" s="167">
        <v>0</v>
      </c>
      <c r="CD1029" s="167">
        <v>0</v>
      </c>
      <c r="CE1029" s="167">
        <f>$N1029/3</f>
        <v>8.3333333333333339</v>
      </c>
      <c r="CF1029" s="167">
        <f>$N1029/3</f>
        <v>8.3333333333333339</v>
      </c>
      <c r="CG1029" s="167">
        <f>$N1029/3</f>
        <v>8.3333333333333339</v>
      </c>
      <c r="CH1029" s="167">
        <v>0</v>
      </c>
      <c r="CI1029" s="167">
        <v>0</v>
      </c>
      <c r="CJ1029" s="167">
        <v>0</v>
      </c>
      <c r="CK1029" s="167">
        <v>0</v>
      </c>
      <c r="CL1029" s="167">
        <v>0</v>
      </c>
      <c r="CM1029" s="167">
        <v>0</v>
      </c>
      <c r="CN1029" s="167">
        <v>0</v>
      </c>
      <c r="CO1029" s="167">
        <v>0</v>
      </c>
      <c r="CP1029" s="167">
        <v>0</v>
      </c>
      <c r="CQ1029" s="167">
        <v>0</v>
      </c>
      <c r="CR1029" s="167">
        <v>0</v>
      </c>
      <c r="CS1029" s="167">
        <v>0</v>
      </c>
      <c r="CT1029" s="167">
        <v>0</v>
      </c>
      <c r="CU1029" s="167">
        <v>0</v>
      </c>
      <c r="CV1029" s="167">
        <v>0</v>
      </c>
      <c r="CW1029" s="167">
        <v>0</v>
      </c>
      <c r="CX1029" s="167">
        <f>SUM(CD1029:CH1029)</f>
        <v>25</v>
      </c>
      <c r="CY1029" s="167">
        <f>SUM(CD1029:CM1029)</f>
        <v>25</v>
      </c>
    </row>
    <row r="1030" spans="1:103" ht="12.75" customHeight="1" x14ac:dyDescent="0.2">
      <c r="A1030" s="81">
        <v>6426</v>
      </c>
      <c r="B1030" s="165" t="s">
        <v>1930</v>
      </c>
      <c r="C1030" s="165" t="s">
        <v>2764</v>
      </c>
      <c r="E1030" s="165" t="s">
        <v>2765</v>
      </c>
      <c r="G1030" s="81">
        <v>527111</v>
      </c>
      <c r="H1030" s="81">
        <v>170959</v>
      </c>
      <c r="I1030" s="165" t="s">
        <v>242</v>
      </c>
      <c r="L1030" s="166">
        <v>0</v>
      </c>
      <c r="M1030" s="166">
        <v>2</v>
      </c>
      <c r="N1030" s="166">
        <v>2</v>
      </c>
      <c r="O1030" s="166">
        <v>2</v>
      </c>
      <c r="P1030" s="166">
        <v>2</v>
      </c>
      <c r="R1030" s="165" t="s">
        <v>2766</v>
      </c>
      <c r="S1030" s="81" t="s">
        <v>113</v>
      </c>
      <c r="T1030" s="349">
        <v>42859</v>
      </c>
      <c r="U1030" s="349">
        <v>42944</v>
      </c>
      <c r="V1030" s="81" t="s">
        <v>155</v>
      </c>
      <c r="W1030" s="81" t="s">
        <v>114</v>
      </c>
      <c r="Y1030" s="81" t="s">
        <v>115</v>
      </c>
      <c r="Z1030" s="81" t="s">
        <v>398</v>
      </c>
      <c r="AA1030" s="81" t="s">
        <v>117</v>
      </c>
      <c r="AB1030" s="81" t="s">
        <v>399</v>
      </c>
      <c r="AC1030" s="166">
        <v>2.0000000949949E-3</v>
      </c>
      <c r="AG1030" s="81" t="s">
        <v>238</v>
      </c>
      <c r="AH1030" s="81" t="s">
        <v>118</v>
      </c>
      <c r="AK1030" s="166">
        <v>0</v>
      </c>
      <c r="AM1030" s="166">
        <v>0</v>
      </c>
      <c r="AO1030" s="166">
        <v>0</v>
      </c>
      <c r="AP1030" s="166">
        <v>2</v>
      </c>
      <c r="AQ1030" s="166">
        <v>0</v>
      </c>
      <c r="AR1030" s="166">
        <v>0</v>
      </c>
      <c r="AS1030" s="166">
        <v>0</v>
      </c>
      <c r="AT1030" s="166">
        <v>0</v>
      </c>
      <c r="AU1030" s="166">
        <v>0</v>
      </c>
      <c r="AV1030" s="166">
        <v>0</v>
      </c>
      <c r="AW1030" s="166">
        <v>2</v>
      </c>
      <c r="AX1030" s="166">
        <v>0</v>
      </c>
      <c r="AY1030" s="166">
        <v>0</v>
      </c>
      <c r="AZ1030" s="166">
        <v>0</v>
      </c>
      <c r="BA1030" s="166">
        <v>0</v>
      </c>
      <c r="BB1030" s="166">
        <v>0</v>
      </c>
      <c r="BC1030" s="166">
        <v>0</v>
      </c>
      <c r="BD1030" s="166">
        <v>0</v>
      </c>
      <c r="BE1030" s="166">
        <v>0</v>
      </c>
      <c r="BF1030" s="166">
        <v>0</v>
      </c>
      <c r="BG1030" s="166">
        <v>0</v>
      </c>
      <c r="BH1030" s="166">
        <v>0</v>
      </c>
      <c r="BI1030" s="166">
        <v>0</v>
      </c>
      <c r="BJ1030" s="166">
        <v>0</v>
      </c>
      <c r="BK1030" s="166">
        <v>0</v>
      </c>
      <c r="BL1030" s="166">
        <v>0</v>
      </c>
      <c r="BM1030" s="166">
        <v>0</v>
      </c>
      <c r="BN1030" s="166">
        <v>0</v>
      </c>
      <c r="BO1030" s="166">
        <v>0</v>
      </c>
      <c r="BP1030" s="166">
        <v>0</v>
      </c>
      <c r="BQ1030" s="81" t="s">
        <v>1757</v>
      </c>
      <c r="BZ1030" s="81" t="s">
        <v>155</v>
      </c>
      <c r="CA1030" s="81" t="s">
        <v>1937</v>
      </c>
      <c r="CC1030" s="167">
        <v>0</v>
      </c>
      <c r="CD1030" s="167">
        <f>$N1030/4</f>
        <v>0.5</v>
      </c>
      <c r="CE1030" s="167">
        <f>$N1030/4</f>
        <v>0.5</v>
      </c>
      <c r="CF1030" s="167">
        <f>$N1030/4</f>
        <v>0.5</v>
      </c>
      <c r="CG1030" s="167">
        <f>$N1030/4</f>
        <v>0.5</v>
      </c>
      <c r="CH1030" s="167">
        <v>0</v>
      </c>
      <c r="CI1030" s="167">
        <v>0</v>
      </c>
      <c r="CJ1030" s="167">
        <v>0</v>
      </c>
      <c r="CK1030" s="167">
        <v>0</v>
      </c>
      <c r="CL1030" s="167">
        <v>0</v>
      </c>
      <c r="CM1030" s="167">
        <v>0</v>
      </c>
      <c r="CN1030" s="167">
        <v>0</v>
      </c>
      <c r="CO1030" s="167">
        <v>0</v>
      </c>
      <c r="CP1030" s="167">
        <v>0</v>
      </c>
      <c r="CQ1030" s="167">
        <v>0</v>
      </c>
      <c r="CR1030" s="167">
        <v>0</v>
      </c>
      <c r="CS1030" s="167">
        <v>0</v>
      </c>
      <c r="CT1030" s="167">
        <v>0</v>
      </c>
      <c r="CU1030" s="167">
        <v>0</v>
      </c>
      <c r="CV1030" s="167">
        <v>0</v>
      </c>
      <c r="CW1030" s="167">
        <v>0</v>
      </c>
      <c r="CX1030" s="167">
        <f>SUM(CD1030:CH1030)</f>
        <v>2</v>
      </c>
      <c r="CY1030" s="167">
        <f>SUM(CD1030:CM1030)</f>
        <v>2</v>
      </c>
    </row>
    <row r="1031" spans="1:103" ht="12.75" customHeight="1" x14ac:dyDescent="0.2">
      <c r="A1031" s="81">
        <v>6443</v>
      </c>
      <c r="B1031" s="165" t="s">
        <v>1930</v>
      </c>
      <c r="C1031" s="165" t="s">
        <v>1443</v>
      </c>
      <c r="E1031" s="165" t="s">
        <v>3436</v>
      </c>
      <c r="F1031" s="165" t="s">
        <v>1444</v>
      </c>
      <c r="G1031" s="81">
        <v>522012</v>
      </c>
      <c r="H1031" s="81">
        <v>172337</v>
      </c>
      <c r="I1031" s="165" t="s">
        <v>877</v>
      </c>
      <c r="L1031" s="166">
        <v>0</v>
      </c>
      <c r="M1031" s="166">
        <v>11</v>
      </c>
      <c r="N1031" s="166">
        <v>11</v>
      </c>
      <c r="O1031" s="166">
        <v>21</v>
      </c>
      <c r="P1031" s="166">
        <v>21</v>
      </c>
      <c r="Q1031" s="81" t="s">
        <v>155</v>
      </c>
      <c r="R1031" s="165" t="s">
        <v>1445</v>
      </c>
      <c r="S1031" s="81" t="s">
        <v>113</v>
      </c>
      <c r="T1031" s="349">
        <v>42650</v>
      </c>
      <c r="U1031" s="349">
        <v>42719</v>
      </c>
      <c r="W1031" s="81" t="s">
        <v>114</v>
      </c>
      <c r="Y1031" s="81" t="s">
        <v>115</v>
      </c>
      <c r="Z1031" s="81" t="s">
        <v>116</v>
      </c>
      <c r="AA1031" s="81" t="s">
        <v>116</v>
      </c>
      <c r="AB1031" s="81" t="s">
        <v>117</v>
      </c>
      <c r="AC1031" s="166">
        <v>9.0999998152255998E-2</v>
      </c>
      <c r="AG1031" s="81" t="s">
        <v>154</v>
      </c>
      <c r="AH1031" s="81" t="s">
        <v>38</v>
      </c>
      <c r="AK1031" s="166">
        <v>11</v>
      </c>
      <c r="AM1031" s="166">
        <v>6</v>
      </c>
      <c r="AO1031" s="166">
        <v>0</v>
      </c>
      <c r="AP1031" s="166">
        <v>4</v>
      </c>
      <c r="AQ1031" s="166">
        <v>7</v>
      </c>
      <c r="AR1031" s="166">
        <v>0</v>
      </c>
      <c r="AS1031" s="166">
        <v>0</v>
      </c>
      <c r="AT1031" s="166">
        <v>0</v>
      </c>
      <c r="AU1031" s="166">
        <v>0</v>
      </c>
      <c r="AV1031" s="166">
        <v>0</v>
      </c>
      <c r="AW1031" s="166">
        <v>4</v>
      </c>
      <c r="AX1031" s="166">
        <v>7</v>
      </c>
      <c r="AY1031" s="166">
        <v>0</v>
      </c>
      <c r="AZ1031" s="166">
        <v>0</v>
      </c>
      <c r="BA1031" s="166">
        <v>0</v>
      </c>
      <c r="BB1031" s="166">
        <v>0</v>
      </c>
      <c r="BC1031" s="166">
        <v>0</v>
      </c>
      <c r="BD1031" s="166">
        <v>0</v>
      </c>
      <c r="BE1031" s="166">
        <v>0</v>
      </c>
      <c r="BF1031" s="166">
        <v>0</v>
      </c>
      <c r="BG1031" s="166">
        <v>0</v>
      </c>
      <c r="BH1031" s="166">
        <v>0</v>
      </c>
      <c r="BI1031" s="166">
        <v>0</v>
      </c>
      <c r="BJ1031" s="166">
        <v>0</v>
      </c>
      <c r="BK1031" s="166">
        <v>0</v>
      </c>
      <c r="BL1031" s="166">
        <v>0</v>
      </c>
      <c r="BM1031" s="166">
        <v>0</v>
      </c>
      <c r="BN1031" s="166">
        <v>0</v>
      </c>
      <c r="BO1031" s="166">
        <v>0</v>
      </c>
      <c r="BP1031" s="166">
        <v>0</v>
      </c>
      <c r="BQ1031" s="81" t="s">
        <v>1758</v>
      </c>
      <c r="BZ1031" s="81" t="s">
        <v>155</v>
      </c>
      <c r="CA1031" s="81" t="s">
        <v>3936</v>
      </c>
      <c r="CC1031" s="167">
        <v>0</v>
      </c>
      <c r="CD1031" s="167">
        <v>0</v>
      </c>
      <c r="CE1031" s="167">
        <v>0</v>
      </c>
      <c r="CF1031" s="167">
        <v>0</v>
      </c>
      <c r="CG1031" s="167">
        <f>N1031</f>
        <v>11</v>
      </c>
      <c r="CH1031" s="167">
        <v>0</v>
      </c>
      <c r="CI1031" s="167">
        <v>0</v>
      </c>
      <c r="CJ1031" s="167">
        <v>0</v>
      </c>
      <c r="CK1031" s="167">
        <v>0</v>
      </c>
      <c r="CL1031" s="167">
        <v>0</v>
      </c>
      <c r="CM1031" s="167">
        <v>0</v>
      </c>
      <c r="CN1031" s="167">
        <v>0</v>
      </c>
      <c r="CO1031" s="167">
        <v>0</v>
      </c>
      <c r="CP1031" s="167">
        <v>0</v>
      </c>
      <c r="CQ1031" s="167">
        <v>0</v>
      </c>
      <c r="CR1031" s="167">
        <v>0</v>
      </c>
      <c r="CS1031" s="167">
        <v>0</v>
      </c>
      <c r="CT1031" s="167">
        <v>0</v>
      </c>
      <c r="CU1031" s="167">
        <v>0</v>
      </c>
      <c r="CV1031" s="167">
        <v>0</v>
      </c>
      <c r="CW1031" s="167">
        <v>0</v>
      </c>
      <c r="CX1031" s="167">
        <f>SUM(CD1031:CH1031)</f>
        <v>11</v>
      </c>
      <c r="CY1031" s="167">
        <f>SUM(CD1031:CM1031)</f>
        <v>11</v>
      </c>
    </row>
    <row r="1032" spans="1:103" ht="12.75" customHeight="1" x14ac:dyDescent="0.2">
      <c r="A1032" s="81">
        <v>6443</v>
      </c>
      <c r="B1032" s="165" t="s">
        <v>1930</v>
      </c>
      <c r="C1032" s="165" t="s">
        <v>1443</v>
      </c>
      <c r="E1032" s="165" t="s">
        <v>3436</v>
      </c>
      <c r="F1032" s="165" t="s">
        <v>1446</v>
      </c>
      <c r="G1032" s="81">
        <v>522012</v>
      </c>
      <c r="H1032" s="81">
        <v>172337</v>
      </c>
      <c r="I1032" s="165" t="s">
        <v>877</v>
      </c>
      <c r="L1032" s="166">
        <v>0</v>
      </c>
      <c r="M1032" s="166">
        <v>10</v>
      </c>
      <c r="N1032" s="166">
        <v>10</v>
      </c>
      <c r="O1032" s="166">
        <v>21</v>
      </c>
      <c r="P1032" s="166">
        <v>21</v>
      </c>
      <c r="Q1032" s="81" t="s">
        <v>155</v>
      </c>
      <c r="R1032" s="165" t="s">
        <v>1445</v>
      </c>
      <c r="S1032" s="81" t="s">
        <v>113</v>
      </c>
      <c r="T1032" s="349">
        <v>42650</v>
      </c>
      <c r="U1032" s="349">
        <v>42719</v>
      </c>
      <c r="W1032" s="81" t="s">
        <v>114</v>
      </c>
      <c r="Y1032" s="81" t="s">
        <v>115</v>
      </c>
      <c r="Z1032" s="81" t="s">
        <v>116</v>
      </c>
      <c r="AA1032" s="81" t="s">
        <v>116</v>
      </c>
      <c r="AB1032" s="81" t="s">
        <v>117</v>
      </c>
      <c r="AC1032" s="166">
        <v>3.9000000804662698E-2</v>
      </c>
      <c r="AG1032" s="81" t="s">
        <v>154</v>
      </c>
      <c r="AH1032" s="81" t="s">
        <v>38</v>
      </c>
      <c r="AK1032" s="166">
        <v>10</v>
      </c>
      <c r="AM1032" s="166">
        <v>6</v>
      </c>
      <c r="AO1032" s="166">
        <v>0</v>
      </c>
      <c r="AP1032" s="166">
        <v>10</v>
      </c>
      <c r="AQ1032" s="166">
        <v>0</v>
      </c>
      <c r="AR1032" s="166">
        <v>0</v>
      </c>
      <c r="AS1032" s="166">
        <v>0</v>
      </c>
      <c r="AT1032" s="166">
        <v>0</v>
      </c>
      <c r="AU1032" s="166">
        <v>0</v>
      </c>
      <c r="AV1032" s="166">
        <v>0</v>
      </c>
      <c r="AW1032" s="166">
        <v>10</v>
      </c>
      <c r="AX1032" s="166">
        <v>0</v>
      </c>
      <c r="AY1032" s="166">
        <v>0</v>
      </c>
      <c r="AZ1032" s="166">
        <v>0</v>
      </c>
      <c r="BA1032" s="166">
        <v>0</v>
      </c>
      <c r="BB1032" s="166">
        <v>0</v>
      </c>
      <c r="BC1032" s="166">
        <v>0</v>
      </c>
      <c r="BD1032" s="166">
        <v>0</v>
      </c>
      <c r="BE1032" s="166">
        <v>0</v>
      </c>
      <c r="BF1032" s="166">
        <v>0</v>
      </c>
      <c r="BG1032" s="166">
        <v>0</v>
      </c>
      <c r="BH1032" s="166">
        <v>0</v>
      </c>
      <c r="BI1032" s="166">
        <v>0</v>
      </c>
      <c r="BJ1032" s="166">
        <v>0</v>
      </c>
      <c r="BK1032" s="166">
        <v>0</v>
      </c>
      <c r="BL1032" s="166">
        <v>0</v>
      </c>
      <c r="BM1032" s="166">
        <v>0</v>
      </c>
      <c r="BN1032" s="166">
        <v>0</v>
      </c>
      <c r="BO1032" s="166">
        <v>0</v>
      </c>
      <c r="BP1032" s="166">
        <v>0</v>
      </c>
      <c r="BQ1032" s="81" t="s">
        <v>1758</v>
      </c>
      <c r="BZ1032" s="81" t="s">
        <v>155</v>
      </c>
      <c r="CA1032" s="81" t="s">
        <v>3936</v>
      </c>
      <c r="CC1032" s="167">
        <v>0</v>
      </c>
      <c r="CD1032" s="167">
        <v>0</v>
      </c>
      <c r="CE1032" s="167">
        <v>0</v>
      </c>
      <c r="CF1032" s="167">
        <v>0</v>
      </c>
      <c r="CG1032" s="167">
        <f>N1032</f>
        <v>10</v>
      </c>
      <c r="CH1032" s="167">
        <v>0</v>
      </c>
      <c r="CI1032" s="167">
        <v>0</v>
      </c>
      <c r="CJ1032" s="167">
        <v>0</v>
      </c>
      <c r="CK1032" s="167">
        <v>0</v>
      </c>
      <c r="CL1032" s="167">
        <v>0</v>
      </c>
      <c r="CM1032" s="167">
        <v>0</v>
      </c>
      <c r="CN1032" s="167">
        <v>0</v>
      </c>
      <c r="CO1032" s="167">
        <v>0</v>
      </c>
      <c r="CP1032" s="167">
        <v>0</v>
      </c>
      <c r="CQ1032" s="167">
        <v>0</v>
      </c>
      <c r="CR1032" s="167">
        <v>0</v>
      </c>
      <c r="CS1032" s="167">
        <v>0</v>
      </c>
      <c r="CT1032" s="167">
        <v>0</v>
      </c>
      <c r="CU1032" s="167">
        <v>0</v>
      </c>
      <c r="CV1032" s="167">
        <v>0</v>
      </c>
      <c r="CW1032" s="167">
        <v>0</v>
      </c>
      <c r="CX1032" s="167">
        <f>SUM(CD1032:CH1032)</f>
        <v>10</v>
      </c>
      <c r="CY1032" s="167">
        <f>SUM(CD1032:CM1032)</f>
        <v>10</v>
      </c>
    </row>
    <row r="1033" spans="1:103" ht="12.75" customHeight="1" x14ac:dyDescent="0.2">
      <c r="A1033" s="81">
        <v>6452</v>
      </c>
      <c r="B1033" s="165" t="s">
        <v>1930</v>
      </c>
      <c r="C1033" s="165" t="s">
        <v>2767</v>
      </c>
      <c r="E1033" s="165" t="s">
        <v>2768</v>
      </c>
      <c r="G1033" s="81">
        <v>526112</v>
      </c>
      <c r="H1033" s="81">
        <v>172454</v>
      </c>
      <c r="I1033" s="165" t="s">
        <v>249</v>
      </c>
      <c r="L1033" s="166">
        <v>0</v>
      </c>
      <c r="M1033" s="166">
        <v>8</v>
      </c>
      <c r="N1033" s="166">
        <v>8</v>
      </c>
      <c r="O1033" s="166">
        <v>8</v>
      </c>
      <c r="P1033" s="166">
        <v>8</v>
      </c>
      <c r="R1033" s="165" t="s">
        <v>2769</v>
      </c>
      <c r="S1033" s="81" t="s">
        <v>113</v>
      </c>
      <c r="T1033" s="349">
        <v>42877</v>
      </c>
      <c r="U1033" s="349">
        <v>43063</v>
      </c>
      <c r="V1033" s="81" t="s">
        <v>155</v>
      </c>
      <c r="W1033" s="81" t="s">
        <v>114</v>
      </c>
      <c r="Y1033" s="81" t="s">
        <v>115</v>
      </c>
      <c r="Z1033" s="81" t="s">
        <v>116</v>
      </c>
      <c r="AA1033" s="81" t="s">
        <v>117</v>
      </c>
      <c r="AB1033" s="81" t="s">
        <v>218</v>
      </c>
      <c r="AC1033" s="166">
        <v>2.5000000372528999E-2</v>
      </c>
      <c r="AG1033" s="81" t="s">
        <v>238</v>
      </c>
      <c r="AH1033" s="81" t="s">
        <v>118</v>
      </c>
      <c r="AK1033" s="166">
        <v>0</v>
      </c>
      <c r="AM1033" s="166">
        <v>0</v>
      </c>
      <c r="AO1033" s="166">
        <v>0</v>
      </c>
      <c r="AP1033" s="166">
        <v>2</v>
      </c>
      <c r="AQ1033" s="166">
        <v>6</v>
      </c>
      <c r="AR1033" s="166">
        <v>0</v>
      </c>
      <c r="AS1033" s="166">
        <v>0</v>
      </c>
      <c r="AT1033" s="166">
        <v>0</v>
      </c>
      <c r="AU1033" s="166">
        <v>0</v>
      </c>
      <c r="AV1033" s="166">
        <v>0</v>
      </c>
      <c r="AW1033" s="166">
        <v>2</v>
      </c>
      <c r="AX1033" s="166">
        <v>6</v>
      </c>
      <c r="AY1033" s="166">
        <v>0</v>
      </c>
      <c r="AZ1033" s="166">
        <v>0</v>
      </c>
      <c r="BA1033" s="166">
        <v>0</v>
      </c>
      <c r="BB1033" s="166">
        <v>0</v>
      </c>
      <c r="BC1033" s="166">
        <v>0</v>
      </c>
      <c r="BD1033" s="166">
        <v>0</v>
      </c>
      <c r="BE1033" s="166">
        <v>0</v>
      </c>
      <c r="BF1033" s="166">
        <v>0</v>
      </c>
      <c r="BG1033" s="166">
        <v>0</v>
      </c>
      <c r="BH1033" s="166">
        <v>0</v>
      </c>
      <c r="BI1033" s="166">
        <v>0</v>
      </c>
      <c r="BJ1033" s="166">
        <v>0</v>
      </c>
      <c r="BK1033" s="166">
        <v>0</v>
      </c>
      <c r="BL1033" s="166">
        <v>0</v>
      </c>
      <c r="BM1033" s="166">
        <v>0</v>
      </c>
      <c r="BN1033" s="166">
        <v>0</v>
      </c>
      <c r="BO1033" s="166">
        <v>0</v>
      </c>
      <c r="BP1033" s="166">
        <v>0</v>
      </c>
      <c r="BQ1033" s="81" t="s">
        <v>1758</v>
      </c>
      <c r="BY1033" s="81" t="s">
        <v>155</v>
      </c>
      <c r="BZ1033" s="81" t="s">
        <v>155</v>
      </c>
      <c r="CA1033" s="81" t="s">
        <v>3968</v>
      </c>
      <c r="CC1033" s="167">
        <v>0</v>
      </c>
      <c r="CD1033" s="167">
        <v>0</v>
      </c>
      <c r="CE1033" s="167">
        <v>0</v>
      </c>
      <c r="CF1033" s="167">
        <v>0</v>
      </c>
      <c r="CG1033" s="167">
        <f>$N1033/3</f>
        <v>2.6666666666666665</v>
      </c>
      <c r="CH1033" s="167">
        <f>$N1033/3</f>
        <v>2.6666666666666665</v>
      </c>
      <c r="CI1033" s="167">
        <f>$N1033/3</f>
        <v>2.6666666666666665</v>
      </c>
      <c r="CJ1033" s="167">
        <v>0</v>
      </c>
      <c r="CK1033" s="167">
        <v>0</v>
      </c>
      <c r="CL1033" s="167">
        <v>0</v>
      </c>
      <c r="CM1033" s="167">
        <v>0</v>
      </c>
      <c r="CN1033" s="167">
        <v>0</v>
      </c>
      <c r="CO1033" s="167">
        <v>0</v>
      </c>
      <c r="CP1033" s="167">
        <v>0</v>
      </c>
      <c r="CQ1033" s="167">
        <v>0</v>
      </c>
      <c r="CR1033" s="167">
        <v>0</v>
      </c>
      <c r="CS1033" s="167">
        <v>0</v>
      </c>
      <c r="CT1033" s="167">
        <v>0</v>
      </c>
      <c r="CU1033" s="167">
        <v>0</v>
      </c>
      <c r="CV1033" s="167">
        <v>0</v>
      </c>
      <c r="CW1033" s="167">
        <v>0</v>
      </c>
      <c r="CX1033" s="167">
        <f>SUM(CD1033:CH1033)</f>
        <v>5.333333333333333</v>
      </c>
      <c r="CY1033" s="167">
        <f>SUM(CD1033:CM1033)</f>
        <v>8</v>
      </c>
    </row>
    <row r="1034" spans="1:103" ht="12.75" customHeight="1" x14ac:dyDescent="0.2">
      <c r="A1034" s="81">
        <v>6460</v>
      </c>
      <c r="B1034" s="165" t="s">
        <v>1930</v>
      </c>
      <c r="C1034" s="165" t="s">
        <v>2770</v>
      </c>
      <c r="E1034" s="165" t="s">
        <v>2771</v>
      </c>
      <c r="G1034" s="81">
        <v>524993</v>
      </c>
      <c r="H1034" s="81">
        <v>173124</v>
      </c>
      <c r="I1034" s="165" t="s">
        <v>258</v>
      </c>
      <c r="L1034" s="166">
        <v>0</v>
      </c>
      <c r="M1034" s="166">
        <v>1</v>
      </c>
      <c r="N1034" s="166">
        <v>1</v>
      </c>
      <c r="O1034" s="166">
        <v>1</v>
      </c>
      <c r="P1034" s="166">
        <v>1</v>
      </c>
      <c r="R1034" s="165" t="s">
        <v>2772</v>
      </c>
      <c r="S1034" s="81" t="s">
        <v>113</v>
      </c>
      <c r="T1034" s="349">
        <v>42977</v>
      </c>
      <c r="U1034" s="349">
        <v>43033</v>
      </c>
      <c r="V1034" s="81" t="s">
        <v>155</v>
      </c>
      <c r="W1034" s="81" t="s">
        <v>114</v>
      </c>
      <c r="Y1034" s="81" t="s">
        <v>115</v>
      </c>
      <c r="Z1034" s="81" t="s">
        <v>398</v>
      </c>
      <c r="AA1034" s="81" t="s">
        <v>117</v>
      </c>
      <c r="AB1034" s="81" t="s">
        <v>102</v>
      </c>
      <c r="AC1034" s="166">
        <v>8.0000003799796104E-3</v>
      </c>
      <c r="AG1034" s="81" t="s">
        <v>238</v>
      </c>
      <c r="AH1034" s="81" t="s">
        <v>118</v>
      </c>
      <c r="AK1034" s="166">
        <v>0</v>
      </c>
      <c r="AM1034" s="166">
        <v>0</v>
      </c>
      <c r="AO1034" s="166">
        <v>0</v>
      </c>
      <c r="AP1034" s="166">
        <v>0</v>
      </c>
      <c r="AQ1034" s="166">
        <v>0</v>
      </c>
      <c r="AR1034" s="166">
        <v>1</v>
      </c>
      <c r="AS1034" s="166">
        <v>0</v>
      </c>
      <c r="AT1034" s="166">
        <v>0</v>
      </c>
      <c r="AU1034" s="166">
        <v>0</v>
      </c>
      <c r="AV1034" s="166">
        <v>0</v>
      </c>
      <c r="AW1034" s="166">
        <v>0</v>
      </c>
      <c r="AX1034" s="166">
        <v>0</v>
      </c>
      <c r="AY1034" s="166">
        <v>0</v>
      </c>
      <c r="AZ1034" s="166">
        <v>0</v>
      </c>
      <c r="BA1034" s="166">
        <v>0</v>
      </c>
      <c r="BB1034" s="166">
        <v>0</v>
      </c>
      <c r="BC1034" s="166">
        <v>0</v>
      </c>
      <c r="BD1034" s="166">
        <v>0</v>
      </c>
      <c r="BE1034" s="166">
        <v>0</v>
      </c>
      <c r="BF1034" s="166">
        <v>1</v>
      </c>
      <c r="BG1034" s="166">
        <v>0</v>
      </c>
      <c r="BH1034" s="166">
        <v>0</v>
      </c>
      <c r="BI1034" s="166">
        <v>0</v>
      </c>
      <c r="BJ1034" s="166">
        <v>0</v>
      </c>
      <c r="BK1034" s="166">
        <v>0</v>
      </c>
      <c r="BL1034" s="166">
        <v>0</v>
      </c>
      <c r="BM1034" s="166">
        <v>0</v>
      </c>
      <c r="BN1034" s="166">
        <v>0</v>
      </c>
      <c r="BO1034" s="166">
        <v>0</v>
      </c>
      <c r="BP1034" s="166">
        <v>0</v>
      </c>
      <c r="BQ1034" s="81" t="s">
        <v>1758</v>
      </c>
      <c r="BZ1034" s="81" t="s">
        <v>155</v>
      </c>
      <c r="CA1034" s="81" t="s">
        <v>1937</v>
      </c>
      <c r="CC1034" s="167">
        <v>0</v>
      </c>
      <c r="CD1034" s="167">
        <f>$N1034/4</f>
        <v>0.25</v>
      </c>
      <c r="CE1034" s="167">
        <f>$N1034/4</f>
        <v>0.25</v>
      </c>
      <c r="CF1034" s="167">
        <f>$N1034/4</f>
        <v>0.25</v>
      </c>
      <c r="CG1034" s="167">
        <f>$N1034/4</f>
        <v>0.25</v>
      </c>
      <c r="CH1034" s="167">
        <v>0</v>
      </c>
      <c r="CI1034" s="167">
        <v>0</v>
      </c>
      <c r="CJ1034" s="167">
        <v>0</v>
      </c>
      <c r="CK1034" s="167">
        <v>0</v>
      </c>
      <c r="CL1034" s="167">
        <v>0</v>
      </c>
      <c r="CM1034" s="167">
        <v>0</v>
      </c>
      <c r="CN1034" s="167">
        <v>0</v>
      </c>
      <c r="CO1034" s="167">
        <v>0</v>
      </c>
      <c r="CP1034" s="167">
        <v>0</v>
      </c>
      <c r="CQ1034" s="167">
        <v>0</v>
      </c>
      <c r="CR1034" s="167">
        <v>0</v>
      </c>
      <c r="CS1034" s="167">
        <v>0</v>
      </c>
      <c r="CT1034" s="167">
        <v>0</v>
      </c>
      <c r="CU1034" s="167">
        <v>0</v>
      </c>
      <c r="CV1034" s="167">
        <v>0</v>
      </c>
      <c r="CW1034" s="167">
        <v>0</v>
      </c>
      <c r="CX1034" s="167">
        <f>SUM(CD1034:CH1034)</f>
        <v>1</v>
      </c>
      <c r="CY1034" s="167">
        <f>SUM(CD1034:CM1034)</f>
        <v>1</v>
      </c>
    </row>
    <row r="1035" spans="1:103" ht="12.75" customHeight="1" x14ac:dyDescent="0.2">
      <c r="A1035" s="81">
        <v>6464</v>
      </c>
      <c r="B1035" s="165" t="s">
        <v>1930</v>
      </c>
      <c r="C1035" s="165" t="s">
        <v>1170</v>
      </c>
      <c r="E1035" s="165" t="s">
        <v>2773</v>
      </c>
      <c r="G1035" s="81">
        <v>527688</v>
      </c>
      <c r="H1035" s="81">
        <v>171824</v>
      </c>
      <c r="I1035" s="165" t="s">
        <v>242</v>
      </c>
      <c r="L1035" s="166">
        <v>1</v>
      </c>
      <c r="M1035" s="166">
        <v>2</v>
      </c>
      <c r="N1035" s="166">
        <v>1</v>
      </c>
      <c r="O1035" s="166">
        <v>2</v>
      </c>
      <c r="P1035" s="166">
        <v>1</v>
      </c>
      <c r="R1035" s="165" t="s">
        <v>1171</v>
      </c>
      <c r="S1035" s="81" t="s">
        <v>113</v>
      </c>
      <c r="T1035" s="349">
        <v>42360</v>
      </c>
      <c r="U1035" s="349">
        <v>42416</v>
      </c>
      <c r="W1035" s="81" t="s">
        <v>114</v>
      </c>
      <c r="Y1035" s="81" t="s">
        <v>115</v>
      </c>
      <c r="Z1035" s="81" t="s">
        <v>398</v>
      </c>
      <c r="AA1035" s="81" t="s">
        <v>117</v>
      </c>
      <c r="AB1035" s="81" t="s">
        <v>220</v>
      </c>
      <c r="AC1035" s="166">
        <v>8.9999996125698107E-3</v>
      </c>
      <c r="AG1035" s="81" t="s">
        <v>238</v>
      </c>
      <c r="AH1035" s="81" t="s">
        <v>118</v>
      </c>
      <c r="AK1035" s="166">
        <v>0</v>
      </c>
      <c r="AM1035" s="166">
        <v>0</v>
      </c>
      <c r="AO1035" s="166">
        <v>0</v>
      </c>
      <c r="AP1035" s="166">
        <v>0</v>
      </c>
      <c r="AQ1035" s="166">
        <v>2</v>
      </c>
      <c r="AR1035" s="166">
        <v>-1</v>
      </c>
      <c r="AS1035" s="166">
        <v>0</v>
      </c>
      <c r="AT1035" s="166">
        <v>0</v>
      </c>
      <c r="AU1035" s="166">
        <v>0</v>
      </c>
      <c r="AV1035" s="166">
        <v>0</v>
      </c>
      <c r="AW1035" s="166">
        <v>0</v>
      </c>
      <c r="AX1035" s="166">
        <v>2</v>
      </c>
      <c r="AY1035" s="166">
        <v>-1</v>
      </c>
      <c r="AZ1035" s="166">
        <v>0</v>
      </c>
      <c r="BA1035" s="166">
        <v>0</v>
      </c>
      <c r="BB1035" s="166">
        <v>0</v>
      </c>
      <c r="BC1035" s="166">
        <v>0</v>
      </c>
      <c r="BD1035" s="166">
        <v>0</v>
      </c>
      <c r="BE1035" s="166">
        <v>0</v>
      </c>
      <c r="BF1035" s="166">
        <v>0</v>
      </c>
      <c r="BG1035" s="166">
        <v>0</v>
      </c>
      <c r="BH1035" s="166">
        <v>0</v>
      </c>
      <c r="BI1035" s="166">
        <v>0</v>
      </c>
      <c r="BJ1035" s="166">
        <v>0</v>
      </c>
      <c r="BK1035" s="166">
        <v>0</v>
      </c>
      <c r="BL1035" s="166">
        <v>0</v>
      </c>
      <c r="BM1035" s="166">
        <v>0</v>
      </c>
      <c r="BN1035" s="166">
        <v>0</v>
      </c>
      <c r="BO1035" s="166">
        <v>0</v>
      </c>
      <c r="BP1035" s="166">
        <v>0</v>
      </c>
      <c r="BQ1035" s="81" t="s">
        <v>1757</v>
      </c>
      <c r="BR1035" s="81" t="s">
        <v>242</v>
      </c>
      <c r="BZ1035" s="81" t="s">
        <v>155</v>
      </c>
      <c r="CA1035" s="81" t="s">
        <v>1937</v>
      </c>
      <c r="CC1035" s="167">
        <v>0</v>
      </c>
      <c r="CD1035" s="167">
        <f>$N1035/4</f>
        <v>0.25</v>
      </c>
      <c r="CE1035" s="167">
        <f>$N1035/4</f>
        <v>0.25</v>
      </c>
      <c r="CF1035" s="167">
        <f>$N1035/4</f>
        <v>0.25</v>
      </c>
      <c r="CG1035" s="167">
        <f>$N1035/4</f>
        <v>0.25</v>
      </c>
      <c r="CH1035" s="167">
        <v>0</v>
      </c>
      <c r="CI1035" s="167">
        <v>0</v>
      </c>
      <c r="CJ1035" s="167">
        <v>0</v>
      </c>
      <c r="CK1035" s="167">
        <v>0</v>
      </c>
      <c r="CL1035" s="167">
        <v>0</v>
      </c>
      <c r="CM1035" s="167">
        <v>0</v>
      </c>
      <c r="CN1035" s="167">
        <v>0</v>
      </c>
      <c r="CO1035" s="167">
        <v>0</v>
      </c>
      <c r="CP1035" s="167">
        <v>0</v>
      </c>
      <c r="CQ1035" s="167">
        <v>0</v>
      </c>
      <c r="CR1035" s="167">
        <v>0</v>
      </c>
      <c r="CS1035" s="167">
        <v>0</v>
      </c>
      <c r="CT1035" s="167">
        <v>0</v>
      </c>
      <c r="CU1035" s="167">
        <v>0</v>
      </c>
      <c r="CV1035" s="167">
        <v>0</v>
      </c>
      <c r="CW1035" s="167">
        <v>0</v>
      </c>
      <c r="CX1035" s="167">
        <f>SUM(CD1035:CH1035)</f>
        <v>1</v>
      </c>
      <c r="CY1035" s="167">
        <f>SUM(CD1035:CM1035)</f>
        <v>1</v>
      </c>
    </row>
    <row r="1036" spans="1:103" ht="12.75" customHeight="1" x14ac:dyDescent="0.2">
      <c r="A1036" s="81">
        <v>6479</v>
      </c>
      <c r="B1036" s="165" t="s">
        <v>1930</v>
      </c>
      <c r="C1036" s="165" t="s">
        <v>1431</v>
      </c>
      <c r="E1036" s="165" t="s">
        <v>3438</v>
      </c>
      <c r="G1036" s="81">
        <v>528125</v>
      </c>
      <c r="H1036" s="81">
        <v>175809</v>
      </c>
      <c r="I1036" s="165" t="s">
        <v>256</v>
      </c>
      <c r="L1036" s="166">
        <v>0</v>
      </c>
      <c r="M1036" s="166">
        <v>18</v>
      </c>
      <c r="N1036" s="166">
        <v>18</v>
      </c>
      <c r="O1036" s="166">
        <v>18</v>
      </c>
      <c r="P1036" s="166">
        <v>18</v>
      </c>
      <c r="Q1036" s="81" t="s">
        <v>155</v>
      </c>
      <c r="R1036" s="165" t="s">
        <v>1432</v>
      </c>
      <c r="S1036" s="81" t="s">
        <v>113</v>
      </c>
      <c r="T1036" s="349">
        <v>42643</v>
      </c>
      <c r="U1036" s="349">
        <v>42761</v>
      </c>
      <c r="W1036" s="81" t="s">
        <v>114</v>
      </c>
      <c r="Y1036" s="81" t="s">
        <v>115</v>
      </c>
      <c r="Z1036" s="81" t="s">
        <v>116</v>
      </c>
      <c r="AA1036" s="81" t="s">
        <v>116</v>
      </c>
      <c r="AB1036" s="81" t="s">
        <v>117</v>
      </c>
      <c r="AC1036" s="166">
        <v>0.40000000596046398</v>
      </c>
      <c r="AG1036" s="81" t="s">
        <v>154</v>
      </c>
      <c r="AH1036" s="81" t="s">
        <v>38</v>
      </c>
      <c r="AK1036" s="166">
        <v>16</v>
      </c>
      <c r="AM1036" s="166">
        <v>2</v>
      </c>
      <c r="AO1036" s="166">
        <v>0</v>
      </c>
      <c r="AP1036" s="166">
        <v>4</v>
      </c>
      <c r="AQ1036" s="166">
        <v>11</v>
      </c>
      <c r="AR1036" s="166">
        <v>0</v>
      </c>
      <c r="AS1036" s="166">
        <v>1</v>
      </c>
      <c r="AT1036" s="166">
        <v>2</v>
      </c>
      <c r="AU1036" s="166">
        <v>0</v>
      </c>
      <c r="AV1036" s="166">
        <v>0</v>
      </c>
      <c r="AW1036" s="166">
        <v>4</v>
      </c>
      <c r="AX1036" s="166">
        <v>11</v>
      </c>
      <c r="AY1036" s="166">
        <v>0</v>
      </c>
      <c r="AZ1036" s="166">
        <v>0</v>
      </c>
      <c r="BA1036" s="166">
        <v>0</v>
      </c>
      <c r="BB1036" s="166">
        <v>0</v>
      </c>
      <c r="BC1036" s="166">
        <v>0</v>
      </c>
      <c r="BD1036" s="166">
        <v>0</v>
      </c>
      <c r="BE1036" s="166">
        <v>0</v>
      </c>
      <c r="BF1036" s="166">
        <v>0</v>
      </c>
      <c r="BG1036" s="166">
        <v>1</v>
      </c>
      <c r="BH1036" s="166">
        <v>2</v>
      </c>
      <c r="BI1036" s="166">
        <v>0</v>
      </c>
      <c r="BJ1036" s="166">
        <v>0</v>
      </c>
      <c r="BK1036" s="166">
        <v>0</v>
      </c>
      <c r="BL1036" s="166">
        <v>0</v>
      </c>
      <c r="BM1036" s="166">
        <v>0</v>
      </c>
      <c r="BN1036" s="166">
        <v>0</v>
      </c>
      <c r="BO1036" s="166">
        <v>0</v>
      </c>
      <c r="BP1036" s="166">
        <v>0</v>
      </c>
      <c r="BQ1036" s="81" t="s">
        <v>1757</v>
      </c>
      <c r="BZ1036" s="81" t="s">
        <v>155</v>
      </c>
      <c r="CA1036" s="81" t="s">
        <v>3968</v>
      </c>
      <c r="CC1036" s="167">
        <v>0</v>
      </c>
      <c r="CD1036" s="167">
        <v>0</v>
      </c>
      <c r="CE1036" s="167">
        <v>0</v>
      </c>
      <c r="CF1036" s="167">
        <v>0</v>
      </c>
      <c r="CG1036" s="167">
        <f>$N1036/3</f>
        <v>6</v>
      </c>
      <c r="CH1036" s="167">
        <f>$N1036/3</f>
        <v>6</v>
      </c>
      <c r="CI1036" s="167">
        <f>$N1036/3</f>
        <v>6</v>
      </c>
      <c r="CJ1036" s="167">
        <v>0</v>
      </c>
      <c r="CK1036" s="167">
        <v>0</v>
      </c>
      <c r="CL1036" s="167">
        <v>0</v>
      </c>
      <c r="CM1036" s="167">
        <v>0</v>
      </c>
      <c r="CN1036" s="167">
        <v>0</v>
      </c>
      <c r="CO1036" s="167">
        <v>0</v>
      </c>
      <c r="CP1036" s="167">
        <v>0</v>
      </c>
      <c r="CQ1036" s="167">
        <v>0</v>
      </c>
      <c r="CR1036" s="167">
        <v>0</v>
      </c>
      <c r="CS1036" s="167">
        <v>0</v>
      </c>
      <c r="CT1036" s="167">
        <v>0</v>
      </c>
      <c r="CU1036" s="167">
        <v>0</v>
      </c>
      <c r="CV1036" s="167">
        <v>0</v>
      </c>
      <c r="CW1036" s="167">
        <v>0</v>
      </c>
      <c r="CX1036" s="167">
        <f>SUM(CD1036:CH1036)</f>
        <v>12</v>
      </c>
      <c r="CY1036" s="167">
        <f>SUM(CD1036:CM1036)</f>
        <v>18</v>
      </c>
    </row>
    <row r="1037" spans="1:103" ht="12.75" customHeight="1" x14ac:dyDescent="0.2">
      <c r="A1037" s="81">
        <v>6480</v>
      </c>
      <c r="B1037" s="165" t="s">
        <v>1930</v>
      </c>
      <c r="C1037" s="165" t="s">
        <v>1433</v>
      </c>
      <c r="E1037" s="165" t="s">
        <v>2774</v>
      </c>
      <c r="G1037" s="81">
        <v>528205</v>
      </c>
      <c r="H1037" s="81">
        <v>175735</v>
      </c>
      <c r="I1037" s="165" t="s">
        <v>256</v>
      </c>
      <c r="L1037" s="166">
        <v>0</v>
      </c>
      <c r="M1037" s="166">
        <v>4</v>
      </c>
      <c r="N1037" s="166">
        <v>4</v>
      </c>
      <c r="O1037" s="166">
        <v>4</v>
      </c>
      <c r="P1037" s="166">
        <v>4</v>
      </c>
      <c r="R1037" s="165" t="s">
        <v>1434</v>
      </c>
      <c r="S1037" s="81" t="s">
        <v>113</v>
      </c>
      <c r="T1037" s="349">
        <v>42643</v>
      </c>
      <c r="U1037" s="349">
        <v>42761</v>
      </c>
      <c r="W1037" s="81" t="s">
        <v>114</v>
      </c>
      <c r="Y1037" s="81" t="s">
        <v>115</v>
      </c>
      <c r="Z1037" s="81" t="s">
        <v>116</v>
      </c>
      <c r="AA1037" s="81" t="s">
        <v>117</v>
      </c>
      <c r="AB1037" s="81" t="s">
        <v>218</v>
      </c>
      <c r="AC1037" s="166">
        <v>6.1999998986720997E-2</v>
      </c>
      <c r="AG1037" s="81" t="s">
        <v>154</v>
      </c>
      <c r="AH1037" s="81" t="s">
        <v>38</v>
      </c>
      <c r="AK1037" s="166">
        <v>1</v>
      </c>
      <c r="AM1037" s="166">
        <v>3</v>
      </c>
      <c r="AO1037" s="166">
        <v>0</v>
      </c>
      <c r="AP1037" s="166">
        <v>2</v>
      </c>
      <c r="AQ1037" s="166">
        <v>1</v>
      </c>
      <c r="AR1037" s="166">
        <v>1</v>
      </c>
      <c r="AS1037" s="166">
        <v>0</v>
      </c>
      <c r="AT1037" s="166">
        <v>0</v>
      </c>
      <c r="AU1037" s="166">
        <v>0</v>
      </c>
      <c r="AV1037" s="166">
        <v>0</v>
      </c>
      <c r="AW1037" s="166">
        <v>2</v>
      </c>
      <c r="AX1037" s="166">
        <v>1</v>
      </c>
      <c r="AY1037" s="166">
        <v>0</v>
      </c>
      <c r="AZ1037" s="166">
        <v>0</v>
      </c>
      <c r="BA1037" s="166">
        <v>0</v>
      </c>
      <c r="BB1037" s="166">
        <v>0</v>
      </c>
      <c r="BC1037" s="166">
        <v>0</v>
      </c>
      <c r="BD1037" s="166">
        <v>0</v>
      </c>
      <c r="BE1037" s="166">
        <v>0</v>
      </c>
      <c r="BF1037" s="166">
        <v>1</v>
      </c>
      <c r="BG1037" s="166">
        <v>0</v>
      </c>
      <c r="BH1037" s="166">
        <v>0</v>
      </c>
      <c r="BI1037" s="166">
        <v>0</v>
      </c>
      <c r="BJ1037" s="166">
        <v>0</v>
      </c>
      <c r="BK1037" s="166">
        <v>0</v>
      </c>
      <c r="BL1037" s="166">
        <v>0</v>
      </c>
      <c r="BM1037" s="166">
        <v>0</v>
      </c>
      <c r="BN1037" s="166">
        <v>0</v>
      </c>
      <c r="BO1037" s="166">
        <v>0</v>
      </c>
      <c r="BP1037" s="166">
        <v>0</v>
      </c>
      <c r="BQ1037" s="81" t="s">
        <v>1757</v>
      </c>
      <c r="BZ1037" s="81" t="s">
        <v>155</v>
      </c>
      <c r="CA1037" s="81">
        <v>4</v>
      </c>
      <c r="CC1037" s="167">
        <v>0</v>
      </c>
      <c r="CD1037" s="167">
        <v>0</v>
      </c>
      <c r="CE1037" s="167">
        <f>$N1037/4</f>
        <v>1</v>
      </c>
      <c r="CF1037" s="167">
        <f>$N1037/4</f>
        <v>1</v>
      </c>
      <c r="CG1037" s="167">
        <f>$N1037/4</f>
        <v>1</v>
      </c>
      <c r="CH1037" s="167">
        <f>$N1037/4</f>
        <v>1</v>
      </c>
      <c r="CI1037" s="167">
        <v>0</v>
      </c>
      <c r="CJ1037" s="167">
        <v>0</v>
      </c>
      <c r="CK1037" s="167">
        <v>0</v>
      </c>
      <c r="CL1037" s="167">
        <v>0</v>
      </c>
      <c r="CM1037" s="167">
        <v>0</v>
      </c>
      <c r="CN1037" s="167">
        <v>0</v>
      </c>
      <c r="CO1037" s="167">
        <v>0</v>
      </c>
      <c r="CP1037" s="167">
        <v>0</v>
      </c>
      <c r="CQ1037" s="167">
        <v>0</v>
      </c>
      <c r="CR1037" s="167">
        <v>0</v>
      </c>
      <c r="CS1037" s="167">
        <v>0</v>
      </c>
      <c r="CT1037" s="167">
        <v>0</v>
      </c>
      <c r="CU1037" s="167">
        <v>0</v>
      </c>
      <c r="CV1037" s="167">
        <v>0</v>
      </c>
      <c r="CW1037" s="167">
        <v>0</v>
      </c>
      <c r="CX1037" s="167">
        <f>SUM(CD1037:CH1037)</f>
        <v>4</v>
      </c>
      <c r="CY1037" s="167">
        <f>SUM(CD1037:CM1037)</f>
        <v>4</v>
      </c>
    </row>
    <row r="1038" spans="1:103" ht="12.75" customHeight="1" x14ac:dyDescent="0.2">
      <c r="A1038" s="81">
        <v>6481</v>
      </c>
      <c r="B1038" s="165" t="s">
        <v>1930</v>
      </c>
      <c r="C1038" s="165" t="s">
        <v>1568</v>
      </c>
      <c r="E1038" s="165" t="s">
        <v>2775</v>
      </c>
      <c r="G1038" s="81">
        <v>528408</v>
      </c>
      <c r="H1038" s="81">
        <v>173055</v>
      </c>
      <c r="I1038" s="165" t="s">
        <v>248</v>
      </c>
      <c r="L1038" s="166">
        <v>0</v>
      </c>
      <c r="M1038" s="166">
        <v>3</v>
      </c>
      <c r="N1038" s="166">
        <v>3</v>
      </c>
      <c r="O1038" s="166">
        <v>3</v>
      </c>
      <c r="P1038" s="166">
        <v>3</v>
      </c>
      <c r="R1038" s="165" t="s">
        <v>1569</v>
      </c>
      <c r="S1038" s="81" t="s">
        <v>113</v>
      </c>
      <c r="T1038" s="349">
        <v>42663</v>
      </c>
      <c r="U1038" s="349">
        <v>42879</v>
      </c>
      <c r="V1038" s="81" t="s">
        <v>155</v>
      </c>
      <c r="W1038" s="81" t="s">
        <v>114</v>
      </c>
      <c r="Y1038" s="81" t="s">
        <v>115</v>
      </c>
      <c r="Z1038" s="81" t="s">
        <v>398</v>
      </c>
      <c r="AA1038" s="81" t="s">
        <v>117</v>
      </c>
      <c r="AB1038" s="81" t="s">
        <v>399</v>
      </c>
      <c r="AC1038" s="166">
        <v>1.30000002682209E-2</v>
      </c>
      <c r="AG1038" s="81" t="s">
        <v>238</v>
      </c>
      <c r="AH1038" s="81" t="s">
        <v>118</v>
      </c>
      <c r="AK1038" s="166">
        <v>0</v>
      </c>
      <c r="AM1038" s="166">
        <v>0</v>
      </c>
      <c r="AO1038" s="166">
        <v>0</v>
      </c>
      <c r="AP1038" s="166">
        <v>2</v>
      </c>
      <c r="AQ1038" s="166">
        <v>1</v>
      </c>
      <c r="AR1038" s="166">
        <v>0</v>
      </c>
      <c r="AS1038" s="166">
        <v>0</v>
      </c>
      <c r="AT1038" s="166">
        <v>0</v>
      </c>
      <c r="AU1038" s="166">
        <v>0</v>
      </c>
      <c r="AV1038" s="166">
        <v>0</v>
      </c>
      <c r="AW1038" s="166">
        <v>2</v>
      </c>
      <c r="AX1038" s="166">
        <v>1</v>
      </c>
      <c r="AY1038" s="166">
        <v>0</v>
      </c>
      <c r="AZ1038" s="166">
        <v>0</v>
      </c>
      <c r="BA1038" s="166">
        <v>0</v>
      </c>
      <c r="BB1038" s="166">
        <v>0</v>
      </c>
      <c r="BC1038" s="166">
        <v>0</v>
      </c>
      <c r="BD1038" s="166">
        <v>0</v>
      </c>
      <c r="BE1038" s="166">
        <v>0</v>
      </c>
      <c r="BF1038" s="166">
        <v>0</v>
      </c>
      <c r="BG1038" s="166">
        <v>0</v>
      </c>
      <c r="BH1038" s="166">
        <v>0</v>
      </c>
      <c r="BI1038" s="166">
        <v>0</v>
      </c>
      <c r="BJ1038" s="166">
        <v>0</v>
      </c>
      <c r="BK1038" s="166">
        <v>0</v>
      </c>
      <c r="BL1038" s="166">
        <v>0</v>
      </c>
      <c r="BM1038" s="166">
        <v>0</v>
      </c>
      <c r="BN1038" s="166">
        <v>0</v>
      </c>
      <c r="BO1038" s="166">
        <v>0</v>
      </c>
      <c r="BP1038" s="166">
        <v>0</v>
      </c>
      <c r="BQ1038" s="81" t="s">
        <v>1757</v>
      </c>
      <c r="BZ1038" s="81" t="s">
        <v>155</v>
      </c>
      <c r="CA1038" s="81" t="s">
        <v>1937</v>
      </c>
      <c r="CC1038" s="167">
        <v>0</v>
      </c>
      <c r="CD1038" s="167">
        <f>$N1038/4</f>
        <v>0.75</v>
      </c>
      <c r="CE1038" s="167">
        <f>$N1038/4</f>
        <v>0.75</v>
      </c>
      <c r="CF1038" s="167">
        <f>$N1038/4</f>
        <v>0.75</v>
      </c>
      <c r="CG1038" s="167">
        <f>$N1038/4</f>
        <v>0.75</v>
      </c>
      <c r="CH1038" s="167">
        <v>0</v>
      </c>
      <c r="CI1038" s="167">
        <v>0</v>
      </c>
      <c r="CJ1038" s="167">
        <v>0</v>
      </c>
      <c r="CK1038" s="167">
        <v>0</v>
      </c>
      <c r="CL1038" s="167">
        <v>0</v>
      </c>
      <c r="CM1038" s="167">
        <v>0</v>
      </c>
      <c r="CN1038" s="167">
        <v>0</v>
      </c>
      <c r="CO1038" s="167">
        <v>0</v>
      </c>
      <c r="CP1038" s="167">
        <v>0</v>
      </c>
      <c r="CQ1038" s="167">
        <v>0</v>
      </c>
      <c r="CR1038" s="167">
        <v>0</v>
      </c>
      <c r="CS1038" s="167">
        <v>0</v>
      </c>
      <c r="CT1038" s="167">
        <v>0</v>
      </c>
      <c r="CU1038" s="167">
        <v>0</v>
      </c>
      <c r="CV1038" s="167">
        <v>0</v>
      </c>
      <c r="CW1038" s="167">
        <v>0</v>
      </c>
      <c r="CX1038" s="167">
        <f>SUM(CD1038:CH1038)</f>
        <v>3</v>
      </c>
      <c r="CY1038" s="167">
        <f>SUM(CD1038:CM1038)</f>
        <v>3</v>
      </c>
    </row>
    <row r="1039" spans="1:103" ht="12.75" customHeight="1" x14ac:dyDescent="0.2">
      <c r="A1039" s="81">
        <v>6482</v>
      </c>
      <c r="B1039" s="165" t="s">
        <v>1930</v>
      </c>
      <c r="C1039" s="165" t="s">
        <v>2776</v>
      </c>
      <c r="E1039" s="165" t="s">
        <v>2777</v>
      </c>
      <c r="G1039" s="81">
        <v>524045</v>
      </c>
      <c r="H1039" s="81">
        <v>174728</v>
      </c>
      <c r="I1039" s="165" t="s">
        <v>250</v>
      </c>
      <c r="L1039" s="166">
        <v>1</v>
      </c>
      <c r="M1039" s="166">
        <v>2</v>
      </c>
      <c r="N1039" s="166">
        <v>1</v>
      </c>
      <c r="O1039" s="166">
        <v>2</v>
      </c>
      <c r="P1039" s="166">
        <v>1</v>
      </c>
      <c r="R1039" s="165" t="s">
        <v>2778</v>
      </c>
      <c r="S1039" s="81" t="s">
        <v>113</v>
      </c>
      <c r="T1039" s="349">
        <v>42831</v>
      </c>
      <c r="U1039" s="349">
        <v>42886</v>
      </c>
      <c r="V1039" s="81" t="s">
        <v>155</v>
      </c>
      <c r="W1039" s="81" t="s">
        <v>114</v>
      </c>
      <c r="Y1039" s="81" t="s">
        <v>115</v>
      </c>
      <c r="Z1039" s="81" t="s">
        <v>119</v>
      </c>
      <c r="AA1039" s="81" t="s">
        <v>117</v>
      </c>
      <c r="AB1039" s="81" t="s">
        <v>220</v>
      </c>
      <c r="AC1039" s="166">
        <v>2.5000000372528999E-2</v>
      </c>
      <c r="AG1039" s="81" t="s">
        <v>238</v>
      </c>
      <c r="AH1039" s="81" t="s">
        <v>118</v>
      </c>
      <c r="AK1039" s="166">
        <v>0</v>
      </c>
      <c r="AM1039" s="166">
        <v>0</v>
      </c>
      <c r="AO1039" s="166">
        <v>0</v>
      </c>
      <c r="AP1039" s="166">
        <v>1</v>
      </c>
      <c r="AQ1039" s="166">
        <v>0</v>
      </c>
      <c r="AR1039" s="166">
        <v>0</v>
      </c>
      <c r="AS1039" s="166">
        <v>0</v>
      </c>
      <c r="AT1039" s="166">
        <v>0</v>
      </c>
      <c r="AU1039" s="166">
        <v>0</v>
      </c>
      <c r="AV1039" s="166">
        <v>0</v>
      </c>
      <c r="AW1039" s="166">
        <v>0</v>
      </c>
      <c r="AX1039" s="166">
        <v>0</v>
      </c>
      <c r="AY1039" s="166">
        <v>0</v>
      </c>
      <c r="AZ1039" s="166">
        <v>0</v>
      </c>
      <c r="BA1039" s="166">
        <v>0</v>
      </c>
      <c r="BB1039" s="166">
        <v>0</v>
      </c>
      <c r="BC1039" s="166">
        <v>0</v>
      </c>
      <c r="BD1039" s="166">
        <v>1</v>
      </c>
      <c r="BE1039" s="166">
        <v>0</v>
      </c>
      <c r="BF1039" s="166">
        <v>0</v>
      </c>
      <c r="BG1039" s="166">
        <v>0</v>
      </c>
      <c r="BH1039" s="166">
        <v>0</v>
      </c>
      <c r="BI1039" s="166">
        <v>0</v>
      </c>
      <c r="BJ1039" s="166">
        <v>0</v>
      </c>
      <c r="BK1039" s="166">
        <v>0</v>
      </c>
      <c r="BL1039" s="166">
        <v>0</v>
      </c>
      <c r="BM1039" s="166">
        <v>0</v>
      </c>
      <c r="BN1039" s="166">
        <v>0</v>
      </c>
      <c r="BO1039" s="166">
        <v>0</v>
      </c>
      <c r="BP1039" s="166">
        <v>0</v>
      </c>
      <c r="BQ1039" s="81" t="s">
        <v>1758</v>
      </c>
      <c r="BZ1039" s="81" t="s">
        <v>155</v>
      </c>
      <c r="CA1039" s="81" t="s">
        <v>1937</v>
      </c>
      <c r="CC1039" s="167">
        <v>0</v>
      </c>
      <c r="CD1039" s="167">
        <f>$N1039/4</f>
        <v>0.25</v>
      </c>
      <c r="CE1039" s="167">
        <f>$N1039/4</f>
        <v>0.25</v>
      </c>
      <c r="CF1039" s="167">
        <f>$N1039/4</f>
        <v>0.25</v>
      </c>
      <c r="CG1039" s="167">
        <f>$N1039/4</f>
        <v>0.25</v>
      </c>
      <c r="CH1039" s="167">
        <v>0</v>
      </c>
      <c r="CI1039" s="167">
        <v>0</v>
      </c>
      <c r="CJ1039" s="167">
        <v>0</v>
      </c>
      <c r="CK1039" s="167">
        <v>0</v>
      </c>
      <c r="CL1039" s="167">
        <v>0</v>
      </c>
      <c r="CM1039" s="167">
        <v>0</v>
      </c>
      <c r="CN1039" s="167">
        <v>0</v>
      </c>
      <c r="CO1039" s="167">
        <v>0</v>
      </c>
      <c r="CP1039" s="167">
        <v>0</v>
      </c>
      <c r="CQ1039" s="167">
        <v>0</v>
      </c>
      <c r="CR1039" s="167">
        <v>0</v>
      </c>
      <c r="CS1039" s="167">
        <v>0</v>
      </c>
      <c r="CT1039" s="167">
        <v>0</v>
      </c>
      <c r="CU1039" s="167">
        <v>0</v>
      </c>
      <c r="CV1039" s="167">
        <v>0</v>
      </c>
      <c r="CW1039" s="167">
        <v>0</v>
      </c>
      <c r="CX1039" s="167">
        <f>SUM(CD1039:CH1039)</f>
        <v>1</v>
      </c>
      <c r="CY1039" s="167">
        <f>SUM(CD1039:CM1039)</f>
        <v>1</v>
      </c>
    </row>
    <row r="1040" spans="1:103" ht="12.75" customHeight="1" x14ac:dyDescent="0.2">
      <c r="A1040" s="81">
        <v>6483</v>
      </c>
      <c r="B1040" s="165" t="s">
        <v>1930</v>
      </c>
      <c r="C1040" s="165" t="s">
        <v>1676</v>
      </c>
      <c r="E1040" s="165" t="s">
        <v>2779</v>
      </c>
      <c r="G1040" s="81">
        <v>528690</v>
      </c>
      <c r="H1040" s="81">
        <v>177176</v>
      </c>
      <c r="I1040" s="165" t="s">
        <v>240</v>
      </c>
      <c r="L1040" s="166">
        <v>2</v>
      </c>
      <c r="M1040" s="166">
        <v>1</v>
      </c>
      <c r="N1040" s="166">
        <v>-1</v>
      </c>
      <c r="O1040" s="166">
        <v>1</v>
      </c>
      <c r="P1040" s="166">
        <v>-1</v>
      </c>
      <c r="R1040" s="165" t="s">
        <v>1677</v>
      </c>
      <c r="S1040" s="81" t="s">
        <v>113</v>
      </c>
      <c r="T1040" s="349">
        <v>42815</v>
      </c>
      <c r="U1040" s="349">
        <v>42866</v>
      </c>
      <c r="V1040" s="81" t="s">
        <v>155</v>
      </c>
      <c r="W1040" s="81" t="s">
        <v>114</v>
      </c>
      <c r="Y1040" s="81" t="s">
        <v>115</v>
      </c>
      <c r="Z1040" s="81" t="s">
        <v>119</v>
      </c>
      <c r="AA1040" s="81" t="s">
        <v>117</v>
      </c>
      <c r="AB1040" s="81" t="s">
        <v>300</v>
      </c>
      <c r="AC1040" s="166">
        <v>3.5000000149011598E-2</v>
      </c>
      <c r="AG1040" s="81" t="s">
        <v>238</v>
      </c>
      <c r="AH1040" s="81" t="s">
        <v>118</v>
      </c>
      <c r="AK1040" s="166">
        <v>0</v>
      </c>
      <c r="AM1040" s="166">
        <v>0</v>
      </c>
      <c r="AO1040" s="166">
        <v>0</v>
      </c>
      <c r="AP1040" s="166">
        <v>0</v>
      </c>
      <c r="AQ1040" s="166">
        <v>-2</v>
      </c>
      <c r="AR1040" s="166">
        <v>0</v>
      </c>
      <c r="AS1040" s="166">
        <v>1</v>
      </c>
      <c r="AT1040" s="166">
        <v>0</v>
      </c>
      <c r="AU1040" s="166">
        <v>0</v>
      </c>
      <c r="AV1040" s="166">
        <v>0</v>
      </c>
      <c r="AW1040" s="166">
        <v>0</v>
      </c>
      <c r="AX1040" s="166">
        <v>-2</v>
      </c>
      <c r="AY1040" s="166">
        <v>0</v>
      </c>
      <c r="AZ1040" s="166">
        <v>1</v>
      </c>
      <c r="BA1040" s="166">
        <v>0</v>
      </c>
      <c r="BB1040" s="166">
        <v>0</v>
      </c>
      <c r="BC1040" s="166">
        <v>0</v>
      </c>
      <c r="BD1040" s="166">
        <v>0</v>
      </c>
      <c r="BE1040" s="166">
        <v>0</v>
      </c>
      <c r="BF1040" s="166">
        <v>0</v>
      </c>
      <c r="BG1040" s="166">
        <v>0</v>
      </c>
      <c r="BH1040" s="166">
        <v>0</v>
      </c>
      <c r="BI1040" s="166">
        <v>0</v>
      </c>
      <c r="BJ1040" s="166">
        <v>0</v>
      </c>
      <c r="BK1040" s="166">
        <v>0</v>
      </c>
      <c r="BL1040" s="166">
        <v>0</v>
      </c>
      <c r="BM1040" s="166">
        <v>0</v>
      </c>
      <c r="BN1040" s="166">
        <v>0</v>
      </c>
      <c r="BO1040" s="166">
        <v>0</v>
      </c>
      <c r="BP1040" s="166">
        <v>0</v>
      </c>
      <c r="BQ1040" s="81" t="s">
        <v>1759</v>
      </c>
      <c r="BS1040" s="81" t="s">
        <v>155</v>
      </c>
      <c r="BZ1040" s="81" t="s">
        <v>155</v>
      </c>
      <c r="CA1040" s="81" t="s">
        <v>1937</v>
      </c>
      <c r="CC1040" s="167">
        <v>0</v>
      </c>
      <c r="CD1040" s="167">
        <f>$N1040/4</f>
        <v>-0.25</v>
      </c>
      <c r="CE1040" s="167">
        <f>$N1040/4</f>
        <v>-0.25</v>
      </c>
      <c r="CF1040" s="167">
        <f>$N1040/4</f>
        <v>-0.25</v>
      </c>
      <c r="CG1040" s="167">
        <f>$N1040/4</f>
        <v>-0.25</v>
      </c>
      <c r="CH1040" s="167">
        <v>0</v>
      </c>
      <c r="CI1040" s="167">
        <v>0</v>
      </c>
      <c r="CJ1040" s="167">
        <v>0</v>
      </c>
      <c r="CK1040" s="167">
        <v>0</v>
      </c>
      <c r="CL1040" s="167">
        <v>0</v>
      </c>
      <c r="CM1040" s="167">
        <v>0</v>
      </c>
      <c r="CN1040" s="167">
        <v>0</v>
      </c>
      <c r="CO1040" s="167">
        <v>0</v>
      </c>
      <c r="CP1040" s="167">
        <v>0</v>
      </c>
      <c r="CQ1040" s="167">
        <v>0</v>
      </c>
      <c r="CR1040" s="167">
        <v>0</v>
      </c>
      <c r="CS1040" s="167">
        <v>0</v>
      </c>
      <c r="CT1040" s="167">
        <v>0</v>
      </c>
      <c r="CU1040" s="167">
        <v>0</v>
      </c>
      <c r="CV1040" s="167">
        <v>0</v>
      </c>
      <c r="CW1040" s="167">
        <v>0</v>
      </c>
      <c r="CX1040" s="167">
        <f>SUM(CD1040:CH1040)</f>
        <v>-1</v>
      </c>
      <c r="CY1040" s="167">
        <f>SUM(CD1040:CM1040)</f>
        <v>-1</v>
      </c>
    </row>
    <row r="1041" spans="1:103" ht="12.75" customHeight="1" x14ac:dyDescent="0.2">
      <c r="A1041" s="81">
        <v>6487</v>
      </c>
      <c r="B1041" s="165" t="s">
        <v>1930</v>
      </c>
      <c r="C1041" s="165" t="s">
        <v>1638</v>
      </c>
      <c r="E1041" s="165" t="s">
        <v>2780</v>
      </c>
      <c r="G1041" s="81">
        <v>529348</v>
      </c>
      <c r="H1041" s="81">
        <v>177574</v>
      </c>
      <c r="I1041" s="165" t="s">
        <v>240</v>
      </c>
      <c r="L1041" s="166">
        <v>2</v>
      </c>
      <c r="M1041" s="166">
        <v>1</v>
      </c>
      <c r="N1041" s="166">
        <v>-1</v>
      </c>
      <c r="O1041" s="166">
        <v>1</v>
      </c>
      <c r="P1041" s="166">
        <v>-1</v>
      </c>
      <c r="R1041" s="165" t="s">
        <v>1639</v>
      </c>
      <c r="S1041" s="81" t="s">
        <v>113</v>
      </c>
      <c r="T1041" s="349">
        <v>42796</v>
      </c>
      <c r="U1041" s="349">
        <v>42831</v>
      </c>
      <c r="V1041" s="81" t="s">
        <v>155</v>
      </c>
      <c r="W1041" s="81" t="s">
        <v>114</v>
      </c>
      <c r="Y1041" s="81" t="s">
        <v>115</v>
      </c>
      <c r="Z1041" s="81" t="s">
        <v>119</v>
      </c>
      <c r="AA1041" s="81" t="s">
        <v>117</v>
      </c>
      <c r="AB1041" s="81" t="s">
        <v>300</v>
      </c>
      <c r="AC1041" s="166">
        <v>9.9999997764825804E-3</v>
      </c>
      <c r="AG1041" s="81" t="s">
        <v>238</v>
      </c>
      <c r="AH1041" s="81" t="s">
        <v>118</v>
      </c>
      <c r="AI1041" s="81" t="s">
        <v>2139</v>
      </c>
      <c r="AK1041" s="166">
        <v>0</v>
      </c>
      <c r="AM1041" s="166">
        <v>0</v>
      </c>
      <c r="AO1041" s="166">
        <v>0</v>
      </c>
      <c r="AP1041" s="166">
        <v>0</v>
      </c>
      <c r="AQ1041" s="166">
        <v>0</v>
      </c>
      <c r="AR1041" s="166">
        <v>-2</v>
      </c>
      <c r="AS1041" s="166">
        <v>0</v>
      </c>
      <c r="AT1041" s="166">
        <v>1</v>
      </c>
      <c r="AU1041" s="166">
        <v>0</v>
      </c>
      <c r="AV1041" s="166">
        <v>0</v>
      </c>
      <c r="AW1041" s="166">
        <v>0</v>
      </c>
      <c r="AX1041" s="166">
        <v>0</v>
      </c>
      <c r="AY1041" s="166">
        <v>-2</v>
      </c>
      <c r="AZ1041" s="166">
        <v>0</v>
      </c>
      <c r="BA1041" s="166">
        <v>1</v>
      </c>
      <c r="BB1041" s="166">
        <v>0</v>
      </c>
      <c r="BC1041" s="166">
        <v>0</v>
      </c>
      <c r="BD1041" s="166">
        <v>0</v>
      </c>
      <c r="BE1041" s="166">
        <v>0</v>
      </c>
      <c r="BF1041" s="166">
        <v>0</v>
      </c>
      <c r="BG1041" s="166">
        <v>0</v>
      </c>
      <c r="BH1041" s="166">
        <v>0</v>
      </c>
      <c r="BI1041" s="166">
        <v>0</v>
      </c>
      <c r="BJ1041" s="166">
        <v>0</v>
      </c>
      <c r="BK1041" s="166">
        <v>0</v>
      </c>
      <c r="BL1041" s="166">
        <v>0</v>
      </c>
      <c r="BM1041" s="166">
        <v>0</v>
      </c>
      <c r="BN1041" s="166">
        <v>0</v>
      </c>
      <c r="BO1041" s="166">
        <v>0</v>
      </c>
      <c r="BP1041" s="166">
        <v>0</v>
      </c>
      <c r="BQ1041" s="81" t="s">
        <v>1759</v>
      </c>
      <c r="BS1041" s="81" t="s">
        <v>155</v>
      </c>
      <c r="BZ1041" s="81" t="s">
        <v>155</v>
      </c>
      <c r="CA1041" s="81" t="s">
        <v>1937</v>
      </c>
      <c r="CC1041" s="167">
        <v>0</v>
      </c>
      <c r="CD1041" s="167">
        <f>$N1041/4</f>
        <v>-0.25</v>
      </c>
      <c r="CE1041" s="167">
        <f>$N1041/4</f>
        <v>-0.25</v>
      </c>
      <c r="CF1041" s="167">
        <f>$N1041/4</f>
        <v>-0.25</v>
      </c>
      <c r="CG1041" s="167">
        <f>$N1041/4</f>
        <v>-0.25</v>
      </c>
      <c r="CH1041" s="167">
        <v>0</v>
      </c>
      <c r="CI1041" s="167">
        <v>0</v>
      </c>
      <c r="CJ1041" s="167">
        <v>0</v>
      </c>
      <c r="CK1041" s="167">
        <v>0</v>
      </c>
      <c r="CL1041" s="167">
        <v>0</v>
      </c>
      <c r="CM1041" s="167">
        <v>0</v>
      </c>
      <c r="CN1041" s="167">
        <v>0</v>
      </c>
      <c r="CO1041" s="167">
        <v>0</v>
      </c>
      <c r="CP1041" s="167">
        <v>0</v>
      </c>
      <c r="CQ1041" s="167">
        <v>0</v>
      </c>
      <c r="CR1041" s="167">
        <v>0</v>
      </c>
      <c r="CS1041" s="167">
        <v>0</v>
      </c>
      <c r="CT1041" s="167">
        <v>0</v>
      </c>
      <c r="CU1041" s="167">
        <v>0</v>
      </c>
      <c r="CV1041" s="167">
        <v>0</v>
      </c>
      <c r="CW1041" s="167">
        <v>0</v>
      </c>
      <c r="CX1041" s="167">
        <f>SUM(CD1041:CH1041)</f>
        <v>-1</v>
      </c>
      <c r="CY1041" s="167">
        <f>SUM(CD1041:CM1041)</f>
        <v>-1</v>
      </c>
    </row>
    <row r="1042" spans="1:103" ht="12.75" customHeight="1" x14ac:dyDescent="0.2">
      <c r="A1042" s="81">
        <v>6489</v>
      </c>
      <c r="B1042" s="165" t="s">
        <v>1930</v>
      </c>
      <c r="C1042" s="165" t="s">
        <v>1631</v>
      </c>
      <c r="E1042" s="165" t="s">
        <v>2781</v>
      </c>
      <c r="G1042" s="81">
        <v>527608</v>
      </c>
      <c r="H1042" s="81">
        <v>176466</v>
      </c>
      <c r="I1042" s="165" t="s">
        <v>241</v>
      </c>
      <c r="L1042" s="166">
        <v>2</v>
      </c>
      <c r="M1042" s="166">
        <v>1</v>
      </c>
      <c r="N1042" s="166">
        <v>-1</v>
      </c>
      <c r="O1042" s="166">
        <v>1</v>
      </c>
      <c r="P1042" s="166">
        <v>-1</v>
      </c>
      <c r="R1042" s="165" t="s">
        <v>1632</v>
      </c>
      <c r="S1042" s="81" t="s">
        <v>113</v>
      </c>
      <c r="T1042" s="349">
        <v>42789</v>
      </c>
      <c r="U1042" s="349">
        <v>42845</v>
      </c>
      <c r="V1042" s="81" t="s">
        <v>155</v>
      </c>
      <c r="W1042" s="81" t="s">
        <v>114</v>
      </c>
      <c r="Y1042" s="81" t="s">
        <v>115</v>
      </c>
      <c r="Z1042" s="81" t="s">
        <v>398</v>
      </c>
      <c r="AA1042" s="81" t="s">
        <v>117</v>
      </c>
      <c r="AB1042" s="81" t="s">
        <v>336</v>
      </c>
      <c r="AC1042" s="166">
        <v>1.4000000432133701E-2</v>
      </c>
      <c r="AG1042" s="81" t="s">
        <v>238</v>
      </c>
      <c r="AH1042" s="81" t="s">
        <v>118</v>
      </c>
      <c r="AK1042" s="166">
        <v>0</v>
      </c>
      <c r="AM1042" s="166">
        <v>0</v>
      </c>
      <c r="AO1042" s="166">
        <v>0</v>
      </c>
      <c r="AP1042" s="166">
        <v>-1</v>
      </c>
      <c r="AQ1042" s="166">
        <v>-1</v>
      </c>
      <c r="AR1042" s="166">
        <v>0</v>
      </c>
      <c r="AS1042" s="166">
        <v>0</v>
      </c>
      <c r="AT1042" s="166">
        <v>1</v>
      </c>
      <c r="AU1042" s="166">
        <v>0</v>
      </c>
      <c r="AV1042" s="166">
        <v>0</v>
      </c>
      <c r="AW1042" s="166">
        <v>-1</v>
      </c>
      <c r="AX1042" s="166">
        <v>-1</v>
      </c>
      <c r="AY1042" s="166">
        <v>0</v>
      </c>
      <c r="AZ1042" s="166">
        <v>0</v>
      </c>
      <c r="BA1042" s="166">
        <v>0</v>
      </c>
      <c r="BB1042" s="166">
        <v>0</v>
      </c>
      <c r="BC1042" s="166">
        <v>0</v>
      </c>
      <c r="BD1042" s="166">
        <v>0</v>
      </c>
      <c r="BE1042" s="166">
        <v>0</v>
      </c>
      <c r="BF1042" s="166">
        <v>0</v>
      </c>
      <c r="BG1042" s="166">
        <v>0</v>
      </c>
      <c r="BH1042" s="166">
        <v>1</v>
      </c>
      <c r="BI1042" s="166">
        <v>0</v>
      </c>
      <c r="BJ1042" s="166">
        <v>0</v>
      </c>
      <c r="BK1042" s="166">
        <v>0</v>
      </c>
      <c r="BL1042" s="166">
        <v>0</v>
      </c>
      <c r="BM1042" s="166">
        <v>0</v>
      </c>
      <c r="BN1042" s="166">
        <v>0</v>
      </c>
      <c r="BO1042" s="166">
        <v>0</v>
      </c>
      <c r="BP1042" s="166">
        <v>0</v>
      </c>
      <c r="BQ1042" s="81" t="s">
        <v>1757</v>
      </c>
      <c r="BZ1042" s="81" t="s">
        <v>155</v>
      </c>
      <c r="CA1042" s="81" t="s">
        <v>1937</v>
      </c>
      <c r="CC1042" s="167">
        <v>0</v>
      </c>
      <c r="CD1042" s="167">
        <f>$N1042/4</f>
        <v>-0.25</v>
      </c>
      <c r="CE1042" s="167">
        <f>$N1042/4</f>
        <v>-0.25</v>
      </c>
      <c r="CF1042" s="167">
        <f>$N1042/4</f>
        <v>-0.25</v>
      </c>
      <c r="CG1042" s="167">
        <f>$N1042/4</f>
        <v>-0.25</v>
      </c>
      <c r="CH1042" s="167">
        <v>0</v>
      </c>
      <c r="CI1042" s="167">
        <v>0</v>
      </c>
      <c r="CJ1042" s="167">
        <v>0</v>
      </c>
      <c r="CK1042" s="167">
        <v>0</v>
      </c>
      <c r="CL1042" s="167">
        <v>0</v>
      </c>
      <c r="CM1042" s="167">
        <v>0</v>
      </c>
      <c r="CN1042" s="167">
        <v>0</v>
      </c>
      <c r="CO1042" s="167">
        <v>0</v>
      </c>
      <c r="CP1042" s="167">
        <v>0</v>
      </c>
      <c r="CQ1042" s="167">
        <v>0</v>
      </c>
      <c r="CR1042" s="167">
        <v>0</v>
      </c>
      <c r="CS1042" s="167">
        <v>0</v>
      </c>
      <c r="CT1042" s="167">
        <v>0</v>
      </c>
      <c r="CU1042" s="167">
        <v>0</v>
      </c>
      <c r="CV1042" s="167">
        <v>0</v>
      </c>
      <c r="CW1042" s="167">
        <v>0</v>
      </c>
      <c r="CX1042" s="167">
        <f>SUM(CD1042:CH1042)</f>
        <v>-1</v>
      </c>
      <c r="CY1042" s="167">
        <f>SUM(CD1042:CM1042)</f>
        <v>-1</v>
      </c>
    </row>
    <row r="1043" spans="1:103" ht="12.75" customHeight="1" x14ac:dyDescent="0.2">
      <c r="A1043" s="81">
        <v>6490</v>
      </c>
      <c r="B1043" s="165" t="s">
        <v>1930</v>
      </c>
      <c r="C1043" s="165" t="s">
        <v>1623</v>
      </c>
      <c r="E1043" s="165" t="s">
        <v>2782</v>
      </c>
      <c r="G1043" s="81">
        <v>523997</v>
      </c>
      <c r="H1043" s="81">
        <v>175115</v>
      </c>
      <c r="I1043" s="165" t="s">
        <v>259</v>
      </c>
      <c r="L1043" s="166">
        <v>0</v>
      </c>
      <c r="M1043" s="166">
        <v>3</v>
      </c>
      <c r="N1043" s="166">
        <v>3</v>
      </c>
      <c r="O1043" s="166">
        <v>3</v>
      </c>
      <c r="P1043" s="166">
        <v>3</v>
      </c>
      <c r="R1043" s="165" t="s">
        <v>1624</v>
      </c>
      <c r="S1043" s="81" t="s">
        <v>113</v>
      </c>
      <c r="T1043" s="349">
        <v>42772</v>
      </c>
      <c r="U1043" s="349">
        <v>42828</v>
      </c>
      <c r="V1043" s="81" t="s">
        <v>155</v>
      </c>
      <c r="W1043" s="81" t="s">
        <v>114</v>
      </c>
      <c r="Y1043" s="81" t="s">
        <v>115</v>
      </c>
      <c r="Z1043" s="81" t="s">
        <v>219</v>
      </c>
      <c r="AA1043" s="81" t="s">
        <v>117</v>
      </c>
      <c r="AB1043" s="81" t="s">
        <v>3889</v>
      </c>
      <c r="AC1043" s="166">
        <v>1.30000002682209E-2</v>
      </c>
      <c r="AG1043" s="81" t="s">
        <v>238</v>
      </c>
      <c r="AH1043" s="81" t="s">
        <v>118</v>
      </c>
      <c r="AK1043" s="166">
        <v>0</v>
      </c>
      <c r="AM1043" s="166">
        <v>0</v>
      </c>
      <c r="AO1043" s="166">
        <v>0</v>
      </c>
      <c r="AP1043" s="166">
        <v>2</v>
      </c>
      <c r="AQ1043" s="166">
        <v>1</v>
      </c>
      <c r="AR1043" s="166">
        <v>0</v>
      </c>
      <c r="AS1043" s="166">
        <v>0</v>
      </c>
      <c r="AT1043" s="166">
        <v>0</v>
      </c>
      <c r="AU1043" s="166">
        <v>0</v>
      </c>
      <c r="AV1043" s="166">
        <v>0</v>
      </c>
      <c r="AW1043" s="166">
        <v>2</v>
      </c>
      <c r="AX1043" s="166">
        <v>1</v>
      </c>
      <c r="AY1043" s="166">
        <v>0</v>
      </c>
      <c r="AZ1043" s="166">
        <v>0</v>
      </c>
      <c r="BA1043" s="166">
        <v>0</v>
      </c>
      <c r="BB1043" s="166">
        <v>0</v>
      </c>
      <c r="BC1043" s="166">
        <v>0</v>
      </c>
      <c r="BD1043" s="166">
        <v>0</v>
      </c>
      <c r="BE1043" s="166">
        <v>0</v>
      </c>
      <c r="BF1043" s="166">
        <v>0</v>
      </c>
      <c r="BG1043" s="166">
        <v>0</v>
      </c>
      <c r="BH1043" s="166">
        <v>0</v>
      </c>
      <c r="BI1043" s="166">
        <v>0</v>
      </c>
      <c r="BJ1043" s="166">
        <v>0</v>
      </c>
      <c r="BK1043" s="166">
        <v>0</v>
      </c>
      <c r="BL1043" s="166">
        <v>0</v>
      </c>
      <c r="BM1043" s="166">
        <v>0</v>
      </c>
      <c r="BN1043" s="166">
        <v>0</v>
      </c>
      <c r="BO1043" s="166">
        <v>0</v>
      </c>
      <c r="BP1043" s="166">
        <v>0</v>
      </c>
      <c r="BQ1043" s="81" t="s">
        <v>1758</v>
      </c>
      <c r="BR1043" s="81" t="s">
        <v>161</v>
      </c>
      <c r="BZ1043" s="81" t="s">
        <v>155</v>
      </c>
      <c r="CA1043" s="81" t="s">
        <v>1937</v>
      </c>
      <c r="CC1043" s="167">
        <v>0</v>
      </c>
      <c r="CD1043" s="167">
        <f>$N1043/4</f>
        <v>0.75</v>
      </c>
      <c r="CE1043" s="167">
        <f>$N1043/4</f>
        <v>0.75</v>
      </c>
      <c r="CF1043" s="167">
        <f>$N1043/4</f>
        <v>0.75</v>
      </c>
      <c r="CG1043" s="167">
        <f>$N1043/4</f>
        <v>0.75</v>
      </c>
      <c r="CH1043" s="167">
        <v>0</v>
      </c>
      <c r="CI1043" s="167">
        <v>0</v>
      </c>
      <c r="CJ1043" s="167">
        <v>0</v>
      </c>
      <c r="CK1043" s="167">
        <v>0</v>
      </c>
      <c r="CL1043" s="167">
        <v>0</v>
      </c>
      <c r="CM1043" s="167">
        <v>0</v>
      </c>
      <c r="CN1043" s="167">
        <v>0</v>
      </c>
      <c r="CO1043" s="167">
        <v>0</v>
      </c>
      <c r="CP1043" s="167">
        <v>0</v>
      </c>
      <c r="CQ1043" s="167">
        <v>0</v>
      </c>
      <c r="CR1043" s="167">
        <v>0</v>
      </c>
      <c r="CS1043" s="167">
        <v>0</v>
      </c>
      <c r="CT1043" s="167">
        <v>0</v>
      </c>
      <c r="CU1043" s="167">
        <v>0</v>
      </c>
      <c r="CV1043" s="167">
        <v>0</v>
      </c>
      <c r="CW1043" s="167">
        <v>0</v>
      </c>
      <c r="CX1043" s="167">
        <f>SUM(CD1043:CH1043)</f>
        <v>3</v>
      </c>
      <c r="CY1043" s="167">
        <f>SUM(CD1043:CM1043)</f>
        <v>3</v>
      </c>
    </row>
    <row r="1044" spans="1:103" ht="12.75" customHeight="1" x14ac:dyDescent="0.2">
      <c r="A1044" s="81">
        <v>6491</v>
      </c>
      <c r="B1044" s="165" t="s">
        <v>1930</v>
      </c>
      <c r="C1044" s="165" t="s">
        <v>1619</v>
      </c>
      <c r="E1044" s="165" t="s">
        <v>2783</v>
      </c>
      <c r="G1044" s="81">
        <v>529359</v>
      </c>
      <c r="H1044" s="81">
        <v>171414</v>
      </c>
      <c r="I1044" s="165" t="s">
        <v>252</v>
      </c>
      <c r="L1044" s="166">
        <v>0</v>
      </c>
      <c r="M1044" s="166">
        <v>3</v>
      </c>
      <c r="N1044" s="166">
        <v>3</v>
      </c>
      <c r="O1044" s="166">
        <v>3</v>
      </c>
      <c r="P1044" s="166">
        <v>3</v>
      </c>
      <c r="R1044" s="165" t="s">
        <v>1620</v>
      </c>
      <c r="S1044" s="81" t="s">
        <v>113</v>
      </c>
      <c r="T1044" s="349">
        <v>42772</v>
      </c>
      <c r="U1044" s="349">
        <v>42828</v>
      </c>
      <c r="V1044" s="81" t="s">
        <v>155</v>
      </c>
      <c r="W1044" s="81" t="s">
        <v>114</v>
      </c>
      <c r="Y1044" s="81" t="s">
        <v>115</v>
      </c>
      <c r="Z1044" s="81" t="s">
        <v>116</v>
      </c>
      <c r="AA1044" s="81" t="s">
        <v>117</v>
      </c>
      <c r="AB1044" s="81" t="s">
        <v>218</v>
      </c>
      <c r="AC1044" s="166">
        <v>4.9999998882412902E-3</v>
      </c>
      <c r="AG1044" s="81" t="s">
        <v>238</v>
      </c>
      <c r="AH1044" s="81" t="s">
        <v>118</v>
      </c>
      <c r="AK1044" s="166">
        <v>0</v>
      </c>
      <c r="AM1044" s="166">
        <v>0</v>
      </c>
      <c r="AO1044" s="166">
        <v>0</v>
      </c>
      <c r="AP1044" s="166">
        <v>2</v>
      </c>
      <c r="AQ1044" s="166">
        <v>1</v>
      </c>
      <c r="AR1044" s="166">
        <v>0</v>
      </c>
      <c r="AS1044" s="166">
        <v>0</v>
      </c>
      <c r="AT1044" s="166">
        <v>0</v>
      </c>
      <c r="AU1044" s="166">
        <v>0</v>
      </c>
      <c r="AV1044" s="166">
        <v>0</v>
      </c>
      <c r="AW1044" s="166">
        <v>2</v>
      </c>
      <c r="AX1044" s="166">
        <v>1</v>
      </c>
      <c r="AY1044" s="166">
        <v>0</v>
      </c>
      <c r="AZ1044" s="166">
        <v>0</v>
      </c>
      <c r="BA1044" s="166">
        <v>0</v>
      </c>
      <c r="BB1044" s="166">
        <v>0</v>
      </c>
      <c r="BC1044" s="166">
        <v>0</v>
      </c>
      <c r="BD1044" s="166">
        <v>0</v>
      </c>
      <c r="BE1044" s="166">
        <v>0</v>
      </c>
      <c r="BF1044" s="166">
        <v>0</v>
      </c>
      <c r="BG1044" s="166">
        <v>0</v>
      </c>
      <c r="BH1044" s="166">
        <v>0</v>
      </c>
      <c r="BI1044" s="166">
        <v>0</v>
      </c>
      <c r="BJ1044" s="166">
        <v>0</v>
      </c>
      <c r="BK1044" s="166">
        <v>0</v>
      </c>
      <c r="BL1044" s="166">
        <v>0</v>
      </c>
      <c r="BM1044" s="166">
        <v>0</v>
      </c>
      <c r="BN1044" s="166">
        <v>0</v>
      </c>
      <c r="BO1044" s="166">
        <v>0</v>
      </c>
      <c r="BP1044" s="166">
        <v>0</v>
      </c>
      <c r="BQ1044" s="81" t="s">
        <v>1757</v>
      </c>
      <c r="BZ1044" s="81" t="s">
        <v>155</v>
      </c>
      <c r="CA1044" s="81">
        <v>4</v>
      </c>
      <c r="CC1044" s="167">
        <v>0</v>
      </c>
      <c r="CD1044" s="167">
        <v>0</v>
      </c>
      <c r="CE1044" s="167">
        <f>$N1044/4</f>
        <v>0.75</v>
      </c>
      <c r="CF1044" s="167">
        <f>$N1044/4</f>
        <v>0.75</v>
      </c>
      <c r="CG1044" s="167">
        <f>$N1044/4</f>
        <v>0.75</v>
      </c>
      <c r="CH1044" s="167">
        <f>$N1044/4</f>
        <v>0.75</v>
      </c>
      <c r="CI1044" s="167">
        <v>0</v>
      </c>
      <c r="CJ1044" s="167">
        <v>0</v>
      </c>
      <c r="CK1044" s="167">
        <v>0</v>
      </c>
      <c r="CL1044" s="167">
        <v>0</v>
      </c>
      <c r="CM1044" s="167">
        <v>0</v>
      </c>
      <c r="CN1044" s="167">
        <v>0</v>
      </c>
      <c r="CO1044" s="167">
        <v>0</v>
      </c>
      <c r="CP1044" s="167">
        <v>0</v>
      </c>
      <c r="CQ1044" s="167">
        <v>0</v>
      </c>
      <c r="CR1044" s="167">
        <v>0</v>
      </c>
      <c r="CS1044" s="167">
        <v>0</v>
      </c>
      <c r="CT1044" s="167">
        <v>0</v>
      </c>
      <c r="CU1044" s="167">
        <v>0</v>
      </c>
      <c r="CV1044" s="167">
        <v>0</v>
      </c>
      <c r="CW1044" s="167">
        <v>0</v>
      </c>
      <c r="CX1044" s="167">
        <f>SUM(CD1044:CH1044)</f>
        <v>3</v>
      </c>
      <c r="CY1044" s="167">
        <f>SUM(CD1044:CM1044)</f>
        <v>3</v>
      </c>
    </row>
    <row r="1045" spans="1:103" ht="12.75" customHeight="1" x14ac:dyDescent="0.2">
      <c r="A1045" s="81">
        <v>6492</v>
      </c>
      <c r="B1045" s="165" t="s">
        <v>1930</v>
      </c>
      <c r="C1045" s="165" t="s">
        <v>1615</v>
      </c>
      <c r="E1045" s="165" t="s">
        <v>2784</v>
      </c>
      <c r="G1045" s="81">
        <v>521667</v>
      </c>
      <c r="H1045" s="81">
        <v>172427</v>
      </c>
      <c r="I1045" s="165" t="s">
        <v>877</v>
      </c>
      <c r="L1045" s="166">
        <v>1</v>
      </c>
      <c r="M1045" s="166">
        <v>2</v>
      </c>
      <c r="N1045" s="166">
        <v>1</v>
      </c>
      <c r="O1045" s="166">
        <v>2</v>
      </c>
      <c r="P1045" s="166">
        <v>1</v>
      </c>
      <c r="R1045" s="165" t="s">
        <v>1616</v>
      </c>
      <c r="S1045" s="81" t="s">
        <v>113</v>
      </c>
      <c r="T1045" s="349">
        <v>42797</v>
      </c>
      <c r="U1045" s="349">
        <v>42907</v>
      </c>
      <c r="V1045" s="81" t="s">
        <v>155</v>
      </c>
      <c r="W1045" s="81" t="s">
        <v>114</v>
      </c>
      <c r="Y1045" s="81" t="s">
        <v>115</v>
      </c>
      <c r="Z1045" s="81" t="s">
        <v>119</v>
      </c>
      <c r="AA1045" s="81" t="s">
        <v>117</v>
      </c>
      <c r="AB1045" s="81" t="s">
        <v>120</v>
      </c>
      <c r="AC1045" s="166">
        <v>5.6000001728534698E-2</v>
      </c>
      <c r="AG1045" s="81" t="s">
        <v>238</v>
      </c>
      <c r="AH1045" s="81" t="s">
        <v>118</v>
      </c>
      <c r="AK1045" s="166">
        <v>0</v>
      </c>
      <c r="AM1045" s="166">
        <v>0</v>
      </c>
      <c r="AO1045" s="166">
        <v>0</v>
      </c>
      <c r="AP1045" s="166">
        <v>0</v>
      </c>
      <c r="AQ1045" s="166">
        <v>0</v>
      </c>
      <c r="AR1045" s="166">
        <v>0</v>
      </c>
      <c r="AS1045" s="166">
        <v>1</v>
      </c>
      <c r="AT1045" s="166">
        <v>0</v>
      </c>
      <c r="AU1045" s="166">
        <v>0</v>
      </c>
      <c r="AV1045" s="166">
        <v>0</v>
      </c>
      <c r="AW1045" s="166">
        <v>0</v>
      </c>
      <c r="AX1045" s="166">
        <v>0</v>
      </c>
      <c r="AY1045" s="166">
        <v>0</v>
      </c>
      <c r="AZ1045" s="166">
        <v>1</v>
      </c>
      <c r="BA1045" s="166">
        <v>1</v>
      </c>
      <c r="BB1045" s="166">
        <v>0</v>
      </c>
      <c r="BC1045" s="166">
        <v>0</v>
      </c>
      <c r="BD1045" s="166">
        <v>0</v>
      </c>
      <c r="BE1045" s="166">
        <v>0</v>
      </c>
      <c r="BF1045" s="166">
        <v>0</v>
      </c>
      <c r="BG1045" s="166">
        <v>0</v>
      </c>
      <c r="BH1045" s="166">
        <v>-1</v>
      </c>
      <c r="BI1045" s="166">
        <v>0</v>
      </c>
      <c r="BJ1045" s="166">
        <v>0</v>
      </c>
      <c r="BK1045" s="166">
        <v>0</v>
      </c>
      <c r="BL1045" s="166">
        <v>0</v>
      </c>
      <c r="BM1045" s="166">
        <v>0</v>
      </c>
      <c r="BN1045" s="166">
        <v>0</v>
      </c>
      <c r="BO1045" s="166">
        <v>0</v>
      </c>
      <c r="BP1045" s="166">
        <v>0</v>
      </c>
      <c r="BQ1045" s="81" t="s">
        <v>1758</v>
      </c>
      <c r="BZ1045" s="81" t="s">
        <v>155</v>
      </c>
      <c r="CA1045" s="81" t="s">
        <v>1937</v>
      </c>
      <c r="CC1045" s="167">
        <v>0</v>
      </c>
      <c r="CD1045" s="167">
        <f>$N1045/4</f>
        <v>0.25</v>
      </c>
      <c r="CE1045" s="167">
        <f>$N1045/4</f>
        <v>0.25</v>
      </c>
      <c r="CF1045" s="167">
        <f>$N1045/4</f>
        <v>0.25</v>
      </c>
      <c r="CG1045" s="167">
        <f>$N1045/4</f>
        <v>0.25</v>
      </c>
      <c r="CH1045" s="167">
        <v>0</v>
      </c>
      <c r="CI1045" s="167">
        <v>0</v>
      </c>
      <c r="CJ1045" s="167">
        <v>0</v>
      </c>
      <c r="CK1045" s="167">
        <v>0</v>
      </c>
      <c r="CL1045" s="167">
        <v>0</v>
      </c>
      <c r="CM1045" s="167">
        <v>0</v>
      </c>
      <c r="CN1045" s="167">
        <v>0</v>
      </c>
      <c r="CO1045" s="167">
        <v>0</v>
      </c>
      <c r="CP1045" s="167">
        <v>0</v>
      </c>
      <c r="CQ1045" s="167">
        <v>0</v>
      </c>
      <c r="CR1045" s="167">
        <v>0</v>
      </c>
      <c r="CS1045" s="167">
        <v>0</v>
      </c>
      <c r="CT1045" s="167">
        <v>0</v>
      </c>
      <c r="CU1045" s="167">
        <v>0</v>
      </c>
      <c r="CV1045" s="167">
        <v>0</v>
      </c>
      <c r="CW1045" s="167">
        <v>0</v>
      </c>
      <c r="CX1045" s="167">
        <f>SUM(CD1045:CH1045)</f>
        <v>1</v>
      </c>
      <c r="CY1045" s="167">
        <f>SUM(CD1045:CM1045)</f>
        <v>1</v>
      </c>
    </row>
    <row r="1046" spans="1:103" ht="12.75" customHeight="1" x14ac:dyDescent="0.2">
      <c r="A1046" s="81">
        <v>6493</v>
      </c>
      <c r="B1046" s="165" t="s">
        <v>1930</v>
      </c>
      <c r="C1046" s="165" t="s">
        <v>1611</v>
      </c>
      <c r="E1046" s="165" t="s">
        <v>2785</v>
      </c>
      <c r="G1046" s="81">
        <v>529358</v>
      </c>
      <c r="H1046" s="81">
        <v>171498</v>
      </c>
      <c r="I1046" s="165" t="s">
        <v>252</v>
      </c>
      <c r="L1046" s="166">
        <v>0</v>
      </c>
      <c r="M1046" s="166">
        <v>3</v>
      </c>
      <c r="N1046" s="166">
        <v>3</v>
      </c>
      <c r="O1046" s="166">
        <v>3</v>
      </c>
      <c r="P1046" s="166">
        <v>3</v>
      </c>
      <c r="R1046" s="165" t="s">
        <v>1612</v>
      </c>
      <c r="S1046" s="81" t="s">
        <v>113</v>
      </c>
      <c r="T1046" s="349">
        <v>42773</v>
      </c>
      <c r="U1046" s="349">
        <v>42829</v>
      </c>
      <c r="V1046" s="81" t="s">
        <v>155</v>
      </c>
      <c r="W1046" s="81" t="s">
        <v>114</v>
      </c>
      <c r="Y1046" s="81" t="s">
        <v>115</v>
      </c>
      <c r="Z1046" s="81" t="s">
        <v>116</v>
      </c>
      <c r="AA1046" s="81" t="s">
        <v>117</v>
      </c>
      <c r="AB1046" s="81" t="s">
        <v>218</v>
      </c>
      <c r="AC1046" s="166">
        <v>4.9999998882412902E-3</v>
      </c>
      <c r="AG1046" s="81" t="s">
        <v>154</v>
      </c>
      <c r="AH1046" s="81" t="s">
        <v>38</v>
      </c>
      <c r="AK1046" s="166">
        <v>3</v>
      </c>
      <c r="AM1046" s="166">
        <v>0</v>
      </c>
      <c r="AO1046" s="166">
        <v>0</v>
      </c>
      <c r="AP1046" s="166">
        <v>2</v>
      </c>
      <c r="AQ1046" s="166">
        <v>1</v>
      </c>
      <c r="AR1046" s="166">
        <v>0</v>
      </c>
      <c r="AS1046" s="166">
        <v>0</v>
      </c>
      <c r="AT1046" s="166">
        <v>0</v>
      </c>
      <c r="AU1046" s="166">
        <v>0</v>
      </c>
      <c r="AV1046" s="166">
        <v>0</v>
      </c>
      <c r="AW1046" s="166">
        <v>2</v>
      </c>
      <c r="AX1046" s="166">
        <v>1</v>
      </c>
      <c r="AY1046" s="166">
        <v>0</v>
      </c>
      <c r="AZ1046" s="166">
        <v>0</v>
      </c>
      <c r="BA1046" s="166">
        <v>0</v>
      </c>
      <c r="BB1046" s="166">
        <v>0</v>
      </c>
      <c r="BC1046" s="166">
        <v>0</v>
      </c>
      <c r="BD1046" s="166">
        <v>0</v>
      </c>
      <c r="BE1046" s="166">
        <v>0</v>
      </c>
      <c r="BF1046" s="166">
        <v>0</v>
      </c>
      <c r="BG1046" s="166">
        <v>0</v>
      </c>
      <c r="BH1046" s="166">
        <v>0</v>
      </c>
      <c r="BI1046" s="166">
        <v>0</v>
      </c>
      <c r="BJ1046" s="166">
        <v>0</v>
      </c>
      <c r="BK1046" s="166">
        <v>0</v>
      </c>
      <c r="BL1046" s="166">
        <v>0</v>
      </c>
      <c r="BM1046" s="166">
        <v>0</v>
      </c>
      <c r="BN1046" s="166">
        <v>0</v>
      </c>
      <c r="BO1046" s="166">
        <v>0</v>
      </c>
      <c r="BP1046" s="166">
        <v>0</v>
      </c>
      <c r="BQ1046" s="81" t="s">
        <v>1757</v>
      </c>
      <c r="BZ1046" s="81" t="s">
        <v>155</v>
      </c>
      <c r="CA1046" s="81">
        <v>4</v>
      </c>
      <c r="CC1046" s="167">
        <v>0</v>
      </c>
      <c r="CD1046" s="167">
        <v>0</v>
      </c>
      <c r="CE1046" s="167">
        <f>$N1046/4</f>
        <v>0.75</v>
      </c>
      <c r="CF1046" s="167">
        <f>$N1046/4</f>
        <v>0.75</v>
      </c>
      <c r="CG1046" s="167">
        <f>$N1046/4</f>
        <v>0.75</v>
      </c>
      <c r="CH1046" s="167">
        <f>$N1046/4</f>
        <v>0.75</v>
      </c>
      <c r="CI1046" s="167">
        <v>0</v>
      </c>
      <c r="CJ1046" s="167">
        <v>0</v>
      </c>
      <c r="CK1046" s="167">
        <v>0</v>
      </c>
      <c r="CL1046" s="167">
        <v>0</v>
      </c>
      <c r="CM1046" s="167">
        <v>0</v>
      </c>
      <c r="CN1046" s="167">
        <v>0</v>
      </c>
      <c r="CO1046" s="167">
        <v>0</v>
      </c>
      <c r="CP1046" s="167">
        <v>0</v>
      </c>
      <c r="CQ1046" s="167">
        <v>0</v>
      </c>
      <c r="CR1046" s="167">
        <v>0</v>
      </c>
      <c r="CS1046" s="167">
        <v>0</v>
      </c>
      <c r="CT1046" s="167">
        <v>0</v>
      </c>
      <c r="CU1046" s="167">
        <v>0</v>
      </c>
      <c r="CV1046" s="167">
        <v>0</v>
      </c>
      <c r="CW1046" s="167">
        <v>0</v>
      </c>
      <c r="CX1046" s="167">
        <f>SUM(CD1046:CH1046)</f>
        <v>3</v>
      </c>
      <c r="CY1046" s="167">
        <f>SUM(CD1046:CM1046)</f>
        <v>3</v>
      </c>
    </row>
    <row r="1047" spans="1:103" ht="12.75" customHeight="1" x14ac:dyDescent="0.2">
      <c r="A1047" s="81">
        <v>6494</v>
      </c>
      <c r="B1047" s="165" t="s">
        <v>1930</v>
      </c>
      <c r="C1047" s="165" t="s">
        <v>1609</v>
      </c>
      <c r="E1047" s="165" t="s">
        <v>2786</v>
      </c>
      <c r="G1047" s="81">
        <v>529449</v>
      </c>
      <c r="H1047" s="81">
        <v>171532</v>
      </c>
      <c r="I1047" s="165" t="s">
        <v>252</v>
      </c>
      <c r="L1047" s="166">
        <v>0</v>
      </c>
      <c r="M1047" s="166">
        <v>3</v>
      </c>
      <c r="N1047" s="166">
        <v>3</v>
      </c>
      <c r="O1047" s="166">
        <v>3</v>
      </c>
      <c r="P1047" s="166">
        <v>3</v>
      </c>
      <c r="R1047" s="165" t="s">
        <v>1610</v>
      </c>
      <c r="S1047" s="81" t="s">
        <v>113</v>
      </c>
      <c r="T1047" s="349">
        <v>42773</v>
      </c>
      <c r="U1047" s="349">
        <v>42829</v>
      </c>
      <c r="V1047" s="81" t="s">
        <v>155</v>
      </c>
      <c r="W1047" s="81" t="s">
        <v>114</v>
      </c>
      <c r="Y1047" s="81" t="s">
        <v>115</v>
      </c>
      <c r="Z1047" s="81" t="s">
        <v>116</v>
      </c>
      <c r="AA1047" s="81" t="s">
        <v>117</v>
      </c>
      <c r="AB1047" s="81" t="s">
        <v>218</v>
      </c>
      <c r="AC1047" s="166">
        <v>1.60000007599592E-2</v>
      </c>
      <c r="AG1047" s="81" t="s">
        <v>154</v>
      </c>
      <c r="AH1047" s="81" t="s">
        <v>38</v>
      </c>
      <c r="AK1047" s="166">
        <v>3</v>
      </c>
      <c r="AM1047" s="166">
        <v>0</v>
      </c>
      <c r="AO1047" s="166">
        <v>0</v>
      </c>
      <c r="AP1047" s="166">
        <v>1</v>
      </c>
      <c r="AQ1047" s="166">
        <v>2</v>
      </c>
      <c r="AR1047" s="166">
        <v>0</v>
      </c>
      <c r="AS1047" s="166">
        <v>0</v>
      </c>
      <c r="AT1047" s="166">
        <v>0</v>
      </c>
      <c r="AU1047" s="166">
        <v>0</v>
      </c>
      <c r="AV1047" s="166">
        <v>0</v>
      </c>
      <c r="AW1047" s="166">
        <v>1</v>
      </c>
      <c r="AX1047" s="166">
        <v>2</v>
      </c>
      <c r="AY1047" s="166">
        <v>0</v>
      </c>
      <c r="AZ1047" s="166">
        <v>0</v>
      </c>
      <c r="BA1047" s="166">
        <v>0</v>
      </c>
      <c r="BB1047" s="166">
        <v>0</v>
      </c>
      <c r="BC1047" s="166">
        <v>0</v>
      </c>
      <c r="BD1047" s="166">
        <v>0</v>
      </c>
      <c r="BE1047" s="166">
        <v>0</v>
      </c>
      <c r="BF1047" s="166">
        <v>0</v>
      </c>
      <c r="BG1047" s="166">
        <v>0</v>
      </c>
      <c r="BH1047" s="166">
        <v>0</v>
      </c>
      <c r="BI1047" s="166">
        <v>0</v>
      </c>
      <c r="BJ1047" s="166">
        <v>0</v>
      </c>
      <c r="BK1047" s="166">
        <v>0</v>
      </c>
      <c r="BL1047" s="166">
        <v>0</v>
      </c>
      <c r="BM1047" s="166">
        <v>0</v>
      </c>
      <c r="BN1047" s="166">
        <v>0</v>
      </c>
      <c r="BO1047" s="166">
        <v>0</v>
      </c>
      <c r="BP1047" s="166">
        <v>0</v>
      </c>
      <c r="BQ1047" s="81" t="s">
        <v>1757</v>
      </c>
      <c r="BZ1047" s="81" t="s">
        <v>155</v>
      </c>
      <c r="CA1047" s="81">
        <v>4</v>
      </c>
      <c r="CC1047" s="167">
        <v>0</v>
      </c>
      <c r="CD1047" s="167">
        <v>0</v>
      </c>
      <c r="CE1047" s="167">
        <f>$N1047/4</f>
        <v>0.75</v>
      </c>
      <c r="CF1047" s="167">
        <f>$N1047/4</f>
        <v>0.75</v>
      </c>
      <c r="CG1047" s="167">
        <f>$N1047/4</f>
        <v>0.75</v>
      </c>
      <c r="CH1047" s="167">
        <f>$N1047/4</f>
        <v>0.75</v>
      </c>
      <c r="CI1047" s="167">
        <v>0</v>
      </c>
      <c r="CJ1047" s="167">
        <v>0</v>
      </c>
      <c r="CK1047" s="167">
        <v>0</v>
      </c>
      <c r="CL1047" s="167">
        <v>0</v>
      </c>
      <c r="CM1047" s="167">
        <v>0</v>
      </c>
      <c r="CN1047" s="167">
        <v>0</v>
      </c>
      <c r="CO1047" s="167">
        <v>0</v>
      </c>
      <c r="CP1047" s="167">
        <v>0</v>
      </c>
      <c r="CQ1047" s="167">
        <v>0</v>
      </c>
      <c r="CR1047" s="167">
        <v>0</v>
      </c>
      <c r="CS1047" s="167">
        <v>0</v>
      </c>
      <c r="CT1047" s="167">
        <v>0</v>
      </c>
      <c r="CU1047" s="167">
        <v>0</v>
      </c>
      <c r="CV1047" s="167">
        <v>0</v>
      </c>
      <c r="CW1047" s="167">
        <v>0</v>
      </c>
      <c r="CX1047" s="167">
        <f>SUM(CD1047:CH1047)</f>
        <v>3</v>
      </c>
      <c r="CY1047" s="167">
        <f>SUM(CD1047:CM1047)</f>
        <v>3</v>
      </c>
    </row>
    <row r="1048" spans="1:103" ht="12.75" customHeight="1" x14ac:dyDescent="0.2">
      <c r="A1048" s="81">
        <v>6495</v>
      </c>
      <c r="B1048" s="165" t="s">
        <v>1930</v>
      </c>
      <c r="C1048" s="165" t="s">
        <v>1607</v>
      </c>
      <c r="E1048" s="165" t="s">
        <v>2159</v>
      </c>
      <c r="G1048" s="81">
        <v>524891</v>
      </c>
      <c r="H1048" s="81">
        <v>173680</v>
      </c>
      <c r="I1048" s="165" t="s">
        <v>258</v>
      </c>
      <c r="L1048" s="166">
        <v>0</v>
      </c>
      <c r="M1048" s="166">
        <v>1</v>
      </c>
      <c r="N1048" s="166">
        <v>1</v>
      </c>
      <c r="O1048" s="166">
        <v>1</v>
      </c>
      <c r="P1048" s="166">
        <v>1</v>
      </c>
      <c r="R1048" s="165" t="s">
        <v>1608</v>
      </c>
      <c r="S1048" s="81" t="s">
        <v>113</v>
      </c>
      <c r="T1048" s="349">
        <v>42760</v>
      </c>
      <c r="U1048" s="349">
        <v>42878</v>
      </c>
      <c r="V1048" s="81" t="s">
        <v>155</v>
      </c>
      <c r="W1048" s="81" t="s">
        <v>114</v>
      </c>
      <c r="Y1048" s="81" t="s">
        <v>115</v>
      </c>
      <c r="Z1048" s="81" t="s">
        <v>398</v>
      </c>
      <c r="AA1048" s="81" t="s">
        <v>117</v>
      </c>
      <c r="AB1048" s="81" t="s">
        <v>399</v>
      </c>
      <c r="AC1048" s="166">
        <v>2.8999999165535001E-2</v>
      </c>
      <c r="AG1048" s="81" t="s">
        <v>238</v>
      </c>
      <c r="AH1048" s="81" t="s">
        <v>118</v>
      </c>
      <c r="AK1048" s="166">
        <v>0</v>
      </c>
      <c r="AM1048" s="166">
        <v>0</v>
      </c>
      <c r="AO1048" s="166">
        <v>0</v>
      </c>
      <c r="AP1048" s="166">
        <v>0</v>
      </c>
      <c r="AQ1048" s="166">
        <v>1</v>
      </c>
      <c r="AR1048" s="166">
        <v>0</v>
      </c>
      <c r="AS1048" s="166">
        <v>0</v>
      </c>
      <c r="AT1048" s="166">
        <v>0</v>
      </c>
      <c r="AU1048" s="166">
        <v>0</v>
      </c>
      <c r="AV1048" s="166">
        <v>0</v>
      </c>
      <c r="AW1048" s="166">
        <v>0</v>
      </c>
      <c r="AX1048" s="166">
        <v>0</v>
      </c>
      <c r="AY1048" s="166">
        <v>0</v>
      </c>
      <c r="AZ1048" s="166">
        <v>0</v>
      </c>
      <c r="BA1048" s="166">
        <v>0</v>
      </c>
      <c r="BB1048" s="166">
        <v>0</v>
      </c>
      <c r="BC1048" s="166">
        <v>0</v>
      </c>
      <c r="BD1048" s="166">
        <v>0</v>
      </c>
      <c r="BE1048" s="166">
        <v>1</v>
      </c>
      <c r="BF1048" s="166">
        <v>0</v>
      </c>
      <c r="BG1048" s="166">
        <v>0</v>
      </c>
      <c r="BH1048" s="166">
        <v>0</v>
      </c>
      <c r="BI1048" s="166">
        <v>0</v>
      </c>
      <c r="BJ1048" s="166">
        <v>0</v>
      </c>
      <c r="BK1048" s="166">
        <v>0</v>
      </c>
      <c r="BL1048" s="166">
        <v>0</v>
      </c>
      <c r="BM1048" s="166">
        <v>0</v>
      </c>
      <c r="BN1048" s="166">
        <v>0</v>
      </c>
      <c r="BO1048" s="166">
        <v>0</v>
      </c>
      <c r="BP1048" s="166">
        <v>0</v>
      </c>
      <c r="BQ1048" s="81" t="s">
        <v>1758</v>
      </c>
      <c r="BZ1048" s="81" t="s">
        <v>155</v>
      </c>
      <c r="CA1048" s="81" t="s">
        <v>1937</v>
      </c>
      <c r="CC1048" s="167">
        <v>0</v>
      </c>
      <c r="CD1048" s="167">
        <f>$N1048/4</f>
        <v>0.25</v>
      </c>
      <c r="CE1048" s="167">
        <f>$N1048/4</f>
        <v>0.25</v>
      </c>
      <c r="CF1048" s="167">
        <f>$N1048/4</f>
        <v>0.25</v>
      </c>
      <c r="CG1048" s="167">
        <f>$N1048/4</f>
        <v>0.25</v>
      </c>
      <c r="CH1048" s="167">
        <v>0</v>
      </c>
      <c r="CI1048" s="167">
        <v>0</v>
      </c>
      <c r="CJ1048" s="167">
        <v>0</v>
      </c>
      <c r="CK1048" s="167">
        <v>0</v>
      </c>
      <c r="CL1048" s="167">
        <v>0</v>
      </c>
      <c r="CM1048" s="167">
        <v>0</v>
      </c>
      <c r="CN1048" s="167">
        <v>0</v>
      </c>
      <c r="CO1048" s="167">
        <v>0</v>
      </c>
      <c r="CP1048" s="167">
        <v>0</v>
      </c>
      <c r="CQ1048" s="167">
        <v>0</v>
      </c>
      <c r="CR1048" s="167">
        <v>0</v>
      </c>
      <c r="CS1048" s="167">
        <v>0</v>
      </c>
      <c r="CT1048" s="167">
        <v>0</v>
      </c>
      <c r="CU1048" s="167">
        <v>0</v>
      </c>
      <c r="CV1048" s="167">
        <v>0</v>
      </c>
      <c r="CW1048" s="167">
        <v>0</v>
      </c>
      <c r="CX1048" s="167">
        <f>SUM(CD1048:CH1048)</f>
        <v>1</v>
      </c>
      <c r="CY1048" s="167">
        <f>SUM(CD1048:CM1048)</f>
        <v>1</v>
      </c>
    </row>
    <row r="1049" spans="1:103" ht="12.75" customHeight="1" x14ac:dyDescent="0.2">
      <c r="A1049" s="81">
        <v>6497</v>
      </c>
      <c r="B1049" s="165" t="s">
        <v>1930</v>
      </c>
      <c r="C1049" s="165" t="s">
        <v>1592</v>
      </c>
      <c r="E1049" s="165" t="s">
        <v>2787</v>
      </c>
      <c r="G1049" s="81">
        <v>527487</v>
      </c>
      <c r="H1049" s="81">
        <v>175150</v>
      </c>
      <c r="I1049" s="165" t="s">
        <v>255</v>
      </c>
      <c r="L1049" s="166">
        <v>2</v>
      </c>
      <c r="M1049" s="166">
        <v>0</v>
      </c>
      <c r="N1049" s="166">
        <v>-2</v>
      </c>
      <c r="O1049" s="166">
        <v>0</v>
      </c>
      <c r="P1049" s="166">
        <v>-2</v>
      </c>
      <c r="R1049" s="165" t="s">
        <v>1593</v>
      </c>
      <c r="S1049" s="81" t="s">
        <v>113</v>
      </c>
      <c r="T1049" s="349">
        <v>42752</v>
      </c>
      <c r="U1049" s="349">
        <v>42857</v>
      </c>
      <c r="V1049" s="81" t="s">
        <v>155</v>
      </c>
      <c r="W1049" s="81" t="s">
        <v>114</v>
      </c>
      <c r="Y1049" s="81" t="s">
        <v>115</v>
      </c>
      <c r="Z1049" s="81" t="s">
        <v>398</v>
      </c>
      <c r="AA1049" s="81" t="s">
        <v>117</v>
      </c>
      <c r="AB1049" s="81" t="s">
        <v>105</v>
      </c>
      <c r="AC1049" s="166">
        <v>0</v>
      </c>
      <c r="AG1049" s="81" t="s">
        <v>238</v>
      </c>
      <c r="AH1049" s="81" t="s">
        <v>118</v>
      </c>
      <c r="AK1049" s="166">
        <v>0</v>
      </c>
      <c r="AM1049" s="166">
        <v>0</v>
      </c>
      <c r="AO1049" s="166">
        <v>0</v>
      </c>
      <c r="AP1049" s="166">
        <v>0</v>
      </c>
      <c r="AQ1049" s="166">
        <v>-2</v>
      </c>
      <c r="AR1049" s="166">
        <v>0</v>
      </c>
      <c r="AS1049" s="166">
        <v>0</v>
      </c>
      <c r="AT1049" s="166">
        <v>0</v>
      </c>
      <c r="AU1049" s="166">
        <v>0</v>
      </c>
      <c r="AV1049" s="166">
        <v>0</v>
      </c>
      <c r="AW1049" s="166">
        <v>0</v>
      </c>
      <c r="AX1049" s="166">
        <v>-2</v>
      </c>
      <c r="AY1049" s="166">
        <v>0</v>
      </c>
      <c r="AZ1049" s="166">
        <v>0</v>
      </c>
      <c r="BA1049" s="166">
        <v>0</v>
      </c>
      <c r="BB1049" s="166">
        <v>0</v>
      </c>
      <c r="BC1049" s="166">
        <v>0</v>
      </c>
      <c r="BD1049" s="166">
        <v>0</v>
      </c>
      <c r="BE1049" s="166">
        <v>0</v>
      </c>
      <c r="BF1049" s="166">
        <v>0</v>
      </c>
      <c r="BG1049" s="166">
        <v>0</v>
      </c>
      <c r="BH1049" s="166">
        <v>0</v>
      </c>
      <c r="BI1049" s="166">
        <v>0</v>
      </c>
      <c r="BJ1049" s="166">
        <v>0</v>
      </c>
      <c r="BK1049" s="166">
        <v>0</v>
      </c>
      <c r="BL1049" s="166">
        <v>0</v>
      </c>
      <c r="BM1049" s="166">
        <v>0</v>
      </c>
      <c r="BN1049" s="166">
        <v>0</v>
      </c>
      <c r="BO1049" s="166">
        <v>0</v>
      </c>
      <c r="BP1049" s="166">
        <v>0</v>
      </c>
      <c r="BQ1049" s="81" t="s">
        <v>1757</v>
      </c>
      <c r="BR1049" s="81" t="s">
        <v>160</v>
      </c>
      <c r="BZ1049" s="81" t="s">
        <v>155</v>
      </c>
      <c r="CA1049" s="81" t="s">
        <v>1937</v>
      </c>
      <c r="CC1049" s="167">
        <v>0</v>
      </c>
      <c r="CD1049" s="167">
        <f>$N1049/4</f>
        <v>-0.5</v>
      </c>
      <c r="CE1049" s="167">
        <f>$N1049/4</f>
        <v>-0.5</v>
      </c>
      <c r="CF1049" s="167">
        <f>$N1049/4</f>
        <v>-0.5</v>
      </c>
      <c r="CG1049" s="167">
        <f>$N1049/4</f>
        <v>-0.5</v>
      </c>
      <c r="CH1049" s="167">
        <v>0</v>
      </c>
      <c r="CI1049" s="167">
        <v>0</v>
      </c>
      <c r="CJ1049" s="167">
        <v>0</v>
      </c>
      <c r="CK1049" s="167">
        <v>0</v>
      </c>
      <c r="CL1049" s="167">
        <v>0</v>
      </c>
      <c r="CM1049" s="167">
        <v>0</v>
      </c>
      <c r="CN1049" s="167">
        <v>0</v>
      </c>
      <c r="CO1049" s="167">
        <v>0</v>
      </c>
      <c r="CP1049" s="167">
        <v>0</v>
      </c>
      <c r="CQ1049" s="167">
        <v>0</v>
      </c>
      <c r="CR1049" s="167">
        <v>0</v>
      </c>
      <c r="CS1049" s="167">
        <v>0</v>
      </c>
      <c r="CT1049" s="167">
        <v>0</v>
      </c>
      <c r="CU1049" s="167">
        <v>0</v>
      </c>
      <c r="CV1049" s="167">
        <v>0</v>
      </c>
      <c r="CW1049" s="167">
        <v>0</v>
      </c>
      <c r="CX1049" s="167">
        <f>SUM(CD1049:CH1049)</f>
        <v>-2</v>
      </c>
      <c r="CY1049" s="167">
        <f>SUM(CD1049:CM1049)</f>
        <v>-2</v>
      </c>
    </row>
    <row r="1050" spans="1:103" ht="12.75" customHeight="1" x14ac:dyDescent="0.2">
      <c r="A1050" s="81">
        <v>6498</v>
      </c>
      <c r="B1050" s="165" t="s">
        <v>1930</v>
      </c>
      <c r="C1050" s="165" t="s">
        <v>1435</v>
      </c>
      <c r="E1050" s="165" t="s">
        <v>2788</v>
      </c>
      <c r="G1050" s="81">
        <v>528346</v>
      </c>
      <c r="H1050" s="81">
        <v>175825</v>
      </c>
      <c r="I1050" s="165" t="s">
        <v>256</v>
      </c>
      <c r="L1050" s="166">
        <v>0</v>
      </c>
      <c r="M1050" s="166">
        <v>8</v>
      </c>
      <c r="N1050" s="166">
        <v>8</v>
      </c>
      <c r="O1050" s="166">
        <v>8</v>
      </c>
      <c r="P1050" s="166">
        <v>8</v>
      </c>
      <c r="R1050" s="165" t="s">
        <v>1436</v>
      </c>
      <c r="S1050" s="81" t="s">
        <v>113</v>
      </c>
      <c r="T1050" s="349">
        <v>42643</v>
      </c>
      <c r="U1050" s="349">
        <v>42761</v>
      </c>
      <c r="W1050" s="81" t="s">
        <v>114</v>
      </c>
      <c r="Y1050" s="81" t="s">
        <v>115</v>
      </c>
      <c r="Z1050" s="81" t="s">
        <v>116</v>
      </c>
      <c r="AA1050" s="81" t="s">
        <v>117</v>
      </c>
      <c r="AB1050" s="81" t="s">
        <v>218</v>
      </c>
      <c r="AC1050" s="166">
        <v>5.0999999046325697E-2</v>
      </c>
      <c r="AG1050" s="81" t="s">
        <v>154</v>
      </c>
      <c r="AH1050" s="81" t="s">
        <v>38</v>
      </c>
      <c r="AK1050" s="166">
        <v>7</v>
      </c>
      <c r="AM1050" s="166">
        <v>1</v>
      </c>
      <c r="AO1050" s="166">
        <v>0</v>
      </c>
      <c r="AP1050" s="166">
        <v>2</v>
      </c>
      <c r="AQ1050" s="166">
        <v>4</v>
      </c>
      <c r="AR1050" s="166">
        <v>2</v>
      </c>
      <c r="AS1050" s="166">
        <v>0</v>
      </c>
      <c r="AT1050" s="166">
        <v>0</v>
      </c>
      <c r="AU1050" s="166">
        <v>0</v>
      </c>
      <c r="AV1050" s="166">
        <v>0</v>
      </c>
      <c r="AW1050" s="166">
        <v>2</v>
      </c>
      <c r="AX1050" s="166">
        <v>4</v>
      </c>
      <c r="AY1050" s="166">
        <v>0</v>
      </c>
      <c r="AZ1050" s="166">
        <v>0</v>
      </c>
      <c r="BA1050" s="166">
        <v>0</v>
      </c>
      <c r="BB1050" s="166">
        <v>0</v>
      </c>
      <c r="BC1050" s="166">
        <v>0</v>
      </c>
      <c r="BD1050" s="166">
        <v>0</v>
      </c>
      <c r="BE1050" s="166">
        <v>0</v>
      </c>
      <c r="BF1050" s="166">
        <v>2</v>
      </c>
      <c r="BG1050" s="166">
        <v>0</v>
      </c>
      <c r="BH1050" s="166">
        <v>0</v>
      </c>
      <c r="BI1050" s="166">
        <v>0</v>
      </c>
      <c r="BJ1050" s="166">
        <v>0</v>
      </c>
      <c r="BK1050" s="166">
        <v>0</v>
      </c>
      <c r="BL1050" s="166">
        <v>0</v>
      </c>
      <c r="BM1050" s="166">
        <v>0</v>
      </c>
      <c r="BN1050" s="166">
        <v>0</v>
      </c>
      <c r="BO1050" s="166">
        <v>0</v>
      </c>
      <c r="BP1050" s="166">
        <v>0</v>
      </c>
      <c r="BQ1050" s="81" t="s">
        <v>1757</v>
      </c>
      <c r="BZ1050" s="81" t="s">
        <v>155</v>
      </c>
      <c r="CA1050" s="81" t="s">
        <v>3968</v>
      </c>
      <c r="CC1050" s="167">
        <v>0</v>
      </c>
      <c r="CD1050" s="167">
        <v>0</v>
      </c>
      <c r="CE1050" s="167">
        <v>0</v>
      </c>
      <c r="CF1050" s="167">
        <v>0</v>
      </c>
      <c r="CG1050" s="167">
        <f>$N1050/3</f>
        <v>2.6666666666666665</v>
      </c>
      <c r="CH1050" s="167">
        <f>$N1050/3</f>
        <v>2.6666666666666665</v>
      </c>
      <c r="CI1050" s="167">
        <f>$N1050/3</f>
        <v>2.6666666666666665</v>
      </c>
      <c r="CJ1050" s="167">
        <v>0</v>
      </c>
      <c r="CK1050" s="167">
        <v>0</v>
      </c>
      <c r="CL1050" s="167">
        <v>0</v>
      </c>
      <c r="CM1050" s="167">
        <v>0</v>
      </c>
      <c r="CN1050" s="167">
        <v>0</v>
      </c>
      <c r="CO1050" s="167">
        <v>0</v>
      </c>
      <c r="CP1050" s="167">
        <v>0</v>
      </c>
      <c r="CQ1050" s="167">
        <v>0</v>
      </c>
      <c r="CR1050" s="167">
        <v>0</v>
      </c>
      <c r="CS1050" s="167">
        <v>0</v>
      </c>
      <c r="CT1050" s="167">
        <v>0</v>
      </c>
      <c r="CU1050" s="167">
        <v>0</v>
      </c>
      <c r="CV1050" s="167">
        <v>0</v>
      </c>
      <c r="CW1050" s="167">
        <v>0</v>
      </c>
      <c r="CX1050" s="167">
        <f>SUM(CD1050:CH1050)</f>
        <v>5.333333333333333</v>
      </c>
      <c r="CY1050" s="167">
        <f>SUM(CD1050:CM1050)</f>
        <v>8</v>
      </c>
    </row>
    <row r="1051" spans="1:103" ht="12.75" customHeight="1" x14ac:dyDescent="0.2">
      <c r="A1051" s="81">
        <v>6501</v>
      </c>
      <c r="B1051" s="165" t="s">
        <v>1930</v>
      </c>
      <c r="C1051" s="165" t="s">
        <v>1720</v>
      </c>
      <c r="E1051" s="165" t="s">
        <v>3439</v>
      </c>
      <c r="G1051" s="81">
        <v>527304</v>
      </c>
      <c r="H1051" s="81">
        <v>171639</v>
      </c>
      <c r="I1051" s="165" t="s">
        <v>242</v>
      </c>
      <c r="L1051" s="166">
        <v>0</v>
      </c>
      <c r="M1051" s="166">
        <v>12</v>
      </c>
      <c r="N1051" s="166">
        <v>12</v>
      </c>
      <c r="O1051" s="166">
        <v>17</v>
      </c>
      <c r="P1051" s="166">
        <v>17</v>
      </c>
      <c r="Q1051" s="81" t="s">
        <v>155</v>
      </c>
      <c r="R1051" s="165" t="s">
        <v>1721</v>
      </c>
      <c r="S1051" s="81" t="s">
        <v>104</v>
      </c>
      <c r="T1051" s="349">
        <v>42660</v>
      </c>
      <c r="U1051" s="349">
        <v>43053</v>
      </c>
      <c r="V1051" s="81" t="s">
        <v>155</v>
      </c>
      <c r="W1051" s="81" t="s">
        <v>114</v>
      </c>
      <c r="Y1051" s="81" t="s">
        <v>115</v>
      </c>
      <c r="Z1051" s="81" t="s">
        <v>116</v>
      </c>
      <c r="AA1051" s="81" t="s">
        <v>116</v>
      </c>
      <c r="AB1051" s="81" t="s">
        <v>117</v>
      </c>
      <c r="AC1051" s="166">
        <v>0.116999998688698</v>
      </c>
      <c r="AG1051" s="81" t="s">
        <v>238</v>
      </c>
      <c r="AH1051" s="81" t="s">
        <v>118</v>
      </c>
      <c r="AK1051" s="166">
        <v>0</v>
      </c>
      <c r="AM1051" s="166">
        <v>12</v>
      </c>
      <c r="AO1051" s="166">
        <v>0</v>
      </c>
      <c r="AP1051" s="166">
        <v>2</v>
      </c>
      <c r="AQ1051" s="166">
        <v>7</v>
      </c>
      <c r="AR1051" s="166">
        <v>3</v>
      </c>
      <c r="AS1051" s="166">
        <v>0</v>
      </c>
      <c r="AT1051" s="166">
        <v>0</v>
      </c>
      <c r="AU1051" s="166">
        <v>0</v>
      </c>
      <c r="AV1051" s="166">
        <v>0</v>
      </c>
      <c r="AW1051" s="166">
        <v>2</v>
      </c>
      <c r="AX1051" s="166">
        <v>7</v>
      </c>
      <c r="AY1051" s="166">
        <v>3</v>
      </c>
      <c r="AZ1051" s="166">
        <v>0</v>
      </c>
      <c r="BA1051" s="166">
        <v>0</v>
      </c>
      <c r="BB1051" s="166">
        <v>0</v>
      </c>
      <c r="BC1051" s="166">
        <v>0</v>
      </c>
      <c r="BD1051" s="166">
        <v>0</v>
      </c>
      <c r="BE1051" s="166">
        <v>0</v>
      </c>
      <c r="BF1051" s="166">
        <v>0</v>
      </c>
      <c r="BG1051" s="166">
        <v>0</v>
      </c>
      <c r="BH1051" s="166">
        <v>0</v>
      </c>
      <c r="BI1051" s="166">
        <v>0</v>
      </c>
      <c r="BJ1051" s="166">
        <v>0</v>
      </c>
      <c r="BK1051" s="166">
        <v>0</v>
      </c>
      <c r="BL1051" s="166">
        <v>0</v>
      </c>
      <c r="BM1051" s="166">
        <v>0</v>
      </c>
      <c r="BN1051" s="166">
        <v>0</v>
      </c>
      <c r="BO1051" s="166">
        <v>0</v>
      </c>
      <c r="BP1051" s="166">
        <v>0</v>
      </c>
      <c r="BQ1051" s="81" t="s">
        <v>1757</v>
      </c>
      <c r="BZ1051" s="81" t="s">
        <v>155</v>
      </c>
      <c r="CA1051" s="81" t="s">
        <v>3936</v>
      </c>
      <c r="CC1051" s="167">
        <v>0</v>
      </c>
      <c r="CD1051" s="167">
        <v>0</v>
      </c>
      <c r="CE1051" s="167">
        <f>N1051</f>
        <v>12</v>
      </c>
      <c r="CF1051" s="167">
        <v>0</v>
      </c>
      <c r="CG1051" s="167">
        <v>0</v>
      </c>
      <c r="CH1051" s="167">
        <v>0</v>
      </c>
      <c r="CI1051" s="167">
        <v>0</v>
      </c>
      <c r="CJ1051" s="167">
        <v>0</v>
      </c>
      <c r="CK1051" s="167">
        <v>0</v>
      </c>
      <c r="CL1051" s="167">
        <v>0</v>
      </c>
      <c r="CM1051" s="167">
        <v>0</v>
      </c>
      <c r="CN1051" s="167">
        <v>0</v>
      </c>
      <c r="CO1051" s="167">
        <v>0</v>
      </c>
      <c r="CP1051" s="167">
        <v>0</v>
      </c>
      <c r="CQ1051" s="167">
        <v>0</v>
      </c>
      <c r="CR1051" s="167">
        <v>0</v>
      </c>
      <c r="CS1051" s="167">
        <v>0</v>
      </c>
      <c r="CT1051" s="167">
        <v>0</v>
      </c>
      <c r="CU1051" s="167">
        <v>0</v>
      </c>
      <c r="CV1051" s="167">
        <v>0</v>
      </c>
      <c r="CW1051" s="167">
        <v>0</v>
      </c>
      <c r="CX1051" s="167">
        <f>SUM(CD1051:CH1051)</f>
        <v>12</v>
      </c>
      <c r="CY1051" s="167">
        <f>SUM(CD1051:CM1051)</f>
        <v>12</v>
      </c>
    </row>
    <row r="1052" spans="1:103" ht="12.75" customHeight="1" x14ac:dyDescent="0.2">
      <c r="A1052" s="81">
        <v>6501</v>
      </c>
      <c r="B1052" s="165" t="s">
        <v>1930</v>
      </c>
      <c r="C1052" s="165" t="s">
        <v>1720</v>
      </c>
      <c r="E1052" s="165" t="s">
        <v>3439</v>
      </c>
      <c r="G1052" s="81">
        <v>527304</v>
      </c>
      <c r="H1052" s="81">
        <v>171639</v>
      </c>
      <c r="I1052" s="165" t="s">
        <v>242</v>
      </c>
      <c r="L1052" s="166">
        <v>0</v>
      </c>
      <c r="M1052" s="166">
        <v>5</v>
      </c>
      <c r="N1052" s="166">
        <v>5</v>
      </c>
      <c r="O1052" s="166">
        <v>17</v>
      </c>
      <c r="P1052" s="166">
        <v>17</v>
      </c>
      <c r="Q1052" s="81" t="s">
        <v>155</v>
      </c>
      <c r="R1052" s="165" t="s">
        <v>1721</v>
      </c>
      <c r="S1052" s="81" t="s">
        <v>104</v>
      </c>
      <c r="T1052" s="349">
        <v>42660</v>
      </c>
      <c r="U1052" s="349">
        <v>43053</v>
      </c>
      <c r="V1052" s="81" t="s">
        <v>155</v>
      </c>
      <c r="W1052" s="81" t="s">
        <v>114</v>
      </c>
      <c r="Y1052" s="81" t="s">
        <v>115</v>
      </c>
      <c r="Z1052" s="81" t="s">
        <v>116</v>
      </c>
      <c r="AA1052" s="81" t="s">
        <v>116</v>
      </c>
      <c r="AB1052" s="81" t="s">
        <v>117</v>
      </c>
      <c r="AC1052" s="166">
        <v>3.9000000804662698E-2</v>
      </c>
      <c r="AG1052" s="81" t="s">
        <v>74</v>
      </c>
      <c r="AH1052" s="81" t="s">
        <v>990</v>
      </c>
      <c r="AK1052" s="166">
        <v>3</v>
      </c>
      <c r="AM1052" s="166">
        <v>2</v>
      </c>
      <c r="AN1052" s="166">
        <v>2</v>
      </c>
      <c r="AO1052" s="166">
        <v>0</v>
      </c>
      <c r="AP1052" s="166">
        <v>0</v>
      </c>
      <c r="AQ1052" s="166">
        <v>5</v>
      </c>
      <c r="AR1052" s="166">
        <v>0</v>
      </c>
      <c r="AS1052" s="166">
        <v>0</v>
      </c>
      <c r="AT1052" s="166">
        <v>0</v>
      </c>
      <c r="AU1052" s="166">
        <v>0</v>
      </c>
      <c r="AV1052" s="166">
        <v>0</v>
      </c>
      <c r="AW1052" s="166">
        <v>0</v>
      </c>
      <c r="AX1052" s="166">
        <v>5</v>
      </c>
      <c r="AY1052" s="166">
        <v>0</v>
      </c>
      <c r="AZ1052" s="166">
        <v>0</v>
      </c>
      <c r="BA1052" s="166">
        <v>0</v>
      </c>
      <c r="BB1052" s="166">
        <v>0</v>
      </c>
      <c r="BC1052" s="166">
        <v>0</v>
      </c>
      <c r="BD1052" s="166">
        <v>0</v>
      </c>
      <c r="BE1052" s="166">
        <v>0</v>
      </c>
      <c r="BF1052" s="166">
        <v>0</v>
      </c>
      <c r="BG1052" s="166">
        <v>0</v>
      </c>
      <c r="BH1052" s="166">
        <v>0</v>
      </c>
      <c r="BI1052" s="166">
        <v>0</v>
      </c>
      <c r="BJ1052" s="166">
        <v>0</v>
      </c>
      <c r="BK1052" s="166">
        <v>0</v>
      </c>
      <c r="BL1052" s="166">
        <v>0</v>
      </c>
      <c r="BM1052" s="166">
        <v>0</v>
      </c>
      <c r="BN1052" s="166">
        <v>0</v>
      </c>
      <c r="BO1052" s="166">
        <v>0</v>
      </c>
      <c r="BP1052" s="166">
        <v>0</v>
      </c>
      <c r="BQ1052" s="81" t="s">
        <v>1757</v>
      </c>
      <c r="BZ1052" s="81" t="s">
        <v>155</v>
      </c>
      <c r="CA1052" s="81" t="s">
        <v>3936</v>
      </c>
      <c r="CC1052" s="167">
        <v>0</v>
      </c>
      <c r="CD1052" s="167">
        <v>0</v>
      </c>
      <c r="CE1052" s="167">
        <f>N1052</f>
        <v>5</v>
      </c>
      <c r="CF1052" s="167">
        <v>0</v>
      </c>
      <c r="CG1052" s="167">
        <v>0</v>
      </c>
      <c r="CH1052" s="167">
        <v>0</v>
      </c>
      <c r="CI1052" s="167">
        <v>0</v>
      </c>
      <c r="CJ1052" s="167">
        <v>0</v>
      </c>
      <c r="CK1052" s="167">
        <v>0</v>
      </c>
      <c r="CL1052" s="167">
        <v>0</v>
      </c>
      <c r="CM1052" s="167">
        <v>0</v>
      </c>
      <c r="CN1052" s="167">
        <v>0</v>
      </c>
      <c r="CO1052" s="167">
        <v>0</v>
      </c>
      <c r="CP1052" s="167">
        <v>0</v>
      </c>
      <c r="CQ1052" s="167">
        <v>0</v>
      </c>
      <c r="CR1052" s="167">
        <v>0</v>
      </c>
      <c r="CS1052" s="167">
        <v>0</v>
      </c>
      <c r="CT1052" s="167">
        <v>0</v>
      </c>
      <c r="CU1052" s="167">
        <v>0</v>
      </c>
      <c r="CV1052" s="167">
        <v>0</v>
      </c>
      <c r="CW1052" s="167">
        <v>0</v>
      </c>
      <c r="CX1052" s="167">
        <f>SUM(CD1052:CH1052)</f>
        <v>5</v>
      </c>
      <c r="CY1052" s="167">
        <f>SUM(CD1052:CM1052)</f>
        <v>5</v>
      </c>
    </row>
    <row r="1053" spans="1:103" ht="12.75" customHeight="1" x14ac:dyDescent="0.2">
      <c r="A1053" s="81">
        <v>6508</v>
      </c>
      <c r="B1053" s="165" t="s">
        <v>1930</v>
      </c>
      <c r="C1053" s="165" t="s">
        <v>1229</v>
      </c>
      <c r="D1053" s="165" t="s">
        <v>876</v>
      </c>
      <c r="E1053" s="165" t="s">
        <v>2789</v>
      </c>
      <c r="F1053" s="165" t="s">
        <v>1230</v>
      </c>
      <c r="G1053" s="81">
        <v>526400</v>
      </c>
      <c r="H1053" s="81">
        <v>175699</v>
      </c>
      <c r="I1053" s="165" t="s">
        <v>257</v>
      </c>
      <c r="L1053" s="166">
        <v>0</v>
      </c>
      <c r="M1053" s="166">
        <v>3</v>
      </c>
      <c r="N1053" s="166">
        <v>3</v>
      </c>
      <c r="O1053" s="166">
        <v>3</v>
      </c>
      <c r="P1053" s="166">
        <v>3</v>
      </c>
      <c r="R1053" s="165" t="s">
        <v>1232</v>
      </c>
      <c r="S1053" s="81" t="s">
        <v>270</v>
      </c>
      <c r="T1053" s="349">
        <v>42487</v>
      </c>
      <c r="U1053" s="349">
        <v>42543</v>
      </c>
      <c r="W1053" s="81" t="s">
        <v>114</v>
      </c>
      <c r="Y1053" s="81" t="s">
        <v>115</v>
      </c>
      <c r="Z1053" s="81" t="s">
        <v>310</v>
      </c>
      <c r="AA1053" s="81" t="s">
        <v>117</v>
      </c>
      <c r="AB1053" s="81" t="s">
        <v>399</v>
      </c>
      <c r="AC1053" s="166">
        <v>8.0000003799796104E-3</v>
      </c>
      <c r="AG1053" s="81" t="s">
        <v>238</v>
      </c>
      <c r="AH1053" s="81" t="s">
        <v>118</v>
      </c>
      <c r="AK1053" s="166">
        <v>0</v>
      </c>
      <c r="AM1053" s="166">
        <v>0</v>
      </c>
      <c r="AO1053" s="166">
        <v>0</v>
      </c>
      <c r="AP1053" s="166">
        <v>2</v>
      </c>
      <c r="AQ1053" s="166">
        <v>1</v>
      </c>
      <c r="AR1053" s="166">
        <v>0</v>
      </c>
      <c r="AS1053" s="166">
        <v>0</v>
      </c>
      <c r="AT1053" s="166">
        <v>0</v>
      </c>
      <c r="AU1053" s="166">
        <v>0</v>
      </c>
      <c r="AV1053" s="166">
        <v>0</v>
      </c>
      <c r="AW1053" s="166">
        <v>2</v>
      </c>
      <c r="AX1053" s="166">
        <v>1</v>
      </c>
      <c r="AY1053" s="166">
        <v>0</v>
      </c>
      <c r="AZ1053" s="166">
        <v>0</v>
      </c>
      <c r="BA1053" s="166">
        <v>0</v>
      </c>
      <c r="BB1053" s="166">
        <v>0</v>
      </c>
      <c r="BC1053" s="166">
        <v>0</v>
      </c>
      <c r="BD1053" s="166">
        <v>0</v>
      </c>
      <c r="BE1053" s="166">
        <v>0</v>
      </c>
      <c r="BF1053" s="166">
        <v>0</v>
      </c>
      <c r="BG1053" s="166">
        <v>0</v>
      </c>
      <c r="BH1053" s="166">
        <v>0</v>
      </c>
      <c r="BI1053" s="166">
        <v>0</v>
      </c>
      <c r="BJ1053" s="166">
        <v>0</v>
      </c>
      <c r="BK1053" s="166">
        <v>0</v>
      </c>
      <c r="BL1053" s="166">
        <v>0</v>
      </c>
      <c r="BM1053" s="166">
        <v>0</v>
      </c>
      <c r="BN1053" s="166">
        <v>0</v>
      </c>
      <c r="BO1053" s="166">
        <v>0</v>
      </c>
      <c r="BP1053" s="166">
        <v>0</v>
      </c>
      <c r="BQ1053" s="81" t="s">
        <v>1757</v>
      </c>
      <c r="BX1053" s="81" t="s">
        <v>155</v>
      </c>
      <c r="BZ1053" s="81" t="s">
        <v>155</v>
      </c>
      <c r="CA1053" s="81" t="s">
        <v>3972</v>
      </c>
      <c r="CC1053" s="167">
        <v>0</v>
      </c>
      <c r="CD1053" s="167">
        <f>$N1053/4</f>
        <v>0.75</v>
      </c>
      <c r="CE1053" s="167">
        <f>$N1053/4</f>
        <v>0.75</v>
      </c>
      <c r="CF1053" s="167">
        <f>$N1053/4</f>
        <v>0.75</v>
      </c>
      <c r="CG1053" s="167">
        <f>$N1053/4</f>
        <v>0.75</v>
      </c>
      <c r="CH1053" s="167">
        <v>0</v>
      </c>
      <c r="CI1053" s="167">
        <v>0</v>
      </c>
      <c r="CJ1053" s="167">
        <v>0</v>
      </c>
      <c r="CK1053" s="167">
        <v>0</v>
      </c>
      <c r="CL1053" s="167">
        <v>0</v>
      </c>
      <c r="CM1053" s="167">
        <v>0</v>
      </c>
      <c r="CN1053" s="167">
        <v>0</v>
      </c>
      <c r="CO1053" s="167">
        <v>0</v>
      </c>
      <c r="CP1053" s="167">
        <v>0</v>
      </c>
      <c r="CQ1053" s="167">
        <v>0</v>
      </c>
      <c r="CR1053" s="167">
        <v>0</v>
      </c>
      <c r="CS1053" s="167">
        <v>0</v>
      </c>
      <c r="CT1053" s="167">
        <v>0</v>
      </c>
      <c r="CU1053" s="167">
        <v>0</v>
      </c>
      <c r="CV1053" s="167">
        <v>0</v>
      </c>
      <c r="CW1053" s="167">
        <v>0</v>
      </c>
      <c r="CX1053" s="167">
        <f>SUM(CD1053:CH1053)</f>
        <v>3</v>
      </c>
      <c r="CY1053" s="167">
        <f>SUM(CD1053:CM1053)</f>
        <v>3</v>
      </c>
    </row>
    <row r="1054" spans="1:103" ht="12.75" customHeight="1" x14ac:dyDescent="0.2">
      <c r="A1054" s="81">
        <v>6508</v>
      </c>
      <c r="B1054" s="165" t="s">
        <v>1930</v>
      </c>
      <c r="C1054" s="165" t="s">
        <v>1239</v>
      </c>
      <c r="D1054" s="165" t="s">
        <v>876</v>
      </c>
      <c r="E1054" s="165" t="s">
        <v>2789</v>
      </c>
      <c r="F1054" s="165" t="s">
        <v>1240</v>
      </c>
      <c r="G1054" s="81">
        <v>526400</v>
      </c>
      <c r="H1054" s="81">
        <v>175699</v>
      </c>
      <c r="I1054" s="165" t="s">
        <v>257</v>
      </c>
      <c r="L1054" s="166">
        <v>0</v>
      </c>
      <c r="M1054" s="166">
        <v>4</v>
      </c>
      <c r="N1054" s="166">
        <v>4</v>
      </c>
      <c r="O1054" s="166">
        <v>4</v>
      </c>
      <c r="P1054" s="166">
        <v>4</v>
      </c>
      <c r="R1054" s="165" t="s">
        <v>1241</v>
      </c>
      <c r="S1054" s="81" t="s">
        <v>270</v>
      </c>
      <c r="T1054" s="349">
        <v>42487</v>
      </c>
      <c r="U1054" s="349">
        <v>42543</v>
      </c>
      <c r="W1054" s="81" t="s">
        <v>114</v>
      </c>
      <c r="Y1054" s="81" t="s">
        <v>115</v>
      </c>
      <c r="Z1054" s="81" t="s">
        <v>310</v>
      </c>
      <c r="AA1054" s="81" t="s">
        <v>117</v>
      </c>
      <c r="AB1054" s="81" t="s">
        <v>399</v>
      </c>
      <c r="AC1054" s="166">
        <v>8.0000003799796104E-3</v>
      </c>
      <c r="AG1054" s="81" t="s">
        <v>238</v>
      </c>
      <c r="AH1054" s="81" t="s">
        <v>118</v>
      </c>
      <c r="AK1054" s="166">
        <v>0</v>
      </c>
      <c r="AM1054" s="166">
        <v>0</v>
      </c>
      <c r="AO1054" s="166">
        <v>0</v>
      </c>
      <c r="AP1054" s="166">
        <v>3</v>
      </c>
      <c r="AQ1054" s="166">
        <v>1</v>
      </c>
      <c r="AR1054" s="166">
        <v>0</v>
      </c>
      <c r="AS1054" s="166">
        <v>0</v>
      </c>
      <c r="AT1054" s="166">
        <v>0</v>
      </c>
      <c r="AU1054" s="166">
        <v>0</v>
      </c>
      <c r="AV1054" s="166">
        <v>0</v>
      </c>
      <c r="AW1054" s="166">
        <v>3</v>
      </c>
      <c r="AX1054" s="166">
        <v>1</v>
      </c>
      <c r="AY1054" s="166">
        <v>0</v>
      </c>
      <c r="AZ1054" s="166">
        <v>0</v>
      </c>
      <c r="BA1054" s="166">
        <v>0</v>
      </c>
      <c r="BB1054" s="166">
        <v>0</v>
      </c>
      <c r="BC1054" s="166">
        <v>0</v>
      </c>
      <c r="BD1054" s="166">
        <v>0</v>
      </c>
      <c r="BE1054" s="166">
        <v>0</v>
      </c>
      <c r="BF1054" s="166">
        <v>0</v>
      </c>
      <c r="BG1054" s="166">
        <v>0</v>
      </c>
      <c r="BH1054" s="166">
        <v>0</v>
      </c>
      <c r="BI1054" s="166">
        <v>0</v>
      </c>
      <c r="BJ1054" s="166">
        <v>0</v>
      </c>
      <c r="BK1054" s="166">
        <v>0</v>
      </c>
      <c r="BL1054" s="166">
        <v>0</v>
      </c>
      <c r="BM1054" s="166">
        <v>0</v>
      </c>
      <c r="BN1054" s="166">
        <v>0</v>
      </c>
      <c r="BO1054" s="166">
        <v>0</v>
      </c>
      <c r="BP1054" s="166">
        <v>0</v>
      </c>
      <c r="BQ1054" s="81" t="s">
        <v>1757</v>
      </c>
      <c r="BX1054" s="81" t="s">
        <v>155</v>
      </c>
      <c r="BZ1054" s="81" t="s">
        <v>155</v>
      </c>
      <c r="CA1054" s="81" t="s">
        <v>3972</v>
      </c>
      <c r="CC1054" s="167">
        <v>0</v>
      </c>
      <c r="CD1054" s="167">
        <f>$N1054/4</f>
        <v>1</v>
      </c>
      <c r="CE1054" s="167">
        <f>$N1054/4</f>
        <v>1</v>
      </c>
      <c r="CF1054" s="167">
        <f>$N1054/4</f>
        <v>1</v>
      </c>
      <c r="CG1054" s="167">
        <f>$N1054/4</f>
        <v>1</v>
      </c>
      <c r="CH1054" s="167">
        <v>0</v>
      </c>
      <c r="CI1054" s="167">
        <v>0</v>
      </c>
      <c r="CJ1054" s="167">
        <v>0</v>
      </c>
      <c r="CK1054" s="167">
        <v>0</v>
      </c>
      <c r="CL1054" s="167">
        <v>0</v>
      </c>
      <c r="CM1054" s="167">
        <v>0</v>
      </c>
      <c r="CN1054" s="167">
        <v>0</v>
      </c>
      <c r="CO1054" s="167">
        <v>0</v>
      </c>
      <c r="CP1054" s="167">
        <v>0</v>
      </c>
      <c r="CQ1054" s="167">
        <v>0</v>
      </c>
      <c r="CR1054" s="167">
        <v>0</v>
      </c>
      <c r="CS1054" s="167">
        <v>0</v>
      </c>
      <c r="CT1054" s="167">
        <v>0</v>
      </c>
      <c r="CU1054" s="167">
        <v>0</v>
      </c>
      <c r="CV1054" s="167">
        <v>0</v>
      </c>
      <c r="CW1054" s="167">
        <v>0</v>
      </c>
      <c r="CX1054" s="167">
        <f>SUM(CD1054:CH1054)</f>
        <v>4</v>
      </c>
      <c r="CY1054" s="167">
        <f>SUM(CD1054:CM1054)</f>
        <v>4</v>
      </c>
    </row>
    <row r="1055" spans="1:103" ht="12.75" customHeight="1" x14ac:dyDescent="0.2">
      <c r="A1055" s="81">
        <v>6508</v>
      </c>
      <c r="B1055" s="165" t="s">
        <v>1930</v>
      </c>
      <c r="C1055" s="165" t="s">
        <v>1305</v>
      </c>
      <c r="D1055" s="165" t="s">
        <v>876</v>
      </c>
      <c r="E1055" s="165" t="s">
        <v>2789</v>
      </c>
      <c r="F1055" s="165" t="s">
        <v>1306</v>
      </c>
      <c r="G1055" s="81">
        <v>526400</v>
      </c>
      <c r="H1055" s="81">
        <v>175699</v>
      </c>
      <c r="I1055" s="165" t="s">
        <v>257</v>
      </c>
      <c r="L1055" s="166">
        <v>0</v>
      </c>
      <c r="M1055" s="166">
        <v>3</v>
      </c>
      <c r="N1055" s="166">
        <v>3</v>
      </c>
      <c r="O1055" s="166">
        <v>3</v>
      </c>
      <c r="P1055" s="166">
        <v>3</v>
      </c>
      <c r="R1055" s="165" t="s">
        <v>1307</v>
      </c>
      <c r="S1055" s="81" t="s">
        <v>270</v>
      </c>
      <c r="T1055" s="349">
        <v>42548</v>
      </c>
      <c r="U1055" s="349">
        <v>42604</v>
      </c>
      <c r="W1055" s="81" t="s">
        <v>114</v>
      </c>
      <c r="Y1055" s="81" t="s">
        <v>115</v>
      </c>
      <c r="Z1055" s="81" t="s">
        <v>310</v>
      </c>
      <c r="AA1055" s="81" t="s">
        <v>117</v>
      </c>
      <c r="AB1055" s="81" t="s">
        <v>399</v>
      </c>
      <c r="AC1055" s="166">
        <v>1.30000002682209E-2</v>
      </c>
      <c r="AG1055" s="81" t="s">
        <v>238</v>
      </c>
      <c r="AH1055" s="81" t="s">
        <v>118</v>
      </c>
      <c r="AK1055" s="166">
        <v>0</v>
      </c>
      <c r="AM1055" s="166">
        <v>0</v>
      </c>
      <c r="AO1055" s="166">
        <v>0</v>
      </c>
      <c r="AP1055" s="166">
        <v>1</v>
      </c>
      <c r="AQ1055" s="166">
        <v>2</v>
      </c>
      <c r="AR1055" s="166">
        <v>0</v>
      </c>
      <c r="AS1055" s="166">
        <v>0</v>
      </c>
      <c r="AT1055" s="166">
        <v>0</v>
      </c>
      <c r="AU1055" s="166">
        <v>0</v>
      </c>
      <c r="AV1055" s="166">
        <v>0</v>
      </c>
      <c r="AW1055" s="166">
        <v>1</v>
      </c>
      <c r="AX1055" s="166">
        <v>2</v>
      </c>
      <c r="AY1055" s="166">
        <v>0</v>
      </c>
      <c r="AZ1055" s="166">
        <v>0</v>
      </c>
      <c r="BA1055" s="166">
        <v>0</v>
      </c>
      <c r="BB1055" s="166">
        <v>0</v>
      </c>
      <c r="BC1055" s="166">
        <v>0</v>
      </c>
      <c r="BD1055" s="166">
        <v>0</v>
      </c>
      <c r="BE1055" s="166">
        <v>0</v>
      </c>
      <c r="BF1055" s="166">
        <v>0</v>
      </c>
      <c r="BG1055" s="166">
        <v>0</v>
      </c>
      <c r="BH1055" s="166">
        <v>0</v>
      </c>
      <c r="BI1055" s="166">
        <v>0</v>
      </c>
      <c r="BJ1055" s="166">
        <v>0</v>
      </c>
      <c r="BK1055" s="166">
        <v>0</v>
      </c>
      <c r="BL1055" s="166">
        <v>0</v>
      </c>
      <c r="BM1055" s="166">
        <v>0</v>
      </c>
      <c r="BN1055" s="166">
        <v>0</v>
      </c>
      <c r="BO1055" s="166">
        <v>0</v>
      </c>
      <c r="BP1055" s="166">
        <v>0</v>
      </c>
      <c r="BQ1055" s="81" t="s">
        <v>1757</v>
      </c>
      <c r="BX1055" s="81" t="s">
        <v>155</v>
      </c>
      <c r="BZ1055" s="81" t="s">
        <v>155</v>
      </c>
      <c r="CA1055" s="81" t="s">
        <v>3972</v>
      </c>
      <c r="CC1055" s="167">
        <v>0</v>
      </c>
      <c r="CD1055" s="167">
        <f>$N1055/4</f>
        <v>0.75</v>
      </c>
      <c r="CE1055" s="167">
        <f>$N1055/4</f>
        <v>0.75</v>
      </c>
      <c r="CF1055" s="167">
        <f>$N1055/4</f>
        <v>0.75</v>
      </c>
      <c r="CG1055" s="167">
        <f>$N1055/4</f>
        <v>0.75</v>
      </c>
      <c r="CH1055" s="167">
        <v>0</v>
      </c>
      <c r="CI1055" s="167">
        <v>0</v>
      </c>
      <c r="CJ1055" s="167">
        <v>0</v>
      </c>
      <c r="CK1055" s="167">
        <v>0</v>
      </c>
      <c r="CL1055" s="167">
        <v>0</v>
      </c>
      <c r="CM1055" s="167">
        <v>0</v>
      </c>
      <c r="CN1055" s="167">
        <v>0</v>
      </c>
      <c r="CO1055" s="167">
        <v>0</v>
      </c>
      <c r="CP1055" s="167">
        <v>0</v>
      </c>
      <c r="CQ1055" s="167">
        <v>0</v>
      </c>
      <c r="CR1055" s="167">
        <v>0</v>
      </c>
      <c r="CS1055" s="167">
        <v>0</v>
      </c>
      <c r="CT1055" s="167">
        <v>0</v>
      </c>
      <c r="CU1055" s="167">
        <v>0</v>
      </c>
      <c r="CV1055" s="167">
        <v>0</v>
      </c>
      <c r="CW1055" s="167">
        <v>0</v>
      </c>
      <c r="CX1055" s="167">
        <f>SUM(CD1055:CH1055)</f>
        <v>3</v>
      </c>
      <c r="CY1055" s="167">
        <f>SUM(CD1055:CM1055)</f>
        <v>3</v>
      </c>
    </row>
    <row r="1056" spans="1:103" ht="12.75" customHeight="1" x14ac:dyDescent="0.2">
      <c r="A1056" s="81">
        <v>6508</v>
      </c>
      <c r="B1056" s="165" t="s">
        <v>1930</v>
      </c>
      <c r="C1056" s="165" t="s">
        <v>1308</v>
      </c>
      <c r="D1056" s="165" t="s">
        <v>876</v>
      </c>
      <c r="E1056" s="165" t="s">
        <v>2789</v>
      </c>
      <c r="F1056" s="165" t="s">
        <v>1309</v>
      </c>
      <c r="G1056" s="81">
        <v>526400</v>
      </c>
      <c r="H1056" s="81">
        <v>175699</v>
      </c>
      <c r="I1056" s="165" t="s">
        <v>257</v>
      </c>
      <c r="L1056" s="166">
        <v>0</v>
      </c>
      <c r="M1056" s="166">
        <v>2</v>
      </c>
      <c r="N1056" s="166">
        <v>2</v>
      </c>
      <c r="O1056" s="166">
        <v>5</v>
      </c>
      <c r="P1056" s="166">
        <v>5</v>
      </c>
      <c r="R1056" s="165" t="s">
        <v>1310</v>
      </c>
      <c r="S1056" s="81" t="s">
        <v>270</v>
      </c>
      <c r="T1056" s="349">
        <v>42536</v>
      </c>
      <c r="U1056" s="349">
        <v>42592</v>
      </c>
      <c r="W1056" s="81" t="s">
        <v>114</v>
      </c>
      <c r="Y1056" s="81" t="s">
        <v>115</v>
      </c>
      <c r="Z1056" s="81" t="s">
        <v>310</v>
      </c>
      <c r="AA1056" s="81" t="s">
        <v>117</v>
      </c>
      <c r="AB1056" s="81" t="s">
        <v>399</v>
      </c>
      <c r="AC1056" s="166">
        <v>0</v>
      </c>
      <c r="AG1056" s="81" t="s">
        <v>238</v>
      </c>
      <c r="AH1056" s="81" t="s">
        <v>118</v>
      </c>
      <c r="AK1056" s="166">
        <v>0</v>
      </c>
      <c r="AM1056" s="166">
        <v>0</v>
      </c>
      <c r="AO1056" s="166">
        <v>0</v>
      </c>
      <c r="AP1056" s="166">
        <v>0</v>
      </c>
      <c r="AQ1056" s="166">
        <v>2</v>
      </c>
      <c r="AR1056" s="166">
        <v>0</v>
      </c>
      <c r="AS1056" s="166">
        <v>0</v>
      </c>
      <c r="AT1056" s="166">
        <v>0</v>
      </c>
      <c r="AU1056" s="166">
        <v>0</v>
      </c>
      <c r="AV1056" s="166">
        <v>0</v>
      </c>
      <c r="AW1056" s="166">
        <v>0</v>
      </c>
      <c r="AX1056" s="166">
        <v>2</v>
      </c>
      <c r="AY1056" s="166">
        <v>0</v>
      </c>
      <c r="AZ1056" s="166">
        <v>0</v>
      </c>
      <c r="BA1056" s="166">
        <v>0</v>
      </c>
      <c r="BB1056" s="166">
        <v>0</v>
      </c>
      <c r="BC1056" s="166">
        <v>0</v>
      </c>
      <c r="BD1056" s="166">
        <v>0</v>
      </c>
      <c r="BE1056" s="166">
        <v>0</v>
      </c>
      <c r="BF1056" s="166">
        <v>0</v>
      </c>
      <c r="BG1056" s="166">
        <v>0</v>
      </c>
      <c r="BH1056" s="166">
        <v>0</v>
      </c>
      <c r="BI1056" s="166">
        <v>0</v>
      </c>
      <c r="BJ1056" s="166">
        <v>0</v>
      </c>
      <c r="BK1056" s="166">
        <v>0</v>
      </c>
      <c r="BL1056" s="166">
        <v>0</v>
      </c>
      <c r="BM1056" s="166">
        <v>0</v>
      </c>
      <c r="BN1056" s="166">
        <v>0</v>
      </c>
      <c r="BO1056" s="166">
        <v>0</v>
      </c>
      <c r="BP1056" s="166">
        <v>0</v>
      </c>
      <c r="BQ1056" s="81" t="s">
        <v>1757</v>
      </c>
      <c r="BX1056" s="81" t="s">
        <v>155</v>
      </c>
      <c r="BZ1056" s="81" t="s">
        <v>155</v>
      </c>
      <c r="CA1056" s="81" t="s">
        <v>3972</v>
      </c>
      <c r="CC1056" s="167">
        <v>0</v>
      </c>
      <c r="CD1056" s="167">
        <f>$N1056/4</f>
        <v>0.5</v>
      </c>
      <c r="CE1056" s="167">
        <f>$N1056/4</f>
        <v>0.5</v>
      </c>
      <c r="CF1056" s="167">
        <f>$N1056/4</f>
        <v>0.5</v>
      </c>
      <c r="CG1056" s="167">
        <f>$N1056/4</f>
        <v>0.5</v>
      </c>
      <c r="CH1056" s="167">
        <v>0</v>
      </c>
      <c r="CI1056" s="167">
        <v>0</v>
      </c>
      <c r="CJ1056" s="167">
        <v>0</v>
      </c>
      <c r="CK1056" s="167">
        <v>0</v>
      </c>
      <c r="CL1056" s="167">
        <v>0</v>
      </c>
      <c r="CM1056" s="167">
        <v>0</v>
      </c>
      <c r="CN1056" s="167">
        <v>0</v>
      </c>
      <c r="CO1056" s="167">
        <v>0</v>
      </c>
      <c r="CP1056" s="167">
        <v>0</v>
      </c>
      <c r="CQ1056" s="167">
        <v>0</v>
      </c>
      <c r="CR1056" s="167">
        <v>0</v>
      </c>
      <c r="CS1056" s="167">
        <v>0</v>
      </c>
      <c r="CT1056" s="167">
        <v>0</v>
      </c>
      <c r="CU1056" s="167">
        <v>0</v>
      </c>
      <c r="CV1056" s="167">
        <v>0</v>
      </c>
      <c r="CW1056" s="167">
        <v>0</v>
      </c>
      <c r="CX1056" s="167">
        <f>SUM(CD1056:CH1056)</f>
        <v>2</v>
      </c>
      <c r="CY1056" s="167">
        <f>SUM(CD1056:CM1056)</f>
        <v>2</v>
      </c>
    </row>
    <row r="1057" spans="1:103" ht="12.75" customHeight="1" x14ac:dyDescent="0.2">
      <c r="A1057" s="81">
        <v>6508</v>
      </c>
      <c r="B1057" s="165" t="s">
        <v>1930</v>
      </c>
      <c r="C1057" s="165" t="s">
        <v>1336</v>
      </c>
      <c r="D1057" s="165" t="s">
        <v>876</v>
      </c>
      <c r="E1057" s="165" t="s">
        <v>2789</v>
      </c>
      <c r="F1057" s="165" t="s">
        <v>1337</v>
      </c>
      <c r="G1057" s="81">
        <v>526400</v>
      </c>
      <c r="H1057" s="81">
        <v>175699</v>
      </c>
      <c r="I1057" s="165" t="s">
        <v>257</v>
      </c>
      <c r="L1057" s="166">
        <v>0</v>
      </c>
      <c r="M1057" s="166">
        <v>4</v>
      </c>
      <c r="N1057" s="166">
        <v>4</v>
      </c>
      <c r="O1057" s="166">
        <v>4</v>
      </c>
      <c r="P1057" s="166">
        <v>4</v>
      </c>
      <c r="R1057" s="165" t="s">
        <v>1338</v>
      </c>
      <c r="S1057" s="81" t="s">
        <v>270</v>
      </c>
      <c r="T1057" s="349">
        <v>42551</v>
      </c>
      <c r="U1057" s="349">
        <v>42607</v>
      </c>
      <c r="W1057" s="81" t="s">
        <v>114</v>
      </c>
      <c r="Y1057" s="81" t="s">
        <v>115</v>
      </c>
      <c r="Z1057" s="81" t="s">
        <v>310</v>
      </c>
      <c r="AA1057" s="81" t="s">
        <v>117</v>
      </c>
      <c r="AB1057" s="81" t="s">
        <v>399</v>
      </c>
      <c r="AC1057" s="166">
        <v>2.5000000372528999E-2</v>
      </c>
      <c r="AG1057" s="81" t="s">
        <v>238</v>
      </c>
      <c r="AH1057" s="81" t="s">
        <v>118</v>
      </c>
      <c r="AK1057" s="166">
        <v>0</v>
      </c>
      <c r="AM1057" s="166">
        <v>0</v>
      </c>
      <c r="AO1057" s="166">
        <v>1</v>
      </c>
      <c r="AP1057" s="166">
        <v>2</v>
      </c>
      <c r="AQ1057" s="166">
        <v>0</v>
      </c>
      <c r="AR1057" s="166">
        <v>1</v>
      </c>
      <c r="AS1057" s="166">
        <v>0</v>
      </c>
      <c r="AT1057" s="166">
        <v>0</v>
      </c>
      <c r="AU1057" s="166">
        <v>0</v>
      </c>
      <c r="AV1057" s="166">
        <v>1</v>
      </c>
      <c r="AW1057" s="166">
        <v>2</v>
      </c>
      <c r="AX1057" s="166">
        <v>0</v>
      </c>
      <c r="AY1057" s="166">
        <v>1</v>
      </c>
      <c r="AZ1057" s="166">
        <v>0</v>
      </c>
      <c r="BA1057" s="166">
        <v>0</v>
      </c>
      <c r="BB1057" s="166">
        <v>0</v>
      </c>
      <c r="BC1057" s="166">
        <v>0</v>
      </c>
      <c r="BD1057" s="166">
        <v>0</v>
      </c>
      <c r="BE1057" s="166">
        <v>0</v>
      </c>
      <c r="BF1057" s="166">
        <v>0</v>
      </c>
      <c r="BG1057" s="166">
        <v>0</v>
      </c>
      <c r="BH1057" s="166">
        <v>0</v>
      </c>
      <c r="BI1057" s="166">
        <v>0</v>
      </c>
      <c r="BJ1057" s="166">
        <v>0</v>
      </c>
      <c r="BK1057" s="166">
        <v>0</v>
      </c>
      <c r="BL1057" s="166">
        <v>0</v>
      </c>
      <c r="BM1057" s="166">
        <v>0</v>
      </c>
      <c r="BN1057" s="166">
        <v>0</v>
      </c>
      <c r="BO1057" s="166">
        <v>0</v>
      </c>
      <c r="BP1057" s="166">
        <v>0</v>
      </c>
      <c r="BQ1057" s="81" t="s">
        <v>1757</v>
      </c>
      <c r="BX1057" s="81" t="s">
        <v>155</v>
      </c>
      <c r="BZ1057" s="81" t="s">
        <v>155</v>
      </c>
      <c r="CA1057" s="81" t="s">
        <v>3972</v>
      </c>
      <c r="CC1057" s="167">
        <v>0</v>
      </c>
      <c r="CD1057" s="167">
        <f>$N1057/4</f>
        <v>1</v>
      </c>
      <c r="CE1057" s="167">
        <f>$N1057/4</f>
        <v>1</v>
      </c>
      <c r="CF1057" s="167">
        <f>$N1057/4</f>
        <v>1</v>
      </c>
      <c r="CG1057" s="167">
        <f>$N1057/4</f>
        <v>1</v>
      </c>
      <c r="CH1057" s="167">
        <v>0</v>
      </c>
      <c r="CI1057" s="167">
        <v>0</v>
      </c>
      <c r="CJ1057" s="167">
        <v>0</v>
      </c>
      <c r="CK1057" s="167">
        <v>0</v>
      </c>
      <c r="CL1057" s="167">
        <v>0</v>
      </c>
      <c r="CM1057" s="167">
        <v>0</v>
      </c>
      <c r="CN1057" s="167">
        <v>0</v>
      </c>
      <c r="CO1057" s="167">
        <v>0</v>
      </c>
      <c r="CP1057" s="167">
        <v>0</v>
      </c>
      <c r="CQ1057" s="167">
        <v>0</v>
      </c>
      <c r="CR1057" s="167">
        <v>0</v>
      </c>
      <c r="CS1057" s="167">
        <v>0</v>
      </c>
      <c r="CT1057" s="167">
        <v>0</v>
      </c>
      <c r="CU1057" s="167">
        <v>0</v>
      </c>
      <c r="CV1057" s="167">
        <v>0</v>
      </c>
      <c r="CW1057" s="167">
        <v>0</v>
      </c>
      <c r="CX1057" s="167">
        <f>SUM(CD1057:CH1057)</f>
        <v>4</v>
      </c>
      <c r="CY1057" s="167">
        <f>SUM(CD1057:CM1057)</f>
        <v>4</v>
      </c>
    </row>
    <row r="1058" spans="1:103" ht="12.75" customHeight="1" x14ac:dyDescent="0.2">
      <c r="A1058" s="81">
        <v>6508</v>
      </c>
      <c r="B1058" s="165" t="s">
        <v>1930</v>
      </c>
      <c r="C1058" s="165" t="s">
        <v>1428</v>
      </c>
      <c r="D1058" s="165" t="s">
        <v>876</v>
      </c>
      <c r="E1058" s="165" t="s">
        <v>2789</v>
      </c>
      <c r="F1058" s="165" t="s">
        <v>1429</v>
      </c>
      <c r="G1058" s="81">
        <v>526400</v>
      </c>
      <c r="H1058" s="81">
        <v>175699</v>
      </c>
      <c r="I1058" s="165" t="s">
        <v>257</v>
      </c>
      <c r="L1058" s="166">
        <v>0</v>
      </c>
      <c r="M1058" s="166">
        <v>3</v>
      </c>
      <c r="N1058" s="166">
        <v>3</v>
      </c>
      <c r="O1058" s="166">
        <v>3</v>
      </c>
      <c r="P1058" s="166">
        <v>3</v>
      </c>
      <c r="R1058" s="165" t="s">
        <v>1430</v>
      </c>
      <c r="S1058" s="81" t="s">
        <v>270</v>
      </c>
      <c r="T1058" s="349">
        <v>42643</v>
      </c>
      <c r="U1058" s="349">
        <v>42699</v>
      </c>
      <c r="W1058" s="81" t="s">
        <v>114</v>
      </c>
      <c r="Y1058" s="81" t="s">
        <v>115</v>
      </c>
      <c r="Z1058" s="81" t="s">
        <v>310</v>
      </c>
      <c r="AA1058" s="81" t="s">
        <v>117</v>
      </c>
      <c r="AB1058" s="81" t="s">
        <v>399</v>
      </c>
      <c r="AC1058" s="166">
        <v>2.0999999716877899E-2</v>
      </c>
      <c r="AG1058" s="81" t="s">
        <v>238</v>
      </c>
      <c r="AH1058" s="81" t="s">
        <v>118</v>
      </c>
      <c r="AK1058" s="166">
        <v>0</v>
      </c>
      <c r="AM1058" s="166">
        <v>0</v>
      </c>
      <c r="AO1058" s="166">
        <v>0</v>
      </c>
      <c r="AP1058" s="166">
        <v>2</v>
      </c>
      <c r="AQ1058" s="166">
        <v>1</v>
      </c>
      <c r="AR1058" s="166">
        <v>0</v>
      </c>
      <c r="AS1058" s="166">
        <v>0</v>
      </c>
      <c r="AT1058" s="166">
        <v>0</v>
      </c>
      <c r="AU1058" s="166">
        <v>0</v>
      </c>
      <c r="AV1058" s="166">
        <v>0</v>
      </c>
      <c r="AW1058" s="166">
        <v>2</v>
      </c>
      <c r="AX1058" s="166">
        <v>1</v>
      </c>
      <c r="AY1058" s="166">
        <v>0</v>
      </c>
      <c r="AZ1058" s="166">
        <v>0</v>
      </c>
      <c r="BA1058" s="166">
        <v>0</v>
      </c>
      <c r="BB1058" s="166">
        <v>0</v>
      </c>
      <c r="BC1058" s="166">
        <v>0</v>
      </c>
      <c r="BD1058" s="166">
        <v>0</v>
      </c>
      <c r="BE1058" s="166">
        <v>0</v>
      </c>
      <c r="BF1058" s="166">
        <v>0</v>
      </c>
      <c r="BG1058" s="166">
        <v>0</v>
      </c>
      <c r="BH1058" s="166">
        <v>0</v>
      </c>
      <c r="BI1058" s="166">
        <v>0</v>
      </c>
      <c r="BJ1058" s="166">
        <v>0</v>
      </c>
      <c r="BK1058" s="166">
        <v>0</v>
      </c>
      <c r="BL1058" s="166">
        <v>0</v>
      </c>
      <c r="BM1058" s="166">
        <v>0</v>
      </c>
      <c r="BN1058" s="166">
        <v>0</v>
      </c>
      <c r="BO1058" s="166">
        <v>0</v>
      </c>
      <c r="BP1058" s="166">
        <v>0</v>
      </c>
      <c r="BQ1058" s="81" t="s">
        <v>1757</v>
      </c>
      <c r="BX1058" s="81" t="s">
        <v>155</v>
      </c>
      <c r="BZ1058" s="81" t="s">
        <v>155</v>
      </c>
      <c r="CA1058" s="81" t="s">
        <v>3972</v>
      </c>
      <c r="CC1058" s="167">
        <v>0</v>
      </c>
      <c r="CD1058" s="167">
        <f>$N1058/4</f>
        <v>0.75</v>
      </c>
      <c r="CE1058" s="167">
        <f>$N1058/4</f>
        <v>0.75</v>
      </c>
      <c r="CF1058" s="167">
        <f>$N1058/4</f>
        <v>0.75</v>
      </c>
      <c r="CG1058" s="167">
        <f>$N1058/4</f>
        <v>0.75</v>
      </c>
      <c r="CH1058" s="167">
        <v>0</v>
      </c>
      <c r="CI1058" s="167">
        <v>0</v>
      </c>
      <c r="CJ1058" s="167">
        <v>0</v>
      </c>
      <c r="CK1058" s="167">
        <v>0</v>
      </c>
      <c r="CL1058" s="167">
        <v>0</v>
      </c>
      <c r="CM1058" s="167">
        <v>0</v>
      </c>
      <c r="CN1058" s="167">
        <v>0</v>
      </c>
      <c r="CO1058" s="167">
        <v>0</v>
      </c>
      <c r="CP1058" s="167">
        <v>0</v>
      </c>
      <c r="CQ1058" s="167">
        <v>0</v>
      </c>
      <c r="CR1058" s="167">
        <v>0</v>
      </c>
      <c r="CS1058" s="167">
        <v>0</v>
      </c>
      <c r="CT1058" s="167">
        <v>0</v>
      </c>
      <c r="CU1058" s="167">
        <v>0</v>
      </c>
      <c r="CV1058" s="167">
        <v>0</v>
      </c>
      <c r="CW1058" s="167">
        <v>0</v>
      </c>
      <c r="CX1058" s="167">
        <f>SUM(CD1058:CH1058)</f>
        <v>3</v>
      </c>
      <c r="CY1058" s="167">
        <f>SUM(CD1058:CM1058)</f>
        <v>3</v>
      </c>
    </row>
    <row r="1059" spans="1:103" ht="12.75" customHeight="1" x14ac:dyDescent="0.2">
      <c r="A1059" s="81">
        <v>6509</v>
      </c>
      <c r="B1059" s="165" t="s">
        <v>1930</v>
      </c>
      <c r="C1059" s="165" t="s">
        <v>1292</v>
      </c>
      <c r="D1059" s="165" t="s">
        <v>876</v>
      </c>
      <c r="E1059" s="165" t="s">
        <v>2794</v>
      </c>
      <c r="F1059" s="165" t="s">
        <v>1293</v>
      </c>
      <c r="G1059" s="81">
        <v>526505</v>
      </c>
      <c r="H1059" s="81">
        <v>175773</v>
      </c>
      <c r="I1059" s="165" t="s">
        <v>257</v>
      </c>
      <c r="L1059" s="166">
        <v>0</v>
      </c>
      <c r="M1059" s="166">
        <v>11</v>
      </c>
      <c r="N1059" s="166">
        <v>11</v>
      </c>
      <c r="O1059" s="166">
        <v>13</v>
      </c>
      <c r="P1059" s="166">
        <v>13</v>
      </c>
      <c r="Q1059" s="81" t="s">
        <v>155</v>
      </c>
      <c r="R1059" s="165" t="s">
        <v>1295</v>
      </c>
      <c r="S1059" s="81" t="s">
        <v>270</v>
      </c>
      <c r="T1059" s="349">
        <v>42536</v>
      </c>
      <c r="U1059" s="349">
        <v>42592</v>
      </c>
      <c r="W1059" s="81" t="s">
        <v>114</v>
      </c>
      <c r="Y1059" s="81" t="s">
        <v>115</v>
      </c>
      <c r="Z1059" s="81" t="s">
        <v>310</v>
      </c>
      <c r="AA1059" s="81" t="s">
        <v>117</v>
      </c>
      <c r="AB1059" s="81" t="s">
        <v>399</v>
      </c>
      <c r="AC1059" s="166">
        <v>2.70000007003546E-2</v>
      </c>
      <c r="AG1059" s="81" t="s">
        <v>238</v>
      </c>
      <c r="AH1059" s="81" t="s">
        <v>118</v>
      </c>
      <c r="AK1059" s="166">
        <v>0</v>
      </c>
      <c r="AM1059" s="166">
        <v>0</v>
      </c>
      <c r="AO1059" s="166">
        <v>0</v>
      </c>
      <c r="AP1059" s="166">
        <v>7</v>
      </c>
      <c r="AQ1059" s="166">
        <v>4</v>
      </c>
      <c r="AR1059" s="166">
        <v>0</v>
      </c>
      <c r="AS1059" s="166">
        <v>0</v>
      </c>
      <c r="AT1059" s="166">
        <v>0</v>
      </c>
      <c r="AU1059" s="166">
        <v>0</v>
      </c>
      <c r="AV1059" s="166">
        <v>0</v>
      </c>
      <c r="AW1059" s="166">
        <v>7</v>
      </c>
      <c r="AX1059" s="166">
        <v>4</v>
      </c>
      <c r="AY1059" s="166">
        <v>0</v>
      </c>
      <c r="AZ1059" s="166">
        <v>0</v>
      </c>
      <c r="BA1059" s="166">
        <v>0</v>
      </c>
      <c r="BB1059" s="166">
        <v>0</v>
      </c>
      <c r="BC1059" s="166">
        <v>0</v>
      </c>
      <c r="BD1059" s="166">
        <v>0</v>
      </c>
      <c r="BE1059" s="166">
        <v>0</v>
      </c>
      <c r="BF1059" s="166">
        <v>0</v>
      </c>
      <c r="BG1059" s="166">
        <v>0</v>
      </c>
      <c r="BH1059" s="166">
        <v>0</v>
      </c>
      <c r="BI1059" s="166">
        <v>0</v>
      </c>
      <c r="BJ1059" s="166">
        <v>0</v>
      </c>
      <c r="BK1059" s="166">
        <v>0</v>
      </c>
      <c r="BL1059" s="166">
        <v>0</v>
      </c>
      <c r="BM1059" s="166">
        <v>0</v>
      </c>
      <c r="BN1059" s="166">
        <v>0</v>
      </c>
      <c r="BO1059" s="166">
        <v>0</v>
      </c>
      <c r="BP1059" s="166">
        <v>0</v>
      </c>
      <c r="BQ1059" s="81" t="s">
        <v>1757</v>
      </c>
      <c r="BX1059" s="81" t="s">
        <v>155</v>
      </c>
      <c r="BZ1059" s="81" t="s">
        <v>155</v>
      </c>
      <c r="CA1059" s="81" t="s">
        <v>3972</v>
      </c>
      <c r="CC1059" s="167">
        <v>0</v>
      </c>
      <c r="CD1059" s="167">
        <f>$N1059/4</f>
        <v>2.75</v>
      </c>
      <c r="CE1059" s="167">
        <f>$N1059/4</f>
        <v>2.75</v>
      </c>
      <c r="CF1059" s="167">
        <f>$N1059/4</f>
        <v>2.75</v>
      </c>
      <c r="CG1059" s="167">
        <f>$N1059/4</f>
        <v>2.75</v>
      </c>
      <c r="CH1059" s="167">
        <v>0</v>
      </c>
      <c r="CI1059" s="167">
        <v>0</v>
      </c>
      <c r="CJ1059" s="167">
        <v>0</v>
      </c>
      <c r="CK1059" s="167">
        <v>0</v>
      </c>
      <c r="CL1059" s="167">
        <v>0</v>
      </c>
      <c r="CM1059" s="167">
        <v>0</v>
      </c>
      <c r="CN1059" s="167">
        <v>0</v>
      </c>
      <c r="CO1059" s="167">
        <v>0</v>
      </c>
      <c r="CP1059" s="167">
        <v>0</v>
      </c>
      <c r="CQ1059" s="167">
        <v>0</v>
      </c>
      <c r="CR1059" s="167">
        <v>0</v>
      </c>
      <c r="CS1059" s="167">
        <v>0</v>
      </c>
      <c r="CT1059" s="167">
        <v>0</v>
      </c>
      <c r="CU1059" s="167">
        <v>0</v>
      </c>
      <c r="CV1059" s="167">
        <v>0</v>
      </c>
      <c r="CW1059" s="167">
        <v>0</v>
      </c>
      <c r="CX1059" s="167">
        <f>SUM(CD1059:CH1059)</f>
        <v>11</v>
      </c>
      <c r="CY1059" s="167">
        <f>SUM(CD1059:CM1059)</f>
        <v>11</v>
      </c>
    </row>
    <row r="1060" spans="1:103" ht="12.75" customHeight="1" x14ac:dyDescent="0.2">
      <c r="A1060" s="81">
        <v>6509</v>
      </c>
      <c r="B1060" s="165" t="s">
        <v>1930</v>
      </c>
      <c r="C1060" s="165" t="s">
        <v>1296</v>
      </c>
      <c r="D1060" s="165" t="s">
        <v>876</v>
      </c>
      <c r="E1060" s="165" t="s">
        <v>2794</v>
      </c>
      <c r="F1060" s="165" t="s">
        <v>1297</v>
      </c>
      <c r="G1060" s="81">
        <v>526505</v>
      </c>
      <c r="H1060" s="81">
        <v>175773</v>
      </c>
      <c r="I1060" s="165" t="s">
        <v>257</v>
      </c>
      <c r="L1060" s="166">
        <v>0</v>
      </c>
      <c r="M1060" s="166">
        <v>1</v>
      </c>
      <c r="N1060" s="166">
        <v>1</v>
      </c>
      <c r="O1060" s="166">
        <v>3</v>
      </c>
      <c r="P1060" s="166">
        <v>3</v>
      </c>
      <c r="R1060" s="165" t="s">
        <v>1298</v>
      </c>
      <c r="S1060" s="81" t="s">
        <v>270</v>
      </c>
      <c r="T1060" s="349">
        <v>42536</v>
      </c>
      <c r="U1060" s="349">
        <v>42592</v>
      </c>
      <c r="W1060" s="81" t="s">
        <v>114</v>
      </c>
      <c r="Y1060" s="81" t="s">
        <v>115</v>
      </c>
      <c r="Z1060" s="81" t="s">
        <v>310</v>
      </c>
      <c r="AA1060" s="81" t="s">
        <v>117</v>
      </c>
      <c r="AB1060" s="81" t="s">
        <v>399</v>
      </c>
      <c r="AC1060" s="166">
        <v>0</v>
      </c>
      <c r="AG1060" s="81" t="s">
        <v>238</v>
      </c>
      <c r="AH1060" s="81" t="s">
        <v>118</v>
      </c>
      <c r="AK1060" s="166">
        <v>0</v>
      </c>
      <c r="AM1060" s="166">
        <v>0</v>
      </c>
      <c r="AO1060" s="166">
        <v>0</v>
      </c>
      <c r="AP1060" s="166">
        <v>1</v>
      </c>
      <c r="AQ1060" s="166">
        <v>0</v>
      </c>
      <c r="AR1060" s="166">
        <v>0</v>
      </c>
      <c r="AS1060" s="166">
        <v>0</v>
      </c>
      <c r="AT1060" s="166">
        <v>0</v>
      </c>
      <c r="AU1060" s="166">
        <v>0</v>
      </c>
      <c r="AV1060" s="166">
        <v>0</v>
      </c>
      <c r="AW1060" s="166">
        <v>1</v>
      </c>
      <c r="AX1060" s="166">
        <v>0</v>
      </c>
      <c r="AY1060" s="166">
        <v>0</v>
      </c>
      <c r="AZ1060" s="166">
        <v>0</v>
      </c>
      <c r="BA1060" s="166">
        <v>0</v>
      </c>
      <c r="BB1060" s="166">
        <v>0</v>
      </c>
      <c r="BC1060" s="166">
        <v>0</v>
      </c>
      <c r="BD1060" s="166">
        <v>0</v>
      </c>
      <c r="BE1060" s="166">
        <v>0</v>
      </c>
      <c r="BF1060" s="166">
        <v>0</v>
      </c>
      <c r="BG1060" s="166">
        <v>0</v>
      </c>
      <c r="BH1060" s="166">
        <v>0</v>
      </c>
      <c r="BI1060" s="166">
        <v>0</v>
      </c>
      <c r="BJ1060" s="166">
        <v>0</v>
      </c>
      <c r="BK1060" s="166">
        <v>0</v>
      </c>
      <c r="BL1060" s="166">
        <v>0</v>
      </c>
      <c r="BM1060" s="166">
        <v>0</v>
      </c>
      <c r="BN1060" s="166">
        <v>0</v>
      </c>
      <c r="BO1060" s="166">
        <v>0</v>
      </c>
      <c r="BP1060" s="166">
        <v>0</v>
      </c>
      <c r="BQ1060" s="81" t="s">
        <v>1757</v>
      </c>
      <c r="BX1060" s="81" t="s">
        <v>155</v>
      </c>
      <c r="BZ1060" s="81" t="s">
        <v>155</v>
      </c>
      <c r="CA1060" s="81" t="s">
        <v>3972</v>
      </c>
      <c r="CC1060" s="167">
        <v>0</v>
      </c>
      <c r="CD1060" s="167">
        <f>$N1060/4</f>
        <v>0.25</v>
      </c>
      <c r="CE1060" s="167">
        <f>$N1060/4</f>
        <v>0.25</v>
      </c>
      <c r="CF1060" s="167">
        <f>$N1060/4</f>
        <v>0.25</v>
      </c>
      <c r="CG1060" s="167">
        <f>$N1060/4</f>
        <v>0.25</v>
      </c>
      <c r="CH1060" s="167">
        <v>0</v>
      </c>
      <c r="CI1060" s="167">
        <v>0</v>
      </c>
      <c r="CJ1060" s="167">
        <v>0</v>
      </c>
      <c r="CK1060" s="167">
        <v>0</v>
      </c>
      <c r="CL1060" s="167">
        <v>0</v>
      </c>
      <c r="CM1060" s="167">
        <v>0</v>
      </c>
      <c r="CN1060" s="167">
        <v>0</v>
      </c>
      <c r="CO1060" s="167">
        <v>0</v>
      </c>
      <c r="CP1060" s="167">
        <v>0</v>
      </c>
      <c r="CQ1060" s="167">
        <v>0</v>
      </c>
      <c r="CR1060" s="167">
        <v>0</v>
      </c>
      <c r="CS1060" s="167">
        <v>0</v>
      </c>
      <c r="CT1060" s="167">
        <v>0</v>
      </c>
      <c r="CU1060" s="167">
        <v>0</v>
      </c>
      <c r="CV1060" s="167">
        <v>0</v>
      </c>
      <c r="CW1060" s="167">
        <v>0</v>
      </c>
      <c r="CX1060" s="167">
        <f>SUM(CD1060:CH1060)</f>
        <v>1</v>
      </c>
      <c r="CY1060" s="167">
        <f>SUM(CD1060:CM1060)</f>
        <v>1</v>
      </c>
    </row>
    <row r="1061" spans="1:103" ht="12.75" customHeight="1" x14ac:dyDescent="0.2">
      <c r="A1061" s="81">
        <v>6509</v>
      </c>
      <c r="B1061" s="165" t="s">
        <v>1930</v>
      </c>
      <c r="C1061" s="165" t="s">
        <v>1313</v>
      </c>
      <c r="D1061" s="165" t="s">
        <v>876</v>
      </c>
      <c r="E1061" s="165" t="s">
        <v>2794</v>
      </c>
      <c r="F1061" s="165" t="s">
        <v>1314</v>
      </c>
      <c r="G1061" s="81">
        <v>526505</v>
      </c>
      <c r="H1061" s="81">
        <v>175773</v>
      </c>
      <c r="I1061" s="165" t="s">
        <v>257</v>
      </c>
      <c r="L1061" s="166">
        <v>0</v>
      </c>
      <c r="M1061" s="166">
        <v>4</v>
      </c>
      <c r="N1061" s="166">
        <v>4</v>
      </c>
      <c r="O1061" s="166">
        <v>4</v>
      </c>
      <c r="P1061" s="166">
        <v>4</v>
      </c>
      <c r="R1061" s="165" t="s">
        <v>1315</v>
      </c>
      <c r="S1061" s="81" t="s">
        <v>270</v>
      </c>
      <c r="T1061" s="349">
        <v>42548</v>
      </c>
      <c r="U1061" s="349">
        <v>42604</v>
      </c>
      <c r="W1061" s="81" t="s">
        <v>114</v>
      </c>
      <c r="Y1061" s="81" t="s">
        <v>115</v>
      </c>
      <c r="Z1061" s="81" t="s">
        <v>310</v>
      </c>
      <c r="AA1061" s="81" t="s">
        <v>117</v>
      </c>
      <c r="AB1061" s="81" t="s">
        <v>399</v>
      </c>
      <c r="AC1061" s="166">
        <v>1.4000000432133701E-2</v>
      </c>
      <c r="AG1061" s="81" t="s">
        <v>238</v>
      </c>
      <c r="AH1061" s="81" t="s">
        <v>118</v>
      </c>
      <c r="AK1061" s="166">
        <v>0</v>
      </c>
      <c r="AM1061" s="166">
        <v>0</v>
      </c>
      <c r="AO1061" s="166">
        <v>0</v>
      </c>
      <c r="AP1061" s="166">
        <v>4</v>
      </c>
      <c r="AQ1061" s="166">
        <v>0</v>
      </c>
      <c r="AR1061" s="166">
        <v>0</v>
      </c>
      <c r="AS1061" s="166">
        <v>0</v>
      </c>
      <c r="AT1061" s="166">
        <v>0</v>
      </c>
      <c r="AU1061" s="166">
        <v>0</v>
      </c>
      <c r="AV1061" s="166">
        <v>0</v>
      </c>
      <c r="AW1061" s="166">
        <v>4</v>
      </c>
      <c r="AX1061" s="166">
        <v>0</v>
      </c>
      <c r="AY1061" s="166">
        <v>0</v>
      </c>
      <c r="AZ1061" s="166">
        <v>0</v>
      </c>
      <c r="BA1061" s="166">
        <v>0</v>
      </c>
      <c r="BB1061" s="166">
        <v>0</v>
      </c>
      <c r="BC1061" s="166">
        <v>0</v>
      </c>
      <c r="BD1061" s="166">
        <v>0</v>
      </c>
      <c r="BE1061" s="166">
        <v>0</v>
      </c>
      <c r="BF1061" s="166">
        <v>0</v>
      </c>
      <c r="BG1061" s="166">
        <v>0</v>
      </c>
      <c r="BH1061" s="166">
        <v>0</v>
      </c>
      <c r="BI1061" s="166">
        <v>0</v>
      </c>
      <c r="BJ1061" s="166">
        <v>0</v>
      </c>
      <c r="BK1061" s="166">
        <v>0</v>
      </c>
      <c r="BL1061" s="166">
        <v>0</v>
      </c>
      <c r="BM1061" s="166">
        <v>0</v>
      </c>
      <c r="BN1061" s="166">
        <v>0</v>
      </c>
      <c r="BO1061" s="166">
        <v>0</v>
      </c>
      <c r="BP1061" s="166">
        <v>0</v>
      </c>
      <c r="BQ1061" s="81" t="s">
        <v>1757</v>
      </c>
      <c r="BX1061" s="81" t="s">
        <v>155</v>
      </c>
      <c r="BZ1061" s="81" t="s">
        <v>155</v>
      </c>
      <c r="CA1061" s="81" t="s">
        <v>3972</v>
      </c>
      <c r="CC1061" s="167">
        <v>0</v>
      </c>
      <c r="CD1061" s="167">
        <f>$N1061/4</f>
        <v>1</v>
      </c>
      <c r="CE1061" s="167">
        <f>$N1061/4</f>
        <v>1</v>
      </c>
      <c r="CF1061" s="167">
        <f>$N1061/4</f>
        <v>1</v>
      </c>
      <c r="CG1061" s="167">
        <f>$N1061/4</f>
        <v>1</v>
      </c>
      <c r="CH1061" s="167">
        <v>0</v>
      </c>
      <c r="CI1061" s="167">
        <v>0</v>
      </c>
      <c r="CJ1061" s="167">
        <v>0</v>
      </c>
      <c r="CK1061" s="167">
        <v>0</v>
      </c>
      <c r="CL1061" s="167">
        <v>0</v>
      </c>
      <c r="CM1061" s="167">
        <v>0</v>
      </c>
      <c r="CN1061" s="167">
        <v>0</v>
      </c>
      <c r="CO1061" s="167">
        <v>0</v>
      </c>
      <c r="CP1061" s="167">
        <v>0</v>
      </c>
      <c r="CQ1061" s="167">
        <v>0</v>
      </c>
      <c r="CR1061" s="167">
        <v>0</v>
      </c>
      <c r="CS1061" s="167">
        <v>0</v>
      </c>
      <c r="CT1061" s="167">
        <v>0</v>
      </c>
      <c r="CU1061" s="167">
        <v>0</v>
      </c>
      <c r="CV1061" s="167">
        <v>0</v>
      </c>
      <c r="CW1061" s="167">
        <v>0</v>
      </c>
      <c r="CX1061" s="167">
        <f>SUM(CD1061:CH1061)</f>
        <v>4</v>
      </c>
      <c r="CY1061" s="167">
        <f>SUM(CD1061:CM1061)</f>
        <v>4</v>
      </c>
    </row>
    <row r="1062" spans="1:103" ht="12.75" customHeight="1" x14ac:dyDescent="0.2">
      <c r="A1062" s="81">
        <v>6513</v>
      </c>
      <c r="B1062" s="165" t="s">
        <v>1930</v>
      </c>
      <c r="C1062" s="165" t="s">
        <v>500</v>
      </c>
      <c r="E1062" s="165" t="s">
        <v>2162</v>
      </c>
      <c r="G1062" s="81">
        <v>526622</v>
      </c>
      <c r="H1062" s="81">
        <v>176212</v>
      </c>
      <c r="I1062" s="165" t="s">
        <v>257</v>
      </c>
      <c r="J1062" s="349"/>
      <c r="K1062" s="349"/>
      <c r="L1062" s="166">
        <v>0</v>
      </c>
      <c r="M1062" s="166">
        <v>1</v>
      </c>
      <c r="N1062" s="166">
        <v>1</v>
      </c>
      <c r="O1062" s="166">
        <v>1</v>
      </c>
      <c r="P1062" s="166">
        <v>1</v>
      </c>
      <c r="R1062" s="165" t="s">
        <v>501</v>
      </c>
      <c r="S1062" s="81" t="s">
        <v>296</v>
      </c>
      <c r="T1062" s="349">
        <v>42052</v>
      </c>
      <c r="U1062" s="349">
        <v>42209</v>
      </c>
      <c r="W1062" s="81" t="s">
        <v>297</v>
      </c>
      <c r="X1062" s="349">
        <v>42516</v>
      </c>
      <c r="Y1062" s="81" t="s">
        <v>115</v>
      </c>
      <c r="Z1062" s="81" t="s">
        <v>116</v>
      </c>
      <c r="AA1062" s="81" t="s">
        <v>117</v>
      </c>
      <c r="AB1062" s="81" t="s">
        <v>218</v>
      </c>
      <c r="AC1062" s="166">
        <v>2.4000000208616298E-2</v>
      </c>
      <c r="AD1062" s="349"/>
      <c r="AF1062" s="349"/>
      <c r="AG1062" s="81" t="s">
        <v>238</v>
      </c>
      <c r="AH1062" s="81" t="s">
        <v>118</v>
      </c>
      <c r="AK1062" s="166">
        <v>1</v>
      </c>
      <c r="AM1062" s="166">
        <v>0</v>
      </c>
      <c r="AO1062" s="166">
        <v>0</v>
      </c>
      <c r="AP1062" s="166">
        <v>0</v>
      </c>
      <c r="AQ1062" s="166">
        <v>0</v>
      </c>
      <c r="AR1062" s="166">
        <v>1</v>
      </c>
      <c r="AS1062" s="166">
        <v>0</v>
      </c>
      <c r="AT1062" s="166">
        <v>0</v>
      </c>
      <c r="AU1062" s="166">
        <v>0</v>
      </c>
      <c r="AV1062" s="166">
        <v>0</v>
      </c>
      <c r="AW1062" s="166">
        <v>0</v>
      </c>
      <c r="AX1062" s="166">
        <v>0</v>
      </c>
      <c r="AY1062" s="166">
        <v>0</v>
      </c>
      <c r="AZ1062" s="166">
        <v>0</v>
      </c>
      <c r="BA1062" s="166">
        <v>0</v>
      </c>
      <c r="BB1062" s="166">
        <v>0</v>
      </c>
      <c r="BC1062" s="166">
        <v>0</v>
      </c>
      <c r="BD1062" s="166">
        <v>0</v>
      </c>
      <c r="BE1062" s="166">
        <v>0</v>
      </c>
      <c r="BF1062" s="166">
        <v>1</v>
      </c>
      <c r="BG1062" s="166">
        <v>0</v>
      </c>
      <c r="BH1062" s="166">
        <v>0</v>
      </c>
      <c r="BI1062" s="166">
        <v>0</v>
      </c>
      <c r="BJ1062" s="166">
        <v>0</v>
      </c>
      <c r="BK1062" s="166">
        <v>0</v>
      </c>
      <c r="BL1062" s="166">
        <v>0</v>
      </c>
      <c r="BM1062" s="166">
        <v>0</v>
      </c>
      <c r="BN1062" s="166">
        <v>0</v>
      </c>
      <c r="BO1062" s="166">
        <v>0</v>
      </c>
      <c r="BP1062" s="166">
        <v>0</v>
      </c>
      <c r="BQ1062" s="81" t="s">
        <v>1757</v>
      </c>
      <c r="BX1062" s="81" t="s">
        <v>155</v>
      </c>
      <c r="BZ1062" s="81" t="s">
        <v>155</v>
      </c>
      <c r="CA1062" s="81">
        <v>4</v>
      </c>
      <c r="CC1062" s="167">
        <v>0</v>
      </c>
      <c r="CD1062" s="167">
        <v>0</v>
      </c>
      <c r="CE1062" s="167">
        <f>$N1062/4</f>
        <v>0.25</v>
      </c>
      <c r="CF1062" s="167">
        <f>$N1062/4</f>
        <v>0.25</v>
      </c>
      <c r="CG1062" s="167">
        <f>$N1062/4</f>
        <v>0.25</v>
      </c>
      <c r="CH1062" s="167">
        <f>$N1062/4</f>
        <v>0.25</v>
      </c>
      <c r="CI1062" s="167">
        <v>0</v>
      </c>
      <c r="CJ1062" s="167">
        <v>0</v>
      </c>
      <c r="CK1062" s="167">
        <v>0</v>
      </c>
      <c r="CL1062" s="167">
        <v>0</v>
      </c>
      <c r="CM1062" s="167">
        <v>0</v>
      </c>
      <c r="CN1062" s="167">
        <v>0</v>
      </c>
      <c r="CO1062" s="167">
        <v>0</v>
      </c>
      <c r="CP1062" s="167">
        <v>0</v>
      </c>
      <c r="CQ1062" s="167">
        <v>0</v>
      </c>
      <c r="CR1062" s="167">
        <v>0</v>
      </c>
      <c r="CS1062" s="167">
        <v>0</v>
      </c>
      <c r="CT1062" s="167">
        <v>0</v>
      </c>
      <c r="CU1062" s="167">
        <v>0</v>
      </c>
      <c r="CV1062" s="167">
        <v>0</v>
      </c>
      <c r="CW1062" s="167">
        <v>0</v>
      </c>
      <c r="CX1062" s="167">
        <f>SUM(CD1062:CH1062)</f>
        <v>1</v>
      </c>
      <c r="CY1062" s="167">
        <f>SUM(CD1062:CM1062)</f>
        <v>1</v>
      </c>
    </row>
    <row r="1063" spans="1:103" ht="12.75" customHeight="1" x14ac:dyDescent="0.2">
      <c r="A1063" s="81">
        <v>6516</v>
      </c>
      <c r="B1063" s="165" t="s">
        <v>1930</v>
      </c>
      <c r="C1063" s="165" t="s">
        <v>1621</v>
      </c>
      <c r="E1063" s="165" t="s">
        <v>2792</v>
      </c>
      <c r="G1063" s="81">
        <v>529436</v>
      </c>
      <c r="H1063" s="81">
        <v>171443</v>
      </c>
      <c r="I1063" s="165" t="s">
        <v>252</v>
      </c>
      <c r="L1063" s="166">
        <v>0</v>
      </c>
      <c r="M1063" s="166">
        <v>3</v>
      </c>
      <c r="N1063" s="166">
        <v>3</v>
      </c>
      <c r="O1063" s="166">
        <v>3</v>
      </c>
      <c r="P1063" s="166">
        <v>3</v>
      </c>
      <c r="R1063" s="165" t="s">
        <v>1622</v>
      </c>
      <c r="S1063" s="81" t="s">
        <v>113</v>
      </c>
      <c r="T1063" s="349">
        <v>42772</v>
      </c>
      <c r="U1063" s="349">
        <v>42828</v>
      </c>
      <c r="V1063" s="81" t="s">
        <v>155</v>
      </c>
      <c r="W1063" s="81" t="s">
        <v>114</v>
      </c>
      <c r="Y1063" s="81" t="s">
        <v>115</v>
      </c>
      <c r="Z1063" s="81" t="s">
        <v>116</v>
      </c>
      <c r="AA1063" s="81" t="s">
        <v>117</v>
      </c>
      <c r="AB1063" s="81" t="s">
        <v>218</v>
      </c>
      <c r="AC1063" s="166">
        <v>6.0000000521540598E-3</v>
      </c>
      <c r="AG1063" s="81" t="s">
        <v>154</v>
      </c>
      <c r="AH1063" s="81" t="s">
        <v>38</v>
      </c>
      <c r="AK1063" s="166">
        <v>3</v>
      </c>
      <c r="AM1063" s="166">
        <v>0</v>
      </c>
      <c r="AO1063" s="166">
        <v>0</v>
      </c>
      <c r="AP1063" s="166">
        <v>1</v>
      </c>
      <c r="AQ1063" s="166">
        <v>2</v>
      </c>
      <c r="AR1063" s="166">
        <v>0</v>
      </c>
      <c r="AS1063" s="166">
        <v>0</v>
      </c>
      <c r="AT1063" s="166">
        <v>0</v>
      </c>
      <c r="AU1063" s="166">
        <v>0</v>
      </c>
      <c r="AV1063" s="166">
        <v>0</v>
      </c>
      <c r="AW1063" s="166">
        <v>1</v>
      </c>
      <c r="AX1063" s="166">
        <v>2</v>
      </c>
      <c r="AY1063" s="166">
        <v>0</v>
      </c>
      <c r="AZ1063" s="166">
        <v>0</v>
      </c>
      <c r="BA1063" s="166">
        <v>0</v>
      </c>
      <c r="BB1063" s="166">
        <v>0</v>
      </c>
      <c r="BC1063" s="166">
        <v>0</v>
      </c>
      <c r="BD1063" s="166">
        <v>0</v>
      </c>
      <c r="BE1063" s="166">
        <v>0</v>
      </c>
      <c r="BF1063" s="166">
        <v>0</v>
      </c>
      <c r="BG1063" s="166">
        <v>0</v>
      </c>
      <c r="BH1063" s="166">
        <v>0</v>
      </c>
      <c r="BI1063" s="166">
        <v>0</v>
      </c>
      <c r="BJ1063" s="166">
        <v>0</v>
      </c>
      <c r="BK1063" s="166">
        <v>0</v>
      </c>
      <c r="BL1063" s="166">
        <v>0</v>
      </c>
      <c r="BM1063" s="166">
        <v>0</v>
      </c>
      <c r="BN1063" s="166">
        <v>0</v>
      </c>
      <c r="BO1063" s="166">
        <v>0</v>
      </c>
      <c r="BP1063" s="166">
        <v>0</v>
      </c>
      <c r="BQ1063" s="81" t="s">
        <v>1757</v>
      </c>
      <c r="BZ1063" s="81" t="s">
        <v>155</v>
      </c>
      <c r="CA1063" s="81">
        <v>4</v>
      </c>
      <c r="CC1063" s="167">
        <v>0</v>
      </c>
      <c r="CD1063" s="167">
        <v>0</v>
      </c>
      <c r="CE1063" s="167">
        <f>$N1063/4</f>
        <v>0.75</v>
      </c>
      <c r="CF1063" s="167">
        <f>$N1063/4</f>
        <v>0.75</v>
      </c>
      <c r="CG1063" s="167">
        <f>$N1063/4</f>
        <v>0.75</v>
      </c>
      <c r="CH1063" s="167">
        <f>$N1063/4</f>
        <v>0.75</v>
      </c>
      <c r="CI1063" s="167">
        <v>0</v>
      </c>
      <c r="CJ1063" s="167">
        <v>0</v>
      </c>
      <c r="CK1063" s="167">
        <v>0</v>
      </c>
      <c r="CL1063" s="167">
        <v>0</v>
      </c>
      <c r="CM1063" s="167">
        <v>0</v>
      </c>
      <c r="CN1063" s="167">
        <v>0</v>
      </c>
      <c r="CO1063" s="167">
        <v>0</v>
      </c>
      <c r="CP1063" s="167">
        <v>0</v>
      </c>
      <c r="CQ1063" s="167">
        <v>0</v>
      </c>
      <c r="CR1063" s="167">
        <v>0</v>
      </c>
      <c r="CS1063" s="167">
        <v>0</v>
      </c>
      <c r="CT1063" s="167">
        <v>0</v>
      </c>
      <c r="CU1063" s="167">
        <v>0</v>
      </c>
      <c r="CV1063" s="167">
        <v>0</v>
      </c>
      <c r="CW1063" s="167">
        <v>0</v>
      </c>
      <c r="CX1063" s="167">
        <f>SUM(CD1063:CH1063)</f>
        <v>3</v>
      </c>
      <c r="CY1063" s="167">
        <f>SUM(CD1063:CM1063)</f>
        <v>3</v>
      </c>
    </row>
    <row r="1064" spans="1:103" ht="12.75" customHeight="1" x14ac:dyDescent="0.2">
      <c r="A1064" s="81">
        <v>6518</v>
      </c>
      <c r="B1064" s="165" t="s">
        <v>1930</v>
      </c>
      <c r="C1064" s="165" t="s">
        <v>1629</v>
      </c>
      <c r="E1064" s="165" t="s">
        <v>2793</v>
      </c>
      <c r="G1064" s="81">
        <v>528325</v>
      </c>
      <c r="H1064" s="81">
        <v>173875</v>
      </c>
      <c r="I1064" s="165" t="s">
        <v>247</v>
      </c>
      <c r="L1064" s="166">
        <v>0</v>
      </c>
      <c r="M1064" s="166">
        <v>2</v>
      </c>
      <c r="N1064" s="166">
        <v>2</v>
      </c>
      <c r="O1064" s="166">
        <v>3</v>
      </c>
      <c r="P1064" s="166">
        <v>2</v>
      </c>
      <c r="R1064" s="165" t="s">
        <v>1630</v>
      </c>
      <c r="S1064" s="81" t="s">
        <v>113</v>
      </c>
      <c r="T1064" s="349">
        <v>42779</v>
      </c>
      <c r="U1064" s="349">
        <v>42919</v>
      </c>
      <c r="V1064" s="81" t="s">
        <v>155</v>
      </c>
      <c r="W1064" s="81" t="s">
        <v>114</v>
      </c>
      <c r="Y1064" s="81" t="s">
        <v>115</v>
      </c>
      <c r="Z1064" s="81" t="s">
        <v>219</v>
      </c>
      <c r="AA1064" s="81" t="s">
        <v>117</v>
      </c>
      <c r="AB1064" s="81" t="s">
        <v>3889</v>
      </c>
      <c r="AC1064" s="166">
        <v>2.60000005364418E-2</v>
      </c>
      <c r="AG1064" s="81" t="s">
        <v>238</v>
      </c>
      <c r="AH1064" s="81" t="s">
        <v>118</v>
      </c>
      <c r="AK1064" s="166">
        <v>0</v>
      </c>
      <c r="AM1064" s="166">
        <v>0</v>
      </c>
      <c r="AO1064" s="166">
        <v>0</v>
      </c>
      <c r="AP1064" s="166">
        <v>1</v>
      </c>
      <c r="AQ1064" s="166">
        <v>1</v>
      </c>
      <c r="AR1064" s="166">
        <v>0</v>
      </c>
      <c r="AS1064" s="166">
        <v>0</v>
      </c>
      <c r="AT1064" s="166">
        <v>0</v>
      </c>
      <c r="AU1064" s="166">
        <v>0</v>
      </c>
      <c r="AV1064" s="166">
        <v>0</v>
      </c>
      <c r="AW1064" s="166">
        <v>1</v>
      </c>
      <c r="AX1064" s="166">
        <v>1</v>
      </c>
      <c r="AY1064" s="166">
        <v>0</v>
      </c>
      <c r="AZ1064" s="166">
        <v>0</v>
      </c>
      <c r="BA1064" s="166">
        <v>0</v>
      </c>
      <c r="BB1064" s="166">
        <v>0</v>
      </c>
      <c r="BC1064" s="166">
        <v>0</v>
      </c>
      <c r="BD1064" s="166">
        <v>0</v>
      </c>
      <c r="BE1064" s="166">
        <v>0</v>
      </c>
      <c r="BF1064" s="166">
        <v>0</v>
      </c>
      <c r="BG1064" s="166">
        <v>0</v>
      </c>
      <c r="BH1064" s="166">
        <v>0</v>
      </c>
      <c r="BI1064" s="166">
        <v>0</v>
      </c>
      <c r="BJ1064" s="166">
        <v>0</v>
      </c>
      <c r="BK1064" s="166">
        <v>0</v>
      </c>
      <c r="BL1064" s="166">
        <v>0</v>
      </c>
      <c r="BM1064" s="166">
        <v>0</v>
      </c>
      <c r="BN1064" s="166">
        <v>0</v>
      </c>
      <c r="BO1064" s="166">
        <v>0</v>
      </c>
      <c r="BP1064" s="166">
        <v>0</v>
      </c>
      <c r="BQ1064" s="81" t="s">
        <v>1757</v>
      </c>
      <c r="BZ1064" s="81" t="s">
        <v>155</v>
      </c>
      <c r="CA1064" s="81" t="s">
        <v>1937</v>
      </c>
      <c r="CC1064" s="167">
        <v>0</v>
      </c>
      <c r="CD1064" s="167">
        <f>$N1064/4</f>
        <v>0.5</v>
      </c>
      <c r="CE1064" s="167">
        <f>$N1064/4</f>
        <v>0.5</v>
      </c>
      <c r="CF1064" s="167">
        <f>$N1064/4</f>
        <v>0.5</v>
      </c>
      <c r="CG1064" s="167">
        <f>$N1064/4</f>
        <v>0.5</v>
      </c>
      <c r="CH1064" s="167">
        <v>0</v>
      </c>
      <c r="CI1064" s="167">
        <v>0</v>
      </c>
      <c r="CJ1064" s="167">
        <v>0</v>
      </c>
      <c r="CK1064" s="167">
        <v>0</v>
      </c>
      <c r="CL1064" s="167">
        <v>0</v>
      </c>
      <c r="CM1064" s="167">
        <v>0</v>
      </c>
      <c r="CN1064" s="167">
        <v>0</v>
      </c>
      <c r="CO1064" s="167">
        <v>0</v>
      </c>
      <c r="CP1064" s="167">
        <v>0</v>
      </c>
      <c r="CQ1064" s="167">
        <v>0</v>
      </c>
      <c r="CR1064" s="167">
        <v>0</v>
      </c>
      <c r="CS1064" s="167">
        <v>0</v>
      </c>
      <c r="CT1064" s="167">
        <v>0</v>
      </c>
      <c r="CU1064" s="167">
        <v>0</v>
      </c>
      <c r="CV1064" s="167">
        <v>0</v>
      </c>
      <c r="CW1064" s="167">
        <v>0</v>
      </c>
      <c r="CX1064" s="167">
        <f>SUM(CD1064:CH1064)</f>
        <v>2</v>
      </c>
      <c r="CY1064" s="167">
        <f>SUM(CD1064:CM1064)</f>
        <v>2</v>
      </c>
    </row>
    <row r="1065" spans="1:103" ht="12.75" customHeight="1" x14ac:dyDescent="0.2">
      <c r="A1065" s="81">
        <v>6518</v>
      </c>
      <c r="B1065" s="165" t="s">
        <v>1930</v>
      </c>
      <c r="C1065" s="165" t="s">
        <v>1629</v>
      </c>
      <c r="E1065" s="165" t="s">
        <v>2793</v>
      </c>
      <c r="G1065" s="81">
        <v>528325</v>
      </c>
      <c r="H1065" s="81">
        <v>173875</v>
      </c>
      <c r="I1065" s="165" t="s">
        <v>247</v>
      </c>
      <c r="L1065" s="166">
        <v>1</v>
      </c>
      <c r="M1065" s="166">
        <v>1</v>
      </c>
      <c r="N1065" s="166">
        <v>0</v>
      </c>
      <c r="O1065" s="166">
        <v>3</v>
      </c>
      <c r="P1065" s="166">
        <v>2</v>
      </c>
      <c r="R1065" s="165" t="s">
        <v>1630</v>
      </c>
      <c r="S1065" s="81" t="s">
        <v>113</v>
      </c>
      <c r="T1065" s="349">
        <v>42779</v>
      </c>
      <c r="U1065" s="349">
        <v>42919</v>
      </c>
      <c r="V1065" s="81" t="s">
        <v>155</v>
      </c>
      <c r="W1065" s="81" t="s">
        <v>114</v>
      </c>
      <c r="Y1065" s="81" t="s">
        <v>115</v>
      </c>
      <c r="Z1065" s="81" t="s">
        <v>219</v>
      </c>
      <c r="AA1065" s="81" t="s">
        <v>117</v>
      </c>
      <c r="AB1065" s="81" t="s">
        <v>300</v>
      </c>
      <c r="AC1065" s="166">
        <v>1.30000002682209E-2</v>
      </c>
      <c r="AG1065" s="81" t="s">
        <v>238</v>
      </c>
      <c r="AH1065" s="81" t="s">
        <v>118</v>
      </c>
      <c r="AK1065" s="166">
        <v>0</v>
      </c>
      <c r="AM1065" s="166">
        <v>0</v>
      </c>
      <c r="AO1065" s="166">
        <v>0</v>
      </c>
      <c r="AP1065" s="166">
        <v>1</v>
      </c>
      <c r="AQ1065" s="166">
        <v>-1</v>
      </c>
      <c r="AR1065" s="166">
        <v>0</v>
      </c>
      <c r="AS1065" s="166">
        <v>0</v>
      </c>
      <c r="AT1065" s="166">
        <v>0</v>
      </c>
      <c r="AU1065" s="166">
        <v>0</v>
      </c>
      <c r="AV1065" s="166">
        <v>0</v>
      </c>
      <c r="AW1065" s="166">
        <v>1</v>
      </c>
      <c r="AX1065" s="166">
        <v>-1</v>
      </c>
      <c r="AY1065" s="166">
        <v>0</v>
      </c>
      <c r="AZ1065" s="166">
        <v>0</v>
      </c>
      <c r="BA1065" s="166">
        <v>0</v>
      </c>
      <c r="BB1065" s="166">
        <v>0</v>
      </c>
      <c r="BC1065" s="166">
        <v>0</v>
      </c>
      <c r="BD1065" s="166">
        <v>0</v>
      </c>
      <c r="BE1065" s="166">
        <v>0</v>
      </c>
      <c r="BF1065" s="166">
        <v>0</v>
      </c>
      <c r="BG1065" s="166">
        <v>0</v>
      </c>
      <c r="BH1065" s="166">
        <v>0</v>
      </c>
      <c r="BI1065" s="166">
        <v>0</v>
      </c>
      <c r="BJ1065" s="166">
        <v>0</v>
      </c>
      <c r="BK1065" s="166">
        <v>0</v>
      </c>
      <c r="BL1065" s="166">
        <v>0</v>
      </c>
      <c r="BM1065" s="166">
        <v>0</v>
      </c>
      <c r="BN1065" s="166">
        <v>0</v>
      </c>
      <c r="BO1065" s="166">
        <v>0</v>
      </c>
      <c r="BP1065" s="166">
        <v>0</v>
      </c>
      <c r="BQ1065" s="81" t="s">
        <v>1757</v>
      </c>
      <c r="BZ1065" s="81" t="s">
        <v>155</v>
      </c>
      <c r="CA1065" s="81" t="s">
        <v>1937</v>
      </c>
      <c r="CC1065" s="167">
        <v>0</v>
      </c>
      <c r="CD1065" s="167">
        <f>$N1065/4</f>
        <v>0</v>
      </c>
      <c r="CE1065" s="167">
        <f>$N1065/4</f>
        <v>0</v>
      </c>
      <c r="CF1065" s="167">
        <f>$N1065/4</f>
        <v>0</v>
      </c>
      <c r="CG1065" s="167">
        <f>$N1065/4</f>
        <v>0</v>
      </c>
      <c r="CH1065" s="167">
        <v>0</v>
      </c>
      <c r="CI1065" s="167">
        <v>0</v>
      </c>
      <c r="CJ1065" s="167">
        <v>0</v>
      </c>
      <c r="CK1065" s="167">
        <v>0</v>
      </c>
      <c r="CL1065" s="167">
        <v>0</v>
      </c>
      <c r="CM1065" s="167">
        <v>0</v>
      </c>
      <c r="CN1065" s="167">
        <v>0</v>
      </c>
      <c r="CO1065" s="167">
        <v>0</v>
      </c>
      <c r="CP1065" s="167">
        <v>0</v>
      </c>
      <c r="CQ1065" s="167">
        <v>0</v>
      </c>
      <c r="CR1065" s="167">
        <v>0</v>
      </c>
      <c r="CS1065" s="167">
        <v>0</v>
      </c>
      <c r="CT1065" s="167">
        <v>0</v>
      </c>
      <c r="CU1065" s="167">
        <v>0</v>
      </c>
      <c r="CV1065" s="167">
        <v>0</v>
      </c>
      <c r="CW1065" s="167">
        <v>0</v>
      </c>
      <c r="CX1065" s="167">
        <f>SUM(CD1065:CH1065)</f>
        <v>0</v>
      </c>
      <c r="CY1065" s="167">
        <f>SUM(CD1065:CM1065)</f>
        <v>0</v>
      </c>
    </row>
    <row r="1066" spans="1:103" ht="12.75" customHeight="1" x14ac:dyDescent="0.2">
      <c r="A1066" s="81">
        <v>6519</v>
      </c>
      <c r="B1066" s="165" t="s">
        <v>1930</v>
      </c>
      <c r="C1066" s="165" t="s">
        <v>1574</v>
      </c>
      <c r="E1066" s="165" t="s">
        <v>2810</v>
      </c>
      <c r="G1066" s="81">
        <v>528096</v>
      </c>
      <c r="H1066" s="81">
        <v>173420</v>
      </c>
      <c r="I1066" s="165" t="s">
        <v>254</v>
      </c>
      <c r="L1066" s="166">
        <v>1</v>
      </c>
      <c r="M1066" s="166">
        <v>1</v>
      </c>
      <c r="N1066" s="166">
        <v>0</v>
      </c>
      <c r="O1066" s="166">
        <v>1</v>
      </c>
      <c r="P1066" s="166">
        <v>0</v>
      </c>
      <c r="R1066" s="165" t="s">
        <v>1575</v>
      </c>
      <c r="S1066" s="81" t="s">
        <v>113</v>
      </c>
      <c r="T1066" s="349">
        <v>42803</v>
      </c>
      <c r="U1066" s="349">
        <v>42969</v>
      </c>
      <c r="V1066" s="81" t="s">
        <v>155</v>
      </c>
      <c r="W1066" s="81" t="s">
        <v>114</v>
      </c>
      <c r="Y1066" s="81" t="s">
        <v>115</v>
      </c>
      <c r="Z1066" s="81" t="s">
        <v>310</v>
      </c>
      <c r="AA1066" s="81" t="s">
        <v>117</v>
      </c>
      <c r="AB1066" s="81" t="s">
        <v>399</v>
      </c>
      <c r="AC1066" s="166">
        <v>1.43999997526407E-2</v>
      </c>
      <c r="AG1066" s="81" t="s">
        <v>238</v>
      </c>
      <c r="AH1066" s="81" t="s">
        <v>118</v>
      </c>
      <c r="AK1066" s="166">
        <v>0</v>
      </c>
      <c r="AM1066" s="166">
        <v>0</v>
      </c>
      <c r="AO1066" s="166">
        <v>0</v>
      </c>
      <c r="AP1066" s="166">
        <v>0</v>
      </c>
      <c r="AQ1066" s="166">
        <v>0</v>
      </c>
      <c r="AR1066" s="166">
        <v>0</v>
      </c>
      <c r="AS1066" s="166">
        <v>0</v>
      </c>
      <c r="AT1066" s="166">
        <v>0</v>
      </c>
      <c r="AU1066" s="166">
        <v>0</v>
      </c>
      <c r="AV1066" s="166">
        <v>0</v>
      </c>
      <c r="AW1066" s="166">
        <v>0</v>
      </c>
      <c r="AX1066" s="166">
        <v>0</v>
      </c>
      <c r="AY1066" s="166">
        <v>1</v>
      </c>
      <c r="AZ1066" s="166">
        <v>0</v>
      </c>
      <c r="BA1066" s="166">
        <v>0</v>
      </c>
      <c r="BB1066" s="166">
        <v>0</v>
      </c>
      <c r="BC1066" s="166">
        <v>0</v>
      </c>
      <c r="BD1066" s="166">
        <v>0</v>
      </c>
      <c r="BE1066" s="166">
        <v>0</v>
      </c>
      <c r="BF1066" s="166">
        <v>0</v>
      </c>
      <c r="BG1066" s="166">
        <v>0</v>
      </c>
      <c r="BH1066" s="166">
        <v>0</v>
      </c>
      <c r="BI1066" s="166">
        <v>0</v>
      </c>
      <c r="BJ1066" s="166">
        <v>0</v>
      </c>
      <c r="BK1066" s="166">
        <v>0</v>
      </c>
      <c r="BL1066" s="166">
        <v>0</v>
      </c>
      <c r="BM1066" s="166">
        <v>-1</v>
      </c>
      <c r="BN1066" s="166">
        <v>0</v>
      </c>
      <c r="BO1066" s="166">
        <v>0</v>
      </c>
      <c r="BP1066" s="166">
        <v>0</v>
      </c>
      <c r="BQ1066" s="81" t="s">
        <v>1757</v>
      </c>
      <c r="BZ1066" s="81" t="s">
        <v>155</v>
      </c>
      <c r="CA1066" s="81" t="s">
        <v>1937</v>
      </c>
      <c r="CC1066" s="167">
        <v>0</v>
      </c>
      <c r="CD1066" s="167">
        <f>$N1066/4</f>
        <v>0</v>
      </c>
      <c r="CE1066" s="167">
        <f>$N1066/4</f>
        <v>0</v>
      </c>
      <c r="CF1066" s="167">
        <f>$N1066/4</f>
        <v>0</v>
      </c>
      <c r="CG1066" s="167">
        <f>$N1066/4</f>
        <v>0</v>
      </c>
      <c r="CH1066" s="167">
        <v>0</v>
      </c>
      <c r="CI1066" s="167">
        <v>0</v>
      </c>
      <c r="CJ1066" s="167">
        <v>0</v>
      </c>
      <c r="CK1066" s="167">
        <v>0</v>
      </c>
      <c r="CL1066" s="167">
        <v>0</v>
      </c>
      <c r="CM1066" s="167">
        <v>0</v>
      </c>
      <c r="CN1066" s="167">
        <v>0</v>
      </c>
      <c r="CO1066" s="167">
        <v>0</v>
      </c>
      <c r="CP1066" s="167">
        <v>0</v>
      </c>
      <c r="CQ1066" s="167">
        <v>0</v>
      </c>
      <c r="CR1066" s="167">
        <v>0</v>
      </c>
      <c r="CS1066" s="167">
        <v>0</v>
      </c>
      <c r="CT1066" s="167">
        <v>0</v>
      </c>
      <c r="CU1066" s="167">
        <v>0</v>
      </c>
      <c r="CV1066" s="167">
        <v>0</v>
      </c>
      <c r="CW1066" s="167">
        <v>0</v>
      </c>
      <c r="CX1066" s="167">
        <f>SUM(CD1066:CH1066)</f>
        <v>0</v>
      </c>
      <c r="CY1066" s="167">
        <f>SUM(CD1066:CM1066)</f>
        <v>0</v>
      </c>
    </row>
    <row r="1067" spans="1:103" ht="12.75" customHeight="1" x14ac:dyDescent="0.2">
      <c r="A1067" s="81">
        <v>6522</v>
      </c>
      <c r="B1067" s="165" t="s">
        <v>1930</v>
      </c>
      <c r="C1067" s="165" t="s">
        <v>1580</v>
      </c>
      <c r="E1067" s="165" t="s">
        <v>2795</v>
      </c>
      <c r="G1067" s="81">
        <v>523995</v>
      </c>
      <c r="H1067" s="81">
        <v>175261</v>
      </c>
      <c r="I1067" s="165" t="s">
        <v>259</v>
      </c>
      <c r="L1067" s="166">
        <v>2</v>
      </c>
      <c r="M1067" s="166">
        <v>2</v>
      </c>
      <c r="N1067" s="166">
        <v>0</v>
      </c>
      <c r="O1067" s="166">
        <v>3</v>
      </c>
      <c r="P1067" s="166">
        <v>1</v>
      </c>
      <c r="R1067" s="165" t="s">
        <v>1581</v>
      </c>
      <c r="S1067" s="81" t="s">
        <v>113</v>
      </c>
      <c r="T1067" s="349">
        <v>42755</v>
      </c>
      <c r="U1067" s="349">
        <v>42951</v>
      </c>
      <c r="V1067" s="81" t="s">
        <v>155</v>
      </c>
      <c r="W1067" s="81" t="s">
        <v>114</v>
      </c>
      <c r="Y1067" s="81" t="s">
        <v>115</v>
      </c>
      <c r="Z1067" s="81" t="s">
        <v>398</v>
      </c>
      <c r="AA1067" s="81" t="s">
        <v>117</v>
      </c>
      <c r="AB1067" s="81" t="s">
        <v>220</v>
      </c>
      <c r="AC1067" s="166">
        <v>4.0000001899898104E-3</v>
      </c>
      <c r="AG1067" s="81" t="s">
        <v>238</v>
      </c>
      <c r="AH1067" s="81" t="s">
        <v>118</v>
      </c>
      <c r="AK1067" s="166">
        <v>0</v>
      </c>
      <c r="AM1067" s="166">
        <v>0</v>
      </c>
      <c r="AO1067" s="166">
        <v>0</v>
      </c>
      <c r="AP1067" s="166">
        <v>-2</v>
      </c>
      <c r="AQ1067" s="166">
        <v>2</v>
      </c>
      <c r="AR1067" s="166">
        <v>0</v>
      </c>
      <c r="AS1067" s="166">
        <v>0</v>
      </c>
      <c r="AT1067" s="166">
        <v>0</v>
      </c>
      <c r="AU1067" s="166">
        <v>0</v>
      </c>
      <c r="AV1067" s="166">
        <v>0</v>
      </c>
      <c r="AW1067" s="166">
        <v>-2</v>
      </c>
      <c r="AX1067" s="166">
        <v>2</v>
      </c>
      <c r="AY1067" s="166">
        <v>0</v>
      </c>
      <c r="AZ1067" s="166">
        <v>0</v>
      </c>
      <c r="BA1067" s="166">
        <v>0</v>
      </c>
      <c r="BB1067" s="166">
        <v>0</v>
      </c>
      <c r="BC1067" s="166">
        <v>0</v>
      </c>
      <c r="BD1067" s="166">
        <v>0</v>
      </c>
      <c r="BE1067" s="166">
        <v>0</v>
      </c>
      <c r="BF1067" s="166">
        <v>0</v>
      </c>
      <c r="BG1067" s="166">
        <v>0</v>
      </c>
      <c r="BH1067" s="166">
        <v>0</v>
      </c>
      <c r="BI1067" s="166">
        <v>0</v>
      </c>
      <c r="BJ1067" s="166">
        <v>0</v>
      </c>
      <c r="BK1067" s="166">
        <v>0</v>
      </c>
      <c r="BL1067" s="166">
        <v>0</v>
      </c>
      <c r="BM1067" s="166">
        <v>0</v>
      </c>
      <c r="BN1067" s="166">
        <v>0</v>
      </c>
      <c r="BO1067" s="166">
        <v>0</v>
      </c>
      <c r="BP1067" s="166">
        <v>0</v>
      </c>
      <c r="BQ1067" s="81" t="s">
        <v>1758</v>
      </c>
      <c r="BR1067" s="81" t="s">
        <v>161</v>
      </c>
      <c r="BZ1067" s="81" t="s">
        <v>155</v>
      </c>
      <c r="CA1067" s="81" t="s">
        <v>1937</v>
      </c>
      <c r="CC1067" s="167">
        <v>0</v>
      </c>
      <c r="CD1067" s="167">
        <f>$N1067/4</f>
        <v>0</v>
      </c>
      <c r="CE1067" s="167">
        <f>$N1067/4</f>
        <v>0</v>
      </c>
      <c r="CF1067" s="167">
        <f>$N1067/4</f>
        <v>0</v>
      </c>
      <c r="CG1067" s="167">
        <f>$N1067/4</f>
        <v>0</v>
      </c>
      <c r="CH1067" s="167">
        <v>0</v>
      </c>
      <c r="CI1067" s="167">
        <v>0</v>
      </c>
      <c r="CJ1067" s="167">
        <v>0</v>
      </c>
      <c r="CK1067" s="167">
        <v>0</v>
      </c>
      <c r="CL1067" s="167">
        <v>0</v>
      </c>
      <c r="CM1067" s="167">
        <v>0</v>
      </c>
      <c r="CN1067" s="167">
        <v>0</v>
      </c>
      <c r="CO1067" s="167">
        <v>0</v>
      </c>
      <c r="CP1067" s="167">
        <v>0</v>
      </c>
      <c r="CQ1067" s="167">
        <v>0</v>
      </c>
      <c r="CR1067" s="167">
        <v>0</v>
      </c>
      <c r="CS1067" s="167">
        <v>0</v>
      </c>
      <c r="CT1067" s="167">
        <v>0</v>
      </c>
      <c r="CU1067" s="167">
        <v>0</v>
      </c>
      <c r="CV1067" s="167">
        <v>0</v>
      </c>
      <c r="CW1067" s="167">
        <v>0</v>
      </c>
      <c r="CX1067" s="167">
        <f>SUM(CD1067:CH1067)</f>
        <v>0</v>
      </c>
      <c r="CY1067" s="167">
        <f>SUM(CD1067:CM1067)</f>
        <v>0</v>
      </c>
    </row>
    <row r="1068" spans="1:103" ht="12.75" customHeight="1" x14ac:dyDescent="0.2">
      <c r="A1068" s="81">
        <v>6522</v>
      </c>
      <c r="B1068" s="165" t="s">
        <v>1930</v>
      </c>
      <c r="C1068" s="165" t="s">
        <v>1580</v>
      </c>
      <c r="E1068" s="165" t="s">
        <v>2795</v>
      </c>
      <c r="G1068" s="81">
        <v>523995</v>
      </c>
      <c r="H1068" s="81">
        <v>175261</v>
      </c>
      <c r="I1068" s="165" t="s">
        <v>259</v>
      </c>
      <c r="L1068" s="166">
        <v>0</v>
      </c>
      <c r="M1068" s="166">
        <v>1</v>
      </c>
      <c r="N1068" s="166">
        <v>1</v>
      </c>
      <c r="O1068" s="166">
        <v>3</v>
      </c>
      <c r="P1068" s="166">
        <v>1</v>
      </c>
      <c r="R1068" s="165" t="s">
        <v>1581</v>
      </c>
      <c r="S1068" s="81" t="s">
        <v>113</v>
      </c>
      <c r="T1068" s="349">
        <v>42755</v>
      </c>
      <c r="U1068" s="349">
        <v>42951</v>
      </c>
      <c r="V1068" s="81" t="s">
        <v>155</v>
      </c>
      <c r="W1068" s="81" t="s">
        <v>114</v>
      </c>
      <c r="Y1068" s="81" t="s">
        <v>115</v>
      </c>
      <c r="Z1068" s="81" t="s">
        <v>398</v>
      </c>
      <c r="AA1068" s="81" t="s">
        <v>117</v>
      </c>
      <c r="AB1068" s="81" t="s">
        <v>218</v>
      </c>
      <c r="AC1068" s="166">
        <v>4.0000001899898104E-3</v>
      </c>
      <c r="AG1068" s="81" t="s">
        <v>238</v>
      </c>
      <c r="AH1068" s="81" t="s">
        <v>118</v>
      </c>
      <c r="AK1068" s="166">
        <v>0</v>
      </c>
      <c r="AM1068" s="166">
        <v>0</v>
      </c>
      <c r="AO1068" s="166">
        <v>0</v>
      </c>
      <c r="AP1068" s="166">
        <v>1</v>
      </c>
      <c r="AQ1068" s="166">
        <v>0</v>
      </c>
      <c r="AR1068" s="166">
        <v>0</v>
      </c>
      <c r="AS1068" s="166">
        <v>0</v>
      </c>
      <c r="AT1068" s="166">
        <v>0</v>
      </c>
      <c r="AU1068" s="166">
        <v>0</v>
      </c>
      <c r="AV1068" s="166">
        <v>0</v>
      </c>
      <c r="AW1068" s="166">
        <v>1</v>
      </c>
      <c r="AX1068" s="166">
        <v>0</v>
      </c>
      <c r="AY1068" s="166">
        <v>0</v>
      </c>
      <c r="AZ1068" s="166">
        <v>0</v>
      </c>
      <c r="BA1068" s="166">
        <v>0</v>
      </c>
      <c r="BB1068" s="166">
        <v>0</v>
      </c>
      <c r="BC1068" s="166">
        <v>0</v>
      </c>
      <c r="BD1068" s="166">
        <v>0</v>
      </c>
      <c r="BE1068" s="166">
        <v>0</v>
      </c>
      <c r="BF1068" s="166">
        <v>0</v>
      </c>
      <c r="BG1068" s="166">
        <v>0</v>
      </c>
      <c r="BH1068" s="166">
        <v>0</v>
      </c>
      <c r="BI1068" s="166">
        <v>0</v>
      </c>
      <c r="BJ1068" s="166">
        <v>0</v>
      </c>
      <c r="BK1068" s="166">
        <v>0</v>
      </c>
      <c r="BL1068" s="166">
        <v>0</v>
      </c>
      <c r="BM1068" s="166">
        <v>0</v>
      </c>
      <c r="BN1068" s="166">
        <v>0</v>
      </c>
      <c r="BO1068" s="166">
        <v>0</v>
      </c>
      <c r="BP1068" s="166">
        <v>0</v>
      </c>
      <c r="BQ1068" s="81" t="s">
        <v>1758</v>
      </c>
      <c r="BR1068" s="81" t="s">
        <v>161</v>
      </c>
      <c r="BZ1068" s="81" t="s">
        <v>155</v>
      </c>
      <c r="CA1068" s="81" t="s">
        <v>1937</v>
      </c>
      <c r="CC1068" s="167">
        <v>0</v>
      </c>
      <c r="CD1068" s="167">
        <f>$N1068/4</f>
        <v>0.25</v>
      </c>
      <c r="CE1068" s="167">
        <f>$N1068/4</f>
        <v>0.25</v>
      </c>
      <c r="CF1068" s="167">
        <f>$N1068/4</f>
        <v>0.25</v>
      </c>
      <c r="CG1068" s="167">
        <f>$N1068/4</f>
        <v>0.25</v>
      </c>
      <c r="CH1068" s="167">
        <v>0</v>
      </c>
      <c r="CI1068" s="167">
        <v>0</v>
      </c>
      <c r="CJ1068" s="167">
        <v>0</v>
      </c>
      <c r="CK1068" s="167">
        <v>0</v>
      </c>
      <c r="CL1068" s="167">
        <v>0</v>
      </c>
      <c r="CM1068" s="167">
        <v>0</v>
      </c>
      <c r="CN1068" s="167">
        <v>0</v>
      </c>
      <c r="CO1068" s="167">
        <v>0</v>
      </c>
      <c r="CP1068" s="167">
        <v>0</v>
      </c>
      <c r="CQ1068" s="167">
        <v>0</v>
      </c>
      <c r="CR1068" s="167">
        <v>0</v>
      </c>
      <c r="CS1068" s="167">
        <v>0</v>
      </c>
      <c r="CT1068" s="167">
        <v>0</v>
      </c>
      <c r="CU1068" s="167">
        <v>0</v>
      </c>
      <c r="CV1068" s="167">
        <v>0</v>
      </c>
      <c r="CW1068" s="167">
        <v>0</v>
      </c>
      <c r="CX1068" s="167">
        <f>SUM(CD1068:CH1068)</f>
        <v>1</v>
      </c>
      <c r="CY1068" s="167">
        <f>SUM(CD1068:CM1068)</f>
        <v>1</v>
      </c>
    </row>
    <row r="1069" spans="1:103" ht="12.75" customHeight="1" x14ac:dyDescent="0.2">
      <c r="A1069" s="81">
        <v>6523</v>
      </c>
      <c r="B1069" s="165" t="s">
        <v>1930</v>
      </c>
      <c r="C1069" s="165" t="s">
        <v>1625</v>
      </c>
      <c r="E1069" s="165" t="s">
        <v>2796</v>
      </c>
      <c r="G1069" s="81">
        <v>528682</v>
      </c>
      <c r="H1069" s="81">
        <v>173943</v>
      </c>
      <c r="I1069" s="165" t="s">
        <v>247</v>
      </c>
      <c r="L1069" s="166">
        <v>0</v>
      </c>
      <c r="M1069" s="166">
        <v>2</v>
      </c>
      <c r="N1069" s="166">
        <v>2</v>
      </c>
      <c r="O1069" s="166">
        <v>2</v>
      </c>
      <c r="P1069" s="166">
        <v>2</v>
      </c>
      <c r="R1069" s="165" t="s">
        <v>1626</v>
      </c>
      <c r="S1069" s="81" t="s">
        <v>113</v>
      </c>
      <c r="T1069" s="349">
        <v>42810</v>
      </c>
      <c r="U1069" s="349">
        <v>42978</v>
      </c>
      <c r="V1069" s="81" t="s">
        <v>155</v>
      </c>
      <c r="W1069" s="81" t="s">
        <v>114</v>
      </c>
      <c r="Y1069" s="81" t="s">
        <v>115</v>
      </c>
      <c r="Z1069" s="81" t="s">
        <v>116</v>
      </c>
      <c r="AA1069" s="81" t="s">
        <v>117</v>
      </c>
      <c r="AB1069" s="81" t="s">
        <v>218</v>
      </c>
      <c r="AC1069" s="166">
        <v>6.7400000989437103E-2</v>
      </c>
      <c r="AG1069" s="81" t="s">
        <v>238</v>
      </c>
      <c r="AH1069" s="81" t="s">
        <v>118</v>
      </c>
      <c r="AK1069" s="166">
        <v>2</v>
      </c>
      <c r="AM1069" s="166">
        <v>0</v>
      </c>
      <c r="AO1069" s="166">
        <v>0</v>
      </c>
      <c r="AP1069" s="166">
        <v>0</v>
      </c>
      <c r="AQ1069" s="166">
        <v>0</v>
      </c>
      <c r="AR1069" s="166">
        <v>2</v>
      </c>
      <c r="AS1069" s="166">
        <v>0</v>
      </c>
      <c r="AT1069" s="166">
        <v>0</v>
      </c>
      <c r="AU1069" s="166">
        <v>0</v>
      </c>
      <c r="AV1069" s="166">
        <v>0</v>
      </c>
      <c r="AW1069" s="166">
        <v>0</v>
      </c>
      <c r="AX1069" s="166">
        <v>0</v>
      </c>
      <c r="AY1069" s="166">
        <v>0</v>
      </c>
      <c r="AZ1069" s="166">
        <v>0</v>
      </c>
      <c r="BA1069" s="166">
        <v>0</v>
      </c>
      <c r="BB1069" s="166">
        <v>0</v>
      </c>
      <c r="BC1069" s="166">
        <v>0</v>
      </c>
      <c r="BD1069" s="166">
        <v>0</v>
      </c>
      <c r="BE1069" s="166">
        <v>0</v>
      </c>
      <c r="BF1069" s="166">
        <v>2</v>
      </c>
      <c r="BG1069" s="166">
        <v>0</v>
      </c>
      <c r="BH1069" s="166">
        <v>0</v>
      </c>
      <c r="BI1069" s="166">
        <v>0</v>
      </c>
      <c r="BJ1069" s="166">
        <v>0</v>
      </c>
      <c r="BK1069" s="166">
        <v>0</v>
      </c>
      <c r="BL1069" s="166">
        <v>0</v>
      </c>
      <c r="BM1069" s="166">
        <v>0</v>
      </c>
      <c r="BN1069" s="166">
        <v>0</v>
      </c>
      <c r="BO1069" s="166">
        <v>0</v>
      </c>
      <c r="BP1069" s="166">
        <v>0</v>
      </c>
      <c r="BQ1069" s="81" t="s">
        <v>1757</v>
      </c>
      <c r="BZ1069" s="81" t="s">
        <v>155</v>
      </c>
      <c r="CA1069" s="81">
        <v>4</v>
      </c>
      <c r="CC1069" s="167">
        <v>0</v>
      </c>
      <c r="CD1069" s="167">
        <v>0</v>
      </c>
      <c r="CE1069" s="167">
        <f>$N1069/4</f>
        <v>0.5</v>
      </c>
      <c r="CF1069" s="167">
        <f>$N1069/4</f>
        <v>0.5</v>
      </c>
      <c r="CG1069" s="167">
        <f>$N1069/4</f>
        <v>0.5</v>
      </c>
      <c r="CH1069" s="167">
        <f>$N1069/4</f>
        <v>0.5</v>
      </c>
      <c r="CI1069" s="167">
        <v>0</v>
      </c>
      <c r="CJ1069" s="167">
        <v>0</v>
      </c>
      <c r="CK1069" s="167">
        <v>0</v>
      </c>
      <c r="CL1069" s="167">
        <v>0</v>
      </c>
      <c r="CM1069" s="167">
        <v>0</v>
      </c>
      <c r="CN1069" s="167">
        <v>0</v>
      </c>
      <c r="CO1069" s="167">
        <v>0</v>
      </c>
      <c r="CP1069" s="167">
        <v>0</v>
      </c>
      <c r="CQ1069" s="167">
        <v>0</v>
      </c>
      <c r="CR1069" s="167">
        <v>0</v>
      </c>
      <c r="CS1069" s="167">
        <v>0</v>
      </c>
      <c r="CT1069" s="167">
        <v>0</v>
      </c>
      <c r="CU1069" s="167">
        <v>0</v>
      </c>
      <c r="CV1069" s="167">
        <v>0</v>
      </c>
      <c r="CW1069" s="167">
        <v>0</v>
      </c>
      <c r="CX1069" s="167">
        <f>SUM(CD1069:CH1069)</f>
        <v>2</v>
      </c>
      <c r="CY1069" s="167">
        <f>SUM(CD1069:CM1069)</f>
        <v>2</v>
      </c>
    </row>
    <row r="1070" spans="1:103" ht="12.75" customHeight="1" x14ac:dyDescent="0.2">
      <c r="A1070" s="81">
        <v>6524</v>
      </c>
      <c r="B1070" s="165" t="s">
        <v>1930</v>
      </c>
      <c r="C1070" s="165" t="s">
        <v>2797</v>
      </c>
      <c r="E1070" s="165" t="s">
        <v>2798</v>
      </c>
      <c r="G1070" s="81">
        <v>527505</v>
      </c>
      <c r="H1070" s="81">
        <v>174791</v>
      </c>
      <c r="I1070" s="165" t="s">
        <v>255</v>
      </c>
      <c r="L1070" s="166">
        <v>1</v>
      </c>
      <c r="M1070" s="166">
        <v>2</v>
      </c>
      <c r="N1070" s="166">
        <v>1</v>
      </c>
      <c r="O1070" s="166">
        <v>2</v>
      </c>
      <c r="P1070" s="166">
        <v>1</v>
      </c>
      <c r="R1070" s="165" t="s">
        <v>2799</v>
      </c>
      <c r="S1070" s="81" t="s">
        <v>113</v>
      </c>
      <c r="T1070" s="349">
        <v>43063</v>
      </c>
      <c r="U1070" s="349">
        <v>43119</v>
      </c>
      <c r="V1070" s="81" t="s">
        <v>155</v>
      </c>
      <c r="W1070" s="81" t="s">
        <v>114</v>
      </c>
      <c r="Y1070" s="81" t="s">
        <v>115</v>
      </c>
      <c r="Z1070" s="81" t="s">
        <v>398</v>
      </c>
      <c r="AA1070" s="81" t="s">
        <v>117</v>
      </c>
      <c r="AB1070" s="81" t="s">
        <v>220</v>
      </c>
      <c r="AC1070" s="166">
        <v>8.0000003799796104E-3</v>
      </c>
      <c r="AG1070" s="81" t="s">
        <v>238</v>
      </c>
      <c r="AH1070" s="81" t="s">
        <v>118</v>
      </c>
      <c r="AK1070" s="166">
        <v>0</v>
      </c>
      <c r="AM1070" s="166">
        <v>0</v>
      </c>
      <c r="AO1070" s="166">
        <v>0</v>
      </c>
      <c r="AP1070" s="166">
        <v>1</v>
      </c>
      <c r="AQ1070" s="166">
        <v>0</v>
      </c>
      <c r="AR1070" s="166">
        <v>0</v>
      </c>
      <c r="AS1070" s="166">
        <v>0</v>
      </c>
      <c r="AT1070" s="166">
        <v>0</v>
      </c>
      <c r="AU1070" s="166">
        <v>0</v>
      </c>
      <c r="AV1070" s="166">
        <v>0</v>
      </c>
      <c r="AW1070" s="166">
        <v>1</v>
      </c>
      <c r="AX1070" s="166">
        <v>0</v>
      </c>
      <c r="AY1070" s="166">
        <v>0</v>
      </c>
      <c r="AZ1070" s="166">
        <v>0</v>
      </c>
      <c r="BA1070" s="166">
        <v>0</v>
      </c>
      <c r="BB1070" s="166">
        <v>0</v>
      </c>
      <c r="BC1070" s="166">
        <v>0</v>
      </c>
      <c r="BD1070" s="166">
        <v>0</v>
      </c>
      <c r="BE1070" s="166">
        <v>0</v>
      </c>
      <c r="BF1070" s="166">
        <v>0</v>
      </c>
      <c r="BG1070" s="166">
        <v>0</v>
      </c>
      <c r="BH1070" s="166">
        <v>0</v>
      </c>
      <c r="BI1070" s="166">
        <v>0</v>
      </c>
      <c r="BJ1070" s="166">
        <v>0</v>
      </c>
      <c r="BK1070" s="166">
        <v>0</v>
      </c>
      <c r="BL1070" s="166">
        <v>0</v>
      </c>
      <c r="BM1070" s="166">
        <v>0</v>
      </c>
      <c r="BN1070" s="166">
        <v>0</v>
      </c>
      <c r="BO1070" s="166">
        <v>0</v>
      </c>
      <c r="BP1070" s="166">
        <v>0</v>
      </c>
      <c r="BQ1070" s="81" t="s">
        <v>1757</v>
      </c>
      <c r="BR1070" s="81" t="s">
        <v>160</v>
      </c>
      <c r="BZ1070" s="81" t="s">
        <v>155</v>
      </c>
      <c r="CA1070" s="81" t="s">
        <v>1937</v>
      </c>
      <c r="CC1070" s="167">
        <v>0</v>
      </c>
      <c r="CD1070" s="167">
        <f>$N1070/4</f>
        <v>0.25</v>
      </c>
      <c r="CE1070" s="167">
        <f>$N1070/4</f>
        <v>0.25</v>
      </c>
      <c r="CF1070" s="167">
        <f>$N1070/4</f>
        <v>0.25</v>
      </c>
      <c r="CG1070" s="167">
        <f>$N1070/4</f>
        <v>0.25</v>
      </c>
      <c r="CH1070" s="167">
        <v>0</v>
      </c>
      <c r="CI1070" s="167">
        <v>0</v>
      </c>
      <c r="CJ1070" s="167">
        <v>0</v>
      </c>
      <c r="CK1070" s="167">
        <v>0</v>
      </c>
      <c r="CL1070" s="167">
        <v>0</v>
      </c>
      <c r="CM1070" s="167">
        <v>0</v>
      </c>
      <c r="CN1070" s="167">
        <v>0</v>
      </c>
      <c r="CO1070" s="167">
        <v>0</v>
      </c>
      <c r="CP1070" s="167">
        <v>0</v>
      </c>
      <c r="CQ1070" s="167">
        <v>0</v>
      </c>
      <c r="CR1070" s="167">
        <v>0</v>
      </c>
      <c r="CS1070" s="167">
        <v>0</v>
      </c>
      <c r="CT1070" s="167">
        <v>0</v>
      </c>
      <c r="CU1070" s="167">
        <v>0</v>
      </c>
      <c r="CV1070" s="167">
        <v>0</v>
      </c>
      <c r="CW1070" s="167">
        <v>0</v>
      </c>
      <c r="CX1070" s="167">
        <f>SUM(CD1070:CH1070)</f>
        <v>1</v>
      </c>
      <c r="CY1070" s="167">
        <f>SUM(CD1070:CM1070)</f>
        <v>1</v>
      </c>
    </row>
    <row r="1071" spans="1:103" ht="12.75" customHeight="1" x14ac:dyDescent="0.2">
      <c r="A1071" s="81">
        <v>6525</v>
      </c>
      <c r="B1071" s="165" t="s">
        <v>1930</v>
      </c>
      <c r="C1071" s="165" t="s">
        <v>1653</v>
      </c>
      <c r="E1071" s="165" t="s">
        <v>2800</v>
      </c>
      <c r="G1071" s="81">
        <v>527828</v>
      </c>
      <c r="H1071" s="81">
        <v>173720</v>
      </c>
      <c r="I1071" s="165" t="s">
        <v>254</v>
      </c>
      <c r="L1071" s="166">
        <v>1</v>
      </c>
      <c r="M1071" s="166">
        <v>1</v>
      </c>
      <c r="N1071" s="166">
        <v>0</v>
      </c>
      <c r="O1071" s="166">
        <v>1</v>
      </c>
      <c r="P1071" s="166">
        <v>0</v>
      </c>
      <c r="R1071" s="165" t="s">
        <v>1654</v>
      </c>
      <c r="S1071" s="81" t="s">
        <v>113</v>
      </c>
      <c r="T1071" s="349">
        <v>42793</v>
      </c>
      <c r="U1071" s="349">
        <v>42919</v>
      </c>
      <c r="V1071" s="81" t="s">
        <v>155</v>
      </c>
      <c r="W1071" s="81" t="s">
        <v>114</v>
      </c>
      <c r="Y1071" s="81" t="s">
        <v>115</v>
      </c>
      <c r="Z1071" s="81" t="s">
        <v>116</v>
      </c>
      <c r="AA1071" s="81" t="s">
        <v>117</v>
      </c>
      <c r="AB1071" s="81" t="s">
        <v>218</v>
      </c>
      <c r="AC1071" s="166">
        <v>4.0199998766183902E-2</v>
      </c>
      <c r="AG1071" s="81" t="s">
        <v>238</v>
      </c>
      <c r="AH1071" s="81" t="s">
        <v>118</v>
      </c>
      <c r="AK1071" s="166">
        <v>0</v>
      </c>
      <c r="AM1071" s="166">
        <v>0</v>
      </c>
      <c r="AO1071" s="166">
        <v>0</v>
      </c>
      <c r="AP1071" s="166">
        <v>0</v>
      </c>
      <c r="AQ1071" s="166">
        <v>0</v>
      </c>
      <c r="AR1071" s="166">
        <v>-1</v>
      </c>
      <c r="AS1071" s="166">
        <v>0</v>
      </c>
      <c r="AT1071" s="166">
        <v>1</v>
      </c>
      <c r="AU1071" s="166">
        <v>0</v>
      </c>
      <c r="AV1071" s="166">
        <v>0</v>
      </c>
      <c r="AW1071" s="166">
        <v>0</v>
      </c>
      <c r="AX1071" s="166">
        <v>0</v>
      </c>
      <c r="AY1071" s="166">
        <v>0</v>
      </c>
      <c r="AZ1071" s="166">
        <v>0</v>
      </c>
      <c r="BA1071" s="166">
        <v>0</v>
      </c>
      <c r="BB1071" s="166">
        <v>0</v>
      </c>
      <c r="BC1071" s="166">
        <v>0</v>
      </c>
      <c r="BD1071" s="166">
        <v>0</v>
      </c>
      <c r="BE1071" s="166">
        <v>0</v>
      </c>
      <c r="BF1071" s="166">
        <v>-1</v>
      </c>
      <c r="BG1071" s="166">
        <v>0</v>
      </c>
      <c r="BH1071" s="166">
        <v>1</v>
      </c>
      <c r="BI1071" s="166">
        <v>0</v>
      </c>
      <c r="BJ1071" s="166">
        <v>0</v>
      </c>
      <c r="BK1071" s="166">
        <v>0</v>
      </c>
      <c r="BL1071" s="166">
        <v>0</v>
      </c>
      <c r="BM1071" s="166">
        <v>0</v>
      </c>
      <c r="BN1071" s="166">
        <v>0</v>
      </c>
      <c r="BO1071" s="166">
        <v>0</v>
      </c>
      <c r="BP1071" s="166">
        <v>0</v>
      </c>
      <c r="BQ1071" s="81" t="s">
        <v>1757</v>
      </c>
      <c r="BZ1071" s="81" t="s">
        <v>155</v>
      </c>
      <c r="CA1071" s="81">
        <v>4</v>
      </c>
      <c r="CC1071" s="167">
        <v>0</v>
      </c>
      <c r="CD1071" s="167">
        <v>0</v>
      </c>
      <c r="CE1071" s="167">
        <f>$N1071/4</f>
        <v>0</v>
      </c>
      <c r="CF1071" s="167">
        <f>$N1071/4</f>
        <v>0</v>
      </c>
      <c r="CG1071" s="167">
        <f>$N1071/4</f>
        <v>0</v>
      </c>
      <c r="CH1071" s="167">
        <f>$N1071/4</f>
        <v>0</v>
      </c>
      <c r="CI1071" s="167">
        <v>0</v>
      </c>
      <c r="CJ1071" s="167">
        <v>0</v>
      </c>
      <c r="CK1071" s="167">
        <v>0</v>
      </c>
      <c r="CL1071" s="167">
        <v>0</v>
      </c>
      <c r="CM1071" s="167">
        <v>0</v>
      </c>
      <c r="CN1071" s="167">
        <v>0</v>
      </c>
      <c r="CO1071" s="167">
        <v>0</v>
      </c>
      <c r="CP1071" s="167">
        <v>0</v>
      </c>
      <c r="CQ1071" s="167">
        <v>0</v>
      </c>
      <c r="CR1071" s="167">
        <v>0</v>
      </c>
      <c r="CS1071" s="167">
        <v>0</v>
      </c>
      <c r="CT1071" s="167">
        <v>0</v>
      </c>
      <c r="CU1071" s="167">
        <v>0</v>
      </c>
      <c r="CV1071" s="167">
        <v>0</v>
      </c>
      <c r="CW1071" s="167">
        <v>0</v>
      </c>
      <c r="CX1071" s="167">
        <f>SUM(CD1071:CH1071)</f>
        <v>0</v>
      </c>
      <c r="CY1071" s="167">
        <f>SUM(CD1071:CM1071)</f>
        <v>0</v>
      </c>
    </row>
    <row r="1072" spans="1:103" ht="12.75" customHeight="1" x14ac:dyDescent="0.2">
      <c r="A1072" s="81">
        <v>6535</v>
      </c>
      <c r="B1072" s="165" t="s">
        <v>1930</v>
      </c>
      <c r="C1072" s="165" t="s">
        <v>2801</v>
      </c>
      <c r="E1072" s="165" t="s">
        <v>2802</v>
      </c>
      <c r="G1072" s="81">
        <v>523949</v>
      </c>
      <c r="H1072" s="81">
        <v>175565</v>
      </c>
      <c r="I1072" s="165" t="s">
        <v>259</v>
      </c>
      <c r="L1072" s="166">
        <v>2</v>
      </c>
      <c r="M1072" s="166">
        <v>0</v>
      </c>
      <c r="N1072" s="166">
        <v>-2</v>
      </c>
      <c r="O1072" s="166">
        <v>0</v>
      </c>
      <c r="P1072" s="166">
        <v>-2</v>
      </c>
      <c r="R1072" s="165" t="s">
        <v>2803</v>
      </c>
      <c r="S1072" s="81" t="s">
        <v>113</v>
      </c>
      <c r="T1072" s="349">
        <v>42720</v>
      </c>
      <c r="U1072" s="349">
        <v>42909</v>
      </c>
      <c r="V1072" s="81" t="s">
        <v>155</v>
      </c>
      <c r="W1072" s="81" t="s">
        <v>114</v>
      </c>
      <c r="Y1072" s="81" t="s">
        <v>115</v>
      </c>
      <c r="Z1072" s="81" t="s">
        <v>219</v>
      </c>
      <c r="AA1072" s="81" t="s">
        <v>117</v>
      </c>
      <c r="AB1072" s="81" t="s">
        <v>105</v>
      </c>
      <c r="AC1072" s="166">
        <v>8.0000003799796104E-3</v>
      </c>
      <c r="AG1072" s="81" t="s">
        <v>238</v>
      </c>
      <c r="AH1072" s="81" t="s">
        <v>118</v>
      </c>
      <c r="AK1072" s="166">
        <v>0</v>
      </c>
      <c r="AM1072" s="166">
        <v>0</v>
      </c>
      <c r="AO1072" s="166">
        <v>0</v>
      </c>
      <c r="AP1072" s="166">
        <v>-1</v>
      </c>
      <c r="AQ1072" s="166">
        <v>-1</v>
      </c>
      <c r="AR1072" s="166">
        <v>0</v>
      </c>
      <c r="AS1072" s="166">
        <v>0</v>
      </c>
      <c r="AT1072" s="166">
        <v>0</v>
      </c>
      <c r="AU1072" s="166">
        <v>0</v>
      </c>
      <c r="AV1072" s="166">
        <v>0</v>
      </c>
      <c r="AW1072" s="166">
        <v>-1</v>
      </c>
      <c r="AX1072" s="166">
        <v>-1</v>
      </c>
      <c r="AY1072" s="166">
        <v>0</v>
      </c>
      <c r="AZ1072" s="166">
        <v>0</v>
      </c>
      <c r="BA1072" s="166">
        <v>0</v>
      </c>
      <c r="BB1072" s="166">
        <v>0</v>
      </c>
      <c r="BC1072" s="166">
        <v>0</v>
      </c>
      <c r="BD1072" s="166">
        <v>0</v>
      </c>
      <c r="BE1072" s="166">
        <v>0</v>
      </c>
      <c r="BF1072" s="166">
        <v>0</v>
      </c>
      <c r="BG1072" s="166">
        <v>0</v>
      </c>
      <c r="BH1072" s="166">
        <v>0</v>
      </c>
      <c r="BI1072" s="166">
        <v>0</v>
      </c>
      <c r="BJ1072" s="166">
        <v>0</v>
      </c>
      <c r="BK1072" s="166">
        <v>0</v>
      </c>
      <c r="BL1072" s="166">
        <v>0</v>
      </c>
      <c r="BM1072" s="166">
        <v>0</v>
      </c>
      <c r="BN1072" s="166">
        <v>0</v>
      </c>
      <c r="BO1072" s="166">
        <v>0</v>
      </c>
      <c r="BP1072" s="166">
        <v>0</v>
      </c>
      <c r="BQ1072" s="81" t="s">
        <v>1758</v>
      </c>
      <c r="BZ1072" s="81" t="s">
        <v>155</v>
      </c>
      <c r="CA1072" s="81" t="s">
        <v>1937</v>
      </c>
      <c r="CC1072" s="167">
        <v>0</v>
      </c>
      <c r="CD1072" s="167">
        <f>$N1072/4</f>
        <v>-0.5</v>
      </c>
      <c r="CE1072" s="167">
        <f>$N1072/4</f>
        <v>-0.5</v>
      </c>
      <c r="CF1072" s="167">
        <f>$N1072/4</f>
        <v>-0.5</v>
      </c>
      <c r="CG1072" s="167">
        <f>$N1072/4</f>
        <v>-0.5</v>
      </c>
      <c r="CH1072" s="167">
        <v>0</v>
      </c>
      <c r="CI1072" s="167">
        <v>0</v>
      </c>
      <c r="CJ1072" s="167">
        <v>0</v>
      </c>
      <c r="CK1072" s="167">
        <v>0</v>
      </c>
      <c r="CL1072" s="167">
        <v>0</v>
      </c>
      <c r="CM1072" s="167">
        <v>0</v>
      </c>
      <c r="CN1072" s="167">
        <v>0</v>
      </c>
      <c r="CO1072" s="167">
        <v>0</v>
      </c>
      <c r="CP1072" s="167">
        <v>0</v>
      </c>
      <c r="CQ1072" s="167">
        <v>0</v>
      </c>
      <c r="CR1072" s="167">
        <v>0</v>
      </c>
      <c r="CS1072" s="167">
        <v>0</v>
      </c>
      <c r="CT1072" s="167">
        <v>0</v>
      </c>
      <c r="CU1072" s="167">
        <v>0</v>
      </c>
      <c r="CV1072" s="167">
        <v>0</v>
      </c>
      <c r="CW1072" s="167">
        <v>0</v>
      </c>
      <c r="CX1072" s="167">
        <f>SUM(CD1072:CH1072)</f>
        <v>-2</v>
      </c>
      <c r="CY1072" s="167">
        <f>SUM(CD1072:CM1072)</f>
        <v>-2</v>
      </c>
    </row>
    <row r="1073" spans="1:103" ht="12.75" customHeight="1" x14ac:dyDescent="0.2">
      <c r="A1073" s="81">
        <v>6537</v>
      </c>
      <c r="B1073" s="165" t="s">
        <v>1930</v>
      </c>
      <c r="C1073" s="165" t="s">
        <v>2804</v>
      </c>
      <c r="E1073" s="165" t="s">
        <v>2805</v>
      </c>
      <c r="G1073" s="81">
        <v>527325</v>
      </c>
      <c r="H1073" s="81">
        <v>171305</v>
      </c>
      <c r="I1073" s="165" t="s">
        <v>242</v>
      </c>
      <c r="L1073" s="166">
        <v>0</v>
      </c>
      <c r="M1073" s="166">
        <v>1</v>
      </c>
      <c r="N1073" s="166">
        <v>1</v>
      </c>
      <c r="O1073" s="166">
        <v>1</v>
      </c>
      <c r="P1073" s="166">
        <v>1</v>
      </c>
      <c r="R1073" s="165" t="s">
        <v>2806</v>
      </c>
      <c r="S1073" s="81" t="s">
        <v>113</v>
      </c>
      <c r="T1073" s="349">
        <v>42870</v>
      </c>
      <c r="U1073" s="349">
        <v>42985</v>
      </c>
      <c r="V1073" s="81" t="s">
        <v>155</v>
      </c>
      <c r="W1073" s="81" t="s">
        <v>114</v>
      </c>
      <c r="Y1073" s="81" t="s">
        <v>115</v>
      </c>
      <c r="Z1073" s="81" t="s">
        <v>219</v>
      </c>
      <c r="AA1073" s="81" t="s">
        <v>117</v>
      </c>
      <c r="AB1073" s="81" t="s">
        <v>3889</v>
      </c>
      <c r="AC1073" s="166">
        <v>4.9999998882412902E-3</v>
      </c>
      <c r="AG1073" s="81" t="s">
        <v>238</v>
      </c>
      <c r="AH1073" s="81" t="s">
        <v>118</v>
      </c>
      <c r="AK1073" s="166">
        <v>0</v>
      </c>
      <c r="AM1073" s="166">
        <v>0</v>
      </c>
      <c r="AO1073" s="166">
        <v>0</v>
      </c>
      <c r="AP1073" s="166">
        <v>1</v>
      </c>
      <c r="AQ1073" s="166">
        <v>0</v>
      </c>
      <c r="AR1073" s="166">
        <v>0</v>
      </c>
      <c r="AS1073" s="166">
        <v>0</v>
      </c>
      <c r="AT1073" s="166">
        <v>0</v>
      </c>
      <c r="AU1073" s="166">
        <v>0</v>
      </c>
      <c r="AV1073" s="166">
        <v>0</v>
      </c>
      <c r="AW1073" s="166">
        <v>1</v>
      </c>
      <c r="AX1073" s="166">
        <v>0</v>
      </c>
      <c r="AY1073" s="166">
        <v>0</v>
      </c>
      <c r="AZ1073" s="166">
        <v>0</v>
      </c>
      <c r="BA1073" s="166">
        <v>0</v>
      </c>
      <c r="BB1073" s="166">
        <v>0</v>
      </c>
      <c r="BC1073" s="166">
        <v>0</v>
      </c>
      <c r="BD1073" s="166">
        <v>0</v>
      </c>
      <c r="BE1073" s="166">
        <v>0</v>
      </c>
      <c r="BF1073" s="166">
        <v>0</v>
      </c>
      <c r="BG1073" s="166">
        <v>0</v>
      </c>
      <c r="BH1073" s="166">
        <v>0</v>
      </c>
      <c r="BI1073" s="166">
        <v>0</v>
      </c>
      <c r="BJ1073" s="166">
        <v>0</v>
      </c>
      <c r="BK1073" s="166">
        <v>0</v>
      </c>
      <c r="BL1073" s="166">
        <v>0</v>
      </c>
      <c r="BM1073" s="166">
        <v>0</v>
      </c>
      <c r="BN1073" s="166">
        <v>0</v>
      </c>
      <c r="BO1073" s="166">
        <v>0</v>
      </c>
      <c r="BP1073" s="166">
        <v>0</v>
      </c>
      <c r="BQ1073" s="81" t="s">
        <v>1757</v>
      </c>
      <c r="BZ1073" s="81" t="s">
        <v>155</v>
      </c>
      <c r="CA1073" s="81" t="s">
        <v>1937</v>
      </c>
      <c r="CC1073" s="167">
        <v>0</v>
      </c>
      <c r="CD1073" s="167">
        <f>$N1073/4</f>
        <v>0.25</v>
      </c>
      <c r="CE1073" s="167">
        <f>$N1073/4</f>
        <v>0.25</v>
      </c>
      <c r="CF1073" s="167">
        <f>$N1073/4</f>
        <v>0.25</v>
      </c>
      <c r="CG1073" s="167">
        <f>$N1073/4</f>
        <v>0.25</v>
      </c>
      <c r="CH1073" s="167">
        <v>0</v>
      </c>
      <c r="CI1073" s="167">
        <v>0</v>
      </c>
      <c r="CJ1073" s="167">
        <v>0</v>
      </c>
      <c r="CK1073" s="167">
        <v>0</v>
      </c>
      <c r="CL1073" s="167">
        <v>0</v>
      </c>
      <c r="CM1073" s="167">
        <v>0</v>
      </c>
      <c r="CN1073" s="167">
        <v>0</v>
      </c>
      <c r="CO1073" s="167">
        <v>0</v>
      </c>
      <c r="CP1073" s="167">
        <v>0</v>
      </c>
      <c r="CQ1073" s="167">
        <v>0</v>
      </c>
      <c r="CR1073" s="167">
        <v>0</v>
      </c>
      <c r="CS1073" s="167">
        <v>0</v>
      </c>
      <c r="CT1073" s="167">
        <v>0</v>
      </c>
      <c r="CU1073" s="167">
        <v>0</v>
      </c>
      <c r="CV1073" s="167">
        <v>0</v>
      </c>
      <c r="CW1073" s="167">
        <v>0</v>
      </c>
      <c r="CX1073" s="167">
        <f>SUM(CD1073:CH1073)</f>
        <v>1</v>
      </c>
      <c r="CY1073" s="167">
        <f>SUM(CD1073:CM1073)</f>
        <v>1</v>
      </c>
    </row>
    <row r="1074" spans="1:103" ht="12.75" customHeight="1" x14ac:dyDescent="0.2">
      <c r="A1074" s="81">
        <v>6542</v>
      </c>
      <c r="B1074" s="165" t="s">
        <v>1930</v>
      </c>
      <c r="C1074" s="165" t="s">
        <v>2807</v>
      </c>
      <c r="E1074" s="165" t="s">
        <v>2808</v>
      </c>
      <c r="G1074" s="81">
        <v>528950</v>
      </c>
      <c r="H1074" s="81">
        <v>172639</v>
      </c>
      <c r="I1074" s="165" t="s">
        <v>248</v>
      </c>
      <c r="L1074" s="166">
        <v>0</v>
      </c>
      <c r="M1074" s="166">
        <v>1</v>
      </c>
      <c r="N1074" s="166">
        <v>1</v>
      </c>
      <c r="O1074" s="166">
        <v>1</v>
      </c>
      <c r="P1074" s="166">
        <v>1</v>
      </c>
      <c r="R1074" s="165" t="s">
        <v>2809</v>
      </c>
      <c r="S1074" s="81" t="s">
        <v>296</v>
      </c>
      <c r="T1074" s="349">
        <v>42809</v>
      </c>
      <c r="U1074" s="349">
        <v>42865</v>
      </c>
      <c r="V1074" s="81" t="s">
        <v>155</v>
      </c>
      <c r="W1074" s="81" t="s">
        <v>297</v>
      </c>
      <c r="X1074" s="349">
        <v>43068</v>
      </c>
      <c r="Y1074" s="81" t="s">
        <v>115</v>
      </c>
      <c r="Z1074" s="81" t="s">
        <v>398</v>
      </c>
      <c r="AA1074" s="81" t="s">
        <v>117</v>
      </c>
      <c r="AB1074" s="81" t="s">
        <v>218</v>
      </c>
      <c r="AC1074" s="166">
        <v>4.0000001899898104E-3</v>
      </c>
      <c r="AG1074" s="81" t="s">
        <v>238</v>
      </c>
      <c r="AH1074" s="81" t="s">
        <v>118</v>
      </c>
      <c r="AK1074" s="166">
        <v>1</v>
      </c>
      <c r="AM1074" s="166">
        <v>0</v>
      </c>
      <c r="AO1074" s="166">
        <v>0</v>
      </c>
      <c r="AP1074" s="166">
        <v>1</v>
      </c>
      <c r="AQ1074" s="166">
        <v>0</v>
      </c>
      <c r="AR1074" s="166">
        <v>0</v>
      </c>
      <c r="AS1074" s="166">
        <v>0</v>
      </c>
      <c r="AT1074" s="166">
        <v>0</v>
      </c>
      <c r="AU1074" s="166">
        <v>0</v>
      </c>
      <c r="AV1074" s="166">
        <v>0</v>
      </c>
      <c r="AW1074" s="166">
        <v>1</v>
      </c>
      <c r="AX1074" s="166">
        <v>0</v>
      </c>
      <c r="AY1074" s="166">
        <v>0</v>
      </c>
      <c r="AZ1074" s="166">
        <v>0</v>
      </c>
      <c r="BA1074" s="166">
        <v>0</v>
      </c>
      <c r="BB1074" s="166">
        <v>0</v>
      </c>
      <c r="BC1074" s="166">
        <v>0</v>
      </c>
      <c r="BD1074" s="166">
        <v>0</v>
      </c>
      <c r="BE1074" s="166">
        <v>0</v>
      </c>
      <c r="BF1074" s="166">
        <v>0</v>
      </c>
      <c r="BG1074" s="166">
        <v>0</v>
      </c>
      <c r="BH1074" s="166">
        <v>0</v>
      </c>
      <c r="BI1074" s="166">
        <v>0</v>
      </c>
      <c r="BJ1074" s="166">
        <v>0</v>
      </c>
      <c r="BK1074" s="166">
        <v>0</v>
      </c>
      <c r="BL1074" s="166">
        <v>0</v>
      </c>
      <c r="BM1074" s="166">
        <v>0</v>
      </c>
      <c r="BN1074" s="166">
        <v>0</v>
      </c>
      <c r="BO1074" s="166">
        <v>0</v>
      </c>
      <c r="BP1074" s="166">
        <v>0</v>
      </c>
      <c r="BQ1074" s="81" t="s">
        <v>1757</v>
      </c>
      <c r="BZ1074" s="81" t="s">
        <v>155</v>
      </c>
      <c r="CA1074" s="81" t="s">
        <v>1937</v>
      </c>
      <c r="CC1074" s="167">
        <v>0</v>
      </c>
      <c r="CD1074" s="167">
        <f>$N1074/4</f>
        <v>0.25</v>
      </c>
      <c r="CE1074" s="167">
        <f>$N1074/4</f>
        <v>0.25</v>
      </c>
      <c r="CF1074" s="167">
        <f>$N1074/4</f>
        <v>0.25</v>
      </c>
      <c r="CG1074" s="167">
        <f>$N1074/4</f>
        <v>0.25</v>
      </c>
      <c r="CH1074" s="167">
        <v>0</v>
      </c>
      <c r="CI1074" s="167">
        <v>0</v>
      </c>
      <c r="CJ1074" s="167">
        <v>0</v>
      </c>
      <c r="CK1074" s="167">
        <v>0</v>
      </c>
      <c r="CL1074" s="167">
        <v>0</v>
      </c>
      <c r="CM1074" s="167">
        <v>0</v>
      </c>
      <c r="CN1074" s="167">
        <v>0</v>
      </c>
      <c r="CO1074" s="167">
        <v>0</v>
      </c>
      <c r="CP1074" s="167">
        <v>0</v>
      </c>
      <c r="CQ1074" s="167">
        <v>0</v>
      </c>
      <c r="CR1074" s="167">
        <v>0</v>
      </c>
      <c r="CS1074" s="167">
        <v>0</v>
      </c>
      <c r="CT1074" s="167">
        <v>0</v>
      </c>
      <c r="CU1074" s="167">
        <v>0</v>
      </c>
      <c r="CV1074" s="167">
        <v>0</v>
      </c>
      <c r="CW1074" s="167">
        <v>0</v>
      </c>
      <c r="CX1074" s="167">
        <f>SUM(CD1074:CH1074)</f>
        <v>1</v>
      </c>
      <c r="CY1074" s="167">
        <f>SUM(CD1074:CM1074)</f>
        <v>1</v>
      </c>
    </row>
    <row r="1075" spans="1:103" ht="12.75" customHeight="1" x14ac:dyDescent="0.2">
      <c r="A1075" s="81">
        <v>6545</v>
      </c>
      <c r="B1075" s="165" t="s">
        <v>1930</v>
      </c>
      <c r="C1075" s="165" t="s">
        <v>2811</v>
      </c>
      <c r="E1075" s="165" t="s">
        <v>2812</v>
      </c>
      <c r="G1075" s="81">
        <v>527162</v>
      </c>
      <c r="H1075" s="81">
        <v>171611</v>
      </c>
      <c r="I1075" s="165" t="s">
        <v>242</v>
      </c>
      <c r="L1075" s="166">
        <v>0</v>
      </c>
      <c r="M1075" s="166">
        <v>2</v>
      </c>
      <c r="N1075" s="166">
        <v>2</v>
      </c>
      <c r="O1075" s="166">
        <v>2</v>
      </c>
      <c r="P1075" s="166">
        <v>2</v>
      </c>
      <c r="R1075" s="165" t="s">
        <v>2813</v>
      </c>
      <c r="S1075" s="81" t="s">
        <v>110</v>
      </c>
      <c r="T1075" s="349">
        <v>42898</v>
      </c>
      <c r="U1075" s="349">
        <v>42954</v>
      </c>
      <c r="V1075" s="81" t="s">
        <v>155</v>
      </c>
      <c r="W1075" s="81" t="s">
        <v>114</v>
      </c>
      <c r="Y1075" s="81" t="s">
        <v>115</v>
      </c>
      <c r="Z1075" s="81" t="s">
        <v>310</v>
      </c>
      <c r="AA1075" s="81" t="s">
        <v>117</v>
      </c>
      <c r="AB1075" s="81" t="s">
        <v>102</v>
      </c>
      <c r="AC1075" s="166">
        <v>9.9999997764825804E-3</v>
      </c>
      <c r="AG1075" s="81" t="s">
        <v>238</v>
      </c>
      <c r="AH1075" s="81" t="s">
        <v>118</v>
      </c>
      <c r="AK1075" s="166">
        <v>0</v>
      </c>
      <c r="AM1075" s="166">
        <v>0</v>
      </c>
      <c r="AO1075" s="166">
        <v>1</v>
      </c>
      <c r="AP1075" s="166">
        <v>1</v>
      </c>
      <c r="AQ1075" s="166">
        <v>0</v>
      </c>
      <c r="AR1075" s="166">
        <v>0</v>
      </c>
      <c r="AS1075" s="166">
        <v>0</v>
      </c>
      <c r="AT1075" s="166">
        <v>0</v>
      </c>
      <c r="AU1075" s="166">
        <v>0</v>
      </c>
      <c r="AV1075" s="166">
        <v>1</v>
      </c>
      <c r="AW1075" s="166">
        <v>1</v>
      </c>
      <c r="AX1075" s="166">
        <v>0</v>
      </c>
      <c r="AY1075" s="166">
        <v>0</v>
      </c>
      <c r="AZ1075" s="166">
        <v>0</v>
      </c>
      <c r="BA1075" s="166">
        <v>0</v>
      </c>
      <c r="BB1075" s="166">
        <v>0</v>
      </c>
      <c r="BC1075" s="166">
        <v>0</v>
      </c>
      <c r="BD1075" s="166">
        <v>0</v>
      </c>
      <c r="BE1075" s="166">
        <v>0</v>
      </c>
      <c r="BF1075" s="166">
        <v>0</v>
      </c>
      <c r="BG1075" s="166">
        <v>0</v>
      </c>
      <c r="BH1075" s="166">
        <v>0</v>
      </c>
      <c r="BI1075" s="166">
        <v>0</v>
      </c>
      <c r="BJ1075" s="166">
        <v>0</v>
      </c>
      <c r="BK1075" s="166">
        <v>0</v>
      </c>
      <c r="BL1075" s="166">
        <v>0</v>
      </c>
      <c r="BM1075" s="166">
        <v>0</v>
      </c>
      <c r="BN1075" s="166">
        <v>0</v>
      </c>
      <c r="BO1075" s="166">
        <v>0</v>
      </c>
      <c r="BP1075" s="166">
        <v>0</v>
      </c>
      <c r="BQ1075" s="81" t="s">
        <v>1757</v>
      </c>
      <c r="BZ1075" s="81" t="s">
        <v>155</v>
      </c>
      <c r="CA1075" s="81" t="s">
        <v>1937</v>
      </c>
      <c r="CC1075" s="167">
        <v>0</v>
      </c>
      <c r="CD1075" s="167">
        <f>$N1075/4</f>
        <v>0.5</v>
      </c>
      <c r="CE1075" s="167">
        <f>$N1075/4</f>
        <v>0.5</v>
      </c>
      <c r="CF1075" s="167">
        <f>$N1075/4</f>
        <v>0.5</v>
      </c>
      <c r="CG1075" s="167">
        <f>$N1075/4</f>
        <v>0.5</v>
      </c>
      <c r="CH1075" s="167">
        <v>0</v>
      </c>
      <c r="CI1075" s="167">
        <v>0</v>
      </c>
      <c r="CJ1075" s="167">
        <v>0</v>
      </c>
      <c r="CK1075" s="167">
        <v>0</v>
      </c>
      <c r="CL1075" s="167">
        <v>0</v>
      </c>
      <c r="CM1075" s="167">
        <v>0</v>
      </c>
      <c r="CN1075" s="167">
        <v>0</v>
      </c>
      <c r="CO1075" s="167">
        <v>0</v>
      </c>
      <c r="CP1075" s="167">
        <v>0</v>
      </c>
      <c r="CQ1075" s="167">
        <v>0</v>
      </c>
      <c r="CR1075" s="167">
        <v>0</v>
      </c>
      <c r="CS1075" s="167">
        <v>0</v>
      </c>
      <c r="CT1075" s="167">
        <v>0</v>
      </c>
      <c r="CU1075" s="167">
        <v>0</v>
      </c>
      <c r="CV1075" s="167">
        <v>0</v>
      </c>
      <c r="CW1075" s="167">
        <v>0</v>
      </c>
      <c r="CX1075" s="167">
        <f>SUM(CD1075:CH1075)</f>
        <v>2</v>
      </c>
      <c r="CY1075" s="167">
        <f>SUM(CD1075:CM1075)</f>
        <v>2</v>
      </c>
    </row>
    <row r="1076" spans="1:103" ht="12.75" customHeight="1" x14ac:dyDescent="0.2">
      <c r="A1076" s="81">
        <v>6545</v>
      </c>
      <c r="B1076" s="165" t="s">
        <v>1930</v>
      </c>
      <c r="C1076" s="165" t="s">
        <v>2828</v>
      </c>
      <c r="E1076" s="165" t="s">
        <v>2812</v>
      </c>
      <c r="G1076" s="81">
        <v>527162</v>
      </c>
      <c r="H1076" s="81">
        <v>171611</v>
      </c>
      <c r="I1076" s="165" t="s">
        <v>242</v>
      </c>
      <c r="L1076" s="166">
        <v>1</v>
      </c>
      <c r="M1076" s="166">
        <v>2</v>
      </c>
      <c r="N1076" s="166">
        <v>1</v>
      </c>
      <c r="O1076" s="166">
        <v>2</v>
      </c>
      <c r="P1076" s="166">
        <v>1</v>
      </c>
      <c r="R1076" s="165" t="s">
        <v>2829</v>
      </c>
      <c r="S1076" s="81" t="s">
        <v>113</v>
      </c>
      <c r="T1076" s="349">
        <v>42943</v>
      </c>
      <c r="U1076" s="349">
        <v>42999</v>
      </c>
      <c r="V1076" s="81" t="s">
        <v>155</v>
      </c>
      <c r="W1076" s="81" t="s">
        <v>114</v>
      </c>
      <c r="Y1076" s="81" t="s">
        <v>115</v>
      </c>
      <c r="Z1076" s="81" t="s">
        <v>119</v>
      </c>
      <c r="AA1076" s="81" t="s">
        <v>117</v>
      </c>
      <c r="AB1076" s="81" t="s">
        <v>220</v>
      </c>
      <c r="AC1076" s="166">
        <v>4.0000001899898104E-3</v>
      </c>
      <c r="AG1076" s="81" t="s">
        <v>238</v>
      </c>
      <c r="AH1076" s="81" t="s">
        <v>118</v>
      </c>
      <c r="AK1076" s="166">
        <v>0</v>
      </c>
      <c r="AM1076" s="166">
        <v>0</v>
      </c>
      <c r="AO1076" s="166">
        <v>1</v>
      </c>
      <c r="AP1076" s="166">
        <v>1</v>
      </c>
      <c r="AQ1076" s="166">
        <v>0</v>
      </c>
      <c r="AR1076" s="166">
        <v>-1</v>
      </c>
      <c r="AS1076" s="166">
        <v>0</v>
      </c>
      <c r="AT1076" s="166">
        <v>0</v>
      </c>
      <c r="AU1076" s="166">
        <v>0</v>
      </c>
      <c r="AV1076" s="166">
        <v>1</v>
      </c>
      <c r="AW1076" s="166">
        <v>1</v>
      </c>
      <c r="AX1076" s="166">
        <v>0</v>
      </c>
      <c r="AY1076" s="166">
        <v>-1</v>
      </c>
      <c r="AZ1076" s="166">
        <v>0</v>
      </c>
      <c r="BA1076" s="166">
        <v>0</v>
      </c>
      <c r="BB1076" s="166">
        <v>0</v>
      </c>
      <c r="BC1076" s="166">
        <v>0</v>
      </c>
      <c r="BD1076" s="166">
        <v>0</v>
      </c>
      <c r="BE1076" s="166">
        <v>0</v>
      </c>
      <c r="BF1076" s="166">
        <v>0</v>
      </c>
      <c r="BG1076" s="166">
        <v>0</v>
      </c>
      <c r="BH1076" s="166">
        <v>0</v>
      </c>
      <c r="BI1076" s="166">
        <v>0</v>
      </c>
      <c r="BJ1076" s="166">
        <v>0</v>
      </c>
      <c r="BK1076" s="166">
        <v>0</v>
      </c>
      <c r="BL1076" s="166">
        <v>0</v>
      </c>
      <c r="BM1076" s="166">
        <v>0</v>
      </c>
      <c r="BN1076" s="166">
        <v>0</v>
      </c>
      <c r="BO1076" s="166">
        <v>0</v>
      </c>
      <c r="BP1076" s="166">
        <v>0</v>
      </c>
      <c r="BQ1076" s="81" t="s">
        <v>1757</v>
      </c>
      <c r="BZ1076" s="81" t="s">
        <v>155</v>
      </c>
      <c r="CA1076" s="81" t="s">
        <v>1937</v>
      </c>
      <c r="CC1076" s="167">
        <v>0</v>
      </c>
      <c r="CD1076" s="167">
        <f>$N1076/4</f>
        <v>0.25</v>
      </c>
      <c r="CE1076" s="167">
        <f>$N1076/4</f>
        <v>0.25</v>
      </c>
      <c r="CF1076" s="167">
        <f>$N1076/4</f>
        <v>0.25</v>
      </c>
      <c r="CG1076" s="167">
        <f>$N1076/4</f>
        <v>0.25</v>
      </c>
      <c r="CH1076" s="167">
        <v>0</v>
      </c>
      <c r="CI1076" s="167">
        <v>0</v>
      </c>
      <c r="CJ1076" s="167">
        <v>0</v>
      </c>
      <c r="CK1076" s="167">
        <v>0</v>
      </c>
      <c r="CL1076" s="167">
        <v>0</v>
      </c>
      <c r="CM1076" s="167">
        <v>0</v>
      </c>
      <c r="CN1076" s="167">
        <v>0</v>
      </c>
      <c r="CO1076" s="167">
        <v>0</v>
      </c>
      <c r="CP1076" s="167">
        <v>0</v>
      </c>
      <c r="CQ1076" s="167">
        <v>0</v>
      </c>
      <c r="CR1076" s="167">
        <v>0</v>
      </c>
      <c r="CS1076" s="167">
        <v>0</v>
      </c>
      <c r="CT1076" s="167">
        <v>0</v>
      </c>
      <c r="CU1076" s="167">
        <v>0</v>
      </c>
      <c r="CV1076" s="167">
        <v>0</v>
      </c>
      <c r="CW1076" s="167">
        <v>0</v>
      </c>
      <c r="CX1076" s="167">
        <f>SUM(CD1076:CH1076)</f>
        <v>1</v>
      </c>
      <c r="CY1076" s="167">
        <f>SUM(CD1076:CM1076)</f>
        <v>1</v>
      </c>
    </row>
    <row r="1077" spans="1:103" ht="12.75" customHeight="1" x14ac:dyDescent="0.2">
      <c r="A1077" s="81">
        <v>6553</v>
      </c>
      <c r="B1077" s="165" t="s">
        <v>1930</v>
      </c>
      <c r="C1077" s="165" t="s">
        <v>2842</v>
      </c>
      <c r="E1077" s="165" t="s">
        <v>2843</v>
      </c>
      <c r="G1077" s="81">
        <v>525441</v>
      </c>
      <c r="H1077" s="81">
        <v>172855</v>
      </c>
      <c r="I1077" s="165" t="s">
        <v>258</v>
      </c>
      <c r="L1077" s="166">
        <v>0</v>
      </c>
      <c r="M1077" s="166">
        <v>1</v>
      </c>
      <c r="N1077" s="166">
        <v>1</v>
      </c>
      <c r="O1077" s="166">
        <v>1</v>
      </c>
      <c r="P1077" s="166">
        <v>1</v>
      </c>
      <c r="R1077" s="165" t="s">
        <v>2844</v>
      </c>
      <c r="S1077" s="81" t="s">
        <v>110</v>
      </c>
      <c r="T1077" s="349">
        <v>42858</v>
      </c>
      <c r="U1077" s="349">
        <v>42900</v>
      </c>
      <c r="V1077" s="81" t="s">
        <v>155</v>
      </c>
      <c r="W1077" s="81" t="s">
        <v>114</v>
      </c>
      <c r="Y1077" s="81" t="s">
        <v>115</v>
      </c>
      <c r="Z1077" s="81" t="s">
        <v>310</v>
      </c>
      <c r="AA1077" s="81" t="s">
        <v>117</v>
      </c>
      <c r="AB1077" s="81" t="s">
        <v>102</v>
      </c>
      <c r="AC1077" s="166">
        <v>1.4000000432133701E-2</v>
      </c>
      <c r="AG1077" s="81" t="s">
        <v>238</v>
      </c>
      <c r="AH1077" s="81" t="s">
        <v>118</v>
      </c>
      <c r="AK1077" s="166">
        <v>0</v>
      </c>
      <c r="AM1077" s="166">
        <v>0</v>
      </c>
      <c r="AO1077" s="166">
        <v>0</v>
      </c>
      <c r="AP1077" s="166">
        <v>0</v>
      </c>
      <c r="AQ1077" s="166">
        <v>1</v>
      </c>
      <c r="AR1077" s="166">
        <v>0</v>
      </c>
      <c r="AS1077" s="166">
        <v>0</v>
      </c>
      <c r="AT1077" s="166">
        <v>0</v>
      </c>
      <c r="AU1077" s="166">
        <v>0</v>
      </c>
      <c r="AV1077" s="166">
        <v>0</v>
      </c>
      <c r="AW1077" s="166">
        <v>0</v>
      </c>
      <c r="AX1077" s="166">
        <v>1</v>
      </c>
      <c r="AY1077" s="166">
        <v>0</v>
      </c>
      <c r="AZ1077" s="166">
        <v>0</v>
      </c>
      <c r="BA1077" s="166">
        <v>0</v>
      </c>
      <c r="BB1077" s="166">
        <v>0</v>
      </c>
      <c r="BC1077" s="166">
        <v>0</v>
      </c>
      <c r="BD1077" s="166">
        <v>0</v>
      </c>
      <c r="BE1077" s="166">
        <v>0</v>
      </c>
      <c r="BF1077" s="166">
        <v>0</v>
      </c>
      <c r="BG1077" s="166">
        <v>0</v>
      </c>
      <c r="BH1077" s="166">
        <v>0</v>
      </c>
      <c r="BI1077" s="166">
        <v>0</v>
      </c>
      <c r="BJ1077" s="166">
        <v>0</v>
      </c>
      <c r="BK1077" s="166">
        <v>0</v>
      </c>
      <c r="BL1077" s="166">
        <v>0</v>
      </c>
      <c r="BM1077" s="166">
        <v>0</v>
      </c>
      <c r="BN1077" s="166">
        <v>0</v>
      </c>
      <c r="BO1077" s="166">
        <v>0</v>
      </c>
      <c r="BP1077" s="166">
        <v>0</v>
      </c>
      <c r="BQ1077" s="81" t="s">
        <v>1758</v>
      </c>
      <c r="BY1077" s="81" t="s">
        <v>155</v>
      </c>
      <c r="BZ1077" s="81" t="s">
        <v>155</v>
      </c>
      <c r="CA1077" s="81" t="s">
        <v>1937</v>
      </c>
      <c r="CC1077" s="167">
        <v>0</v>
      </c>
      <c r="CD1077" s="167">
        <f>$N1077/4</f>
        <v>0.25</v>
      </c>
      <c r="CE1077" s="167">
        <f>$N1077/4</f>
        <v>0.25</v>
      </c>
      <c r="CF1077" s="167">
        <f>$N1077/4</f>
        <v>0.25</v>
      </c>
      <c r="CG1077" s="167">
        <f>$N1077/4</f>
        <v>0.25</v>
      </c>
      <c r="CH1077" s="167">
        <v>0</v>
      </c>
      <c r="CI1077" s="167">
        <v>0</v>
      </c>
      <c r="CJ1077" s="167">
        <v>0</v>
      </c>
      <c r="CK1077" s="167">
        <v>0</v>
      </c>
      <c r="CL1077" s="167">
        <v>0</v>
      </c>
      <c r="CM1077" s="167">
        <v>0</v>
      </c>
      <c r="CN1077" s="167">
        <v>0</v>
      </c>
      <c r="CO1077" s="167">
        <v>0</v>
      </c>
      <c r="CP1077" s="167">
        <v>0</v>
      </c>
      <c r="CQ1077" s="167">
        <v>0</v>
      </c>
      <c r="CR1077" s="167">
        <v>0</v>
      </c>
      <c r="CS1077" s="167">
        <v>0</v>
      </c>
      <c r="CT1077" s="167">
        <v>0</v>
      </c>
      <c r="CU1077" s="167">
        <v>0</v>
      </c>
      <c r="CV1077" s="167">
        <v>0</v>
      </c>
      <c r="CW1077" s="167">
        <v>0</v>
      </c>
      <c r="CX1077" s="167">
        <f>SUM(CD1077:CH1077)</f>
        <v>1</v>
      </c>
      <c r="CY1077" s="167">
        <f>SUM(CD1077:CM1077)</f>
        <v>1</v>
      </c>
    </row>
    <row r="1078" spans="1:103" ht="12.75" customHeight="1" x14ac:dyDescent="0.2">
      <c r="A1078" s="81">
        <v>6563</v>
      </c>
      <c r="B1078" s="165" t="s">
        <v>1930</v>
      </c>
      <c r="C1078" s="165" t="s">
        <v>3448</v>
      </c>
      <c r="E1078" s="165" t="s">
        <v>3449</v>
      </c>
      <c r="G1078" s="81">
        <v>526668</v>
      </c>
      <c r="H1078" s="81">
        <v>176335</v>
      </c>
      <c r="I1078" s="165" t="s">
        <v>257</v>
      </c>
      <c r="L1078" s="166">
        <v>0</v>
      </c>
      <c r="M1078" s="166">
        <v>11</v>
      </c>
      <c r="N1078" s="166">
        <v>11</v>
      </c>
      <c r="O1078" s="166">
        <v>11</v>
      </c>
      <c r="P1078" s="166">
        <v>11</v>
      </c>
      <c r="Q1078" s="81" t="s">
        <v>155</v>
      </c>
      <c r="R1078" s="165" t="s">
        <v>3450</v>
      </c>
      <c r="S1078" s="81" t="s">
        <v>270</v>
      </c>
      <c r="T1078" s="349">
        <v>42912</v>
      </c>
      <c r="U1078" s="349">
        <v>42965</v>
      </c>
      <c r="V1078" s="81" t="s">
        <v>155</v>
      </c>
      <c r="W1078" s="81" t="s">
        <v>114</v>
      </c>
      <c r="Y1078" s="81" t="s">
        <v>115</v>
      </c>
      <c r="Z1078" s="81" t="s">
        <v>310</v>
      </c>
      <c r="AA1078" s="81" t="s">
        <v>117</v>
      </c>
      <c r="AB1078" s="81" t="s">
        <v>399</v>
      </c>
      <c r="AC1078" s="166">
        <v>1.7000000923872001E-2</v>
      </c>
      <c r="AG1078" s="81" t="s">
        <v>238</v>
      </c>
      <c r="AH1078" s="81" t="s">
        <v>118</v>
      </c>
      <c r="AK1078" s="166">
        <v>0</v>
      </c>
      <c r="AM1078" s="166">
        <v>0</v>
      </c>
      <c r="AO1078" s="166">
        <v>0</v>
      </c>
      <c r="AP1078" s="166">
        <v>4</v>
      </c>
      <c r="AQ1078" s="166">
        <v>3</v>
      </c>
      <c r="AR1078" s="166">
        <v>4</v>
      </c>
      <c r="AS1078" s="166">
        <v>0</v>
      </c>
      <c r="AT1078" s="166">
        <v>0</v>
      </c>
      <c r="AU1078" s="166">
        <v>0</v>
      </c>
      <c r="AV1078" s="166">
        <v>0</v>
      </c>
      <c r="AW1078" s="166">
        <v>4</v>
      </c>
      <c r="AX1078" s="166">
        <v>3</v>
      </c>
      <c r="AY1078" s="166">
        <v>4</v>
      </c>
      <c r="AZ1078" s="166">
        <v>0</v>
      </c>
      <c r="BA1078" s="166">
        <v>0</v>
      </c>
      <c r="BB1078" s="166">
        <v>0</v>
      </c>
      <c r="BC1078" s="166">
        <v>0</v>
      </c>
      <c r="BD1078" s="166">
        <v>0</v>
      </c>
      <c r="BE1078" s="166">
        <v>0</v>
      </c>
      <c r="BF1078" s="166">
        <v>0</v>
      </c>
      <c r="BG1078" s="166">
        <v>0</v>
      </c>
      <c r="BH1078" s="166">
        <v>0</v>
      </c>
      <c r="BI1078" s="166">
        <v>0</v>
      </c>
      <c r="BJ1078" s="166">
        <v>0</v>
      </c>
      <c r="BK1078" s="166">
        <v>0</v>
      </c>
      <c r="BL1078" s="166">
        <v>0</v>
      </c>
      <c r="BM1078" s="166">
        <v>0</v>
      </c>
      <c r="BN1078" s="166">
        <v>0</v>
      </c>
      <c r="BO1078" s="166">
        <v>0</v>
      </c>
      <c r="BP1078" s="166">
        <v>0</v>
      </c>
      <c r="BQ1078" s="81" t="s">
        <v>1757</v>
      </c>
      <c r="BX1078" s="81" t="s">
        <v>155</v>
      </c>
      <c r="BZ1078" s="81" t="s">
        <v>155</v>
      </c>
      <c r="CA1078" s="81" t="s">
        <v>3972</v>
      </c>
      <c r="CC1078" s="167">
        <v>0</v>
      </c>
      <c r="CD1078" s="167">
        <f>$N1078/4</f>
        <v>2.75</v>
      </c>
      <c r="CE1078" s="167">
        <f>$N1078/4</f>
        <v>2.75</v>
      </c>
      <c r="CF1078" s="167">
        <f>$N1078/4</f>
        <v>2.75</v>
      </c>
      <c r="CG1078" s="167">
        <f>$N1078/4</f>
        <v>2.75</v>
      </c>
      <c r="CH1078" s="167">
        <v>0</v>
      </c>
      <c r="CI1078" s="167">
        <v>0</v>
      </c>
      <c r="CJ1078" s="167">
        <v>0</v>
      </c>
      <c r="CK1078" s="167">
        <v>0</v>
      </c>
      <c r="CL1078" s="167">
        <v>0</v>
      </c>
      <c r="CM1078" s="167">
        <v>0</v>
      </c>
      <c r="CN1078" s="167">
        <v>0</v>
      </c>
      <c r="CO1078" s="167">
        <v>0</v>
      </c>
      <c r="CP1078" s="167">
        <v>0</v>
      </c>
      <c r="CQ1078" s="167">
        <v>0</v>
      </c>
      <c r="CR1078" s="167">
        <v>0</v>
      </c>
      <c r="CS1078" s="167">
        <v>0</v>
      </c>
      <c r="CT1078" s="167">
        <v>0</v>
      </c>
      <c r="CU1078" s="167">
        <v>0</v>
      </c>
      <c r="CV1078" s="167">
        <v>0</v>
      </c>
      <c r="CW1078" s="167">
        <v>0</v>
      </c>
      <c r="CX1078" s="167">
        <f>SUM(CD1078:CH1078)</f>
        <v>11</v>
      </c>
      <c r="CY1078" s="167">
        <f>SUM(CD1078:CM1078)</f>
        <v>11</v>
      </c>
    </row>
    <row r="1079" spans="1:103" ht="12.75" customHeight="1" x14ac:dyDescent="0.2">
      <c r="A1079" s="81">
        <v>6564</v>
      </c>
      <c r="B1079" s="165" t="s">
        <v>1930</v>
      </c>
      <c r="C1079" s="165" t="s">
        <v>3451</v>
      </c>
      <c r="E1079" s="165" t="s">
        <v>3452</v>
      </c>
      <c r="G1079" s="81">
        <v>524601</v>
      </c>
      <c r="H1079" s="81">
        <v>175314</v>
      </c>
      <c r="I1079" s="165" t="s">
        <v>259</v>
      </c>
      <c r="L1079" s="166">
        <v>0</v>
      </c>
      <c r="M1079" s="166">
        <v>15</v>
      </c>
      <c r="N1079" s="166">
        <v>15</v>
      </c>
      <c r="O1079" s="166">
        <v>15</v>
      </c>
      <c r="P1079" s="166">
        <v>15</v>
      </c>
      <c r="Q1079" s="81" t="s">
        <v>155</v>
      </c>
      <c r="R1079" s="165" t="s">
        <v>3453</v>
      </c>
      <c r="S1079" s="81" t="s">
        <v>110</v>
      </c>
      <c r="T1079" s="349">
        <v>42950</v>
      </c>
      <c r="U1079" s="349">
        <v>43005</v>
      </c>
      <c r="V1079" s="81" t="s">
        <v>155</v>
      </c>
      <c r="W1079" s="81" t="s">
        <v>114</v>
      </c>
      <c r="Y1079" s="81" t="s">
        <v>115</v>
      </c>
      <c r="Z1079" s="81" t="s">
        <v>310</v>
      </c>
      <c r="AA1079" s="81" t="s">
        <v>1764</v>
      </c>
      <c r="AB1079" s="81" t="s">
        <v>117</v>
      </c>
      <c r="AC1079" s="166">
        <v>3.0999999493360499E-2</v>
      </c>
      <c r="AG1079" s="81" t="s">
        <v>238</v>
      </c>
      <c r="AH1079" s="81" t="s">
        <v>118</v>
      </c>
      <c r="AK1079" s="166">
        <v>0</v>
      </c>
      <c r="AM1079" s="166">
        <v>0</v>
      </c>
      <c r="AO1079" s="166">
        <v>0</v>
      </c>
      <c r="AP1079" s="166">
        <v>12</v>
      </c>
      <c r="AQ1079" s="166">
        <v>3</v>
      </c>
      <c r="AR1079" s="166">
        <v>0</v>
      </c>
      <c r="AS1079" s="166">
        <v>0</v>
      </c>
      <c r="AT1079" s="166">
        <v>0</v>
      </c>
      <c r="AU1079" s="166">
        <v>0</v>
      </c>
      <c r="AV1079" s="166">
        <v>0</v>
      </c>
      <c r="AW1079" s="166">
        <v>12</v>
      </c>
      <c r="AX1079" s="166">
        <v>3</v>
      </c>
      <c r="AY1079" s="166">
        <v>0</v>
      </c>
      <c r="AZ1079" s="166">
        <v>0</v>
      </c>
      <c r="BA1079" s="166">
        <v>0</v>
      </c>
      <c r="BB1079" s="166">
        <v>0</v>
      </c>
      <c r="BC1079" s="166">
        <v>0</v>
      </c>
      <c r="BD1079" s="166">
        <v>0</v>
      </c>
      <c r="BE1079" s="166">
        <v>0</v>
      </c>
      <c r="BF1079" s="166">
        <v>0</v>
      </c>
      <c r="BG1079" s="166">
        <v>0</v>
      </c>
      <c r="BH1079" s="166">
        <v>0</v>
      </c>
      <c r="BI1079" s="166">
        <v>0</v>
      </c>
      <c r="BJ1079" s="166">
        <v>0</v>
      </c>
      <c r="BK1079" s="166">
        <v>0</v>
      </c>
      <c r="BL1079" s="166">
        <v>0</v>
      </c>
      <c r="BM1079" s="166">
        <v>0</v>
      </c>
      <c r="BN1079" s="166">
        <v>0</v>
      </c>
      <c r="BO1079" s="166">
        <v>0</v>
      </c>
      <c r="BP1079" s="166">
        <v>0</v>
      </c>
      <c r="BQ1079" s="81" t="s">
        <v>1758</v>
      </c>
      <c r="BX1079" s="81" t="s">
        <v>155</v>
      </c>
      <c r="BZ1079" s="81" t="s">
        <v>155</v>
      </c>
      <c r="CA1079" s="81" t="s">
        <v>3972</v>
      </c>
      <c r="CC1079" s="167">
        <v>0</v>
      </c>
      <c r="CD1079" s="167">
        <f>$N1079/4</f>
        <v>3.75</v>
      </c>
      <c r="CE1079" s="167">
        <f>$N1079/4</f>
        <v>3.75</v>
      </c>
      <c r="CF1079" s="167">
        <f>$N1079/4</f>
        <v>3.75</v>
      </c>
      <c r="CG1079" s="167">
        <f>$N1079/4</f>
        <v>3.75</v>
      </c>
      <c r="CH1079" s="167">
        <v>0</v>
      </c>
      <c r="CI1079" s="167">
        <v>0</v>
      </c>
      <c r="CJ1079" s="167">
        <v>0</v>
      </c>
      <c r="CK1079" s="167">
        <v>0</v>
      </c>
      <c r="CL1079" s="167">
        <v>0</v>
      </c>
      <c r="CM1079" s="167">
        <v>0</v>
      </c>
      <c r="CN1079" s="167">
        <v>0</v>
      </c>
      <c r="CO1079" s="167">
        <v>0</v>
      </c>
      <c r="CP1079" s="167">
        <v>0</v>
      </c>
      <c r="CQ1079" s="167">
        <v>0</v>
      </c>
      <c r="CR1079" s="167">
        <v>0</v>
      </c>
      <c r="CS1079" s="167">
        <v>0</v>
      </c>
      <c r="CT1079" s="167">
        <v>0</v>
      </c>
      <c r="CU1079" s="167">
        <v>0</v>
      </c>
      <c r="CV1079" s="167">
        <v>0</v>
      </c>
      <c r="CW1079" s="167">
        <v>0</v>
      </c>
      <c r="CX1079" s="167">
        <f>SUM(CD1079:CH1079)</f>
        <v>15</v>
      </c>
      <c r="CY1079" s="167">
        <f>SUM(CD1079:CM1079)</f>
        <v>15</v>
      </c>
    </row>
    <row r="1080" spans="1:103" ht="12.75" customHeight="1" x14ac:dyDescent="0.2">
      <c r="A1080" s="81">
        <v>6565</v>
      </c>
      <c r="B1080" s="165" t="s">
        <v>1930</v>
      </c>
      <c r="C1080" s="165" t="s">
        <v>2814</v>
      </c>
      <c r="E1080" s="165" t="s">
        <v>2815</v>
      </c>
      <c r="G1080" s="81">
        <v>524133</v>
      </c>
      <c r="H1080" s="81">
        <v>175006</v>
      </c>
      <c r="I1080" s="165" t="s">
        <v>259</v>
      </c>
      <c r="L1080" s="166">
        <v>0</v>
      </c>
      <c r="M1080" s="166">
        <v>5</v>
      </c>
      <c r="N1080" s="166">
        <v>5</v>
      </c>
      <c r="O1080" s="166">
        <v>5</v>
      </c>
      <c r="P1080" s="166">
        <v>5</v>
      </c>
      <c r="R1080" s="165" t="s">
        <v>2816</v>
      </c>
      <c r="S1080" s="81" t="s">
        <v>113</v>
      </c>
      <c r="T1080" s="349">
        <v>42835</v>
      </c>
      <c r="U1080" s="349">
        <v>42912</v>
      </c>
      <c r="V1080" s="81" t="s">
        <v>155</v>
      </c>
      <c r="W1080" s="81" t="s">
        <v>114</v>
      </c>
      <c r="Y1080" s="81" t="s">
        <v>115</v>
      </c>
      <c r="Z1080" s="81" t="s">
        <v>116</v>
      </c>
      <c r="AA1080" s="81" t="s">
        <v>117</v>
      </c>
      <c r="AB1080" s="81" t="s">
        <v>218</v>
      </c>
      <c r="AC1080" s="166">
        <v>9.9999997764825804E-3</v>
      </c>
      <c r="AG1080" s="81" t="s">
        <v>238</v>
      </c>
      <c r="AH1080" s="81" t="s">
        <v>118</v>
      </c>
      <c r="AK1080" s="166">
        <v>0</v>
      </c>
      <c r="AM1080" s="166">
        <v>0</v>
      </c>
      <c r="AO1080" s="166">
        <v>0</v>
      </c>
      <c r="AP1080" s="166">
        <v>0</v>
      </c>
      <c r="AQ1080" s="166">
        <v>5</v>
      </c>
      <c r="AR1080" s="166">
        <v>0</v>
      </c>
      <c r="AS1080" s="166">
        <v>0</v>
      </c>
      <c r="AT1080" s="166">
        <v>0</v>
      </c>
      <c r="AU1080" s="166">
        <v>0</v>
      </c>
      <c r="AV1080" s="166">
        <v>0</v>
      </c>
      <c r="AW1080" s="166">
        <v>0</v>
      </c>
      <c r="AX1080" s="166">
        <v>5</v>
      </c>
      <c r="AY1080" s="166">
        <v>0</v>
      </c>
      <c r="AZ1080" s="166">
        <v>0</v>
      </c>
      <c r="BA1080" s="166">
        <v>0</v>
      </c>
      <c r="BB1080" s="166">
        <v>0</v>
      </c>
      <c r="BC1080" s="166">
        <v>0</v>
      </c>
      <c r="BD1080" s="166">
        <v>0</v>
      </c>
      <c r="BE1080" s="166">
        <v>0</v>
      </c>
      <c r="BF1080" s="166">
        <v>0</v>
      </c>
      <c r="BG1080" s="166">
        <v>0</v>
      </c>
      <c r="BH1080" s="166">
        <v>0</v>
      </c>
      <c r="BI1080" s="166">
        <v>0</v>
      </c>
      <c r="BJ1080" s="166">
        <v>0</v>
      </c>
      <c r="BK1080" s="166">
        <v>0</v>
      </c>
      <c r="BL1080" s="166">
        <v>0</v>
      </c>
      <c r="BM1080" s="166">
        <v>0</v>
      </c>
      <c r="BN1080" s="166">
        <v>0</v>
      </c>
      <c r="BO1080" s="166">
        <v>0</v>
      </c>
      <c r="BP1080" s="166">
        <v>0</v>
      </c>
      <c r="BQ1080" s="81" t="s">
        <v>1758</v>
      </c>
      <c r="BR1080" s="81" t="s">
        <v>161</v>
      </c>
      <c r="BV1080" s="81" t="s">
        <v>155</v>
      </c>
      <c r="BZ1080" s="81" t="s">
        <v>155</v>
      </c>
      <c r="CA1080" s="81">
        <v>4</v>
      </c>
      <c r="CC1080" s="167">
        <v>0</v>
      </c>
      <c r="CD1080" s="167">
        <v>0</v>
      </c>
      <c r="CE1080" s="167">
        <f>$N1080/4</f>
        <v>1.25</v>
      </c>
      <c r="CF1080" s="167">
        <f>$N1080/4</f>
        <v>1.25</v>
      </c>
      <c r="CG1080" s="167">
        <f>$N1080/4</f>
        <v>1.25</v>
      </c>
      <c r="CH1080" s="167">
        <f>$N1080/4</f>
        <v>1.25</v>
      </c>
      <c r="CI1080" s="167">
        <v>0</v>
      </c>
      <c r="CJ1080" s="167">
        <v>0</v>
      </c>
      <c r="CK1080" s="167">
        <v>0</v>
      </c>
      <c r="CL1080" s="167">
        <v>0</v>
      </c>
      <c r="CM1080" s="167">
        <v>0</v>
      </c>
      <c r="CN1080" s="167">
        <v>0</v>
      </c>
      <c r="CO1080" s="167">
        <v>0</v>
      </c>
      <c r="CP1080" s="167">
        <v>0</v>
      </c>
      <c r="CQ1080" s="167">
        <v>0</v>
      </c>
      <c r="CR1080" s="167">
        <v>0</v>
      </c>
      <c r="CS1080" s="167">
        <v>0</v>
      </c>
      <c r="CT1080" s="167">
        <v>0</v>
      </c>
      <c r="CU1080" s="167">
        <v>0</v>
      </c>
      <c r="CV1080" s="167">
        <v>0</v>
      </c>
      <c r="CW1080" s="167">
        <v>0</v>
      </c>
      <c r="CX1080" s="167">
        <f>SUM(CD1080:CH1080)</f>
        <v>5</v>
      </c>
      <c r="CY1080" s="167">
        <f>SUM(CD1080:CM1080)</f>
        <v>5</v>
      </c>
    </row>
    <row r="1081" spans="1:103" ht="12.75" customHeight="1" x14ac:dyDescent="0.2">
      <c r="A1081" s="81">
        <v>6566</v>
      </c>
      <c r="B1081" s="165" t="s">
        <v>1930</v>
      </c>
      <c r="C1081" s="165" t="s">
        <v>2817</v>
      </c>
      <c r="E1081" s="165" t="s">
        <v>2818</v>
      </c>
      <c r="F1081" s="165" t="s">
        <v>1803</v>
      </c>
      <c r="G1081" s="81">
        <v>527021</v>
      </c>
      <c r="H1081" s="81">
        <v>175153</v>
      </c>
      <c r="I1081" s="165" t="s">
        <v>251</v>
      </c>
      <c r="L1081" s="166">
        <v>0</v>
      </c>
      <c r="M1081" s="166">
        <v>1</v>
      </c>
      <c r="N1081" s="166">
        <v>1</v>
      </c>
      <c r="O1081" s="166">
        <v>3</v>
      </c>
      <c r="P1081" s="166">
        <v>1</v>
      </c>
      <c r="R1081" s="165" t="s">
        <v>2819</v>
      </c>
      <c r="S1081" s="81" t="s">
        <v>113</v>
      </c>
      <c r="T1081" s="349">
        <v>43054</v>
      </c>
      <c r="U1081" s="349">
        <v>43164</v>
      </c>
      <c r="V1081" s="81" t="s">
        <v>155</v>
      </c>
      <c r="W1081" s="81" t="s">
        <v>114</v>
      </c>
      <c r="Y1081" s="81" t="s">
        <v>115</v>
      </c>
      <c r="Z1081" s="81" t="s">
        <v>398</v>
      </c>
      <c r="AA1081" s="81" t="s">
        <v>117</v>
      </c>
      <c r="AB1081" s="81" t="s">
        <v>218</v>
      </c>
      <c r="AC1081" s="166">
        <v>2.0000000949949E-3</v>
      </c>
      <c r="AG1081" s="81" t="s">
        <v>238</v>
      </c>
      <c r="AH1081" s="81" t="s">
        <v>118</v>
      </c>
      <c r="AK1081" s="166">
        <v>0</v>
      </c>
      <c r="AM1081" s="166">
        <v>0</v>
      </c>
      <c r="AO1081" s="166">
        <v>0</v>
      </c>
      <c r="AP1081" s="166">
        <v>1</v>
      </c>
      <c r="AQ1081" s="166">
        <v>0</v>
      </c>
      <c r="AR1081" s="166">
        <v>0</v>
      </c>
      <c r="AS1081" s="166">
        <v>0</v>
      </c>
      <c r="AT1081" s="166">
        <v>0</v>
      </c>
      <c r="AU1081" s="166">
        <v>0</v>
      </c>
      <c r="AV1081" s="166">
        <v>0</v>
      </c>
      <c r="AW1081" s="166">
        <v>1</v>
      </c>
      <c r="AX1081" s="166">
        <v>0</v>
      </c>
      <c r="AY1081" s="166">
        <v>0</v>
      </c>
      <c r="AZ1081" s="166">
        <v>0</v>
      </c>
      <c r="BA1081" s="166">
        <v>0</v>
      </c>
      <c r="BB1081" s="166">
        <v>0</v>
      </c>
      <c r="BC1081" s="166">
        <v>0</v>
      </c>
      <c r="BD1081" s="166">
        <v>0</v>
      </c>
      <c r="BE1081" s="166">
        <v>0</v>
      </c>
      <c r="BF1081" s="166">
        <v>0</v>
      </c>
      <c r="BG1081" s="166">
        <v>0</v>
      </c>
      <c r="BH1081" s="166">
        <v>0</v>
      </c>
      <c r="BI1081" s="166">
        <v>0</v>
      </c>
      <c r="BJ1081" s="166">
        <v>0</v>
      </c>
      <c r="BK1081" s="166">
        <v>0</v>
      </c>
      <c r="BL1081" s="166">
        <v>0</v>
      </c>
      <c r="BM1081" s="166">
        <v>0</v>
      </c>
      <c r="BN1081" s="166">
        <v>0</v>
      </c>
      <c r="BO1081" s="166">
        <v>0</v>
      </c>
      <c r="BP1081" s="166">
        <v>0</v>
      </c>
      <c r="BQ1081" s="81" t="s">
        <v>1758</v>
      </c>
      <c r="BZ1081" s="81" t="s">
        <v>155</v>
      </c>
      <c r="CA1081" s="81" t="s">
        <v>1937</v>
      </c>
      <c r="CC1081" s="167">
        <v>0</v>
      </c>
      <c r="CD1081" s="167">
        <f>$N1081/4</f>
        <v>0.25</v>
      </c>
      <c r="CE1081" s="167">
        <f>$N1081/4</f>
        <v>0.25</v>
      </c>
      <c r="CF1081" s="167">
        <f>$N1081/4</f>
        <v>0.25</v>
      </c>
      <c r="CG1081" s="167">
        <f>$N1081/4</f>
        <v>0.25</v>
      </c>
      <c r="CH1081" s="167">
        <v>0</v>
      </c>
      <c r="CI1081" s="167">
        <v>0</v>
      </c>
      <c r="CJ1081" s="167">
        <v>0</v>
      </c>
      <c r="CK1081" s="167">
        <v>0</v>
      </c>
      <c r="CL1081" s="167">
        <v>0</v>
      </c>
      <c r="CM1081" s="167">
        <v>0</v>
      </c>
      <c r="CN1081" s="167">
        <v>0</v>
      </c>
      <c r="CO1081" s="167">
        <v>0</v>
      </c>
      <c r="CP1081" s="167">
        <v>0</v>
      </c>
      <c r="CQ1081" s="167">
        <v>0</v>
      </c>
      <c r="CR1081" s="167">
        <v>0</v>
      </c>
      <c r="CS1081" s="167">
        <v>0</v>
      </c>
      <c r="CT1081" s="167">
        <v>0</v>
      </c>
      <c r="CU1081" s="167">
        <v>0</v>
      </c>
      <c r="CV1081" s="167">
        <v>0</v>
      </c>
      <c r="CW1081" s="167">
        <v>0</v>
      </c>
      <c r="CX1081" s="167">
        <f>SUM(CD1081:CH1081)</f>
        <v>1</v>
      </c>
      <c r="CY1081" s="167">
        <f>SUM(CD1081:CM1081)</f>
        <v>1</v>
      </c>
    </row>
    <row r="1082" spans="1:103" ht="12.75" customHeight="1" x14ac:dyDescent="0.2">
      <c r="A1082" s="81">
        <v>6566</v>
      </c>
      <c r="B1082" s="165" t="s">
        <v>1930</v>
      </c>
      <c r="C1082" s="165" t="s">
        <v>2817</v>
      </c>
      <c r="E1082" s="165" t="s">
        <v>2818</v>
      </c>
      <c r="G1082" s="81">
        <v>527021</v>
      </c>
      <c r="H1082" s="81">
        <v>175153</v>
      </c>
      <c r="I1082" s="165" t="s">
        <v>251</v>
      </c>
      <c r="L1082" s="166">
        <v>2</v>
      </c>
      <c r="M1082" s="166">
        <v>2</v>
      </c>
      <c r="N1082" s="166">
        <v>0</v>
      </c>
      <c r="O1082" s="166">
        <v>3</v>
      </c>
      <c r="P1082" s="166">
        <v>1</v>
      </c>
      <c r="R1082" s="165" t="s">
        <v>2819</v>
      </c>
      <c r="S1082" s="81" t="s">
        <v>113</v>
      </c>
      <c r="T1082" s="349">
        <v>43054</v>
      </c>
      <c r="U1082" s="349">
        <v>43164</v>
      </c>
      <c r="V1082" s="81" t="s">
        <v>155</v>
      </c>
      <c r="W1082" s="81" t="s">
        <v>114</v>
      </c>
      <c r="Y1082" s="81" t="s">
        <v>115</v>
      </c>
      <c r="Z1082" s="81" t="s">
        <v>398</v>
      </c>
      <c r="AA1082" s="81" t="s">
        <v>117</v>
      </c>
      <c r="AB1082" s="81" t="s">
        <v>220</v>
      </c>
      <c r="AC1082" s="166">
        <v>8.9999996125698107E-3</v>
      </c>
      <c r="AG1082" s="81" t="s">
        <v>238</v>
      </c>
      <c r="AH1082" s="81" t="s">
        <v>118</v>
      </c>
      <c r="AK1082" s="166">
        <v>0</v>
      </c>
      <c r="AM1082" s="166">
        <v>0</v>
      </c>
      <c r="AO1082" s="166">
        <v>0</v>
      </c>
      <c r="AP1082" s="166">
        <v>0</v>
      </c>
      <c r="AQ1082" s="166">
        <v>0</v>
      </c>
      <c r="AR1082" s="166">
        <v>1</v>
      </c>
      <c r="AS1082" s="166">
        <v>-1</v>
      </c>
      <c r="AT1082" s="166">
        <v>0</v>
      </c>
      <c r="AU1082" s="166">
        <v>0</v>
      </c>
      <c r="AV1082" s="166">
        <v>0</v>
      </c>
      <c r="AW1082" s="166">
        <v>0</v>
      </c>
      <c r="AX1082" s="166">
        <v>0</v>
      </c>
      <c r="AY1082" s="166">
        <v>1</v>
      </c>
      <c r="AZ1082" s="166">
        <v>-1</v>
      </c>
      <c r="BA1082" s="166">
        <v>0</v>
      </c>
      <c r="BB1082" s="166">
        <v>0</v>
      </c>
      <c r="BC1082" s="166">
        <v>0</v>
      </c>
      <c r="BD1082" s="166">
        <v>0</v>
      </c>
      <c r="BE1082" s="166">
        <v>0</v>
      </c>
      <c r="BF1082" s="166">
        <v>0</v>
      </c>
      <c r="BG1082" s="166">
        <v>0</v>
      </c>
      <c r="BH1082" s="166">
        <v>0</v>
      </c>
      <c r="BI1082" s="166">
        <v>0</v>
      </c>
      <c r="BJ1082" s="166">
        <v>0</v>
      </c>
      <c r="BK1082" s="166">
        <v>0</v>
      </c>
      <c r="BL1082" s="166">
        <v>0</v>
      </c>
      <c r="BM1082" s="166">
        <v>0</v>
      </c>
      <c r="BN1082" s="166">
        <v>0</v>
      </c>
      <c r="BO1082" s="166">
        <v>0</v>
      </c>
      <c r="BP1082" s="166">
        <v>0</v>
      </c>
      <c r="BQ1082" s="81" t="s">
        <v>1758</v>
      </c>
      <c r="BZ1082" s="81" t="s">
        <v>155</v>
      </c>
      <c r="CA1082" s="81" t="s">
        <v>1937</v>
      </c>
      <c r="CC1082" s="167">
        <v>0</v>
      </c>
      <c r="CD1082" s="167">
        <f>$N1082/4</f>
        <v>0</v>
      </c>
      <c r="CE1082" s="167">
        <f>$N1082/4</f>
        <v>0</v>
      </c>
      <c r="CF1082" s="167">
        <f>$N1082/4</f>
        <v>0</v>
      </c>
      <c r="CG1082" s="167">
        <f>$N1082/4</f>
        <v>0</v>
      </c>
      <c r="CH1082" s="167">
        <v>0</v>
      </c>
      <c r="CI1082" s="167">
        <v>0</v>
      </c>
      <c r="CJ1082" s="167">
        <v>0</v>
      </c>
      <c r="CK1082" s="167">
        <v>0</v>
      </c>
      <c r="CL1082" s="167">
        <v>0</v>
      </c>
      <c r="CM1082" s="167">
        <v>0</v>
      </c>
      <c r="CN1082" s="167">
        <v>0</v>
      </c>
      <c r="CO1082" s="167">
        <v>0</v>
      </c>
      <c r="CP1082" s="167">
        <v>0</v>
      </c>
      <c r="CQ1082" s="167">
        <v>0</v>
      </c>
      <c r="CR1082" s="167">
        <v>0</v>
      </c>
      <c r="CS1082" s="167">
        <v>0</v>
      </c>
      <c r="CT1082" s="167">
        <v>0</v>
      </c>
      <c r="CU1082" s="167">
        <v>0</v>
      </c>
      <c r="CV1082" s="167">
        <v>0</v>
      </c>
      <c r="CW1082" s="167">
        <v>0</v>
      </c>
      <c r="CX1082" s="167">
        <f>SUM(CD1082:CH1082)</f>
        <v>0</v>
      </c>
      <c r="CY1082" s="167">
        <f>SUM(CD1082:CM1082)</f>
        <v>0</v>
      </c>
    </row>
    <row r="1083" spans="1:103" ht="12.75" customHeight="1" x14ac:dyDescent="0.2">
      <c r="A1083" s="81">
        <v>6567</v>
      </c>
      <c r="B1083" s="165" t="s">
        <v>1930</v>
      </c>
      <c r="C1083" s="165" t="s">
        <v>2820</v>
      </c>
      <c r="E1083" s="165" t="s">
        <v>2821</v>
      </c>
      <c r="G1083" s="81">
        <v>523343</v>
      </c>
      <c r="H1083" s="81">
        <v>175175</v>
      </c>
      <c r="I1083" s="165" t="s">
        <v>59</v>
      </c>
      <c r="L1083" s="166">
        <v>2</v>
      </c>
      <c r="M1083" s="166">
        <v>1</v>
      </c>
      <c r="N1083" s="166">
        <v>-1</v>
      </c>
      <c r="O1083" s="166">
        <v>1</v>
      </c>
      <c r="P1083" s="166">
        <v>-1</v>
      </c>
      <c r="R1083" s="165" t="s">
        <v>2822</v>
      </c>
      <c r="S1083" s="81" t="s">
        <v>113</v>
      </c>
      <c r="T1083" s="349">
        <v>42835</v>
      </c>
      <c r="U1083" s="349">
        <v>42888</v>
      </c>
      <c r="V1083" s="81" t="s">
        <v>155</v>
      </c>
      <c r="W1083" s="81" t="s">
        <v>114</v>
      </c>
      <c r="Y1083" s="81" t="s">
        <v>115</v>
      </c>
      <c r="Z1083" s="81" t="s">
        <v>398</v>
      </c>
      <c r="AA1083" s="81" t="s">
        <v>117</v>
      </c>
      <c r="AB1083" s="81" t="s">
        <v>336</v>
      </c>
      <c r="AC1083" s="166">
        <v>1.60000007599592E-2</v>
      </c>
      <c r="AG1083" s="81" t="s">
        <v>238</v>
      </c>
      <c r="AH1083" s="81" t="s">
        <v>118</v>
      </c>
      <c r="AK1083" s="166">
        <v>0</v>
      </c>
      <c r="AM1083" s="166">
        <v>0</v>
      </c>
      <c r="AO1083" s="166">
        <v>0</v>
      </c>
      <c r="AP1083" s="166">
        <v>-1</v>
      </c>
      <c r="AQ1083" s="166">
        <v>0</v>
      </c>
      <c r="AR1083" s="166">
        <v>0</v>
      </c>
      <c r="AS1083" s="166">
        <v>0</v>
      </c>
      <c r="AT1083" s="166">
        <v>0</v>
      </c>
      <c r="AU1083" s="166">
        <v>0</v>
      </c>
      <c r="AV1083" s="166">
        <v>0</v>
      </c>
      <c r="AW1083" s="166">
        <v>-1</v>
      </c>
      <c r="AX1083" s="166">
        <v>0</v>
      </c>
      <c r="AY1083" s="166">
        <v>0</v>
      </c>
      <c r="AZ1083" s="166">
        <v>0</v>
      </c>
      <c r="BA1083" s="166">
        <v>-1</v>
      </c>
      <c r="BB1083" s="166">
        <v>0</v>
      </c>
      <c r="BC1083" s="166">
        <v>0</v>
      </c>
      <c r="BD1083" s="166">
        <v>0</v>
      </c>
      <c r="BE1083" s="166">
        <v>0</v>
      </c>
      <c r="BF1083" s="166">
        <v>0</v>
      </c>
      <c r="BG1083" s="166">
        <v>0</v>
      </c>
      <c r="BH1083" s="166">
        <v>1</v>
      </c>
      <c r="BI1083" s="166">
        <v>0</v>
      </c>
      <c r="BJ1083" s="166">
        <v>0</v>
      </c>
      <c r="BK1083" s="166">
        <v>0</v>
      </c>
      <c r="BL1083" s="166">
        <v>0</v>
      </c>
      <c r="BM1083" s="166">
        <v>0</v>
      </c>
      <c r="BN1083" s="166">
        <v>0</v>
      </c>
      <c r="BO1083" s="166">
        <v>0</v>
      </c>
      <c r="BP1083" s="166">
        <v>0</v>
      </c>
      <c r="BQ1083" s="81" t="s">
        <v>1758</v>
      </c>
      <c r="BZ1083" s="81" t="s">
        <v>155</v>
      </c>
      <c r="CA1083" s="81" t="s">
        <v>1937</v>
      </c>
      <c r="CC1083" s="167">
        <v>0</v>
      </c>
      <c r="CD1083" s="167">
        <f>$N1083/4</f>
        <v>-0.25</v>
      </c>
      <c r="CE1083" s="167">
        <f>$N1083/4</f>
        <v>-0.25</v>
      </c>
      <c r="CF1083" s="167">
        <f>$N1083/4</f>
        <v>-0.25</v>
      </c>
      <c r="CG1083" s="167">
        <f>$N1083/4</f>
        <v>-0.25</v>
      </c>
      <c r="CH1083" s="167">
        <v>0</v>
      </c>
      <c r="CI1083" s="167">
        <v>0</v>
      </c>
      <c r="CJ1083" s="167">
        <v>0</v>
      </c>
      <c r="CK1083" s="167">
        <v>0</v>
      </c>
      <c r="CL1083" s="167">
        <v>0</v>
      </c>
      <c r="CM1083" s="167">
        <v>0</v>
      </c>
      <c r="CN1083" s="167">
        <v>0</v>
      </c>
      <c r="CO1083" s="167">
        <v>0</v>
      </c>
      <c r="CP1083" s="167">
        <v>0</v>
      </c>
      <c r="CQ1083" s="167">
        <v>0</v>
      </c>
      <c r="CR1083" s="167">
        <v>0</v>
      </c>
      <c r="CS1083" s="167">
        <v>0</v>
      </c>
      <c r="CT1083" s="167">
        <v>0</v>
      </c>
      <c r="CU1083" s="167">
        <v>0</v>
      </c>
      <c r="CV1083" s="167">
        <v>0</v>
      </c>
      <c r="CW1083" s="167">
        <v>0</v>
      </c>
      <c r="CX1083" s="167">
        <f>SUM(CD1083:CH1083)</f>
        <v>-1</v>
      </c>
      <c r="CY1083" s="167">
        <f>SUM(CD1083:CM1083)</f>
        <v>-1</v>
      </c>
    </row>
    <row r="1084" spans="1:103" ht="12.75" customHeight="1" x14ac:dyDescent="0.2">
      <c r="A1084" s="81">
        <v>6570</v>
      </c>
      <c r="B1084" s="165" t="s">
        <v>1930</v>
      </c>
      <c r="C1084" s="165" t="s">
        <v>2823</v>
      </c>
      <c r="E1084" s="165" t="s">
        <v>2824</v>
      </c>
      <c r="G1084" s="81">
        <v>528493</v>
      </c>
      <c r="H1084" s="81">
        <v>173145</v>
      </c>
      <c r="I1084" s="165" t="s">
        <v>254</v>
      </c>
      <c r="L1084" s="166">
        <v>0</v>
      </c>
      <c r="M1084" s="166">
        <v>1</v>
      </c>
      <c r="N1084" s="166">
        <v>1</v>
      </c>
      <c r="O1084" s="166">
        <v>1</v>
      </c>
      <c r="P1084" s="166">
        <v>1</v>
      </c>
      <c r="R1084" s="165" t="s">
        <v>2825</v>
      </c>
      <c r="S1084" s="81" t="s">
        <v>113</v>
      </c>
      <c r="T1084" s="349">
        <v>42856</v>
      </c>
      <c r="U1084" s="349">
        <v>42912</v>
      </c>
      <c r="V1084" s="81" t="s">
        <v>155</v>
      </c>
      <c r="W1084" s="81" t="s">
        <v>114</v>
      </c>
      <c r="Y1084" s="81" t="s">
        <v>115</v>
      </c>
      <c r="Z1084" s="81" t="s">
        <v>219</v>
      </c>
      <c r="AA1084" s="81" t="s">
        <v>117</v>
      </c>
      <c r="AB1084" s="81" t="s">
        <v>3889</v>
      </c>
      <c r="AC1084" s="166">
        <v>4.0000001899898104E-3</v>
      </c>
      <c r="AG1084" s="81" t="s">
        <v>238</v>
      </c>
      <c r="AH1084" s="81" t="s">
        <v>118</v>
      </c>
      <c r="AK1084" s="166">
        <v>0</v>
      </c>
      <c r="AM1084" s="166">
        <v>0</v>
      </c>
      <c r="AO1084" s="166">
        <v>0</v>
      </c>
      <c r="AP1084" s="166">
        <v>1</v>
      </c>
      <c r="AQ1084" s="166">
        <v>0</v>
      </c>
      <c r="AR1084" s="166">
        <v>0</v>
      </c>
      <c r="AS1084" s="166">
        <v>0</v>
      </c>
      <c r="AT1084" s="166">
        <v>0</v>
      </c>
      <c r="AU1084" s="166">
        <v>0</v>
      </c>
      <c r="AV1084" s="166">
        <v>0</v>
      </c>
      <c r="AW1084" s="166">
        <v>1</v>
      </c>
      <c r="AX1084" s="166">
        <v>0</v>
      </c>
      <c r="AY1084" s="166">
        <v>0</v>
      </c>
      <c r="AZ1084" s="166">
        <v>0</v>
      </c>
      <c r="BA1084" s="166">
        <v>0</v>
      </c>
      <c r="BB1084" s="166">
        <v>0</v>
      </c>
      <c r="BC1084" s="166">
        <v>0</v>
      </c>
      <c r="BD1084" s="166">
        <v>0</v>
      </c>
      <c r="BE1084" s="166">
        <v>0</v>
      </c>
      <c r="BF1084" s="166">
        <v>0</v>
      </c>
      <c r="BG1084" s="166">
        <v>0</v>
      </c>
      <c r="BH1084" s="166">
        <v>0</v>
      </c>
      <c r="BI1084" s="166">
        <v>0</v>
      </c>
      <c r="BJ1084" s="166">
        <v>0</v>
      </c>
      <c r="BK1084" s="166">
        <v>0</v>
      </c>
      <c r="BL1084" s="166">
        <v>0</v>
      </c>
      <c r="BM1084" s="166">
        <v>0</v>
      </c>
      <c r="BN1084" s="166">
        <v>0</v>
      </c>
      <c r="BO1084" s="166">
        <v>0</v>
      </c>
      <c r="BP1084" s="166">
        <v>0</v>
      </c>
      <c r="BQ1084" s="81" t="s">
        <v>1757</v>
      </c>
      <c r="BZ1084" s="81" t="s">
        <v>155</v>
      </c>
      <c r="CA1084" s="81" t="s">
        <v>1937</v>
      </c>
      <c r="CC1084" s="167">
        <v>0</v>
      </c>
      <c r="CD1084" s="167">
        <f>$N1084/4</f>
        <v>0.25</v>
      </c>
      <c r="CE1084" s="167">
        <f>$N1084/4</f>
        <v>0.25</v>
      </c>
      <c r="CF1084" s="167">
        <f>$N1084/4</f>
        <v>0.25</v>
      </c>
      <c r="CG1084" s="167">
        <f>$N1084/4</f>
        <v>0.25</v>
      </c>
      <c r="CH1084" s="167">
        <v>0</v>
      </c>
      <c r="CI1084" s="167">
        <v>0</v>
      </c>
      <c r="CJ1084" s="167">
        <v>0</v>
      </c>
      <c r="CK1084" s="167">
        <v>0</v>
      </c>
      <c r="CL1084" s="167">
        <v>0</v>
      </c>
      <c r="CM1084" s="167">
        <v>0</v>
      </c>
      <c r="CN1084" s="167">
        <v>0</v>
      </c>
      <c r="CO1084" s="167">
        <v>0</v>
      </c>
      <c r="CP1084" s="167">
        <v>0</v>
      </c>
      <c r="CQ1084" s="167">
        <v>0</v>
      </c>
      <c r="CR1084" s="167">
        <v>0</v>
      </c>
      <c r="CS1084" s="167">
        <v>0</v>
      </c>
      <c r="CT1084" s="167">
        <v>0</v>
      </c>
      <c r="CU1084" s="167">
        <v>0</v>
      </c>
      <c r="CV1084" s="167">
        <v>0</v>
      </c>
      <c r="CW1084" s="167">
        <v>0</v>
      </c>
      <c r="CX1084" s="167">
        <f>SUM(CD1084:CH1084)</f>
        <v>1</v>
      </c>
      <c r="CY1084" s="167">
        <f>SUM(CD1084:CM1084)</f>
        <v>1</v>
      </c>
    </row>
    <row r="1085" spans="1:103" ht="12.75" customHeight="1" x14ac:dyDescent="0.2">
      <c r="A1085" s="81">
        <v>6577</v>
      </c>
      <c r="B1085" s="165" t="s">
        <v>1930</v>
      </c>
      <c r="C1085" s="165" t="s">
        <v>3454</v>
      </c>
      <c r="E1085" s="165" t="s">
        <v>3455</v>
      </c>
      <c r="G1085" s="81">
        <v>527116</v>
      </c>
      <c r="H1085" s="81">
        <v>171635</v>
      </c>
      <c r="I1085" s="165" t="s">
        <v>242</v>
      </c>
      <c r="L1085" s="166">
        <v>2</v>
      </c>
      <c r="M1085" s="166">
        <v>10</v>
      </c>
      <c r="N1085" s="166">
        <v>8</v>
      </c>
      <c r="O1085" s="166">
        <v>10</v>
      </c>
      <c r="P1085" s="166">
        <v>8</v>
      </c>
      <c r="Q1085" s="81" t="s">
        <v>155</v>
      </c>
      <c r="R1085" s="165" t="s">
        <v>3456</v>
      </c>
      <c r="S1085" s="81" t="s">
        <v>113</v>
      </c>
      <c r="T1085" s="349">
        <v>42898</v>
      </c>
      <c r="U1085" s="349">
        <v>43031</v>
      </c>
      <c r="V1085" s="81" t="s">
        <v>155</v>
      </c>
      <c r="W1085" s="81" t="s">
        <v>114</v>
      </c>
      <c r="Y1085" s="81" t="s">
        <v>115</v>
      </c>
      <c r="Z1085" s="81" t="s">
        <v>398</v>
      </c>
      <c r="AA1085" s="81" t="s">
        <v>116</v>
      </c>
      <c r="AB1085" s="81" t="s">
        <v>117</v>
      </c>
      <c r="AC1085" s="166">
        <v>4.1000001132488299E-2</v>
      </c>
      <c r="AG1085" s="81" t="s">
        <v>238</v>
      </c>
      <c r="AH1085" s="81" t="s">
        <v>118</v>
      </c>
      <c r="AK1085" s="166">
        <v>7</v>
      </c>
      <c r="AM1085" s="166">
        <v>3</v>
      </c>
      <c r="AO1085" s="166">
        <v>1</v>
      </c>
      <c r="AP1085" s="166">
        <v>2</v>
      </c>
      <c r="AQ1085" s="166">
        <v>4</v>
      </c>
      <c r="AR1085" s="166">
        <v>1</v>
      </c>
      <c r="AS1085" s="166">
        <v>0</v>
      </c>
      <c r="AT1085" s="166">
        <v>0</v>
      </c>
      <c r="AU1085" s="166">
        <v>0</v>
      </c>
      <c r="AV1085" s="166">
        <v>1</v>
      </c>
      <c r="AW1085" s="166">
        <v>2</v>
      </c>
      <c r="AX1085" s="166">
        <v>4</v>
      </c>
      <c r="AY1085" s="166">
        <v>1</v>
      </c>
      <c r="AZ1085" s="166">
        <v>0</v>
      </c>
      <c r="BA1085" s="166">
        <v>0</v>
      </c>
      <c r="BB1085" s="166">
        <v>0</v>
      </c>
      <c r="BC1085" s="166">
        <v>0</v>
      </c>
      <c r="BD1085" s="166">
        <v>0</v>
      </c>
      <c r="BE1085" s="166">
        <v>0</v>
      </c>
      <c r="BF1085" s="166">
        <v>0</v>
      </c>
      <c r="BG1085" s="166">
        <v>0</v>
      </c>
      <c r="BH1085" s="166">
        <v>0</v>
      </c>
      <c r="BI1085" s="166">
        <v>0</v>
      </c>
      <c r="BJ1085" s="166">
        <v>0</v>
      </c>
      <c r="BK1085" s="166">
        <v>0</v>
      </c>
      <c r="BL1085" s="166">
        <v>0</v>
      </c>
      <c r="BM1085" s="166">
        <v>0</v>
      </c>
      <c r="BN1085" s="166">
        <v>0</v>
      </c>
      <c r="BO1085" s="166">
        <v>0</v>
      </c>
      <c r="BP1085" s="166">
        <v>0</v>
      </c>
      <c r="BQ1085" s="81" t="s">
        <v>1757</v>
      </c>
      <c r="BZ1085" s="81" t="s">
        <v>155</v>
      </c>
      <c r="CA1085" s="81" t="s">
        <v>3968</v>
      </c>
      <c r="CC1085" s="167">
        <v>0</v>
      </c>
      <c r="CD1085" s="167">
        <v>0</v>
      </c>
      <c r="CE1085" s="167">
        <v>0</v>
      </c>
      <c r="CF1085" s="167">
        <v>0</v>
      </c>
      <c r="CG1085" s="167">
        <f>$N1085/3</f>
        <v>2.6666666666666665</v>
      </c>
      <c r="CH1085" s="167">
        <f>$N1085/3</f>
        <v>2.6666666666666665</v>
      </c>
      <c r="CI1085" s="167">
        <f>$N1085/3</f>
        <v>2.6666666666666665</v>
      </c>
      <c r="CJ1085" s="167">
        <v>0</v>
      </c>
      <c r="CK1085" s="167">
        <v>0</v>
      </c>
      <c r="CL1085" s="167">
        <v>0</v>
      </c>
      <c r="CM1085" s="167">
        <v>0</v>
      </c>
      <c r="CN1085" s="167">
        <v>0</v>
      </c>
      <c r="CO1085" s="167">
        <v>0</v>
      </c>
      <c r="CP1085" s="167">
        <v>0</v>
      </c>
      <c r="CQ1085" s="167">
        <v>0</v>
      </c>
      <c r="CR1085" s="167">
        <v>0</v>
      </c>
      <c r="CS1085" s="167">
        <v>0</v>
      </c>
      <c r="CT1085" s="167">
        <v>0</v>
      </c>
      <c r="CU1085" s="167">
        <v>0</v>
      </c>
      <c r="CV1085" s="167">
        <v>0</v>
      </c>
      <c r="CW1085" s="167">
        <v>0</v>
      </c>
      <c r="CX1085" s="167">
        <f>SUM(CD1085:CH1085)</f>
        <v>5.333333333333333</v>
      </c>
      <c r="CY1085" s="167">
        <f>SUM(CD1085:CM1085)</f>
        <v>8</v>
      </c>
    </row>
    <row r="1086" spans="1:103" ht="12.75" customHeight="1" x14ac:dyDescent="0.2">
      <c r="A1086" s="81">
        <v>6583</v>
      </c>
      <c r="B1086" s="165" t="s">
        <v>1930</v>
      </c>
      <c r="C1086" s="165" t="s">
        <v>2848</v>
      </c>
      <c r="E1086" s="165" t="s">
        <v>2849</v>
      </c>
      <c r="G1086" s="81">
        <v>523210</v>
      </c>
      <c r="H1086" s="81">
        <v>174403</v>
      </c>
      <c r="I1086" s="165" t="s">
        <v>59</v>
      </c>
      <c r="L1086" s="166">
        <v>0</v>
      </c>
      <c r="M1086" s="166">
        <v>2</v>
      </c>
      <c r="N1086" s="166">
        <v>2</v>
      </c>
      <c r="O1086" s="166">
        <v>2</v>
      </c>
      <c r="P1086" s="166">
        <v>2</v>
      </c>
      <c r="R1086" s="165" t="s">
        <v>2850</v>
      </c>
      <c r="S1086" s="81" t="s">
        <v>113</v>
      </c>
      <c r="T1086" s="349">
        <v>42838</v>
      </c>
      <c r="U1086" s="349">
        <v>42993</v>
      </c>
      <c r="V1086" s="81" t="s">
        <v>155</v>
      </c>
      <c r="W1086" s="81" t="s">
        <v>114</v>
      </c>
      <c r="Y1086" s="81" t="s">
        <v>115</v>
      </c>
      <c r="Z1086" s="81" t="s">
        <v>310</v>
      </c>
      <c r="AA1086" s="81" t="s">
        <v>117</v>
      </c>
      <c r="AB1086" s="81" t="s">
        <v>311</v>
      </c>
      <c r="AC1086" s="166">
        <v>1.4999999664723899E-2</v>
      </c>
      <c r="AG1086" s="81" t="s">
        <v>154</v>
      </c>
      <c r="AH1086" s="81" t="s">
        <v>38</v>
      </c>
      <c r="AK1086" s="166">
        <v>0</v>
      </c>
      <c r="AM1086" s="166">
        <v>0</v>
      </c>
      <c r="AO1086" s="166">
        <v>0</v>
      </c>
      <c r="AP1086" s="166">
        <v>2</v>
      </c>
      <c r="AQ1086" s="166">
        <v>0</v>
      </c>
      <c r="AR1086" s="166">
        <v>0</v>
      </c>
      <c r="AS1086" s="166">
        <v>0</v>
      </c>
      <c r="AT1086" s="166">
        <v>0</v>
      </c>
      <c r="AU1086" s="166">
        <v>0</v>
      </c>
      <c r="AV1086" s="166">
        <v>0</v>
      </c>
      <c r="AW1086" s="166">
        <v>2</v>
      </c>
      <c r="AX1086" s="166">
        <v>0</v>
      </c>
      <c r="AY1086" s="166">
        <v>0</v>
      </c>
      <c r="AZ1086" s="166">
        <v>0</v>
      </c>
      <c r="BA1086" s="166">
        <v>0</v>
      </c>
      <c r="BB1086" s="166">
        <v>0</v>
      </c>
      <c r="BC1086" s="166">
        <v>0</v>
      </c>
      <c r="BD1086" s="166">
        <v>0</v>
      </c>
      <c r="BE1086" s="166">
        <v>0</v>
      </c>
      <c r="BF1086" s="166">
        <v>0</v>
      </c>
      <c r="BG1086" s="166">
        <v>0</v>
      </c>
      <c r="BH1086" s="166">
        <v>0</v>
      </c>
      <c r="BI1086" s="166">
        <v>0</v>
      </c>
      <c r="BJ1086" s="166">
        <v>0</v>
      </c>
      <c r="BK1086" s="166">
        <v>0</v>
      </c>
      <c r="BL1086" s="166">
        <v>0</v>
      </c>
      <c r="BM1086" s="166">
        <v>0</v>
      </c>
      <c r="BN1086" s="166">
        <v>0</v>
      </c>
      <c r="BO1086" s="166">
        <v>0</v>
      </c>
      <c r="BP1086" s="166">
        <v>0</v>
      </c>
      <c r="BQ1086" s="81" t="s">
        <v>1758</v>
      </c>
      <c r="BZ1086" s="81" t="s">
        <v>155</v>
      </c>
      <c r="CA1086" s="81" t="s">
        <v>1937</v>
      </c>
      <c r="CC1086" s="167">
        <v>0</v>
      </c>
      <c r="CD1086" s="167">
        <f>$N1086/4</f>
        <v>0.5</v>
      </c>
      <c r="CE1086" s="167">
        <f>$N1086/4</f>
        <v>0.5</v>
      </c>
      <c r="CF1086" s="167">
        <f>$N1086/4</f>
        <v>0.5</v>
      </c>
      <c r="CG1086" s="167">
        <f>$N1086/4</f>
        <v>0.5</v>
      </c>
      <c r="CH1086" s="167">
        <v>0</v>
      </c>
      <c r="CI1086" s="167">
        <v>0</v>
      </c>
      <c r="CJ1086" s="167">
        <v>0</v>
      </c>
      <c r="CK1086" s="167">
        <v>0</v>
      </c>
      <c r="CL1086" s="167">
        <v>0</v>
      </c>
      <c r="CM1086" s="167">
        <v>0</v>
      </c>
      <c r="CN1086" s="167">
        <v>0</v>
      </c>
      <c r="CO1086" s="167">
        <v>0</v>
      </c>
      <c r="CP1086" s="167">
        <v>0</v>
      </c>
      <c r="CQ1086" s="167">
        <v>0</v>
      </c>
      <c r="CR1086" s="167">
        <v>0</v>
      </c>
      <c r="CS1086" s="167">
        <v>0</v>
      </c>
      <c r="CT1086" s="167">
        <v>0</v>
      </c>
      <c r="CU1086" s="167">
        <v>0</v>
      </c>
      <c r="CV1086" s="167">
        <v>0</v>
      </c>
      <c r="CW1086" s="167">
        <v>0</v>
      </c>
      <c r="CX1086" s="167">
        <f>SUM(CD1086:CH1086)</f>
        <v>2</v>
      </c>
      <c r="CY1086" s="167">
        <f>SUM(CD1086:CM1086)</f>
        <v>2</v>
      </c>
    </row>
    <row r="1087" spans="1:103" ht="12.75" customHeight="1" x14ac:dyDescent="0.2">
      <c r="A1087" s="81">
        <v>6591</v>
      </c>
      <c r="B1087" s="165" t="s">
        <v>1930</v>
      </c>
      <c r="C1087" s="165" t="s">
        <v>2830</v>
      </c>
      <c r="E1087" s="165" t="s">
        <v>2831</v>
      </c>
      <c r="G1087" s="81">
        <v>523591</v>
      </c>
      <c r="H1087" s="81">
        <v>175605</v>
      </c>
      <c r="I1087" s="165" t="s">
        <v>259</v>
      </c>
      <c r="L1087" s="166">
        <v>0</v>
      </c>
      <c r="M1087" s="166">
        <v>1</v>
      </c>
      <c r="N1087" s="166">
        <v>1</v>
      </c>
      <c r="O1087" s="166">
        <v>1</v>
      </c>
      <c r="P1087" s="166">
        <v>1</v>
      </c>
      <c r="R1087" s="165" t="s">
        <v>2832</v>
      </c>
      <c r="S1087" s="81" t="s">
        <v>113</v>
      </c>
      <c r="T1087" s="349">
        <v>42853</v>
      </c>
      <c r="U1087" s="349">
        <v>42999</v>
      </c>
      <c r="V1087" s="81" t="s">
        <v>155</v>
      </c>
      <c r="W1087" s="81" t="s">
        <v>114</v>
      </c>
      <c r="Y1087" s="81" t="s">
        <v>115</v>
      </c>
      <c r="Z1087" s="81" t="s">
        <v>116</v>
      </c>
      <c r="AA1087" s="81" t="s">
        <v>117</v>
      </c>
      <c r="AB1087" s="81" t="s">
        <v>218</v>
      </c>
      <c r="AC1087" s="166">
        <v>1.9999999552965199E-2</v>
      </c>
      <c r="AG1087" s="81" t="s">
        <v>238</v>
      </c>
      <c r="AH1087" s="81" t="s">
        <v>118</v>
      </c>
      <c r="AK1087" s="166">
        <v>0</v>
      </c>
      <c r="AM1087" s="166">
        <v>0</v>
      </c>
      <c r="AO1087" s="166">
        <v>0</v>
      </c>
      <c r="AP1087" s="166">
        <v>0</v>
      </c>
      <c r="AQ1087" s="166">
        <v>1</v>
      </c>
      <c r="AR1087" s="166">
        <v>0</v>
      </c>
      <c r="AS1087" s="166">
        <v>0</v>
      </c>
      <c r="AT1087" s="166">
        <v>0</v>
      </c>
      <c r="AU1087" s="166">
        <v>0</v>
      </c>
      <c r="AV1087" s="166">
        <v>0</v>
      </c>
      <c r="AW1087" s="166">
        <v>0</v>
      </c>
      <c r="AX1087" s="166">
        <v>0</v>
      </c>
      <c r="AY1087" s="166">
        <v>0</v>
      </c>
      <c r="AZ1087" s="166">
        <v>0</v>
      </c>
      <c r="BA1087" s="166">
        <v>0</v>
      </c>
      <c r="BB1087" s="166">
        <v>0</v>
      </c>
      <c r="BC1087" s="166">
        <v>0</v>
      </c>
      <c r="BD1087" s="166">
        <v>0</v>
      </c>
      <c r="BE1087" s="166">
        <v>1</v>
      </c>
      <c r="BF1087" s="166">
        <v>0</v>
      </c>
      <c r="BG1087" s="166">
        <v>0</v>
      </c>
      <c r="BH1087" s="166">
        <v>0</v>
      </c>
      <c r="BI1087" s="166">
        <v>0</v>
      </c>
      <c r="BJ1087" s="166">
        <v>0</v>
      </c>
      <c r="BK1087" s="166">
        <v>0</v>
      </c>
      <c r="BL1087" s="166">
        <v>0</v>
      </c>
      <c r="BM1087" s="166">
        <v>0</v>
      </c>
      <c r="BN1087" s="166">
        <v>0</v>
      </c>
      <c r="BO1087" s="166">
        <v>0</v>
      </c>
      <c r="BP1087" s="166">
        <v>0</v>
      </c>
      <c r="BQ1087" s="81" t="s">
        <v>1758</v>
      </c>
      <c r="BZ1087" s="81" t="s">
        <v>155</v>
      </c>
      <c r="CA1087" s="81">
        <v>4</v>
      </c>
      <c r="CC1087" s="167">
        <v>0</v>
      </c>
      <c r="CD1087" s="167">
        <v>0</v>
      </c>
      <c r="CE1087" s="167">
        <f>$N1087/4</f>
        <v>0.25</v>
      </c>
      <c r="CF1087" s="167">
        <f>$N1087/4</f>
        <v>0.25</v>
      </c>
      <c r="CG1087" s="167">
        <f>$N1087/4</f>
        <v>0.25</v>
      </c>
      <c r="CH1087" s="167">
        <f>$N1087/4</f>
        <v>0.25</v>
      </c>
      <c r="CI1087" s="167">
        <v>0</v>
      </c>
      <c r="CJ1087" s="167">
        <v>0</v>
      </c>
      <c r="CK1087" s="167">
        <v>0</v>
      </c>
      <c r="CL1087" s="167">
        <v>0</v>
      </c>
      <c r="CM1087" s="167">
        <v>0</v>
      </c>
      <c r="CN1087" s="167">
        <v>0</v>
      </c>
      <c r="CO1087" s="167">
        <v>0</v>
      </c>
      <c r="CP1087" s="167">
        <v>0</v>
      </c>
      <c r="CQ1087" s="167">
        <v>0</v>
      </c>
      <c r="CR1087" s="167">
        <v>0</v>
      </c>
      <c r="CS1087" s="167">
        <v>0</v>
      </c>
      <c r="CT1087" s="167">
        <v>0</v>
      </c>
      <c r="CU1087" s="167">
        <v>0</v>
      </c>
      <c r="CV1087" s="167">
        <v>0</v>
      </c>
      <c r="CW1087" s="167">
        <v>0</v>
      </c>
      <c r="CX1087" s="167">
        <f>SUM(CD1087:CH1087)</f>
        <v>1</v>
      </c>
      <c r="CY1087" s="167">
        <f>SUM(CD1087:CM1087)</f>
        <v>1</v>
      </c>
    </row>
    <row r="1088" spans="1:103" ht="12.75" customHeight="1" x14ac:dyDescent="0.2">
      <c r="A1088" s="81">
        <v>6592</v>
      </c>
      <c r="B1088" s="165" t="s">
        <v>1930</v>
      </c>
      <c r="C1088" s="165" t="s">
        <v>2833</v>
      </c>
      <c r="E1088" s="165" t="s">
        <v>2834</v>
      </c>
      <c r="G1088" s="81">
        <v>528224</v>
      </c>
      <c r="H1088" s="81">
        <v>172427</v>
      </c>
      <c r="I1088" s="165" t="s">
        <v>248</v>
      </c>
      <c r="L1088" s="166">
        <v>1</v>
      </c>
      <c r="M1088" s="166">
        <v>1</v>
      </c>
      <c r="N1088" s="166">
        <v>0</v>
      </c>
      <c r="O1088" s="166">
        <v>1</v>
      </c>
      <c r="P1088" s="166">
        <v>0</v>
      </c>
      <c r="R1088" s="165" t="s">
        <v>2835</v>
      </c>
      <c r="S1088" s="81" t="s">
        <v>113</v>
      </c>
      <c r="T1088" s="349">
        <v>42818</v>
      </c>
      <c r="U1088" s="349">
        <v>42919</v>
      </c>
      <c r="V1088" s="81" t="s">
        <v>155</v>
      </c>
      <c r="W1088" s="81" t="s">
        <v>114</v>
      </c>
      <c r="Y1088" s="81" t="s">
        <v>115</v>
      </c>
      <c r="Z1088" s="81" t="s">
        <v>116</v>
      </c>
      <c r="AA1088" s="81" t="s">
        <v>117</v>
      </c>
      <c r="AB1088" s="81" t="s">
        <v>218</v>
      </c>
      <c r="AC1088" s="166">
        <v>2.3000000044703501E-2</v>
      </c>
      <c r="AG1088" s="81" t="s">
        <v>238</v>
      </c>
      <c r="AH1088" s="81" t="s">
        <v>118</v>
      </c>
      <c r="AK1088" s="166">
        <v>0</v>
      </c>
      <c r="AM1088" s="166">
        <v>0</v>
      </c>
      <c r="AO1088" s="166">
        <v>0</v>
      </c>
      <c r="AP1088" s="166">
        <v>0</v>
      </c>
      <c r="AQ1088" s="166">
        <v>0</v>
      </c>
      <c r="AR1088" s="166">
        <v>0</v>
      </c>
      <c r="AS1088" s="166">
        <v>0</v>
      </c>
      <c r="AT1088" s="166">
        <v>0</v>
      </c>
      <c r="AU1088" s="166">
        <v>0</v>
      </c>
      <c r="AV1088" s="166">
        <v>0</v>
      </c>
      <c r="AW1088" s="166">
        <v>0</v>
      </c>
      <c r="AX1088" s="166">
        <v>0</v>
      </c>
      <c r="AY1088" s="166">
        <v>0</v>
      </c>
      <c r="AZ1088" s="166">
        <v>0</v>
      </c>
      <c r="BA1088" s="166">
        <v>0</v>
      </c>
      <c r="BB1088" s="166">
        <v>0</v>
      </c>
      <c r="BC1088" s="166">
        <v>0</v>
      </c>
      <c r="BD1088" s="166">
        <v>0</v>
      </c>
      <c r="BE1088" s="166">
        <v>0</v>
      </c>
      <c r="BF1088" s="166">
        <v>0</v>
      </c>
      <c r="BG1088" s="166">
        <v>0</v>
      </c>
      <c r="BH1088" s="166">
        <v>0</v>
      </c>
      <c r="BI1088" s="166">
        <v>0</v>
      </c>
      <c r="BJ1088" s="166">
        <v>0</v>
      </c>
      <c r="BK1088" s="166">
        <v>0</v>
      </c>
      <c r="BL1088" s="166">
        <v>0</v>
      </c>
      <c r="BM1088" s="166">
        <v>0</v>
      </c>
      <c r="BN1088" s="166">
        <v>0</v>
      </c>
      <c r="BO1088" s="166">
        <v>0</v>
      </c>
      <c r="BP1088" s="166">
        <v>0</v>
      </c>
      <c r="BQ1088" s="81" t="s">
        <v>1757</v>
      </c>
      <c r="BZ1088" s="81" t="s">
        <v>155</v>
      </c>
      <c r="CA1088" s="81">
        <v>4</v>
      </c>
      <c r="CC1088" s="167">
        <v>0</v>
      </c>
      <c r="CD1088" s="167">
        <v>0</v>
      </c>
      <c r="CE1088" s="167">
        <f>$N1088/4</f>
        <v>0</v>
      </c>
      <c r="CF1088" s="167">
        <f>$N1088/4</f>
        <v>0</v>
      </c>
      <c r="CG1088" s="167">
        <f>$N1088/4</f>
        <v>0</v>
      </c>
      <c r="CH1088" s="167">
        <f>$N1088/4</f>
        <v>0</v>
      </c>
      <c r="CI1088" s="167">
        <v>0</v>
      </c>
      <c r="CJ1088" s="167">
        <v>0</v>
      </c>
      <c r="CK1088" s="167">
        <v>0</v>
      </c>
      <c r="CL1088" s="167">
        <v>0</v>
      </c>
      <c r="CM1088" s="167">
        <v>0</v>
      </c>
      <c r="CN1088" s="167">
        <v>0</v>
      </c>
      <c r="CO1088" s="167">
        <v>0</v>
      </c>
      <c r="CP1088" s="167">
        <v>0</v>
      </c>
      <c r="CQ1088" s="167">
        <v>0</v>
      </c>
      <c r="CR1088" s="167">
        <v>0</v>
      </c>
      <c r="CS1088" s="167">
        <v>0</v>
      </c>
      <c r="CT1088" s="167">
        <v>0</v>
      </c>
      <c r="CU1088" s="167">
        <v>0</v>
      </c>
      <c r="CV1088" s="167">
        <v>0</v>
      </c>
      <c r="CW1088" s="167">
        <v>0</v>
      </c>
      <c r="CX1088" s="167">
        <f>SUM(CD1088:CH1088)</f>
        <v>0</v>
      </c>
      <c r="CY1088" s="167">
        <f>SUM(CD1088:CM1088)</f>
        <v>0</v>
      </c>
    </row>
    <row r="1089" spans="1:103" ht="12.75" customHeight="1" x14ac:dyDescent="0.2">
      <c r="A1089" s="81">
        <v>6594</v>
      </c>
      <c r="B1089" s="165" t="s">
        <v>1930</v>
      </c>
      <c r="C1089" s="165" t="s">
        <v>2836</v>
      </c>
      <c r="E1089" s="165" t="s">
        <v>2837</v>
      </c>
      <c r="G1089" s="81">
        <v>527616</v>
      </c>
      <c r="H1089" s="81">
        <v>175165</v>
      </c>
      <c r="I1089" s="165" t="s">
        <v>255</v>
      </c>
      <c r="L1089" s="166">
        <v>0</v>
      </c>
      <c r="M1089" s="166">
        <v>1</v>
      </c>
      <c r="N1089" s="166">
        <v>1</v>
      </c>
      <c r="O1089" s="166">
        <v>1</v>
      </c>
      <c r="P1089" s="166">
        <v>1</v>
      </c>
      <c r="R1089" s="165" t="s">
        <v>2838</v>
      </c>
      <c r="S1089" s="81" t="s">
        <v>113</v>
      </c>
      <c r="T1089" s="349">
        <v>42872</v>
      </c>
      <c r="U1089" s="349">
        <v>42928</v>
      </c>
      <c r="V1089" s="81" t="s">
        <v>155</v>
      </c>
      <c r="W1089" s="81" t="s">
        <v>114</v>
      </c>
      <c r="Y1089" s="81" t="s">
        <v>115</v>
      </c>
      <c r="Z1089" s="81" t="s">
        <v>219</v>
      </c>
      <c r="AA1089" s="81" t="s">
        <v>117</v>
      </c>
      <c r="AB1089" s="81" t="s">
        <v>3889</v>
      </c>
      <c r="AC1089" s="166">
        <v>3.0000000260770299E-3</v>
      </c>
      <c r="AG1089" s="81" t="s">
        <v>238</v>
      </c>
      <c r="AH1089" s="81" t="s">
        <v>118</v>
      </c>
      <c r="AK1089" s="166">
        <v>0</v>
      </c>
      <c r="AM1089" s="166">
        <v>0</v>
      </c>
      <c r="AO1089" s="166">
        <v>0</v>
      </c>
      <c r="AP1089" s="166">
        <v>1</v>
      </c>
      <c r="AQ1089" s="166">
        <v>0</v>
      </c>
      <c r="AR1089" s="166">
        <v>0</v>
      </c>
      <c r="AS1089" s="166">
        <v>0</v>
      </c>
      <c r="AT1089" s="166">
        <v>0</v>
      </c>
      <c r="AU1089" s="166">
        <v>0</v>
      </c>
      <c r="AV1089" s="166">
        <v>0</v>
      </c>
      <c r="AW1089" s="166">
        <v>1</v>
      </c>
      <c r="AX1089" s="166">
        <v>0</v>
      </c>
      <c r="AY1089" s="166">
        <v>0</v>
      </c>
      <c r="AZ1089" s="166">
        <v>0</v>
      </c>
      <c r="BA1089" s="166">
        <v>0</v>
      </c>
      <c r="BB1089" s="166">
        <v>0</v>
      </c>
      <c r="BC1089" s="166">
        <v>0</v>
      </c>
      <c r="BD1089" s="166">
        <v>0</v>
      </c>
      <c r="BE1089" s="166">
        <v>0</v>
      </c>
      <c r="BF1089" s="166">
        <v>0</v>
      </c>
      <c r="BG1089" s="166">
        <v>0</v>
      </c>
      <c r="BH1089" s="166">
        <v>0</v>
      </c>
      <c r="BI1089" s="166">
        <v>0</v>
      </c>
      <c r="BJ1089" s="166">
        <v>0</v>
      </c>
      <c r="BK1089" s="166">
        <v>0</v>
      </c>
      <c r="BL1089" s="166">
        <v>0</v>
      </c>
      <c r="BM1089" s="166">
        <v>0</v>
      </c>
      <c r="BN1089" s="166">
        <v>0</v>
      </c>
      <c r="BO1089" s="166">
        <v>0</v>
      </c>
      <c r="BP1089" s="166">
        <v>0</v>
      </c>
      <c r="BQ1089" s="81" t="s">
        <v>1757</v>
      </c>
      <c r="BR1089" s="81" t="s">
        <v>160</v>
      </c>
      <c r="BZ1089" s="81" t="s">
        <v>155</v>
      </c>
      <c r="CA1089" s="81" t="s">
        <v>1937</v>
      </c>
      <c r="CC1089" s="167">
        <v>0</v>
      </c>
      <c r="CD1089" s="167">
        <f>$N1089/4</f>
        <v>0.25</v>
      </c>
      <c r="CE1089" s="167">
        <f>$N1089/4</f>
        <v>0.25</v>
      </c>
      <c r="CF1089" s="167">
        <f>$N1089/4</f>
        <v>0.25</v>
      </c>
      <c r="CG1089" s="167">
        <f>$N1089/4</f>
        <v>0.25</v>
      </c>
      <c r="CH1089" s="167">
        <v>0</v>
      </c>
      <c r="CI1089" s="167">
        <v>0</v>
      </c>
      <c r="CJ1089" s="167">
        <v>0</v>
      </c>
      <c r="CK1089" s="167">
        <v>0</v>
      </c>
      <c r="CL1089" s="167">
        <v>0</v>
      </c>
      <c r="CM1089" s="167">
        <v>0</v>
      </c>
      <c r="CN1089" s="167">
        <v>0</v>
      </c>
      <c r="CO1089" s="167">
        <v>0</v>
      </c>
      <c r="CP1089" s="167">
        <v>0</v>
      </c>
      <c r="CQ1089" s="167">
        <v>0</v>
      </c>
      <c r="CR1089" s="167">
        <v>0</v>
      </c>
      <c r="CS1089" s="167">
        <v>0</v>
      </c>
      <c r="CT1089" s="167">
        <v>0</v>
      </c>
      <c r="CU1089" s="167">
        <v>0</v>
      </c>
      <c r="CV1089" s="167">
        <v>0</v>
      </c>
      <c r="CW1089" s="167">
        <v>0</v>
      </c>
      <c r="CX1089" s="167">
        <f>SUM(CD1089:CH1089)</f>
        <v>1</v>
      </c>
      <c r="CY1089" s="167">
        <f>SUM(CD1089:CM1089)</f>
        <v>1</v>
      </c>
    </row>
    <row r="1090" spans="1:103" ht="12.75" customHeight="1" x14ac:dyDescent="0.2">
      <c r="A1090" s="81">
        <v>6595</v>
      </c>
      <c r="B1090" s="165" t="s">
        <v>1930</v>
      </c>
      <c r="C1090" s="165" t="s">
        <v>2839</v>
      </c>
      <c r="E1090" s="165" t="s">
        <v>2840</v>
      </c>
      <c r="G1090" s="81">
        <v>527461</v>
      </c>
      <c r="H1090" s="81">
        <v>170805</v>
      </c>
      <c r="I1090" s="165" t="s">
        <v>253</v>
      </c>
      <c r="L1090" s="166">
        <v>0</v>
      </c>
      <c r="M1090" s="166">
        <v>1</v>
      </c>
      <c r="N1090" s="166">
        <v>1</v>
      </c>
      <c r="O1090" s="166">
        <v>1</v>
      </c>
      <c r="P1090" s="166">
        <v>1</v>
      </c>
      <c r="R1090" s="165" t="s">
        <v>2841</v>
      </c>
      <c r="S1090" s="81" t="s">
        <v>113</v>
      </c>
      <c r="T1090" s="349">
        <v>43109</v>
      </c>
      <c r="U1090" s="349">
        <v>43186</v>
      </c>
      <c r="V1090" s="81" t="s">
        <v>155</v>
      </c>
      <c r="W1090" s="81" t="s">
        <v>114</v>
      </c>
      <c r="Y1090" s="81" t="s">
        <v>115</v>
      </c>
      <c r="Z1090" s="81" t="s">
        <v>116</v>
      </c>
      <c r="AA1090" s="81" t="s">
        <v>117</v>
      </c>
      <c r="AB1090" s="81" t="s">
        <v>218</v>
      </c>
      <c r="AC1090" s="166">
        <v>8.9999996125698107E-3</v>
      </c>
      <c r="AG1090" s="81" t="s">
        <v>238</v>
      </c>
      <c r="AH1090" s="81" t="s">
        <v>118</v>
      </c>
      <c r="AK1090" s="166">
        <v>0</v>
      </c>
      <c r="AM1090" s="166">
        <v>0</v>
      </c>
      <c r="AO1090" s="166">
        <v>0</v>
      </c>
      <c r="AP1090" s="166">
        <v>0</v>
      </c>
      <c r="AQ1090" s="166">
        <v>1</v>
      </c>
      <c r="AR1090" s="166">
        <v>0</v>
      </c>
      <c r="AS1090" s="166">
        <v>0</v>
      </c>
      <c r="AT1090" s="166">
        <v>0</v>
      </c>
      <c r="AU1090" s="166">
        <v>0</v>
      </c>
      <c r="AV1090" s="166">
        <v>0</v>
      </c>
      <c r="AW1090" s="166">
        <v>0</v>
      </c>
      <c r="AX1090" s="166">
        <v>0</v>
      </c>
      <c r="AY1090" s="166">
        <v>0</v>
      </c>
      <c r="AZ1090" s="166">
        <v>0</v>
      </c>
      <c r="BA1090" s="166">
        <v>0</v>
      </c>
      <c r="BB1090" s="166">
        <v>0</v>
      </c>
      <c r="BC1090" s="166">
        <v>0</v>
      </c>
      <c r="BD1090" s="166">
        <v>0</v>
      </c>
      <c r="BE1090" s="166">
        <v>1</v>
      </c>
      <c r="BF1090" s="166">
        <v>0</v>
      </c>
      <c r="BG1090" s="166">
        <v>0</v>
      </c>
      <c r="BH1090" s="166">
        <v>0</v>
      </c>
      <c r="BI1090" s="166">
        <v>0</v>
      </c>
      <c r="BJ1090" s="166">
        <v>0</v>
      </c>
      <c r="BK1090" s="166">
        <v>0</v>
      </c>
      <c r="BL1090" s="166">
        <v>0</v>
      </c>
      <c r="BM1090" s="166">
        <v>0</v>
      </c>
      <c r="BN1090" s="166">
        <v>0</v>
      </c>
      <c r="BO1090" s="166">
        <v>0</v>
      </c>
      <c r="BP1090" s="166">
        <v>0</v>
      </c>
      <c r="BQ1090" s="81" t="s">
        <v>1757</v>
      </c>
      <c r="BZ1090" s="81" t="s">
        <v>155</v>
      </c>
      <c r="CA1090" s="81">
        <v>4</v>
      </c>
      <c r="CC1090" s="167">
        <v>0</v>
      </c>
      <c r="CD1090" s="167">
        <v>0</v>
      </c>
      <c r="CE1090" s="167">
        <f>$N1090/4</f>
        <v>0.25</v>
      </c>
      <c r="CF1090" s="167">
        <f>$N1090/4</f>
        <v>0.25</v>
      </c>
      <c r="CG1090" s="167">
        <f>$N1090/4</f>
        <v>0.25</v>
      </c>
      <c r="CH1090" s="167">
        <f>$N1090/4</f>
        <v>0.25</v>
      </c>
      <c r="CI1090" s="167">
        <v>0</v>
      </c>
      <c r="CJ1090" s="167">
        <v>0</v>
      </c>
      <c r="CK1090" s="167">
        <v>0</v>
      </c>
      <c r="CL1090" s="167">
        <v>0</v>
      </c>
      <c r="CM1090" s="167">
        <v>0</v>
      </c>
      <c r="CN1090" s="167">
        <v>0</v>
      </c>
      <c r="CO1090" s="167">
        <v>0</v>
      </c>
      <c r="CP1090" s="167">
        <v>0</v>
      </c>
      <c r="CQ1090" s="167">
        <v>0</v>
      </c>
      <c r="CR1090" s="167">
        <v>0</v>
      </c>
      <c r="CS1090" s="167">
        <v>0</v>
      </c>
      <c r="CT1090" s="167">
        <v>0</v>
      </c>
      <c r="CU1090" s="167">
        <v>0</v>
      </c>
      <c r="CV1090" s="167">
        <v>0</v>
      </c>
      <c r="CW1090" s="167">
        <v>0</v>
      </c>
      <c r="CX1090" s="167">
        <f>SUM(CD1090:CH1090)</f>
        <v>1</v>
      </c>
      <c r="CY1090" s="167">
        <f>SUM(CD1090:CM1090)</f>
        <v>1</v>
      </c>
    </row>
    <row r="1091" spans="1:103" ht="12.75" customHeight="1" x14ac:dyDescent="0.2">
      <c r="A1091" s="81">
        <v>6596</v>
      </c>
      <c r="B1091" s="165" t="s">
        <v>1930</v>
      </c>
      <c r="C1091" s="165" t="s">
        <v>2864</v>
      </c>
      <c r="E1091" s="165" t="s">
        <v>2865</v>
      </c>
      <c r="G1091" s="81">
        <v>528437</v>
      </c>
      <c r="H1091" s="81">
        <v>176903</v>
      </c>
      <c r="I1091" s="165" t="s">
        <v>240</v>
      </c>
      <c r="L1091" s="166">
        <v>1</v>
      </c>
      <c r="M1091" s="166">
        <v>2</v>
      </c>
      <c r="N1091" s="166">
        <v>1</v>
      </c>
      <c r="O1091" s="166">
        <v>2</v>
      </c>
      <c r="P1091" s="166">
        <v>1</v>
      </c>
      <c r="R1091" s="165" t="s">
        <v>2866</v>
      </c>
      <c r="S1091" s="81" t="s">
        <v>113</v>
      </c>
      <c r="T1091" s="349">
        <v>42870</v>
      </c>
      <c r="U1091" s="349">
        <v>42926</v>
      </c>
      <c r="V1091" s="81" t="s">
        <v>155</v>
      </c>
      <c r="W1091" s="81" t="s">
        <v>114</v>
      </c>
      <c r="Y1091" s="81" t="s">
        <v>115</v>
      </c>
      <c r="Z1091" s="81" t="s">
        <v>119</v>
      </c>
      <c r="AA1091" s="81" t="s">
        <v>117</v>
      </c>
      <c r="AB1091" s="81" t="s">
        <v>220</v>
      </c>
      <c r="AC1091" s="166">
        <v>1.60000007599592E-2</v>
      </c>
      <c r="AG1091" s="81" t="s">
        <v>238</v>
      </c>
      <c r="AH1091" s="81" t="s">
        <v>118</v>
      </c>
      <c r="AK1091" s="166">
        <v>0</v>
      </c>
      <c r="AM1091" s="166">
        <v>0</v>
      </c>
      <c r="AO1091" s="166">
        <v>0</v>
      </c>
      <c r="AP1091" s="166">
        <v>0</v>
      </c>
      <c r="AQ1091" s="166">
        <v>2</v>
      </c>
      <c r="AR1091" s="166">
        <v>0</v>
      </c>
      <c r="AS1091" s="166">
        <v>0</v>
      </c>
      <c r="AT1091" s="166">
        <v>-1</v>
      </c>
      <c r="AU1091" s="166">
        <v>0</v>
      </c>
      <c r="AV1091" s="166">
        <v>0</v>
      </c>
      <c r="AW1091" s="166">
        <v>0</v>
      </c>
      <c r="AX1091" s="166">
        <v>2</v>
      </c>
      <c r="AY1091" s="166">
        <v>0</v>
      </c>
      <c r="AZ1091" s="166">
        <v>0</v>
      </c>
      <c r="BA1091" s="166">
        <v>-1</v>
      </c>
      <c r="BB1091" s="166">
        <v>0</v>
      </c>
      <c r="BC1091" s="166">
        <v>0</v>
      </c>
      <c r="BD1091" s="166">
        <v>0</v>
      </c>
      <c r="BE1091" s="166">
        <v>0</v>
      </c>
      <c r="BF1091" s="166">
        <v>0</v>
      </c>
      <c r="BG1091" s="166">
        <v>0</v>
      </c>
      <c r="BH1091" s="166">
        <v>0</v>
      </c>
      <c r="BI1091" s="166">
        <v>0</v>
      </c>
      <c r="BJ1091" s="166">
        <v>0</v>
      </c>
      <c r="BK1091" s="166">
        <v>0</v>
      </c>
      <c r="BL1091" s="166">
        <v>0</v>
      </c>
      <c r="BM1091" s="166">
        <v>0</v>
      </c>
      <c r="BN1091" s="166">
        <v>0</v>
      </c>
      <c r="BO1091" s="166">
        <v>0</v>
      </c>
      <c r="BP1091" s="166">
        <v>0</v>
      </c>
      <c r="BQ1091" s="81" t="s">
        <v>1757</v>
      </c>
      <c r="BZ1091" s="81" t="s">
        <v>155</v>
      </c>
      <c r="CA1091" s="81" t="s">
        <v>1937</v>
      </c>
      <c r="CC1091" s="167">
        <v>0</v>
      </c>
      <c r="CD1091" s="167">
        <f>$N1091/4</f>
        <v>0.25</v>
      </c>
      <c r="CE1091" s="167">
        <f>$N1091/4</f>
        <v>0.25</v>
      </c>
      <c r="CF1091" s="167">
        <f>$N1091/4</f>
        <v>0.25</v>
      </c>
      <c r="CG1091" s="167">
        <f>$N1091/4</f>
        <v>0.25</v>
      </c>
      <c r="CH1091" s="167">
        <v>0</v>
      </c>
      <c r="CI1091" s="167">
        <v>0</v>
      </c>
      <c r="CJ1091" s="167">
        <v>0</v>
      </c>
      <c r="CK1091" s="167">
        <v>0</v>
      </c>
      <c r="CL1091" s="167">
        <v>0</v>
      </c>
      <c r="CM1091" s="167">
        <v>0</v>
      </c>
      <c r="CN1091" s="167">
        <v>0</v>
      </c>
      <c r="CO1091" s="167">
        <v>0</v>
      </c>
      <c r="CP1091" s="167">
        <v>0</v>
      </c>
      <c r="CQ1091" s="167">
        <v>0</v>
      </c>
      <c r="CR1091" s="167">
        <v>0</v>
      </c>
      <c r="CS1091" s="167">
        <v>0</v>
      </c>
      <c r="CT1091" s="167">
        <v>0</v>
      </c>
      <c r="CU1091" s="167">
        <v>0</v>
      </c>
      <c r="CV1091" s="167">
        <v>0</v>
      </c>
      <c r="CW1091" s="167">
        <v>0</v>
      </c>
      <c r="CX1091" s="167">
        <f>SUM(CD1091:CH1091)</f>
        <v>1</v>
      </c>
      <c r="CY1091" s="167">
        <f>SUM(CD1091:CM1091)</f>
        <v>1</v>
      </c>
    </row>
    <row r="1092" spans="1:103" ht="12.75" customHeight="1" x14ac:dyDescent="0.2">
      <c r="A1092" s="81">
        <v>6597</v>
      </c>
      <c r="B1092" s="165" t="s">
        <v>1930</v>
      </c>
      <c r="C1092" s="165" t="s">
        <v>2845</v>
      </c>
      <c r="E1092" s="165" t="s">
        <v>2846</v>
      </c>
      <c r="G1092" s="81">
        <v>527676</v>
      </c>
      <c r="H1092" s="81">
        <v>171198</v>
      </c>
      <c r="I1092" s="165" t="s">
        <v>253</v>
      </c>
      <c r="L1092" s="166">
        <v>2</v>
      </c>
      <c r="M1092" s="166">
        <v>3</v>
      </c>
      <c r="N1092" s="166">
        <v>1</v>
      </c>
      <c r="O1092" s="166">
        <v>4</v>
      </c>
      <c r="P1092" s="166">
        <v>2</v>
      </c>
      <c r="R1092" s="165" t="s">
        <v>2847</v>
      </c>
      <c r="S1092" s="81" t="s">
        <v>113</v>
      </c>
      <c r="T1092" s="349">
        <v>43039</v>
      </c>
      <c r="U1092" s="349">
        <v>43089</v>
      </c>
      <c r="V1092" s="81" t="s">
        <v>155</v>
      </c>
      <c r="W1092" s="81" t="s">
        <v>114</v>
      </c>
      <c r="Y1092" s="81" t="s">
        <v>115</v>
      </c>
      <c r="Z1092" s="81" t="s">
        <v>398</v>
      </c>
      <c r="AA1092" s="81" t="s">
        <v>117</v>
      </c>
      <c r="AB1092" s="81" t="s">
        <v>220</v>
      </c>
      <c r="AC1092" s="166">
        <v>8.9999996125698107E-3</v>
      </c>
      <c r="AG1092" s="81" t="s">
        <v>238</v>
      </c>
      <c r="AH1092" s="81" t="s">
        <v>118</v>
      </c>
      <c r="AK1092" s="166">
        <v>0</v>
      </c>
      <c r="AM1092" s="166">
        <v>0</v>
      </c>
      <c r="AO1092" s="166">
        <v>0</v>
      </c>
      <c r="AP1092" s="166">
        <v>3</v>
      </c>
      <c r="AQ1092" s="166">
        <v>0</v>
      </c>
      <c r="AR1092" s="166">
        <v>-2</v>
      </c>
      <c r="AS1092" s="166">
        <v>0</v>
      </c>
      <c r="AT1092" s="166">
        <v>0</v>
      </c>
      <c r="AU1092" s="166">
        <v>0</v>
      </c>
      <c r="AV1092" s="166">
        <v>0</v>
      </c>
      <c r="AW1092" s="166">
        <v>3</v>
      </c>
      <c r="AX1092" s="166">
        <v>0</v>
      </c>
      <c r="AY1092" s="166">
        <v>-2</v>
      </c>
      <c r="AZ1092" s="166">
        <v>0</v>
      </c>
      <c r="BA1092" s="166">
        <v>0</v>
      </c>
      <c r="BB1092" s="166">
        <v>0</v>
      </c>
      <c r="BC1092" s="166">
        <v>0</v>
      </c>
      <c r="BD1092" s="166">
        <v>0</v>
      </c>
      <c r="BE1092" s="166">
        <v>0</v>
      </c>
      <c r="BF1092" s="166">
        <v>0</v>
      </c>
      <c r="BG1092" s="166">
        <v>0</v>
      </c>
      <c r="BH1092" s="166">
        <v>0</v>
      </c>
      <c r="BI1092" s="166">
        <v>0</v>
      </c>
      <c r="BJ1092" s="166">
        <v>0</v>
      </c>
      <c r="BK1092" s="166">
        <v>0</v>
      </c>
      <c r="BL1092" s="166">
        <v>0</v>
      </c>
      <c r="BM1092" s="166">
        <v>0</v>
      </c>
      <c r="BN1092" s="166">
        <v>0</v>
      </c>
      <c r="BO1092" s="166">
        <v>0</v>
      </c>
      <c r="BP1092" s="166">
        <v>0</v>
      </c>
      <c r="BQ1092" s="81" t="s">
        <v>1757</v>
      </c>
      <c r="BR1092" s="81" t="s">
        <v>242</v>
      </c>
      <c r="BZ1092" s="81" t="s">
        <v>155</v>
      </c>
      <c r="CA1092" s="81" t="s">
        <v>1937</v>
      </c>
      <c r="CC1092" s="167">
        <v>0</v>
      </c>
      <c r="CD1092" s="167">
        <f>$N1092/4</f>
        <v>0.25</v>
      </c>
      <c r="CE1092" s="167">
        <f>$N1092/4</f>
        <v>0.25</v>
      </c>
      <c r="CF1092" s="167">
        <f>$N1092/4</f>
        <v>0.25</v>
      </c>
      <c r="CG1092" s="167">
        <f>$N1092/4</f>
        <v>0.25</v>
      </c>
      <c r="CH1092" s="167">
        <v>0</v>
      </c>
      <c r="CI1092" s="167">
        <v>0</v>
      </c>
      <c r="CJ1092" s="167">
        <v>0</v>
      </c>
      <c r="CK1092" s="167">
        <v>0</v>
      </c>
      <c r="CL1092" s="167">
        <v>0</v>
      </c>
      <c r="CM1092" s="167">
        <v>0</v>
      </c>
      <c r="CN1092" s="167">
        <v>0</v>
      </c>
      <c r="CO1092" s="167">
        <v>0</v>
      </c>
      <c r="CP1092" s="167">
        <v>0</v>
      </c>
      <c r="CQ1092" s="167">
        <v>0</v>
      </c>
      <c r="CR1092" s="167">
        <v>0</v>
      </c>
      <c r="CS1092" s="167">
        <v>0</v>
      </c>
      <c r="CT1092" s="167">
        <v>0</v>
      </c>
      <c r="CU1092" s="167">
        <v>0</v>
      </c>
      <c r="CV1092" s="167">
        <v>0</v>
      </c>
      <c r="CW1092" s="167">
        <v>0</v>
      </c>
      <c r="CX1092" s="167">
        <f>SUM(CD1092:CH1092)</f>
        <v>1</v>
      </c>
      <c r="CY1092" s="167">
        <f>SUM(CD1092:CM1092)</f>
        <v>1</v>
      </c>
    </row>
    <row r="1093" spans="1:103" ht="12.75" customHeight="1" x14ac:dyDescent="0.2">
      <c r="A1093" s="81">
        <v>6597</v>
      </c>
      <c r="B1093" s="165" t="s">
        <v>1930</v>
      </c>
      <c r="C1093" s="165" t="s">
        <v>2845</v>
      </c>
      <c r="E1093" s="165" t="s">
        <v>2846</v>
      </c>
      <c r="G1093" s="81">
        <v>527676</v>
      </c>
      <c r="H1093" s="81">
        <v>171198</v>
      </c>
      <c r="I1093" s="165" t="s">
        <v>253</v>
      </c>
      <c r="L1093" s="166">
        <v>0</v>
      </c>
      <c r="M1093" s="166">
        <v>1</v>
      </c>
      <c r="N1093" s="166">
        <v>1</v>
      </c>
      <c r="O1093" s="166">
        <v>4</v>
      </c>
      <c r="P1093" s="166">
        <v>2</v>
      </c>
      <c r="R1093" s="165" t="s">
        <v>2847</v>
      </c>
      <c r="S1093" s="81" t="s">
        <v>113</v>
      </c>
      <c r="T1093" s="349">
        <v>43039</v>
      </c>
      <c r="U1093" s="349">
        <v>43089</v>
      </c>
      <c r="V1093" s="81" t="s">
        <v>155</v>
      </c>
      <c r="W1093" s="81" t="s">
        <v>114</v>
      </c>
      <c r="Y1093" s="81" t="s">
        <v>115</v>
      </c>
      <c r="Z1093" s="81" t="s">
        <v>398</v>
      </c>
      <c r="AA1093" s="81" t="s">
        <v>117</v>
      </c>
      <c r="AB1093" s="81" t="s">
        <v>218</v>
      </c>
      <c r="AC1093" s="166">
        <v>3.0000000260770299E-3</v>
      </c>
      <c r="AG1093" s="81" t="s">
        <v>238</v>
      </c>
      <c r="AH1093" s="81" t="s">
        <v>118</v>
      </c>
      <c r="AK1093" s="166">
        <v>0</v>
      </c>
      <c r="AM1093" s="166">
        <v>0</v>
      </c>
      <c r="AO1093" s="166">
        <v>0</v>
      </c>
      <c r="AP1093" s="166">
        <v>1</v>
      </c>
      <c r="AQ1093" s="166">
        <v>0</v>
      </c>
      <c r="AR1093" s="166">
        <v>0</v>
      </c>
      <c r="AS1093" s="166">
        <v>0</v>
      </c>
      <c r="AT1093" s="166">
        <v>0</v>
      </c>
      <c r="AU1093" s="166">
        <v>0</v>
      </c>
      <c r="AV1093" s="166">
        <v>0</v>
      </c>
      <c r="AW1093" s="166">
        <v>1</v>
      </c>
      <c r="AX1093" s="166">
        <v>0</v>
      </c>
      <c r="AY1093" s="166">
        <v>0</v>
      </c>
      <c r="AZ1093" s="166">
        <v>0</v>
      </c>
      <c r="BA1093" s="166">
        <v>0</v>
      </c>
      <c r="BB1093" s="166">
        <v>0</v>
      </c>
      <c r="BC1093" s="166">
        <v>0</v>
      </c>
      <c r="BD1093" s="166">
        <v>0</v>
      </c>
      <c r="BE1093" s="166">
        <v>0</v>
      </c>
      <c r="BF1093" s="166">
        <v>0</v>
      </c>
      <c r="BG1093" s="166">
        <v>0</v>
      </c>
      <c r="BH1093" s="166">
        <v>0</v>
      </c>
      <c r="BI1093" s="166">
        <v>0</v>
      </c>
      <c r="BJ1093" s="166">
        <v>0</v>
      </c>
      <c r="BK1093" s="166">
        <v>0</v>
      </c>
      <c r="BL1093" s="166">
        <v>0</v>
      </c>
      <c r="BM1093" s="166">
        <v>0</v>
      </c>
      <c r="BN1093" s="166">
        <v>0</v>
      </c>
      <c r="BO1093" s="166">
        <v>0</v>
      </c>
      <c r="BP1093" s="166">
        <v>0</v>
      </c>
      <c r="BQ1093" s="81" t="s">
        <v>1757</v>
      </c>
      <c r="BR1093" s="81" t="s">
        <v>242</v>
      </c>
      <c r="BZ1093" s="81" t="s">
        <v>155</v>
      </c>
      <c r="CA1093" s="81" t="s">
        <v>1937</v>
      </c>
      <c r="CC1093" s="167">
        <v>0</v>
      </c>
      <c r="CD1093" s="167">
        <f>$N1093/4</f>
        <v>0.25</v>
      </c>
      <c r="CE1093" s="167">
        <f>$N1093/4</f>
        <v>0.25</v>
      </c>
      <c r="CF1093" s="167">
        <f>$N1093/4</f>
        <v>0.25</v>
      </c>
      <c r="CG1093" s="167">
        <f>$N1093/4</f>
        <v>0.25</v>
      </c>
      <c r="CH1093" s="167">
        <v>0</v>
      </c>
      <c r="CI1093" s="167">
        <v>0</v>
      </c>
      <c r="CJ1093" s="167">
        <v>0</v>
      </c>
      <c r="CK1093" s="167">
        <v>0</v>
      </c>
      <c r="CL1093" s="167">
        <v>0</v>
      </c>
      <c r="CM1093" s="167">
        <v>0</v>
      </c>
      <c r="CN1093" s="167">
        <v>0</v>
      </c>
      <c r="CO1093" s="167">
        <v>0</v>
      </c>
      <c r="CP1093" s="167">
        <v>0</v>
      </c>
      <c r="CQ1093" s="167">
        <v>0</v>
      </c>
      <c r="CR1093" s="167">
        <v>0</v>
      </c>
      <c r="CS1093" s="167">
        <v>0</v>
      </c>
      <c r="CT1093" s="167">
        <v>0</v>
      </c>
      <c r="CU1093" s="167">
        <v>0</v>
      </c>
      <c r="CV1093" s="167">
        <v>0</v>
      </c>
      <c r="CW1093" s="167">
        <v>0</v>
      </c>
      <c r="CX1093" s="167">
        <f>SUM(CD1093:CH1093)</f>
        <v>1</v>
      </c>
      <c r="CY1093" s="167">
        <f>SUM(CD1093:CM1093)</f>
        <v>1</v>
      </c>
    </row>
    <row r="1094" spans="1:103" ht="12.75" customHeight="1" x14ac:dyDescent="0.2">
      <c r="A1094" s="81">
        <v>6600</v>
      </c>
      <c r="B1094" s="165" t="s">
        <v>1930</v>
      </c>
      <c r="C1094" s="165" t="s">
        <v>2875</v>
      </c>
      <c r="E1094" s="165" t="s">
        <v>2876</v>
      </c>
      <c r="G1094" s="81">
        <v>525959</v>
      </c>
      <c r="H1094" s="81">
        <v>174033</v>
      </c>
      <c r="I1094" s="165" t="s">
        <v>249</v>
      </c>
      <c r="L1094" s="166">
        <v>0</v>
      </c>
      <c r="M1094" s="166">
        <v>2</v>
      </c>
      <c r="N1094" s="166">
        <v>2</v>
      </c>
      <c r="O1094" s="166">
        <v>2</v>
      </c>
      <c r="P1094" s="166">
        <v>2</v>
      </c>
      <c r="R1094" s="165" t="s">
        <v>2877</v>
      </c>
      <c r="S1094" s="81" t="s">
        <v>110</v>
      </c>
      <c r="T1094" s="349">
        <v>42998</v>
      </c>
      <c r="U1094" s="349">
        <v>43054</v>
      </c>
      <c r="V1094" s="81" t="s">
        <v>155</v>
      </c>
      <c r="W1094" s="81" t="s">
        <v>114</v>
      </c>
      <c r="Y1094" s="81" t="s">
        <v>115</v>
      </c>
      <c r="Z1094" s="81" t="s">
        <v>310</v>
      </c>
      <c r="AA1094" s="81" t="s">
        <v>117</v>
      </c>
      <c r="AB1094" s="81" t="s">
        <v>102</v>
      </c>
      <c r="AC1094" s="166">
        <v>4.9999998882412902E-3</v>
      </c>
      <c r="AG1094" s="81" t="s">
        <v>238</v>
      </c>
      <c r="AH1094" s="81" t="s">
        <v>118</v>
      </c>
      <c r="AK1094" s="166">
        <v>0</v>
      </c>
      <c r="AM1094" s="166">
        <v>0</v>
      </c>
      <c r="AO1094" s="166">
        <v>1</v>
      </c>
      <c r="AP1094" s="166">
        <v>1</v>
      </c>
      <c r="AQ1094" s="166">
        <v>0</v>
      </c>
      <c r="AR1094" s="166">
        <v>0</v>
      </c>
      <c r="AS1094" s="166">
        <v>0</v>
      </c>
      <c r="AT1094" s="166">
        <v>0</v>
      </c>
      <c r="AU1094" s="166">
        <v>0</v>
      </c>
      <c r="AV1094" s="166">
        <v>1</v>
      </c>
      <c r="AW1094" s="166">
        <v>1</v>
      </c>
      <c r="AX1094" s="166">
        <v>0</v>
      </c>
      <c r="AY1094" s="166">
        <v>0</v>
      </c>
      <c r="AZ1094" s="166">
        <v>0</v>
      </c>
      <c r="BA1094" s="166">
        <v>0</v>
      </c>
      <c r="BB1094" s="166">
        <v>0</v>
      </c>
      <c r="BC1094" s="166">
        <v>0</v>
      </c>
      <c r="BD1094" s="166">
        <v>0</v>
      </c>
      <c r="BE1094" s="166">
        <v>0</v>
      </c>
      <c r="BF1094" s="166">
        <v>0</v>
      </c>
      <c r="BG1094" s="166">
        <v>0</v>
      </c>
      <c r="BH1094" s="166">
        <v>0</v>
      </c>
      <c r="BI1094" s="166">
        <v>0</v>
      </c>
      <c r="BJ1094" s="166">
        <v>0</v>
      </c>
      <c r="BK1094" s="166">
        <v>0</v>
      </c>
      <c r="BL1094" s="166">
        <v>0</v>
      </c>
      <c r="BM1094" s="166">
        <v>0</v>
      </c>
      <c r="BN1094" s="166">
        <v>0</v>
      </c>
      <c r="BO1094" s="166">
        <v>0</v>
      </c>
      <c r="BP1094" s="166">
        <v>0</v>
      </c>
      <c r="BQ1094" s="81" t="s">
        <v>1758</v>
      </c>
      <c r="BZ1094" s="81" t="s">
        <v>155</v>
      </c>
      <c r="CA1094" s="81" t="s">
        <v>1937</v>
      </c>
      <c r="CC1094" s="167">
        <v>0</v>
      </c>
      <c r="CD1094" s="167">
        <f>$N1094/4</f>
        <v>0.5</v>
      </c>
      <c r="CE1094" s="167">
        <f>$N1094/4</f>
        <v>0.5</v>
      </c>
      <c r="CF1094" s="167">
        <f>$N1094/4</f>
        <v>0.5</v>
      </c>
      <c r="CG1094" s="167">
        <f>$N1094/4</f>
        <v>0.5</v>
      </c>
      <c r="CH1094" s="167">
        <v>0</v>
      </c>
      <c r="CI1094" s="167">
        <v>0</v>
      </c>
      <c r="CJ1094" s="167">
        <v>0</v>
      </c>
      <c r="CK1094" s="167">
        <v>0</v>
      </c>
      <c r="CL1094" s="167">
        <v>0</v>
      </c>
      <c r="CM1094" s="167">
        <v>0</v>
      </c>
      <c r="CN1094" s="167">
        <v>0</v>
      </c>
      <c r="CO1094" s="167">
        <v>0</v>
      </c>
      <c r="CP1094" s="167">
        <v>0</v>
      </c>
      <c r="CQ1094" s="167">
        <v>0</v>
      </c>
      <c r="CR1094" s="167">
        <v>0</v>
      </c>
      <c r="CS1094" s="167">
        <v>0</v>
      </c>
      <c r="CT1094" s="167">
        <v>0</v>
      </c>
      <c r="CU1094" s="167">
        <v>0</v>
      </c>
      <c r="CV1094" s="167">
        <v>0</v>
      </c>
      <c r="CW1094" s="167">
        <v>0</v>
      </c>
      <c r="CX1094" s="167">
        <f>SUM(CD1094:CH1094)</f>
        <v>2</v>
      </c>
      <c r="CY1094" s="167">
        <f>SUM(CD1094:CM1094)</f>
        <v>2</v>
      </c>
    </row>
    <row r="1095" spans="1:103" ht="12.75" customHeight="1" x14ac:dyDescent="0.2">
      <c r="A1095" s="81">
        <v>6603</v>
      </c>
      <c r="B1095" s="165" t="s">
        <v>1930</v>
      </c>
      <c r="C1095" s="165" t="s">
        <v>2851</v>
      </c>
      <c r="E1095" s="165" t="s">
        <v>2852</v>
      </c>
      <c r="G1095" s="81">
        <v>527511</v>
      </c>
      <c r="H1095" s="81">
        <v>170980</v>
      </c>
      <c r="I1095" s="165" t="s">
        <v>253</v>
      </c>
      <c r="L1095" s="166">
        <v>0</v>
      </c>
      <c r="M1095" s="166">
        <v>1</v>
      </c>
      <c r="N1095" s="166">
        <v>1</v>
      </c>
      <c r="O1095" s="166">
        <v>1</v>
      </c>
      <c r="P1095" s="166">
        <v>1</v>
      </c>
      <c r="R1095" s="165" t="s">
        <v>2853</v>
      </c>
      <c r="S1095" s="81" t="s">
        <v>113</v>
      </c>
      <c r="T1095" s="349">
        <v>42860</v>
      </c>
      <c r="U1095" s="349">
        <v>42978</v>
      </c>
      <c r="V1095" s="81" t="s">
        <v>155</v>
      </c>
      <c r="W1095" s="81" t="s">
        <v>114</v>
      </c>
      <c r="Y1095" s="81" t="s">
        <v>115</v>
      </c>
      <c r="Z1095" s="81" t="s">
        <v>398</v>
      </c>
      <c r="AA1095" s="81" t="s">
        <v>117</v>
      </c>
      <c r="AB1095" s="81" t="s">
        <v>218</v>
      </c>
      <c r="AC1095" s="166">
        <v>4.9999998882412902E-3</v>
      </c>
      <c r="AG1095" s="81" t="s">
        <v>238</v>
      </c>
      <c r="AH1095" s="81" t="s">
        <v>118</v>
      </c>
      <c r="AK1095" s="166">
        <v>0</v>
      </c>
      <c r="AM1095" s="166">
        <v>0</v>
      </c>
      <c r="AO1095" s="166">
        <v>0</v>
      </c>
      <c r="AP1095" s="166">
        <v>1</v>
      </c>
      <c r="AQ1095" s="166">
        <v>0</v>
      </c>
      <c r="AR1095" s="166">
        <v>0</v>
      </c>
      <c r="AS1095" s="166">
        <v>0</v>
      </c>
      <c r="AT1095" s="166">
        <v>0</v>
      </c>
      <c r="AU1095" s="166">
        <v>0</v>
      </c>
      <c r="AV1095" s="166">
        <v>0</v>
      </c>
      <c r="AW1095" s="166">
        <v>1</v>
      </c>
      <c r="AX1095" s="166">
        <v>0</v>
      </c>
      <c r="AY1095" s="166">
        <v>0</v>
      </c>
      <c r="AZ1095" s="166">
        <v>0</v>
      </c>
      <c r="BA1095" s="166">
        <v>0</v>
      </c>
      <c r="BB1095" s="166">
        <v>0</v>
      </c>
      <c r="BC1095" s="166">
        <v>0</v>
      </c>
      <c r="BD1095" s="166">
        <v>0</v>
      </c>
      <c r="BE1095" s="166">
        <v>0</v>
      </c>
      <c r="BF1095" s="166">
        <v>0</v>
      </c>
      <c r="BG1095" s="166">
        <v>0</v>
      </c>
      <c r="BH1095" s="166">
        <v>0</v>
      </c>
      <c r="BI1095" s="166">
        <v>0</v>
      </c>
      <c r="BJ1095" s="166">
        <v>0</v>
      </c>
      <c r="BK1095" s="166">
        <v>0</v>
      </c>
      <c r="BL1095" s="166">
        <v>0</v>
      </c>
      <c r="BM1095" s="166">
        <v>0</v>
      </c>
      <c r="BN1095" s="166">
        <v>0</v>
      </c>
      <c r="BO1095" s="166">
        <v>0</v>
      </c>
      <c r="BP1095" s="166">
        <v>0</v>
      </c>
      <c r="BQ1095" s="81" t="s">
        <v>1757</v>
      </c>
      <c r="BZ1095" s="81" t="s">
        <v>155</v>
      </c>
      <c r="CA1095" s="81" t="s">
        <v>1937</v>
      </c>
      <c r="CC1095" s="167">
        <v>0</v>
      </c>
      <c r="CD1095" s="167">
        <f>$N1095/4</f>
        <v>0.25</v>
      </c>
      <c r="CE1095" s="167">
        <f>$N1095/4</f>
        <v>0.25</v>
      </c>
      <c r="CF1095" s="167">
        <f>$N1095/4</f>
        <v>0.25</v>
      </c>
      <c r="CG1095" s="167">
        <f>$N1095/4</f>
        <v>0.25</v>
      </c>
      <c r="CH1095" s="167">
        <v>0</v>
      </c>
      <c r="CI1095" s="167">
        <v>0</v>
      </c>
      <c r="CJ1095" s="167">
        <v>0</v>
      </c>
      <c r="CK1095" s="167">
        <v>0</v>
      </c>
      <c r="CL1095" s="167">
        <v>0</v>
      </c>
      <c r="CM1095" s="167">
        <v>0</v>
      </c>
      <c r="CN1095" s="167">
        <v>0</v>
      </c>
      <c r="CO1095" s="167">
        <v>0</v>
      </c>
      <c r="CP1095" s="167">
        <v>0</v>
      </c>
      <c r="CQ1095" s="167">
        <v>0</v>
      </c>
      <c r="CR1095" s="167">
        <v>0</v>
      </c>
      <c r="CS1095" s="167">
        <v>0</v>
      </c>
      <c r="CT1095" s="167">
        <v>0</v>
      </c>
      <c r="CU1095" s="167">
        <v>0</v>
      </c>
      <c r="CV1095" s="167">
        <v>0</v>
      </c>
      <c r="CW1095" s="167">
        <v>0</v>
      </c>
      <c r="CX1095" s="167">
        <f>SUM(CD1095:CH1095)</f>
        <v>1</v>
      </c>
      <c r="CY1095" s="167">
        <f>SUM(CD1095:CM1095)</f>
        <v>1</v>
      </c>
    </row>
    <row r="1096" spans="1:103" ht="12.75" customHeight="1" x14ac:dyDescent="0.2">
      <c r="A1096" s="81">
        <v>6617</v>
      </c>
      <c r="B1096" s="165" t="s">
        <v>1930</v>
      </c>
      <c r="C1096" s="165" t="s">
        <v>2854</v>
      </c>
      <c r="E1096" s="165" t="s">
        <v>2855</v>
      </c>
      <c r="G1096" s="81">
        <v>528284</v>
      </c>
      <c r="H1096" s="81">
        <v>172328</v>
      </c>
      <c r="I1096" s="165" t="s">
        <v>248</v>
      </c>
      <c r="L1096" s="166">
        <v>3</v>
      </c>
      <c r="M1096" s="166">
        <v>3</v>
      </c>
      <c r="N1096" s="166">
        <v>0</v>
      </c>
      <c r="O1096" s="166">
        <v>3</v>
      </c>
      <c r="P1096" s="166">
        <v>0</v>
      </c>
      <c r="R1096" s="165" t="s">
        <v>2856</v>
      </c>
      <c r="S1096" s="81" t="s">
        <v>113</v>
      </c>
      <c r="T1096" s="349">
        <v>43011</v>
      </c>
      <c r="U1096" s="349">
        <v>43129</v>
      </c>
      <c r="V1096" s="81" t="s">
        <v>155</v>
      </c>
      <c r="W1096" s="81" t="s">
        <v>114</v>
      </c>
      <c r="Y1096" s="81" t="s">
        <v>115</v>
      </c>
      <c r="Z1096" s="81" t="s">
        <v>398</v>
      </c>
      <c r="AA1096" s="81" t="s">
        <v>117</v>
      </c>
      <c r="AB1096" s="81" t="s">
        <v>300</v>
      </c>
      <c r="AC1096" s="166">
        <v>1.60000007599592E-2</v>
      </c>
      <c r="AG1096" s="81" t="s">
        <v>238</v>
      </c>
      <c r="AH1096" s="81" t="s">
        <v>118</v>
      </c>
      <c r="AK1096" s="166">
        <v>0</v>
      </c>
      <c r="AM1096" s="166">
        <v>0</v>
      </c>
      <c r="AO1096" s="166">
        <v>-3</v>
      </c>
      <c r="AP1096" s="166">
        <v>1</v>
      </c>
      <c r="AQ1096" s="166">
        <v>1</v>
      </c>
      <c r="AR1096" s="166">
        <v>1</v>
      </c>
      <c r="AS1096" s="166">
        <v>0</v>
      </c>
      <c r="AT1096" s="166">
        <v>0</v>
      </c>
      <c r="AU1096" s="166">
        <v>0</v>
      </c>
      <c r="AV1096" s="166">
        <v>-3</v>
      </c>
      <c r="AW1096" s="166">
        <v>1</v>
      </c>
      <c r="AX1096" s="166">
        <v>1</v>
      </c>
      <c r="AY1096" s="166">
        <v>1</v>
      </c>
      <c r="AZ1096" s="166">
        <v>0</v>
      </c>
      <c r="BA1096" s="166">
        <v>0</v>
      </c>
      <c r="BB1096" s="166">
        <v>0</v>
      </c>
      <c r="BC1096" s="166">
        <v>0</v>
      </c>
      <c r="BD1096" s="166">
        <v>0</v>
      </c>
      <c r="BE1096" s="166">
        <v>0</v>
      </c>
      <c r="BF1096" s="166">
        <v>0</v>
      </c>
      <c r="BG1096" s="166">
        <v>0</v>
      </c>
      <c r="BH1096" s="166">
        <v>0</v>
      </c>
      <c r="BI1096" s="166">
        <v>0</v>
      </c>
      <c r="BJ1096" s="166">
        <v>0</v>
      </c>
      <c r="BK1096" s="166">
        <v>0</v>
      </c>
      <c r="BL1096" s="166">
        <v>0</v>
      </c>
      <c r="BM1096" s="166">
        <v>0</v>
      </c>
      <c r="BN1096" s="166">
        <v>0</v>
      </c>
      <c r="BO1096" s="166">
        <v>0</v>
      </c>
      <c r="BP1096" s="166">
        <v>0</v>
      </c>
      <c r="BQ1096" s="81" t="s">
        <v>1757</v>
      </c>
      <c r="BZ1096" s="81" t="s">
        <v>155</v>
      </c>
      <c r="CA1096" s="81" t="s">
        <v>1937</v>
      </c>
      <c r="CC1096" s="167">
        <v>0</v>
      </c>
      <c r="CD1096" s="167">
        <f>$N1096/4</f>
        <v>0</v>
      </c>
      <c r="CE1096" s="167">
        <f>$N1096/4</f>
        <v>0</v>
      </c>
      <c r="CF1096" s="167">
        <f>$N1096/4</f>
        <v>0</v>
      </c>
      <c r="CG1096" s="167">
        <f>$N1096/4</f>
        <v>0</v>
      </c>
      <c r="CH1096" s="167">
        <v>0</v>
      </c>
      <c r="CI1096" s="167">
        <v>0</v>
      </c>
      <c r="CJ1096" s="167">
        <v>0</v>
      </c>
      <c r="CK1096" s="167">
        <v>0</v>
      </c>
      <c r="CL1096" s="167">
        <v>0</v>
      </c>
      <c r="CM1096" s="167">
        <v>0</v>
      </c>
      <c r="CN1096" s="167">
        <v>0</v>
      </c>
      <c r="CO1096" s="167">
        <v>0</v>
      </c>
      <c r="CP1096" s="167">
        <v>0</v>
      </c>
      <c r="CQ1096" s="167">
        <v>0</v>
      </c>
      <c r="CR1096" s="167">
        <v>0</v>
      </c>
      <c r="CS1096" s="167">
        <v>0</v>
      </c>
      <c r="CT1096" s="167">
        <v>0</v>
      </c>
      <c r="CU1096" s="167">
        <v>0</v>
      </c>
      <c r="CV1096" s="167">
        <v>0</v>
      </c>
      <c r="CW1096" s="167">
        <v>0</v>
      </c>
      <c r="CX1096" s="167">
        <f>SUM(CD1096:CH1096)</f>
        <v>0</v>
      </c>
      <c r="CY1096" s="167">
        <f>SUM(CD1096:CM1096)</f>
        <v>0</v>
      </c>
    </row>
    <row r="1097" spans="1:103" ht="12.75" customHeight="1" x14ac:dyDescent="0.2">
      <c r="A1097" s="81">
        <v>6622</v>
      </c>
      <c r="B1097" s="165" t="s">
        <v>1930</v>
      </c>
      <c r="C1097" s="165" t="s">
        <v>2857</v>
      </c>
      <c r="E1097" s="165" t="s">
        <v>2858</v>
      </c>
      <c r="G1097" s="81">
        <v>526833</v>
      </c>
      <c r="H1097" s="81">
        <v>173595</v>
      </c>
      <c r="I1097" s="165" t="s">
        <v>260</v>
      </c>
      <c r="L1097" s="166">
        <v>1</v>
      </c>
      <c r="M1097" s="166">
        <v>3</v>
      </c>
      <c r="N1097" s="166">
        <v>2</v>
      </c>
      <c r="O1097" s="166">
        <v>3</v>
      </c>
      <c r="P1097" s="166">
        <v>2</v>
      </c>
      <c r="R1097" s="165" t="s">
        <v>2859</v>
      </c>
      <c r="S1097" s="81" t="s">
        <v>113</v>
      </c>
      <c r="T1097" s="349">
        <v>42888</v>
      </c>
      <c r="U1097" s="349">
        <v>42944</v>
      </c>
      <c r="V1097" s="81" t="s">
        <v>155</v>
      </c>
      <c r="W1097" s="81" t="s">
        <v>114</v>
      </c>
      <c r="Y1097" s="81" t="s">
        <v>115</v>
      </c>
      <c r="Z1097" s="81" t="s">
        <v>398</v>
      </c>
      <c r="AA1097" s="81" t="s">
        <v>117</v>
      </c>
      <c r="AB1097" s="81" t="s">
        <v>120</v>
      </c>
      <c r="AC1097" s="166">
        <v>3.9999999105930301E-2</v>
      </c>
      <c r="AG1097" s="81" t="s">
        <v>238</v>
      </c>
      <c r="AH1097" s="81" t="s">
        <v>118</v>
      </c>
      <c r="AK1097" s="166">
        <v>0</v>
      </c>
      <c r="AM1097" s="166">
        <v>0</v>
      </c>
      <c r="AO1097" s="166">
        <v>1</v>
      </c>
      <c r="AP1097" s="166">
        <v>0</v>
      </c>
      <c r="AQ1097" s="166">
        <v>1</v>
      </c>
      <c r="AR1097" s="166">
        <v>1</v>
      </c>
      <c r="AS1097" s="166">
        <v>0</v>
      </c>
      <c r="AT1097" s="166">
        <v>-1</v>
      </c>
      <c r="AU1097" s="166">
        <v>0</v>
      </c>
      <c r="AV1097" s="166">
        <v>1</v>
      </c>
      <c r="AW1097" s="166">
        <v>0</v>
      </c>
      <c r="AX1097" s="166">
        <v>1</v>
      </c>
      <c r="AY1097" s="166">
        <v>1</v>
      </c>
      <c r="AZ1097" s="166">
        <v>0</v>
      </c>
      <c r="BA1097" s="166">
        <v>0</v>
      </c>
      <c r="BB1097" s="166">
        <v>0</v>
      </c>
      <c r="BC1097" s="166">
        <v>0</v>
      </c>
      <c r="BD1097" s="166">
        <v>0</v>
      </c>
      <c r="BE1097" s="166">
        <v>0</v>
      </c>
      <c r="BF1097" s="166">
        <v>0</v>
      </c>
      <c r="BG1097" s="166">
        <v>0</v>
      </c>
      <c r="BH1097" s="166">
        <v>-1</v>
      </c>
      <c r="BI1097" s="166">
        <v>0</v>
      </c>
      <c r="BJ1097" s="166">
        <v>0</v>
      </c>
      <c r="BK1097" s="166">
        <v>0</v>
      </c>
      <c r="BL1097" s="166">
        <v>0</v>
      </c>
      <c r="BM1097" s="166">
        <v>0</v>
      </c>
      <c r="BN1097" s="166">
        <v>0</v>
      </c>
      <c r="BO1097" s="166">
        <v>0</v>
      </c>
      <c r="BP1097" s="166">
        <v>0</v>
      </c>
      <c r="BQ1097" s="81" t="s">
        <v>1758</v>
      </c>
      <c r="BZ1097" s="81" t="s">
        <v>155</v>
      </c>
      <c r="CA1097" s="81" t="s">
        <v>1937</v>
      </c>
      <c r="CC1097" s="167">
        <v>0</v>
      </c>
      <c r="CD1097" s="167">
        <f>$N1097/4</f>
        <v>0.5</v>
      </c>
      <c r="CE1097" s="167">
        <f>$N1097/4</f>
        <v>0.5</v>
      </c>
      <c r="CF1097" s="167">
        <f>$N1097/4</f>
        <v>0.5</v>
      </c>
      <c r="CG1097" s="167">
        <f>$N1097/4</f>
        <v>0.5</v>
      </c>
      <c r="CH1097" s="167">
        <v>0</v>
      </c>
      <c r="CI1097" s="167">
        <v>0</v>
      </c>
      <c r="CJ1097" s="167">
        <v>0</v>
      </c>
      <c r="CK1097" s="167">
        <v>0</v>
      </c>
      <c r="CL1097" s="167">
        <v>0</v>
      </c>
      <c r="CM1097" s="167">
        <v>0</v>
      </c>
      <c r="CN1097" s="167">
        <v>0</v>
      </c>
      <c r="CO1097" s="167">
        <v>0</v>
      </c>
      <c r="CP1097" s="167">
        <v>0</v>
      </c>
      <c r="CQ1097" s="167">
        <v>0</v>
      </c>
      <c r="CR1097" s="167">
        <v>0</v>
      </c>
      <c r="CS1097" s="167">
        <v>0</v>
      </c>
      <c r="CT1097" s="167">
        <v>0</v>
      </c>
      <c r="CU1097" s="167">
        <v>0</v>
      </c>
      <c r="CV1097" s="167">
        <v>0</v>
      </c>
      <c r="CW1097" s="167">
        <v>0</v>
      </c>
      <c r="CX1097" s="167">
        <f>SUM(CD1097:CH1097)</f>
        <v>2</v>
      </c>
      <c r="CY1097" s="167">
        <f>SUM(CD1097:CM1097)</f>
        <v>2</v>
      </c>
    </row>
    <row r="1098" spans="1:103" ht="12.75" customHeight="1" x14ac:dyDescent="0.2">
      <c r="A1098" s="81">
        <v>6627</v>
      </c>
      <c r="B1098" s="165" t="s">
        <v>1930</v>
      </c>
      <c r="C1098" s="165" t="s">
        <v>2860</v>
      </c>
      <c r="E1098" s="165" t="s">
        <v>2861</v>
      </c>
      <c r="G1098" s="81">
        <v>528710</v>
      </c>
      <c r="H1098" s="81">
        <v>176889</v>
      </c>
      <c r="I1098" s="165" t="s">
        <v>240</v>
      </c>
      <c r="L1098" s="166">
        <v>4</v>
      </c>
      <c r="M1098" s="166">
        <v>3</v>
      </c>
      <c r="N1098" s="166">
        <v>-1</v>
      </c>
      <c r="O1098" s="166">
        <v>3</v>
      </c>
      <c r="P1098" s="166">
        <v>-1</v>
      </c>
      <c r="R1098" s="165" t="s">
        <v>2862</v>
      </c>
      <c r="S1098" s="81" t="s">
        <v>113</v>
      </c>
      <c r="T1098" s="349">
        <v>42895</v>
      </c>
      <c r="U1098" s="349">
        <v>42984</v>
      </c>
      <c r="V1098" s="81" t="s">
        <v>155</v>
      </c>
      <c r="W1098" s="81" t="s">
        <v>114</v>
      </c>
      <c r="Y1098" s="81" t="s">
        <v>115</v>
      </c>
      <c r="Z1098" s="81" t="s">
        <v>398</v>
      </c>
      <c r="AA1098" s="81" t="s">
        <v>117</v>
      </c>
      <c r="AB1098" s="81" t="s">
        <v>300</v>
      </c>
      <c r="AC1098" s="166">
        <v>7.0000002160668399E-3</v>
      </c>
      <c r="AG1098" s="81" t="s">
        <v>238</v>
      </c>
      <c r="AH1098" s="81" t="s">
        <v>118</v>
      </c>
      <c r="AI1098" s="81" t="s">
        <v>2863</v>
      </c>
      <c r="AK1098" s="166">
        <v>0</v>
      </c>
      <c r="AM1098" s="166">
        <v>0</v>
      </c>
      <c r="AO1098" s="166">
        <v>0</v>
      </c>
      <c r="AP1098" s="166">
        <v>-1</v>
      </c>
      <c r="AQ1098" s="166">
        <v>1</v>
      </c>
      <c r="AR1098" s="166">
        <v>-1</v>
      </c>
      <c r="AS1098" s="166">
        <v>0</v>
      </c>
      <c r="AT1098" s="166">
        <v>0</v>
      </c>
      <c r="AU1098" s="166">
        <v>0</v>
      </c>
      <c r="AV1098" s="166">
        <v>0</v>
      </c>
      <c r="AW1098" s="166">
        <v>-1</v>
      </c>
      <c r="AX1098" s="166">
        <v>1</v>
      </c>
      <c r="AY1098" s="166">
        <v>-1</v>
      </c>
      <c r="AZ1098" s="166">
        <v>0</v>
      </c>
      <c r="BA1098" s="166">
        <v>0</v>
      </c>
      <c r="BB1098" s="166">
        <v>0</v>
      </c>
      <c r="BC1098" s="166">
        <v>0</v>
      </c>
      <c r="BD1098" s="166">
        <v>0</v>
      </c>
      <c r="BE1098" s="166">
        <v>0</v>
      </c>
      <c r="BF1098" s="166">
        <v>0</v>
      </c>
      <c r="BG1098" s="166">
        <v>0</v>
      </c>
      <c r="BH1098" s="166">
        <v>0</v>
      </c>
      <c r="BI1098" s="166">
        <v>0</v>
      </c>
      <c r="BJ1098" s="166">
        <v>0</v>
      </c>
      <c r="BK1098" s="166">
        <v>0</v>
      </c>
      <c r="BL1098" s="166">
        <v>0</v>
      </c>
      <c r="BM1098" s="166">
        <v>0</v>
      </c>
      <c r="BN1098" s="166">
        <v>0</v>
      </c>
      <c r="BO1098" s="166">
        <v>0</v>
      </c>
      <c r="BP1098" s="166">
        <v>0</v>
      </c>
      <c r="BQ1098" s="81" t="s">
        <v>1759</v>
      </c>
      <c r="BS1098" s="81" t="s">
        <v>155</v>
      </c>
      <c r="BZ1098" s="81" t="s">
        <v>155</v>
      </c>
      <c r="CA1098" s="81" t="s">
        <v>1937</v>
      </c>
      <c r="CC1098" s="167">
        <v>0</v>
      </c>
      <c r="CD1098" s="167">
        <f>$N1098/4</f>
        <v>-0.25</v>
      </c>
      <c r="CE1098" s="167">
        <f>$N1098/4</f>
        <v>-0.25</v>
      </c>
      <c r="CF1098" s="167">
        <f>$N1098/4</f>
        <v>-0.25</v>
      </c>
      <c r="CG1098" s="167">
        <f>$N1098/4</f>
        <v>-0.25</v>
      </c>
      <c r="CH1098" s="167">
        <v>0</v>
      </c>
      <c r="CI1098" s="167">
        <v>0</v>
      </c>
      <c r="CJ1098" s="167">
        <v>0</v>
      </c>
      <c r="CK1098" s="167">
        <v>0</v>
      </c>
      <c r="CL1098" s="167">
        <v>0</v>
      </c>
      <c r="CM1098" s="167">
        <v>0</v>
      </c>
      <c r="CN1098" s="167">
        <v>0</v>
      </c>
      <c r="CO1098" s="167">
        <v>0</v>
      </c>
      <c r="CP1098" s="167">
        <v>0</v>
      </c>
      <c r="CQ1098" s="167">
        <v>0</v>
      </c>
      <c r="CR1098" s="167">
        <v>0</v>
      </c>
      <c r="CS1098" s="167">
        <v>0</v>
      </c>
      <c r="CT1098" s="167">
        <v>0</v>
      </c>
      <c r="CU1098" s="167">
        <v>0</v>
      </c>
      <c r="CV1098" s="167">
        <v>0</v>
      </c>
      <c r="CW1098" s="167">
        <v>0</v>
      </c>
      <c r="CX1098" s="167">
        <f>SUM(CD1098:CH1098)</f>
        <v>-1</v>
      </c>
      <c r="CY1098" s="167">
        <f>SUM(CD1098:CM1098)</f>
        <v>-1</v>
      </c>
    </row>
    <row r="1099" spans="1:103" ht="12.75" customHeight="1" x14ac:dyDescent="0.2">
      <c r="A1099" s="81">
        <v>6631</v>
      </c>
      <c r="B1099" s="165" t="s">
        <v>1930</v>
      </c>
      <c r="C1099" s="165" t="s">
        <v>2881</v>
      </c>
      <c r="E1099" s="165" t="s">
        <v>2882</v>
      </c>
      <c r="G1099" s="81">
        <v>529120</v>
      </c>
      <c r="H1099" s="81">
        <v>172604</v>
      </c>
      <c r="I1099" s="165" t="s">
        <v>248</v>
      </c>
      <c r="L1099" s="166">
        <v>3</v>
      </c>
      <c r="M1099" s="166">
        <v>1</v>
      </c>
      <c r="N1099" s="166">
        <v>-2</v>
      </c>
      <c r="O1099" s="166">
        <v>1</v>
      </c>
      <c r="P1099" s="166">
        <v>-2</v>
      </c>
      <c r="R1099" s="165" t="s">
        <v>2883</v>
      </c>
      <c r="S1099" s="81" t="s">
        <v>113</v>
      </c>
      <c r="T1099" s="349">
        <v>42901</v>
      </c>
      <c r="U1099" s="349">
        <v>42957</v>
      </c>
      <c r="V1099" s="81" t="s">
        <v>155</v>
      </c>
      <c r="W1099" s="81" t="s">
        <v>114</v>
      </c>
      <c r="Y1099" s="81" t="s">
        <v>115</v>
      </c>
      <c r="Z1099" s="81" t="s">
        <v>119</v>
      </c>
      <c r="AA1099" s="81" t="s">
        <v>117</v>
      </c>
      <c r="AB1099" s="81" t="s">
        <v>336</v>
      </c>
      <c r="AC1099" s="166">
        <v>5.2000001072883599E-2</v>
      </c>
      <c r="AG1099" s="81" t="s">
        <v>238</v>
      </c>
      <c r="AH1099" s="81" t="s">
        <v>118</v>
      </c>
      <c r="AK1099" s="166">
        <v>0</v>
      </c>
      <c r="AM1099" s="166">
        <v>0</v>
      </c>
      <c r="AO1099" s="166">
        <v>0</v>
      </c>
      <c r="AP1099" s="166">
        <v>0</v>
      </c>
      <c r="AQ1099" s="166">
        <v>-3</v>
      </c>
      <c r="AR1099" s="166">
        <v>0</v>
      </c>
      <c r="AS1099" s="166">
        <v>0</v>
      </c>
      <c r="AT1099" s="166">
        <v>1</v>
      </c>
      <c r="AU1099" s="166">
        <v>0</v>
      </c>
      <c r="AV1099" s="166">
        <v>0</v>
      </c>
      <c r="AW1099" s="166">
        <v>0</v>
      </c>
      <c r="AX1099" s="166">
        <v>-3</v>
      </c>
      <c r="AY1099" s="166">
        <v>0</v>
      </c>
      <c r="AZ1099" s="166">
        <v>0</v>
      </c>
      <c r="BA1099" s="166">
        <v>0</v>
      </c>
      <c r="BB1099" s="166">
        <v>0</v>
      </c>
      <c r="BC1099" s="166">
        <v>0</v>
      </c>
      <c r="BD1099" s="166">
        <v>0</v>
      </c>
      <c r="BE1099" s="166">
        <v>0</v>
      </c>
      <c r="BF1099" s="166">
        <v>0</v>
      </c>
      <c r="BG1099" s="166">
        <v>0</v>
      </c>
      <c r="BH1099" s="166">
        <v>1</v>
      </c>
      <c r="BI1099" s="166">
        <v>0</v>
      </c>
      <c r="BJ1099" s="166">
        <v>0</v>
      </c>
      <c r="BK1099" s="166">
        <v>0</v>
      </c>
      <c r="BL1099" s="166">
        <v>0</v>
      </c>
      <c r="BM1099" s="166">
        <v>0</v>
      </c>
      <c r="BN1099" s="166">
        <v>0</v>
      </c>
      <c r="BO1099" s="166">
        <v>0</v>
      </c>
      <c r="BP1099" s="166">
        <v>0</v>
      </c>
      <c r="BQ1099" s="81" t="s">
        <v>1757</v>
      </c>
      <c r="BZ1099" s="81" t="s">
        <v>155</v>
      </c>
      <c r="CA1099" s="81" t="s">
        <v>1937</v>
      </c>
      <c r="CC1099" s="167">
        <v>0</v>
      </c>
      <c r="CD1099" s="167">
        <f>$N1099/4</f>
        <v>-0.5</v>
      </c>
      <c r="CE1099" s="167">
        <f>$N1099/4</f>
        <v>-0.5</v>
      </c>
      <c r="CF1099" s="167">
        <f>$N1099/4</f>
        <v>-0.5</v>
      </c>
      <c r="CG1099" s="167">
        <f>$N1099/4</f>
        <v>-0.5</v>
      </c>
      <c r="CH1099" s="167">
        <v>0</v>
      </c>
      <c r="CI1099" s="167">
        <v>0</v>
      </c>
      <c r="CJ1099" s="167">
        <v>0</v>
      </c>
      <c r="CK1099" s="167">
        <v>0</v>
      </c>
      <c r="CL1099" s="167">
        <v>0</v>
      </c>
      <c r="CM1099" s="167">
        <v>0</v>
      </c>
      <c r="CN1099" s="167">
        <v>0</v>
      </c>
      <c r="CO1099" s="167">
        <v>0</v>
      </c>
      <c r="CP1099" s="167">
        <v>0</v>
      </c>
      <c r="CQ1099" s="167">
        <v>0</v>
      </c>
      <c r="CR1099" s="167">
        <v>0</v>
      </c>
      <c r="CS1099" s="167">
        <v>0</v>
      </c>
      <c r="CT1099" s="167">
        <v>0</v>
      </c>
      <c r="CU1099" s="167">
        <v>0</v>
      </c>
      <c r="CV1099" s="167">
        <v>0</v>
      </c>
      <c r="CW1099" s="167">
        <v>0</v>
      </c>
      <c r="CX1099" s="167">
        <f>SUM(CD1099:CH1099)</f>
        <v>-2</v>
      </c>
      <c r="CY1099" s="167">
        <f>SUM(CD1099:CM1099)</f>
        <v>-2</v>
      </c>
    </row>
    <row r="1100" spans="1:103" ht="12.75" customHeight="1" x14ac:dyDescent="0.2">
      <c r="A1100" s="81">
        <v>6632</v>
      </c>
      <c r="B1100" s="165" t="s">
        <v>1930</v>
      </c>
      <c r="C1100" s="165" t="s">
        <v>2867</v>
      </c>
      <c r="E1100" s="165" t="s">
        <v>2189</v>
      </c>
      <c r="G1100" s="81">
        <v>528637</v>
      </c>
      <c r="H1100" s="81">
        <v>176365</v>
      </c>
      <c r="I1100" s="165" t="s">
        <v>240</v>
      </c>
      <c r="L1100" s="166">
        <v>0</v>
      </c>
      <c r="M1100" s="166">
        <v>1</v>
      </c>
      <c r="N1100" s="166">
        <v>1</v>
      </c>
      <c r="O1100" s="166">
        <v>1</v>
      </c>
      <c r="P1100" s="166">
        <v>1</v>
      </c>
      <c r="R1100" s="165" t="s">
        <v>2868</v>
      </c>
      <c r="S1100" s="81" t="s">
        <v>113</v>
      </c>
      <c r="T1100" s="349">
        <v>42902</v>
      </c>
      <c r="U1100" s="349">
        <v>42958</v>
      </c>
      <c r="V1100" s="81" t="s">
        <v>155</v>
      </c>
      <c r="W1100" s="81" t="s">
        <v>114</v>
      </c>
      <c r="Y1100" s="81" t="s">
        <v>115</v>
      </c>
      <c r="Z1100" s="81" t="s">
        <v>219</v>
      </c>
      <c r="AA1100" s="81" t="s">
        <v>117</v>
      </c>
      <c r="AB1100" s="81" t="s">
        <v>3889</v>
      </c>
      <c r="AC1100" s="166">
        <v>6.0000000521540598E-3</v>
      </c>
      <c r="AG1100" s="81" t="s">
        <v>238</v>
      </c>
      <c r="AH1100" s="81" t="s">
        <v>118</v>
      </c>
      <c r="AK1100" s="166">
        <v>0</v>
      </c>
      <c r="AM1100" s="166">
        <v>0</v>
      </c>
      <c r="AO1100" s="166">
        <v>0</v>
      </c>
      <c r="AP1100" s="166">
        <v>0</v>
      </c>
      <c r="AQ1100" s="166">
        <v>1</v>
      </c>
      <c r="AR1100" s="166">
        <v>0</v>
      </c>
      <c r="AS1100" s="166">
        <v>0</v>
      </c>
      <c r="AT1100" s="166">
        <v>0</v>
      </c>
      <c r="AU1100" s="166">
        <v>0</v>
      </c>
      <c r="AV1100" s="166">
        <v>0</v>
      </c>
      <c r="AW1100" s="166">
        <v>0</v>
      </c>
      <c r="AX1100" s="166">
        <v>1</v>
      </c>
      <c r="AY1100" s="166">
        <v>0</v>
      </c>
      <c r="AZ1100" s="166">
        <v>0</v>
      </c>
      <c r="BA1100" s="166">
        <v>0</v>
      </c>
      <c r="BB1100" s="166">
        <v>0</v>
      </c>
      <c r="BC1100" s="166">
        <v>0</v>
      </c>
      <c r="BD1100" s="166">
        <v>0</v>
      </c>
      <c r="BE1100" s="166">
        <v>0</v>
      </c>
      <c r="BF1100" s="166">
        <v>0</v>
      </c>
      <c r="BG1100" s="166">
        <v>0</v>
      </c>
      <c r="BH1100" s="166">
        <v>0</v>
      </c>
      <c r="BI1100" s="166">
        <v>0</v>
      </c>
      <c r="BJ1100" s="166">
        <v>0</v>
      </c>
      <c r="BK1100" s="166">
        <v>0</v>
      </c>
      <c r="BL1100" s="166">
        <v>0</v>
      </c>
      <c r="BM1100" s="166">
        <v>0</v>
      </c>
      <c r="BN1100" s="166">
        <v>0</v>
      </c>
      <c r="BO1100" s="166">
        <v>0</v>
      </c>
      <c r="BP1100" s="166">
        <v>0</v>
      </c>
      <c r="BQ1100" s="81" t="s">
        <v>1757</v>
      </c>
      <c r="BZ1100" s="81" t="s">
        <v>155</v>
      </c>
      <c r="CA1100" s="81" t="s">
        <v>1937</v>
      </c>
      <c r="CC1100" s="167">
        <v>0</v>
      </c>
      <c r="CD1100" s="167">
        <f>$N1100/4</f>
        <v>0.25</v>
      </c>
      <c r="CE1100" s="167">
        <f>$N1100/4</f>
        <v>0.25</v>
      </c>
      <c r="CF1100" s="167">
        <f>$N1100/4</f>
        <v>0.25</v>
      </c>
      <c r="CG1100" s="167">
        <f>$N1100/4</f>
        <v>0.25</v>
      </c>
      <c r="CH1100" s="167">
        <v>0</v>
      </c>
      <c r="CI1100" s="167">
        <v>0</v>
      </c>
      <c r="CJ1100" s="167">
        <v>0</v>
      </c>
      <c r="CK1100" s="167">
        <v>0</v>
      </c>
      <c r="CL1100" s="167">
        <v>0</v>
      </c>
      <c r="CM1100" s="167">
        <v>0</v>
      </c>
      <c r="CN1100" s="167">
        <v>0</v>
      </c>
      <c r="CO1100" s="167">
        <v>0</v>
      </c>
      <c r="CP1100" s="167">
        <v>0</v>
      </c>
      <c r="CQ1100" s="167">
        <v>0</v>
      </c>
      <c r="CR1100" s="167">
        <v>0</v>
      </c>
      <c r="CS1100" s="167">
        <v>0</v>
      </c>
      <c r="CT1100" s="167">
        <v>0</v>
      </c>
      <c r="CU1100" s="167">
        <v>0</v>
      </c>
      <c r="CV1100" s="167">
        <v>0</v>
      </c>
      <c r="CW1100" s="167">
        <v>0</v>
      </c>
      <c r="CX1100" s="167">
        <f>SUM(CD1100:CH1100)</f>
        <v>1</v>
      </c>
      <c r="CY1100" s="167">
        <f>SUM(CD1100:CM1100)</f>
        <v>1</v>
      </c>
    </row>
    <row r="1101" spans="1:103" ht="12.75" customHeight="1" x14ac:dyDescent="0.2">
      <c r="A1101" s="81">
        <v>6643</v>
      </c>
      <c r="B1101" s="165" t="s">
        <v>1930</v>
      </c>
      <c r="C1101" s="165" t="s">
        <v>2869</v>
      </c>
      <c r="E1101" s="165" t="s">
        <v>2870</v>
      </c>
      <c r="G1101" s="81">
        <v>527583</v>
      </c>
      <c r="H1101" s="81">
        <v>175000</v>
      </c>
      <c r="I1101" s="165" t="s">
        <v>255</v>
      </c>
      <c r="L1101" s="166">
        <v>0</v>
      </c>
      <c r="M1101" s="166">
        <v>1</v>
      </c>
      <c r="N1101" s="166">
        <v>1</v>
      </c>
      <c r="O1101" s="166">
        <v>1</v>
      </c>
      <c r="P1101" s="166">
        <v>1</v>
      </c>
      <c r="R1101" s="165" t="s">
        <v>2871</v>
      </c>
      <c r="S1101" s="81" t="s">
        <v>113</v>
      </c>
      <c r="T1101" s="349">
        <v>42912</v>
      </c>
      <c r="U1101" s="349">
        <v>43032</v>
      </c>
      <c r="V1101" s="81" t="s">
        <v>155</v>
      </c>
      <c r="W1101" s="81" t="s">
        <v>114</v>
      </c>
      <c r="Y1101" s="81" t="s">
        <v>115</v>
      </c>
      <c r="Z1101" s="81" t="s">
        <v>219</v>
      </c>
      <c r="AA1101" s="81" t="s">
        <v>117</v>
      </c>
      <c r="AB1101" s="81" t="s">
        <v>3889</v>
      </c>
      <c r="AC1101" s="166">
        <v>8.9999996125698107E-3</v>
      </c>
      <c r="AG1101" s="81" t="s">
        <v>238</v>
      </c>
      <c r="AH1101" s="81" t="s">
        <v>118</v>
      </c>
      <c r="AK1101" s="166">
        <v>0</v>
      </c>
      <c r="AM1101" s="166">
        <v>0</v>
      </c>
      <c r="AO1101" s="166">
        <v>0</v>
      </c>
      <c r="AP1101" s="166">
        <v>0</v>
      </c>
      <c r="AQ1101" s="166">
        <v>1</v>
      </c>
      <c r="AR1101" s="166">
        <v>0</v>
      </c>
      <c r="AS1101" s="166">
        <v>0</v>
      </c>
      <c r="AT1101" s="166">
        <v>0</v>
      </c>
      <c r="AU1101" s="166">
        <v>0</v>
      </c>
      <c r="AV1101" s="166">
        <v>0</v>
      </c>
      <c r="AW1101" s="166">
        <v>0</v>
      </c>
      <c r="AX1101" s="166">
        <v>1</v>
      </c>
      <c r="AY1101" s="166">
        <v>0</v>
      </c>
      <c r="AZ1101" s="166">
        <v>0</v>
      </c>
      <c r="BA1101" s="166">
        <v>0</v>
      </c>
      <c r="BB1101" s="166">
        <v>0</v>
      </c>
      <c r="BC1101" s="166">
        <v>0</v>
      </c>
      <c r="BD1101" s="166">
        <v>0</v>
      </c>
      <c r="BE1101" s="166">
        <v>0</v>
      </c>
      <c r="BF1101" s="166">
        <v>0</v>
      </c>
      <c r="BG1101" s="166">
        <v>0</v>
      </c>
      <c r="BH1101" s="166">
        <v>0</v>
      </c>
      <c r="BI1101" s="166">
        <v>0</v>
      </c>
      <c r="BJ1101" s="166">
        <v>0</v>
      </c>
      <c r="BK1101" s="166">
        <v>0</v>
      </c>
      <c r="BL1101" s="166">
        <v>0</v>
      </c>
      <c r="BM1101" s="166">
        <v>0</v>
      </c>
      <c r="BN1101" s="166">
        <v>0</v>
      </c>
      <c r="BO1101" s="166">
        <v>0</v>
      </c>
      <c r="BP1101" s="166">
        <v>0</v>
      </c>
      <c r="BQ1101" s="81" t="s">
        <v>1757</v>
      </c>
      <c r="BZ1101" s="81" t="s">
        <v>155</v>
      </c>
      <c r="CA1101" s="81" t="s">
        <v>1937</v>
      </c>
      <c r="CC1101" s="167">
        <v>0</v>
      </c>
      <c r="CD1101" s="167">
        <f>$N1101/4</f>
        <v>0.25</v>
      </c>
      <c r="CE1101" s="167">
        <f>$N1101/4</f>
        <v>0.25</v>
      </c>
      <c r="CF1101" s="167">
        <f>$N1101/4</f>
        <v>0.25</v>
      </c>
      <c r="CG1101" s="167">
        <f>$N1101/4</f>
        <v>0.25</v>
      </c>
      <c r="CH1101" s="167">
        <v>0</v>
      </c>
      <c r="CI1101" s="167">
        <v>0</v>
      </c>
      <c r="CJ1101" s="167">
        <v>0</v>
      </c>
      <c r="CK1101" s="167">
        <v>0</v>
      </c>
      <c r="CL1101" s="167">
        <v>0</v>
      </c>
      <c r="CM1101" s="167">
        <v>0</v>
      </c>
      <c r="CN1101" s="167">
        <v>0</v>
      </c>
      <c r="CO1101" s="167">
        <v>0</v>
      </c>
      <c r="CP1101" s="167">
        <v>0</v>
      </c>
      <c r="CQ1101" s="167">
        <v>0</v>
      </c>
      <c r="CR1101" s="167">
        <v>0</v>
      </c>
      <c r="CS1101" s="167">
        <v>0</v>
      </c>
      <c r="CT1101" s="167">
        <v>0</v>
      </c>
      <c r="CU1101" s="167">
        <v>0</v>
      </c>
      <c r="CV1101" s="167">
        <v>0</v>
      </c>
      <c r="CW1101" s="167">
        <v>0</v>
      </c>
      <c r="CX1101" s="167">
        <f>SUM(CD1101:CH1101)</f>
        <v>1</v>
      </c>
      <c r="CY1101" s="167">
        <f>SUM(CD1101:CM1101)</f>
        <v>1</v>
      </c>
    </row>
    <row r="1102" spans="1:103" ht="12.75" customHeight="1" x14ac:dyDescent="0.2">
      <c r="A1102" s="81">
        <v>6646</v>
      </c>
      <c r="B1102" s="165" t="s">
        <v>1930</v>
      </c>
      <c r="C1102" s="165" t="s">
        <v>2872</v>
      </c>
      <c r="E1102" s="165" t="s">
        <v>2873</v>
      </c>
      <c r="G1102" s="81">
        <v>528286</v>
      </c>
      <c r="H1102" s="81">
        <v>172911</v>
      </c>
      <c r="I1102" s="165" t="s">
        <v>254</v>
      </c>
      <c r="L1102" s="166">
        <v>1</v>
      </c>
      <c r="M1102" s="166">
        <v>2</v>
      </c>
      <c r="N1102" s="166">
        <v>1</v>
      </c>
      <c r="O1102" s="166">
        <v>2</v>
      </c>
      <c r="P1102" s="166">
        <v>1</v>
      </c>
      <c r="R1102" s="165" t="s">
        <v>2874</v>
      </c>
      <c r="S1102" s="81" t="s">
        <v>113</v>
      </c>
      <c r="T1102" s="349">
        <v>42915</v>
      </c>
      <c r="U1102" s="349">
        <v>42971</v>
      </c>
      <c r="V1102" s="81" t="s">
        <v>155</v>
      </c>
      <c r="W1102" s="81" t="s">
        <v>114</v>
      </c>
      <c r="Y1102" s="81" t="s">
        <v>115</v>
      </c>
      <c r="Z1102" s="81" t="s">
        <v>398</v>
      </c>
      <c r="AA1102" s="81" t="s">
        <v>117</v>
      </c>
      <c r="AB1102" s="81" t="s">
        <v>220</v>
      </c>
      <c r="AC1102" s="166">
        <v>9.9999997764825804E-3</v>
      </c>
      <c r="AG1102" s="81" t="s">
        <v>238</v>
      </c>
      <c r="AH1102" s="81" t="s">
        <v>118</v>
      </c>
      <c r="AK1102" s="166">
        <v>0</v>
      </c>
      <c r="AM1102" s="166">
        <v>0</v>
      </c>
      <c r="AO1102" s="166">
        <v>0</v>
      </c>
      <c r="AP1102" s="166">
        <v>1</v>
      </c>
      <c r="AQ1102" s="166">
        <v>1</v>
      </c>
      <c r="AR1102" s="166">
        <v>0</v>
      </c>
      <c r="AS1102" s="166">
        <v>-1</v>
      </c>
      <c r="AT1102" s="166">
        <v>0</v>
      </c>
      <c r="AU1102" s="166">
        <v>0</v>
      </c>
      <c r="AV1102" s="166">
        <v>0</v>
      </c>
      <c r="AW1102" s="166">
        <v>1</v>
      </c>
      <c r="AX1102" s="166">
        <v>1</v>
      </c>
      <c r="AY1102" s="166">
        <v>0</v>
      </c>
      <c r="AZ1102" s="166">
        <v>-1</v>
      </c>
      <c r="BA1102" s="166">
        <v>0</v>
      </c>
      <c r="BB1102" s="166">
        <v>0</v>
      </c>
      <c r="BC1102" s="166">
        <v>0</v>
      </c>
      <c r="BD1102" s="166">
        <v>0</v>
      </c>
      <c r="BE1102" s="166">
        <v>0</v>
      </c>
      <c r="BF1102" s="166">
        <v>0</v>
      </c>
      <c r="BG1102" s="166">
        <v>0</v>
      </c>
      <c r="BH1102" s="166">
        <v>0</v>
      </c>
      <c r="BI1102" s="166">
        <v>0</v>
      </c>
      <c r="BJ1102" s="166">
        <v>0</v>
      </c>
      <c r="BK1102" s="166">
        <v>0</v>
      </c>
      <c r="BL1102" s="166">
        <v>0</v>
      </c>
      <c r="BM1102" s="166">
        <v>0</v>
      </c>
      <c r="BN1102" s="166">
        <v>0</v>
      </c>
      <c r="BO1102" s="166">
        <v>0</v>
      </c>
      <c r="BP1102" s="166">
        <v>0</v>
      </c>
      <c r="BQ1102" s="81" t="s">
        <v>1757</v>
      </c>
      <c r="BZ1102" s="81" t="s">
        <v>155</v>
      </c>
      <c r="CA1102" s="81" t="s">
        <v>1937</v>
      </c>
      <c r="CC1102" s="167">
        <v>0</v>
      </c>
      <c r="CD1102" s="167">
        <f>$N1102/4</f>
        <v>0.25</v>
      </c>
      <c r="CE1102" s="167">
        <f>$N1102/4</f>
        <v>0.25</v>
      </c>
      <c r="CF1102" s="167">
        <f>$N1102/4</f>
        <v>0.25</v>
      </c>
      <c r="CG1102" s="167">
        <f>$N1102/4</f>
        <v>0.25</v>
      </c>
      <c r="CH1102" s="167">
        <v>0</v>
      </c>
      <c r="CI1102" s="167">
        <v>0</v>
      </c>
      <c r="CJ1102" s="167">
        <v>0</v>
      </c>
      <c r="CK1102" s="167">
        <v>0</v>
      </c>
      <c r="CL1102" s="167">
        <v>0</v>
      </c>
      <c r="CM1102" s="167">
        <v>0</v>
      </c>
      <c r="CN1102" s="167">
        <v>0</v>
      </c>
      <c r="CO1102" s="167">
        <v>0</v>
      </c>
      <c r="CP1102" s="167">
        <v>0</v>
      </c>
      <c r="CQ1102" s="167">
        <v>0</v>
      </c>
      <c r="CR1102" s="167">
        <v>0</v>
      </c>
      <c r="CS1102" s="167">
        <v>0</v>
      </c>
      <c r="CT1102" s="167">
        <v>0</v>
      </c>
      <c r="CU1102" s="167">
        <v>0</v>
      </c>
      <c r="CV1102" s="167">
        <v>0</v>
      </c>
      <c r="CW1102" s="167">
        <v>0</v>
      </c>
      <c r="CX1102" s="167">
        <f>SUM(CD1102:CH1102)</f>
        <v>1</v>
      </c>
      <c r="CY1102" s="167">
        <f>SUM(CD1102:CM1102)</f>
        <v>1</v>
      </c>
    </row>
    <row r="1103" spans="1:103" ht="12.75" customHeight="1" x14ac:dyDescent="0.2">
      <c r="A1103" s="81">
        <v>6649</v>
      </c>
      <c r="B1103" s="165" t="s">
        <v>1930</v>
      </c>
      <c r="C1103" s="165" t="s">
        <v>2884</v>
      </c>
      <c r="E1103" s="165" t="s">
        <v>2885</v>
      </c>
      <c r="G1103" s="81">
        <v>526076</v>
      </c>
      <c r="H1103" s="81">
        <v>174533</v>
      </c>
      <c r="I1103" s="165" t="s">
        <v>251</v>
      </c>
      <c r="L1103" s="166">
        <v>2</v>
      </c>
      <c r="M1103" s="166">
        <v>1</v>
      </c>
      <c r="N1103" s="166">
        <v>-1</v>
      </c>
      <c r="O1103" s="166">
        <v>1</v>
      </c>
      <c r="P1103" s="166">
        <v>-1</v>
      </c>
      <c r="R1103" s="165" t="s">
        <v>2886</v>
      </c>
      <c r="S1103" s="81" t="s">
        <v>113</v>
      </c>
      <c r="T1103" s="349">
        <v>42934</v>
      </c>
      <c r="U1103" s="349">
        <v>42985</v>
      </c>
      <c r="V1103" s="81" t="s">
        <v>155</v>
      </c>
      <c r="W1103" s="81" t="s">
        <v>114</v>
      </c>
      <c r="Y1103" s="81" t="s">
        <v>115</v>
      </c>
      <c r="Z1103" s="81" t="s">
        <v>119</v>
      </c>
      <c r="AA1103" s="81" t="s">
        <v>117</v>
      </c>
      <c r="AB1103" s="81" t="s">
        <v>336</v>
      </c>
      <c r="AC1103" s="166">
        <v>2.4000000208616298E-2</v>
      </c>
      <c r="AG1103" s="81" t="s">
        <v>238</v>
      </c>
      <c r="AH1103" s="81" t="s">
        <v>118</v>
      </c>
      <c r="AK1103" s="166">
        <v>0</v>
      </c>
      <c r="AM1103" s="166">
        <v>0</v>
      </c>
      <c r="AO1103" s="166">
        <v>0</v>
      </c>
      <c r="AP1103" s="166">
        <v>0</v>
      </c>
      <c r="AQ1103" s="166">
        <v>-2</v>
      </c>
      <c r="AR1103" s="166">
        <v>0</v>
      </c>
      <c r="AS1103" s="166">
        <v>1</v>
      </c>
      <c r="AT1103" s="166">
        <v>0</v>
      </c>
      <c r="AU1103" s="166">
        <v>0</v>
      </c>
      <c r="AV1103" s="166">
        <v>0</v>
      </c>
      <c r="AW1103" s="166">
        <v>0</v>
      </c>
      <c r="AX1103" s="166">
        <v>-2</v>
      </c>
      <c r="AY1103" s="166">
        <v>0</v>
      </c>
      <c r="AZ1103" s="166">
        <v>0</v>
      </c>
      <c r="BA1103" s="166">
        <v>0</v>
      </c>
      <c r="BB1103" s="166">
        <v>0</v>
      </c>
      <c r="BC1103" s="166">
        <v>0</v>
      </c>
      <c r="BD1103" s="166">
        <v>0</v>
      </c>
      <c r="BE1103" s="166">
        <v>0</v>
      </c>
      <c r="BF1103" s="166">
        <v>0</v>
      </c>
      <c r="BG1103" s="166">
        <v>1</v>
      </c>
      <c r="BH1103" s="166">
        <v>0</v>
      </c>
      <c r="BI1103" s="166">
        <v>0</v>
      </c>
      <c r="BJ1103" s="166">
        <v>0</v>
      </c>
      <c r="BK1103" s="166">
        <v>0</v>
      </c>
      <c r="BL1103" s="166">
        <v>0</v>
      </c>
      <c r="BM1103" s="166">
        <v>0</v>
      </c>
      <c r="BN1103" s="166">
        <v>0</v>
      </c>
      <c r="BO1103" s="166">
        <v>0</v>
      </c>
      <c r="BP1103" s="166">
        <v>0</v>
      </c>
      <c r="BQ1103" s="81" t="s">
        <v>1758</v>
      </c>
      <c r="BZ1103" s="81" t="s">
        <v>155</v>
      </c>
      <c r="CA1103" s="81" t="s">
        <v>1937</v>
      </c>
      <c r="CC1103" s="167">
        <v>0</v>
      </c>
      <c r="CD1103" s="167">
        <f>$N1103/4</f>
        <v>-0.25</v>
      </c>
      <c r="CE1103" s="167">
        <f>$N1103/4</f>
        <v>-0.25</v>
      </c>
      <c r="CF1103" s="167">
        <f>$N1103/4</f>
        <v>-0.25</v>
      </c>
      <c r="CG1103" s="167">
        <f>$N1103/4</f>
        <v>-0.25</v>
      </c>
      <c r="CH1103" s="167">
        <v>0</v>
      </c>
      <c r="CI1103" s="167">
        <v>0</v>
      </c>
      <c r="CJ1103" s="167">
        <v>0</v>
      </c>
      <c r="CK1103" s="167">
        <v>0</v>
      </c>
      <c r="CL1103" s="167">
        <v>0</v>
      </c>
      <c r="CM1103" s="167">
        <v>0</v>
      </c>
      <c r="CN1103" s="167">
        <v>0</v>
      </c>
      <c r="CO1103" s="167">
        <v>0</v>
      </c>
      <c r="CP1103" s="167">
        <v>0</v>
      </c>
      <c r="CQ1103" s="167">
        <v>0</v>
      </c>
      <c r="CR1103" s="167">
        <v>0</v>
      </c>
      <c r="CS1103" s="167">
        <v>0</v>
      </c>
      <c r="CT1103" s="167">
        <v>0</v>
      </c>
      <c r="CU1103" s="167">
        <v>0</v>
      </c>
      <c r="CV1103" s="167">
        <v>0</v>
      </c>
      <c r="CW1103" s="167">
        <v>0</v>
      </c>
      <c r="CX1103" s="167">
        <f>SUM(CD1103:CH1103)</f>
        <v>-1</v>
      </c>
      <c r="CY1103" s="167">
        <f>SUM(CD1103:CM1103)</f>
        <v>-1</v>
      </c>
    </row>
    <row r="1104" spans="1:103" ht="12.75" customHeight="1" x14ac:dyDescent="0.2">
      <c r="A1104" s="81">
        <v>6654</v>
      </c>
      <c r="B1104" s="165" t="s">
        <v>1930</v>
      </c>
      <c r="C1104" s="165" t="s">
        <v>2878</v>
      </c>
      <c r="E1104" s="165" t="s">
        <v>2879</v>
      </c>
      <c r="G1104" s="81">
        <v>522636</v>
      </c>
      <c r="H1104" s="81">
        <v>175154</v>
      </c>
      <c r="I1104" s="165" t="s">
        <v>59</v>
      </c>
      <c r="L1104" s="166">
        <v>1</v>
      </c>
      <c r="M1104" s="166">
        <v>2</v>
      </c>
      <c r="N1104" s="166">
        <v>1</v>
      </c>
      <c r="O1104" s="166">
        <v>2</v>
      </c>
      <c r="P1104" s="166">
        <v>1</v>
      </c>
      <c r="R1104" s="165" t="s">
        <v>2880</v>
      </c>
      <c r="S1104" s="81" t="s">
        <v>113</v>
      </c>
      <c r="T1104" s="349">
        <v>42936</v>
      </c>
      <c r="U1104" s="349">
        <v>42991</v>
      </c>
      <c r="V1104" s="81" t="s">
        <v>155</v>
      </c>
      <c r="W1104" s="81" t="s">
        <v>114</v>
      </c>
      <c r="Y1104" s="81" t="s">
        <v>115</v>
      </c>
      <c r="Z1104" s="81" t="s">
        <v>398</v>
      </c>
      <c r="AA1104" s="81" t="s">
        <v>117</v>
      </c>
      <c r="AB1104" s="81" t="s">
        <v>120</v>
      </c>
      <c r="AC1104" s="166">
        <v>2.3000000044703501E-2</v>
      </c>
      <c r="AG1104" s="81" t="s">
        <v>238</v>
      </c>
      <c r="AH1104" s="81" t="s">
        <v>118</v>
      </c>
      <c r="AK1104" s="166">
        <v>0</v>
      </c>
      <c r="AM1104" s="166">
        <v>0</v>
      </c>
      <c r="AO1104" s="166">
        <v>0</v>
      </c>
      <c r="AP1104" s="166">
        <v>0</v>
      </c>
      <c r="AQ1104" s="166">
        <v>1</v>
      </c>
      <c r="AR1104" s="166">
        <v>0</v>
      </c>
      <c r="AS1104" s="166">
        <v>0</v>
      </c>
      <c r="AT1104" s="166">
        <v>0</v>
      </c>
      <c r="AU1104" s="166">
        <v>0</v>
      </c>
      <c r="AV1104" s="166">
        <v>0</v>
      </c>
      <c r="AW1104" s="166">
        <v>0</v>
      </c>
      <c r="AX1104" s="166">
        <v>1</v>
      </c>
      <c r="AY1104" s="166">
        <v>1</v>
      </c>
      <c r="AZ1104" s="166">
        <v>0</v>
      </c>
      <c r="BA1104" s="166">
        <v>0</v>
      </c>
      <c r="BB1104" s="166">
        <v>0</v>
      </c>
      <c r="BC1104" s="166">
        <v>0</v>
      </c>
      <c r="BD1104" s="166">
        <v>0</v>
      </c>
      <c r="BE1104" s="166">
        <v>0</v>
      </c>
      <c r="BF1104" s="166">
        <v>-1</v>
      </c>
      <c r="BG1104" s="166">
        <v>0</v>
      </c>
      <c r="BH1104" s="166">
        <v>0</v>
      </c>
      <c r="BI1104" s="166">
        <v>0</v>
      </c>
      <c r="BJ1104" s="166">
        <v>0</v>
      </c>
      <c r="BK1104" s="166">
        <v>0</v>
      </c>
      <c r="BL1104" s="166">
        <v>0</v>
      </c>
      <c r="BM1104" s="166">
        <v>0</v>
      </c>
      <c r="BN1104" s="166">
        <v>0</v>
      </c>
      <c r="BO1104" s="166">
        <v>0</v>
      </c>
      <c r="BP1104" s="166">
        <v>0</v>
      </c>
      <c r="BQ1104" s="81" t="s">
        <v>1758</v>
      </c>
      <c r="BZ1104" s="81" t="s">
        <v>155</v>
      </c>
      <c r="CA1104" s="81" t="s">
        <v>1937</v>
      </c>
      <c r="CC1104" s="167">
        <v>0</v>
      </c>
      <c r="CD1104" s="167">
        <f>$N1104/4</f>
        <v>0.25</v>
      </c>
      <c r="CE1104" s="167">
        <f>$N1104/4</f>
        <v>0.25</v>
      </c>
      <c r="CF1104" s="167">
        <f>$N1104/4</f>
        <v>0.25</v>
      </c>
      <c r="CG1104" s="167">
        <f>$N1104/4</f>
        <v>0.25</v>
      </c>
      <c r="CH1104" s="167">
        <v>0</v>
      </c>
      <c r="CI1104" s="167">
        <v>0</v>
      </c>
      <c r="CJ1104" s="167">
        <v>0</v>
      </c>
      <c r="CK1104" s="167">
        <v>0</v>
      </c>
      <c r="CL1104" s="167">
        <v>0</v>
      </c>
      <c r="CM1104" s="167">
        <v>0</v>
      </c>
      <c r="CN1104" s="167">
        <v>0</v>
      </c>
      <c r="CO1104" s="167">
        <v>0</v>
      </c>
      <c r="CP1104" s="167">
        <v>0</v>
      </c>
      <c r="CQ1104" s="167">
        <v>0</v>
      </c>
      <c r="CR1104" s="167">
        <v>0</v>
      </c>
      <c r="CS1104" s="167">
        <v>0</v>
      </c>
      <c r="CT1104" s="167">
        <v>0</v>
      </c>
      <c r="CU1104" s="167">
        <v>0</v>
      </c>
      <c r="CV1104" s="167">
        <v>0</v>
      </c>
      <c r="CW1104" s="167">
        <v>0</v>
      </c>
      <c r="CX1104" s="167">
        <f>SUM(CD1104:CH1104)</f>
        <v>1</v>
      </c>
      <c r="CY1104" s="167">
        <f>SUM(CD1104:CM1104)</f>
        <v>1</v>
      </c>
    </row>
    <row r="1105" spans="1:103" ht="12.75" customHeight="1" x14ac:dyDescent="0.2">
      <c r="A1105" s="81">
        <v>6665</v>
      </c>
      <c r="B1105" s="165" t="s">
        <v>1930</v>
      </c>
      <c r="C1105" s="165" t="s">
        <v>2933</v>
      </c>
      <c r="E1105" s="165" t="s">
        <v>2934</v>
      </c>
      <c r="G1105" s="81">
        <v>528744</v>
      </c>
      <c r="H1105" s="81">
        <v>173591</v>
      </c>
      <c r="I1105" s="165" t="s">
        <v>247</v>
      </c>
      <c r="L1105" s="166">
        <v>0</v>
      </c>
      <c r="M1105" s="166">
        <v>1</v>
      </c>
      <c r="N1105" s="166">
        <v>1</v>
      </c>
      <c r="O1105" s="166">
        <v>2</v>
      </c>
      <c r="P1105" s="166">
        <v>2</v>
      </c>
      <c r="R1105" s="165" t="s">
        <v>2935</v>
      </c>
      <c r="S1105" s="81" t="s">
        <v>113</v>
      </c>
      <c r="T1105" s="349">
        <v>42950</v>
      </c>
      <c r="U1105" s="349">
        <v>43063</v>
      </c>
      <c r="V1105" s="81" t="s">
        <v>155</v>
      </c>
      <c r="W1105" s="81" t="s">
        <v>114</v>
      </c>
      <c r="Y1105" s="81" t="s">
        <v>115</v>
      </c>
      <c r="Z1105" s="81" t="s">
        <v>310</v>
      </c>
      <c r="AA1105" s="81" t="s">
        <v>117</v>
      </c>
      <c r="AB1105" s="81" t="s">
        <v>311</v>
      </c>
      <c r="AC1105" s="166">
        <v>2.0000000949949E-3</v>
      </c>
      <c r="AG1105" s="81" t="s">
        <v>238</v>
      </c>
      <c r="AH1105" s="81" t="s">
        <v>118</v>
      </c>
      <c r="AK1105" s="166">
        <v>0</v>
      </c>
      <c r="AM1105" s="166">
        <v>0</v>
      </c>
      <c r="AO1105" s="166">
        <v>0</v>
      </c>
      <c r="AP1105" s="166">
        <v>1</v>
      </c>
      <c r="AQ1105" s="166">
        <v>0</v>
      </c>
      <c r="AR1105" s="166">
        <v>0</v>
      </c>
      <c r="AS1105" s="166">
        <v>0</v>
      </c>
      <c r="AT1105" s="166">
        <v>0</v>
      </c>
      <c r="AU1105" s="166">
        <v>0</v>
      </c>
      <c r="AV1105" s="166">
        <v>0</v>
      </c>
      <c r="AW1105" s="166">
        <v>1</v>
      </c>
      <c r="AX1105" s="166">
        <v>0</v>
      </c>
      <c r="AY1105" s="166">
        <v>0</v>
      </c>
      <c r="AZ1105" s="166">
        <v>0</v>
      </c>
      <c r="BA1105" s="166">
        <v>0</v>
      </c>
      <c r="BB1105" s="166">
        <v>0</v>
      </c>
      <c r="BC1105" s="166">
        <v>0</v>
      </c>
      <c r="BD1105" s="166">
        <v>0</v>
      </c>
      <c r="BE1105" s="166">
        <v>0</v>
      </c>
      <c r="BF1105" s="166">
        <v>0</v>
      </c>
      <c r="BG1105" s="166">
        <v>0</v>
      </c>
      <c r="BH1105" s="166">
        <v>0</v>
      </c>
      <c r="BI1105" s="166">
        <v>0</v>
      </c>
      <c r="BJ1105" s="166">
        <v>0</v>
      </c>
      <c r="BK1105" s="166">
        <v>0</v>
      </c>
      <c r="BL1105" s="166">
        <v>0</v>
      </c>
      <c r="BM1105" s="166">
        <v>0</v>
      </c>
      <c r="BN1105" s="166">
        <v>0</v>
      </c>
      <c r="BO1105" s="166">
        <v>0</v>
      </c>
      <c r="BP1105" s="166">
        <v>0</v>
      </c>
      <c r="BQ1105" s="81" t="s">
        <v>1757</v>
      </c>
      <c r="BZ1105" s="81" t="s">
        <v>155</v>
      </c>
      <c r="CA1105" s="81" t="s">
        <v>1937</v>
      </c>
      <c r="CC1105" s="167">
        <v>0</v>
      </c>
      <c r="CD1105" s="167">
        <f>$N1105/4</f>
        <v>0.25</v>
      </c>
      <c r="CE1105" s="167">
        <f>$N1105/4</f>
        <v>0.25</v>
      </c>
      <c r="CF1105" s="167">
        <f>$N1105/4</f>
        <v>0.25</v>
      </c>
      <c r="CG1105" s="167">
        <f>$N1105/4</f>
        <v>0.25</v>
      </c>
      <c r="CH1105" s="167">
        <v>0</v>
      </c>
      <c r="CI1105" s="167">
        <v>0</v>
      </c>
      <c r="CJ1105" s="167">
        <v>0</v>
      </c>
      <c r="CK1105" s="167">
        <v>0</v>
      </c>
      <c r="CL1105" s="167">
        <v>0</v>
      </c>
      <c r="CM1105" s="167">
        <v>0</v>
      </c>
      <c r="CN1105" s="167">
        <v>0</v>
      </c>
      <c r="CO1105" s="167">
        <v>0</v>
      </c>
      <c r="CP1105" s="167">
        <v>0</v>
      </c>
      <c r="CQ1105" s="167">
        <v>0</v>
      </c>
      <c r="CR1105" s="167">
        <v>0</v>
      </c>
      <c r="CS1105" s="167">
        <v>0</v>
      </c>
      <c r="CT1105" s="167">
        <v>0</v>
      </c>
      <c r="CU1105" s="167">
        <v>0</v>
      </c>
      <c r="CV1105" s="167">
        <v>0</v>
      </c>
      <c r="CW1105" s="167">
        <v>0</v>
      </c>
      <c r="CX1105" s="167">
        <f>SUM(CD1105:CH1105)</f>
        <v>1</v>
      </c>
      <c r="CY1105" s="167">
        <f>SUM(CD1105:CM1105)</f>
        <v>1</v>
      </c>
    </row>
    <row r="1106" spans="1:103" ht="12.75" customHeight="1" x14ac:dyDescent="0.2">
      <c r="A1106" s="81">
        <v>6665</v>
      </c>
      <c r="B1106" s="165" t="s">
        <v>1930</v>
      </c>
      <c r="C1106" s="165" t="s">
        <v>2933</v>
      </c>
      <c r="E1106" s="165" t="s">
        <v>2934</v>
      </c>
      <c r="G1106" s="81">
        <v>528744</v>
      </c>
      <c r="H1106" s="81">
        <v>173591</v>
      </c>
      <c r="I1106" s="165" t="s">
        <v>247</v>
      </c>
      <c r="L1106" s="166">
        <v>0</v>
      </c>
      <c r="M1106" s="166">
        <v>1</v>
      </c>
      <c r="N1106" s="166">
        <v>1</v>
      </c>
      <c r="O1106" s="166">
        <v>2</v>
      </c>
      <c r="P1106" s="166">
        <v>2</v>
      </c>
      <c r="R1106" s="165" t="s">
        <v>2935</v>
      </c>
      <c r="S1106" s="81" t="s">
        <v>113</v>
      </c>
      <c r="T1106" s="349">
        <v>42950</v>
      </c>
      <c r="U1106" s="349">
        <v>43063</v>
      </c>
      <c r="V1106" s="81" t="s">
        <v>155</v>
      </c>
      <c r="W1106" s="81" t="s">
        <v>114</v>
      </c>
      <c r="Y1106" s="81" t="s">
        <v>115</v>
      </c>
      <c r="Z1106" s="81" t="s">
        <v>310</v>
      </c>
      <c r="AA1106" s="81" t="s">
        <v>117</v>
      </c>
      <c r="AB1106" s="81" t="s">
        <v>218</v>
      </c>
      <c r="AC1106" s="166">
        <v>4.9999998882412902E-3</v>
      </c>
      <c r="AG1106" s="81" t="s">
        <v>238</v>
      </c>
      <c r="AH1106" s="81" t="s">
        <v>118</v>
      </c>
      <c r="AK1106" s="166">
        <v>0</v>
      </c>
      <c r="AM1106" s="166">
        <v>0</v>
      </c>
      <c r="AO1106" s="166">
        <v>0</v>
      </c>
      <c r="AP1106" s="166">
        <v>1</v>
      </c>
      <c r="AQ1106" s="166">
        <v>0</v>
      </c>
      <c r="AR1106" s="166">
        <v>0</v>
      </c>
      <c r="AS1106" s="166">
        <v>0</v>
      </c>
      <c r="AT1106" s="166">
        <v>0</v>
      </c>
      <c r="AU1106" s="166">
        <v>0</v>
      </c>
      <c r="AV1106" s="166">
        <v>0</v>
      </c>
      <c r="AW1106" s="166">
        <v>1</v>
      </c>
      <c r="AX1106" s="166">
        <v>0</v>
      </c>
      <c r="AY1106" s="166">
        <v>0</v>
      </c>
      <c r="AZ1106" s="166">
        <v>0</v>
      </c>
      <c r="BA1106" s="166">
        <v>0</v>
      </c>
      <c r="BB1106" s="166">
        <v>0</v>
      </c>
      <c r="BC1106" s="166">
        <v>0</v>
      </c>
      <c r="BD1106" s="166">
        <v>0</v>
      </c>
      <c r="BE1106" s="166">
        <v>0</v>
      </c>
      <c r="BF1106" s="166">
        <v>0</v>
      </c>
      <c r="BG1106" s="166">
        <v>0</v>
      </c>
      <c r="BH1106" s="166">
        <v>0</v>
      </c>
      <c r="BI1106" s="166">
        <v>0</v>
      </c>
      <c r="BJ1106" s="166">
        <v>0</v>
      </c>
      <c r="BK1106" s="166">
        <v>0</v>
      </c>
      <c r="BL1106" s="166">
        <v>0</v>
      </c>
      <c r="BM1106" s="166">
        <v>0</v>
      </c>
      <c r="BN1106" s="166">
        <v>0</v>
      </c>
      <c r="BO1106" s="166">
        <v>0</v>
      </c>
      <c r="BP1106" s="166">
        <v>0</v>
      </c>
      <c r="BQ1106" s="81" t="s">
        <v>1757</v>
      </c>
      <c r="BZ1106" s="81" t="s">
        <v>155</v>
      </c>
      <c r="CA1106" s="81" t="s">
        <v>1937</v>
      </c>
      <c r="CC1106" s="167">
        <v>0</v>
      </c>
      <c r="CD1106" s="167">
        <f>$N1106/4</f>
        <v>0.25</v>
      </c>
      <c r="CE1106" s="167">
        <f>$N1106/4</f>
        <v>0.25</v>
      </c>
      <c r="CF1106" s="167">
        <f>$N1106/4</f>
        <v>0.25</v>
      </c>
      <c r="CG1106" s="167">
        <f>$N1106/4</f>
        <v>0.25</v>
      </c>
      <c r="CH1106" s="167">
        <v>0</v>
      </c>
      <c r="CI1106" s="167">
        <v>0</v>
      </c>
      <c r="CJ1106" s="167">
        <v>0</v>
      </c>
      <c r="CK1106" s="167">
        <v>0</v>
      </c>
      <c r="CL1106" s="167">
        <v>0</v>
      </c>
      <c r="CM1106" s="167">
        <v>0</v>
      </c>
      <c r="CN1106" s="167">
        <v>0</v>
      </c>
      <c r="CO1106" s="167">
        <v>0</v>
      </c>
      <c r="CP1106" s="167">
        <v>0</v>
      </c>
      <c r="CQ1106" s="167">
        <v>0</v>
      </c>
      <c r="CR1106" s="167">
        <v>0</v>
      </c>
      <c r="CS1106" s="167">
        <v>0</v>
      </c>
      <c r="CT1106" s="167">
        <v>0</v>
      </c>
      <c r="CU1106" s="167">
        <v>0</v>
      </c>
      <c r="CV1106" s="167">
        <v>0</v>
      </c>
      <c r="CW1106" s="167">
        <v>0</v>
      </c>
      <c r="CX1106" s="167">
        <f>SUM(CD1106:CH1106)</f>
        <v>1</v>
      </c>
      <c r="CY1106" s="167">
        <f>SUM(CD1106:CM1106)</f>
        <v>1</v>
      </c>
    </row>
    <row r="1107" spans="1:103" ht="12.75" customHeight="1" x14ac:dyDescent="0.2">
      <c r="A1107" s="81">
        <v>6666</v>
      </c>
      <c r="B1107" s="165" t="s">
        <v>1930</v>
      </c>
      <c r="C1107" s="165" t="s">
        <v>2887</v>
      </c>
      <c r="E1107" s="165" t="s">
        <v>2888</v>
      </c>
      <c r="G1107" s="81">
        <v>527769</v>
      </c>
      <c r="H1107" s="81">
        <v>174002</v>
      </c>
      <c r="I1107" s="165" t="s">
        <v>247</v>
      </c>
      <c r="L1107" s="166">
        <v>3</v>
      </c>
      <c r="M1107" s="166">
        <v>1</v>
      </c>
      <c r="N1107" s="166">
        <v>-2</v>
      </c>
      <c r="O1107" s="166">
        <v>1</v>
      </c>
      <c r="P1107" s="166">
        <v>-2</v>
      </c>
      <c r="R1107" s="165" t="s">
        <v>2889</v>
      </c>
      <c r="S1107" s="81" t="s">
        <v>113</v>
      </c>
      <c r="T1107" s="349">
        <v>42963</v>
      </c>
      <c r="U1107" s="349">
        <v>43019</v>
      </c>
      <c r="V1107" s="81" t="s">
        <v>155</v>
      </c>
      <c r="W1107" s="81" t="s">
        <v>114</v>
      </c>
      <c r="Y1107" s="81" t="s">
        <v>115</v>
      </c>
      <c r="Z1107" s="81" t="s">
        <v>398</v>
      </c>
      <c r="AA1107" s="81" t="s">
        <v>117</v>
      </c>
      <c r="AB1107" s="81" t="s">
        <v>336</v>
      </c>
      <c r="AC1107" s="166">
        <v>2.0999999716877899E-2</v>
      </c>
      <c r="AG1107" s="81" t="s">
        <v>238</v>
      </c>
      <c r="AH1107" s="81" t="s">
        <v>118</v>
      </c>
      <c r="AK1107" s="166">
        <v>0</v>
      </c>
      <c r="AM1107" s="166">
        <v>0</v>
      </c>
      <c r="AO1107" s="166">
        <v>0</v>
      </c>
      <c r="AP1107" s="166">
        <v>-2</v>
      </c>
      <c r="AQ1107" s="166">
        <v>-1</v>
      </c>
      <c r="AR1107" s="166">
        <v>0</v>
      </c>
      <c r="AS1107" s="166">
        <v>0</v>
      </c>
      <c r="AT1107" s="166">
        <v>1</v>
      </c>
      <c r="AU1107" s="166">
        <v>0</v>
      </c>
      <c r="AV1107" s="166">
        <v>0</v>
      </c>
      <c r="AW1107" s="166">
        <v>-2</v>
      </c>
      <c r="AX1107" s="166">
        <v>-1</v>
      </c>
      <c r="AY1107" s="166">
        <v>0</v>
      </c>
      <c r="AZ1107" s="166">
        <v>0</v>
      </c>
      <c r="BA1107" s="166">
        <v>0</v>
      </c>
      <c r="BB1107" s="166">
        <v>0</v>
      </c>
      <c r="BC1107" s="166">
        <v>0</v>
      </c>
      <c r="BD1107" s="166">
        <v>0</v>
      </c>
      <c r="BE1107" s="166">
        <v>0</v>
      </c>
      <c r="BF1107" s="166">
        <v>0</v>
      </c>
      <c r="BG1107" s="166">
        <v>0</v>
      </c>
      <c r="BH1107" s="166">
        <v>1</v>
      </c>
      <c r="BI1107" s="166">
        <v>0</v>
      </c>
      <c r="BJ1107" s="166">
        <v>0</v>
      </c>
      <c r="BK1107" s="166">
        <v>0</v>
      </c>
      <c r="BL1107" s="166">
        <v>0</v>
      </c>
      <c r="BM1107" s="166">
        <v>0</v>
      </c>
      <c r="BN1107" s="166">
        <v>0</v>
      </c>
      <c r="BO1107" s="166">
        <v>0</v>
      </c>
      <c r="BP1107" s="166">
        <v>0</v>
      </c>
      <c r="BQ1107" s="81" t="s">
        <v>1757</v>
      </c>
      <c r="BZ1107" s="81" t="s">
        <v>155</v>
      </c>
      <c r="CA1107" s="81" t="s">
        <v>1937</v>
      </c>
      <c r="CC1107" s="167">
        <v>0</v>
      </c>
      <c r="CD1107" s="167">
        <f>$N1107/4</f>
        <v>-0.5</v>
      </c>
      <c r="CE1107" s="167">
        <f>$N1107/4</f>
        <v>-0.5</v>
      </c>
      <c r="CF1107" s="167">
        <f>$N1107/4</f>
        <v>-0.5</v>
      </c>
      <c r="CG1107" s="167">
        <f>$N1107/4</f>
        <v>-0.5</v>
      </c>
      <c r="CH1107" s="167">
        <v>0</v>
      </c>
      <c r="CI1107" s="167">
        <v>0</v>
      </c>
      <c r="CJ1107" s="167">
        <v>0</v>
      </c>
      <c r="CK1107" s="167">
        <v>0</v>
      </c>
      <c r="CL1107" s="167">
        <v>0</v>
      </c>
      <c r="CM1107" s="167">
        <v>0</v>
      </c>
      <c r="CN1107" s="167">
        <v>0</v>
      </c>
      <c r="CO1107" s="167">
        <v>0</v>
      </c>
      <c r="CP1107" s="167">
        <v>0</v>
      </c>
      <c r="CQ1107" s="167">
        <v>0</v>
      </c>
      <c r="CR1107" s="167">
        <v>0</v>
      </c>
      <c r="CS1107" s="167">
        <v>0</v>
      </c>
      <c r="CT1107" s="167">
        <v>0</v>
      </c>
      <c r="CU1107" s="167">
        <v>0</v>
      </c>
      <c r="CV1107" s="167">
        <v>0</v>
      </c>
      <c r="CW1107" s="167">
        <v>0</v>
      </c>
      <c r="CX1107" s="167">
        <f>SUM(CD1107:CH1107)</f>
        <v>-2</v>
      </c>
      <c r="CY1107" s="167">
        <f>SUM(CD1107:CM1107)</f>
        <v>-2</v>
      </c>
    </row>
    <row r="1108" spans="1:103" ht="12.75" customHeight="1" x14ac:dyDescent="0.2">
      <c r="A1108" s="81">
        <v>6667</v>
      </c>
      <c r="B1108" s="165" t="s">
        <v>1930</v>
      </c>
      <c r="C1108" s="165" t="s">
        <v>2890</v>
      </c>
      <c r="E1108" s="165" t="s">
        <v>2891</v>
      </c>
      <c r="G1108" s="81">
        <v>524795</v>
      </c>
      <c r="H1108" s="81">
        <v>174423</v>
      </c>
      <c r="I1108" s="165" t="s">
        <v>250</v>
      </c>
      <c r="L1108" s="166">
        <v>1</v>
      </c>
      <c r="M1108" s="166">
        <v>1</v>
      </c>
      <c r="N1108" s="166">
        <v>0</v>
      </c>
      <c r="O1108" s="166">
        <v>1</v>
      </c>
      <c r="P1108" s="166">
        <v>0</v>
      </c>
      <c r="R1108" s="165" t="s">
        <v>2892</v>
      </c>
      <c r="S1108" s="81" t="s">
        <v>113</v>
      </c>
      <c r="T1108" s="349">
        <v>42949</v>
      </c>
      <c r="U1108" s="349">
        <v>43063</v>
      </c>
      <c r="V1108" s="81" t="s">
        <v>155</v>
      </c>
      <c r="W1108" s="81" t="s">
        <v>114</v>
      </c>
      <c r="Y1108" s="81" t="s">
        <v>115</v>
      </c>
      <c r="Z1108" s="81" t="s">
        <v>116</v>
      </c>
      <c r="AA1108" s="81" t="s">
        <v>117</v>
      </c>
      <c r="AB1108" s="81" t="s">
        <v>218</v>
      </c>
      <c r="AC1108" s="166">
        <v>4.3000001460313797E-2</v>
      </c>
      <c r="AG1108" s="81" t="s">
        <v>238</v>
      </c>
      <c r="AH1108" s="81" t="s">
        <v>118</v>
      </c>
      <c r="AK1108" s="166">
        <v>0</v>
      </c>
      <c r="AM1108" s="166">
        <v>0</v>
      </c>
      <c r="AO1108" s="166">
        <v>0</v>
      </c>
      <c r="AP1108" s="166">
        <v>0</v>
      </c>
      <c r="AQ1108" s="166">
        <v>0</v>
      </c>
      <c r="AR1108" s="166">
        <v>0</v>
      </c>
      <c r="AS1108" s="166">
        <v>1</v>
      </c>
      <c r="AT1108" s="166">
        <v>-1</v>
      </c>
      <c r="AU1108" s="166">
        <v>0</v>
      </c>
      <c r="AV1108" s="166">
        <v>0</v>
      </c>
      <c r="AW1108" s="166">
        <v>0</v>
      </c>
      <c r="AX1108" s="166">
        <v>0</v>
      </c>
      <c r="AY1108" s="166">
        <v>0</v>
      </c>
      <c r="AZ1108" s="166">
        <v>0</v>
      </c>
      <c r="BA1108" s="166">
        <v>0</v>
      </c>
      <c r="BB1108" s="166">
        <v>0</v>
      </c>
      <c r="BC1108" s="166">
        <v>0</v>
      </c>
      <c r="BD1108" s="166">
        <v>0</v>
      </c>
      <c r="BE1108" s="166">
        <v>0</v>
      </c>
      <c r="BF1108" s="166">
        <v>0</v>
      </c>
      <c r="BG1108" s="166">
        <v>1</v>
      </c>
      <c r="BH1108" s="166">
        <v>-1</v>
      </c>
      <c r="BI1108" s="166">
        <v>0</v>
      </c>
      <c r="BJ1108" s="166">
        <v>0</v>
      </c>
      <c r="BK1108" s="166">
        <v>0</v>
      </c>
      <c r="BL1108" s="166">
        <v>0</v>
      </c>
      <c r="BM1108" s="166">
        <v>0</v>
      </c>
      <c r="BN1108" s="166">
        <v>0</v>
      </c>
      <c r="BO1108" s="166">
        <v>0</v>
      </c>
      <c r="BP1108" s="166">
        <v>0</v>
      </c>
      <c r="BQ1108" s="81" t="s">
        <v>1758</v>
      </c>
      <c r="BZ1108" s="81" t="s">
        <v>155</v>
      </c>
      <c r="CA1108" s="81">
        <v>4</v>
      </c>
      <c r="CC1108" s="167">
        <v>0</v>
      </c>
      <c r="CD1108" s="167">
        <v>0</v>
      </c>
      <c r="CE1108" s="167">
        <f>$N1108/4</f>
        <v>0</v>
      </c>
      <c r="CF1108" s="167">
        <f>$N1108/4</f>
        <v>0</v>
      </c>
      <c r="CG1108" s="167">
        <f>$N1108/4</f>
        <v>0</v>
      </c>
      <c r="CH1108" s="167">
        <f>$N1108/4</f>
        <v>0</v>
      </c>
      <c r="CI1108" s="167">
        <v>0</v>
      </c>
      <c r="CJ1108" s="167">
        <v>0</v>
      </c>
      <c r="CK1108" s="167">
        <v>0</v>
      </c>
      <c r="CL1108" s="167">
        <v>0</v>
      </c>
      <c r="CM1108" s="167">
        <v>0</v>
      </c>
      <c r="CN1108" s="167">
        <v>0</v>
      </c>
      <c r="CO1108" s="167">
        <v>0</v>
      </c>
      <c r="CP1108" s="167">
        <v>0</v>
      </c>
      <c r="CQ1108" s="167">
        <v>0</v>
      </c>
      <c r="CR1108" s="167">
        <v>0</v>
      </c>
      <c r="CS1108" s="167">
        <v>0</v>
      </c>
      <c r="CT1108" s="167">
        <v>0</v>
      </c>
      <c r="CU1108" s="167">
        <v>0</v>
      </c>
      <c r="CV1108" s="167">
        <v>0</v>
      </c>
      <c r="CW1108" s="167">
        <v>0</v>
      </c>
      <c r="CX1108" s="167">
        <f>SUM(CD1108:CH1108)</f>
        <v>0</v>
      </c>
      <c r="CY1108" s="167">
        <f>SUM(CD1108:CM1108)</f>
        <v>0</v>
      </c>
    </row>
    <row r="1109" spans="1:103" ht="12.75" customHeight="1" x14ac:dyDescent="0.2">
      <c r="A1109" s="81">
        <v>6668</v>
      </c>
      <c r="B1109" s="165" t="s">
        <v>1930</v>
      </c>
      <c r="C1109" s="165" t="s">
        <v>2893</v>
      </c>
      <c r="E1109" s="165" t="s">
        <v>2894</v>
      </c>
      <c r="G1109" s="81">
        <v>527779</v>
      </c>
      <c r="H1109" s="81">
        <v>172707</v>
      </c>
      <c r="I1109" s="165" t="s">
        <v>254</v>
      </c>
      <c r="L1109" s="166">
        <v>1</v>
      </c>
      <c r="M1109" s="166">
        <v>3</v>
      </c>
      <c r="N1109" s="166">
        <v>2</v>
      </c>
      <c r="O1109" s="166">
        <v>3</v>
      </c>
      <c r="P1109" s="166">
        <v>2</v>
      </c>
      <c r="R1109" s="165" t="s">
        <v>2895</v>
      </c>
      <c r="S1109" s="81" t="s">
        <v>113</v>
      </c>
      <c r="T1109" s="349">
        <v>42955</v>
      </c>
      <c r="U1109" s="349">
        <v>43067</v>
      </c>
      <c r="V1109" s="81" t="s">
        <v>155</v>
      </c>
      <c r="W1109" s="81" t="s">
        <v>114</v>
      </c>
      <c r="Y1109" s="81" t="s">
        <v>115</v>
      </c>
      <c r="Z1109" s="81" t="s">
        <v>398</v>
      </c>
      <c r="AA1109" s="81" t="s">
        <v>117</v>
      </c>
      <c r="AB1109" s="81" t="s">
        <v>120</v>
      </c>
      <c r="AC1109" s="166">
        <v>1.7000000923872001E-2</v>
      </c>
      <c r="AG1109" s="81" t="s">
        <v>238</v>
      </c>
      <c r="AH1109" s="81" t="s">
        <v>118</v>
      </c>
      <c r="AK1109" s="166">
        <v>0</v>
      </c>
      <c r="AM1109" s="166">
        <v>0</v>
      </c>
      <c r="AO1109" s="166">
        <v>0</v>
      </c>
      <c r="AP1109" s="166">
        <v>1</v>
      </c>
      <c r="AQ1109" s="166">
        <v>1</v>
      </c>
      <c r="AR1109" s="166">
        <v>1</v>
      </c>
      <c r="AS1109" s="166">
        <v>0</v>
      </c>
      <c r="AT1109" s="166">
        <v>-1</v>
      </c>
      <c r="AU1109" s="166">
        <v>0</v>
      </c>
      <c r="AV1109" s="166">
        <v>0</v>
      </c>
      <c r="AW1109" s="166">
        <v>1</v>
      </c>
      <c r="AX1109" s="166">
        <v>1</v>
      </c>
      <c r="AY1109" s="166">
        <v>1</v>
      </c>
      <c r="AZ1109" s="166">
        <v>0</v>
      </c>
      <c r="BA1109" s="166">
        <v>0</v>
      </c>
      <c r="BB1109" s="166">
        <v>0</v>
      </c>
      <c r="BC1109" s="166">
        <v>0</v>
      </c>
      <c r="BD1109" s="166">
        <v>0</v>
      </c>
      <c r="BE1109" s="166">
        <v>0</v>
      </c>
      <c r="BF1109" s="166">
        <v>0</v>
      </c>
      <c r="BG1109" s="166">
        <v>0</v>
      </c>
      <c r="BH1109" s="166">
        <v>-1</v>
      </c>
      <c r="BI1109" s="166">
        <v>0</v>
      </c>
      <c r="BJ1109" s="166">
        <v>0</v>
      </c>
      <c r="BK1109" s="166">
        <v>0</v>
      </c>
      <c r="BL1109" s="166">
        <v>0</v>
      </c>
      <c r="BM1109" s="166">
        <v>0</v>
      </c>
      <c r="BN1109" s="166">
        <v>0</v>
      </c>
      <c r="BO1109" s="166">
        <v>0</v>
      </c>
      <c r="BP1109" s="166">
        <v>0</v>
      </c>
      <c r="BQ1109" s="81" t="s">
        <v>1757</v>
      </c>
      <c r="BZ1109" s="81" t="s">
        <v>155</v>
      </c>
      <c r="CA1109" s="81" t="s">
        <v>1937</v>
      </c>
      <c r="CC1109" s="167">
        <v>0</v>
      </c>
      <c r="CD1109" s="167">
        <f>$N1109/4</f>
        <v>0.5</v>
      </c>
      <c r="CE1109" s="167">
        <f>$N1109/4</f>
        <v>0.5</v>
      </c>
      <c r="CF1109" s="167">
        <f>$N1109/4</f>
        <v>0.5</v>
      </c>
      <c r="CG1109" s="167">
        <f>$N1109/4</f>
        <v>0.5</v>
      </c>
      <c r="CH1109" s="167">
        <v>0</v>
      </c>
      <c r="CI1109" s="167">
        <v>0</v>
      </c>
      <c r="CJ1109" s="167">
        <v>0</v>
      </c>
      <c r="CK1109" s="167">
        <v>0</v>
      </c>
      <c r="CL1109" s="167">
        <v>0</v>
      </c>
      <c r="CM1109" s="167">
        <v>0</v>
      </c>
      <c r="CN1109" s="167">
        <v>0</v>
      </c>
      <c r="CO1109" s="167">
        <v>0</v>
      </c>
      <c r="CP1109" s="167">
        <v>0</v>
      </c>
      <c r="CQ1109" s="167">
        <v>0</v>
      </c>
      <c r="CR1109" s="167">
        <v>0</v>
      </c>
      <c r="CS1109" s="167">
        <v>0</v>
      </c>
      <c r="CT1109" s="167">
        <v>0</v>
      </c>
      <c r="CU1109" s="167">
        <v>0</v>
      </c>
      <c r="CV1109" s="167">
        <v>0</v>
      </c>
      <c r="CW1109" s="167">
        <v>0</v>
      </c>
      <c r="CX1109" s="167">
        <f>SUM(CD1109:CH1109)</f>
        <v>2</v>
      </c>
      <c r="CY1109" s="167">
        <f>SUM(CD1109:CM1109)</f>
        <v>2</v>
      </c>
    </row>
    <row r="1110" spans="1:103" ht="12.75" customHeight="1" x14ac:dyDescent="0.2">
      <c r="A1110" s="81">
        <v>6670</v>
      </c>
      <c r="B1110" s="165" t="s">
        <v>1930</v>
      </c>
      <c r="C1110" s="165" t="s">
        <v>2896</v>
      </c>
      <c r="E1110" s="165" t="s">
        <v>3962</v>
      </c>
      <c r="F1110" s="165" t="s">
        <v>2898</v>
      </c>
      <c r="G1110" s="81">
        <v>527469</v>
      </c>
      <c r="H1110" s="81">
        <v>171617</v>
      </c>
      <c r="I1110" s="165" t="s">
        <v>242</v>
      </c>
      <c r="L1110" s="166">
        <v>0</v>
      </c>
      <c r="M1110" s="166">
        <v>1</v>
      </c>
      <c r="N1110" s="166">
        <v>1</v>
      </c>
      <c r="O1110" s="166">
        <v>8</v>
      </c>
      <c r="P1110" s="166">
        <v>8</v>
      </c>
      <c r="R1110" s="165" t="s">
        <v>2897</v>
      </c>
      <c r="S1110" s="81" t="s">
        <v>113</v>
      </c>
      <c r="T1110" s="349">
        <v>42958</v>
      </c>
      <c r="U1110" s="349">
        <v>43158</v>
      </c>
      <c r="V1110" s="81" t="s">
        <v>155</v>
      </c>
      <c r="W1110" s="81" t="s">
        <v>114</v>
      </c>
      <c r="Y1110" s="81" t="s">
        <v>115</v>
      </c>
      <c r="Z1110" s="81" t="s">
        <v>116</v>
      </c>
      <c r="AA1110" s="81" t="s">
        <v>117</v>
      </c>
      <c r="AB1110" s="81" t="s">
        <v>218</v>
      </c>
      <c r="AC1110" s="166">
        <v>1.60000007599592E-2</v>
      </c>
      <c r="AG1110" s="81" t="s">
        <v>238</v>
      </c>
      <c r="AH1110" s="81" t="s">
        <v>118</v>
      </c>
      <c r="AK1110" s="166">
        <v>0</v>
      </c>
      <c r="AL1110" s="166">
        <v>1</v>
      </c>
      <c r="AM1110" s="166">
        <v>0</v>
      </c>
      <c r="AO1110" s="166">
        <v>0</v>
      </c>
      <c r="AP1110" s="166">
        <v>0</v>
      </c>
      <c r="AQ1110" s="166">
        <v>1</v>
      </c>
      <c r="AR1110" s="166">
        <v>0</v>
      </c>
      <c r="AS1110" s="166">
        <v>0</v>
      </c>
      <c r="AT1110" s="166">
        <v>0</v>
      </c>
      <c r="AU1110" s="166">
        <v>0</v>
      </c>
      <c r="AV1110" s="166">
        <v>0</v>
      </c>
      <c r="AW1110" s="166">
        <v>0</v>
      </c>
      <c r="AX1110" s="166">
        <v>0</v>
      </c>
      <c r="AY1110" s="166">
        <v>0</v>
      </c>
      <c r="AZ1110" s="166">
        <v>0</v>
      </c>
      <c r="BA1110" s="166">
        <v>0</v>
      </c>
      <c r="BB1110" s="166">
        <v>0</v>
      </c>
      <c r="BC1110" s="166">
        <v>0</v>
      </c>
      <c r="BD1110" s="166">
        <v>0</v>
      </c>
      <c r="BE1110" s="166">
        <v>1</v>
      </c>
      <c r="BF1110" s="166">
        <v>0</v>
      </c>
      <c r="BG1110" s="166">
        <v>0</v>
      </c>
      <c r="BH1110" s="166">
        <v>0</v>
      </c>
      <c r="BI1110" s="166">
        <v>0</v>
      </c>
      <c r="BJ1110" s="166">
        <v>0</v>
      </c>
      <c r="BK1110" s="166">
        <v>0</v>
      </c>
      <c r="BL1110" s="166">
        <v>0</v>
      </c>
      <c r="BM1110" s="166">
        <v>0</v>
      </c>
      <c r="BN1110" s="166">
        <v>0</v>
      </c>
      <c r="BO1110" s="166">
        <v>0</v>
      </c>
      <c r="BP1110" s="166">
        <v>0</v>
      </c>
      <c r="BQ1110" s="81" t="s">
        <v>1757</v>
      </c>
      <c r="BR1110" s="81" t="s">
        <v>242</v>
      </c>
      <c r="BZ1110" s="81" t="s">
        <v>155</v>
      </c>
      <c r="CA1110" s="81" t="s">
        <v>3936</v>
      </c>
      <c r="CC1110" s="167">
        <v>0</v>
      </c>
      <c r="CD1110" s="167">
        <v>0</v>
      </c>
      <c r="CE1110" s="167">
        <v>0</v>
      </c>
      <c r="CF1110" s="167">
        <f>N1110</f>
        <v>1</v>
      </c>
      <c r="CG1110" s="167">
        <v>0</v>
      </c>
      <c r="CH1110" s="167">
        <v>0</v>
      </c>
      <c r="CI1110" s="167">
        <v>0</v>
      </c>
      <c r="CJ1110" s="167">
        <v>0</v>
      </c>
      <c r="CK1110" s="167">
        <v>0</v>
      </c>
      <c r="CL1110" s="167">
        <v>0</v>
      </c>
      <c r="CM1110" s="167">
        <v>0</v>
      </c>
      <c r="CN1110" s="167">
        <v>0</v>
      </c>
      <c r="CO1110" s="167">
        <v>0</v>
      </c>
      <c r="CP1110" s="167">
        <v>0</v>
      </c>
      <c r="CQ1110" s="167">
        <v>0</v>
      </c>
      <c r="CR1110" s="167">
        <v>0</v>
      </c>
      <c r="CS1110" s="167">
        <v>0</v>
      </c>
      <c r="CT1110" s="167">
        <v>0</v>
      </c>
      <c r="CU1110" s="167">
        <v>0</v>
      </c>
      <c r="CV1110" s="167">
        <v>0</v>
      </c>
      <c r="CW1110" s="167">
        <v>0</v>
      </c>
      <c r="CX1110" s="167">
        <f>SUM(CD1110:CH1110)</f>
        <v>1</v>
      </c>
      <c r="CY1110" s="167">
        <f>SUM(CD1110:CM1110)</f>
        <v>1</v>
      </c>
    </row>
    <row r="1111" spans="1:103" ht="12.75" customHeight="1" x14ac:dyDescent="0.2">
      <c r="A1111" s="81">
        <v>6670</v>
      </c>
      <c r="B1111" s="165" t="s">
        <v>1930</v>
      </c>
      <c r="C1111" s="165" t="s">
        <v>2896</v>
      </c>
      <c r="E1111" s="165" t="s">
        <v>3962</v>
      </c>
      <c r="F1111" s="165" t="s">
        <v>2899</v>
      </c>
      <c r="G1111" s="81">
        <v>527469</v>
      </c>
      <c r="H1111" s="81">
        <v>171617</v>
      </c>
      <c r="I1111" s="165" t="s">
        <v>242</v>
      </c>
      <c r="L1111" s="166">
        <v>0</v>
      </c>
      <c r="M1111" s="166">
        <v>1</v>
      </c>
      <c r="N1111" s="166">
        <v>1</v>
      </c>
      <c r="O1111" s="166">
        <v>8</v>
      </c>
      <c r="P1111" s="166">
        <v>8</v>
      </c>
      <c r="R1111" s="165" t="s">
        <v>2897</v>
      </c>
      <c r="S1111" s="81" t="s">
        <v>113</v>
      </c>
      <c r="T1111" s="349">
        <v>42958</v>
      </c>
      <c r="U1111" s="349">
        <v>43158</v>
      </c>
      <c r="V1111" s="81" t="s">
        <v>155</v>
      </c>
      <c r="W1111" s="81" t="s">
        <v>114</v>
      </c>
      <c r="Y1111" s="81" t="s">
        <v>115</v>
      </c>
      <c r="Z1111" s="81" t="s">
        <v>116</v>
      </c>
      <c r="AA1111" s="81" t="s">
        <v>117</v>
      </c>
      <c r="AB1111" s="81" t="s">
        <v>218</v>
      </c>
      <c r="AC1111" s="166">
        <v>1.60000007599592E-2</v>
      </c>
      <c r="AG1111" s="81" t="s">
        <v>238</v>
      </c>
      <c r="AH1111" s="81" t="s">
        <v>118</v>
      </c>
      <c r="AK1111" s="166">
        <v>0</v>
      </c>
      <c r="AL1111" s="166">
        <v>1</v>
      </c>
      <c r="AM1111" s="166">
        <v>0</v>
      </c>
      <c r="AO1111" s="166">
        <v>0</v>
      </c>
      <c r="AP1111" s="166">
        <v>0</v>
      </c>
      <c r="AQ1111" s="166">
        <v>1</v>
      </c>
      <c r="AR1111" s="166">
        <v>0</v>
      </c>
      <c r="AS1111" s="166">
        <v>0</v>
      </c>
      <c r="AT1111" s="166">
        <v>0</v>
      </c>
      <c r="AU1111" s="166">
        <v>0</v>
      </c>
      <c r="AV1111" s="166">
        <v>0</v>
      </c>
      <c r="AW1111" s="166">
        <v>0</v>
      </c>
      <c r="AX1111" s="166">
        <v>0</v>
      </c>
      <c r="AY1111" s="166">
        <v>0</v>
      </c>
      <c r="AZ1111" s="166">
        <v>0</v>
      </c>
      <c r="BA1111" s="166">
        <v>0</v>
      </c>
      <c r="BB1111" s="166">
        <v>0</v>
      </c>
      <c r="BC1111" s="166">
        <v>0</v>
      </c>
      <c r="BD1111" s="166">
        <v>0</v>
      </c>
      <c r="BE1111" s="166">
        <v>1</v>
      </c>
      <c r="BF1111" s="166">
        <v>0</v>
      </c>
      <c r="BG1111" s="166">
        <v>0</v>
      </c>
      <c r="BH1111" s="166">
        <v>0</v>
      </c>
      <c r="BI1111" s="166">
        <v>0</v>
      </c>
      <c r="BJ1111" s="166">
        <v>0</v>
      </c>
      <c r="BK1111" s="166">
        <v>0</v>
      </c>
      <c r="BL1111" s="166">
        <v>0</v>
      </c>
      <c r="BM1111" s="166">
        <v>0</v>
      </c>
      <c r="BN1111" s="166">
        <v>0</v>
      </c>
      <c r="BO1111" s="166">
        <v>0</v>
      </c>
      <c r="BP1111" s="166">
        <v>0</v>
      </c>
      <c r="BQ1111" s="81" t="s">
        <v>1757</v>
      </c>
      <c r="BR1111" s="81" t="s">
        <v>242</v>
      </c>
      <c r="BZ1111" s="81" t="s">
        <v>155</v>
      </c>
      <c r="CA1111" s="81" t="s">
        <v>3936</v>
      </c>
      <c r="CC1111" s="167">
        <v>0</v>
      </c>
      <c r="CD1111" s="167">
        <v>0</v>
      </c>
      <c r="CE1111" s="167">
        <v>0</v>
      </c>
      <c r="CF1111" s="167">
        <f>N1111</f>
        <v>1</v>
      </c>
      <c r="CG1111" s="167">
        <v>0</v>
      </c>
      <c r="CH1111" s="167">
        <v>0</v>
      </c>
      <c r="CI1111" s="167">
        <v>0</v>
      </c>
      <c r="CJ1111" s="167">
        <v>0</v>
      </c>
      <c r="CK1111" s="167">
        <v>0</v>
      </c>
      <c r="CL1111" s="167">
        <v>0</v>
      </c>
      <c r="CM1111" s="167">
        <v>0</v>
      </c>
      <c r="CN1111" s="167">
        <v>0</v>
      </c>
      <c r="CO1111" s="167">
        <v>0</v>
      </c>
      <c r="CP1111" s="167">
        <v>0</v>
      </c>
      <c r="CQ1111" s="167">
        <v>0</v>
      </c>
      <c r="CR1111" s="167">
        <v>0</v>
      </c>
      <c r="CS1111" s="167">
        <v>0</v>
      </c>
      <c r="CT1111" s="167">
        <v>0</v>
      </c>
      <c r="CU1111" s="167">
        <v>0</v>
      </c>
      <c r="CV1111" s="167">
        <v>0</v>
      </c>
      <c r="CW1111" s="167">
        <v>0</v>
      </c>
      <c r="CX1111" s="167">
        <f>SUM(CD1111:CH1111)</f>
        <v>1</v>
      </c>
      <c r="CY1111" s="167">
        <f>SUM(CD1111:CM1111)</f>
        <v>1</v>
      </c>
    </row>
    <row r="1112" spans="1:103" ht="12.75" customHeight="1" x14ac:dyDescent="0.2">
      <c r="A1112" s="81">
        <v>6670</v>
      </c>
      <c r="B1112" s="165" t="s">
        <v>1930</v>
      </c>
      <c r="C1112" s="165" t="s">
        <v>2896</v>
      </c>
      <c r="E1112" s="165" t="s">
        <v>3962</v>
      </c>
      <c r="F1112" s="165" t="s">
        <v>2900</v>
      </c>
      <c r="G1112" s="81">
        <v>527469</v>
      </c>
      <c r="H1112" s="81">
        <v>171617</v>
      </c>
      <c r="I1112" s="165" t="s">
        <v>242</v>
      </c>
      <c r="L1112" s="166">
        <v>0</v>
      </c>
      <c r="M1112" s="166">
        <v>1</v>
      </c>
      <c r="N1112" s="166">
        <v>1</v>
      </c>
      <c r="O1112" s="166">
        <v>8</v>
      </c>
      <c r="P1112" s="166">
        <v>8</v>
      </c>
      <c r="R1112" s="165" t="s">
        <v>2897</v>
      </c>
      <c r="S1112" s="81" t="s">
        <v>113</v>
      </c>
      <c r="T1112" s="349">
        <v>42958</v>
      </c>
      <c r="U1112" s="349">
        <v>43158</v>
      </c>
      <c r="V1112" s="81" t="s">
        <v>155</v>
      </c>
      <c r="W1112" s="81" t="s">
        <v>114</v>
      </c>
      <c r="Y1112" s="81" t="s">
        <v>115</v>
      </c>
      <c r="Z1112" s="81" t="s">
        <v>116</v>
      </c>
      <c r="AA1112" s="81" t="s">
        <v>117</v>
      </c>
      <c r="AB1112" s="81" t="s">
        <v>218</v>
      </c>
      <c r="AC1112" s="166">
        <v>2.3000000044703501E-2</v>
      </c>
      <c r="AG1112" s="81" t="s">
        <v>238</v>
      </c>
      <c r="AH1112" s="81" t="s">
        <v>118</v>
      </c>
      <c r="AK1112" s="166">
        <v>0</v>
      </c>
      <c r="AL1112" s="166">
        <v>1</v>
      </c>
      <c r="AM1112" s="166">
        <v>0</v>
      </c>
      <c r="AO1112" s="166">
        <v>0</v>
      </c>
      <c r="AP1112" s="166">
        <v>0</v>
      </c>
      <c r="AQ1112" s="166">
        <v>0</v>
      </c>
      <c r="AR1112" s="166">
        <v>1</v>
      </c>
      <c r="AS1112" s="166">
        <v>0</v>
      </c>
      <c r="AT1112" s="166">
        <v>0</v>
      </c>
      <c r="AU1112" s="166">
        <v>0</v>
      </c>
      <c r="AV1112" s="166">
        <v>0</v>
      </c>
      <c r="AW1112" s="166">
        <v>0</v>
      </c>
      <c r="AX1112" s="166">
        <v>0</v>
      </c>
      <c r="AY1112" s="166">
        <v>0</v>
      </c>
      <c r="AZ1112" s="166">
        <v>0</v>
      </c>
      <c r="BA1112" s="166">
        <v>0</v>
      </c>
      <c r="BB1112" s="166">
        <v>0</v>
      </c>
      <c r="BC1112" s="166">
        <v>0</v>
      </c>
      <c r="BD1112" s="166">
        <v>0</v>
      </c>
      <c r="BE1112" s="166">
        <v>0</v>
      </c>
      <c r="BF1112" s="166">
        <v>1</v>
      </c>
      <c r="BG1112" s="166">
        <v>0</v>
      </c>
      <c r="BH1112" s="166">
        <v>0</v>
      </c>
      <c r="BI1112" s="166">
        <v>0</v>
      </c>
      <c r="BJ1112" s="166">
        <v>0</v>
      </c>
      <c r="BK1112" s="166">
        <v>0</v>
      </c>
      <c r="BL1112" s="166">
        <v>0</v>
      </c>
      <c r="BM1112" s="166">
        <v>0</v>
      </c>
      <c r="BN1112" s="166">
        <v>0</v>
      </c>
      <c r="BO1112" s="166">
        <v>0</v>
      </c>
      <c r="BP1112" s="166">
        <v>0</v>
      </c>
      <c r="BQ1112" s="81" t="s">
        <v>1757</v>
      </c>
      <c r="BR1112" s="81" t="s">
        <v>242</v>
      </c>
      <c r="BZ1112" s="81" t="s">
        <v>155</v>
      </c>
      <c r="CA1112" s="81" t="s">
        <v>3936</v>
      </c>
      <c r="CC1112" s="167">
        <v>0</v>
      </c>
      <c r="CD1112" s="167">
        <v>0</v>
      </c>
      <c r="CE1112" s="167">
        <v>0</v>
      </c>
      <c r="CF1112" s="167">
        <f>N1112</f>
        <v>1</v>
      </c>
      <c r="CG1112" s="167">
        <v>0</v>
      </c>
      <c r="CH1112" s="167">
        <v>0</v>
      </c>
      <c r="CI1112" s="167">
        <v>0</v>
      </c>
      <c r="CJ1112" s="167">
        <v>0</v>
      </c>
      <c r="CK1112" s="167">
        <v>0</v>
      </c>
      <c r="CL1112" s="167">
        <v>0</v>
      </c>
      <c r="CM1112" s="167">
        <v>0</v>
      </c>
      <c r="CN1112" s="167">
        <v>0</v>
      </c>
      <c r="CO1112" s="167">
        <v>0</v>
      </c>
      <c r="CP1112" s="167">
        <v>0</v>
      </c>
      <c r="CQ1112" s="167">
        <v>0</v>
      </c>
      <c r="CR1112" s="167">
        <v>0</v>
      </c>
      <c r="CS1112" s="167">
        <v>0</v>
      </c>
      <c r="CT1112" s="167">
        <v>0</v>
      </c>
      <c r="CU1112" s="167">
        <v>0</v>
      </c>
      <c r="CV1112" s="167">
        <v>0</v>
      </c>
      <c r="CW1112" s="167">
        <v>0</v>
      </c>
      <c r="CX1112" s="167">
        <f>SUM(CD1112:CH1112)</f>
        <v>1</v>
      </c>
      <c r="CY1112" s="167">
        <f>SUM(CD1112:CM1112)</f>
        <v>1</v>
      </c>
    </row>
    <row r="1113" spans="1:103" ht="12.75" customHeight="1" x14ac:dyDescent="0.2">
      <c r="A1113" s="81">
        <v>6670</v>
      </c>
      <c r="B1113" s="165" t="s">
        <v>1930</v>
      </c>
      <c r="C1113" s="165" t="s">
        <v>2896</v>
      </c>
      <c r="E1113" s="165" t="s">
        <v>3962</v>
      </c>
      <c r="G1113" s="81">
        <v>527469</v>
      </c>
      <c r="H1113" s="81">
        <v>171617</v>
      </c>
      <c r="I1113" s="165" t="s">
        <v>242</v>
      </c>
      <c r="L1113" s="166">
        <v>0</v>
      </c>
      <c r="M1113" s="166">
        <v>3</v>
      </c>
      <c r="N1113" s="166">
        <v>3</v>
      </c>
      <c r="O1113" s="166">
        <v>8</v>
      </c>
      <c r="P1113" s="166">
        <v>8</v>
      </c>
      <c r="R1113" s="165" t="s">
        <v>2897</v>
      </c>
      <c r="S1113" s="81" t="s">
        <v>113</v>
      </c>
      <c r="T1113" s="349">
        <v>42958</v>
      </c>
      <c r="U1113" s="349">
        <v>43158</v>
      </c>
      <c r="V1113" s="81" t="s">
        <v>155</v>
      </c>
      <c r="W1113" s="81" t="s">
        <v>114</v>
      </c>
      <c r="Y1113" s="81" t="s">
        <v>115</v>
      </c>
      <c r="Z1113" s="81" t="s">
        <v>116</v>
      </c>
      <c r="AA1113" s="81" t="s">
        <v>117</v>
      </c>
      <c r="AB1113" s="81" t="s">
        <v>218</v>
      </c>
      <c r="AC1113" s="166">
        <v>4.1999999433755902E-2</v>
      </c>
      <c r="AG1113" s="81" t="s">
        <v>238</v>
      </c>
      <c r="AH1113" s="81" t="s">
        <v>118</v>
      </c>
      <c r="AK1113" s="166">
        <v>0</v>
      </c>
      <c r="AL1113" s="166">
        <v>3</v>
      </c>
      <c r="AM1113" s="166">
        <v>0</v>
      </c>
      <c r="AO1113" s="166">
        <v>0</v>
      </c>
      <c r="AP1113" s="166">
        <v>0</v>
      </c>
      <c r="AQ1113" s="166">
        <v>3</v>
      </c>
      <c r="AR1113" s="166">
        <v>0</v>
      </c>
      <c r="AS1113" s="166">
        <v>0</v>
      </c>
      <c r="AT1113" s="166">
        <v>0</v>
      </c>
      <c r="AU1113" s="166">
        <v>0</v>
      </c>
      <c r="AV1113" s="166">
        <v>0</v>
      </c>
      <c r="AW1113" s="166">
        <v>0</v>
      </c>
      <c r="AX1113" s="166">
        <v>3</v>
      </c>
      <c r="AY1113" s="166">
        <v>0</v>
      </c>
      <c r="AZ1113" s="166">
        <v>0</v>
      </c>
      <c r="BA1113" s="166">
        <v>0</v>
      </c>
      <c r="BB1113" s="166">
        <v>0</v>
      </c>
      <c r="BC1113" s="166">
        <v>0</v>
      </c>
      <c r="BD1113" s="166">
        <v>0</v>
      </c>
      <c r="BE1113" s="166">
        <v>0</v>
      </c>
      <c r="BF1113" s="166">
        <v>0</v>
      </c>
      <c r="BG1113" s="166">
        <v>0</v>
      </c>
      <c r="BH1113" s="166">
        <v>0</v>
      </c>
      <c r="BI1113" s="166">
        <v>0</v>
      </c>
      <c r="BJ1113" s="166">
        <v>0</v>
      </c>
      <c r="BK1113" s="166">
        <v>0</v>
      </c>
      <c r="BL1113" s="166">
        <v>0</v>
      </c>
      <c r="BM1113" s="166">
        <v>0</v>
      </c>
      <c r="BN1113" s="166">
        <v>0</v>
      </c>
      <c r="BO1113" s="166">
        <v>0</v>
      </c>
      <c r="BP1113" s="166">
        <v>0</v>
      </c>
      <c r="BQ1113" s="81" t="s">
        <v>1757</v>
      </c>
      <c r="BR1113" s="81" t="s">
        <v>242</v>
      </c>
      <c r="BZ1113" s="81" t="s">
        <v>155</v>
      </c>
      <c r="CA1113" s="81" t="s">
        <v>3936</v>
      </c>
      <c r="CC1113" s="167">
        <v>0</v>
      </c>
      <c r="CD1113" s="167">
        <v>0</v>
      </c>
      <c r="CE1113" s="167">
        <v>0</v>
      </c>
      <c r="CF1113" s="167">
        <f>N1113</f>
        <v>3</v>
      </c>
      <c r="CG1113" s="167">
        <v>0</v>
      </c>
      <c r="CH1113" s="167">
        <v>0</v>
      </c>
      <c r="CI1113" s="167">
        <v>0</v>
      </c>
      <c r="CJ1113" s="167">
        <v>0</v>
      </c>
      <c r="CK1113" s="167">
        <v>0</v>
      </c>
      <c r="CL1113" s="167">
        <v>0</v>
      </c>
      <c r="CM1113" s="167">
        <v>0</v>
      </c>
      <c r="CN1113" s="167">
        <v>0</v>
      </c>
      <c r="CO1113" s="167">
        <v>0</v>
      </c>
      <c r="CP1113" s="167">
        <v>0</v>
      </c>
      <c r="CQ1113" s="167">
        <v>0</v>
      </c>
      <c r="CR1113" s="167">
        <v>0</v>
      </c>
      <c r="CS1113" s="167">
        <v>0</v>
      </c>
      <c r="CT1113" s="167">
        <v>0</v>
      </c>
      <c r="CU1113" s="167">
        <v>0</v>
      </c>
      <c r="CV1113" s="167">
        <v>0</v>
      </c>
      <c r="CW1113" s="167">
        <v>0</v>
      </c>
      <c r="CX1113" s="167">
        <f>SUM(CD1113:CH1113)</f>
        <v>3</v>
      </c>
      <c r="CY1113" s="167">
        <f>SUM(CD1113:CM1113)</f>
        <v>3</v>
      </c>
    </row>
    <row r="1114" spans="1:103" ht="12.75" customHeight="1" x14ac:dyDescent="0.2">
      <c r="A1114" s="81">
        <v>6670</v>
      </c>
      <c r="B1114" s="165" t="s">
        <v>1930</v>
      </c>
      <c r="C1114" s="165" t="s">
        <v>2896</v>
      </c>
      <c r="E1114" s="165" t="s">
        <v>3962</v>
      </c>
      <c r="G1114" s="81">
        <v>527469</v>
      </c>
      <c r="H1114" s="81">
        <v>171617</v>
      </c>
      <c r="I1114" s="165" t="s">
        <v>242</v>
      </c>
      <c r="L1114" s="166">
        <v>0</v>
      </c>
      <c r="M1114" s="166">
        <v>2</v>
      </c>
      <c r="N1114" s="166">
        <v>2</v>
      </c>
      <c r="O1114" s="166">
        <v>8</v>
      </c>
      <c r="P1114" s="166">
        <v>8</v>
      </c>
      <c r="R1114" s="165" t="s">
        <v>2897</v>
      </c>
      <c r="S1114" s="81" t="s">
        <v>113</v>
      </c>
      <c r="T1114" s="349">
        <v>42958</v>
      </c>
      <c r="U1114" s="349">
        <v>43158</v>
      </c>
      <c r="V1114" s="81" t="s">
        <v>155</v>
      </c>
      <c r="W1114" s="81" t="s">
        <v>114</v>
      </c>
      <c r="Y1114" s="81" t="s">
        <v>115</v>
      </c>
      <c r="Z1114" s="81" t="s">
        <v>116</v>
      </c>
      <c r="AA1114" s="81" t="s">
        <v>117</v>
      </c>
      <c r="AB1114" s="81" t="s">
        <v>218</v>
      </c>
      <c r="AC1114" s="166">
        <v>1.8999999389052401E-2</v>
      </c>
      <c r="AG1114" s="81" t="s">
        <v>238</v>
      </c>
      <c r="AH1114" s="81" t="s">
        <v>118</v>
      </c>
      <c r="AK1114" s="166">
        <v>0</v>
      </c>
      <c r="AL1114" s="166">
        <v>2</v>
      </c>
      <c r="AM1114" s="166">
        <v>0</v>
      </c>
      <c r="AO1114" s="166">
        <v>0</v>
      </c>
      <c r="AP1114" s="166">
        <v>2</v>
      </c>
      <c r="AQ1114" s="166">
        <v>0</v>
      </c>
      <c r="AR1114" s="166">
        <v>0</v>
      </c>
      <c r="AS1114" s="166">
        <v>0</v>
      </c>
      <c r="AT1114" s="166">
        <v>0</v>
      </c>
      <c r="AU1114" s="166">
        <v>0</v>
      </c>
      <c r="AV1114" s="166">
        <v>0</v>
      </c>
      <c r="AW1114" s="166">
        <v>2</v>
      </c>
      <c r="AX1114" s="166">
        <v>0</v>
      </c>
      <c r="AY1114" s="166">
        <v>0</v>
      </c>
      <c r="AZ1114" s="166">
        <v>0</v>
      </c>
      <c r="BA1114" s="166">
        <v>0</v>
      </c>
      <c r="BB1114" s="166">
        <v>0</v>
      </c>
      <c r="BC1114" s="166">
        <v>0</v>
      </c>
      <c r="BD1114" s="166">
        <v>0</v>
      </c>
      <c r="BE1114" s="166">
        <v>0</v>
      </c>
      <c r="BF1114" s="166">
        <v>0</v>
      </c>
      <c r="BG1114" s="166">
        <v>0</v>
      </c>
      <c r="BH1114" s="166">
        <v>0</v>
      </c>
      <c r="BI1114" s="166">
        <v>0</v>
      </c>
      <c r="BJ1114" s="166">
        <v>0</v>
      </c>
      <c r="BK1114" s="166">
        <v>0</v>
      </c>
      <c r="BL1114" s="166">
        <v>0</v>
      </c>
      <c r="BM1114" s="166">
        <v>0</v>
      </c>
      <c r="BN1114" s="166">
        <v>0</v>
      </c>
      <c r="BO1114" s="166">
        <v>0</v>
      </c>
      <c r="BP1114" s="166">
        <v>0</v>
      </c>
      <c r="BQ1114" s="81" t="s">
        <v>1757</v>
      </c>
      <c r="BR1114" s="81" t="s">
        <v>242</v>
      </c>
      <c r="BZ1114" s="81" t="s">
        <v>155</v>
      </c>
      <c r="CA1114" s="81" t="s">
        <v>3936</v>
      </c>
      <c r="CC1114" s="167">
        <v>0</v>
      </c>
      <c r="CD1114" s="167">
        <v>0</v>
      </c>
      <c r="CE1114" s="167">
        <v>0</v>
      </c>
      <c r="CF1114" s="167">
        <f>N1114</f>
        <v>2</v>
      </c>
      <c r="CG1114" s="167">
        <v>0</v>
      </c>
      <c r="CH1114" s="167">
        <v>0</v>
      </c>
      <c r="CI1114" s="167">
        <v>0</v>
      </c>
      <c r="CJ1114" s="167">
        <v>0</v>
      </c>
      <c r="CK1114" s="167">
        <v>0</v>
      </c>
      <c r="CL1114" s="167">
        <v>0</v>
      </c>
      <c r="CM1114" s="167">
        <v>0</v>
      </c>
      <c r="CN1114" s="167">
        <v>0</v>
      </c>
      <c r="CO1114" s="167">
        <v>0</v>
      </c>
      <c r="CP1114" s="167">
        <v>0</v>
      </c>
      <c r="CQ1114" s="167">
        <v>0</v>
      </c>
      <c r="CR1114" s="167">
        <v>0</v>
      </c>
      <c r="CS1114" s="167">
        <v>0</v>
      </c>
      <c r="CT1114" s="167">
        <v>0</v>
      </c>
      <c r="CU1114" s="167">
        <v>0</v>
      </c>
      <c r="CV1114" s="167">
        <v>0</v>
      </c>
      <c r="CW1114" s="167">
        <v>0</v>
      </c>
      <c r="CX1114" s="167">
        <f>SUM(CD1114:CH1114)</f>
        <v>2</v>
      </c>
      <c r="CY1114" s="167">
        <f>SUM(CD1114:CM1114)</f>
        <v>2</v>
      </c>
    </row>
    <row r="1115" spans="1:103" ht="12.75" customHeight="1" x14ac:dyDescent="0.2">
      <c r="A1115" s="81">
        <v>6672</v>
      </c>
      <c r="B1115" s="165" t="s">
        <v>1930</v>
      </c>
      <c r="C1115" s="165" t="s">
        <v>2901</v>
      </c>
      <c r="E1115" s="165" t="s">
        <v>2902</v>
      </c>
      <c r="G1115" s="81">
        <v>528523</v>
      </c>
      <c r="H1115" s="81">
        <v>172269</v>
      </c>
      <c r="I1115" s="165" t="s">
        <v>248</v>
      </c>
      <c r="L1115" s="166">
        <v>2</v>
      </c>
      <c r="M1115" s="166">
        <v>3</v>
      </c>
      <c r="N1115" s="166">
        <v>1</v>
      </c>
      <c r="O1115" s="166">
        <v>3</v>
      </c>
      <c r="P1115" s="166">
        <v>1</v>
      </c>
      <c r="R1115" s="165" t="s">
        <v>2903</v>
      </c>
      <c r="S1115" s="81" t="s">
        <v>113</v>
      </c>
      <c r="T1115" s="349">
        <v>42954</v>
      </c>
      <c r="U1115" s="349">
        <v>43032</v>
      </c>
      <c r="V1115" s="81" t="s">
        <v>155</v>
      </c>
      <c r="W1115" s="81" t="s">
        <v>114</v>
      </c>
      <c r="Y1115" s="81" t="s">
        <v>115</v>
      </c>
      <c r="Z1115" s="81" t="s">
        <v>398</v>
      </c>
      <c r="AA1115" s="81" t="s">
        <v>117</v>
      </c>
      <c r="AB1115" s="81" t="s">
        <v>300</v>
      </c>
      <c r="AC1115" s="166">
        <v>2.8999999165535001E-2</v>
      </c>
      <c r="AG1115" s="81" t="s">
        <v>238</v>
      </c>
      <c r="AH1115" s="81" t="s">
        <v>118</v>
      </c>
      <c r="AK1115" s="166">
        <v>0</v>
      </c>
      <c r="AM1115" s="166">
        <v>0</v>
      </c>
      <c r="AO1115" s="166">
        <v>-1</v>
      </c>
      <c r="AP1115" s="166">
        <v>-1</v>
      </c>
      <c r="AQ1115" s="166">
        <v>2</v>
      </c>
      <c r="AR1115" s="166">
        <v>1</v>
      </c>
      <c r="AS1115" s="166">
        <v>0</v>
      </c>
      <c r="AT1115" s="166">
        <v>0</v>
      </c>
      <c r="AU1115" s="166">
        <v>0</v>
      </c>
      <c r="AV1115" s="166">
        <v>-1</v>
      </c>
      <c r="AW1115" s="166">
        <v>-1</v>
      </c>
      <c r="AX1115" s="166">
        <v>2</v>
      </c>
      <c r="AY1115" s="166">
        <v>1</v>
      </c>
      <c r="AZ1115" s="166">
        <v>0</v>
      </c>
      <c r="BA1115" s="166">
        <v>0</v>
      </c>
      <c r="BB1115" s="166">
        <v>0</v>
      </c>
      <c r="BC1115" s="166">
        <v>0</v>
      </c>
      <c r="BD1115" s="166">
        <v>0</v>
      </c>
      <c r="BE1115" s="166">
        <v>0</v>
      </c>
      <c r="BF1115" s="166">
        <v>0</v>
      </c>
      <c r="BG1115" s="166">
        <v>0</v>
      </c>
      <c r="BH1115" s="166">
        <v>0</v>
      </c>
      <c r="BI1115" s="166">
        <v>0</v>
      </c>
      <c r="BJ1115" s="166">
        <v>0</v>
      </c>
      <c r="BK1115" s="166">
        <v>0</v>
      </c>
      <c r="BL1115" s="166">
        <v>0</v>
      </c>
      <c r="BM1115" s="166">
        <v>0</v>
      </c>
      <c r="BN1115" s="166">
        <v>0</v>
      </c>
      <c r="BO1115" s="166">
        <v>0</v>
      </c>
      <c r="BP1115" s="166">
        <v>0</v>
      </c>
      <c r="BQ1115" s="81" t="s">
        <v>1757</v>
      </c>
      <c r="BZ1115" s="81" t="s">
        <v>155</v>
      </c>
      <c r="CA1115" s="81" t="s">
        <v>1937</v>
      </c>
      <c r="CC1115" s="167">
        <v>0</v>
      </c>
      <c r="CD1115" s="167">
        <f>$N1115/4</f>
        <v>0.25</v>
      </c>
      <c r="CE1115" s="167">
        <f>$N1115/4</f>
        <v>0.25</v>
      </c>
      <c r="CF1115" s="167">
        <f>$N1115/4</f>
        <v>0.25</v>
      </c>
      <c r="CG1115" s="167">
        <f>$N1115/4</f>
        <v>0.25</v>
      </c>
      <c r="CH1115" s="167">
        <v>0</v>
      </c>
      <c r="CI1115" s="167">
        <v>0</v>
      </c>
      <c r="CJ1115" s="167">
        <v>0</v>
      </c>
      <c r="CK1115" s="167">
        <v>0</v>
      </c>
      <c r="CL1115" s="167">
        <v>0</v>
      </c>
      <c r="CM1115" s="167">
        <v>0</v>
      </c>
      <c r="CN1115" s="167">
        <v>0</v>
      </c>
      <c r="CO1115" s="167">
        <v>0</v>
      </c>
      <c r="CP1115" s="167">
        <v>0</v>
      </c>
      <c r="CQ1115" s="167">
        <v>0</v>
      </c>
      <c r="CR1115" s="167">
        <v>0</v>
      </c>
      <c r="CS1115" s="167">
        <v>0</v>
      </c>
      <c r="CT1115" s="167">
        <v>0</v>
      </c>
      <c r="CU1115" s="167">
        <v>0</v>
      </c>
      <c r="CV1115" s="167">
        <v>0</v>
      </c>
      <c r="CW1115" s="167">
        <v>0</v>
      </c>
      <c r="CX1115" s="167">
        <f>SUM(CD1115:CH1115)</f>
        <v>1</v>
      </c>
      <c r="CY1115" s="167">
        <f>SUM(CD1115:CM1115)</f>
        <v>1</v>
      </c>
    </row>
    <row r="1116" spans="1:103" ht="12.75" customHeight="1" x14ac:dyDescent="0.2">
      <c r="A1116" s="81">
        <v>6673</v>
      </c>
      <c r="B1116" s="165" t="s">
        <v>1930</v>
      </c>
      <c r="C1116" s="165" t="s">
        <v>2904</v>
      </c>
      <c r="E1116" s="165" t="s">
        <v>2905</v>
      </c>
      <c r="G1116" s="81">
        <v>528235</v>
      </c>
      <c r="H1116" s="81">
        <v>172221</v>
      </c>
      <c r="I1116" s="165" t="s">
        <v>248</v>
      </c>
      <c r="L1116" s="166">
        <v>0</v>
      </c>
      <c r="M1116" s="166">
        <v>1</v>
      </c>
      <c r="N1116" s="166">
        <v>1</v>
      </c>
      <c r="O1116" s="166">
        <v>1</v>
      </c>
      <c r="P1116" s="166">
        <v>1</v>
      </c>
      <c r="R1116" s="165" t="s">
        <v>2906</v>
      </c>
      <c r="S1116" s="81" t="s">
        <v>113</v>
      </c>
      <c r="T1116" s="349">
        <v>42951</v>
      </c>
      <c r="U1116" s="349">
        <v>43004</v>
      </c>
      <c r="V1116" s="81" t="s">
        <v>155</v>
      </c>
      <c r="W1116" s="81" t="s">
        <v>114</v>
      </c>
      <c r="Y1116" s="81" t="s">
        <v>115</v>
      </c>
      <c r="Z1116" s="81" t="s">
        <v>219</v>
      </c>
      <c r="AA1116" s="81" t="s">
        <v>117</v>
      </c>
      <c r="AB1116" s="81" t="s">
        <v>3889</v>
      </c>
      <c r="AC1116" s="166">
        <v>4.9999998882412902E-3</v>
      </c>
      <c r="AG1116" s="81" t="s">
        <v>238</v>
      </c>
      <c r="AH1116" s="81" t="s">
        <v>118</v>
      </c>
      <c r="AK1116" s="166">
        <v>0</v>
      </c>
      <c r="AM1116" s="166">
        <v>0</v>
      </c>
      <c r="AO1116" s="166">
        <v>0</v>
      </c>
      <c r="AP1116" s="166">
        <v>1</v>
      </c>
      <c r="AQ1116" s="166">
        <v>0</v>
      </c>
      <c r="AR1116" s="166">
        <v>0</v>
      </c>
      <c r="AS1116" s="166">
        <v>0</v>
      </c>
      <c r="AT1116" s="166">
        <v>0</v>
      </c>
      <c r="AU1116" s="166">
        <v>0</v>
      </c>
      <c r="AV1116" s="166">
        <v>0</v>
      </c>
      <c r="AW1116" s="166">
        <v>1</v>
      </c>
      <c r="AX1116" s="166">
        <v>0</v>
      </c>
      <c r="AY1116" s="166">
        <v>0</v>
      </c>
      <c r="AZ1116" s="166">
        <v>0</v>
      </c>
      <c r="BA1116" s="166">
        <v>0</v>
      </c>
      <c r="BB1116" s="166">
        <v>0</v>
      </c>
      <c r="BC1116" s="166">
        <v>0</v>
      </c>
      <c r="BD1116" s="166">
        <v>0</v>
      </c>
      <c r="BE1116" s="166">
        <v>0</v>
      </c>
      <c r="BF1116" s="166">
        <v>0</v>
      </c>
      <c r="BG1116" s="166">
        <v>0</v>
      </c>
      <c r="BH1116" s="166">
        <v>0</v>
      </c>
      <c r="BI1116" s="166">
        <v>0</v>
      </c>
      <c r="BJ1116" s="166">
        <v>0</v>
      </c>
      <c r="BK1116" s="166">
        <v>0</v>
      </c>
      <c r="BL1116" s="166">
        <v>0</v>
      </c>
      <c r="BM1116" s="166">
        <v>0</v>
      </c>
      <c r="BN1116" s="166">
        <v>0</v>
      </c>
      <c r="BO1116" s="166">
        <v>0</v>
      </c>
      <c r="BP1116" s="166">
        <v>0</v>
      </c>
      <c r="BQ1116" s="81" t="s">
        <v>1757</v>
      </c>
      <c r="BZ1116" s="81" t="s">
        <v>155</v>
      </c>
      <c r="CA1116" s="81" t="s">
        <v>1937</v>
      </c>
      <c r="CC1116" s="167">
        <v>0</v>
      </c>
      <c r="CD1116" s="167">
        <f>$N1116/4</f>
        <v>0.25</v>
      </c>
      <c r="CE1116" s="167">
        <f>$N1116/4</f>
        <v>0.25</v>
      </c>
      <c r="CF1116" s="167">
        <f>$N1116/4</f>
        <v>0.25</v>
      </c>
      <c r="CG1116" s="167">
        <f>$N1116/4</f>
        <v>0.25</v>
      </c>
      <c r="CH1116" s="167">
        <v>0</v>
      </c>
      <c r="CI1116" s="167">
        <v>0</v>
      </c>
      <c r="CJ1116" s="167">
        <v>0</v>
      </c>
      <c r="CK1116" s="167">
        <v>0</v>
      </c>
      <c r="CL1116" s="167">
        <v>0</v>
      </c>
      <c r="CM1116" s="167">
        <v>0</v>
      </c>
      <c r="CN1116" s="167">
        <v>0</v>
      </c>
      <c r="CO1116" s="167">
        <v>0</v>
      </c>
      <c r="CP1116" s="167">
        <v>0</v>
      </c>
      <c r="CQ1116" s="167">
        <v>0</v>
      </c>
      <c r="CR1116" s="167">
        <v>0</v>
      </c>
      <c r="CS1116" s="167">
        <v>0</v>
      </c>
      <c r="CT1116" s="167">
        <v>0</v>
      </c>
      <c r="CU1116" s="167">
        <v>0</v>
      </c>
      <c r="CV1116" s="167">
        <v>0</v>
      </c>
      <c r="CW1116" s="167">
        <v>0</v>
      </c>
      <c r="CX1116" s="167">
        <f>SUM(CD1116:CH1116)</f>
        <v>1</v>
      </c>
      <c r="CY1116" s="167">
        <f>SUM(CD1116:CM1116)</f>
        <v>1</v>
      </c>
    </row>
    <row r="1117" spans="1:103" ht="12.75" customHeight="1" x14ac:dyDescent="0.2">
      <c r="A1117" s="81">
        <v>6674</v>
      </c>
      <c r="B1117" s="165" t="s">
        <v>1930</v>
      </c>
      <c r="C1117" s="165" t="s">
        <v>2907</v>
      </c>
      <c r="E1117" s="165" t="s">
        <v>2908</v>
      </c>
      <c r="G1117" s="81">
        <v>528839</v>
      </c>
      <c r="H1117" s="81">
        <v>171136</v>
      </c>
      <c r="I1117" s="165" t="s">
        <v>252</v>
      </c>
      <c r="L1117" s="166">
        <v>0</v>
      </c>
      <c r="M1117" s="166">
        <v>2</v>
      </c>
      <c r="N1117" s="166">
        <v>2</v>
      </c>
      <c r="O1117" s="166">
        <v>3</v>
      </c>
      <c r="P1117" s="166">
        <v>3</v>
      </c>
      <c r="R1117" s="165" t="s">
        <v>2909</v>
      </c>
      <c r="S1117" s="81" t="s">
        <v>113</v>
      </c>
      <c r="T1117" s="349">
        <v>43003</v>
      </c>
      <c r="U1117" s="349">
        <v>43059</v>
      </c>
      <c r="V1117" s="81" t="s">
        <v>155</v>
      </c>
      <c r="W1117" s="81" t="s">
        <v>114</v>
      </c>
      <c r="Y1117" s="81" t="s">
        <v>115</v>
      </c>
      <c r="Z1117" s="81" t="s">
        <v>398</v>
      </c>
      <c r="AA1117" s="81" t="s">
        <v>117</v>
      </c>
      <c r="AB1117" s="81" t="s">
        <v>218</v>
      </c>
      <c r="AC1117" s="166">
        <v>4.9999998882412902E-3</v>
      </c>
      <c r="AG1117" s="81" t="s">
        <v>238</v>
      </c>
      <c r="AH1117" s="81" t="s">
        <v>118</v>
      </c>
      <c r="AK1117" s="166">
        <v>0</v>
      </c>
      <c r="AM1117" s="166">
        <v>0</v>
      </c>
      <c r="AO1117" s="166">
        <v>0</v>
      </c>
      <c r="AP1117" s="166">
        <v>2</v>
      </c>
      <c r="AQ1117" s="166">
        <v>0</v>
      </c>
      <c r="AR1117" s="166">
        <v>0</v>
      </c>
      <c r="AS1117" s="166">
        <v>0</v>
      </c>
      <c r="AT1117" s="166">
        <v>0</v>
      </c>
      <c r="AU1117" s="166">
        <v>0</v>
      </c>
      <c r="AV1117" s="166">
        <v>0</v>
      </c>
      <c r="AW1117" s="166">
        <v>2</v>
      </c>
      <c r="AX1117" s="166">
        <v>0</v>
      </c>
      <c r="AY1117" s="166">
        <v>0</v>
      </c>
      <c r="AZ1117" s="166">
        <v>0</v>
      </c>
      <c r="BA1117" s="166">
        <v>0</v>
      </c>
      <c r="BB1117" s="166">
        <v>0</v>
      </c>
      <c r="BC1117" s="166">
        <v>0</v>
      </c>
      <c r="BD1117" s="166">
        <v>0</v>
      </c>
      <c r="BE1117" s="166">
        <v>0</v>
      </c>
      <c r="BF1117" s="166">
        <v>0</v>
      </c>
      <c r="BG1117" s="166">
        <v>0</v>
      </c>
      <c r="BH1117" s="166">
        <v>0</v>
      </c>
      <c r="BI1117" s="166">
        <v>0</v>
      </c>
      <c r="BJ1117" s="166">
        <v>0</v>
      </c>
      <c r="BK1117" s="166">
        <v>0</v>
      </c>
      <c r="BL1117" s="166">
        <v>0</v>
      </c>
      <c r="BM1117" s="166">
        <v>0</v>
      </c>
      <c r="BN1117" s="166">
        <v>0</v>
      </c>
      <c r="BO1117" s="166">
        <v>0</v>
      </c>
      <c r="BP1117" s="166">
        <v>0</v>
      </c>
      <c r="BQ1117" s="81" t="s">
        <v>1757</v>
      </c>
      <c r="BZ1117" s="81" t="s">
        <v>155</v>
      </c>
      <c r="CA1117" s="81" t="s">
        <v>1937</v>
      </c>
      <c r="CC1117" s="167">
        <v>0</v>
      </c>
      <c r="CD1117" s="167">
        <f>$N1117/4</f>
        <v>0.5</v>
      </c>
      <c r="CE1117" s="167">
        <f>$N1117/4</f>
        <v>0.5</v>
      </c>
      <c r="CF1117" s="167">
        <f>$N1117/4</f>
        <v>0.5</v>
      </c>
      <c r="CG1117" s="167">
        <f>$N1117/4</f>
        <v>0.5</v>
      </c>
      <c r="CH1117" s="167">
        <v>0</v>
      </c>
      <c r="CI1117" s="167">
        <v>0</v>
      </c>
      <c r="CJ1117" s="167">
        <v>0</v>
      </c>
      <c r="CK1117" s="167">
        <v>0</v>
      </c>
      <c r="CL1117" s="167">
        <v>0</v>
      </c>
      <c r="CM1117" s="167">
        <v>0</v>
      </c>
      <c r="CN1117" s="167">
        <v>0</v>
      </c>
      <c r="CO1117" s="167">
        <v>0</v>
      </c>
      <c r="CP1117" s="167">
        <v>0</v>
      </c>
      <c r="CQ1117" s="167">
        <v>0</v>
      </c>
      <c r="CR1117" s="167">
        <v>0</v>
      </c>
      <c r="CS1117" s="167">
        <v>0</v>
      </c>
      <c r="CT1117" s="167">
        <v>0</v>
      </c>
      <c r="CU1117" s="167">
        <v>0</v>
      </c>
      <c r="CV1117" s="167">
        <v>0</v>
      </c>
      <c r="CW1117" s="167">
        <v>0</v>
      </c>
      <c r="CX1117" s="167">
        <f>SUM(CD1117:CH1117)</f>
        <v>2</v>
      </c>
      <c r="CY1117" s="167">
        <f>SUM(CD1117:CM1117)</f>
        <v>2</v>
      </c>
    </row>
    <row r="1118" spans="1:103" ht="12.75" customHeight="1" x14ac:dyDescent="0.2">
      <c r="A1118" s="81">
        <v>6674</v>
      </c>
      <c r="B1118" s="165" t="s">
        <v>1930</v>
      </c>
      <c r="C1118" s="165" t="s">
        <v>2907</v>
      </c>
      <c r="E1118" s="165" t="s">
        <v>2908</v>
      </c>
      <c r="G1118" s="81">
        <v>528839</v>
      </c>
      <c r="H1118" s="81">
        <v>171136</v>
      </c>
      <c r="I1118" s="165" t="s">
        <v>252</v>
      </c>
      <c r="L1118" s="166">
        <v>0</v>
      </c>
      <c r="M1118" s="166">
        <v>1</v>
      </c>
      <c r="N1118" s="166">
        <v>1</v>
      </c>
      <c r="O1118" s="166">
        <v>3</v>
      </c>
      <c r="P1118" s="166">
        <v>3</v>
      </c>
      <c r="R1118" s="165" t="s">
        <v>2909</v>
      </c>
      <c r="S1118" s="81" t="s">
        <v>113</v>
      </c>
      <c r="T1118" s="349">
        <v>43003</v>
      </c>
      <c r="U1118" s="349">
        <v>43059</v>
      </c>
      <c r="V1118" s="81" t="s">
        <v>155</v>
      </c>
      <c r="W1118" s="81" t="s">
        <v>114</v>
      </c>
      <c r="Y1118" s="81" t="s">
        <v>115</v>
      </c>
      <c r="Z1118" s="81" t="s">
        <v>398</v>
      </c>
      <c r="AA1118" s="81" t="s">
        <v>117</v>
      </c>
      <c r="AB1118" s="81" t="s">
        <v>102</v>
      </c>
      <c r="AC1118" s="166">
        <v>4.0000001899898104E-3</v>
      </c>
      <c r="AG1118" s="81" t="s">
        <v>238</v>
      </c>
      <c r="AH1118" s="81" t="s">
        <v>118</v>
      </c>
      <c r="AK1118" s="166">
        <v>0</v>
      </c>
      <c r="AM1118" s="166">
        <v>0</v>
      </c>
      <c r="AO1118" s="166">
        <v>0</v>
      </c>
      <c r="AP1118" s="166">
        <v>0</v>
      </c>
      <c r="AQ1118" s="166">
        <v>1</v>
      </c>
      <c r="AR1118" s="166">
        <v>0</v>
      </c>
      <c r="AS1118" s="166">
        <v>0</v>
      </c>
      <c r="AT1118" s="166">
        <v>0</v>
      </c>
      <c r="AU1118" s="166">
        <v>0</v>
      </c>
      <c r="AV1118" s="166">
        <v>0</v>
      </c>
      <c r="AW1118" s="166">
        <v>0</v>
      </c>
      <c r="AX1118" s="166">
        <v>1</v>
      </c>
      <c r="AY1118" s="166">
        <v>0</v>
      </c>
      <c r="AZ1118" s="166">
        <v>0</v>
      </c>
      <c r="BA1118" s="166">
        <v>0</v>
      </c>
      <c r="BB1118" s="166">
        <v>0</v>
      </c>
      <c r="BC1118" s="166">
        <v>0</v>
      </c>
      <c r="BD1118" s="166">
        <v>0</v>
      </c>
      <c r="BE1118" s="166">
        <v>0</v>
      </c>
      <c r="BF1118" s="166">
        <v>0</v>
      </c>
      <c r="BG1118" s="166">
        <v>0</v>
      </c>
      <c r="BH1118" s="166">
        <v>0</v>
      </c>
      <c r="BI1118" s="166">
        <v>0</v>
      </c>
      <c r="BJ1118" s="166">
        <v>0</v>
      </c>
      <c r="BK1118" s="166">
        <v>0</v>
      </c>
      <c r="BL1118" s="166">
        <v>0</v>
      </c>
      <c r="BM1118" s="166">
        <v>0</v>
      </c>
      <c r="BN1118" s="166">
        <v>0</v>
      </c>
      <c r="BO1118" s="166">
        <v>0</v>
      </c>
      <c r="BP1118" s="166">
        <v>0</v>
      </c>
      <c r="BQ1118" s="81" t="s">
        <v>1757</v>
      </c>
      <c r="BZ1118" s="81" t="s">
        <v>155</v>
      </c>
      <c r="CA1118" s="81" t="s">
        <v>1937</v>
      </c>
      <c r="CC1118" s="167">
        <v>0</v>
      </c>
      <c r="CD1118" s="167">
        <f>$N1118/4</f>
        <v>0.25</v>
      </c>
      <c r="CE1118" s="167">
        <f>$N1118/4</f>
        <v>0.25</v>
      </c>
      <c r="CF1118" s="167">
        <f>$N1118/4</f>
        <v>0.25</v>
      </c>
      <c r="CG1118" s="167">
        <f>$N1118/4</f>
        <v>0.25</v>
      </c>
      <c r="CH1118" s="167">
        <v>0</v>
      </c>
      <c r="CI1118" s="167">
        <v>0</v>
      </c>
      <c r="CJ1118" s="167">
        <v>0</v>
      </c>
      <c r="CK1118" s="167">
        <v>0</v>
      </c>
      <c r="CL1118" s="167">
        <v>0</v>
      </c>
      <c r="CM1118" s="167">
        <v>0</v>
      </c>
      <c r="CN1118" s="167">
        <v>0</v>
      </c>
      <c r="CO1118" s="167">
        <v>0</v>
      </c>
      <c r="CP1118" s="167">
        <v>0</v>
      </c>
      <c r="CQ1118" s="167">
        <v>0</v>
      </c>
      <c r="CR1118" s="167">
        <v>0</v>
      </c>
      <c r="CS1118" s="167">
        <v>0</v>
      </c>
      <c r="CT1118" s="167">
        <v>0</v>
      </c>
      <c r="CU1118" s="167">
        <v>0</v>
      </c>
      <c r="CV1118" s="167">
        <v>0</v>
      </c>
      <c r="CW1118" s="167">
        <v>0</v>
      </c>
      <c r="CX1118" s="167">
        <f>SUM(CD1118:CH1118)</f>
        <v>1</v>
      </c>
      <c r="CY1118" s="167">
        <f>SUM(CD1118:CM1118)</f>
        <v>1</v>
      </c>
    </row>
    <row r="1119" spans="1:103" ht="12.75" customHeight="1" x14ac:dyDescent="0.2">
      <c r="A1119" s="81">
        <v>6679</v>
      </c>
      <c r="B1119" s="165" t="s">
        <v>1930</v>
      </c>
      <c r="C1119" s="165" t="s">
        <v>2910</v>
      </c>
      <c r="E1119" s="165" t="s">
        <v>2911</v>
      </c>
      <c r="G1119" s="81">
        <v>527032</v>
      </c>
      <c r="H1119" s="81">
        <v>171903</v>
      </c>
      <c r="I1119" s="165" t="s">
        <v>242</v>
      </c>
      <c r="L1119" s="166">
        <v>0</v>
      </c>
      <c r="M1119" s="166">
        <v>1</v>
      </c>
      <c r="N1119" s="166">
        <v>1</v>
      </c>
      <c r="O1119" s="166">
        <v>1</v>
      </c>
      <c r="P1119" s="166">
        <v>1</v>
      </c>
      <c r="R1119" s="165" t="s">
        <v>2912</v>
      </c>
      <c r="S1119" s="81" t="s">
        <v>113</v>
      </c>
      <c r="T1119" s="349">
        <v>43122</v>
      </c>
      <c r="U1119" s="349">
        <v>43175</v>
      </c>
      <c r="V1119" s="81" t="s">
        <v>155</v>
      </c>
      <c r="W1119" s="81" t="s">
        <v>114</v>
      </c>
      <c r="Y1119" s="81" t="s">
        <v>115</v>
      </c>
      <c r="Z1119" s="81" t="s">
        <v>116</v>
      </c>
      <c r="AA1119" s="81" t="s">
        <v>117</v>
      </c>
      <c r="AB1119" s="81" t="s">
        <v>218</v>
      </c>
      <c r="AC1119" s="166">
        <v>3.0999999493360499E-2</v>
      </c>
      <c r="AG1119" s="81" t="s">
        <v>238</v>
      </c>
      <c r="AH1119" s="81" t="s">
        <v>118</v>
      </c>
      <c r="AK1119" s="166">
        <v>0</v>
      </c>
      <c r="AM1119" s="166">
        <v>0</v>
      </c>
      <c r="AO1119" s="166">
        <v>0</v>
      </c>
      <c r="AP1119" s="166">
        <v>0</v>
      </c>
      <c r="AQ1119" s="166">
        <v>1</v>
      </c>
      <c r="AR1119" s="166">
        <v>0</v>
      </c>
      <c r="AS1119" s="166">
        <v>0</v>
      </c>
      <c r="AT1119" s="166">
        <v>0</v>
      </c>
      <c r="AU1119" s="166">
        <v>0</v>
      </c>
      <c r="AV1119" s="166">
        <v>0</v>
      </c>
      <c r="AW1119" s="166">
        <v>0</v>
      </c>
      <c r="AX1119" s="166">
        <v>0</v>
      </c>
      <c r="AY1119" s="166">
        <v>0</v>
      </c>
      <c r="AZ1119" s="166">
        <v>0</v>
      </c>
      <c r="BA1119" s="166">
        <v>0</v>
      </c>
      <c r="BB1119" s="166">
        <v>0</v>
      </c>
      <c r="BC1119" s="166">
        <v>0</v>
      </c>
      <c r="BD1119" s="166">
        <v>0</v>
      </c>
      <c r="BE1119" s="166">
        <v>1</v>
      </c>
      <c r="BF1119" s="166">
        <v>0</v>
      </c>
      <c r="BG1119" s="166">
        <v>0</v>
      </c>
      <c r="BH1119" s="166">
        <v>0</v>
      </c>
      <c r="BI1119" s="166">
        <v>0</v>
      </c>
      <c r="BJ1119" s="166">
        <v>0</v>
      </c>
      <c r="BK1119" s="166">
        <v>0</v>
      </c>
      <c r="BL1119" s="166">
        <v>0</v>
      </c>
      <c r="BM1119" s="166">
        <v>0</v>
      </c>
      <c r="BN1119" s="166">
        <v>0</v>
      </c>
      <c r="BO1119" s="166">
        <v>0</v>
      </c>
      <c r="BP1119" s="166">
        <v>0</v>
      </c>
      <c r="BQ1119" s="81" t="s">
        <v>1757</v>
      </c>
      <c r="BZ1119" s="81" t="s">
        <v>155</v>
      </c>
      <c r="CA1119" s="81">
        <v>4</v>
      </c>
      <c r="CC1119" s="167">
        <v>0</v>
      </c>
      <c r="CD1119" s="167">
        <v>0</v>
      </c>
      <c r="CE1119" s="167">
        <f>$N1119/4</f>
        <v>0.25</v>
      </c>
      <c r="CF1119" s="167">
        <f>$N1119/4</f>
        <v>0.25</v>
      </c>
      <c r="CG1119" s="167">
        <f>$N1119/4</f>
        <v>0.25</v>
      </c>
      <c r="CH1119" s="167">
        <f>$N1119/4</f>
        <v>0.25</v>
      </c>
      <c r="CI1119" s="167">
        <v>0</v>
      </c>
      <c r="CJ1119" s="167">
        <v>0</v>
      </c>
      <c r="CK1119" s="167">
        <v>0</v>
      </c>
      <c r="CL1119" s="167">
        <v>0</v>
      </c>
      <c r="CM1119" s="167">
        <v>0</v>
      </c>
      <c r="CN1119" s="167">
        <v>0</v>
      </c>
      <c r="CO1119" s="167">
        <v>0</v>
      </c>
      <c r="CP1119" s="167">
        <v>0</v>
      </c>
      <c r="CQ1119" s="167">
        <v>0</v>
      </c>
      <c r="CR1119" s="167">
        <v>0</v>
      </c>
      <c r="CS1119" s="167">
        <v>0</v>
      </c>
      <c r="CT1119" s="167">
        <v>0</v>
      </c>
      <c r="CU1119" s="167">
        <v>0</v>
      </c>
      <c r="CV1119" s="167">
        <v>0</v>
      </c>
      <c r="CW1119" s="167">
        <v>0</v>
      </c>
      <c r="CX1119" s="167">
        <f>SUM(CD1119:CH1119)</f>
        <v>1</v>
      </c>
      <c r="CY1119" s="167">
        <f>SUM(CD1119:CM1119)</f>
        <v>1</v>
      </c>
    </row>
    <row r="1120" spans="1:103" ht="12.75" customHeight="1" x14ac:dyDescent="0.2">
      <c r="A1120" s="81">
        <v>6681</v>
      </c>
      <c r="B1120" s="165" t="s">
        <v>1930</v>
      </c>
      <c r="C1120" s="165" t="s">
        <v>2913</v>
      </c>
      <c r="E1120" s="165" t="s">
        <v>2914</v>
      </c>
      <c r="G1120" s="81">
        <v>527270</v>
      </c>
      <c r="H1120" s="81">
        <v>171198</v>
      </c>
      <c r="I1120" s="165" t="s">
        <v>242</v>
      </c>
      <c r="L1120" s="166">
        <v>0</v>
      </c>
      <c r="M1120" s="166">
        <v>4</v>
      </c>
      <c r="N1120" s="166">
        <v>4</v>
      </c>
      <c r="O1120" s="166">
        <v>4</v>
      </c>
      <c r="P1120" s="166">
        <v>4</v>
      </c>
      <c r="R1120" s="165" t="s">
        <v>2915</v>
      </c>
      <c r="S1120" s="81" t="s">
        <v>113</v>
      </c>
      <c r="T1120" s="349">
        <v>42954</v>
      </c>
      <c r="U1120" s="349">
        <v>43032</v>
      </c>
      <c r="V1120" s="81" t="s">
        <v>155</v>
      </c>
      <c r="W1120" s="81" t="s">
        <v>114</v>
      </c>
      <c r="Y1120" s="81" t="s">
        <v>115</v>
      </c>
      <c r="Z1120" s="81" t="s">
        <v>219</v>
      </c>
      <c r="AA1120" s="81" t="s">
        <v>117</v>
      </c>
      <c r="AB1120" s="81" t="s">
        <v>3889</v>
      </c>
      <c r="AC1120" s="166">
        <v>1.30000002682209E-2</v>
      </c>
      <c r="AG1120" s="81" t="s">
        <v>238</v>
      </c>
      <c r="AH1120" s="81" t="s">
        <v>118</v>
      </c>
      <c r="AK1120" s="166">
        <v>0</v>
      </c>
      <c r="AM1120" s="166">
        <v>0</v>
      </c>
      <c r="AO1120" s="166">
        <v>0</v>
      </c>
      <c r="AP1120" s="166">
        <v>0</v>
      </c>
      <c r="AQ1120" s="166">
        <v>4</v>
      </c>
      <c r="AR1120" s="166">
        <v>0</v>
      </c>
      <c r="AS1120" s="166">
        <v>0</v>
      </c>
      <c r="AT1120" s="166">
        <v>0</v>
      </c>
      <c r="AU1120" s="166">
        <v>0</v>
      </c>
      <c r="AV1120" s="166">
        <v>0</v>
      </c>
      <c r="AW1120" s="166">
        <v>0</v>
      </c>
      <c r="AX1120" s="166">
        <v>4</v>
      </c>
      <c r="AY1120" s="166">
        <v>0</v>
      </c>
      <c r="AZ1120" s="166">
        <v>0</v>
      </c>
      <c r="BA1120" s="166">
        <v>0</v>
      </c>
      <c r="BB1120" s="166">
        <v>0</v>
      </c>
      <c r="BC1120" s="166">
        <v>0</v>
      </c>
      <c r="BD1120" s="166">
        <v>0</v>
      </c>
      <c r="BE1120" s="166">
        <v>0</v>
      </c>
      <c r="BF1120" s="166">
        <v>0</v>
      </c>
      <c r="BG1120" s="166">
        <v>0</v>
      </c>
      <c r="BH1120" s="166">
        <v>0</v>
      </c>
      <c r="BI1120" s="166">
        <v>0</v>
      </c>
      <c r="BJ1120" s="166">
        <v>0</v>
      </c>
      <c r="BK1120" s="166">
        <v>0</v>
      </c>
      <c r="BL1120" s="166">
        <v>0</v>
      </c>
      <c r="BM1120" s="166">
        <v>0</v>
      </c>
      <c r="BN1120" s="166">
        <v>0</v>
      </c>
      <c r="BO1120" s="166">
        <v>0</v>
      </c>
      <c r="BP1120" s="166">
        <v>0</v>
      </c>
      <c r="BQ1120" s="81" t="s">
        <v>1757</v>
      </c>
      <c r="BZ1120" s="81" t="s">
        <v>155</v>
      </c>
      <c r="CA1120" s="81" t="s">
        <v>1937</v>
      </c>
      <c r="CC1120" s="167">
        <v>0</v>
      </c>
      <c r="CD1120" s="167">
        <f>$N1120/4</f>
        <v>1</v>
      </c>
      <c r="CE1120" s="167">
        <f>$N1120/4</f>
        <v>1</v>
      </c>
      <c r="CF1120" s="167">
        <f>$N1120/4</f>
        <v>1</v>
      </c>
      <c r="CG1120" s="167">
        <f>$N1120/4</f>
        <v>1</v>
      </c>
      <c r="CH1120" s="167">
        <v>0</v>
      </c>
      <c r="CI1120" s="167">
        <v>0</v>
      </c>
      <c r="CJ1120" s="167">
        <v>0</v>
      </c>
      <c r="CK1120" s="167">
        <v>0</v>
      </c>
      <c r="CL1120" s="167">
        <v>0</v>
      </c>
      <c r="CM1120" s="167">
        <v>0</v>
      </c>
      <c r="CN1120" s="167">
        <v>0</v>
      </c>
      <c r="CO1120" s="167">
        <v>0</v>
      </c>
      <c r="CP1120" s="167">
        <v>0</v>
      </c>
      <c r="CQ1120" s="167">
        <v>0</v>
      </c>
      <c r="CR1120" s="167">
        <v>0</v>
      </c>
      <c r="CS1120" s="167">
        <v>0</v>
      </c>
      <c r="CT1120" s="167">
        <v>0</v>
      </c>
      <c r="CU1120" s="167">
        <v>0</v>
      </c>
      <c r="CV1120" s="167">
        <v>0</v>
      </c>
      <c r="CW1120" s="167">
        <v>0</v>
      </c>
      <c r="CX1120" s="167">
        <f>SUM(CD1120:CH1120)</f>
        <v>4</v>
      </c>
      <c r="CY1120" s="167">
        <f>SUM(CD1120:CM1120)</f>
        <v>4</v>
      </c>
    </row>
    <row r="1121" spans="1:103" ht="12.75" customHeight="1" x14ac:dyDescent="0.2">
      <c r="A1121" s="81">
        <v>6688</v>
      </c>
      <c r="B1121" s="165" t="s">
        <v>1930</v>
      </c>
      <c r="C1121" s="165" t="s">
        <v>2916</v>
      </c>
      <c r="E1121" s="165" t="s">
        <v>2917</v>
      </c>
      <c r="G1121" s="81">
        <v>526297</v>
      </c>
      <c r="H1121" s="81">
        <v>174863</v>
      </c>
      <c r="I1121" s="165" t="s">
        <v>251</v>
      </c>
      <c r="L1121" s="166">
        <v>1</v>
      </c>
      <c r="M1121" s="166">
        <v>2</v>
      </c>
      <c r="N1121" s="166">
        <v>1</v>
      </c>
      <c r="O1121" s="166">
        <v>2</v>
      </c>
      <c r="P1121" s="166">
        <v>1</v>
      </c>
      <c r="R1121" s="165" t="s">
        <v>2918</v>
      </c>
      <c r="S1121" s="81" t="s">
        <v>113</v>
      </c>
      <c r="T1121" s="349">
        <v>42972</v>
      </c>
      <c r="U1121" s="349">
        <v>43028</v>
      </c>
      <c r="V1121" s="81" t="s">
        <v>155</v>
      </c>
      <c r="W1121" s="81" t="s">
        <v>114</v>
      </c>
      <c r="Y1121" s="81" t="s">
        <v>115</v>
      </c>
      <c r="Z1121" s="81" t="s">
        <v>398</v>
      </c>
      <c r="AA1121" s="81" t="s">
        <v>117</v>
      </c>
      <c r="AB1121" s="81" t="s">
        <v>120</v>
      </c>
      <c r="AC1121" s="166">
        <v>1.7000000923872001E-2</v>
      </c>
      <c r="AG1121" s="81" t="s">
        <v>238</v>
      </c>
      <c r="AH1121" s="81" t="s">
        <v>118</v>
      </c>
      <c r="AK1121" s="166">
        <v>0</v>
      </c>
      <c r="AM1121" s="166">
        <v>0</v>
      </c>
      <c r="AO1121" s="166">
        <v>0</v>
      </c>
      <c r="AP1121" s="166">
        <v>1</v>
      </c>
      <c r="AQ1121" s="166">
        <v>0</v>
      </c>
      <c r="AR1121" s="166">
        <v>0</v>
      </c>
      <c r="AS1121" s="166">
        <v>0</v>
      </c>
      <c r="AT1121" s="166">
        <v>0</v>
      </c>
      <c r="AU1121" s="166">
        <v>0</v>
      </c>
      <c r="AV1121" s="166">
        <v>0</v>
      </c>
      <c r="AW1121" s="166">
        <v>1</v>
      </c>
      <c r="AX1121" s="166">
        <v>0</v>
      </c>
      <c r="AY1121" s="166">
        <v>1</v>
      </c>
      <c r="AZ1121" s="166">
        <v>0</v>
      </c>
      <c r="BA1121" s="166">
        <v>0</v>
      </c>
      <c r="BB1121" s="166">
        <v>0</v>
      </c>
      <c r="BC1121" s="166">
        <v>0</v>
      </c>
      <c r="BD1121" s="166">
        <v>0</v>
      </c>
      <c r="BE1121" s="166">
        <v>0</v>
      </c>
      <c r="BF1121" s="166">
        <v>-1</v>
      </c>
      <c r="BG1121" s="166">
        <v>0</v>
      </c>
      <c r="BH1121" s="166">
        <v>0</v>
      </c>
      <c r="BI1121" s="166">
        <v>0</v>
      </c>
      <c r="BJ1121" s="166">
        <v>0</v>
      </c>
      <c r="BK1121" s="166">
        <v>0</v>
      </c>
      <c r="BL1121" s="166">
        <v>0</v>
      </c>
      <c r="BM1121" s="166">
        <v>0</v>
      </c>
      <c r="BN1121" s="166">
        <v>0</v>
      </c>
      <c r="BO1121" s="166">
        <v>0</v>
      </c>
      <c r="BP1121" s="166">
        <v>0</v>
      </c>
      <c r="BQ1121" s="81" t="s">
        <v>1758</v>
      </c>
      <c r="BZ1121" s="81" t="s">
        <v>155</v>
      </c>
      <c r="CA1121" s="81" t="s">
        <v>1937</v>
      </c>
      <c r="CC1121" s="167">
        <v>0</v>
      </c>
      <c r="CD1121" s="167">
        <f>$N1121/4</f>
        <v>0.25</v>
      </c>
      <c r="CE1121" s="167">
        <f>$N1121/4</f>
        <v>0.25</v>
      </c>
      <c r="CF1121" s="167">
        <f>$N1121/4</f>
        <v>0.25</v>
      </c>
      <c r="CG1121" s="167">
        <f>$N1121/4</f>
        <v>0.25</v>
      </c>
      <c r="CH1121" s="167">
        <v>0</v>
      </c>
      <c r="CI1121" s="167">
        <v>0</v>
      </c>
      <c r="CJ1121" s="167">
        <v>0</v>
      </c>
      <c r="CK1121" s="167">
        <v>0</v>
      </c>
      <c r="CL1121" s="167">
        <v>0</v>
      </c>
      <c r="CM1121" s="167">
        <v>0</v>
      </c>
      <c r="CN1121" s="167">
        <v>0</v>
      </c>
      <c r="CO1121" s="167">
        <v>0</v>
      </c>
      <c r="CP1121" s="167">
        <v>0</v>
      </c>
      <c r="CQ1121" s="167">
        <v>0</v>
      </c>
      <c r="CR1121" s="167">
        <v>0</v>
      </c>
      <c r="CS1121" s="167">
        <v>0</v>
      </c>
      <c r="CT1121" s="167">
        <v>0</v>
      </c>
      <c r="CU1121" s="167">
        <v>0</v>
      </c>
      <c r="CV1121" s="167">
        <v>0</v>
      </c>
      <c r="CW1121" s="167">
        <v>0</v>
      </c>
      <c r="CX1121" s="167">
        <f>SUM(CD1121:CH1121)</f>
        <v>1</v>
      </c>
      <c r="CY1121" s="167">
        <f>SUM(CD1121:CM1121)</f>
        <v>1</v>
      </c>
    </row>
    <row r="1122" spans="1:103" ht="12.75" customHeight="1" x14ac:dyDescent="0.2">
      <c r="A1122" s="81">
        <v>6695</v>
      </c>
      <c r="B1122" s="165" t="s">
        <v>1930</v>
      </c>
      <c r="C1122" s="165" t="s">
        <v>2919</v>
      </c>
      <c r="E1122" s="165" t="s">
        <v>2920</v>
      </c>
      <c r="G1122" s="81">
        <v>526188</v>
      </c>
      <c r="H1122" s="81">
        <v>172838</v>
      </c>
      <c r="I1122" s="165" t="s">
        <v>249</v>
      </c>
      <c r="L1122" s="166">
        <v>0</v>
      </c>
      <c r="M1122" s="166">
        <v>3</v>
      </c>
      <c r="N1122" s="166">
        <v>3</v>
      </c>
      <c r="O1122" s="166">
        <v>3</v>
      </c>
      <c r="P1122" s="166">
        <v>3</v>
      </c>
      <c r="R1122" s="165" t="s">
        <v>2921</v>
      </c>
      <c r="S1122" s="81" t="s">
        <v>113</v>
      </c>
      <c r="T1122" s="349">
        <v>42984</v>
      </c>
      <c r="U1122" s="349">
        <v>43083</v>
      </c>
      <c r="V1122" s="81" t="s">
        <v>155</v>
      </c>
      <c r="W1122" s="81" t="s">
        <v>114</v>
      </c>
      <c r="Y1122" s="81" t="s">
        <v>397</v>
      </c>
      <c r="Z1122" s="81" t="s">
        <v>116</v>
      </c>
      <c r="AA1122" s="81" t="s">
        <v>117</v>
      </c>
      <c r="AB1122" s="81" t="s">
        <v>218</v>
      </c>
      <c r="AC1122" s="166">
        <v>2.8000000864267301E-2</v>
      </c>
      <c r="AG1122" s="81" t="s">
        <v>238</v>
      </c>
      <c r="AH1122" s="81" t="s">
        <v>118</v>
      </c>
      <c r="AK1122" s="166">
        <v>0</v>
      </c>
      <c r="AM1122" s="166">
        <v>0</v>
      </c>
      <c r="AO1122" s="166">
        <v>0</v>
      </c>
      <c r="AP1122" s="166">
        <v>3</v>
      </c>
      <c r="AQ1122" s="166">
        <v>0</v>
      </c>
      <c r="AR1122" s="166">
        <v>0</v>
      </c>
      <c r="AS1122" s="166">
        <v>0</v>
      </c>
      <c r="AT1122" s="166">
        <v>0</v>
      </c>
      <c r="AU1122" s="166">
        <v>0</v>
      </c>
      <c r="AV1122" s="166">
        <v>0</v>
      </c>
      <c r="AW1122" s="166">
        <v>3</v>
      </c>
      <c r="AX1122" s="166">
        <v>0</v>
      </c>
      <c r="AY1122" s="166">
        <v>0</v>
      </c>
      <c r="AZ1122" s="166">
        <v>0</v>
      </c>
      <c r="BA1122" s="166">
        <v>0</v>
      </c>
      <c r="BB1122" s="166">
        <v>0</v>
      </c>
      <c r="BC1122" s="166">
        <v>0</v>
      </c>
      <c r="BD1122" s="166">
        <v>0</v>
      </c>
      <c r="BE1122" s="166">
        <v>0</v>
      </c>
      <c r="BF1122" s="166">
        <v>0</v>
      </c>
      <c r="BG1122" s="166">
        <v>0</v>
      </c>
      <c r="BH1122" s="166">
        <v>0</v>
      </c>
      <c r="BI1122" s="166">
        <v>0</v>
      </c>
      <c r="BJ1122" s="166">
        <v>0</v>
      </c>
      <c r="BK1122" s="166">
        <v>0</v>
      </c>
      <c r="BL1122" s="166">
        <v>0</v>
      </c>
      <c r="BM1122" s="166">
        <v>0</v>
      </c>
      <c r="BN1122" s="166">
        <v>0</v>
      </c>
      <c r="BO1122" s="166">
        <v>0</v>
      </c>
      <c r="BP1122" s="166">
        <v>0</v>
      </c>
      <c r="BQ1122" s="81" t="s">
        <v>1758</v>
      </c>
      <c r="BZ1122" s="81" t="s">
        <v>155</v>
      </c>
      <c r="CA1122" s="81">
        <v>4</v>
      </c>
      <c r="CC1122" s="167">
        <v>0</v>
      </c>
      <c r="CD1122" s="167">
        <v>0</v>
      </c>
      <c r="CE1122" s="167">
        <f>$N1122/4</f>
        <v>0.75</v>
      </c>
      <c r="CF1122" s="167">
        <f>$N1122/4</f>
        <v>0.75</v>
      </c>
      <c r="CG1122" s="167">
        <f>$N1122/4</f>
        <v>0.75</v>
      </c>
      <c r="CH1122" s="167">
        <f>$N1122/4</f>
        <v>0.75</v>
      </c>
      <c r="CI1122" s="167">
        <v>0</v>
      </c>
      <c r="CJ1122" s="167">
        <v>0</v>
      </c>
      <c r="CK1122" s="167">
        <v>0</v>
      </c>
      <c r="CL1122" s="167">
        <v>0</v>
      </c>
      <c r="CM1122" s="167">
        <v>0</v>
      </c>
      <c r="CN1122" s="167">
        <v>0</v>
      </c>
      <c r="CO1122" s="167">
        <v>0</v>
      </c>
      <c r="CP1122" s="167">
        <v>0</v>
      </c>
      <c r="CQ1122" s="167">
        <v>0</v>
      </c>
      <c r="CR1122" s="167">
        <v>0</v>
      </c>
      <c r="CS1122" s="167">
        <v>0</v>
      </c>
      <c r="CT1122" s="167">
        <v>0</v>
      </c>
      <c r="CU1122" s="167">
        <v>0</v>
      </c>
      <c r="CV1122" s="167">
        <v>0</v>
      </c>
      <c r="CW1122" s="167">
        <v>0</v>
      </c>
      <c r="CX1122" s="167">
        <f>SUM(CD1122:CH1122)</f>
        <v>3</v>
      </c>
      <c r="CY1122" s="167">
        <f>SUM(CD1122:CM1122)</f>
        <v>3</v>
      </c>
    </row>
    <row r="1123" spans="1:103" ht="12.75" customHeight="1" x14ac:dyDescent="0.2">
      <c r="A1123" s="81">
        <v>6707</v>
      </c>
      <c r="B1123" s="165" t="s">
        <v>1930</v>
      </c>
      <c r="C1123" s="165" t="s">
        <v>2922</v>
      </c>
      <c r="E1123" s="165" t="s">
        <v>2923</v>
      </c>
      <c r="G1123" s="81">
        <v>528529</v>
      </c>
      <c r="H1123" s="81">
        <v>173387</v>
      </c>
      <c r="I1123" s="165" t="s">
        <v>247</v>
      </c>
      <c r="L1123" s="166">
        <v>0</v>
      </c>
      <c r="M1123" s="166">
        <v>7</v>
      </c>
      <c r="N1123" s="166">
        <v>7</v>
      </c>
      <c r="O1123" s="166">
        <v>7</v>
      </c>
      <c r="P1123" s="166">
        <v>7</v>
      </c>
      <c r="R1123" s="165" t="s">
        <v>2924</v>
      </c>
      <c r="S1123" s="81" t="s">
        <v>270</v>
      </c>
      <c r="T1123" s="349">
        <v>43003</v>
      </c>
      <c r="U1123" s="349">
        <v>43059</v>
      </c>
      <c r="V1123" s="81" t="s">
        <v>155</v>
      </c>
      <c r="W1123" s="81" t="s">
        <v>114</v>
      </c>
      <c r="Y1123" s="81" t="s">
        <v>115</v>
      </c>
      <c r="Z1123" s="81" t="s">
        <v>310</v>
      </c>
      <c r="AA1123" s="81" t="s">
        <v>117</v>
      </c>
      <c r="AB1123" s="81" t="s">
        <v>399</v>
      </c>
      <c r="AC1123" s="166">
        <v>2.70000007003546E-2</v>
      </c>
      <c r="AG1123" s="81" t="s">
        <v>238</v>
      </c>
      <c r="AH1123" s="81" t="s">
        <v>118</v>
      </c>
      <c r="AK1123" s="166">
        <v>0</v>
      </c>
      <c r="AM1123" s="166">
        <v>0</v>
      </c>
      <c r="AO1123" s="166">
        <v>7</v>
      </c>
      <c r="AP1123" s="166">
        <v>0</v>
      </c>
      <c r="AQ1123" s="166">
        <v>0</v>
      </c>
      <c r="AR1123" s="166">
        <v>0</v>
      </c>
      <c r="AS1123" s="166">
        <v>0</v>
      </c>
      <c r="AT1123" s="166">
        <v>0</v>
      </c>
      <c r="AU1123" s="166">
        <v>0</v>
      </c>
      <c r="AV1123" s="166">
        <v>7</v>
      </c>
      <c r="AW1123" s="166">
        <v>0</v>
      </c>
      <c r="AX1123" s="166">
        <v>0</v>
      </c>
      <c r="AY1123" s="166">
        <v>0</v>
      </c>
      <c r="AZ1123" s="166">
        <v>0</v>
      </c>
      <c r="BA1123" s="166">
        <v>0</v>
      </c>
      <c r="BB1123" s="166">
        <v>0</v>
      </c>
      <c r="BC1123" s="166">
        <v>0</v>
      </c>
      <c r="BD1123" s="166">
        <v>0</v>
      </c>
      <c r="BE1123" s="166">
        <v>0</v>
      </c>
      <c r="BF1123" s="166">
        <v>0</v>
      </c>
      <c r="BG1123" s="166">
        <v>0</v>
      </c>
      <c r="BH1123" s="166">
        <v>0</v>
      </c>
      <c r="BI1123" s="166">
        <v>0</v>
      </c>
      <c r="BJ1123" s="166">
        <v>0</v>
      </c>
      <c r="BK1123" s="166">
        <v>0</v>
      </c>
      <c r="BL1123" s="166">
        <v>0</v>
      </c>
      <c r="BM1123" s="166">
        <v>0</v>
      </c>
      <c r="BN1123" s="166">
        <v>0</v>
      </c>
      <c r="BO1123" s="166">
        <v>0</v>
      </c>
      <c r="BP1123" s="166">
        <v>0</v>
      </c>
      <c r="BQ1123" s="81" t="s">
        <v>1757</v>
      </c>
      <c r="BR1123" s="81" t="s">
        <v>247</v>
      </c>
      <c r="BZ1123" s="81" t="s">
        <v>155</v>
      </c>
      <c r="CA1123" s="81" t="s">
        <v>3972</v>
      </c>
      <c r="CC1123" s="167">
        <v>0</v>
      </c>
      <c r="CD1123" s="167">
        <f>$N1123/4</f>
        <v>1.75</v>
      </c>
      <c r="CE1123" s="167">
        <f>$N1123/4</f>
        <v>1.75</v>
      </c>
      <c r="CF1123" s="167">
        <f>$N1123/4</f>
        <v>1.75</v>
      </c>
      <c r="CG1123" s="167">
        <f>$N1123/4</f>
        <v>1.75</v>
      </c>
      <c r="CH1123" s="167">
        <v>0</v>
      </c>
      <c r="CI1123" s="167">
        <v>0</v>
      </c>
      <c r="CJ1123" s="167">
        <v>0</v>
      </c>
      <c r="CK1123" s="167">
        <v>0</v>
      </c>
      <c r="CL1123" s="167">
        <v>0</v>
      </c>
      <c r="CM1123" s="167">
        <v>0</v>
      </c>
      <c r="CN1123" s="167">
        <v>0</v>
      </c>
      <c r="CO1123" s="167">
        <v>0</v>
      </c>
      <c r="CP1123" s="167">
        <v>0</v>
      </c>
      <c r="CQ1123" s="167">
        <v>0</v>
      </c>
      <c r="CR1123" s="167">
        <v>0</v>
      </c>
      <c r="CS1123" s="167">
        <v>0</v>
      </c>
      <c r="CT1123" s="167">
        <v>0</v>
      </c>
      <c r="CU1123" s="167">
        <v>0</v>
      </c>
      <c r="CV1123" s="167">
        <v>0</v>
      </c>
      <c r="CW1123" s="167">
        <v>0</v>
      </c>
      <c r="CX1123" s="167">
        <f>SUM(CD1123:CH1123)</f>
        <v>7</v>
      </c>
      <c r="CY1123" s="167">
        <f>SUM(CD1123:CM1123)</f>
        <v>7</v>
      </c>
    </row>
    <row r="1124" spans="1:103" ht="12.75" customHeight="1" x14ac:dyDescent="0.2">
      <c r="A1124" s="81">
        <v>6716</v>
      </c>
      <c r="B1124" s="165" t="s">
        <v>1930</v>
      </c>
      <c r="C1124" s="165" t="s">
        <v>2925</v>
      </c>
      <c r="E1124" s="165" t="s">
        <v>2926</v>
      </c>
      <c r="G1124" s="81">
        <v>525381</v>
      </c>
      <c r="H1124" s="81">
        <v>174614</v>
      </c>
      <c r="I1124" s="165" t="s">
        <v>258</v>
      </c>
      <c r="L1124" s="166">
        <v>0</v>
      </c>
      <c r="M1124" s="166">
        <v>8</v>
      </c>
      <c r="N1124" s="166">
        <v>8</v>
      </c>
      <c r="O1124" s="166">
        <v>8</v>
      </c>
      <c r="P1124" s="166">
        <v>8</v>
      </c>
      <c r="R1124" s="165" t="s">
        <v>2927</v>
      </c>
      <c r="S1124" s="81" t="s">
        <v>110</v>
      </c>
      <c r="T1124" s="349">
        <v>43018</v>
      </c>
      <c r="U1124" s="349">
        <v>43067</v>
      </c>
      <c r="V1124" s="81" t="s">
        <v>155</v>
      </c>
      <c r="W1124" s="81" t="s">
        <v>114</v>
      </c>
      <c r="Y1124" s="81" t="s">
        <v>115</v>
      </c>
      <c r="Z1124" s="81" t="s">
        <v>310</v>
      </c>
      <c r="AA1124" s="81" t="s">
        <v>117</v>
      </c>
      <c r="AB1124" s="81" t="s">
        <v>399</v>
      </c>
      <c r="AC1124" s="166">
        <v>1.7999999225139601E-2</v>
      </c>
      <c r="AG1124" s="81" t="s">
        <v>238</v>
      </c>
      <c r="AH1124" s="81" t="s">
        <v>118</v>
      </c>
      <c r="AK1124" s="166">
        <v>0</v>
      </c>
      <c r="AM1124" s="166">
        <v>0</v>
      </c>
      <c r="AO1124" s="166">
        <v>1</v>
      </c>
      <c r="AP1124" s="166">
        <v>5</v>
      </c>
      <c r="AQ1124" s="166">
        <v>2</v>
      </c>
      <c r="AR1124" s="166">
        <v>0</v>
      </c>
      <c r="AS1124" s="166">
        <v>0</v>
      </c>
      <c r="AT1124" s="166">
        <v>0</v>
      </c>
      <c r="AU1124" s="166">
        <v>0</v>
      </c>
      <c r="AV1124" s="166">
        <v>1</v>
      </c>
      <c r="AW1124" s="166">
        <v>5</v>
      </c>
      <c r="AX1124" s="166">
        <v>2</v>
      </c>
      <c r="AY1124" s="166">
        <v>0</v>
      </c>
      <c r="AZ1124" s="166">
        <v>0</v>
      </c>
      <c r="BA1124" s="166">
        <v>0</v>
      </c>
      <c r="BB1124" s="166">
        <v>0</v>
      </c>
      <c r="BC1124" s="166">
        <v>0</v>
      </c>
      <c r="BD1124" s="166">
        <v>0</v>
      </c>
      <c r="BE1124" s="166">
        <v>0</v>
      </c>
      <c r="BF1124" s="166">
        <v>0</v>
      </c>
      <c r="BG1124" s="166">
        <v>0</v>
      </c>
      <c r="BH1124" s="166">
        <v>0</v>
      </c>
      <c r="BI1124" s="166">
        <v>0</v>
      </c>
      <c r="BJ1124" s="166">
        <v>0</v>
      </c>
      <c r="BK1124" s="166">
        <v>0</v>
      </c>
      <c r="BL1124" s="166">
        <v>0</v>
      </c>
      <c r="BM1124" s="166">
        <v>0</v>
      </c>
      <c r="BN1124" s="166">
        <v>0</v>
      </c>
      <c r="BO1124" s="166">
        <v>0</v>
      </c>
      <c r="BP1124" s="166">
        <v>0</v>
      </c>
      <c r="BQ1124" s="81" t="s">
        <v>1758</v>
      </c>
      <c r="BR1124" s="81" t="s">
        <v>202</v>
      </c>
      <c r="BT1124" s="81" t="s">
        <v>155</v>
      </c>
      <c r="BZ1124" s="81" t="s">
        <v>155</v>
      </c>
      <c r="CA1124" s="81" t="s">
        <v>3972</v>
      </c>
      <c r="CC1124" s="167">
        <v>0</v>
      </c>
      <c r="CD1124" s="167">
        <f>$N1124/4</f>
        <v>2</v>
      </c>
      <c r="CE1124" s="167">
        <f>$N1124/4</f>
        <v>2</v>
      </c>
      <c r="CF1124" s="167">
        <f>$N1124/4</f>
        <v>2</v>
      </c>
      <c r="CG1124" s="167">
        <f>$N1124/4</f>
        <v>2</v>
      </c>
      <c r="CH1124" s="167">
        <v>0</v>
      </c>
      <c r="CI1124" s="167">
        <v>0</v>
      </c>
      <c r="CJ1124" s="167">
        <v>0</v>
      </c>
      <c r="CK1124" s="167">
        <v>0</v>
      </c>
      <c r="CL1124" s="167">
        <v>0</v>
      </c>
      <c r="CM1124" s="167">
        <v>0</v>
      </c>
      <c r="CN1124" s="167">
        <v>0</v>
      </c>
      <c r="CO1124" s="167">
        <v>0</v>
      </c>
      <c r="CP1124" s="167">
        <v>0</v>
      </c>
      <c r="CQ1124" s="167">
        <v>0</v>
      </c>
      <c r="CR1124" s="167">
        <v>0</v>
      </c>
      <c r="CS1124" s="167">
        <v>0</v>
      </c>
      <c r="CT1124" s="167">
        <v>0</v>
      </c>
      <c r="CU1124" s="167">
        <v>0</v>
      </c>
      <c r="CV1124" s="167">
        <v>0</v>
      </c>
      <c r="CW1124" s="167">
        <v>0</v>
      </c>
      <c r="CX1124" s="167">
        <f>SUM(CD1124:CH1124)</f>
        <v>8</v>
      </c>
      <c r="CY1124" s="167">
        <f>SUM(CD1124:CM1124)</f>
        <v>8</v>
      </c>
    </row>
    <row r="1125" spans="1:103" ht="12.75" customHeight="1" x14ac:dyDescent="0.2">
      <c r="A1125" s="81">
        <v>6729</v>
      </c>
      <c r="B1125" s="165" t="s">
        <v>1930</v>
      </c>
      <c r="C1125" s="165" t="s">
        <v>2928</v>
      </c>
      <c r="E1125" s="165" t="s">
        <v>2235</v>
      </c>
      <c r="G1125" s="81">
        <v>527455</v>
      </c>
      <c r="H1125" s="81">
        <v>175008</v>
      </c>
      <c r="I1125" s="165" t="s">
        <v>255</v>
      </c>
      <c r="L1125" s="166">
        <v>1</v>
      </c>
      <c r="M1125" s="166">
        <v>2</v>
      </c>
      <c r="N1125" s="166">
        <v>1</v>
      </c>
      <c r="O1125" s="166">
        <v>2</v>
      </c>
      <c r="P1125" s="166">
        <v>1</v>
      </c>
      <c r="R1125" s="165" t="s">
        <v>2929</v>
      </c>
      <c r="S1125" s="81" t="s">
        <v>113</v>
      </c>
      <c r="T1125" s="349">
        <v>43028</v>
      </c>
      <c r="U1125" s="349">
        <v>43084</v>
      </c>
      <c r="V1125" s="81" t="s">
        <v>155</v>
      </c>
      <c r="W1125" s="81" t="s">
        <v>114</v>
      </c>
      <c r="Y1125" s="81" t="s">
        <v>115</v>
      </c>
      <c r="Z1125" s="81" t="s">
        <v>398</v>
      </c>
      <c r="AA1125" s="81" t="s">
        <v>117</v>
      </c>
      <c r="AB1125" s="81" t="s">
        <v>220</v>
      </c>
      <c r="AC1125" s="166">
        <v>7.0000002160668399E-3</v>
      </c>
      <c r="AG1125" s="81" t="s">
        <v>238</v>
      </c>
      <c r="AH1125" s="81" t="s">
        <v>118</v>
      </c>
      <c r="AK1125" s="166">
        <v>0</v>
      </c>
      <c r="AM1125" s="166">
        <v>0</v>
      </c>
      <c r="AO1125" s="166">
        <v>0</v>
      </c>
      <c r="AP1125" s="166">
        <v>1</v>
      </c>
      <c r="AQ1125" s="166">
        <v>1</v>
      </c>
      <c r="AR1125" s="166">
        <v>-1</v>
      </c>
      <c r="AS1125" s="166">
        <v>0</v>
      </c>
      <c r="AT1125" s="166">
        <v>0</v>
      </c>
      <c r="AU1125" s="166">
        <v>0</v>
      </c>
      <c r="AV1125" s="166">
        <v>0</v>
      </c>
      <c r="AW1125" s="166">
        <v>1</v>
      </c>
      <c r="AX1125" s="166">
        <v>1</v>
      </c>
      <c r="AY1125" s="166">
        <v>-1</v>
      </c>
      <c r="AZ1125" s="166">
        <v>0</v>
      </c>
      <c r="BA1125" s="166">
        <v>0</v>
      </c>
      <c r="BB1125" s="166">
        <v>0</v>
      </c>
      <c r="BC1125" s="166">
        <v>0</v>
      </c>
      <c r="BD1125" s="166">
        <v>0</v>
      </c>
      <c r="BE1125" s="166">
        <v>0</v>
      </c>
      <c r="BF1125" s="166">
        <v>0</v>
      </c>
      <c r="BG1125" s="166">
        <v>0</v>
      </c>
      <c r="BH1125" s="166">
        <v>0</v>
      </c>
      <c r="BI1125" s="166">
        <v>0</v>
      </c>
      <c r="BJ1125" s="166">
        <v>0</v>
      </c>
      <c r="BK1125" s="166">
        <v>0</v>
      </c>
      <c r="BL1125" s="166">
        <v>0</v>
      </c>
      <c r="BM1125" s="166">
        <v>0</v>
      </c>
      <c r="BN1125" s="166">
        <v>0</v>
      </c>
      <c r="BO1125" s="166">
        <v>0</v>
      </c>
      <c r="BP1125" s="166">
        <v>0</v>
      </c>
      <c r="BQ1125" s="81" t="s">
        <v>1757</v>
      </c>
      <c r="BR1125" s="81" t="s">
        <v>160</v>
      </c>
      <c r="BZ1125" s="81" t="s">
        <v>155</v>
      </c>
      <c r="CA1125" s="81" t="s">
        <v>1937</v>
      </c>
      <c r="CC1125" s="167">
        <v>0</v>
      </c>
      <c r="CD1125" s="167">
        <f>$N1125/4</f>
        <v>0.25</v>
      </c>
      <c r="CE1125" s="167">
        <f>$N1125/4</f>
        <v>0.25</v>
      </c>
      <c r="CF1125" s="167">
        <f>$N1125/4</f>
        <v>0.25</v>
      </c>
      <c r="CG1125" s="167">
        <f>$N1125/4</f>
        <v>0.25</v>
      </c>
      <c r="CH1125" s="167">
        <v>0</v>
      </c>
      <c r="CI1125" s="167">
        <v>0</v>
      </c>
      <c r="CJ1125" s="167">
        <v>0</v>
      </c>
      <c r="CK1125" s="167">
        <v>0</v>
      </c>
      <c r="CL1125" s="167">
        <v>0</v>
      </c>
      <c r="CM1125" s="167">
        <v>0</v>
      </c>
      <c r="CN1125" s="167">
        <v>0</v>
      </c>
      <c r="CO1125" s="167">
        <v>0</v>
      </c>
      <c r="CP1125" s="167">
        <v>0</v>
      </c>
      <c r="CQ1125" s="167">
        <v>0</v>
      </c>
      <c r="CR1125" s="167">
        <v>0</v>
      </c>
      <c r="CS1125" s="167">
        <v>0</v>
      </c>
      <c r="CT1125" s="167">
        <v>0</v>
      </c>
      <c r="CU1125" s="167">
        <v>0</v>
      </c>
      <c r="CV1125" s="167">
        <v>0</v>
      </c>
      <c r="CW1125" s="167">
        <v>0</v>
      </c>
      <c r="CX1125" s="167">
        <f>SUM(CD1125:CH1125)</f>
        <v>1</v>
      </c>
      <c r="CY1125" s="167">
        <f>SUM(CD1125:CM1125)</f>
        <v>1</v>
      </c>
    </row>
    <row r="1126" spans="1:103" ht="12.75" customHeight="1" x14ac:dyDescent="0.2">
      <c r="A1126" s="81">
        <v>6730</v>
      </c>
      <c r="B1126" s="165" t="s">
        <v>1930</v>
      </c>
      <c r="C1126" s="165" t="s">
        <v>2930</v>
      </c>
      <c r="E1126" s="165" t="s">
        <v>2931</v>
      </c>
      <c r="G1126" s="81">
        <v>524317</v>
      </c>
      <c r="H1126" s="81">
        <v>174958</v>
      </c>
      <c r="I1126" s="165" t="s">
        <v>259</v>
      </c>
      <c r="L1126" s="166">
        <v>0</v>
      </c>
      <c r="M1126" s="166">
        <v>2</v>
      </c>
      <c r="N1126" s="166">
        <v>2</v>
      </c>
      <c r="O1126" s="166">
        <v>4</v>
      </c>
      <c r="P1126" s="166">
        <v>2</v>
      </c>
      <c r="R1126" s="165" t="s">
        <v>2932</v>
      </c>
      <c r="S1126" s="81" t="s">
        <v>113</v>
      </c>
      <c r="T1126" s="349">
        <v>43027</v>
      </c>
      <c r="U1126" s="349">
        <v>43188</v>
      </c>
      <c r="V1126" s="81" t="s">
        <v>155</v>
      </c>
      <c r="W1126" s="81" t="s">
        <v>114</v>
      </c>
      <c r="Y1126" s="81" t="s">
        <v>115</v>
      </c>
      <c r="Z1126" s="81" t="s">
        <v>398</v>
      </c>
      <c r="AA1126" s="81" t="s">
        <v>117</v>
      </c>
      <c r="AB1126" s="81" t="s">
        <v>220</v>
      </c>
      <c r="AC1126" s="166">
        <v>9.9999997764825804E-3</v>
      </c>
      <c r="AG1126" s="81" t="s">
        <v>238</v>
      </c>
      <c r="AH1126" s="81" t="s">
        <v>118</v>
      </c>
      <c r="AK1126" s="166">
        <v>0</v>
      </c>
      <c r="AM1126" s="166">
        <v>0</v>
      </c>
      <c r="AO1126" s="166">
        <v>0</v>
      </c>
      <c r="AP1126" s="166">
        <v>0</v>
      </c>
      <c r="AQ1126" s="166">
        <v>2</v>
      </c>
      <c r="AR1126" s="166">
        <v>0</v>
      </c>
      <c r="AS1126" s="166">
        <v>0</v>
      </c>
      <c r="AT1126" s="166">
        <v>0</v>
      </c>
      <c r="AU1126" s="166">
        <v>0</v>
      </c>
      <c r="AV1126" s="166">
        <v>0</v>
      </c>
      <c r="AW1126" s="166">
        <v>0</v>
      </c>
      <c r="AX1126" s="166">
        <v>2</v>
      </c>
      <c r="AY1126" s="166">
        <v>0</v>
      </c>
      <c r="AZ1126" s="166">
        <v>0</v>
      </c>
      <c r="BA1126" s="166">
        <v>0</v>
      </c>
      <c r="BB1126" s="166">
        <v>0</v>
      </c>
      <c r="BC1126" s="166">
        <v>0</v>
      </c>
      <c r="BD1126" s="166">
        <v>0</v>
      </c>
      <c r="BE1126" s="166">
        <v>0</v>
      </c>
      <c r="BF1126" s="166">
        <v>0</v>
      </c>
      <c r="BG1126" s="166">
        <v>0</v>
      </c>
      <c r="BH1126" s="166">
        <v>0</v>
      </c>
      <c r="BI1126" s="166">
        <v>0</v>
      </c>
      <c r="BJ1126" s="166">
        <v>0</v>
      </c>
      <c r="BK1126" s="166">
        <v>0</v>
      </c>
      <c r="BL1126" s="166">
        <v>0</v>
      </c>
      <c r="BM1126" s="166">
        <v>0</v>
      </c>
      <c r="BN1126" s="166">
        <v>0</v>
      </c>
      <c r="BO1126" s="166">
        <v>0</v>
      </c>
      <c r="BP1126" s="166">
        <v>0</v>
      </c>
      <c r="BQ1126" s="81" t="s">
        <v>1758</v>
      </c>
      <c r="BR1126" s="81" t="s">
        <v>161</v>
      </c>
      <c r="BV1126" s="81" t="s">
        <v>155</v>
      </c>
      <c r="BZ1126" s="81" t="s">
        <v>155</v>
      </c>
      <c r="CA1126" s="81" t="s">
        <v>1937</v>
      </c>
      <c r="CC1126" s="167">
        <v>0</v>
      </c>
      <c r="CD1126" s="167">
        <f>$N1126/4</f>
        <v>0.5</v>
      </c>
      <c r="CE1126" s="167">
        <f>$N1126/4</f>
        <v>0.5</v>
      </c>
      <c r="CF1126" s="167">
        <f>$N1126/4</f>
        <v>0.5</v>
      </c>
      <c r="CG1126" s="167">
        <f>$N1126/4</f>
        <v>0.5</v>
      </c>
      <c r="CH1126" s="167">
        <v>0</v>
      </c>
      <c r="CI1126" s="167">
        <v>0</v>
      </c>
      <c r="CJ1126" s="167">
        <v>0</v>
      </c>
      <c r="CK1126" s="167">
        <v>0</v>
      </c>
      <c r="CL1126" s="167">
        <v>0</v>
      </c>
      <c r="CM1126" s="167">
        <v>0</v>
      </c>
      <c r="CN1126" s="167">
        <v>0</v>
      </c>
      <c r="CO1126" s="167">
        <v>0</v>
      </c>
      <c r="CP1126" s="167">
        <v>0</v>
      </c>
      <c r="CQ1126" s="167">
        <v>0</v>
      </c>
      <c r="CR1126" s="167">
        <v>0</v>
      </c>
      <c r="CS1126" s="167">
        <v>0</v>
      </c>
      <c r="CT1126" s="167">
        <v>0</v>
      </c>
      <c r="CU1126" s="167">
        <v>0</v>
      </c>
      <c r="CV1126" s="167">
        <v>0</v>
      </c>
      <c r="CW1126" s="167">
        <v>0</v>
      </c>
      <c r="CX1126" s="167">
        <f>SUM(CD1126:CH1126)</f>
        <v>2</v>
      </c>
      <c r="CY1126" s="167">
        <f>SUM(CD1126:CM1126)</f>
        <v>2</v>
      </c>
    </row>
    <row r="1127" spans="1:103" ht="12.75" customHeight="1" x14ac:dyDescent="0.2">
      <c r="A1127" s="81">
        <v>6730</v>
      </c>
      <c r="B1127" s="165" t="s">
        <v>1930</v>
      </c>
      <c r="C1127" s="165" t="s">
        <v>2930</v>
      </c>
      <c r="E1127" s="165" t="s">
        <v>2931</v>
      </c>
      <c r="G1127" s="81">
        <v>524317</v>
      </c>
      <c r="H1127" s="81">
        <v>174958</v>
      </c>
      <c r="I1127" s="165" t="s">
        <v>259</v>
      </c>
      <c r="L1127" s="166">
        <v>2</v>
      </c>
      <c r="M1127" s="166">
        <v>2</v>
      </c>
      <c r="N1127" s="166">
        <v>0</v>
      </c>
      <c r="O1127" s="166">
        <v>4</v>
      </c>
      <c r="P1127" s="166">
        <v>2</v>
      </c>
      <c r="R1127" s="165" t="s">
        <v>2932</v>
      </c>
      <c r="S1127" s="81" t="s">
        <v>113</v>
      </c>
      <c r="T1127" s="349">
        <v>43027</v>
      </c>
      <c r="U1127" s="349">
        <v>43188</v>
      </c>
      <c r="V1127" s="81" t="s">
        <v>155</v>
      </c>
      <c r="W1127" s="81" t="s">
        <v>114</v>
      </c>
      <c r="Y1127" s="81" t="s">
        <v>115</v>
      </c>
      <c r="Z1127" s="81" t="s">
        <v>398</v>
      </c>
      <c r="AA1127" s="81" t="s">
        <v>117</v>
      </c>
      <c r="AB1127" s="81" t="s">
        <v>218</v>
      </c>
      <c r="AC1127" s="166">
        <v>8.9999996125698107E-3</v>
      </c>
      <c r="AG1127" s="81" t="s">
        <v>238</v>
      </c>
      <c r="AH1127" s="81" t="s">
        <v>118</v>
      </c>
      <c r="AK1127" s="166">
        <v>0</v>
      </c>
      <c r="AM1127" s="166">
        <v>0</v>
      </c>
      <c r="AO1127" s="166">
        <v>0</v>
      </c>
      <c r="AP1127" s="166">
        <v>1</v>
      </c>
      <c r="AQ1127" s="166">
        <v>-2</v>
      </c>
      <c r="AR1127" s="166">
        <v>1</v>
      </c>
      <c r="AS1127" s="166">
        <v>0</v>
      </c>
      <c r="AT1127" s="166">
        <v>0</v>
      </c>
      <c r="AU1127" s="166">
        <v>0</v>
      </c>
      <c r="AV1127" s="166">
        <v>0</v>
      </c>
      <c r="AW1127" s="166">
        <v>1</v>
      </c>
      <c r="AX1127" s="166">
        <v>-2</v>
      </c>
      <c r="AY1127" s="166">
        <v>1</v>
      </c>
      <c r="AZ1127" s="166">
        <v>0</v>
      </c>
      <c r="BA1127" s="166">
        <v>0</v>
      </c>
      <c r="BB1127" s="166">
        <v>0</v>
      </c>
      <c r="BC1127" s="166">
        <v>0</v>
      </c>
      <c r="BD1127" s="166">
        <v>0</v>
      </c>
      <c r="BE1127" s="166">
        <v>0</v>
      </c>
      <c r="BF1127" s="166">
        <v>0</v>
      </c>
      <c r="BG1127" s="166">
        <v>0</v>
      </c>
      <c r="BH1127" s="166">
        <v>0</v>
      </c>
      <c r="BI1127" s="166">
        <v>0</v>
      </c>
      <c r="BJ1127" s="166">
        <v>0</v>
      </c>
      <c r="BK1127" s="166">
        <v>0</v>
      </c>
      <c r="BL1127" s="166">
        <v>0</v>
      </c>
      <c r="BM1127" s="166">
        <v>0</v>
      </c>
      <c r="BN1127" s="166">
        <v>0</v>
      </c>
      <c r="BO1127" s="166">
        <v>0</v>
      </c>
      <c r="BP1127" s="166">
        <v>0</v>
      </c>
      <c r="BQ1127" s="81" t="s">
        <v>1758</v>
      </c>
      <c r="BR1127" s="81" t="s">
        <v>161</v>
      </c>
      <c r="BV1127" s="81" t="s">
        <v>155</v>
      </c>
      <c r="BZ1127" s="81" t="s">
        <v>155</v>
      </c>
      <c r="CA1127" s="81" t="s">
        <v>1937</v>
      </c>
      <c r="CC1127" s="167">
        <v>0</v>
      </c>
      <c r="CD1127" s="167">
        <f>$N1127/4</f>
        <v>0</v>
      </c>
      <c r="CE1127" s="167">
        <f>$N1127/4</f>
        <v>0</v>
      </c>
      <c r="CF1127" s="167">
        <f>$N1127/4</f>
        <v>0</v>
      </c>
      <c r="CG1127" s="167">
        <f>$N1127/4</f>
        <v>0</v>
      </c>
      <c r="CH1127" s="167">
        <v>0</v>
      </c>
      <c r="CI1127" s="167">
        <v>0</v>
      </c>
      <c r="CJ1127" s="167">
        <v>0</v>
      </c>
      <c r="CK1127" s="167">
        <v>0</v>
      </c>
      <c r="CL1127" s="167">
        <v>0</v>
      </c>
      <c r="CM1127" s="167">
        <v>0</v>
      </c>
      <c r="CN1127" s="167">
        <v>0</v>
      </c>
      <c r="CO1127" s="167">
        <v>0</v>
      </c>
      <c r="CP1127" s="167">
        <v>0</v>
      </c>
      <c r="CQ1127" s="167">
        <v>0</v>
      </c>
      <c r="CR1127" s="167">
        <v>0</v>
      </c>
      <c r="CS1127" s="167">
        <v>0</v>
      </c>
      <c r="CT1127" s="167">
        <v>0</v>
      </c>
      <c r="CU1127" s="167">
        <v>0</v>
      </c>
      <c r="CV1127" s="167">
        <v>0</v>
      </c>
      <c r="CW1127" s="167">
        <v>0</v>
      </c>
      <c r="CX1127" s="167">
        <f>SUM(CD1127:CH1127)</f>
        <v>0</v>
      </c>
      <c r="CY1127" s="167">
        <f>SUM(CD1127:CM1127)</f>
        <v>0</v>
      </c>
    </row>
    <row r="1128" spans="1:103" ht="12.75" customHeight="1" x14ac:dyDescent="0.2">
      <c r="A1128" s="81">
        <v>6731</v>
      </c>
      <c r="B1128" s="165" t="s">
        <v>1930</v>
      </c>
      <c r="C1128" s="165" t="s">
        <v>2955</v>
      </c>
      <c r="E1128" s="165" t="s">
        <v>2956</v>
      </c>
      <c r="G1128" s="81">
        <v>523924</v>
      </c>
      <c r="H1128" s="81">
        <v>175082</v>
      </c>
      <c r="I1128" s="165" t="s">
        <v>259</v>
      </c>
      <c r="L1128" s="166">
        <v>1</v>
      </c>
      <c r="M1128" s="166">
        <v>2</v>
      </c>
      <c r="N1128" s="166">
        <v>1</v>
      </c>
      <c r="O1128" s="166">
        <v>2</v>
      </c>
      <c r="P1128" s="166">
        <v>1</v>
      </c>
      <c r="R1128" s="165" t="s">
        <v>2957</v>
      </c>
      <c r="S1128" s="81" t="s">
        <v>113</v>
      </c>
      <c r="T1128" s="349">
        <v>43034</v>
      </c>
      <c r="U1128" s="349">
        <v>43088</v>
      </c>
      <c r="V1128" s="81" t="s">
        <v>155</v>
      </c>
      <c r="W1128" s="81" t="s">
        <v>114</v>
      </c>
      <c r="Y1128" s="81" t="s">
        <v>115</v>
      </c>
      <c r="Z1128" s="81" t="s">
        <v>119</v>
      </c>
      <c r="AA1128" s="81" t="s">
        <v>117</v>
      </c>
      <c r="AB1128" s="81" t="s">
        <v>220</v>
      </c>
      <c r="AC1128" s="166">
        <v>6.0000000521540598E-3</v>
      </c>
      <c r="AG1128" s="81" t="s">
        <v>238</v>
      </c>
      <c r="AH1128" s="81" t="s">
        <v>118</v>
      </c>
      <c r="AK1128" s="166">
        <v>0</v>
      </c>
      <c r="AM1128" s="166">
        <v>0</v>
      </c>
      <c r="AO1128" s="166">
        <v>0</v>
      </c>
      <c r="AP1128" s="166">
        <v>1</v>
      </c>
      <c r="AQ1128" s="166">
        <v>1</v>
      </c>
      <c r="AR1128" s="166">
        <v>-1</v>
      </c>
      <c r="AS1128" s="166">
        <v>0</v>
      </c>
      <c r="AT1128" s="166">
        <v>0</v>
      </c>
      <c r="AU1128" s="166">
        <v>0</v>
      </c>
      <c r="AV1128" s="166">
        <v>0</v>
      </c>
      <c r="AW1128" s="166">
        <v>1</v>
      </c>
      <c r="AX1128" s="166">
        <v>1</v>
      </c>
      <c r="AY1128" s="166">
        <v>-1</v>
      </c>
      <c r="AZ1128" s="166">
        <v>0</v>
      </c>
      <c r="BA1128" s="166">
        <v>0</v>
      </c>
      <c r="BB1128" s="166">
        <v>0</v>
      </c>
      <c r="BC1128" s="166">
        <v>0</v>
      </c>
      <c r="BD1128" s="166">
        <v>0</v>
      </c>
      <c r="BE1128" s="166">
        <v>0</v>
      </c>
      <c r="BF1128" s="166">
        <v>0</v>
      </c>
      <c r="BG1128" s="166">
        <v>0</v>
      </c>
      <c r="BH1128" s="166">
        <v>0</v>
      </c>
      <c r="BI1128" s="166">
        <v>0</v>
      </c>
      <c r="BJ1128" s="166">
        <v>0</v>
      </c>
      <c r="BK1128" s="166">
        <v>0</v>
      </c>
      <c r="BL1128" s="166">
        <v>0</v>
      </c>
      <c r="BM1128" s="166">
        <v>0</v>
      </c>
      <c r="BN1128" s="166">
        <v>0</v>
      </c>
      <c r="BO1128" s="166">
        <v>0</v>
      </c>
      <c r="BP1128" s="166">
        <v>0</v>
      </c>
      <c r="BQ1128" s="81" t="s">
        <v>1758</v>
      </c>
      <c r="BR1128" s="81" t="s">
        <v>161</v>
      </c>
      <c r="BZ1128" s="81" t="s">
        <v>155</v>
      </c>
      <c r="CA1128" s="81" t="s">
        <v>1937</v>
      </c>
      <c r="CC1128" s="167">
        <v>0</v>
      </c>
      <c r="CD1128" s="167">
        <f>$N1128/4</f>
        <v>0.25</v>
      </c>
      <c r="CE1128" s="167">
        <f>$N1128/4</f>
        <v>0.25</v>
      </c>
      <c r="CF1128" s="167">
        <f>$N1128/4</f>
        <v>0.25</v>
      </c>
      <c r="CG1128" s="167">
        <f>$N1128/4</f>
        <v>0.25</v>
      </c>
      <c r="CH1128" s="167">
        <v>0</v>
      </c>
      <c r="CI1128" s="167">
        <v>0</v>
      </c>
      <c r="CJ1128" s="167">
        <v>0</v>
      </c>
      <c r="CK1128" s="167">
        <v>0</v>
      </c>
      <c r="CL1128" s="167">
        <v>0</v>
      </c>
      <c r="CM1128" s="167">
        <v>0</v>
      </c>
      <c r="CN1128" s="167">
        <v>0</v>
      </c>
      <c r="CO1128" s="167">
        <v>0</v>
      </c>
      <c r="CP1128" s="167">
        <v>0</v>
      </c>
      <c r="CQ1128" s="167">
        <v>0</v>
      </c>
      <c r="CR1128" s="167">
        <v>0</v>
      </c>
      <c r="CS1128" s="167">
        <v>0</v>
      </c>
      <c r="CT1128" s="167">
        <v>0</v>
      </c>
      <c r="CU1128" s="167">
        <v>0</v>
      </c>
      <c r="CV1128" s="167">
        <v>0</v>
      </c>
      <c r="CW1128" s="167">
        <v>0</v>
      </c>
      <c r="CX1128" s="167">
        <f>SUM(CD1128:CH1128)</f>
        <v>1</v>
      </c>
      <c r="CY1128" s="167">
        <f>SUM(CD1128:CM1128)</f>
        <v>1</v>
      </c>
    </row>
    <row r="1129" spans="1:103" ht="12.75" customHeight="1" x14ac:dyDescent="0.2">
      <c r="A1129" s="81">
        <v>6732</v>
      </c>
      <c r="B1129" s="165" t="s">
        <v>1930</v>
      </c>
      <c r="C1129" s="165" t="s">
        <v>2936</v>
      </c>
      <c r="E1129" s="165" t="s">
        <v>2937</v>
      </c>
      <c r="G1129" s="81">
        <v>522795</v>
      </c>
      <c r="H1129" s="81">
        <v>175193</v>
      </c>
      <c r="I1129" s="165" t="s">
        <v>59</v>
      </c>
      <c r="L1129" s="166">
        <v>2</v>
      </c>
      <c r="M1129" s="166">
        <v>3</v>
      </c>
      <c r="N1129" s="166">
        <v>1</v>
      </c>
      <c r="O1129" s="166">
        <v>5</v>
      </c>
      <c r="P1129" s="166">
        <v>1</v>
      </c>
      <c r="R1129" s="165" t="s">
        <v>2938</v>
      </c>
      <c r="S1129" s="81" t="s">
        <v>113</v>
      </c>
      <c r="T1129" s="349">
        <v>43019</v>
      </c>
      <c r="U1129" s="349">
        <v>43063</v>
      </c>
      <c r="V1129" s="81" t="s">
        <v>155</v>
      </c>
      <c r="W1129" s="81" t="s">
        <v>114</v>
      </c>
      <c r="Y1129" s="81" t="s">
        <v>115</v>
      </c>
      <c r="Z1129" s="81" t="s">
        <v>398</v>
      </c>
      <c r="AA1129" s="81" t="s">
        <v>117</v>
      </c>
      <c r="AB1129" s="81" t="s">
        <v>218</v>
      </c>
      <c r="AC1129" s="166">
        <v>4.6999998390674598E-2</v>
      </c>
      <c r="AG1129" s="81" t="s">
        <v>238</v>
      </c>
      <c r="AH1129" s="81" t="s">
        <v>118</v>
      </c>
      <c r="AK1129" s="166">
        <v>0</v>
      </c>
      <c r="AM1129" s="166">
        <v>0</v>
      </c>
      <c r="AO1129" s="166">
        <v>0</v>
      </c>
      <c r="AP1129" s="166">
        <v>0</v>
      </c>
      <c r="AQ1129" s="166">
        <v>1</v>
      </c>
      <c r="AR1129" s="166">
        <v>0</v>
      </c>
      <c r="AS1129" s="166">
        <v>0</v>
      </c>
      <c r="AT1129" s="166">
        <v>0</v>
      </c>
      <c r="AU1129" s="166">
        <v>0</v>
      </c>
      <c r="AV1129" s="166">
        <v>0</v>
      </c>
      <c r="AW1129" s="166">
        <v>0</v>
      </c>
      <c r="AX1129" s="166">
        <v>1</v>
      </c>
      <c r="AY1129" s="166">
        <v>0</v>
      </c>
      <c r="AZ1129" s="166">
        <v>0</v>
      </c>
      <c r="BA1129" s="166">
        <v>0</v>
      </c>
      <c r="BB1129" s="166">
        <v>0</v>
      </c>
      <c r="BC1129" s="166">
        <v>0</v>
      </c>
      <c r="BD1129" s="166">
        <v>0</v>
      </c>
      <c r="BE1129" s="166">
        <v>0</v>
      </c>
      <c r="BF1129" s="166">
        <v>0</v>
      </c>
      <c r="BG1129" s="166">
        <v>0</v>
      </c>
      <c r="BH1129" s="166">
        <v>0</v>
      </c>
      <c r="BI1129" s="166">
        <v>0</v>
      </c>
      <c r="BJ1129" s="166">
        <v>0</v>
      </c>
      <c r="BK1129" s="166">
        <v>0</v>
      </c>
      <c r="BL1129" s="166">
        <v>0</v>
      </c>
      <c r="BM1129" s="166">
        <v>0</v>
      </c>
      <c r="BN1129" s="166">
        <v>0</v>
      </c>
      <c r="BO1129" s="166">
        <v>0</v>
      </c>
      <c r="BP1129" s="166">
        <v>0</v>
      </c>
      <c r="BQ1129" s="81" t="s">
        <v>1758</v>
      </c>
      <c r="BZ1129" s="81" t="s">
        <v>155</v>
      </c>
      <c r="CA1129" s="81" t="s">
        <v>1937</v>
      </c>
      <c r="CC1129" s="167">
        <v>0</v>
      </c>
      <c r="CD1129" s="167">
        <f>$N1129/4</f>
        <v>0.25</v>
      </c>
      <c r="CE1129" s="167">
        <f>$N1129/4</f>
        <v>0.25</v>
      </c>
      <c r="CF1129" s="167">
        <f>$N1129/4</f>
        <v>0.25</v>
      </c>
      <c r="CG1129" s="167">
        <f>$N1129/4</f>
        <v>0.25</v>
      </c>
      <c r="CH1129" s="167">
        <v>0</v>
      </c>
      <c r="CI1129" s="167">
        <v>0</v>
      </c>
      <c r="CJ1129" s="167">
        <v>0</v>
      </c>
      <c r="CK1129" s="167">
        <v>0</v>
      </c>
      <c r="CL1129" s="167">
        <v>0</v>
      </c>
      <c r="CM1129" s="167">
        <v>0</v>
      </c>
      <c r="CN1129" s="167">
        <v>0</v>
      </c>
      <c r="CO1129" s="167">
        <v>0</v>
      </c>
      <c r="CP1129" s="167">
        <v>0</v>
      </c>
      <c r="CQ1129" s="167">
        <v>0</v>
      </c>
      <c r="CR1129" s="167">
        <v>0</v>
      </c>
      <c r="CS1129" s="167">
        <v>0</v>
      </c>
      <c r="CT1129" s="167">
        <v>0</v>
      </c>
      <c r="CU1129" s="167">
        <v>0</v>
      </c>
      <c r="CV1129" s="167">
        <v>0</v>
      </c>
      <c r="CW1129" s="167">
        <v>0</v>
      </c>
      <c r="CX1129" s="167">
        <f>SUM(CD1129:CH1129)</f>
        <v>1</v>
      </c>
      <c r="CY1129" s="167">
        <f>SUM(CD1129:CM1129)</f>
        <v>1</v>
      </c>
    </row>
    <row r="1130" spans="1:103" ht="12.75" customHeight="1" x14ac:dyDescent="0.2">
      <c r="A1130" s="81">
        <v>6732</v>
      </c>
      <c r="B1130" s="165" t="s">
        <v>1930</v>
      </c>
      <c r="C1130" s="165" t="s">
        <v>2936</v>
      </c>
      <c r="E1130" s="165" t="s">
        <v>2937</v>
      </c>
      <c r="G1130" s="81">
        <v>522795</v>
      </c>
      <c r="H1130" s="81">
        <v>175193</v>
      </c>
      <c r="I1130" s="165" t="s">
        <v>59</v>
      </c>
      <c r="L1130" s="166">
        <v>2</v>
      </c>
      <c r="M1130" s="166">
        <v>2</v>
      </c>
      <c r="N1130" s="166">
        <v>0</v>
      </c>
      <c r="O1130" s="166">
        <v>5</v>
      </c>
      <c r="P1130" s="166">
        <v>1</v>
      </c>
      <c r="R1130" s="165" t="s">
        <v>2938</v>
      </c>
      <c r="S1130" s="81" t="s">
        <v>113</v>
      </c>
      <c r="T1130" s="349">
        <v>43019</v>
      </c>
      <c r="U1130" s="349">
        <v>43063</v>
      </c>
      <c r="V1130" s="81" t="s">
        <v>155</v>
      </c>
      <c r="W1130" s="81" t="s">
        <v>114</v>
      </c>
      <c r="Y1130" s="81" t="s">
        <v>115</v>
      </c>
      <c r="Z1130" s="81" t="s">
        <v>398</v>
      </c>
      <c r="AA1130" s="81" t="s">
        <v>117</v>
      </c>
      <c r="AB1130" s="81" t="s">
        <v>220</v>
      </c>
      <c r="AC1130" s="166">
        <v>3.0999999493360499E-2</v>
      </c>
      <c r="AG1130" s="81" t="s">
        <v>238</v>
      </c>
      <c r="AH1130" s="81" t="s">
        <v>118</v>
      </c>
      <c r="AK1130" s="166">
        <v>0</v>
      </c>
      <c r="AM1130" s="166">
        <v>0</v>
      </c>
      <c r="AO1130" s="166">
        <v>0</v>
      </c>
      <c r="AP1130" s="166">
        <v>-2</v>
      </c>
      <c r="AQ1130" s="166">
        <v>2</v>
      </c>
      <c r="AR1130" s="166">
        <v>0</v>
      </c>
      <c r="AS1130" s="166">
        <v>0</v>
      </c>
      <c r="AT1130" s="166">
        <v>0</v>
      </c>
      <c r="AU1130" s="166">
        <v>0</v>
      </c>
      <c r="AV1130" s="166">
        <v>0</v>
      </c>
      <c r="AW1130" s="166">
        <v>-2</v>
      </c>
      <c r="AX1130" s="166">
        <v>2</v>
      </c>
      <c r="AY1130" s="166">
        <v>0</v>
      </c>
      <c r="AZ1130" s="166">
        <v>0</v>
      </c>
      <c r="BA1130" s="166">
        <v>0</v>
      </c>
      <c r="BB1130" s="166">
        <v>0</v>
      </c>
      <c r="BC1130" s="166">
        <v>0</v>
      </c>
      <c r="BD1130" s="166">
        <v>0</v>
      </c>
      <c r="BE1130" s="166">
        <v>0</v>
      </c>
      <c r="BF1130" s="166">
        <v>0</v>
      </c>
      <c r="BG1130" s="166">
        <v>0</v>
      </c>
      <c r="BH1130" s="166">
        <v>0</v>
      </c>
      <c r="BI1130" s="166">
        <v>0</v>
      </c>
      <c r="BJ1130" s="166">
        <v>0</v>
      </c>
      <c r="BK1130" s="166">
        <v>0</v>
      </c>
      <c r="BL1130" s="166">
        <v>0</v>
      </c>
      <c r="BM1130" s="166">
        <v>0</v>
      </c>
      <c r="BN1130" s="166">
        <v>0</v>
      </c>
      <c r="BO1130" s="166">
        <v>0</v>
      </c>
      <c r="BP1130" s="166">
        <v>0</v>
      </c>
      <c r="BQ1130" s="81" t="s">
        <v>1758</v>
      </c>
      <c r="BZ1130" s="81" t="s">
        <v>155</v>
      </c>
      <c r="CA1130" s="81" t="s">
        <v>1937</v>
      </c>
      <c r="CC1130" s="167">
        <v>0</v>
      </c>
      <c r="CD1130" s="167">
        <f>$N1130/4</f>
        <v>0</v>
      </c>
      <c r="CE1130" s="167">
        <f>$N1130/4</f>
        <v>0</v>
      </c>
      <c r="CF1130" s="167">
        <f>$N1130/4</f>
        <v>0</v>
      </c>
      <c r="CG1130" s="167">
        <f>$N1130/4</f>
        <v>0</v>
      </c>
      <c r="CH1130" s="167">
        <v>0</v>
      </c>
      <c r="CI1130" s="167">
        <v>0</v>
      </c>
      <c r="CJ1130" s="167">
        <v>0</v>
      </c>
      <c r="CK1130" s="167">
        <v>0</v>
      </c>
      <c r="CL1130" s="167">
        <v>0</v>
      </c>
      <c r="CM1130" s="167">
        <v>0</v>
      </c>
      <c r="CN1130" s="167">
        <v>0</v>
      </c>
      <c r="CO1130" s="167">
        <v>0</v>
      </c>
      <c r="CP1130" s="167">
        <v>0</v>
      </c>
      <c r="CQ1130" s="167">
        <v>0</v>
      </c>
      <c r="CR1130" s="167">
        <v>0</v>
      </c>
      <c r="CS1130" s="167">
        <v>0</v>
      </c>
      <c r="CT1130" s="167">
        <v>0</v>
      </c>
      <c r="CU1130" s="167">
        <v>0</v>
      </c>
      <c r="CV1130" s="167">
        <v>0</v>
      </c>
      <c r="CW1130" s="167">
        <v>0</v>
      </c>
      <c r="CX1130" s="167">
        <f>SUM(CD1130:CH1130)</f>
        <v>0</v>
      </c>
      <c r="CY1130" s="167">
        <f>SUM(CD1130:CM1130)</f>
        <v>0</v>
      </c>
    </row>
    <row r="1131" spans="1:103" ht="12.75" customHeight="1" x14ac:dyDescent="0.2">
      <c r="A1131" s="81">
        <v>6734</v>
      </c>
      <c r="B1131" s="165" t="s">
        <v>1930</v>
      </c>
      <c r="C1131" s="165" t="s">
        <v>2939</v>
      </c>
      <c r="E1131" s="165" t="s">
        <v>2940</v>
      </c>
      <c r="G1131" s="81">
        <v>527954</v>
      </c>
      <c r="H1131" s="81">
        <v>171255</v>
      </c>
      <c r="I1131" s="165" t="s">
        <v>253</v>
      </c>
      <c r="L1131" s="166">
        <v>0</v>
      </c>
      <c r="M1131" s="166">
        <v>1</v>
      </c>
      <c r="N1131" s="166">
        <v>1</v>
      </c>
      <c r="O1131" s="166">
        <v>1</v>
      </c>
      <c r="P1131" s="166">
        <v>1</v>
      </c>
      <c r="R1131" s="165" t="s">
        <v>2941</v>
      </c>
      <c r="S1131" s="81" t="s">
        <v>113</v>
      </c>
      <c r="T1131" s="349">
        <v>43011</v>
      </c>
      <c r="U1131" s="349">
        <v>43153</v>
      </c>
      <c r="V1131" s="81" t="s">
        <v>155</v>
      </c>
      <c r="W1131" s="81" t="s">
        <v>114</v>
      </c>
      <c r="Y1131" s="81" t="s">
        <v>115</v>
      </c>
      <c r="Z1131" s="81" t="s">
        <v>398</v>
      </c>
      <c r="AA1131" s="81" t="s">
        <v>117</v>
      </c>
      <c r="AB1131" s="81" t="s">
        <v>336</v>
      </c>
      <c r="AC1131" s="166">
        <v>2.4000000208616298E-2</v>
      </c>
      <c r="AG1131" s="81" t="s">
        <v>238</v>
      </c>
      <c r="AH1131" s="81" t="s">
        <v>118</v>
      </c>
      <c r="AK1131" s="166">
        <v>0</v>
      </c>
      <c r="AM1131" s="166">
        <v>0</v>
      </c>
      <c r="AO1131" s="166">
        <v>0</v>
      </c>
      <c r="AP1131" s="166">
        <v>0</v>
      </c>
      <c r="AQ1131" s="166">
        <v>0</v>
      </c>
      <c r="AR1131" s="166">
        <v>0</v>
      </c>
      <c r="AS1131" s="166">
        <v>1</v>
      </c>
      <c r="AT1131" s="166">
        <v>0</v>
      </c>
      <c r="AU1131" s="166">
        <v>0</v>
      </c>
      <c r="AV1131" s="166">
        <v>0</v>
      </c>
      <c r="AW1131" s="166">
        <v>0</v>
      </c>
      <c r="AX1131" s="166">
        <v>0</v>
      </c>
      <c r="AY1131" s="166">
        <v>0</v>
      </c>
      <c r="AZ1131" s="166">
        <v>0</v>
      </c>
      <c r="BA1131" s="166">
        <v>0</v>
      </c>
      <c r="BB1131" s="166">
        <v>0</v>
      </c>
      <c r="BC1131" s="166">
        <v>0</v>
      </c>
      <c r="BD1131" s="166">
        <v>0</v>
      </c>
      <c r="BE1131" s="166">
        <v>0</v>
      </c>
      <c r="BF1131" s="166">
        <v>0</v>
      </c>
      <c r="BG1131" s="166">
        <v>1</v>
      </c>
      <c r="BH1131" s="166">
        <v>0</v>
      </c>
      <c r="BI1131" s="166">
        <v>0</v>
      </c>
      <c r="BJ1131" s="166">
        <v>0</v>
      </c>
      <c r="BK1131" s="166">
        <v>0</v>
      </c>
      <c r="BL1131" s="166">
        <v>0</v>
      </c>
      <c r="BM1131" s="166">
        <v>0</v>
      </c>
      <c r="BN1131" s="166">
        <v>0</v>
      </c>
      <c r="BO1131" s="166">
        <v>0</v>
      </c>
      <c r="BP1131" s="166">
        <v>0</v>
      </c>
      <c r="BQ1131" s="81" t="s">
        <v>1757</v>
      </c>
      <c r="BZ1131" s="81" t="s">
        <v>155</v>
      </c>
      <c r="CA1131" s="81" t="s">
        <v>1937</v>
      </c>
      <c r="CC1131" s="167">
        <v>0</v>
      </c>
      <c r="CD1131" s="167">
        <f>$N1131/4</f>
        <v>0.25</v>
      </c>
      <c r="CE1131" s="167">
        <f>$N1131/4</f>
        <v>0.25</v>
      </c>
      <c r="CF1131" s="167">
        <f>$N1131/4</f>
        <v>0.25</v>
      </c>
      <c r="CG1131" s="167">
        <f>$N1131/4</f>
        <v>0.25</v>
      </c>
      <c r="CH1131" s="167">
        <v>0</v>
      </c>
      <c r="CI1131" s="167">
        <v>0</v>
      </c>
      <c r="CJ1131" s="167">
        <v>0</v>
      </c>
      <c r="CK1131" s="167">
        <v>0</v>
      </c>
      <c r="CL1131" s="167">
        <v>0</v>
      </c>
      <c r="CM1131" s="167">
        <v>0</v>
      </c>
      <c r="CN1131" s="167">
        <v>0</v>
      </c>
      <c r="CO1131" s="167">
        <v>0</v>
      </c>
      <c r="CP1131" s="167">
        <v>0</v>
      </c>
      <c r="CQ1131" s="167">
        <v>0</v>
      </c>
      <c r="CR1131" s="167">
        <v>0</v>
      </c>
      <c r="CS1131" s="167">
        <v>0</v>
      </c>
      <c r="CT1131" s="167">
        <v>0</v>
      </c>
      <c r="CU1131" s="167">
        <v>0</v>
      </c>
      <c r="CV1131" s="167">
        <v>0</v>
      </c>
      <c r="CW1131" s="167">
        <v>0</v>
      </c>
      <c r="CX1131" s="167">
        <f>SUM(CD1131:CH1131)</f>
        <v>1</v>
      </c>
      <c r="CY1131" s="167">
        <f>SUM(CD1131:CM1131)</f>
        <v>1</v>
      </c>
    </row>
    <row r="1132" spans="1:103" ht="12.75" customHeight="1" x14ac:dyDescent="0.2">
      <c r="A1132" s="81">
        <v>6739</v>
      </c>
      <c r="B1132" s="165" t="s">
        <v>1930</v>
      </c>
      <c r="C1132" s="165" t="s">
        <v>3460</v>
      </c>
      <c r="E1132" s="165" t="s">
        <v>3458</v>
      </c>
      <c r="G1132" s="81">
        <v>528376</v>
      </c>
      <c r="H1132" s="81">
        <v>173160</v>
      </c>
      <c r="I1132" s="165" t="s">
        <v>254</v>
      </c>
      <c r="L1132" s="166">
        <v>0</v>
      </c>
      <c r="M1132" s="166">
        <v>71</v>
      </c>
      <c r="N1132" s="166">
        <v>71</v>
      </c>
      <c r="O1132" s="166">
        <v>71</v>
      </c>
      <c r="P1132" s="166">
        <v>71</v>
      </c>
      <c r="Q1132" s="81" t="s">
        <v>155</v>
      </c>
      <c r="R1132" s="165" t="s">
        <v>3461</v>
      </c>
      <c r="S1132" s="81" t="s">
        <v>270</v>
      </c>
      <c r="T1132" s="349">
        <v>43047</v>
      </c>
      <c r="U1132" s="349">
        <v>43089</v>
      </c>
      <c r="V1132" s="81" t="s">
        <v>155</v>
      </c>
      <c r="W1132" s="81" t="s">
        <v>114</v>
      </c>
      <c r="Y1132" s="81" t="s">
        <v>115</v>
      </c>
      <c r="Z1132" s="81" t="s">
        <v>310</v>
      </c>
      <c r="AA1132" s="81" t="s">
        <v>1764</v>
      </c>
      <c r="AB1132" s="81" t="s">
        <v>117</v>
      </c>
      <c r="AC1132" s="166">
        <v>0.25600001215934798</v>
      </c>
      <c r="AG1132" s="81" t="s">
        <v>238</v>
      </c>
      <c r="AH1132" s="81" t="s">
        <v>118</v>
      </c>
      <c r="AK1132" s="166">
        <v>0</v>
      </c>
      <c r="AM1132" s="166">
        <v>0</v>
      </c>
      <c r="AO1132" s="166">
        <v>33</v>
      </c>
      <c r="AP1132" s="166">
        <v>19</v>
      </c>
      <c r="AQ1132" s="166">
        <v>18</v>
      </c>
      <c r="AR1132" s="166">
        <v>1</v>
      </c>
      <c r="AS1132" s="166">
        <v>0</v>
      </c>
      <c r="AT1132" s="166">
        <v>0</v>
      </c>
      <c r="AU1132" s="166">
        <v>0</v>
      </c>
      <c r="AV1132" s="166">
        <v>33</v>
      </c>
      <c r="AW1132" s="166">
        <v>19</v>
      </c>
      <c r="AX1132" s="166">
        <v>18</v>
      </c>
      <c r="AY1132" s="166">
        <v>1</v>
      </c>
      <c r="AZ1132" s="166">
        <v>0</v>
      </c>
      <c r="BA1132" s="166">
        <v>0</v>
      </c>
      <c r="BB1132" s="166">
        <v>0</v>
      </c>
      <c r="BC1132" s="166">
        <v>0</v>
      </c>
      <c r="BD1132" s="166">
        <v>0</v>
      </c>
      <c r="BE1132" s="166">
        <v>0</v>
      </c>
      <c r="BF1132" s="166">
        <v>0</v>
      </c>
      <c r="BG1132" s="166">
        <v>0</v>
      </c>
      <c r="BH1132" s="166">
        <v>0</v>
      </c>
      <c r="BI1132" s="166">
        <v>0</v>
      </c>
      <c r="BJ1132" s="166">
        <v>0</v>
      </c>
      <c r="BK1132" s="166">
        <v>0</v>
      </c>
      <c r="BL1132" s="166">
        <v>0</v>
      </c>
      <c r="BM1132" s="166">
        <v>0</v>
      </c>
      <c r="BN1132" s="166">
        <v>0</v>
      </c>
      <c r="BO1132" s="166">
        <v>0</v>
      </c>
      <c r="BP1132" s="166">
        <v>0</v>
      </c>
      <c r="BQ1132" s="81" t="s">
        <v>1757</v>
      </c>
      <c r="BZ1132" s="81" t="s">
        <v>155</v>
      </c>
      <c r="CA1132" s="81" t="s">
        <v>3972</v>
      </c>
      <c r="CC1132" s="167">
        <v>0</v>
      </c>
      <c r="CD1132" s="167">
        <f>$N1132/4</f>
        <v>17.75</v>
      </c>
      <c r="CE1132" s="167">
        <f>$N1132/4</f>
        <v>17.75</v>
      </c>
      <c r="CF1132" s="167">
        <f>$N1132/4</f>
        <v>17.75</v>
      </c>
      <c r="CG1132" s="167">
        <f>$N1132/4</f>
        <v>17.75</v>
      </c>
      <c r="CH1132" s="167">
        <v>0</v>
      </c>
      <c r="CI1132" s="167">
        <v>0</v>
      </c>
      <c r="CJ1132" s="167">
        <v>0</v>
      </c>
      <c r="CK1132" s="167">
        <v>0</v>
      </c>
      <c r="CL1132" s="167">
        <v>0</v>
      </c>
      <c r="CM1132" s="167">
        <v>0</v>
      </c>
      <c r="CN1132" s="167">
        <v>0</v>
      </c>
      <c r="CO1132" s="167">
        <v>0</v>
      </c>
      <c r="CP1132" s="167">
        <v>0</v>
      </c>
      <c r="CQ1132" s="167">
        <v>0</v>
      </c>
      <c r="CR1132" s="167">
        <v>0</v>
      </c>
      <c r="CS1132" s="167">
        <v>0</v>
      </c>
      <c r="CT1132" s="167">
        <v>0</v>
      </c>
      <c r="CU1132" s="167">
        <v>0</v>
      </c>
      <c r="CV1132" s="167">
        <v>0</v>
      </c>
      <c r="CW1132" s="167">
        <v>0</v>
      </c>
      <c r="CX1132" s="167">
        <f>SUM(CD1132:CH1132)</f>
        <v>71</v>
      </c>
      <c r="CY1132" s="167">
        <f>SUM(CD1132:CM1132)</f>
        <v>71</v>
      </c>
    </row>
    <row r="1133" spans="1:103" ht="12.75" customHeight="1" x14ac:dyDescent="0.2">
      <c r="A1133" s="81">
        <v>6745</v>
      </c>
      <c r="B1133" s="165" t="s">
        <v>1930</v>
      </c>
      <c r="C1133" s="165" t="s">
        <v>2964</v>
      </c>
      <c r="E1133" s="165" t="s">
        <v>2965</v>
      </c>
      <c r="G1133" s="81">
        <v>527847</v>
      </c>
      <c r="H1133" s="81">
        <v>173159</v>
      </c>
      <c r="I1133" s="165" t="s">
        <v>254</v>
      </c>
      <c r="L1133" s="166">
        <v>3</v>
      </c>
      <c r="M1133" s="166">
        <v>1</v>
      </c>
      <c r="N1133" s="166">
        <v>-2</v>
      </c>
      <c r="O1133" s="166">
        <v>1</v>
      </c>
      <c r="P1133" s="166">
        <v>-2</v>
      </c>
      <c r="R1133" s="165" t="s">
        <v>2966</v>
      </c>
      <c r="S1133" s="81" t="s">
        <v>113</v>
      </c>
      <c r="T1133" s="349">
        <v>43056</v>
      </c>
      <c r="U1133" s="349">
        <v>43112</v>
      </c>
      <c r="V1133" s="81" t="s">
        <v>155</v>
      </c>
      <c r="W1133" s="81" t="s">
        <v>114</v>
      </c>
      <c r="Y1133" s="81" t="s">
        <v>115</v>
      </c>
      <c r="Z1133" s="81" t="s">
        <v>119</v>
      </c>
      <c r="AA1133" s="81" t="s">
        <v>117</v>
      </c>
      <c r="AB1133" s="81" t="s">
        <v>336</v>
      </c>
      <c r="AC1133" s="166">
        <v>2.8999999165535001E-2</v>
      </c>
      <c r="AG1133" s="81" t="s">
        <v>238</v>
      </c>
      <c r="AH1133" s="81" t="s">
        <v>118</v>
      </c>
      <c r="AK1133" s="166">
        <v>0</v>
      </c>
      <c r="AM1133" s="166">
        <v>0</v>
      </c>
      <c r="AO1133" s="166">
        <v>-1</v>
      </c>
      <c r="AP1133" s="166">
        <v>0</v>
      </c>
      <c r="AQ1133" s="166">
        <v>-2</v>
      </c>
      <c r="AR1133" s="166">
        <v>0</v>
      </c>
      <c r="AS1133" s="166">
        <v>1</v>
      </c>
      <c r="AT1133" s="166">
        <v>0</v>
      </c>
      <c r="AU1133" s="166">
        <v>0</v>
      </c>
      <c r="AV1133" s="166">
        <v>-1</v>
      </c>
      <c r="AW1133" s="166">
        <v>0</v>
      </c>
      <c r="AX1133" s="166">
        <v>-2</v>
      </c>
      <c r="AY1133" s="166">
        <v>0</v>
      </c>
      <c r="AZ1133" s="166">
        <v>0</v>
      </c>
      <c r="BA1133" s="166">
        <v>0</v>
      </c>
      <c r="BB1133" s="166">
        <v>0</v>
      </c>
      <c r="BC1133" s="166">
        <v>0</v>
      </c>
      <c r="BD1133" s="166">
        <v>0</v>
      </c>
      <c r="BE1133" s="166">
        <v>0</v>
      </c>
      <c r="BF1133" s="166">
        <v>0</v>
      </c>
      <c r="BG1133" s="166">
        <v>1</v>
      </c>
      <c r="BH1133" s="166">
        <v>0</v>
      </c>
      <c r="BI1133" s="166">
        <v>0</v>
      </c>
      <c r="BJ1133" s="166">
        <v>0</v>
      </c>
      <c r="BK1133" s="166">
        <v>0</v>
      </c>
      <c r="BL1133" s="166">
        <v>0</v>
      </c>
      <c r="BM1133" s="166">
        <v>0</v>
      </c>
      <c r="BN1133" s="166">
        <v>0</v>
      </c>
      <c r="BO1133" s="166">
        <v>0</v>
      </c>
      <c r="BP1133" s="166">
        <v>0</v>
      </c>
      <c r="BQ1133" s="81" t="s">
        <v>1757</v>
      </c>
      <c r="BZ1133" s="81" t="s">
        <v>155</v>
      </c>
      <c r="CA1133" s="81" t="s">
        <v>1937</v>
      </c>
      <c r="CC1133" s="167">
        <v>0</v>
      </c>
      <c r="CD1133" s="167">
        <f>$N1133/4</f>
        <v>-0.5</v>
      </c>
      <c r="CE1133" s="167">
        <f>$N1133/4</f>
        <v>-0.5</v>
      </c>
      <c r="CF1133" s="167">
        <f>$N1133/4</f>
        <v>-0.5</v>
      </c>
      <c r="CG1133" s="167">
        <f>$N1133/4</f>
        <v>-0.5</v>
      </c>
      <c r="CH1133" s="167">
        <v>0</v>
      </c>
      <c r="CI1133" s="167">
        <v>0</v>
      </c>
      <c r="CJ1133" s="167">
        <v>0</v>
      </c>
      <c r="CK1133" s="167">
        <v>0</v>
      </c>
      <c r="CL1133" s="167">
        <v>0</v>
      </c>
      <c r="CM1133" s="167">
        <v>0</v>
      </c>
      <c r="CN1133" s="167">
        <v>0</v>
      </c>
      <c r="CO1133" s="167">
        <v>0</v>
      </c>
      <c r="CP1133" s="167">
        <v>0</v>
      </c>
      <c r="CQ1133" s="167">
        <v>0</v>
      </c>
      <c r="CR1133" s="167">
        <v>0</v>
      </c>
      <c r="CS1133" s="167">
        <v>0</v>
      </c>
      <c r="CT1133" s="167">
        <v>0</v>
      </c>
      <c r="CU1133" s="167">
        <v>0</v>
      </c>
      <c r="CV1133" s="167">
        <v>0</v>
      </c>
      <c r="CW1133" s="167">
        <v>0</v>
      </c>
      <c r="CX1133" s="167">
        <f>SUM(CD1133:CH1133)</f>
        <v>-2</v>
      </c>
      <c r="CY1133" s="167">
        <f>SUM(CD1133:CM1133)</f>
        <v>-2</v>
      </c>
    </row>
    <row r="1134" spans="1:103" ht="12.75" customHeight="1" x14ac:dyDescent="0.2">
      <c r="A1134" s="81">
        <v>6748</v>
      </c>
      <c r="B1134" s="165" t="s">
        <v>1930</v>
      </c>
      <c r="C1134" s="165" t="s">
        <v>2942</v>
      </c>
      <c r="E1134" s="165" t="s">
        <v>3960</v>
      </c>
      <c r="F1134" s="165" t="s">
        <v>2943</v>
      </c>
      <c r="G1134" s="81">
        <v>524016</v>
      </c>
      <c r="H1134" s="81">
        <v>175204</v>
      </c>
      <c r="I1134" s="165" t="s">
        <v>259</v>
      </c>
      <c r="L1134" s="166">
        <v>5</v>
      </c>
      <c r="M1134" s="166">
        <v>5</v>
      </c>
      <c r="N1134" s="166">
        <v>0</v>
      </c>
      <c r="O1134" s="166">
        <v>9</v>
      </c>
      <c r="P1134" s="166">
        <v>4</v>
      </c>
      <c r="R1134" s="165" t="s">
        <v>2944</v>
      </c>
      <c r="S1134" s="81" t="s">
        <v>113</v>
      </c>
      <c r="T1134" s="349">
        <v>43056</v>
      </c>
      <c r="U1134" s="349">
        <v>43112</v>
      </c>
      <c r="V1134" s="81" t="s">
        <v>155</v>
      </c>
      <c r="W1134" s="81" t="s">
        <v>114</v>
      </c>
      <c r="Y1134" s="81" t="s">
        <v>115</v>
      </c>
      <c r="Z1134" s="81" t="s">
        <v>398</v>
      </c>
      <c r="AA1134" s="81" t="s">
        <v>117</v>
      </c>
      <c r="AB1134" s="81" t="s">
        <v>220</v>
      </c>
      <c r="AC1134" s="166">
        <v>4.3000001460313797E-2</v>
      </c>
      <c r="AG1134" s="81" t="s">
        <v>238</v>
      </c>
      <c r="AH1134" s="81" t="s">
        <v>118</v>
      </c>
      <c r="AK1134" s="166">
        <v>0</v>
      </c>
      <c r="AM1134" s="166">
        <v>0</v>
      </c>
      <c r="AO1134" s="166">
        <v>0</v>
      </c>
      <c r="AP1134" s="166">
        <v>-4</v>
      </c>
      <c r="AQ1134" s="166">
        <v>3</v>
      </c>
      <c r="AR1134" s="166">
        <v>1</v>
      </c>
      <c r="AS1134" s="166">
        <v>0</v>
      </c>
      <c r="AT1134" s="166">
        <v>0</v>
      </c>
      <c r="AU1134" s="166">
        <v>0</v>
      </c>
      <c r="AV1134" s="166">
        <v>0</v>
      </c>
      <c r="AW1134" s="166">
        <v>-4</v>
      </c>
      <c r="AX1134" s="166">
        <v>3</v>
      </c>
      <c r="AY1134" s="166">
        <v>1</v>
      </c>
      <c r="AZ1134" s="166">
        <v>0</v>
      </c>
      <c r="BA1134" s="166">
        <v>0</v>
      </c>
      <c r="BB1134" s="166">
        <v>0</v>
      </c>
      <c r="BC1134" s="166">
        <v>0</v>
      </c>
      <c r="BD1134" s="166">
        <v>0</v>
      </c>
      <c r="BE1134" s="166">
        <v>0</v>
      </c>
      <c r="BF1134" s="166">
        <v>0</v>
      </c>
      <c r="BG1134" s="166">
        <v>0</v>
      </c>
      <c r="BH1134" s="166">
        <v>0</v>
      </c>
      <c r="BI1134" s="166">
        <v>0</v>
      </c>
      <c r="BJ1134" s="166">
        <v>0</v>
      </c>
      <c r="BK1134" s="166">
        <v>0</v>
      </c>
      <c r="BL1134" s="166">
        <v>0</v>
      </c>
      <c r="BM1134" s="166">
        <v>0</v>
      </c>
      <c r="BN1134" s="166">
        <v>0</v>
      </c>
      <c r="BO1134" s="166">
        <v>0</v>
      </c>
      <c r="BP1134" s="166">
        <v>0</v>
      </c>
      <c r="BQ1134" s="81" t="s">
        <v>1758</v>
      </c>
      <c r="BR1134" s="81" t="s">
        <v>161</v>
      </c>
      <c r="BZ1134" s="81" t="s">
        <v>155</v>
      </c>
      <c r="CA1134" s="81" t="s">
        <v>1957</v>
      </c>
      <c r="CC1134" s="167">
        <v>0</v>
      </c>
      <c r="CD1134" s="167">
        <v>0</v>
      </c>
      <c r="CE1134" s="167">
        <f>N1134</f>
        <v>0</v>
      </c>
      <c r="CF1134" s="167">
        <v>0</v>
      </c>
      <c r="CG1134" s="167">
        <v>0</v>
      </c>
      <c r="CH1134" s="167">
        <v>0</v>
      </c>
      <c r="CI1134" s="167">
        <v>0</v>
      </c>
      <c r="CJ1134" s="167">
        <v>0</v>
      </c>
      <c r="CK1134" s="167">
        <v>0</v>
      </c>
      <c r="CL1134" s="167">
        <v>0</v>
      </c>
      <c r="CM1134" s="167">
        <v>0</v>
      </c>
      <c r="CN1134" s="167">
        <v>0</v>
      </c>
      <c r="CO1134" s="167">
        <v>0</v>
      </c>
      <c r="CP1134" s="167">
        <v>0</v>
      </c>
      <c r="CQ1134" s="167">
        <v>0</v>
      </c>
      <c r="CR1134" s="167">
        <v>0</v>
      </c>
      <c r="CS1134" s="167">
        <v>0</v>
      </c>
      <c r="CT1134" s="167">
        <v>0</v>
      </c>
      <c r="CU1134" s="167">
        <v>0</v>
      </c>
      <c r="CV1134" s="167">
        <v>0</v>
      </c>
      <c r="CW1134" s="167">
        <v>0</v>
      </c>
      <c r="CX1134" s="167">
        <f>SUM(CD1134:CH1134)</f>
        <v>0</v>
      </c>
      <c r="CY1134" s="167">
        <f>SUM(CD1134:CM1134)</f>
        <v>0</v>
      </c>
    </row>
    <row r="1135" spans="1:103" ht="12.75" customHeight="1" x14ac:dyDescent="0.2">
      <c r="A1135" s="81">
        <v>6748</v>
      </c>
      <c r="B1135" s="165" t="s">
        <v>1930</v>
      </c>
      <c r="C1135" s="165" t="s">
        <v>2942</v>
      </c>
      <c r="E1135" s="165" t="s">
        <v>3960</v>
      </c>
      <c r="F1135" s="165" t="s">
        <v>2945</v>
      </c>
      <c r="G1135" s="81">
        <v>524016</v>
      </c>
      <c r="H1135" s="81">
        <v>175204</v>
      </c>
      <c r="I1135" s="165" t="s">
        <v>259</v>
      </c>
      <c r="L1135" s="166">
        <v>0</v>
      </c>
      <c r="M1135" s="166">
        <v>4</v>
      </c>
      <c r="N1135" s="166">
        <v>4</v>
      </c>
      <c r="O1135" s="166">
        <v>9</v>
      </c>
      <c r="P1135" s="166">
        <v>4</v>
      </c>
      <c r="R1135" s="165" t="s">
        <v>2944</v>
      </c>
      <c r="S1135" s="81" t="s">
        <v>113</v>
      </c>
      <c r="T1135" s="349">
        <v>43056</v>
      </c>
      <c r="U1135" s="349">
        <v>43112</v>
      </c>
      <c r="V1135" s="81" t="s">
        <v>155</v>
      </c>
      <c r="W1135" s="81" t="s">
        <v>114</v>
      </c>
      <c r="Y1135" s="81" t="s">
        <v>115</v>
      </c>
      <c r="Z1135" s="81" t="s">
        <v>398</v>
      </c>
      <c r="AA1135" s="81" t="s">
        <v>117</v>
      </c>
      <c r="AB1135" s="81" t="s">
        <v>220</v>
      </c>
      <c r="AC1135" s="166">
        <v>3.4000001847744002E-2</v>
      </c>
      <c r="AG1135" s="81" t="s">
        <v>238</v>
      </c>
      <c r="AH1135" s="81" t="s">
        <v>118</v>
      </c>
      <c r="AK1135" s="166">
        <v>0</v>
      </c>
      <c r="AM1135" s="166">
        <v>0</v>
      </c>
      <c r="AO1135" s="166">
        <v>0</v>
      </c>
      <c r="AP1135" s="166">
        <v>0</v>
      </c>
      <c r="AQ1135" s="166">
        <v>3</v>
      </c>
      <c r="AR1135" s="166">
        <v>1</v>
      </c>
      <c r="AS1135" s="166">
        <v>0</v>
      </c>
      <c r="AT1135" s="166">
        <v>0</v>
      </c>
      <c r="AU1135" s="166">
        <v>0</v>
      </c>
      <c r="AV1135" s="166">
        <v>0</v>
      </c>
      <c r="AW1135" s="166">
        <v>0</v>
      </c>
      <c r="AX1135" s="166">
        <v>3</v>
      </c>
      <c r="AY1135" s="166">
        <v>1</v>
      </c>
      <c r="AZ1135" s="166">
        <v>0</v>
      </c>
      <c r="BA1135" s="166">
        <v>0</v>
      </c>
      <c r="BB1135" s="166">
        <v>0</v>
      </c>
      <c r="BC1135" s="166">
        <v>0</v>
      </c>
      <c r="BD1135" s="166">
        <v>0</v>
      </c>
      <c r="BE1135" s="166">
        <v>0</v>
      </c>
      <c r="BF1135" s="166">
        <v>0</v>
      </c>
      <c r="BG1135" s="166">
        <v>0</v>
      </c>
      <c r="BH1135" s="166">
        <v>0</v>
      </c>
      <c r="BI1135" s="166">
        <v>0</v>
      </c>
      <c r="BJ1135" s="166">
        <v>0</v>
      </c>
      <c r="BK1135" s="166">
        <v>0</v>
      </c>
      <c r="BL1135" s="166">
        <v>0</v>
      </c>
      <c r="BM1135" s="166">
        <v>0</v>
      </c>
      <c r="BN1135" s="166">
        <v>0</v>
      </c>
      <c r="BO1135" s="166">
        <v>0</v>
      </c>
      <c r="BP1135" s="166">
        <v>0</v>
      </c>
      <c r="BQ1135" s="81" t="s">
        <v>1758</v>
      </c>
      <c r="BR1135" s="81" t="s">
        <v>161</v>
      </c>
      <c r="BZ1135" s="81" t="s">
        <v>155</v>
      </c>
      <c r="CA1135" s="81" t="s">
        <v>1957</v>
      </c>
      <c r="CC1135" s="167">
        <v>0</v>
      </c>
      <c r="CD1135" s="167">
        <v>0</v>
      </c>
      <c r="CE1135" s="167">
        <f>N1135</f>
        <v>4</v>
      </c>
      <c r="CF1135" s="167">
        <v>0</v>
      </c>
      <c r="CG1135" s="167">
        <v>0</v>
      </c>
      <c r="CH1135" s="167">
        <v>0</v>
      </c>
      <c r="CI1135" s="167">
        <v>0</v>
      </c>
      <c r="CJ1135" s="167">
        <v>0</v>
      </c>
      <c r="CK1135" s="167">
        <v>0</v>
      </c>
      <c r="CL1135" s="167">
        <v>0</v>
      </c>
      <c r="CM1135" s="167">
        <v>0</v>
      </c>
      <c r="CN1135" s="167">
        <v>0</v>
      </c>
      <c r="CO1135" s="167">
        <v>0</v>
      </c>
      <c r="CP1135" s="167">
        <v>0</v>
      </c>
      <c r="CQ1135" s="167">
        <v>0</v>
      </c>
      <c r="CR1135" s="167">
        <v>0</v>
      </c>
      <c r="CS1135" s="167">
        <v>0</v>
      </c>
      <c r="CT1135" s="167">
        <v>0</v>
      </c>
      <c r="CU1135" s="167">
        <v>0</v>
      </c>
      <c r="CV1135" s="167">
        <v>0</v>
      </c>
      <c r="CW1135" s="167">
        <v>0</v>
      </c>
      <c r="CX1135" s="167">
        <f>SUM(CD1135:CH1135)</f>
        <v>4</v>
      </c>
      <c r="CY1135" s="167">
        <f>SUM(CD1135:CM1135)</f>
        <v>4</v>
      </c>
    </row>
    <row r="1136" spans="1:103" ht="12.75" customHeight="1" x14ac:dyDescent="0.2">
      <c r="A1136" s="81">
        <v>6751</v>
      </c>
      <c r="B1136" s="165" t="s">
        <v>1930</v>
      </c>
      <c r="C1136" s="165" t="s">
        <v>2946</v>
      </c>
      <c r="E1136" s="165" t="s">
        <v>2947</v>
      </c>
      <c r="G1136" s="81">
        <v>527935</v>
      </c>
      <c r="H1136" s="81">
        <v>175416</v>
      </c>
      <c r="I1136" s="165" t="s">
        <v>256</v>
      </c>
      <c r="L1136" s="166">
        <v>0</v>
      </c>
      <c r="M1136" s="166">
        <v>7</v>
      </c>
      <c r="N1136" s="166">
        <v>7</v>
      </c>
      <c r="O1136" s="166">
        <v>7</v>
      </c>
      <c r="P1136" s="166">
        <v>7</v>
      </c>
      <c r="R1136" s="165" t="s">
        <v>2948</v>
      </c>
      <c r="S1136" s="81" t="s">
        <v>113</v>
      </c>
      <c r="T1136" s="349">
        <v>43060</v>
      </c>
      <c r="U1136" s="349">
        <v>43164</v>
      </c>
      <c r="V1136" s="81" t="s">
        <v>155</v>
      </c>
      <c r="W1136" s="81" t="s">
        <v>114</v>
      </c>
      <c r="Y1136" s="81" t="s">
        <v>115</v>
      </c>
      <c r="Z1136" s="81" t="s">
        <v>398</v>
      </c>
      <c r="AA1136" s="81" t="s">
        <v>117</v>
      </c>
      <c r="AB1136" s="81" t="s">
        <v>311</v>
      </c>
      <c r="AC1136" s="166">
        <v>2.0999999716877899E-2</v>
      </c>
      <c r="AG1136" s="81" t="s">
        <v>238</v>
      </c>
      <c r="AH1136" s="81" t="s">
        <v>118</v>
      </c>
      <c r="AK1136" s="166">
        <v>0</v>
      </c>
      <c r="AM1136" s="166">
        <v>0</v>
      </c>
      <c r="AO1136" s="166">
        <v>4</v>
      </c>
      <c r="AP1136" s="166">
        <v>1</v>
      </c>
      <c r="AQ1136" s="166">
        <v>2</v>
      </c>
      <c r="AR1136" s="166">
        <v>0</v>
      </c>
      <c r="AS1136" s="166">
        <v>0</v>
      </c>
      <c r="AT1136" s="166">
        <v>0</v>
      </c>
      <c r="AU1136" s="166">
        <v>0</v>
      </c>
      <c r="AV1136" s="166">
        <v>4</v>
      </c>
      <c r="AW1136" s="166">
        <v>1</v>
      </c>
      <c r="AX1136" s="166">
        <v>2</v>
      </c>
      <c r="AY1136" s="166">
        <v>0</v>
      </c>
      <c r="AZ1136" s="166">
        <v>0</v>
      </c>
      <c r="BA1136" s="166">
        <v>0</v>
      </c>
      <c r="BB1136" s="166">
        <v>0</v>
      </c>
      <c r="BC1136" s="166">
        <v>0</v>
      </c>
      <c r="BD1136" s="166">
        <v>0</v>
      </c>
      <c r="BE1136" s="166">
        <v>0</v>
      </c>
      <c r="BF1136" s="166">
        <v>0</v>
      </c>
      <c r="BG1136" s="166">
        <v>0</v>
      </c>
      <c r="BH1136" s="166">
        <v>0</v>
      </c>
      <c r="BI1136" s="166">
        <v>0</v>
      </c>
      <c r="BJ1136" s="166">
        <v>0</v>
      </c>
      <c r="BK1136" s="166">
        <v>0</v>
      </c>
      <c r="BL1136" s="166">
        <v>0</v>
      </c>
      <c r="BM1136" s="166">
        <v>0</v>
      </c>
      <c r="BN1136" s="166">
        <v>0</v>
      </c>
      <c r="BO1136" s="166">
        <v>0</v>
      </c>
      <c r="BP1136" s="166">
        <v>0</v>
      </c>
      <c r="BQ1136" s="81" t="s">
        <v>1757</v>
      </c>
      <c r="BZ1136" s="81" t="s">
        <v>155</v>
      </c>
      <c r="CA1136" s="81" t="s">
        <v>3972</v>
      </c>
      <c r="CC1136" s="167">
        <v>0</v>
      </c>
      <c r="CD1136" s="167">
        <f>$N1136/4</f>
        <v>1.75</v>
      </c>
      <c r="CE1136" s="167">
        <f>$N1136/4</f>
        <v>1.75</v>
      </c>
      <c r="CF1136" s="167">
        <f>$N1136/4</f>
        <v>1.75</v>
      </c>
      <c r="CG1136" s="167">
        <f>$N1136/4</f>
        <v>1.75</v>
      </c>
      <c r="CH1136" s="167">
        <v>0</v>
      </c>
      <c r="CI1136" s="167">
        <v>0</v>
      </c>
      <c r="CJ1136" s="167">
        <v>0</v>
      </c>
      <c r="CK1136" s="167">
        <v>0</v>
      </c>
      <c r="CL1136" s="167">
        <v>0</v>
      </c>
      <c r="CM1136" s="167">
        <v>0</v>
      </c>
      <c r="CN1136" s="167">
        <v>0</v>
      </c>
      <c r="CO1136" s="167">
        <v>0</v>
      </c>
      <c r="CP1136" s="167">
        <v>0</v>
      </c>
      <c r="CQ1136" s="167">
        <v>0</v>
      </c>
      <c r="CR1136" s="167">
        <v>0</v>
      </c>
      <c r="CS1136" s="167">
        <v>0</v>
      </c>
      <c r="CT1136" s="167">
        <v>0</v>
      </c>
      <c r="CU1136" s="167">
        <v>0</v>
      </c>
      <c r="CV1136" s="167">
        <v>0</v>
      </c>
      <c r="CW1136" s="167">
        <v>0</v>
      </c>
      <c r="CX1136" s="167">
        <f>SUM(CD1136:CH1136)</f>
        <v>7</v>
      </c>
      <c r="CY1136" s="167">
        <f>SUM(CD1136:CM1136)</f>
        <v>7</v>
      </c>
    </row>
    <row r="1137" spans="1:103" ht="12.75" customHeight="1" x14ac:dyDescent="0.2">
      <c r="A1137" s="81">
        <v>6753</v>
      </c>
      <c r="B1137" s="165" t="s">
        <v>1930</v>
      </c>
      <c r="C1137" s="165" t="s">
        <v>2949</v>
      </c>
      <c r="E1137" s="165" t="s">
        <v>2950</v>
      </c>
      <c r="G1137" s="81">
        <v>525803</v>
      </c>
      <c r="H1137" s="81">
        <v>174168</v>
      </c>
      <c r="I1137" s="165" t="s">
        <v>251</v>
      </c>
      <c r="L1137" s="166">
        <v>0</v>
      </c>
      <c r="M1137" s="166">
        <v>1</v>
      </c>
      <c r="N1137" s="166">
        <v>1</v>
      </c>
      <c r="O1137" s="166">
        <v>1</v>
      </c>
      <c r="P1137" s="166">
        <v>1</v>
      </c>
      <c r="R1137" s="165" t="s">
        <v>2951</v>
      </c>
      <c r="S1137" s="81" t="s">
        <v>113</v>
      </c>
      <c r="T1137" s="349">
        <v>43066</v>
      </c>
      <c r="U1137" s="349">
        <v>43122</v>
      </c>
      <c r="V1137" s="81" t="s">
        <v>155</v>
      </c>
      <c r="W1137" s="81" t="s">
        <v>114</v>
      </c>
      <c r="Y1137" s="81" t="s">
        <v>115</v>
      </c>
      <c r="Z1137" s="81" t="s">
        <v>116</v>
      </c>
      <c r="AA1137" s="81" t="s">
        <v>117</v>
      </c>
      <c r="AB1137" s="81" t="s">
        <v>218</v>
      </c>
      <c r="AC1137" s="166">
        <v>8.9999996125698107E-3</v>
      </c>
      <c r="AG1137" s="81" t="s">
        <v>238</v>
      </c>
      <c r="AH1137" s="81" t="s">
        <v>118</v>
      </c>
      <c r="AK1137" s="166">
        <v>0</v>
      </c>
      <c r="AM1137" s="166">
        <v>0</v>
      </c>
      <c r="AO1137" s="166">
        <v>0</v>
      </c>
      <c r="AP1137" s="166">
        <v>0</v>
      </c>
      <c r="AQ1137" s="166">
        <v>0</v>
      </c>
      <c r="AR1137" s="166">
        <v>1</v>
      </c>
      <c r="AS1137" s="166">
        <v>0</v>
      </c>
      <c r="AT1137" s="166">
        <v>0</v>
      </c>
      <c r="AU1137" s="166">
        <v>0</v>
      </c>
      <c r="AV1137" s="166">
        <v>0</v>
      </c>
      <c r="AW1137" s="166">
        <v>0</v>
      </c>
      <c r="AX1137" s="166">
        <v>0</v>
      </c>
      <c r="AY1137" s="166">
        <v>0</v>
      </c>
      <c r="AZ1137" s="166">
        <v>0</v>
      </c>
      <c r="BA1137" s="166">
        <v>0</v>
      </c>
      <c r="BB1137" s="166">
        <v>0</v>
      </c>
      <c r="BC1137" s="166">
        <v>0</v>
      </c>
      <c r="BD1137" s="166">
        <v>0</v>
      </c>
      <c r="BE1137" s="166">
        <v>0</v>
      </c>
      <c r="BF1137" s="166">
        <v>1</v>
      </c>
      <c r="BG1137" s="166">
        <v>0</v>
      </c>
      <c r="BH1137" s="166">
        <v>0</v>
      </c>
      <c r="BI1137" s="166">
        <v>0</v>
      </c>
      <c r="BJ1137" s="166">
        <v>0</v>
      </c>
      <c r="BK1137" s="166">
        <v>0</v>
      </c>
      <c r="BL1137" s="166">
        <v>0</v>
      </c>
      <c r="BM1137" s="166">
        <v>0</v>
      </c>
      <c r="BN1137" s="166">
        <v>0</v>
      </c>
      <c r="BO1137" s="166">
        <v>0</v>
      </c>
      <c r="BP1137" s="166">
        <v>0</v>
      </c>
      <c r="BQ1137" s="81" t="s">
        <v>1758</v>
      </c>
      <c r="BZ1137" s="81" t="s">
        <v>155</v>
      </c>
      <c r="CA1137" s="81">
        <v>4</v>
      </c>
      <c r="CC1137" s="167">
        <v>0</v>
      </c>
      <c r="CD1137" s="167">
        <v>0</v>
      </c>
      <c r="CE1137" s="167">
        <f>$N1137/4</f>
        <v>0.25</v>
      </c>
      <c r="CF1137" s="167">
        <f>$N1137/4</f>
        <v>0.25</v>
      </c>
      <c r="CG1137" s="167">
        <f>$N1137/4</f>
        <v>0.25</v>
      </c>
      <c r="CH1137" s="167">
        <f>$N1137/4</f>
        <v>0.25</v>
      </c>
      <c r="CI1137" s="167">
        <v>0</v>
      </c>
      <c r="CJ1137" s="167">
        <v>0</v>
      </c>
      <c r="CK1137" s="167">
        <v>0</v>
      </c>
      <c r="CL1137" s="167">
        <v>0</v>
      </c>
      <c r="CM1137" s="167">
        <v>0</v>
      </c>
      <c r="CN1137" s="167">
        <v>0</v>
      </c>
      <c r="CO1137" s="167">
        <v>0</v>
      </c>
      <c r="CP1137" s="167">
        <v>0</v>
      </c>
      <c r="CQ1137" s="167">
        <v>0</v>
      </c>
      <c r="CR1137" s="167">
        <v>0</v>
      </c>
      <c r="CS1137" s="167">
        <v>0</v>
      </c>
      <c r="CT1137" s="167">
        <v>0</v>
      </c>
      <c r="CU1137" s="167">
        <v>0</v>
      </c>
      <c r="CV1137" s="167">
        <v>0</v>
      </c>
      <c r="CW1137" s="167">
        <v>0</v>
      </c>
      <c r="CX1137" s="167">
        <f>SUM(CD1137:CH1137)</f>
        <v>1</v>
      </c>
      <c r="CY1137" s="167">
        <f>SUM(CD1137:CM1137)</f>
        <v>1</v>
      </c>
    </row>
    <row r="1138" spans="1:103" ht="12.75" customHeight="1" x14ac:dyDescent="0.2">
      <c r="A1138" s="81">
        <v>6755</v>
      </c>
      <c r="B1138" s="165" t="s">
        <v>1930</v>
      </c>
      <c r="C1138" s="165" t="s">
        <v>2952</v>
      </c>
      <c r="E1138" s="165" t="s">
        <v>2953</v>
      </c>
      <c r="G1138" s="81">
        <v>526150</v>
      </c>
      <c r="H1138" s="81">
        <v>172704</v>
      </c>
      <c r="I1138" s="165" t="s">
        <v>249</v>
      </c>
      <c r="L1138" s="166">
        <v>0</v>
      </c>
      <c r="M1138" s="166">
        <v>1</v>
      </c>
      <c r="N1138" s="166">
        <v>1</v>
      </c>
      <c r="O1138" s="166">
        <v>1</v>
      </c>
      <c r="P1138" s="166">
        <v>1</v>
      </c>
      <c r="R1138" s="165" t="s">
        <v>2954</v>
      </c>
      <c r="S1138" s="81" t="s">
        <v>113</v>
      </c>
      <c r="T1138" s="349">
        <v>43027</v>
      </c>
      <c r="U1138" s="349">
        <v>43083</v>
      </c>
      <c r="V1138" s="81" t="s">
        <v>155</v>
      </c>
      <c r="W1138" s="81" t="s">
        <v>114</v>
      </c>
      <c r="Y1138" s="81" t="s">
        <v>115</v>
      </c>
      <c r="Z1138" s="81" t="s">
        <v>116</v>
      </c>
      <c r="AA1138" s="81" t="s">
        <v>117</v>
      </c>
      <c r="AB1138" s="81" t="s">
        <v>218</v>
      </c>
      <c r="AC1138" s="166">
        <v>7.0000002160668399E-3</v>
      </c>
      <c r="AG1138" s="81" t="s">
        <v>238</v>
      </c>
      <c r="AH1138" s="81" t="s">
        <v>118</v>
      </c>
      <c r="AK1138" s="166">
        <v>0</v>
      </c>
      <c r="AM1138" s="166">
        <v>0</v>
      </c>
      <c r="AO1138" s="166">
        <v>0</v>
      </c>
      <c r="AP1138" s="166">
        <v>1</v>
      </c>
      <c r="AQ1138" s="166">
        <v>0</v>
      </c>
      <c r="AR1138" s="166">
        <v>0</v>
      </c>
      <c r="AS1138" s="166">
        <v>0</v>
      </c>
      <c r="AT1138" s="166">
        <v>0</v>
      </c>
      <c r="AU1138" s="166">
        <v>0</v>
      </c>
      <c r="AV1138" s="166">
        <v>0</v>
      </c>
      <c r="AW1138" s="166">
        <v>0</v>
      </c>
      <c r="AX1138" s="166">
        <v>0</v>
      </c>
      <c r="AY1138" s="166">
        <v>0</v>
      </c>
      <c r="AZ1138" s="166">
        <v>0</v>
      </c>
      <c r="BA1138" s="166">
        <v>0</v>
      </c>
      <c r="BB1138" s="166">
        <v>0</v>
      </c>
      <c r="BC1138" s="166">
        <v>0</v>
      </c>
      <c r="BD1138" s="166">
        <v>1</v>
      </c>
      <c r="BE1138" s="166">
        <v>0</v>
      </c>
      <c r="BF1138" s="166">
        <v>0</v>
      </c>
      <c r="BG1138" s="166">
        <v>0</v>
      </c>
      <c r="BH1138" s="166">
        <v>0</v>
      </c>
      <c r="BI1138" s="166">
        <v>0</v>
      </c>
      <c r="BJ1138" s="166">
        <v>0</v>
      </c>
      <c r="BK1138" s="166">
        <v>0</v>
      </c>
      <c r="BL1138" s="166">
        <v>0</v>
      </c>
      <c r="BM1138" s="166">
        <v>0</v>
      </c>
      <c r="BN1138" s="166">
        <v>0</v>
      </c>
      <c r="BO1138" s="166">
        <v>0</v>
      </c>
      <c r="BP1138" s="166">
        <v>0</v>
      </c>
      <c r="BQ1138" s="81" t="s">
        <v>1758</v>
      </c>
      <c r="BZ1138" s="81" t="s">
        <v>155</v>
      </c>
      <c r="CA1138" s="81">
        <v>4</v>
      </c>
      <c r="CC1138" s="167">
        <v>0</v>
      </c>
      <c r="CD1138" s="167">
        <v>0</v>
      </c>
      <c r="CE1138" s="167">
        <f>$N1138/4</f>
        <v>0.25</v>
      </c>
      <c r="CF1138" s="167">
        <f>$N1138/4</f>
        <v>0.25</v>
      </c>
      <c r="CG1138" s="167">
        <f>$N1138/4</f>
        <v>0.25</v>
      </c>
      <c r="CH1138" s="167">
        <f>$N1138/4</f>
        <v>0.25</v>
      </c>
      <c r="CI1138" s="167">
        <v>0</v>
      </c>
      <c r="CJ1138" s="167">
        <v>0</v>
      </c>
      <c r="CK1138" s="167">
        <v>0</v>
      </c>
      <c r="CL1138" s="167">
        <v>0</v>
      </c>
      <c r="CM1138" s="167">
        <v>0</v>
      </c>
      <c r="CN1138" s="167">
        <v>0</v>
      </c>
      <c r="CO1138" s="167">
        <v>0</v>
      </c>
      <c r="CP1138" s="167">
        <v>0</v>
      </c>
      <c r="CQ1138" s="167">
        <v>0</v>
      </c>
      <c r="CR1138" s="167">
        <v>0</v>
      </c>
      <c r="CS1138" s="167">
        <v>0</v>
      </c>
      <c r="CT1138" s="167">
        <v>0</v>
      </c>
      <c r="CU1138" s="167">
        <v>0</v>
      </c>
      <c r="CV1138" s="167">
        <v>0</v>
      </c>
      <c r="CW1138" s="167">
        <v>0</v>
      </c>
      <c r="CX1138" s="167">
        <f>SUM(CD1138:CH1138)</f>
        <v>1</v>
      </c>
      <c r="CY1138" s="167">
        <f>SUM(CD1138:CM1138)</f>
        <v>1</v>
      </c>
    </row>
    <row r="1139" spans="1:103" ht="12.75" customHeight="1" x14ac:dyDescent="0.2">
      <c r="A1139" s="81">
        <v>6762</v>
      </c>
      <c r="B1139" s="165" t="s">
        <v>1930</v>
      </c>
      <c r="C1139" s="165" t="s">
        <v>2973</v>
      </c>
      <c r="E1139" s="165" t="s">
        <v>2974</v>
      </c>
      <c r="G1139" s="81">
        <v>529349</v>
      </c>
      <c r="H1139" s="81">
        <v>177575</v>
      </c>
      <c r="I1139" s="165" t="s">
        <v>240</v>
      </c>
      <c r="L1139" s="166">
        <v>3</v>
      </c>
      <c r="M1139" s="166">
        <v>1</v>
      </c>
      <c r="N1139" s="166">
        <v>-2</v>
      </c>
      <c r="O1139" s="166">
        <v>1</v>
      </c>
      <c r="P1139" s="166">
        <v>-2</v>
      </c>
      <c r="R1139" s="165" t="s">
        <v>2975</v>
      </c>
      <c r="S1139" s="81" t="s">
        <v>113</v>
      </c>
      <c r="T1139" s="349">
        <v>43082</v>
      </c>
      <c r="U1139" s="349">
        <v>43138</v>
      </c>
      <c r="V1139" s="81" t="s">
        <v>155</v>
      </c>
      <c r="W1139" s="81" t="s">
        <v>114</v>
      </c>
      <c r="Y1139" s="81" t="s">
        <v>115</v>
      </c>
      <c r="Z1139" s="81" t="s">
        <v>119</v>
      </c>
      <c r="AA1139" s="81" t="s">
        <v>117</v>
      </c>
      <c r="AB1139" s="81" t="s">
        <v>300</v>
      </c>
      <c r="AC1139" s="166">
        <v>1.00000004749745E-3</v>
      </c>
      <c r="AG1139" s="81" t="s">
        <v>238</v>
      </c>
      <c r="AH1139" s="81" t="s">
        <v>118</v>
      </c>
      <c r="AK1139" s="166">
        <v>0</v>
      </c>
      <c r="AM1139" s="166">
        <v>0</v>
      </c>
      <c r="AO1139" s="166">
        <v>0</v>
      </c>
      <c r="AP1139" s="166">
        <v>0</v>
      </c>
      <c r="AQ1139" s="166">
        <v>0</v>
      </c>
      <c r="AR1139" s="166">
        <v>-3</v>
      </c>
      <c r="AS1139" s="166">
        <v>0</v>
      </c>
      <c r="AT1139" s="166">
        <v>1</v>
      </c>
      <c r="AU1139" s="166">
        <v>0</v>
      </c>
      <c r="AV1139" s="166">
        <v>0</v>
      </c>
      <c r="AW1139" s="166">
        <v>0</v>
      </c>
      <c r="AX1139" s="166">
        <v>0</v>
      </c>
      <c r="AY1139" s="166">
        <v>-3</v>
      </c>
      <c r="AZ1139" s="166">
        <v>0</v>
      </c>
      <c r="BA1139" s="166">
        <v>1</v>
      </c>
      <c r="BB1139" s="166">
        <v>0</v>
      </c>
      <c r="BC1139" s="166">
        <v>0</v>
      </c>
      <c r="BD1139" s="166">
        <v>0</v>
      </c>
      <c r="BE1139" s="166">
        <v>0</v>
      </c>
      <c r="BF1139" s="166">
        <v>0</v>
      </c>
      <c r="BG1139" s="166">
        <v>0</v>
      </c>
      <c r="BH1139" s="166">
        <v>0</v>
      </c>
      <c r="BI1139" s="166">
        <v>0</v>
      </c>
      <c r="BJ1139" s="166">
        <v>0</v>
      </c>
      <c r="BK1139" s="166">
        <v>0</v>
      </c>
      <c r="BL1139" s="166">
        <v>0</v>
      </c>
      <c r="BM1139" s="166">
        <v>0</v>
      </c>
      <c r="BN1139" s="166">
        <v>0</v>
      </c>
      <c r="BO1139" s="166">
        <v>0</v>
      </c>
      <c r="BP1139" s="166">
        <v>0</v>
      </c>
      <c r="BQ1139" s="81" t="s">
        <v>1759</v>
      </c>
      <c r="BS1139" s="81" t="s">
        <v>155</v>
      </c>
      <c r="BZ1139" s="81" t="s">
        <v>155</v>
      </c>
      <c r="CA1139" s="81" t="s">
        <v>1937</v>
      </c>
      <c r="CC1139" s="167">
        <v>0</v>
      </c>
      <c r="CD1139" s="167">
        <f>$N1139/4</f>
        <v>-0.5</v>
      </c>
      <c r="CE1139" s="167">
        <f>$N1139/4</f>
        <v>-0.5</v>
      </c>
      <c r="CF1139" s="167">
        <f>$N1139/4</f>
        <v>-0.5</v>
      </c>
      <c r="CG1139" s="167">
        <f>$N1139/4</f>
        <v>-0.5</v>
      </c>
      <c r="CH1139" s="167">
        <v>0</v>
      </c>
      <c r="CI1139" s="167">
        <v>0</v>
      </c>
      <c r="CJ1139" s="167">
        <v>0</v>
      </c>
      <c r="CK1139" s="167">
        <v>0</v>
      </c>
      <c r="CL1139" s="167">
        <v>0</v>
      </c>
      <c r="CM1139" s="167">
        <v>0</v>
      </c>
      <c r="CN1139" s="167">
        <v>0</v>
      </c>
      <c r="CO1139" s="167">
        <v>0</v>
      </c>
      <c r="CP1139" s="167">
        <v>0</v>
      </c>
      <c r="CQ1139" s="167">
        <v>0</v>
      </c>
      <c r="CR1139" s="167">
        <v>0</v>
      </c>
      <c r="CS1139" s="167">
        <v>0</v>
      </c>
      <c r="CT1139" s="167">
        <v>0</v>
      </c>
      <c r="CU1139" s="167">
        <v>0</v>
      </c>
      <c r="CV1139" s="167">
        <v>0</v>
      </c>
      <c r="CW1139" s="167">
        <v>0</v>
      </c>
      <c r="CX1139" s="167">
        <f>SUM(CD1139:CH1139)</f>
        <v>-2</v>
      </c>
      <c r="CY1139" s="167">
        <f>SUM(CD1139:CM1139)</f>
        <v>-2</v>
      </c>
    </row>
    <row r="1140" spans="1:103" ht="12.75" customHeight="1" x14ac:dyDescent="0.2">
      <c r="A1140" s="81">
        <v>6768</v>
      </c>
      <c r="B1140" s="165" t="s">
        <v>1930</v>
      </c>
      <c r="C1140" s="165" t="s">
        <v>2958</v>
      </c>
      <c r="E1140" s="165" t="s">
        <v>2959</v>
      </c>
      <c r="G1140" s="81">
        <v>527850</v>
      </c>
      <c r="H1140" s="81">
        <v>174416</v>
      </c>
      <c r="I1140" s="165" t="s">
        <v>255</v>
      </c>
      <c r="L1140" s="166">
        <v>2</v>
      </c>
      <c r="M1140" s="166">
        <v>1</v>
      </c>
      <c r="N1140" s="166">
        <v>-1</v>
      </c>
      <c r="O1140" s="166">
        <v>1</v>
      </c>
      <c r="P1140" s="166">
        <v>-1</v>
      </c>
      <c r="R1140" s="165" t="s">
        <v>2960</v>
      </c>
      <c r="S1140" s="81" t="s">
        <v>113</v>
      </c>
      <c r="T1140" s="349">
        <v>43090</v>
      </c>
      <c r="U1140" s="349">
        <v>43146</v>
      </c>
      <c r="V1140" s="81" t="s">
        <v>155</v>
      </c>
      <c r="W1140" s="81" t="s">
        <v>114</v>
      </c>
      <c r="Y1140" s="81" t="s">
        <v>115</v>
      </c>
      <c r="Z1140" s="81" t="s">
        <v>398</v>
      </c>
      <c r="AA1140" s="81" t="s">
        <v>117</v>
      </c>
      <c r="AB1140" s="81" t="s">
        <v>336</v>
      </c>
      <c r="AC1140" s="166">
        <v>1.60000007599592E-2</v>
      </c>
      <c r="AG1140" s="81" t="s">
        <v>238</v>
      </c>
      <c r="AH1140" s="81" t="s">
        <v>118</v>
      </c>
      <c r="AK1140" s="166">
        <v>0</v>
      </c>
      <c r="AM1140" s="166">
        <v>0</v>
      </c>
      <c r="AO1140" s="166">
        <v>0</v>
      </c>
      <c r="AP1140" s="166">
        <v>0</v>
      </c>
      <c r="AQ1140" s="166">
        <v>-1</v>
      </c>
      <c r="AR1140" s="166">
        <v>-1</v>
      </c>
      <c r="AS1140" s="166">
        <v>0</v>
      </c>
      <c r="AT1140" s="166">
        <v>1</v>
      </c>
      <c r="AU1140" s="166">
        <v>0</v>
      </c>
      <c r="AV1140" s="166">
        <v>0</v>
      </c>
      <c r="AW1140" s="166">
        <v>0</v>
      </c>
      <c r="AX1140" s="166">
        <v>-1</v>
      </c>
      <c r="AY1140" s="166">
        <v>-1</v>
      </c>
      <c r="AZ1140" s="166">
        <v>0</v>
      </c>
      <c r="BA1140" s="166">
        <v>0</v>
      </c>
      <c r="BB1140" s="166">
        <v>0</v>
      </c>
      <c r="BC1140" s="166">
        <v>0</v>
      </c>
      <c r="BD1140" s="166">
        <v>0</v>
      </c>
      <c r="BE1140" s="166">
        <v>0</v>
      </c>
      <c r="BF1140" s="166">
        <v>0</v>
      </c>
      <c r="BG1140" s="166">
        <v>0</v>
      </c>
      <c r="BH1140" s="166">
        <v>1</v>
      </c>
      <c r="BI1140" s="166">
        <v>0</v>
      </c>
      <c r="BJ1140" s="166">
        <v>0</v>
      </c>
      <c r="BK1140" s="166">
        <v>0</v>
      </c>
      <c r="BL1140" s="166">
        <v>0</v>
      </c>
      <c r="BM1140" s="166">
        <v>0</v>
      </c>
      <c r="BN1140" s="166">
        <v>0</v>
      </c>
      <c r="BO1140" s="166">
        <v>0</v>
      </c>
      <c r="BP1140" s="166">
        <v>0</v>
      </c>
      <c r="BQ1140" s="81" t="s">
        <v>1757</v>
      </c>
      <c r="BZ1140" s="81" t="s">
        <v>155</v>
      </c>
      <c r="CA1140" s="81" t="s">
        <v>1937</v>
      </c>
      <c r="CC1140" s="167">
        <v>0</v>
      </c>
      <c r="CD1140" s="167">
        <f>$N1140/4</f>
        <v>-0.25</v>
      </c>
      <c r="CE1140" s="167">
        <f>$N1140/4</f>
        <v>-0.25</v>
      </c>
      <c r="CF1140" s="167">
        <f>$N1140/4</f>
        <v>-0.25</v>
      </c>
      <c r="CG1140" s="167">
        <f>$N1140/4</f>
        <v>-0.25</v>
      </c>
      <c r="CH1140" s="167">
        <v>0</v>
      </c>
      <c r="CI1140" s="167">
        <v>0</v>
      </c>
      <c r="CJ1140" s="167">
        <v>0</v>
      </c>
      <c r="CK1140" s="167">
        <v>0</v>
      </c>
      <c r="CL1140" s="167">
        <v>0</v>
      </c>
      <c r="CM1140" s="167">
        <v>0</v>
      </c>
      <c r="CN1140" s="167">
        <v>0</v>
      </c>
      <c r="CO1140" s="167">
        <v>0</v>
      </c>
      <c r="CP1140" s="167">
        <v>0</v>
      </c>
      <c r="CQ1140" s="167">
        <v>0</v>
      </c>
      <c r="CR1140" s="167">
        <v>0</v>
      </c>
      <c r="CS1140" s="167">
        <v>0</v>
      </c>
      <c r="CT1140" s="167">
        <v>0</v>
      </c>
      <c r="CU1140" s="167">
        <v>0</v>
      </c>
      <c r="CV1140" s="167">
        <v>0</v>
      </c>
      <c r="CW1140" s="167">
        <v>0</v>
      </c>
      <c r="CX1140" s="167">
        <f>SUM(CD1140:CH1140)</f>
        <v>-1</v>
      </c>
      <c r="CY1140" s="167">
        <f>SUM(CD1140:CM1140)</f>
        <v>-1</v>
      </c>
    </row>
    <row r="1141" spans="1:103" ht="12.75" customHeight="1" x14ac:dyDescent="0.2">
      <c r="A1141" s="81">
        <v>6775</v>
      </c>
      <c r="B1141" s="165" t="s">
        <v>1930</v>
      </c>
      <c r="C1141" s="165" t="s">
        <v>2961</v>
      </c>
      <c r="E1141" s="165" t="s">
        <v>2962</v>
      </c>
      <c r="G1141" s="81">
        <v>528543</v>
      </c>
      <c r="H1141" s="81">
        <v>175748</v>
      </c>
      <c r="I1141" s="165" t="s">
        <v>256</v>
      </c>
      <c r="L1141" s="166">
        <v>3</v>
      </c>
      <c r="M1141" s="166">
        <v>2</v>
      </c>
      <c r="N1141" s="166">
        <v>-1</v>
      </c>
      <c r="O1141" s="166">
        <v>3</v>
      </c>
      <c r="P1141" s="166">
        <v>0</v>
      </c>
      <c r="R1141" s="165" t="s">
        <v>2963</v>
      </c>
      <c r="S1141" s="81" t="s">
        <v>113</v>
      </c>
      <c r="T1141" s="349">
        <v>43089</v>
      </c>
      <c r="U1141" s="349">
        <v>43145</v>
      </c>
      <c r="V1141" s="81" t="s">
        <v>155</v>
      </c>
      <c r="W1141" s="81" t="s">
        <v>114</v>
      </c>
      <c r="Y1141" s="81" t="s">
        <v>115</v>
      </c>
      <c r="Z1141" s="81" t="s">
        <v>398</v>
      </c>
      <c r="AA1141" s="81" t="s">
        <v>117</v>
      </c>
      <c r="AB1141" s="81" t="s">
        <v>298</v>
      </c>
      <c r="AC1141" s="166">
        <v>7.0000002160668399E-3</v>
      </c>
      <c r="AG1141" s="81" t="s">
        <v>238</v>
      </c>
      <c r="AH1141" s="81" t="s">
        <v>118</v>
      </c>
      <c r="AK1141" s="166">
        <v>0</v>
      </c>
      <c r="AM1141" s="166">
        <v>0</v>
      </c>
      <c r="AO1141" s="166">
        <v>0</v>
      </c>
      <c r="AP1141" s="166">
        <v>-2</v>
      </c>
      <c r="AQ1141" s="166">
        <v>2</v>
      </c>
      <c r="AR1141" s="166">
        <v>-1</v>
      </c>
      <c r="AS1141" s="166">
        <v>0</v>
      </c>
      <c r="AT1141" s="166">
        <v>0</v>
      </c>
      <c r="AU1141" s="166">
        <v>0</v>
      </c>
      <c r="AV1141" s="166">
        <v>0</v>
      </c>
      <c r="AW1141" s="166">
        <v>-2</v>
      </c>
      <c r="AX1141" s="166">
        <v>2</v>
      </c>
      <c r="AY1141" s="166">
        <v>-1</v>
      </c>
      <c r="AZ1141" s="166">
        <v>0</v>
      </c>
      <c r="BA1141" s="166">
        <v>0</v>
      </c>
      <c r="BB1141" s="166">
        <v>0</v>
      </c>
      <c r="BC1141" s="166">
        <v>0</v>
      </c>
      <c r="BD1141" s="166">
        <v>0</v>
      </c>
      <c r="BE1141" s="166">
        <v>0</v>
      </c>
      <c r="BF1141" s="166">
        <v>0</v>
      </c>
      <c r="BG1141" s="166">
        <v>0</v>
      </c>
      <c r="BH1141" s="166">
        <v>0</v>
      </c>
      <c r="BI1141" s="166">
        <v>0</v>
      </c>
      <c r="BJ1141" s="166">
        <v>0</v>
      </c>
      <c r="BK1141" s="166">
        <v>0</v>
      </c>
      <c r="BL1141" s="166">
        <v>0</v>
      </c>
      <c r="BM1141" s="166">
        <v>0</v>
      </c>
      <c r="BN1141" s="166">
        <v>0</v>
      </c>
      <c r="BO1141" s="166">
        <v>0</v>
      </c>
      <c r="BP1141" s="166">
        <v>0</v>
      </c>
      <c r="BQ1141" s="81" t="s">
        <v>1757</v>
      </c>
      <c r="BZ1141" s="81" t="s">
        <v>155</v>
      </c>
      <c r="CA1141" s="81" t="s">
        <v>1937</v>
      </c>
      <c r="CC1141" s="167">
        <v>0</v>
      </c>
      <c r="CD1141" s="167">
        <f>$N1141/4</f>
        <v>-0.25</v>
      </c>
      <c r="CE1141" s="167">
        <f>$N1141/4</f>
        <v>-0.25</v>
      </c>
      <c r="CF1141" s="167">
        <f>$N1141/4</f>
        <v>-0.25</v>
      </c>
      <c r="CG1141" s="167">
        <f>$N1141/4</f>
        <v>-0.25</v>
      </c>
      <c r="CH1141" s="167">
        <v>0</v>
      </c>
      <c r="CI1141" s="167">
        <v>0</v>
      </c>
      <c r="CJ1141" s="167">
        <v>0</v>
      </c>
      <c r="CK1141" s="167">
        <v>0</v>
      </c>
      <c r="CL1141" s="167">
        <v>0</v>
      </c>
      <c r="CM1141" s="167">
        <v>0</v>
      </c>
      <c r="CN1141" s="167">
        <v>0</v>
      </c>
      <c r="CO1141" s="167">
        <v>0</v>
      </c>
      <c r="CP1141" s="167">
        <v>0</v>
      </c>
      <c r="CQ1141" s="167">
        <v>0</v>
      </c>
      <c r="CR1141" s="167">
        <v>0</v>
      </c>
      <c r="CS1141" s="167">
        <v>0</v>
      </c>
      <c r="CT1141" s="167">
        <v>0</v>
      </c>
      <c r="CU1141" s="167">
        <v>0</v>
      </c>
      <c r="CV1141" s="167">
        <v>0</v>
      </c>
      <c r="CW1141" s="167">
        <v>0</v>
      </c>
      <c r="CX1141" s="167">
        <f>SUM(CD1141:CH1141)</f>
        <v>-1</v>
      </c>
      <c r="CY1141" s="167">
        <f>SUM(CD1141:CM1141)</f>
        <v>-1</v>
      </c>
    </row>
    <row r="1142" spans="1:103" ht="12.75" customHeight="1" x14ac:dyDescent="0.2">
      <c r="A1142" s="81">
        <v>6775</v>
      </c>
      <c r="B1142" s="165" t="s">
        <v>1930</v>
      </c>
      <c r="C1142" s="165" t="s">
        <v>2961</v>
      </c>
      <c r="E1142" s="165" t="s">
        <v>2962</v>
      </c>
      <c r="G1142" s="81">
        <v>528543</v>
      </c>
      <c r="H1142" s="81">
        <v>175748</v>
      </c>
      <c r="I1142" s="165" t="s">
        <v>256</v>
      </c>
      <c r="L1142" s="166">
        <v>0</v>
      </c>
      <c r="M1142" s="166">
        <v>1</v>
      </c>
      <c r="N1142" s="166">
        <v>1</v>
      </c>
      <c r="O1142" s="166">
        <v>3</v>
      </c>
      <c r="P1142" s="166">
        <v>0</v>
      </c>
      <c r="R1142" s="165" t="s">
        <v>2963</v>
      </c>
      <c r="S1142" s="81" t="s">
        <v>113</v>
      </c>
      <c r="T1142" s="349">
        <v>43089</v>
      </c>
      <c r="U1142" s="349">
        <v>43145</v>
      </c>
      <c r="V1142" s="81" t="s">
        <v>155</v>
      </c>
      <c r="W1142" s="81" t="s">
        <v>114</v>
      </c>
      <c r="Y1142" s="81" t="s">
        <v>115</v>
      </c>
      <c r="Z1142" s="81" t="s">
        <v>398</v>
      </c>
      <c r="AA1142" s="81" t="s">
        <v>117</v>
      </c>
      <c r="AB1142" s="81" t="s">
        <v>218</v>
      </c>
      <c r="AC1142" s="166">
        <v>3.0000000260770299E-3</v>
      </c>
      <c r="AG1142" s="81" t="s">
        <v>238</v>
      </c>
      <c r="AH1142" s="81" t="s">
        <v>118</v>
      </c>
      <c r="AK1142" s="166">
        <v>0</v>
      </c>
      <c r="AM1142" s="166">
        <v>0</v>
      </c>
      <c r="AO1142" s="166">
        <v>0</v>
      </c>
      <c r="AP1142" s="166">
        <v>1</v>
      </c>
      <c r="AQ1142" s="166">
        <v>0</v>
      </c>
      <c r="AR1142" s="166">
        <v>0</v>
      </c>
      <c r="AS1142" s="166">
        <v>0</v>
      </c>
      <c r="AT1142" s="166">
        <v>0</v>
      </c>
      <c r="AU1142" s="166">
        <v>0</v>
      </c>
      <c r="AV1142" s="166">
        <v>0</v>
      </c>
      <c r="AW1142" s="166">
        <v>1</v>
      </c>
      <c r="AX1142" s="166">
        <v>0</v>
      </c>
      <c r="AY1142" s="166">
        <v>0</v>
      </c>
      <c r="AZ1142" s="166">
        <v>0</v>
      </c>
      <c r="BA1142" s="166">
        <v>0</v>
      </c>
      <c r="BB1142" s="166">
        <v>0</v>
      </c>
      <c r="BC1142" s="166">
        <v>0</v>
      </c>
      <c r="BD1142" s="166">
        <v>0</v>
      </c>
      <c r="BE1142" s="166">
        <v>0</v>
      </c>
      <c r="BF1142" s="166">
        <v>0</v>
      </c>
      <c r="BG1142" s="166">
        <v>0</v>
      </c>
      <c r="BH1142" s="166">
        <v>0</v>
      </c>
      <c r="BI1142" s="166">
        <v>0</v>
      </c>
      <c r="BJ1142" s="166">
        <v>0</v>
      </c>
      <c r="BK1142" s="166">
        <v>0</v>
      </c>
      <c r="BL1142" s="166">
        <v>0</v>
      </c>
      <c r="BM1142" s="166">
        <v>0</v>
      </c>
      <c r="BN1142" s="166">
        <v>0</v>
      </c>
      <c r="BO1142" s="166">
        <v>0</v>
      </c>
      <c r="BP1142" s="166">
        <v>0</v>
      </c>
      <c r="BQ1142" s="81" t="s">
        <v>1757</v>
      </c>
      <c r="BZ1142" s="81" t="s">
        <v>155</v>
      </c>
      <c r="CA1142" s="81" t="s">
        <v>1937</v>
      </c>
      <c r="CC1142" s="167">
        <v>0</v>
      </c>
      <c r="CD1142" s="167">
        <f>$N1142/4</f>
        <v>0.25</v>
      </c>
      <c r="CE1142" s="167">
        <f>$N1142/4</f>
        <v>0.25</v>
      </c>
      <c r="CF1142" s="167">
        <f>$N1142/4</f>
        <v>0.25</v>
      </c>
      <c r="CG1142" s="167">
        <f>$N1142/4</f>
        <v>0.25</v>
      </c>
      <c r="CH1142" s="167">
        <v>0</v>
      </c>
      <c r="CI1142" s="167">
        <v>0</v>
      </c>
      <c r="CJ1142" s="167">
        <v>0</v>
      </c>
      <c r="CK1142" s="167">
        <v>0</v>
      </c>
      <c r="CL1142" s="167">
        <v>0</v>
      </c>
      <c r="CM1142" s="167">
        <v>0</v>
      </c>
      <c r="CN1142" s="167">
        <v>0</v>
      </c>
      <c r="CO1142" s="167">
        <v>0</v>
      </c>
      <c r="CP1142" s="167">
        <v>0</v>
      </c>
      <c r="CQ1142" s="167">
        <v>0</v>
      </c>
      <c r="CR1142" s="167">
        <v>0</v>
      </c>
      <c r="CS1142" s="167">
        <v>0</v>
      </c>
      <c r="CT1142" s="167">
        <v>0</v>
      </c>
      <c r="CU1142" s="167">
        <v>0</v>
      </c>
      <c r="CV1142" s="167">
        <v>0</v>
      </c>
      <c r="CW1142" s="167">
        <v>0</v>
      </c>
      <c r="CX1142" s="167">
        <f>SUM(CD1142:CH1142)</f>
        <v>1</v>
      </c>
      <c r="CY1142" s="167">
        <f>SUM(CD1142:CM1142)</f>
        <v>1</v>
      </c>
    </row>
    <row r="1143" spans="1:103" ht="12.75" customHeight="1" x14ac:dyDescent="0.2">
      <c r="A1143" s="81">
        <v>6781</v>
      </c>
      <c r="B1143" s="165" t="s">
        <v>1930</v>
      </c>
      <c r="C1143" s="165" t="s">
        <v>2979</v>
      </c>
      <c r="E1143" s="165" t="s">
        <v>2980</v>
      </c>
      <c r="G1143" s="81">
        <v>527446</v>
      </c>
      <c r="H1143" s="81">
        <v>171022</v>
      </c>
      <c r="I1143" s="165" t="s">
        <v>253</v>
      </c>
      <c r="L1143" s="166">
        <v>0</v>
      </c>
      <c r="M1143" s="166">
        <v>1</v>
      </c>
      <c r="N1143" s="166">
        <v>1</v>
      </c>
      <c r="O1143" s="166">
        <v>1</v>
      </c>
      <c r="P1143" s="166">
        <v>1</v>
      </c>
      <c r="R1143" s="165" t="s">
        <v>2981</v>
      </c>
      <c r="S1143" s="81" t="s">
        <v>113</v>
      </c>
      <c r="T1143" s="349">
        <v>43108</v>
      </c>
      <c r="U1143" s="349">
        <v>43164</v>
      </c>
      <c r="V1143" s="81" t="s">
        <v>155</v>
      </c>
      <c r="W1143" s="81" t="s">
        <v>114</v>
      </c>
      <c r="Y1143" s="81" t="s">
        <v>115</v>
      </c>
      <c r="Z1143" s="81" t="s">
        <v>219</v>
      </c>
      <c r="AA1143" s="81" t="s">
        <v>117</v>
      </c>
      <c r="AB1143" s="81" t="s">
        <v>3889</v>
      </c>
      <c r="AC1143" s="166">
        <v>4.9999998882412902E-3</v>
      </c>
      <c r="AG1143" s="81" t="s">
        <v>238</v>
      </c>
      <c r="AH1143" s="81" t="s">
        <v>118</v>
      </c>
      <c r="AK1143" s="166">
        <v>0</v>
      </c>
      <c r="AM1143" s="166">
        <v>0</v>
      </c>
      <c r="AO1143" s="166">
        <v>0</v>
      </c>
      <c r="AP1143" s="166">
        <v>1</v>
      </c>
      <c r="AQ1143" s="166">
        <v>0</v>
      </c>
      <c r="AR1143" s="166">
        <v>0</v>
      </c>
      <c r="AS1143" s="166">
        <v>0</v>
      </c>
      <c r="AT1143" s="166">
        <v>0</v>
      </c>
      <c r="AU1143" s="166">
        <v>0</v>
      </c>
      <c r="AV1143" s="166">
        <v>0</v>
      </c>
      <c r="AW1143" s="166">
        <v>1</v>
      </c>
      <c r="AX1143" s="166">
        <v>0</v>
      </c>
      <c r="AY1143" s="166">
        <v>0</v>
      </c>
      <c r="AZ1143" s="166">
        <v>0</v>
      </c>
      <c r="BA1143" s="166">
        <v>0</v>
      </c>
      <c r="BB1143" s="166">
        <v>0</v>
      </c>
      <c r="BC1143" s="166">
        <v>0</v>
      </c>
      <c r="BD1143" s="166">
        <v>0</v>
      </c>
      <c r="BE1143" s="166">
        <v>0</v>
      </c>
      <c r="BF1143" s="166">
        <v>0</v>
      </c>
      <c r="BG1143" s="166">
        <v>0</v>
      </c>
      <c r="BH1143" s="166">
        <v>0</v>
      </c>
      <c r="BI1143" s="166">
        <v>0</v>
      </c>
      <c r="BJ1143" s="166">
        <v>0</v>
      </c>
      <c r="BK1143" s="166">
        <v>0</v>
      </c>
      <c r="BL1143" s="166">
        <v>0</v>
      </c>
      <c r="BM1143" s="166">
        <v>0</v>
      </c>
      <c r="BN1143" s="166">
        <v>0</v>
      </c>
      <c r="BO1143" s="166">
        <v>0</v>
      </c>
      <c r="BP1143" s="166">
        <v>0</v>
      </c>
      <c r="BQ1143" s="81" t="s">
        <v>1757</v>
      </c>
      <c r="BZ1143" s="81" t="s">
        <v>155</v>
      </c>
      <c r="CA1143" s="81" t="s">
        <v>1937</v>
      </c>
      <c r="CC1143" s="167">
        <v>0</v>
      </c>
      <c r="CD1143" s="167">
        <f>$N1143/4</f>
        <v>0.25</v>
      </c>
      <c r="CE1143" s="167">
        <f>$N1143/4</f>
        <v>0.25</v>
      </c>
      <c r="CF1143" s="167">
        <f>$N1143/4</f>
        <v>0.25</v>
      </c>
      <c r="CG1143" s="167">
        <f>$N1143/4</f>
        <v>0.25</v>
      </c>
      <c r="CH1143" s="167">
        <v>0</v>
      </c>
      <c r="CI1143" s="167">
        <v>0</v>
      </c>
      <c r="CJ1143" s="167">
        <v>0</v>
      </c>
      <c r="CK1143" s="167">
        <v>0</v>
      </c>
      <c r="CL1143" s="167">
        <v>0</v>
      </c>
      <c r="CM1143" s="167">
        <v>0</v>
      </c>
      <c r="CN1143" s="167">
        <v>0</v>
      </c>
      <c r="CO1143" s="167">
        <v>0</v>
      </c>
      <c r="CP1143" s="167">
        <v>0</v>
      </c>
      <c r="CQ1143" s="167">
        <v>0</v>
      </c>
      <c r="CR1143" s="167">
        <v>0</v>
      </c>
      <c r="CS1143" s="167">
        <v>0</v>
      </c>
      <c r="CT1143" s="167">
        <v>0</v>
      </c>
      <c r="CU1143" s="167">
        <v>0</v>
      </c>
      <c r="CV1143" s="167">
        <v>0</v>
      </c>
      <c r="CW1143" s="167">
        <v>0</v>
      </c>
      <c r="CX1143" s="167">
        <f>SUM(CD1143:CH1143)</f>
        <v>1</v>
      </c>
      <c r="CY1143" s="167">
        <f>SUM(CD1143:CM1143)</f>
        <v>1</v>
      </c>
    </row>
    <row r="1144" spans="1:103" ht="12.75" customHeight="1" x14ac:dyDescent="0.2">
      <c r="A1144" s="81">
        <v>6783</v>
      </c>
      <c r="B1144" s="165" t="s">
        <v>1930</v>
      </c>
      <c r="C1144" s="165" t="s">
        <v>2967</v>
      </c>
      <c r="E1144" s="165" t="s">
        <v>2968</v>
      </c>
      <c r="G1144" s="81">
        <v>527377</v>
      </c>
      <c r="H1144" s="81">
        <v>175261</v>
      </c>
      <c r="I1144" s="165" t="s">
        <v>255</v>
      </c>
      <c r="L1144" s="166">
        <v>0</v>
      </c>
      <c r="M1144" s="166">
        <v>3</v>
      </c>
      <c r="N1144" s="166">
        <v>3</v>
      </c>
      <c r="O1144" s="166">
        <v>3</v>
      </c>
      <c r="P1144" s="166">
        <v>3</v>
      </c>
      <c r="R1144" s="165" t="s">
        <v>2969</v>
      </c>
      <c r="S1144" s="81" t="s">
        <v>113</v>
      </c>
      <c r="T1144" s="349">
        <v>43105</v>
      </c>
      <c r="U1144" s="349">
        <v>43188</v>
      </c>
      <c r="V1144" s="81" t="s">
        <v>155</v>
      </c>
      <c r="W1144" s="81" t="s">
        <v>114</v>
      </c>
      <c r="Y1144" s="81" t="s">
        <v>115</v>
      </c>
      <c r="Z1144" s="81" t="s">
        <v>398</v>
      </c>
      <c r="AA1144" s="81" t="s">
        <v>117</v>
      </c>
      <c r="AB1144" s="81" t="s">
        <v>102</v>
      </c>
      <c r="AC1144" s="166">
        <v>4.0000001899898104E-3</v>
      </c>
      <c r="AG1144" s="81" t="s">
        <v>238</v>
      </c>
      <c r="AH1144" s="81" t="s">
        <v>118</v>
      </c>
      <c r="AK1144" s="166">
        <v>0</v>
      </c>
      <c r="AM1144" s="166">
        <v>0</v>
      </c>
      <c r="AO1144" s="166">
        <v>0</v>
      </c>
      <c r="AP1144" s="166">
        <v>2</v>
      </c>
      <c r="AQ1144" s="166">
        <v>1</v>
      </c>
      <c r="AR1144" s="166">
        <v>0</v>
      </c>
      <c r="AS1144" s="166">
        <v>0</v>
      </c>
      <c r="AT1144" s="166">
        <v>0</v>
      </c>
      <c r="AU1144" s="166">
        <v>0</v>
      </c>
      <c r="AV1144" s="166">
        <v>0</v>
      </c>
      <c r="AW1144" s="166">
        <v>2</v>
      </c>
      <c r="AX1144" s="166">
        <v>1</v>
      </c>
      <c r="AY1144" s="166">
        <v>0</v>
      </c>
      <c r="AZ1144" s="166">
        <v>0</v>
      </c>
      <c r="BA1144" s="166">
        <v>0</v>
      </c>
      <c r="BB1144" s="166">
        <v>0</v>
      </c>
      <c r="BC1144" s="166">
        <v>0</v>
      </c>
      <c r="BD1144" s="166">
        <v>0</v>
      </c>
      <c r="BE1144" s="166">
        <v>0</v>
      </c>
      <c r="BF1144" s="166">
        <v>0</v>
      </c>
      <c r="BG1144" s="166">
        <v>0</v>
      </c>
      <c r="BH1144" s="166">
        <v>0</v>
      </c>
      <c r="BI1144" s="166">
        <v>0</v>
      </c>
      <c r="BJ1144" s="166">
        <v>0</v>
      </c>
      <c r="BK1144" s="166">
        <v>0</v>
      </c>
      <c r="BL1144" s="166">
        <v>0</v>
      </c>
      <c r="BM1144" s="166">
        <v>0</v>
      </c>
      <c r="BN1144" s="166">
        <v>0</v>
      </c>
      <c r="BO1144" s="166">
        <v>0</v>
      </c>
      <c r="BP1144" s="166">
        <v>0</v>
      </c>
      <c r="BQ1144" s="81" t="s">
        <v>1757</v>
      </c>
      <c r="BR1144" s="81" t="s">
        <v>160</v>
      </c>
      <c r="BZ1144" s="81" t="s">
        <v>155</v>
      </c>
      <c r="CA1144" s="81" t="s">
        <v>1937</v>
      </c>
      <c r="CC1144" s="167">
        <v>0</v>
      </c>
      <c r="CD1144" s="167">
        <f>$N1144/4</f>
        <v>0.75</v>
      </c>
      <c r="CE1144" s="167">
        <f>$N1144/4</f>
        <v>0.75</v>
      </c>
      <c r="CF1144" s="167">
        <f>$N1144/4</f>
        <v>0.75</v>
      </c>
      <c r="CG1144" s="167">
        <f>$N1144/4</f>
        <v>0.75</v>
      </c>
      <c r="CH1144" s="167">
        <v>0</v>
      </c>
      <c r="CI1144" s="167">
        <v>0</v>
      </c>
      <c r="CJ1144" s="167">
        <v>0</v>
      </c>
      <c r="CK1144" s="167">
        <v>0</v>
      </c>
      <c r="CL1144" s="167">
        <v>0</v>
      </c>
      <c r="CM1144" s="167">
        <v>0</v>
      </c>
      <c r="CN1144" s="167">
        <v>0</v>
      </c>
      <c r="CO1144" s="167">
        <v>0</v>
      </c>
      <c r="CP1144" s="167">
        <v>0</v>
      </c>
      <c r="CQ1144" s="167">
        <v>0</v>
      </c>
      <c r="CR1144" s="167">
        <v>0</v>
      </c>
      <c r="CS1144" s="167">
        <v>0</v>
      </c>
      <c r="CT1144" s="167">
        <v>0</v>
      </c>
      <c r="CU1144" s="167">
        <v>0</v>
      </c>
      <c r="CV1144" s="167">
        <v>0</v>
      </c>
      <c r="CW1144" s="167">
        <v>0</v>
      </c>
      <c r="CX1144" s="167">
        <f>SUM(CD1144:CH1144)</f>
        <v>3</v>
      </c>
      <c r="CY1144" s="167">
        <f>SUM(CD1144:CM1144)</f>
        <v>3</v>
      </c>
    </row>
    <row r="1145" spans="1:103" ht="12.75" customHeight="1" x14ac:dyDescent="0.2">
      <c r="A1145" s="81">
        <v>6788</v>
      </c>
      <c r="B1145" s="165" t="s">
        <v>1930</v>
      </c>
      <c r="C1145" s="165" t="s">
        <v>2970</v>
      </c>
      <c r="E1145" s="165" t="s">
        <v>2971</v>
      </c>
      <c r="G1145" s="81">
        <v>527519</v>
      </c>
      <c r="H1145" s="81">
        <v>171164</v>
      </c>
      <c r="I1145" s="165" t="s">
        <v>253</v>
      </c>
      <c r="L1145" s="166">
        <v>0</v>
      </c>
      <c r="M1145" s="166">
        <v>1</v>
      </c>
      <c r="N1145" s="166">
        <v>1</v>
      </c>
      <c r="O1145" s="166">
        <v>1</v>
      </c>
      <c r="P1145" s="166">
        <v>1</v>
      </c>
      <c r="R1145" s="165" t="s">
        <v>2972</v>
      </c>
      <c r="S1145" s="81" t="s">
        <v>113</v>
      </c>
      <c r="T1145" s="349">
        <v>43112</v>
      </c>
      <c r="U1145" s="349">
        <v>43166</v>
      </c>
      <c r="V1145" s="81" t="s">
        <v>155</v>
      </c>
      <c r="W1145" s="81" t="s">
        <v>114</v>
      </c>
      <c r="Y1145" s="81" t="s">
        <v>115</v>
      </c>
      <c r="Z1145" s="81" t="s">
        <v>398</v>
      </c>
      <c r="AA1145" s="81" t="s">
        <v>117</v>
      </c>
      <c r="AB1145" s="81" t="s">
        <v>218</v>
      </c>
      <c r="AC1145" s="166">
        <v>6.0000000521540598E-3</v>
      </c>
      <c r="AG1145" s="81" t="s">
        <v>238</v>
      </c>
      <c r="AH1145" s="81" t="s">
        <v>118</v>
      </c>
      <c r="AK1145" s="166">
        <v>0</v>
      </c>
      <c r="AM1145" s="166">
        <v>0</v>
      </c>
      <c r="AO1145" s="166">
        <v>0</v>
      </c>
      <c r="AP1145" s="166">
        <v>1</v>
      </c>
      <c r="AQ1145" s="166">
        <v>0</v>
      </c>
      <c r="AR1145" s="166">
        <v>0</v>
      </c>
      <c r="AS1145" s="166">
        <v>0</v>
      </c>
      <c r="AT1145" s="166">
        <v>0</v>
      </c>
      <c r="AU1145" s="166">
        <v>0</v>
      </c>
      <c r="AV1145" s="166">
        <v>0</v>
      </c>
      <c r="AW1145" s="166">
        <v>1</v>
      </c>
      <c r="AX1145" s="166">
        <v>0</v>
      </c>
      <c r="AY1145" s="166">
        <v>0</v>
      </c>
      <c r="AZ1145" s="166">
        <v>0</v>
      </c>
      <c r="BA1145" s="166">
        <v>0</v>
      </c>
      <c r="BB1145" s="166">
        <v>0</v>
      </c>
      <c r="BC1145" s="166">
        <v>0</v>
      </c>
      <c r="BD1145" s="166">
        <v>0</v>
      </c>
      <c r="BE1145" s="166">
        <v>0</v>
      </c>
      <c r="BF1145" s="166">
        <v>0</v>
      </c>
      <c r="BG1145" s="166">
        <v>0</v>
      </c>
      <c r="BH1145" s="166">
        <v>0</v>
      </c>
      <c r="BI1145" s="166">
        <v>0</v>
      </c>
      <c r="BJ1145" s="166">
        <v>0</v>
      </c>
      <c r="BK1145" s="166">
        <v>0</v>
      </c>
      <c r="BL1145" s="166">
        <v>0</v>
      </c>
      <c r="BM1145" s="166">
        <v>0</v>
      </c>
      <c r="BN1145" s="166">
        <v>0</v>
      </c>
      <c r="BO1145" s="166">
        <v>0</v>
      </c>
      <c r="BP1145" s="166">
        <v>0</v>
      </c>
      <c r="BQ1145" s="81" t="s">
        <v>1757</v>
      </c>
      <c r="BZ1145" s="81" t="s">
        <v>155</v>
      </c>
      <c r="CA1145" s="81" t="s">
        <v>1937</v>
      </c>
      <c r="CC1145" s="167">
        <v>0</v>
      </c>
      <c r="CD1145" s="167">
        <f>$N1145/4</f>
        <v>0.25</v>
      </c>
      <c r="CE1145" s="167">
        <f>$N1145/4</f>
        <v>0.25</v>
      </c>
      <c r="CF1145" s="167">
        <f>$N1145/4</f>
        <v>0.25</v>
      </c>
      <c r="CG1145" s="167">
        <f>$N1145/4</f>
        <v>0.25</v>
      </c>
      <c r="CH1145" s="167">
        <v>0</v>
      </c>
      <c r="CI1145" s="167">
        <v>0</v>
      </c>
      <c r="CJ1145" s="167">
        <v>0</v>
      </c>
      <c r="CK1145" s="167">
        <v>0</v>
      </c>
      <c r="CL1145" s="167">
        <v>0</v>
      </c>
      <c r="CM1145" s="167">
        <v>0</v>
      </c>
      <c r="CN1145" s="167">
        <v>0</v>
      </c>
      <c r="CO1145" s="167">
        <v>0</v>
      </c>
      <c r="CP1145" s="167">
        <v>0</v>
      </c>
      <c r="CQ1145" s="167">
        <v>0</v>
      </c>
      <c r="CR1145" s="167">
        <v>0</v>
      </c>
      <c r="CS1145" s="167">
        <v>0</v>
      </c>
      <c r="CT1145" s="167">
        <v>0</v>
      </c>
      <c r="CU1145" s="167">
        <v>0</v>
      </c>
      <c r="CV1145" s="167">
        <v>0</v>
      </c>
      <c r="CW1145" s="167">
        <v>0</v>
      </c>
      <c r="CX1145" s="167">
        <f>SUM(CD1145:CH1145)</f>
        <v>1</v>
      </c>
      <c r="CY1145" s="167">
        <f>SUM(CD1145:CM1145)</f>
        <v>1</v>
      </c>
    </row>
    <row r="1146" spans="1:103" ht="12.75" customHeight="1" x14ac:dyDescent="0.2">
      <c r="A1146" s="81">
        <v>6797</v>
      </c>
      <c r="B1146" s="165" t="s">
        <v>1930</v>
      </c>
      <c r="C1146" s="165" t="s">
        <v>3441</v>
      </c>
      <c r="E1146" s="165" t="s">
        <v>3442</v>
      </c>
      <c r="G1146" s="81">
        <v>527076</v>
      </c>
      <c r="H1146" s="81">
        <v>173817</v>
      </c>
      <c r="I1146" s="165" t="s">
        <v>260</v>
      </c>
      <c r="L1146" s="166">
        <v>0</v>
      </c>
      <c r="M1146" s="166">
        <v>1</v>
      </c>
      <c r="N1146" s="166">
        <v>1</v>
      </c>
      <c r="O1146" s="166">
        <v>1</v>
      </c>
      <c r="P1146" s="166">
        <v>1</v>
      </c>
      <c r="R1146" s="165" t="s">
        <v>3443</v>
      </c>
      <c r="S1146" s="81" t="s">
        <v>113</v>
      </c>
      <c r="T1146" s="349">
        <v>43119</v>
      </c>
      <c r="U1146" s="349">
        <v>43172</v>
      </c>
      <c r="V1146" s="81" t="s">
        <v>155</v>
      </c>
      <c r="W1146" s="81" t="s">
        <v>114</v>
      </c>
      <c r="Y1146" s="81" t="s">
        <v>115</v>
      </c>
      <c r="Z1146" s="81" t="s">
        <v>310</v>
      </c>
      <c r="AA1146" s="81" t="s">
        <v>117</v>
      </c>
      <c r="AB1146" s="81" t="s">
        <v>311</v>
      </c>
      <c r="AC1146" s="166">
        <v>7.0000002160668399E-3</v>
      </c>
      <c r="AG1146" s="81" t="s">
        <v>238</v>
      </c>
      <c r="AH1146" s="81" t="s">
        <v>118</v>
      </c>
      <c r="AK1146" s="166">
        <v>0</v>
      </c>
      <c r="AM1146" s="166">
        <v>0</v>
      </c>
      <c r="AO1146" s="166">
        <v>0</v>
      </c>
      <c r="AP1146" s="166">
        <v>1</v>
      </c>
      <c r="AQ1146" s="166">
        <v>0</v>
      </c>
      <c r="AR1146" s="166">
        <v>0</v>
      </c>
      <c r="AS1146" s="166">
        <v>0</v>
      </c>
      <c r="AT1146" s="166">
        <v>0</v>
      </c>
      <c r="AU1146" s="166">
        <v>0</v>
      </c>
      <c r="AV1146" s="166">
        <v>0</v>
      </c>
      <c r="AW1146" s="166">
        <v>1</v>
      </c>
      <c r="AX1146" s="166">
        <v>0</v>
      </c>
      <c r="AY1146" s="166">
        <v>0</v>
      </c>
      <c r="AZ1146" s="166">
        <v>0</v>
      </c>
      <c r="BA1146" s="166">
        <v>0</v>
      </c>
      <c r="BB1146" s="166">
        <v>0</v>
      </c>
      <c r="BC1146" s="166">
        <v>0</v>
      </c>
      <c r="BD1146" s="166">
        <v>0</v>
      </c>
      <c r="BE1146" s="166">
        <v>0</v>
      </c>
      <c r="BF1146" s="166">
        <v>0</v>
      </c>
      <c r="BG1146" s="166">
        <v>0</v>
      </c>
      <c r="BH1146" s="166">
        <v>0</v>
      </c>
      <c r="BI1146" s="166">
        <v>0</v>
      </c>
      <c r="BJ1146" s="166">
        <v>0</v>
      </c>
      <c r="BK1146" s="166">
        <v>0</v>
      </c>
      <c r="BL1146" s="166">
        <v>0</v>
      </c>
      <c r="BM1146" s="166">
        <v>0</v>
      </c>
      <c r="BN1146" s="166">
        <v>0</v>
      </c>
      <c r="BO1146" s="166">
        <v>0</v>
      </c>
      <c r="BP1146" s="166">
        <v>0</v>
      </c>
      <c r="BQ1146" s="81" t="s">
        <v>1758</v>
      </c>
      <c r="BZ1146" s="81" t="s">
        <v>155</v>
      </c>
      <c r="CA1146" s="81" t="s">
        <v>1937</v>
      </c>
      <c r="CC1146" s="167">
        <v>0</v>
      </c>
      <c r="CD1146" s="167">
        <f>$N1146/4</f>
        <v>0.25</v>
      </c>
      <c r="CE1146" s="167">
        <f>$N1146/4</f>
        <v>0.25</v>
      </c>
      <c r="CF1146" s="167">
        <f>$N1146/4</f>
        <v>0.25</v>
      </c>
      <c r="CG1146" s="167">
        <f>$N1146/4</f>
        <v>0.25</v>
      </c>
      <c r="CH1146" s="167">
        <v>0</v>
      </c>
      <c r="CI1146" s="167">
        <v>0</v>
      </c>
      <c r="CJ1146" s="167">
        <v>0</v>
      </c>
      <c r="CK1146" s="167">
        <v>0</v>
      </c>
      <c r="CL1146" s="167">
        <v>0</v>
      </c>
      <c r="CM1146" s="167">
        <v>0</v>
      </c>
      <c r="CN1146" s="167">
        <v>0</v>
      </c>
      <c r="CO1146" s="167">
        <v>0</v>
      </c>
      <c r="CP1146" s="167">
        <v>0</v>
      </c>
      <c r="CQ1146" s="167">
        <v>0</v>
      </c>
      <c r="CR1146" s="167">
        <v>0</v>
      </c>
      <c r="CS1146" s="167">
        <v>0</v>
      </c>
      <c r="CT1146" s="167">
        <v>0</v>
      </c>
      <c r="CU1146" s="167">
        <v>0</v>
      </c>
      <c r="CV1146" s="167">
        <v>0</v>
      </c>
      <c r="CW1146" s="167">
        <v>0</v>
      </c>
      <c r="CX1146" s="167">
        <f>SUM(CD1146:CH1146)</f>
        <v>1</v>
      </c>
      <c r="CY1146" s="167">
        <f>SUM(CD1146:CM1146)</f>
        <v>1</v>
      </c>
    </row>
    <row r="1147" spans="1:103" ht="12.75" customHeight="1" x14ac:dyDescent="0.2">
      <c r="A1147" s="81">
        <v>6798</v>
      </c>
      <c r="B1147" s="165" t="s">
        <v>1930</v>
      </c>
      <c r="C1147" s="165" t="s">
        <v>2976</v>
      </c>
      <c r="E1147" s="165" t="s">
        <v>2977</v>
      </c>
      <c r="G1147" s="81">
        <v>527317</v>
      </c>
      <c r="H1147" s="81">
        <v>171519</v>
      </c>
      <c r="I1147" s="165" t="s">
        <v>242</v>
      </c>
      <c r="L1147" s="166">
        <v>0</v>
      </c>
      <c r="M1147" s="166">
        <v>1</v>
      </c>
      <c r="N1147" s="166">
        <v>1</v>
      </c>
      <c r="O1147" s="166">
        <v>1</v>
      </c>
      <c r="P1147" s="166">
        <v>1</v>
      </c>
      <c r="R1147" s="165" t="s">
        <v>2978</v>
      </c>
      <c r="S1147" s="81" t="s">
        <v>113</v>
      </c>
      <c r="T1147" s="349">
        <v>43038</v>
      </c>
      <c r="U1147" s="349">
        <v>43133</v>
      </c>
      <c r="V1147" s="81" t="s">
        <v>155</v>
      </c>
      <c r="W1147" s="81" t="s">
        <v>114</v>
      </c>
      <c r="Y1147" s="81" t="s">
        <v>115</v>
      </c>
      <c r="Z1147" s="81" t="s">
        <v>116</v>
      </c>
      <c r="AA1147" s="81" t="s">
        <v>117</v>
      </c>
      <c r="AB1147" s="81" t="s">
        <v>218</v>
      </c>
      <c r="AC1147" s="166">
        <v>3.0000000260770299E-3</v>
      </c>
      <c r="AG1147" s="81" t="s">
        <v>238</v>
      </c>
      <c r="AH1147" s="81" t="s">
        <v>118</v>
      </c>
      <c r="AK1147" s="166">
        <v>0</v>
      </c>
      <c r="AM1147" s="166">
        <v>0</v>
      </c>
      <c r="AO1147" s="166">
        <v>0</v>
      </c>
      <c r="AP1147" s="166">
        <v>0</v>
      </c>
      <c r="AQ1147" s="166">
        <v>1</v>
      </c>
      <c r="AR1147" s="166">
        <v>0</v>
      </c>
      <c r="AS1147" s="166">
        <v>0</v>
      </c>
      <c r="AT1147" s="166">
        <v>0</v>
      </c>
      <c r="AU1147" s="166">
        <v>0</v>
      </c>
      <c r="AV1147" s="166">
        <v>0</v>
      </c>
      <c r="AW1147" s="166">
        <v>0</v>
      </c>
      <c r="AX1147" s="166">
        <v>0</v>
      </c>
      <c r="AY1147" s="166">
        <v>0</v>
      </c>
      <c r="AZ1147" s="166">
        <v>0</v>
      </c>
      <c r="BA1147" s="166">
        <v>0</v>
      </c>
      <c r="BB1147" s="166">
        <v>0</v>
      </c>
      <c r="BC1147" s="166">
        <v>0</v>
      </c>
      <c r="BD1147" s="166">
        <v>0</v>
      </c>
      <c r="BE1147" s="166">
        <v>1</v>
      </c>
      <c r="BF1147" s="166">
        <v>0</v>
      </c>
      <c r="BG1147" s="166">
        <v>0</v>
      </c>
      <c r="BH1147" s="166">
        <v>0</v>
      </c>
      <c r="BI1147" s="166">
        <v>0</v>
      </c>
      <c r="BJ1147" s="166">
        <v>0</v>
      </c>
      <c r="BK1147" s="166">
        <v>0</v>
      </c>
      <c r="BL1147" s="166">
        <v>0</v>
      </c>
      <c r="BM1147" s="166">
        <v>0</v>
      </c>
      <c r="BN1147" s="166">
        <v>0</v>
      </c>
      <c r="BO1147" s="166">
        <v>0</v>
      </c>
      <c r="BP1147" s="166">
        <v>0</v>
      </c>
      <c r="BQ1147" s="81" t="s">
        <v>1757</v>
      </c>
      <c r="BZ1147" s="81" t="s">
        <v>155</v>
      </c>
      <c r="CA1147" s="81">
        <v>4</v>
      </c>
      <c r="CC1147" s="167">
        <v>0</v>
      </c>
      <c r="CD1147" s="167">
        <v>0</v>
      </c>
      <c r="CE1147" s="167">
        <f>$N1147/4</f>
        <v>0.25</v>
      </c>
      <c r="CF1147" s="167">
        <f>$N1147/4</f>
        <v>0.25</v>
      </c>
      <c r="CG1147" s="167">
        <f>$N1147/4</f>
        <v>0.25</v>
      </c>
      <c r="CH1147" s="167">
        <f>$N1147/4</f>
        <v>0.25</v>
      </c>
      <c r="CI1147" s="167">
        <v>0</v>
      </c>
      <c r="CJ1147" s="167">
        <v>0</v>
      </c>
      <c r="CK1147" s="167">
        <v>0</v>
      </c>
      <c r="CL1147" s="167">
        <v>0</v>
      </c>
      <c r="CM1147" s="167">
        <v>0</v>
      </c>
      <c r="CN1147" s="167">
        <v>0</v>
      </c>
      <c r="CO1147" s="167">
        <v>0</v>
      </c>
      <c r="CP1147" s="167">
        <v>0</v>
      </c>
      <c r="CQ1147" s="167">
        <v>0</v>
      </c>
      <c r="CR1147" s="167">
        <v>0</v>
      </c>
      <c r="CS1147" s="167">
        <v>0</v>
      </c>
      <c r="CT1147" s="167">
        <v>0</v>
      </c>
      <c r="CU1147" s="167">
        <v>0</v>
      </c>
      <c r="CV1147" s="167">
        <v>0</v>
      </c>
      <c r="CW1147" s="167">
        <v>0</v>
      </c>
      <c r="CX1147" s="167">
        <f>SUM(CD1147:CH1147)</f>
        <v>1</v>
      </c>
      <c r="CY1147" s="167">
        <f>SUM(CD1147:CM1147)</f>
        <v>1</v>
      </c>
    </row>
    <row r="1148" spans="1:103" ht="12.75" customHeight="1" x14ac:dyDescent="0.2">
      <c r="A1148" s="81">
        <v>6802</v>
      </c>
      <c r="B1148" s="165" t="s">
        <v>1930</v>
      </c>
      <c r="C1148" s="165" t="s">
        <v>3444</v>
      </c>
      <c r="E1148" s="165" t="s">
        <v>3445</v>
      </c>
      <c r="G1148" s="81">
        <v>527680</v>
      </c>
      <c r="H1148" s="81">
        <v>174924</v>
      </c>
      <c r="I1148" s="165" t="s">
        <v>255</v>
      </c>
      <c r="L1148" s="166">
        <v>0</v>
      </c>
      <c r="M1148" s="166">
        <v>1</v>
      </c>
      <c r="N1148" s="166">
        <v>1</v>
      </c>
      <c r="O1148" s="166">
        <v>1</v>
      </c>
      <c r="P1148" s="166">
        <v>1</v>
      </c>
      <c r="R1148" s="165" t="s">
        <v>3446</v>
      </c>
      <c r="S1148" s="81" t="s">
        <v>270</v>
      </c>
      <c r="T1148" s="349">
        <v>43133</v>
      </c>
      <c r="U1148" s="349">
        <v>43185</v>
      </c>
      <c r="V1148" s="81" t="s">
        <v>155</v>
      </c>
      <c r="W1148" s="81" t="s">
        <v>114</v>
      </c>
      <c r="Y1148" s="81" t="s">
        <v>115</v>
      </c>
      <c r="Z1148" s="81" t="s">
        <v>310</v>
      </c>
      <c r="AA1148" s="81" t="s">
        <v>117</v>
      </c>
      <c r="AB1148" s="81" t="s">
        <v>311</v>
      </c>
      <c r="AC1148" s="166">
        <v>2.0000000949949E-3</v>
      </c>
      <c r="AG1148" s="81" t="s">
        <v>238</v>
      </c>
      <c r="AH1148" s="81" t="s">
        <v>118</v>
      </c>
      <c r="AK1148" s="166">
        <v>0</v>
      </c>
      <c r="AM1148" s="166">
        <v>0</v>
      </c>
      <c r="AO1148" s="166">
        <v>1</v>
      </c>
      <c r="AP1148" s="166">
        <v>0</v>
      </c>
      <c r="AQ1148" s="166">
        <v>0</v>
      </c>
      <c r="AR1148" s="166">
        <v>0</v>
      </c>
      <c r="AS1148" s="166">
        <v>0</v>
      </c>
      <c r="AT1148" s="166">
        <v>0</v>
      </c>
      <c r="AU1148" s="166">
        <v>0</v>
      </c>
      <c r="AV1148" s="166">
        <v>1</v>
      </c>
      <c r="AW1148" s="166">
        <v>0</v>
      </c>
      <c r="AX1148" s="166">
        <v>0</v>
      </c>
      <c r="AY1148" s="166">
        <v>0</v>
      </c>
      <c r="AZ1148" s="166">
        <v>0</v>
      </c>
      <c r="BA1148" s="166">
        <v>0</v>
      </c>
      <c r="BB1148" s="166">
        <v>0</v>
      </c>
      <c r="BC1148" s="166">
        <v>0</v>
      </c>
      <c r="BD1148" s="166">
        <v>0</v>
      </c>
      <c r="BE1148" s="166">
        <v>0</v>
      </c>
      <c r="BF1148" s="166">
        <v>0</v>
      </c>
      <c r="BG1148" s="166">
        <v>0</v>
      </c>
      <c r="BH1148" s="166">
        <v>0</v>
      </c>
      <c r="BI1148" s="166">
        <v>0</v>
      </c>
      <c r="BJ1148" s="166">
        <v>0</v>
      </c>
      <c r="BK1148" s="166">
        <v>0</v>
      </c>
      <c r="BL1148" s="166">
        <v>0</v>
      </c>
      <c r="BM1148" s="166">
        <v>0</v>
      </c>
      <c r="BN1148" s="166">
        <v>0</v>
      </c>
      <c r="BO1148" s="166">
        <v>0</v>
      </c>
      <c r="BP1148" s="166">
        <v>0</v>
      </c>
      <c r="BQ1148" s="81" t="s">
        <v>1757</v>
      </c>
      <c r="BZ1148" s="81" t="s">
        <v>155</v>
      </c>
      <c r="CA1148" s="81" t="s">
        <v>1937</v>
      </c>
      <c r="CC1148" s="167">
        <v>0</v>
      </c>
      <c r="CD1148" s="167">
        <f>$N1148/4</f>
        <v>0.25</v>
      </c>
      <c r="CE1148" s="167">
        <f>$N1148/4</f>
        <v>0.25</v>
      </c>
      <c r="CF1148" s="167">
        <f>$N1148/4</f>
        <v>0.25</v>
      </c>
      <c r="CG1148" s="167">
        <f>$N1148/4</f>
        <v>0.25</v>
      </c>
      <c r="CH1148" s="167">
        <v>0</v>
      </c>
      <c r="CI1148" s="167">
        <v>0</v>
      </c>
      <c r="CJ1148" s="167">
        <v>0</v>
      </c>
      <c r="CK1148" s="167">
        <v>0</v>
      </c>
      <c r="CL1148" s="167">
        <v>0</v>
      </c>
      <c r="CM1148" s="167">
        <v>0</v>
      </c>
      <c r="CN1148" s="167">
        <v>0</v>
      </c>
      <c r="CO1148" s="167">
        <v>0</v>
      </c>
      <c r="CP1148" s="167">
        <v>0</v>
      </c>
      <c r="CQ1148" s="167">
        <v>0</v>
      </c>
      <c r="CR1148" s="167">
        <v>0</v>
      </c>
      <c r="CS1148" s="167">
        <v>0</v>
      </c>
      <c r="CT1148" s="167">
        <v>0</v>
      </c>
      <c r="CU1148" s="167">
        <v>0</v>
      </c>
      <c r="CV1148" s="167">
        <v>0</v>
      </c>
      <c r="CW1148" s="167">
        <v>0</v>
      </c>
      <c r="CX1148" s="167">
        <f>SUM(CD1148:CH1148)</f>
        <v>1</v>
      </c>
      <c r="CY1148" s="167">
        <f>SUM(CD1148:CM1148)</f>
        <v>1</v>
      </c>
    </row>
    <row r="1149" spans="1:103" ht="12.75" customHeight="1" x14ac:dyDescent="0.2">
      <c r="A1149" s="81">
        <v>6808</v>
      </c>
      <c r="B1149" s="165" t="s">
        <v>1930</v>
      </c>
      <c r="C1149" s="165" t="s">
        <v>2982</v>
      </c>
      <c r="E1149" s="165" t="s">
        <v>2983</v>
      </c>
      <c r="F1149" s="165" t="s">
        <v>1801</v>
      </c>
      <c r="G1149" s="81">
        <v>526942</v>
      </c>
      <c r="H1149" s="81">
        <v>175151</v>
      </c>
      <c r="I1149" s="165" t="s">
        <v>251</v>
      </c>
      <c r="L1149" s="166">
        <v>1</v>
      </c>
      <c r="M1149" s="166">
        <v>2</v>
      </c>
      <c r="N1149" s="166">
        <v>1</v>
      </c>
      <c r="O1149" s="166">
        <v>4</v>
      </c>
      <c r="P1149" s="166">
        <v>3</v>
      </c>
      <c r="R1149" s="165" t="s">
        <v>2984</v>
      </c>
      <c r="S1149" s="81" t="s">
        <v>113</v>
      </c>
      <c r="T1149" s="349">
        <v>43129</v>
      </c>
      <c r="U1149" s="349">
        <v>43179</v>
      </c>
      <c r="V1149" s="81" t="s">
        <v>155</v>
      </c>
      <c r="W1149" s="81" t="s">
        <v>114</v>
      </c>
      <c r="Y1149" s="81" t="s">
        <v>115</v>
      </c>
      <c r="Z1149" s="81" t="s">
        <v>398</v>
      </c>
      <c r="AA1149" s="81" t="s">
        <v>117</v>
      </c>
      <c r="AB1149" s="81" t="s">
        <v>220</v>
      </c>
      <c r="AC1149" s="166">
        <v>3.0000000260770299E-3</v>
      </c>
      <c r="AG1149" s="81" t="s">
        <v>238</v>
      </c>
      <c r="AH1149" s="81" t="s">
        <v>118</v>
      </c>
      <c r="AK1149" s="166">
        <v>0</v>
      </c>
      <c r="AM1149" s="166">
        <v>0</v>
      </c>
      <c r="AO1149" s="166">
        <v>0</v>
      </c>
      <c r="AP1149" s="166">
        <v>2</v>
      </c>
      <c r="AQ1149" s="166">
        <v>0</v>
      </c>
      <c r="AR1149" s="166">
        <v>-1</v>
      </c>
      <c r="AS1149" s="166">
        <v>0</v>
      </c>
      <c r="AT1149" s="166">
        <v>0</v>
      </c>
      <c r="AU1149" s="166">
        <v>0</v>
      </c>
      <c r="AV1149" s="166">
        <v>0</v>
      </c>
      <c r="AW1149" s="166">
        <v>2</v>
      </c>
      <c r="AX1149" s="166">
        <v>0</v>
      </c>
      <c r="AY1149" s="166">
        <v>-1</v>
      </c>
      <c r="AZ1149" s="166">
        <v>0</v>
      </c>
      <c r="BA1149" s="166">
        <v>0</v>
      </c>
      <c r="BB1149" s="166">
        <v>0</v>
      </c>
      <c r="BC1149" s="166">
        <v>0</v>
      </c>
      <c r="BD1149" s="166">
        <v>0</v>
      </c>
      <c r="BE1149" s="166">
        <v>0</v>
      </c>
      <c r="BF1149" s="166">
        <v>0</v>
      </c>
      <c r="BG1149" s="166">
        <v>0</v>
      </c>
      <c r="BH1149" s="166">
        <v>0</v>
      </c>
      <c r="BI1149" s="166">
        <v>0</v>
      </c>
      <c r="BJ1149" s="166">
        <v>0</v>
      </c>
      <c r="BK1149" s="166">
        <v>0</v>
      </c>
      <c r="BL1149" s="166">
        <v>0</v>
      </c>
      <c r="BM1149" s="166">
        <v>0</v>
      </c>
      <c r="BN1149" s="166">
        <v>0</v>
      </c>
      <c r="BO1149" s="166">
        <v>0</v>
      </c>
      <c r="BP1149" s="166">
        <v>0</v>
      </c>
      <c r="BQ1149" s="81" t="s">
        <v>1758</v>
      </c>
      <c r="BZ1149" s="81" t="s">
        <v>155</v>
      </c>
      <c r="CA1149" s="81" t="s">
        <v>1937</v>
      </c>
      <c r="CC1149" s="167">
        <v>0</v>
      </c>
      <c r="CD1149" s="167">
        <f>$N1149/4</f>
        <v>0.25</v>
      </c>
      <c r="CE1149" s="167">
        <f>$N1149/4</f>
        <v>0.25</v>
      </c>
      <c r="CF1149" s="167">
        <f>$N1149/4</f>
        <v>0.25</v>
      </c>
      <c r="CG1149" s="167">
        <f>$N1149/4</f>
        <v>0.25</v>
      </c>
      <c r="CH1149" s="167">
        <v>0</v>
      </c>
      <c r="CI1149" s="167">
        <v>0</v>
      </c>
      <c r="CJ1149" s="167">
        <v>0</v>
      </c>
      <c r="CK1149" s="167">
        <v>0</v>
      </c>
      <c r="CL1149" s="167">
        <v>0</v>
      </c>
      <c r="CM1149" s="167">
        <v>0</v>
      </c>
      <c r="CN1149" s="167">
        <v>0</v>
      </c>
      <c r="CO1149" s="167">
        <v>0</v>
      </c>
      <c r="CP1149" s="167">
        <v>0</v>
      </c>
      <c r="CQ1149" s="167">
        <v>0</v>
      </c>
      <c r="CR1149" s="167">
        <v>0</v>
      </c>
      <c r="CS1149" s="167">
        <v>0</v>
      </c>
      <c r="CT1149" s="167">
        <v>0</v>
      </c>
      <c r="CU1149" s="167">
        <v>0</v>
      </c>
      <c r="CV1149" s="167">
        <v>0</v>
      </c>
      <c r="CW1149" s="167">
        <v>0</v>
      </c>
      <c r="CX1149" s="167">
        <f>SUM(CD1149:CH1149)</f>
        <v>1</v>
      </c>
      <c r="CY1149" s="167">
        <f>SUM(CD1149:CM1149)</f>
        <v>1</v>
      </c>
    </row>
    <row r="1150" spans="1:103" ht="12.75" customHeight="1" x14ac:dyDescent="0.2">
      <c r="A1150" s="81">
        <v>6808</v>
      </c>
      <c r="B1150" s="165" t="s">
        <v>1930</v>
      </c>
      <c r="C1150" s="165" t="s">
        <v>2982</v>
      </c>
      <c r="E1150" s="165" t="s">
        <v>2983</v>
      </c>
      <c r="F1150" s="165" t="s">
        <v>1219</v>
      </c>
      <c r="G1150" s="81">
        <v>526942</v>
      </c>
      <c r="H1150" s="81">
        <v>175151</v>
      </c>
      <c r="I1150" s="165" t="s">
        <v>251</v>
      </c>
      <c r="L1150" s="166">
        <v>0</v>
      </c>
      <c r="M1150" s="166">
        <v>2</v>
      </c>
      <c r="N1150" s="166">
        <v>2</v>
      </c>
      <c r="O1150" s="166">
        <v>4</v>
      </c>
      <c r="P1150" s="166">
        <v>3</v>
      </c>
      <c r="R1150" s="165" t="s">
        <v>2984</v>
      </c>
      <c r="S1150" s="81" t="s">
        <v>113</v>
      </c>
      <c r="T1150" s="349">
        <v>43129</v>
      </c>
      <c r="U1150" s="349">
        <v>43179</v>
      </c>
      <c r="V1150" s="81" t="s">
        <v>155</v>
      </c>
      <c r="W1150" s="81" t="s">
        <v>114</v>
      </c>
      <c r="Y1150" s="81" t="s">
        <v>115</v>
      </c>
      <c r="Z1150" s="81" t="s">
        <v>398</v>
      </c>
      <c r="AA1150" s="81" t="s">
        <v>117</v>
      </c>
      <c r="AB1150" s="81" t="s">
        <v>218</v>
      </c>
      <c r="AC1150" s="166">
        <v>4.0000001899898104E-3</v>
      </c>
      <c r="AG1150" s="81" t="s">
        <v>238</v>
      </c>
      <c r="AH1150" s="81" t="s">
        <v>118</v>
      </c>
      <c r="AK1150" s="166">
        <v>0</v>
      </c>
      <c r="AM1150" s="166">
        <v>0</v>
      </c>
      <c r="AO1150" s="166">
        <v>0</v>
      </c>
      <c r="AP1150" s="166">
        <v>1</v>
      </c>
      <c r="AQ1150" s="166">
        <v>1</v>
      </c>
      <c r="AR1150" s="166">
        <v>0</v>
      </c>
      <c r="AS1150" s="166">
        <v>0</v>
      </c>
      <c r="AT1150" s="166">
        <v>0</v>
      </c>
      <c r="AU1150" s="166">
        <v>0</v>
      </c>
      <c r="AV1150" s="166">
        <v>0</v>
      </c>
      <c r="AW1150" s="166">
        <v>1</v>
      </c>
      <c r="AX1150" s="166">
        <v>1</v>
      </c>
      <c r="AY1150" s="166">
        <v>0</v>
      </c>
      <c r="AZ1150" s="166">
        <v>0</v>
      </c>
      <c r="BA1150" s="166">
        <v>0</v>
      </c>
      <c r="BB1150" s="166">
        <v>0</v>
      </c>
      <c r="BC1150" s="166">
        <v>0</v>
      </c>
      <c r="BD1150" s="166">
        <v>0</v>
      </c>
      <c r="BE1150" s="166">
        <v>0</v>
      </c>
      <c r="BF1150" s="166">
        <v>0</v>
      </c>
      <c r="BG1150" s="166">
        <v>0</v>
      </c>
      <c r="BH1150" s="166">
        <v>0</v>
      </c>
      <c r="BI1150" s="166">
        <v>0</v>
      </c>
      <c r="BJ1150" s="166">
        <v>0</v>
      </c>
      <c r="BK1150" s="166">
        <v>0</v>
      </c>
      <c r="BL1150" s="166">
        <v>0</v>
      </c>
      <c r="BM1150" s="166">
        <v>0</v>
      </c>
      <c r="BN1150" s="166">
        <v>0</v>
      </c>
      <c r="BO1150" s="166">
        <v>0</v>
      </c>
      <c r="BP1150" s="166">
        <v>0</v>
      </c>
      <c r="BQ1150" s="81" t="s">
        <v>1758</v>
      </c>
      <c r="BZ1150" s="81" t="s">
        <v>155</v>
      </c>
      <c r="CA1150" s="81" t="s">
        <v>1937</v>
      </c>
      <c r="CC1150" s="167">
        <v>0</v>
      </c>
      <c r="CD1150" s="167">
        <f>$N1150/4</f>
        <v>0.5</v>
      </c>
      <c r="CE1150" s="167">
        <f>$N1150/4</f>
        <v>0.5</v>
      </c>
      <c r="CF1150" s="167">
        <f>$N1150/4</f>
        <v>0.5</v>
      </c>
      <c r="CG1150" s="167">
        <f>$N1150/4</f>
        <v>0.5</v>
      </c>
      <c r="CH1150" s="167">
        <v>0</v>
      </c>
      <c r="CI1150" s="167">
        <v>0</v>
      </c>
      <c r="CJ1150" s="167">
        <v>0</v>
      </c>
      <c r="CK1150" s="167">
        <v>0</v>
      </c>
      <c r="CL1150" s="167">
        <v>0</v>
      </c>
      <c r="CM1150" s="167">
        <v>0</v>
      </c>
      <c r="CN1150" s="167">
        <v>0</v>
      </c>
      <c r="CO1150" s="167">
        <v>0</v>
      </c>
      <c r="CP1150" s="167">
        <v>0</v>
      </c>
      <c r="CQ1150" s="167">
        <v>0</v>
      </c>
      <c r="CR1150" s="167">
        <v>0</v>
      </c>
      <c r="CS1150" s="167">
        <v>0</v>
      </c>
      <c r="CT1150" s="167">
        <v>0</v>
      </c>
      <c r="CU1150" s="167">
        <v>0</v>
      </c>
      <c r="CV1150" s="167">
        <v>0</v>
      </c>
      <c r="CW1150" s="167">
        <v>0</v>
      </c>
      <c r="CX1150" s="167">
        <f>SUM(CD1150:CH1150)</f>
        <v>2</v>
      </c>
      <c r="CY1150" s="167">
        <f>SUM(CD1150:CM1150)</f>
        <v>2</v>
      </c>
    </row>
    <row r="1151" spans="1:103" ht="12.75" customHeight="1" x14ac:dyDescent="0.2">
      <c r="A1151" s="81">
        <v>6846</v>
      </c>
      <c r="B1151" s="165" t="s">
        <v>1930</v>
      </c>
      <c r="C1151" s="165" t="s">
        <v>2985</v>
      </c>
      <c r="E1151" s="165" t="s">
        <v>2370</v>
      </c>
      <c r="G1151" s="81">
        <v>527474</v>
      </c>
      <c r="H1151" s="81">
        <v>174921</v>
      </c>
      <c r="I1151" s="165" t="s">
        <v>255</v>
      </c>
      <c r="L1151" s="166">
        <v>0</v>
      </c>
      <c r="M1151" s="166">
        <v>1</v>
      </c>
      <c r="N1151" s="166">
        <v>1</v>
      </c>
      <c r="O1151" s="166">
        <v>1</v>
      </c>
      <c r="P1151" s="166">
        <v>1</v>
      </c>
      <c r="R1151" s="165" t="s">
        <v>2986</v>
      </c>
      <c r="S1151" s="81" t="s">
        <v>113</v>
      </c>
      <c r="T1151" s="349">
        <v>43047</v>
      </c>
      <c r="U1151" s="349">
        <v>43110</v>
      </c>
      <c r="V1151" s="81" t="s">
        <v>155</v>
      </c>
      <c r="W1151" s="81" t="s">
        <v>114</v>
      </c>
      <c r="Y1151" s="81" t="s">
        <v>115</v>
      </c>
      <c r="Z1151" s="81" t="s">
        <v>219</v>
      </c>
      <c r="AA1151" s="81" t="s">
        <v>117</v>
      </c>
      <c r="AB1151" s="81" t="s">
        <v>3889</v>
      </c>
      <c r="AC1151" s="166">
        <v>3.0000000260770299E-3</v>
      </c>
      <c r="AG1151" s="81" t="s">
        <v>238</v>
      </c>
      <c r="AH1151" s="81" t="s">
        <v>118</v>
      </c>
      <c r="AK1151" s="166">
        <v>0</v>
      </c>
      <c r="AM1151" s="166">
        <v>0</v>
      </c>
      <c r="AO1151" s="166">
        <v>0</v>
      </c>
      <c r="AP1151" s="166">
        <v>0</v>
      </c>
      <c r="AQ1151" s="166">
        <v>1</v>
      </c>
      <c r="AR1151" s="166">
        <v>0</v>
      </c>
      <c r="AS1151" s="166">
        <v>0</v>
      </c>
      <c r="AT1151" s="166">
        <v>0</v>
      </c>
      <c r="AU1151" s="166">
        <v>0</v>
      </c>
      <c r="AV1151" s="166">
        <v>0</v>
      </c>
      <c r="AW1151" s="166">
        <v>0</v>
      </c>
      <c r="AX1151" s="166">
        <v>1</v>
      </c>
      <c r="AY1151" s="166">
        <v>0</v>
      </c>
      <c r="AZ1151" s="166">
        <v>0</v>
      </c>
      <c r="BA1151" s="166">
        <v>0</v>
      </c>
      <c r="BB1151" s="166">
        <v>0</v>
      </c>
      <c r="BC1151" s="166">
        <v>0</v>
      </c>
      <c r="BD1151" s="166">
        <v>0</v>
      </c>
      <c r="BE1151" s="166">
        <v>0</v>
      </c>
      <c r="BF1151" s="166">
        <v>0</v>
      </c>
      <c r="BG1151" s="166">
        <v>0</v>
      </c>
      <c r="BH1151" s="166">
        <v>0</v>
      </c>
      <c r="BI1151" s="166">
        <v>0</v>
      </c>
      <c r="BJ1151" s="166">
        <v>0</v>
      </c>
      <c r="BK1151" s="166">
        <v>0</v>
      </c>
      <c r="BL1151" s="166">
        <v>0</v>
      </c>
      <c r="BM1151" s="166">
        <v>0</v>
      </c>
      <c r="BN1151" s="166">
        <v>0</v>
      </c>
      <c r="BO1151" s="166">
        <v>0</v>
      </c>
      <c r="BP1151" s="166">
        <v>0</v>
      </c>
      <c r="BQ1151" s="81" t="s">
        <v>1757</v>
      </c>
      <c r="BR1151" s="81" t="s">
        <v>160</v>
      </c>
      <c r="BZ1151" s="81" t="s">
        <v>155</v>
      </c>
      <c r="CA1151" s="81" t="s">
        <v>1937</v>
      </c>
      <c r="CC1151" s="167">
        <v>0</v>
      </c>
      <c r="CD1151" s="167">
        <f>$N1151/4</f>
        <v>0.25</v>
      </c>
      <c r="CE1151" s="167">
        <f>$N1151/4</f>
        <v>0.25</v>
      </c>
      <c r="CF1151" s="167">
        <f>$N1151/4</f>
        <v>0.25</v>
      </c>
      <c r="CG1151" s="167">
        <f>$N1151/4</f>
        <v>0.25</v>
      </c>
      <c r="CH1151" s="167">
        <v>0</v>
      </c>
      <c r="CI1151" s="167">
        <v>0</v>
      </c>
      <c r="CJ1151" s="167">
        <v>0</v>
      </c>
      <c r="CK1151" s="167">
        <v>0</v>
      </c>
      <c r="CL1151" s="167">
        <v>0</v>
      </c>
      <c r="CM1151" s="167">
        <v>0</v>
      </c>
      <c r="CN1151" s="167">
        <v>0</v>
      </c>
      <c r="CO1151" s="167">
        <v>0</v>
      </c>
      <c r="CP1151" s="167">
        <v>0</v>
      </c>
      <c r="CQ1151" s="167">
        <v>0</v>
      </c>
      <c r="CR1151" s="167">
        <v>0</v>
      </c>
      <c r="CS1151" s="167">
        <v>0</v>
      </c>
      <c r="CT1151" s="167">
        <v>0</v>
      </c>
      <c r="CU1151" s="167">
        <v>0</v>
      </c>
      <c r="CV1151" s="167">
        <v>0</v>
      </c>
      <c r="CW1151" s="167">
        <v>0</v>
      </c>
      <c r="CX1151" s="167">
        <f>SUM(CD1151:CH1151)</f>
        <v>1</v>
      </c>
      <c r="CY1151" s="167">
        <f>SUM(CD1151:CM1151)</f>
        <v>1</v>
      </c>
    </row>
    <row r="1152" spans="1:103" ht="12.75" customHeight="1" x14ac:dyDescent="0.2">
      <c r="A1152" s="81">
        <v>6912</v>
      </c>
      <c r="B1152" s="165" t="s">
        <v>1930</v>
      </c>
      <c r="C1152" s="165" t="s">
        <v>2987</v>
      </c>
      <c r="E1152" s="165" t="s">
        <v>2988</v>
      </c>
      <c r="G1152" s="81">
        <v>526829</v>
      </c>
      <c r="H1152" s="81">
        <v>172839</v>
      </c>
      <c r="I1152" s="165" t="s">
        <v>260</v>
      </c>
      <c r="L1152" s="166">
        <v>0</v>
      </c>
      <c r="M1152" s="166">
        <v>1</v>
      </c>
      <c r="N1152" s="166">
        <v>1</v>
      </c>
      <c r="O1152" s="166">
        <v>1</v>
      </c>
      <c r="P1152" s="166">
        <v>1</v>
      </c>
      <c r="R1152" s="165" t="s">
        <v>2989</v>
      </c>
      <c r="S1152" s="81" t="s">
        <v>113</v>
      </c>
      <c r="T1152" s="349">
        <v>42549</v>
      </c>
      <c r="U1152" s="349">
        <v>42605</v>
      </c>
      <c r="W1152" s="81" t="s">
        <v>114</v>
      </c>
      <c r="Y1152" s="81" t="s">
        <v>115</v>
      </c>
      <c r="Z1152" s="81" t="s">
        <v>116</v>
      </c>
      <c r="AA1152" s="81" t="s">
        <v>117</v>
      </c>
      <c r="AB1152" s="81" t="s">
        <v>218</v>
      </c>
      <c r="AC1152" s="166">
        <v>3.0000000260770299E-3</v>
      </c>
      <c r="AG1152" s="81" t="s">
        <v>238</v>
      </c>
      <c r="AH1152" s="81" t="s">
        <v>118</v>
      </c>
      <c r="AK1152" s="166">
        <v>0</v>
      </c>
      <c r="AM1152" s="166">
        <v>0</v>
      </c>
      <c r="AO1152" s="166">
        <v>1</v>
      </c>
      <c r="AP1152" s="166">
        <v>0</v>
      </c>
      <c r="AQ1152" s="166">
        <v>0</v>
      </c>
      <c r="AR1152" s="166">
        <v>0</v>
      </c>
      <c r="AS1152" s="166">
        <v>0</v>
      </c>
      <c r="AT1152" s="166">
        <v>0</v>
      </c>
      <c r="AU1152" s="166">
        <v>0</v>
      </c>
      <c r="AV1152" s="166">
        <v>1</v>
      </c>
      <c r="AW1152" s="166">
        <v>0</v>
      </c>
      <c r="AX1152" s="166">
        <v>0</v>
      </c>
      <c r="AY1152" s="166">
        <v>0</v>
      </c>
      <c r="AZ1152" s="166">
        <v>0</v>
      </c>
      <c r="BA1152" s="166">
        <v>0</v>
      </c>
      <c r="BB1152" s="166">
        <v>0</v>
      </c>
      <c r="BC1152" s="166">
        <v>0</v>
      </c>
      <c r="BD1152" s="166">
        <v>0</v>
      </c>
      <c r="BE1152" s="166">
        <v>0</v>
      </c>
      <c r="BF1152" s="166">
        <v>0</v>
      </c>
      <c r="BG1152" s="166">
        <v>0</v>
      </c>
      <c r="BH1152" s="166">
        <v>0</v>
      </c>
      <c r="BI1152" s="166">
        <v>0</v>
      </c>
      <c r="BJ1152" s="166">
        <v>0</v>
      </c>
      <c r="BK1152" s="166">
        <v>0</v>
      </c>
      <c r="BL1152" s="166">
        <v>0</v>
      </c>
      <c r="BM1152" s="166">
        <v>0</v>
      </c>
      <c r="BN1152" s="166">
        <v>0</v>
      </c>
      <c r="BO1152" s="166">
        <v>0</v>
      </c>
      <c r="BP1152" s="166">
        <v>0</v>
      </c>
      <c r="BQ1152" s="81" t="s">
        <v>1758</v>
      </c>
      <c r="BZ1152" s="81" t="s">
        <v>155</v>
      </c>
      <c r="CA1152" s="81">
        <v>4</v>
      </c>
      <c r="CC1152" s="167">
        <v>0</v>
      </c>
      <c r="CD1152" s="167">
        <v>0</v>
      </c>
      <c r="CE1152" s="167">
        <f>$N1152/4</f>
        <v>0.25</v>
      </c>
      <c r="CF1152" s="167">
        <f>$N1152/4</f>
        <v>0.25</v>
      </c>
      <c r="CG1152" s="167">
        <f>$N1152/4</f>
        <v>0.25</v>
      </c>
      <c r="CH1152" s="167">
        <f>$N1152/4</f>
        <v>0.25</v>
      </c>
      <c r="CI1152" s="167">
        <v>0</v>
      </c>
      <c r="CJ1152" s="167">
        <v>0</v>
      </c>
      <c r="CK1152" s="167">
        <v>0</v>
      </c>
      <c r="CL1152" s="167">
        <v>0</v>
      </c>
      <c r="CM1152" s="167">
        <v>0</v>
      </c>
      <c r="CN1152" s="167">
        <v>0</v>
      </c>
      <c r="CO1152" s="167">
        <v>0</v>
      </c>
      <c r="CP1152" s="167">
        <v>0</v>
      </c>
      <c r="CQ1152" s="167">
        <v>0</v>
      </c>
      <c r="CR1152" s="167">
        <v>0</v>
      </c>
      <c r="CS1152" s="167">
        <v>0</v>
      </c>
      <c r="CT1152" s="167">
        <v>0</v>
      </c>
      <c r="CU1152" s="167">
        <v>0</v>
      </c>
      <c r="CV1152" s="167">
        <v>0</v>
      </c>
      <c r="CW1152" s="167">
        <v>0</v>
      </c>
      <c r="CX1152" s="167">
        <f>SUM(CD1152:CH1152)</f>
        <v>1</v>
      </c>
      <c r="CY1152" s="167">
        <f>SUM(CD1152:CM1152)</f>
        <v>1</v>
      </c>
    </row>
    <row r="1153" spans="1:103" ht="12.75" customHeight="1" x14ac:dyDescent="0.2">
      <c r="A1153" s="81">
        <v>6922</v>
      </c>
      <c r="B1153" s="165" t="s">
        <v>1930</v>
      </c>
      <c r="C1153" s="165" t="s">
        <v>2990</v>
      </c>
      <c r="E1153" s="165" t="s">
        <v>2991</v>
      </c>
      <c r="G1153" s="81">
        <v>529004</v>
      </c>
      <c r="H1153" s="81">
        <v>171330</v>
      </c>
      <c r="I1153" s="165" t="s">
        <v>252</v>
      </c>
      <c r="L1153" s="166">
        <v>0</v>
      </c>
      <c r="M1153" s="166">
        <v>1</v>
      </c>
      <c r="N1153" s="166">
        <v>1</v>
      </c>
      <c r="O1153" s="166">
        <v>1</v>
      </c>
      <c r="P1153" s="166">
        <v>1</v>
      </c>
      <c r="R1153" s="165" t="s">
        <v>2992</v>
      </c>
      <c r="S1153" s="81" t="s">
        <v>113</v>
      </c>
      <c r="T1153" s="349">
        <v>42615</v>
      </c>
      <c r="U1153" s="349">
        <v>42656</v>
      </c>
      <c r="W1153" s="81" t="s">
        <v>114</v>
      </c>
      <c r="Y1153" s="81" t="s">
        <v>115</v>
      </c>
      <c r="Z1153" s="81" t="s">
        <v>116</v>
      </c>
      <c r="AA1153" s="81" t="s">
        <v>117</v>
      </c>
      <c r="AB1153" s="81" t="s">
        <v>218</v>
      </c>
      <c r="AC1153" s="166">
        <v>8.0000003799796104E-3</v>
      </c>
      <c r="AG1153" s="81" t="s">
        <v>238</v>
      </c>
      <c r="AH1153" s="81" t="s">
        <v>118</v>
      </c>
      <c r="AK1153" s="166">
        <v>0</v>
      </c>
      <c r="AM1153" s="166">
        <v>0</v>
      </c>
      <c r="AO1153" s="166">
        <v>0</v>
      </c>
      <c r="AP1153" s="166">
        <v>1</v>
      </c>
      <c r="AQ1153" s="166">
        <v>0</v>
      </c>
      <c r="AR1153" s="166">
        <v>0</v>
      </c>
      <c r="AS1153" s="166">
        <v>0</v>
      </c>
      <c r="AT1153" s="166">
        <v>0</v>
      </c>
      <c r="AU1153" s="166">
        <v>0</v>
      </c>
      <c r="AV1153" s="166">
        <v>0</v>
      </c>
      <c r="AW1153" s="166">
        <v>1</v>
      </c>
      <c r="AX1153" s="166">
        <v>0</v>
      </c>
      <c r="AY1153" s="166">
        <v>0</v>
      </c>
      <c r="AZ1153" s="166">
        <v>0</v>
      </c>
      <c r="BA1153" s="166">
        <v>0</v>
      </c>
      <c r="BB1153" s="166">
        <v>0</v>
      </c>
      <c r="BC1153" s="166">
        <v>0</v>
      </c>
      <c r="BD1153" s="166">
        <v>0</v>
      </c>
      <c r="BE1153" s="166">
        <v>0</v>
      </c>
      <c r="BF1153" s="166">
        <v>0</v>
      </c>
      <c r="BG1153" s="166">
        <v>0</v>
      </c>
      <c r="BH1153" s="166">
        <v>0</v>
      </c>
      <c r="BI1153" s="166">
        <v>0</v>
      </c>
      <c r="BJ1153" s="166">
        <v>0</v>
      </c>
      <c r="BK1153" s="166">
        <v>0</v>
      </c>
      <c r="BL1153" s="166">
        <v>0</v>
      </c>
      <c r="BM1153" s="166">
        <v>0</v>
      </c>
      <c r="BN1153" s="166">
        <v>0</v>
      </c>
      <c r="BO1153" s="166">
        <v>0</v>
      </c>
      <c r="BP1153" s="166">
        <v>0</v>
      </c>
      <c r="BQ1153" s="81" t="s">
        <v>1757</v>
      </c>
      <c r="BZ1153" s="81" t="s">
        <v>155</v>
      </c>
      <c r="CA1153" s="81">
        <v>4</v>
      </c>
      <c r="CC1153" s="167">
        <v>0</v>
      </c>
      <c r="CD1153" s="167">
        <v>0</v>
      </c>
      <c r="CE1153" s="167">
        <f>$N1153/4</f>
        <v>0.25</v>
      </c>
      <c r="CF1153" s="167">
        <f>$N1153/4</f>
        <v>0.25</v>
      </c>
      <c r="CG1153" s="167">
        <f>$N1153/4</f>
        <v>0.25</v>
      </c>
      <c r="CH1153" s="167">
        <f>$N1153/4</f>
        <v>0.25</v>
      </c>
      <c r="CI1153" s="167">
        <v>0</v>
      </c>
      <c r="CJ1153" s="167">
        <v>0</v>
      </c>
      <c r="CK1153" s="167">
        <v>0</v>
      </c>
      <c r="CL1153" s="167">
        <v>0</v>
      </c>
      <c r="CM1153" s="167">
        <v>0</v>
      </c>
      <c r="CN1153" s="167">
        <v>0</v>
      </c>
      <c r="CO1153" s="167">
        <v>0</v>
      </c>
      <c r="CP1153" s="167">
        <v>0</v>
      </c>
      <c r="CQ1153" s="167">
        <v>0</v>
      </c>
      <c r="CR1153" s="167">
        <v>0</v>
      </c>
      <c r="CS1153" s="167">
        <v>0</v>
      </c>
      <c r="CT1153" s="167">
        <v>0</v>
      </c>
      <c r="CU1153" s="167">
        <v>0</v>
      </c>
      <c r="CV1153" s="167">
        <v>0</v>
      </c>
      <c r="CW1153" s="167">
        <v>0</v>
      </c>
      <c r="CX1153" s="167">
        <f>SUM(CD1153:CH1153)</f>
        <v>1</v>
      </c>
      <c r="CY1153" s="167">
        <f>SUM(CD1153:CM1153)</f>
        <v>1</v>
      </c>
    </row>
    <row r="1154" spans="1:103" ht="12.75" customHeight="1" x14ac:dyDescent="0.2">
      <c r="A1154" s="81">
        <v>464</v>
      </c>
      <c r="B1154" s="165" t="s">
        <v>1952</v>
      </c>
      <c r="C1154" s="165" t="s">
        <v>1714</v>
      </c>
      <c r="D1154" s="165" t="s">
        <v>1715</v>
      </c>
      <c r="E1154" s="165" t="s">
        <v>1953</v>
      </c>
      <c r="G1154" s="81">
        <v>529375</v>
      </c>
      <c r="H1154" s="81">
        <v>177215</v>
      </c>
      <c r="I1154" s="165" t="s">
        <v>240</v>
      </c>
      <c r="L1154" s="166">
        <v>0</v>
      </c>
      <c r="M1154" s="166">
        <v>230</v>
      </c>
      <c r="N1154" s="166">
        <v>230</v>
      </c>
      <c r="O1154" s="166">
        <v>307</v>
      </c>
      <c r="P1154" s="166">
        <v>307</v>
      </c>
      <c r="Q1154" s="81" t="s">
        <v>155</v>
      </c>
      <c r="R1154" s="165" t="s">
        <v>1716</v>
      </c>
      <c r="S1154" s="81" t="s">
        <v>53</v>
      </c>
      <c r="T1154" s="349">
        <v>42338</v>
      </c>
      <c r="W1154" s="81" t="s">
        <v>114</v>
      </c>
      <c r="Y1154" s="81" t="s">
        <v>115</v>
      </c>
      <c r="Z1154" s="81" t="s">
        <v>116</v>
      </c>
      <c r="AA1154" s="81" t="s">
        <v>116</v>
      </c>
      <c r="AB1154" s="81" t="s">
        <v>117</v>
      </c>
      <c r="AC1154" s="166">
        <v>0</v>
      </c>
      <c r="AG1154" s="81" t="s">
        <v>238</v>
      </c>
      <c r="AH1154" s="81" t="s">
        <v>118</v>
      </c>
      <c r="AI1154" s="81" t="s">
        <v>1954</v>
      </c>
      <c r="AK1154" s="166">
        <v>0</v>
      </c>
      <c r="AM1154" s="166">
        <v>0</v>
      </c>
      <c r="AO1154" s="166">
        <v>1</v>
      </c>
      <c r="AP1154" s="166">
        <v>55</v>
      </c>
      <c r="AQ1154" s="166">
        <v>151</v>
      </c>
      <c r="AR1154" s="166">
        <v>22</v>
      </c>
      <c r="AS1154" s="166">
        <v>1</v>
      </c>
      <c r="AT1154" s="166">
        <v>0</v>
      </c>
      <c r="AU1154" s="166">
        <v>0</v>
      </c>
      <c r="AV1154" s="166">
        <v>1</v>
      </c>
      <c r="AW1154" s="166">
        <v>55</v>
      </c>
      <c r="AX1154" s="166">
        <v>151</v>
      </c>
      <c r="AY1154" s="166">
        <v>22</v>
      </c>
      <c r="AZ1154" s="166">
        <v>1</v>
      </c>
      <c r="BA1154" s="166">
        <v>0</v>
      </c>
      <c r="BB1154" s="166">
        <v>0</v>
      </c>
      <c r="BC1154" s="166">
        <v>0</v>
      </c>
      <c r="BD1154" s="166">
        <v>0</v>
      </c>
      <c r="BE1154" s="166">
        <v>0</v>
      </c>
      <c r="BF1154" s="166">
        <v>0</v>
      </c>
      <c r="BG1154" s="166">
        <v>0</v>
      </c>
      <c r="BH1154" s="166">
        <v>0</v>
      </c>
      <c r="BI1154" s="166">
        <v>0</v>
      </c>
      <c r="BJ1154" s="166">
        <v>0</v>
      </c>
      <c r="BK1154" s="166">
        <v>0</v>
      </c>
      <c r="BL1154" s="166">
        <v>0</v>
      </c>
      <c r="BM1154" s="166">
        <v>0</v>
      </c>
      <c r="BN1154" s="166">
        <v>0</v>
      </c>
      <c r="BO1154" s="166">
        <v>0</v>
      </c>
      <c r="BP1154" s="166">
        <v>0</v>
      </c>
      <c r="BQ1154" s="81" t="s">
        <v>1759</v>
      </c>
      <c r="BS1154" s="81" t="s">
        <v>155</v>
      </c>
      <c r="BZ1154" s="81" t="s">
        <v>155</v>
      </c>
      <c r="CA1154" s="81">
        <v>12</v>
      </c>
      <c r="CC1154" s="167">
        <v>0</v>
      </c>
      <c r="CD1154" s="167">
        <v>0</v>
      </c>
      <c r="CE1154" s="167">
        <v>0</v>
      </c>
      <c r="CF1154" s="167">
        <v>0</v>
      </c>
      <c r="CG1154" s="167">
        <v>0</v>
      </c>
      <c r="CH1154" s="167">
        <f>N1154</f>
        <v>230</v>
      </c>
      <c r="CI1154" s="167">
        <v>0</v>
      </c>
      <c r="CJ1154" s="167">
        <v>0</v>
      </c>
      <c r="CK1154" s="167">
        <v>0</v>
      </c>
      <c r="CL1154" s="167">
        <v>0</v>
      </c>
      <c r="CM1154" s="167">
        <v>0</v>
      </c>
      <c r="CN1154" s="167">
        <v>0</v>
      </c>
      <c r="CO1154" s="167">
        <v>0</v>
      </c>
      <c r="CP1154" s="167">
        <v>0</v>
      </c>
      <c r="CQ1154" s="167">
        <v>0</v>
      </c>
      <c r="CR1154" s="167">
        <v>0</v>
      </c>
      <c r="CS1154" s="167">
        <v>0</v>
      </c>
      <c r="CT1154" s="167">
        <v>0</v>
      </c>
      <c r="CU1154" s="167">
        <v>0</v>
      </c>
      <c r="CV1154" s="167">
        <v>0</v>
      </c>
      <c r="CW1154" s="167">
        <v>0</v>
      </c>
      <c r="CX1154" s="167">
        <f>SUM(CD1154:CH1154)</f>
        <v>230</v>
      </c>
      <c r="CY1154" s="167">
        <f>SUM(CD1154:CM1154)</f>
        <v>230</v>
      </c>
    </row>
    <row r="1155" spans="1:103" ht="12.75" customHeight="1" x14ac:dyDescent="0.2">
      <c r="A1155" s="81">
        <v>464</v>
      </c>
      <c r="B1155" s="165" t="s">
        <v>1952</v>
      </c>
      <c r="C1155" s="165" t="s">
        <v>1714</v>
      </c>
      <c r="D1155" s="165" t="s">
        <v>1715</v>
      </c>
      <c r="E1155" s="165" t="s">
        <v>1953</v>
      </c>
      <c r="G1155" s="81">
        <v>529375</v>
      </c>
      <c r="H1155" s="81">
        <v>177215</v>
      </c>
      <c r="I1155" s="165" t="s">
        <v>240</v>
      </c>
      <c r="L1155" s="166">
        <v>0</v>
      </c>
      <c r="M1155" s="166">
        <v>57</v>
      </c>
      <c r="N1155" s="166">
        <v>57</v>
      </c>
      <c r="O1155" s="166">
        <v>307</v>
      </c>
      <c r="P1155" s="166">
        <v>307</v>
      </c>
      <c r="Q1155" s="81" t="s">
        <v>155</v>
      </c>
      <c r="R1155" s="165" t="s">
        <v>1716</v>
      </c>
      <c r="S1155" s="81" t="s">
        <v>53</v>
      </c>
      <c r="T1155" s="349">
        <v>42338</v>
      </c>
      <c r="W1155" s="81" t="s">
        <v>114</v>
      </c>
      <c r="Y1155" s="81" t="s">
        <v>115</v>
      </c>
      <c r="Z1155" s="81" t="s">
        <v>116</v>
      </c>
      <c r="AA1155" s="81" t="s">
        <v>116</v>
      </c>
      <c r="AB1155" s="81" t="s">
        <v>117</v>
      </c>
      <c r="AC1155" s="166">
        <v>0</v>
      </c>
      <c r="AG1155" s="81" t="s">
        <v>74</v>
      </c>
      <c r="AH1155" s="81" t="s">
        <v>880</v>
      </c>
      <c r="AI1155" s="81" t="s">
        <v>1954</v>
      </c>
      <c r="AK1155" s="166">
        <v>0</v>
      </c>
      <c r="AM1155" s="166">
        <v>0</v>
      </c>
      <c r="AO1155" s="166">
        <v>0</v>
      </c>
      <c r="AP1155" s="166">
        <v>22</v>
      </c>
      <c r="AQ1155" s="166">
        <v>35</v>
      </c>
      <c r="AR1155" s="166">
        <v>0</v>
      </c>
      <c r="AS1155" s="166">
        <v>0</v>
      </c>
      <c r="AT1155" s="166">
        <v>0</v>
      </c>
      <c r="AU1155" s="166">
        <v>0</v>
      </c>
      <c r="AV1155" s="166">
        <v>0</v>
      </c>
      <c r="AW1155" s="166">
        <v>22</v>
      </c>
      <c r="AX1155" s="166">
        <v>35</v>
      </c>
      <c r="AY1155" s="166">
        <v>0</v>
      </c>
      <c r="AZ1155" s="166">
        <v>0</v>
      </c>
      <c r="BA1155" s="166">
        <v>0</v>
      </c>
      <c r="BB1155" s="166">
        <v>0</v>
      </c>
      <c r="BC1155" s="166">
        <v>0</v>
      </c>
      <c r="BD1155" s="166">
        <v>0</v>
      </c>
      <c r="BE1155" s="166">
        <v>0</v>
      </c>
      <c r="BF1155" s="166">
        <v>0</v>
      </c>
      <c r="BG1155" s="166">
        <v>0</v>
      </c>
      <c r="BH1155" s="166">
        <v>0</v>
      </c>
      <c r="BI1155" s="166">
        <v>0</v>
      </c>
      <c r="BJ1155" s="166">
        <v>0</v>
      </c>
      <c r="BK1155" s="166">
        <v>0</v>
      </c>
      <c r="BL1155" s="166">
        <v>0</v>
      </c>
      <c r="BM1155" s="166">
        <v>0</v>
      </c>
      <c r="BN1155" s="166">
        <v>0</v>
      </c>
      <c r="BO1155" s="166">
        <v>0</v>
      </c>
      <c r="BP1155" s="166">
        <v>0</v>
      </c>
      <c r="BQ1155" s="81" t="s">
        <v>1759</v>
      </c>
      <c r="BS1155" s="81" t="s">
        <v>155</v>
      </c>
      <c r="BZ1155" s="81" t="s">
        <v>155</v>
      </c>
      <c r="CA1155" s="81">
        <v>12</v>
      </c>
      <c r="CC1155" s="167">
        <v>0</v>
      </c>
      <c r="CD1155" s="167">
        <v>0</v>
      </c>
      <c r="CE1155" s="167">
        <v>0</v>
      </c>
      <c r="CF1155" s="167">
        <v>0</v>
      </c>
      <c r="CG1155" s="167">
        <v>0</v>
      </c>
      <c r="CH1155" s="167">
        <f>N1155</f>
        <v>57</v>
      </c>
      <c r="CI1155" s="167">
        <v>0</v>
      </c>
      <c r="CJ1155" s="167">
        <v>0</v>
      </c>
      <c r="CK1155" s="167">
        <v>0</v>
      </c>
      <c r="CL1155" s="167">
        <v>0</v>
      </c>
      <c r="CM1155" s="167">
        <v>0</v>
      </c>
      <c r="CN1155" s="167">
        <v>0</v>
      </c>
      <c r="CO1155" s="167">
        <v>0</v>
      </c>
      <c r="CP1155" s="167">
        <v>0</v>
      </c>
      <c r="CQ1155" s="167">
        <v>0</v>
      </c>
      <c r="CR1155" s="167">
        <v>0</v>
      </c>
      <c r="CS1155" s="167">
        <v>0</v>
      </c>
      <c r="CT1155" s="167">
        <v>0</v>
      </c>
      <c r="CU1155" s="167">
        <v>0</v>
      </c>
      <c r="CV1155" s="167">
        <v>0</v>
      </c>
      <c r="CW1155" s="167">
        <v>0</v>
      </c>
      <c r="CX1155" s="167">
        <f>SUM(CD1155:CH1155)</f>
        <v>57</v>
      </c>
      <c r="CY1155" s="167">
        <f>SUM(CD1155:CM1155)</f>
        <v>57</v>
      </c>
    </row>
    <row r="1156" spans="1:103" ht="12.75" customHeight="1" x14ac:dyDescent="0.2">
      <c r="A1156" s="81">
        <v>464</v>
      </c>
      <c r="B1156" s="165" t="s">
        <v>1952</v>
      </c>
      <c r="C1156" s="165" t="s">
        <v>1714</v>
      </c>
      <c r="D1156" s="165" t="s">
        <v>1715</v>
      </c>
      <c r="E1156" s="165" t="s">
        <v>1953</v>
      </c>
      <c r="G1156" s="81">
        <v>529375</v>
      </c>
      <c r="H1156" s="81">
        <v>177215</v>
      </c>
      <c r="I1156" s="165" t="s">
        <v>240</v>
      </c>
      <c r="L1156" s="166">
        <v>0</v>
      </c>
      <c r="M1156" s="166">
        <v>20</v>
      </c>
      <c r="N1156" s="166">
        <v>20</v>
      </c>
      <c r="O1156" s="166">
        <v>307</v>
      </c>
      <c r="P1156" s="166">
        <v>307</v>
      </c>
      <c r="Q1156" s="81" t="s">
        <v>155</v>
      </c>
      <c r="R1156" s="165" t="s">
        <v>1716</v>
      </c>
      <c r="S1156" s="81" t="s">
        <v>53</v>
      </c>
      <c r="T1156" s="349">
        <v>42338</v>
      </c>
      <c r="W1156" s="81" t="s">
        <v>114</v>
      </c>
      <c r="Y1156" s="81" t="s">
        <v>115</v>
      </c>
      <c r="Z1156" s="81" t="s">
        <v>116</v>
      </c>
      <c r="AA1156" s="81" t="s">
        <v>116</v>
      </c>
      <c r="AB1156" s="81" t="s">
        <v>117</v>
      </c>
      <c r="AC1156" s="166">
        <v>0</v>
      </c>
      <c r="AG1156" s="81" t="s">
        <v>154</v>
      </c>
      <c r="AH1156" s="81" t="s">
        <v>276</v>
      </c>
      <c r="AI1156" s="81" t="s">
        <v>1954</v>
      </c>
      <c r="AK1156" s="166">
        <v>0</v>
      </c>
      <c r="AM1156" s="166">
        <v>0</v>
      </c>
      <c r="AO1156" s="166">
        <v>1</v>
      </c>
      <c r="AP1156" s="166">
        <v>7</v>
      </c>
      <c r="AQ1156" s="166">
        <v>8</v>
      </c>
      <c r="AR1156" s="166">
        <v>4</v>
      </c>
      <c r="AS1156" s="166">
        <v>0</v>
      </c>
      <c r="AT1156" s="166">
        <v>0</v>
      </c>
      <c r="AU1156" s="166">
        <v>0</v>
      </c>
      <c r="AV1156" s="166">
        <v>1</v>
      </c>
      <c r="AW1156" s="166">
        <v>7</v>
      </c>
      <c r="AX1156" s="166">
        <v>8</v>
      </c>
      <c r="AY1156" s="166">
        <v>4</v>
      </c>
      <c r="AZ1156" s="166">
        <v>0</v>
      </c>
      <c r="BA1156" s="166">
        <v>0</v>
      </c>
      <c r="BB1156" s="166">
        <v>0</v>
      </c>
      <c r="BC1156" s="166">
        <v>0</v>
      </c>
      <c r="BD1156" s="166">
        <v>0</v>
      </c>
      <c r="BE1156" s="166">
        <v>0</v>
      </c>
      <c r="BF1156" s="166">
        <v>0</v>
      </c>
      <c r="BG1156" s="166">
        <v>0</v>
      </c>
      <c r="BH1156" s="166">
        <v>0</v>
      </c>
      <c r="BI1156" s="166">
        <v>0</v>
      </c>
      <c r="BJ1156" s="166">
        <v>0</v>
      </c>
      <c r="BK1156" s="166">
        <v>0</v>
      </c>
      <c r="BL1156" s="166">
        <v>0</v>
      </c>
      <c r="BM1156" s="166">
        <v>0</v>
      </c>
      <c r="BN1156" s="166">
        <v>0</v>
      </c>
      <c r="BO1156" s="166">
        <v>0</v>
      </c>
      <c r="BP1156" s="166">
        <v>0</v>
      </c>
      <c r="BQ1156" s="81" t="s">
        <v>1759</v>
      </c>
      <c r="BS1156" s="81" t="s">
        <v>155</v>
      </c>
      <c r="BZ1156" s="81" t="s">
        <v>155</v>
      </c>
      <c r="CA1156" s="81">
        <v>12</v>
      </c>
      <c r="CC1156" s="167">
        <v>0</v>
      </c>
      <c r="CD1156" s="167">
        <v>0</v>
      </c>
      <c r="CE1156" s="167">
        <v>0</v>
      </c>
      <c r="CF1156" s="167">
        <v>0</v>
      </c>
      <c r="CG1156" s="167">
        <v>0</v>
      </c>
      <c r="CH1156" s="167">
        <f>N1156</f>
        <v>20</v>
      </c>
      <c r="CI1156" s="167">
        <v>0</v>
      </c>
      <c r="CJ1156" s="167">
        <v>0</v>
      </c>
      <c r="CK1156" s="167">
        <v>0</v>
      </c>
      <c r="CL1156" s="167">
        <v>0</v>
      </c>
      <c r="CM1156" s="167">
        <v>0</v>
      </c>
      <c r="CN1156" s="167">
        <v>0</v>
      </c>
      <c r="CO1156" s="167">
        <v>0</v>
      </c>
      <c r="CP1156" s="167">
        <v>0</v>
      </c>
      <c r="CQ1156" s="167">
        <v>0</v>
      </c>
      <c r="CR1156" s="167">
        <v>0</v>
      </c>
      <c r="CS1156" s="167">
        <v>0</v>
      </c>
      <c r="CT1156" s="167">
        <v>0</v>
      </c>
      <c r="CU1156" s="167">
        <v>0</v>
      </c>
      <c r="CV1156" s="167">
        <v>0</v>
      </c>
      <c r="CW1156" s="167">
        <v>0</v>
      </c>
      <c r="CX1156" s="167">
        <f>SUM(CD1156:CH1156)</f>
        <v>20</v>
      </c>
      <c r="CY1156" s="167">
        <f>SUM(CD1156:CM1156)</f>
        <v>20</v>
      </c>
    </row>
    <row r="1157" spans="1:103" ht="12.75" customHeight="1" x14ac:dyDescent="0.2">
      <c r="A1157" s="81">
        <v>1952</v>
      </c>
      <c r="B1157" s="165" t="s">
        <v>1952</v>
      </c>
      <c r="C1157" s="165" t="s">
        <v>1958</v>
      </c>
      <c r="E1157" s="165" t="s">
        <v>1959</v>
      </c>
      <c r="F1157" s="165" t="s">
        <v>1960</v>
      </c>
      <c r="G1157" s="81">
        <v>528781</v>
      </c>
      <c r="H1157" s="81">
        <v>177000</v>
      </c>
      <c r="I1157" s="165" t="s">
        <v>240</v>
      </c>
      <c r="L1157" s="166">
        <v>0</v>
      </c>
      <c r="M1157" s="166">
        <v>2</v>
      </c>
      <c r="N1157" s="166">
        <v>2</v>
      </c>
      <c r="O1157" s="166">
        <v>24</v>
      </c>
      <c r="P1157" s="166">
        <v>24</v>
      </c>
      <c r="Q1157" s="81" t="s">
        <v>155</v>
      </c>
      <c r="R1157" s="165" t="s">
        <v>1961</v>
      </c>
      <c r="S1157" s="81" t="s">
        <v>53</v>
      </c>
      <c r="T1157" s="349">
        <v>42657</v>
      </c>
      <c r="W1157" s="81" t="s">
        <v>114</v>
      </c>
      <c r="Y1157" s="81" t="s">
        <v>115</v>
      </c>
      <c r="Z1157" s="81" t="s">
        <v>116</v>
      </c>
      <c r="AA1157" s="81" t="s">
        <v>116</v>
      </c>
      <c r="AB1157" s="81" t="s">
        <v>117</v>
      </c>
      <c r="AC1157" s="166">
        <v>1.30000002682209E-2</v>
      </c>
      <c r="AG1157" s="81" t="s">
        <v>238</v>
      </c>
      <c r="AH1157" s="81" t="s">
        <v>118</v>
      </c>
      <c r="AK1157" s="166">
        <v>0</v>
      </c>
      <c r="AL1157" s="166">
        <v>2</v>
      </c>
      <c r="AM1157" s="166">
        <v>0</v>
      </c>
      <c r="AN1157" s="166">
        <v>0</v>
      </c>
      <c r="AO1157" s="166">
        <v>0</v>
      </c>
      <c r="AP1157" s="166">
        <v>1</v>
      </c>
      <c r="AQ1157" s="166">
        <v>1</v>
      </c>
      <c r="AR1157" s="166">
        <v>0</v>
      </c>
      <c r="AS1157" s="166">
        <v>0</v>
      </c>
      <c r="AT1157" s="166">
        <v>0</v>
      </c>
      <c r="AU1157" s="166">
        <v>0</v>
      </c>
      <c r="AV1157" s="166">
        <v>0</v>
      </c>
      <c r="AW1157" s="166">
        <v>1</v>
      </c>
      <c r="AX1157" s="166">
        <v>1</v>
      </c>
      <c r="AY1157" s="166">
        <v>0</v>
      </c>
      <c r="AZ1157" s="166">
        <v>0</v>
      </c>
      <c r="BA1157" s="166">
        <v>0</v>
      </c>
      <c r="BB1157" s="166">
        <v>0</v>
      </c>
      <c r="BC1157" s="166">
        <v>0</v>
      </c>
      <c r="BD1157" s="166">
        <v>0</v>
      </c>
      <c r="BE1157" s="166">
        <v>0</v>
      </c>
      <c r="BF1157" s="166">
        <v>0</v>
      </c>
      <c r="BG1157" s="166">
        <v>0</v>
      </c>
      <c r="BH1157" s="166">
        <v>0</v>
      </c>
      <c r="BI1157" s="166">
        <v>0</v>
      </c>
      <c r="BJ1157" s="166">
        <v>0</v>
      </c>
      <c r="BK1157" s="166">
        <v>0</v>
      </c>
      <c r="BL1157" s="166">
        <v>0</v>
      </c>
      <c r="BM1157" s="166">
        <v>0</v>
      </c>
      <c r="BN1157" s="166">
        <v>0</v>
      </c>
      <c r="BO1157" s="166">
        <v>0</v>
      </c>
      <c r="BP1157" s="166">
        <v>0</v>
      </c>
      <c r="BQ1157" s="81" t="s">
        <v>1759</v>
      </c>
      <c r="BS1157" s="81" t="s">
        <v>155</v>
      </c>
      <c r="BZ1157" s="81" t="s">
        <v>3991</v>
      </c>
      <c r="CA1157" s="81">
        <v>15</v>
      </c>
      <c r="CB1157" s="165" t="s">
        <v>3993</v>
      </c>
      <c r="CC1157" s="167">
        <v>0</v>
      </c>
      <c r="CD1157" s="167">
        <v>0</v>
      </c>
      <c r="CE1157" s="167">
        <v>0</v>
      </c>
      <c r="CF1157" s="167">
        <v>0</v>
      </c>
      <c r="CG1157" s="167">
        <v>0</v>
      </c>
      <c r="CH1157" s="167">
        <v>0</v>
      </c>
      <c r="CI1157" s="167">
        <v>0</v>
      </c>
      <c r="CJ1157" s="167">
        <v>0</v>
      </c>
      <c r="CK1157" s="167">
        <v>0</v>
      </c>
      <c r="CL1157" s="167">
        <v>0</v>
      </c>
      <c r="CM1157" s="167">
        <v>0</v>
      </c>
      <c r="CN1157" s="167">
        <v>0</v>
      </c>
      <c r="CO1157" s="167">
        <v>0</v>
      </c>
      <c r="CP1157" s="167">
        <v>0</v>
      </c>
      <c r="CQ1157" s="167">
        <v>0</v>
      </c>
      <c r="CR1157" s="167">
        <v>0</v>
      </c>
      <c r="CS1157" s="167">
        <v>0</v>
      </c>
      <c r="CT1157" s="167">
        <v>0</v>
      </c>
      <c r="CU1157" s="167">
        <v>0</v>
      </c>
      <c r="CV1157" s="167">
        <v>0</v>
      </c>
      <c r="CW1157" s="167">
        <v>0</v>
      </c>
      <c r="CX1157" s="167">
        <f>SUM(CD1157:CH1157)</f>
        <v>0</v>
      </c>
      <c r="CY1157" s="167">
        <f>SUM(CD1157:CM1157)</f>
        <v>0</v>
      </c>
    </row>
    <row r="1158" spans="1:103" ht="12.75" customHeight="1" x14ac:dyDescent="0.2">
      <c r="A1158" s="81">
        <v>1952</v>
      </c>
      <c r="B1158" s="165" t="s">
        <v>1952</v>
      </c>
      <c r="C1158" s="165" t="s">
        <v>1958</v>
      </c>
      <c r="E1158" s="165" t="s">
        <v>1959</v>
      </c>
      <c r="F1158" s="165" t="s">
        <v>1962</v>
      </c>
      <c r="G1158" s="81">
        <v>528781</v>
      </c>
      <c r="H1158" s="81">
        <v>177000</v>
      </c>
      <c r="I1158" s="165" t="s">
        <v>240</v>
      </c>
      <c r="L1158" s="166">
        <v>0</v>
      </c>
      <c r="M1158" s="166">
        <v>4</v>
      </c>
      <c r="N1158" s="166">
        <v>4</v>
      </c>
      <c r="O1158" s="166">
        <v>24</v>
      </c>
      <c r="P1158" s="166">
        <v>24</v>
      </c>
      <c r="Q1158" s="81" t="s">
        <v>155</v>
      </c>
      <c r="R1158" s="165" t="s">
        <v>1961</v>
      </c>
      <c r="S1158" s="81" t="s">
        <v>53</v>
      </c>
      <c r="T1158" s="349">
        <v>42657</v>
      </c>
      <c r="W1158" s="81" t="s">
        <v>114</v>
      </c>
      <c r="Y1158" s="81" t="s">
        <v>115</v>
      </c>
      <c r="Z1158" s="81" t="s">
        <v>116</v>
      </c>
      <c r="AA1158" s="81" t="s">
        <v>116</v>
      </c>
      <c r="AB1158" s="81" t="s">
        <v>117</v>
      </c>
      <c r="AC1158" s="166">
        <v>2.60000005364418E-2</v>
      </c>
      <c r="AG1158" s="81" t="s">
        <v>238</v>
      </c>
      <c r="AH1158" s="81" t="s">
        <v>118</v>
      </c>
      <c r="AK1158" s="166">
        <v>0</v>
      </c>
      <c r="AL1158" s="166">
        <v>1</v>
      </c>
      <c r="AM1158" s="166">
        <v>0</v>
      </c>
      <c r="AN1158" s="166">
        <v>3</v>
      </c>
      <c r="AO1158" s="166">
        <v>0</v>
      </c>
      <c r="AP1158" s="166">
        <v>0</v>
      </c>
      <c r="AQ1158" s="166">
        <v>4</v>
      </c>
      <c r="AR1158" s="166">
        <v>0</v>
      </c>
      <c r="AS1158" s="166">
        <v>0</v>
      </c>
      <c r="AT1158" s="166">
        <v>0</v>
      </c>
      <c r="AU1158" s="166">
        <v>0</v>
      </c>
      <c r="AV1158" s="166">
        <v>0</v>
      </c>
      <c r="AW1158" s="166">
        <v>0</v>
      </c>
      <c r="AX1158" s="166">
        <v>4</v>
      </c>
      <c r="AY1158" s="166">
        <v>0</v>
      </c>
      <c r="AZ1158" s="166">
        <v>0</v>
      </c>
      <c r="BA1158" s="166">
        <v>0</v>
      </c>
      <c r="BB1158" s="166">
        <v>0</v>
      </c>
      <c r="BC1158" s="166">
        <v>0</v>
      </c>
      <c r="BD1158" s="166">
        <v>0</v>
      </c>
      <c r="BE1158" s="166">
        <v>0</v>
      </c>
      <c r="BF1158" s="166">
        <v>0</v>
      </c>
      <c r="BG1158" s="166">
        <v>0</v>
      </c>
      <c r="BH1158" s="166">
        <v>0</v>
      </c>
      <c r="BI1158" s="166">
        <v>0</v>
      </c>
      <c r="BJ1158" s="166">
        <v>0</v>
      </c>
      <c r="BK1158" s="166">
        <v>0</v>
      </c>
      <c r="BL1158" s="166">
        <v>0</v>
      </c>
      <c r="BM1158" s="166">
        <v>0</v>
      </c>
      <c r="BN1158" s="166">
        <v>0</v>
      </c>
      <c r="BO1158" s="166">
        <v>0</v>
      </c>
      <c r="BP1158" s="166">
        <v>0</v>
      </c>
      <c r="BQ1158" s="81" t="s">
        <v>1759</v>
      </c>
      <c r="BS1158" s="81" t="s">
        <v>155</v>
      </c>
      <c r="BZ1158" s="81" t="s">
        <v>3991</v>
      </c>
      <c r="CA1158" s="81">
        <v>15</v>
      </c>
      <c r="CB1158" s="165" t="s">
        <v>3993</v>
      </c>
      <c r="CC1158" s="167">
        <v>0</v>
      </c>
      <c r="CD1158" s="167">
        <v>0</v>
      </c>
      <c r="CE1158" s="167">
        <v>0</v>
      </c>
      <c r="CF1158" s="167">
        <v>0</v>
      </c>
      <c r="CG1158" s="167">
        <v>0</v>
      </c>
      <c r="CH1158" s="167">
        <v>0</v>
      </c>
      <c r="CI1158" s="167">
        <v>0</v>
      </c>
      <c r="CJ1158" s="167">
        <v>0</v>
      </c>
      <c r="CK1158" s="167">
        <v>0</v>
      </c>
      <c r="CL1158" s="167">
        <v>0</v>
      </c>
      <c r="CM1158" s="167">
        <v>0</v>
      </c>
      <c r="CN1158" s="167">
        <v>0</v>
      </c>
      <c r="CO1158" s="167">
        <v>0</v>
      </c>
      <c r="CP1158" s="167">
        <v>0</v>
      </c>
      <c r="CQ1158" s="167">
        <v>0</v>
      </c>
      <c r="CR1158" s="167">
        <v>0</v>
      </c>
      <c r="CS1158" s="167">
        <v>0</v>
      </c>
      <c r="CT1158" s="167">
        <v>0</v>
      </c>
      <c r="CU1158" s="167">
        <v>0</v>
      </c>
      <c r="CV1158" s="167">
        <v>0</v>
      </c>
      <c r="CW1158" s="167">
        <v>0</v>
      </c>
      <c r="CX1158" s="167">
        <f>SUM(CD1158:CH1158)</f>
        <v>0</v>
      </c>
      <c r="CY1158" s="167">
        <f>SUM(CD1158:CM1158)</f>
        <v>0</v>
      </c>
    </row>
    <row r="1159" spans="1:103" ht="12.75" customHeight="1" x14ac:dyDescent="0.2">
      <c r="A1159" s="81">
        <v>1952</v>
      </c>
      <c r="B1159" s="165" t="s">
        <v>1952</v>
      </c>
      <c r="C1159" s="165" t="s">
        <v>1958</v>
      </c>
      <c r="E1159" s="165" t="s">
        <v>1959</v>
      </c>
      <c r="F1159" s="165" t="s">
        <v>1963</v>
      </c>
      <c r="G1159" s="81">
        <v>528781</v>
      </c>
      <c r="H1159" s="81">
        <v>177000</v>
      </c>
      <c r="I1159" s="165" t="s">
        <v>240</v>
      </c>
      <c r="L1159" s="166">
        <v>0</v>
      </c>
      <c r="M1159" s="166">
        <v>4</v>
      </c>
      <c r="N1159" s="166">
        <v>4</v>
      </c>
      <c r="O1159" s="166">
        <v>24</v>
      </c>
      <c r="P1159" s="166">
        <v>24</v>
      </c>
      <c r="Q1159" s="81" t="s">
        <v>155</v>
      </c>
      <c r="R1159" s="165" t="s">
        <v>1961</v>
      </c>
      <c r="S1159" s="81" t="s">
        <v>53</v>
      </c>
      <c r="T1159" s="349">
        <v>42657</v>
      </c>
      <c r="W1159" s="81" t="s">
        <v>114</v>
      </c>
      <c r="Y1159" s="81" t="s">
        <v>115</v>
      </c>
      <c r="Z1159" s="81" t="s">
        <v>116</v>
      </c>
      <c r="AA1159" s="81" t="s">
        <v>116</v>
      </c>
      <c r="AB1159" s="81" t="s">
        <v>117</v>
      </c>
      <c r="AC1159" s="166">
        <v>2.60000005364418E-2</v>
      </c>
      <c r="AG1159" s="81" t="s">
        <v>238</v>
      </c>
      <c r="AH1159" s="81" t="s">
        <v>118</v>
      </c>
      <c r="AK1159" s="166">
        <v>0</v>
      </c>
      <c r="AM1159" s="166">
        <v>0</v>
      </c>
      <c r="AO1159" s="166">
        <v>0</v>
      </c>
      <c r="AP1159" s="166">
        <v>0</v>
      </c>
      <c r="AQ1159" s="166">
        <v>4</v>
      </c>
      <c r="AR1159" s="166">
        <v>0</v>
      </c>
      <c r="AS1159" s="166">
        <v>0</v>
      </c>
      <c r="AT1159" s="166">
        <v>0</v>
      </c>
      <c r="AU1159" s="166">
        <v>0</v>
      </c>
      <c r="AV1159" s="166">
        <v>0</v>
      </c>
      <c r="AW1159" s="166">
        <v>0</v>
      </c>
      <c r="AX1159" s="166">
        <v>4</v>
      </c>
      <c r="AY1159" s="166">
        <v>0</v>
      </c>
      <c r="AZ1159" s="166">
        <v>0</v>
      </c>
      <c r="BA1159" s="166">
        <v>0</v>
      </c>
      <c r="BB1159" s="166">
        <v>0</v>
      </c>
      <c r="BC1159" s="166">
        <v>0</v>
      </c>
      <c r="BD1159" s="166">
        <v>0</v>
      </c>
      <c r="BE1159" s="166">
        <v>0</v>
      </c>
      <c r="BF1159" s="166">
        <v>0</v>
      </c>
      <c r="BG1159" s="166">
        <v>0</v>
      </c>
      <c r="BH1159" s="166">
        <v>0</v>
      </c>
      <c r="BI1159" s="166">
        <v>0</v>
      </c>
      <c r="BJ1159" s="166">
        <v>0</v>
      </c>
      <c r="BK1159" s="166">
        <v>0</v>
      </c>
      <c r="BL1159" s="166">
        <v>0</v>
      </c>
      <c r="BM1159" s="166">
        <v>0</v>
      </c>
      <c r="BN1159" s="166">
        <v>0</v>
      </c>
      <c r="BO1159" s="166">
        <v>0</v>
      </c>
      <c r="BP1159" s="166">
        <v>0</v>
      </c>
      <c r="BQ1159" s="81" t="s">
        <v>1759</v>
      </c>
      <c r="BS1159" s="81" t="s">
        <v>155</v>
      </c>
      <c r="BZ1159" s="81" t="s">
        <v>3991</v>
      </c>
      <c r="CA1159" s="81">
        <v>15</v>
      </c>
      <c r="CB1159" s="165" t="s">
        <v>3993</v>
      </c>
      <c r="CC1159" s="167">
        <v>0</v>
      </c>
      <c r="CD1159" s="167">
        <v>0</v>
      </c>
      <c r="CE1159" s="167">
        <v>0</v>
      </c>
      <c r="CF1159" s="167">
        <v>0</v>
      </c>
      <c r="CG1159" s="167">
        <v>0</v>
      </c>
      <c r="CH1159" s="167">
        <v>0</v>
      </c>
      <c r="CI1159" s="167">
        <v>0</v>
      </c>
      <c r="CJ1159" s="167">
        <v>0</v>
      </c>
      <c r="CK1159" s="167">
        <v>0</v>
      </c>
      <c r="CL1159" s="167">
        <v>0</v>
      </c>
      <c r="CM1159" s="167">
        <v>0</v>
      </c>
      <c r="CN1159" s="167">
        <v>0</v>
      </c>
      <c r="CO1159" s="167">
        <v>0</v>
      </c>
      <c r="CP1159" s="167">
        <v>0</v>
      </c>
      <c r="CQ1159" s="167">
        <v>0</v>
      </c>
      <c r="CR1159" s="167">
        <v>0</v>
      </c>
      <c r="CS1159" s="167">
        <v>0</v>
      </c>
      <c r="CT1159" s="167">
        <v>0</v>
      </c>
      <c r="CU1159" s="167">
        <v>0</v>
      </c>
      <c r="CV1159" s="167">
        <v>0</v>
      </c>
      <c r="CW1159" s="167">
        <v>0</v>
      </c>
      <c r="CX1159" s="167">
        <f>SUM(CD1159:CH1159)</f>
        <v>0</v>
      </c>
      <c r="CY1159" s="167">
        <f>SUM(CD1159:CM1159)</f>
        <v>0</v>
      </c>
    </row>
    <row r="1160" spans="1:103" ht="12.75" customHeight="1" x14ac:dyDescent="0.2">
      <c r="A1160" s="81">
        <v>1952</v>
      </c>
      <c r="B1160" s="165" t="s">
        <v>1952</v>
      </c>
      <c r="C1160" s="165" t="s">
        <v>1958</v>
      </c>
      <c r="E1160" s="165" t="s">
        <v>1959</v>
      </c>
      <c r="F1160" s="165" t="s">
        <v>1964</v>
      </c>
      <c r="G1160" s="81">
        <v>528781</v>
      </c>
      <c r="H1160" s="81">
        <v>177000</v>
      </c>
      <c r="I1160" s="165" t="s">
        <v>240</v>
      </c>
      <c r="L1160" s="166">
        <v>0</v>
      </c>
      <c r="M1160" s="166">
        <v>4</v>
      </c>
      <c r="N1160" s="166">
        <v>4</v>
      </c>
      <c r="O1160" s="166">
        <v>24</v>
      </c>
      <c r="P1160" s="166">
        <v>24</v>
      </c>
      <c r="Q1160" s="81" t="s">
        <v>155</v>
      </c>
      <c r="R1160" s="165" t="s">
        <v>1961</v>
      </c>
      <c r="S1160" s="81" t="s">
        <v>53</v>
      </c>
      <c r="T1160" s="349">
        <v>42657</v>
      </c>
      <c r="W1160" s="81" t="s">
        <v>114</v>
      </c>
      <c r="Y1160" s="81" t="s">
        <v>115</v>
      </c>
      <c r="Z1160" s="81" t="s">
        <v>116</v>
      </c>
      <c r="AA1160" s="81" t="s">
        <v>116</v>
      </c>
      <c r="AB1160" s="81" t="s">
        <v>117</v>
      </c>
      <c r="AC1160" s="166">
        <v>2.5000000372528999E-2</v>
      </c>
      <c r="AG1160" s="81" t="s">
        <v>238</v>
      </c>
      <c r="AH1160" s="81" t="s">
        <v>118</v>
      </c>
      <c r="AK1160" s="166">
        <v>0</v>
      </c>
      <c r="AM1160" s="166">
        <v>0</v>
      </c>
      <c r="AO1160" s="166">
        <v>0</v>
      </c>
      <c r="AP1160" s="166">
        <v>0</v>
      </c>
      <c r="AQ1160" s="166">
        <v>4</v>
      </c>
      <c r="AR1160" s="166">
        <v>0</v>
      </c>
      <c r="AS1160" s="166">
        <v>0</v>
      </c>
      <c r="AT1160" s="166">
        <v>0</v>
      </c>
      <c r="AU1160" s="166">
        <v>0</v>
      </c>
      <c r="AV1160" s="166">
        <v>0</v>
      </c>
      <c r="AW1160" s="166">
        <v>0</v>
      </c>
      <c r="AX1160" s="166">
        <v>4</v>
      </c>
      <c r="AY1160" s="166">
        <v>0</v>
      </c>
      <c r="AZ1160" s="166">
        <v>0</v>
      </c>
      <c r="BA1160" s="166">
        <v>0</v>
      </c>
      <c r="BB1160" s="166">
        <v>0</v>
      </c>
      <c r="BC1160" s="166">
        <v>0</v>
      </c>
      <c r="BD1160" s="166">
        <v>0</v>
      </c>
      <c r="BE1160" s="166">
        <v>0</v>
      </c>
      <c r="BF1160" s="166">
        <v>0</v>
      </c>
      <c r="BG1160" s="166">
        <v>0</v>
      </c>
      <c r="BH1160" s="166">
        <v>0</v>
      </c>
      <c r="BI1160" s="166">
        <v>0</v>
      </c>
      <c r="BJ1160" s="166">
        <v>0</v>
      </c>
      <c r="BK1160" s="166">
        <v>0</v>
      </c>
      <c r="BL1160" s="166">
        <v>0</v>
      </c>
      <c r="BM1160" s="166">
        <v>0</v>
      </c>
      <c r="BN1160" s="166">
        <v>0</v>
      </c>
      <c r="BO1160" s="166">
        <v>0</v>
      </c>
      <c r="BP1160" s="166">
        <v>0</v>
      </c>
      <c r="BQ1160" s="81" t="s">
        <v>1759</v>
      </c>
      <c r="BS1160" s="81" t="s">
        <v>155</v>
      </c>
      <c r="BZ1160" s="81" t="s">
        <v>3991</v>
      </c>
      <c r="CA1160" s="81">
        <v>15</v>
      </c>
      <c r="CB1160" s="165" t="s">
        <v>3993</v>
      </c>
      <c r="CC1160" s="167">
        <v>0</v>
      </c>
      <c r="CD1160" s="167">
        <v>0</v>
      </c>
      <c r="CE1160" s="167">
        <v>0</v>
      </c>
      <c r="CF1160" s="167">
        <v>0</v>
      </c>
      <c r="CG1160" s="167">
        <v>0</v>
      </c>
      <c r="CH1160" s="167">
        <v>0</v>
      </c>
      <c r="CI1160" s="167">
        <v>0</v>
      </c>
      <c r="CJ1160" s="167">
        <v>0</v>
      </c>
      <c r="CK1160" s="167">
        <v>0</v>
      </c>
      <c r="CL1160" s="167">
        <v>0</v>
      </c>
      <c r="CM1160" s="167">
        <v>0</v>
      </c>
      <c r="CN1160" s="167">
        <v>0</v>
      </c>
      <c r="CO1160" s="167">
        <v>0</v>
      </c>
      <c r="CP1160" s="167">
        <v>0</v>
      </c>
      <c r="CQ1160" s="167">
        <v>0</v>
      </c>
      <c r="CR1160" s="167">
        <v>0</v>
      </c>
      <c r="CS1160" s="167">
        <v>0</v>
      </c>
      <c r="CT1160" s="167">
        <v>0</v>
      </c>
      <c r="CU1160" s="167">
        <v>0</v>
      </c>
      <c r="CV1160" s="167">
        <v>0</v>
      </c>
      <c r="CW1160" s="167">
        <v>0</v>
      </c>
      <c r="CX1160" s="167">
        <f>SUM(CD1160:CH1160)</f>
        <v>0</v>
      </c>
      <c r="CY1160" s="167">
        <f>SUM(CD1160:CM1160)</f>
        <v>0</v>
      </c>
    </row>
    <row r="1161" spans="1:103" ht="12.75" customHeight="1" x14ac:dyDescent="0.2">
      <c r="A1161" s="81">
        <v>1952</v>
      </c>
      <c r="B1161" s="165" t="s">
        <v>1952</v>
      </c>
      <c r="C1161" s="165" t="s">
        <v>1958</v>
      </c>
      <c r="E1161" s="165" t="s">
        <v>1959</v>
      </c>
      <c r="F1161" s="165" t="s">
        <v>1965</v>
      </c>
      <c r="G1161" s="81">
        <v>528781</v>
      </c>
      <c r="H1161" s="81">
        <v>177000</v>
      </c>
      <c r="I1161" s="165" t="s">
        <v>240</v>
      </c>
      <c r="L1161" s="166">
        <v>0</v>
      </c>
      <c r="M1161" s="166">
        <v>4</v>
      </c>
      <c r="N1161" s="166">
        <v>4</v>
      </c>
      <c r="O1161" s="166">
        <v>24</v>
      </c>
      <c r="P1161" s="166">
        <v>24</v>
      </c>
      <c r="Q1161" s="81" t="s">
        <v>155</v>
      </c>
      <c r="R1161" s="165" t="s">
        <v>1961</v>
      </c>
      <c r="S1161" s="81" t="s">
        <v>53</v>
      </c>
      <c r="T1161" s="349">
        <v>42657</v>
      </c>
      <c r="W1161" s="81" t="s">
        <v>114</v>
      </c>
      <c r="Y1161" s="81" t="s">
        <v>115</v>
      </c>
      <c r="Z1161" s="81" t="s">
        <v>116</v>
      </c>
      <c r="AA1161" s="81" t="s">
        <v>116</v>
      </c>
      <c r="AB1161" s="81" t="s">
        <v>117</v>
      </c>
      <c r="AC1161" s="166">
        <v>2.5000000372528999E-2</v>
      </c>
      <c r="AG1161" s="81" t="s">
        <v>238</v>
      </c>
      <c r="AH1161" s="81" t="s">
        <v>118</v>
      </c>
      <c r="AK1161" s="166">
        <v>0</v>
      </c>
      <c r="AM1161" s="166">
        <v>0</v>
      </c>
      <c r="AO1161" s="166">
        <v>0</v>
      </c>
      <c r="AP1161" s="166">
        <v>0</v>
      </c>
      <c r="AQ1161" s="166">
        <v>4</v>
      </c>
      <c r="AR1161" s="166">
        <v>0</v>
      </c>
      <c r="AS1161" s="166">
        <v>0</v>
      </c>
      <c r="AT1161" s="166">
        <v>0</v>
      </c>
      <c r="AU1161" s="166">
        <v>0</v>
      </c>
      <c r="AV1161" s="166">
        <v>0</v>
      </c>
      <c r="AW1161" s="166">
        <v>0</v>
      </c>
      <c r="AX1161" s="166">
        <v>4</v>
      </c>
      <c r="AY1161" s="166">
        <v>0</v>
      </c>
      <c r="AZ1161" s="166">
        <v>0</v>
      </c>
      <c r="BA1161" s="166">
        <v>0</v>
      </c>
      <c r="BB1161" s="166">
        <v>0</v>
      </c>
      <c r="BC1161" s="166">
        <v>0</v>
      </c>
      <c r="BD1161" s="166">
        <v>0</v>
      </c>
      <c r="BE1161" s="166">
        <v>0</v>
      </c>
      <c r="BF1161" s="166">
        <v>0</v>
      </c>
      <c r="BG1161" s="166">
        <v>0</v>
      </c>
      <c r="BH1161" s="166">
        <v>0</v>
      </c>
      <c r="BI1161" s="166">
        <v>0</v>
      </c>
      <c r="BJ1161" s="166">
        <v>0</v>
      </c>
      <c r="BK1161" s="166">
        <v>0</v>
      </c>
      <c r="BL1161" s="166">
        <v>0</v>
      </c>
      <c r="BM1161" s="166">
        <v>0</v>
      </c>
      <c r="BN1161" s="166">
        <v>0</v>
      </c>
      <c r="BO1161" s="166">
        <v>0</v>
      </c>
      <c r="BP1161" s="166">
        <v>0</v>
      </c>
      <c r="BQ1161" s="81" t="s">
        <v>1759</v>
      </c>
      <c r="BS1161" s="81" t="s">
        <v>155</v>
      </c>
      <c r="BZ1161" s="81" t="s">
        <v>3991</v>
      </c>
      <c r="CA1161" s="81">
        <v>15</v>
      </c>
      <c r="CB1161" s="165" t="s">
        <v>3993</v>
      </c>
      <c r="CC1161" s="167">
        <v>0</v>
      </c>
      <c r="CD1161" s="167">
        <v>0</v>
      </c>
      <c r="CE1161" s="167">
        <v>0</v>
      </c>
      <c r="CF1161" s="167">
        <v>0</v>
      </c>
      <c r="CG1161" s="167">
        <v>0</v>
      </c>
      <c r="CH1161" s="167">
        <v>0</v>
      </c>
      <c r="CI1161" s="167">
        <v>0</v>
      </c>
      <c r="CJ1161" s="167">
        <v>0</v>
      </c>
      <c r="CK1161" s="167">
        <v>0</v>
      </c>
      <c r="CL1161" s="167">
        <v>0</v>
      </c>
      <c r="CM1161" s="167">
        <v>0</v>
      </c>
      <c r="CN1161" s="167">
        <v>0</v>
      </c>
      <c r="CO1161" s="167">
        <v>0</v>
      </c>
      <c r="CP1161" s="167">
        <v>0</v>
      </c>
      <c r="CQ1161" s="167">
        <v>0</v>
      </c>
      <c r="CR1161" s="167">
        <v>0</v>
      </c>
      <c r="CS1161" s="167">
        <v>0</v>
      </c>
      <c r="CT1161" s="167">
        <v>0</v>
      </c>
      <c r="CU1161" s="167">
        <v>0</v>
      </c>
      <c r="CV1161" s="167">
        <v>0</v>
      </c>
      <c r="CW1161" s="167">
        <v>0</v>
      </c>
      <c r="CX1161" s="167">
        <f>SUM(CD1161:CH1161)</f>
        <v>0</v>
      </c>
      <c r="CY1161" s="167">
        <f>SUM(CD1161:CM1161)</f>
        <v>0</v>
      </c>
    </row>
    <row r="1162" spans="1:103" ht="12.75" customHeight="1" x14ac:dyDescent="0.2">
      <c r="A1162" s="81">
        <v>1952</v>
      </c>
      <c r="B1162" s="165" t="s">
        <v>1952</v>
      </c>
      <c r="C1162" s="165" t="s">
        <v>1958</v>
      </c>
      <c r="E1162" s="165" t="s">
        <v>1959</v>
      </c>
      <c r="F1162" s="165" t="s">
        <v>1966</v>
      </c>
      <c r="G1162" s="81">
        <v>528781</v>
      </c>
      <c r="H1162" s="81">
        <v>177000</v>
      </c>
      <c r="I1162" s="165" t="s">
        <v>240</v>
      </c>
      <c r="L1162" s="166">
        <v>0</v>
      </c>
      <c r="M1162" s="166">
        <v>4</v>
      </c>
      <c r="N1162" s="166">
        <v>4</v>
      </c>
      <c r="O1162" s="166">
        <v>24</v>
      </c>
      <c r="P1162" s="166">
        <v>24</v>
      </c>
      <c r="Q1162" s="81" t="s">
        <v>155</v>
      </c>
      <c r="R1162" s="165" t="s">
        <v>1961</v>
      </c>
      <c r="S1162" s="81" t="s">
        <v>53</v>
      </c>
      <c r="T1162" s="349">
        <v>42657</v>
      </c>
      <c r="W1162" s="81" t="s">
        <v>114</v>
      </c>
      <c r="Y1162" s="81" t="s">
        <v>115</v>
      </c>
      <c r="Z1162" s="81" t="s">
        <v>116</v>
      </c>
      <c r="AA1162" s="81" t="s">
        <v>116</v>
      </c>
      <c r="AB1162" s="81" t="s">
        <v>117</v>
      </c>
      <c r="AC1162" s="166">
        <v>2.5000000372528999E-2</v>
      </c>
      <c r="AG1162" s="81" t="s">
        <v>238</v>
      </c>
      <c r="AH1162" s="81" t="s">
        <v>118</v>
      </c>
      <c r="AK1162" s="166">
        <v>0</v>
      </c>
      <c r="AM1162" s="166">
        <v>0</v>
      </c>
      <c r="AO1162" s="166">
        <v>0</v>
      </c>
      <c r="AP1162" s="166">
        <v>0</v>
      </c>
      <c r="AQ1162" s="166">
        <v>4</v>
      </c>
      <c r="AR1162" s="166">
        <v>0</v>
      </c>
      <c r="AS1162" s="166">
        <v>0</v>
      </c>
      <c r="AT1162" s="166">
        <v>0</v>
      </c>
      <c r="AU1162" s="166">
        <v>0</v>
      </c>
      <c r="AV1162" s="166">
        <v>0</v>
      </c>
      <c r="AW1162" s="166">
        <v>0</v>
      </c>
      <c r="AX1162" s="166">
        <v>4</v>
      </c>
      <c r="AY1162" s="166">
        <v>0</v>
      </c>
      <c r="AZ1162" s="166">
        <v>0</v>
      </c>
      <c r="BA1162" s="166">
        <v>0</v>
      </c>
      <c r="BB1162" s="166">
        <v>0</v>
      </c>
      <c r="BC1162" s="166">
        <v>0</v>
      </c>
      <c r="BD1162" s="166">
        <v>0</v>
      </c>
      <c r="BE1162" s="166">
        <v>0</v>
      </c>
      <c r="BF1162" s="166">
        <v>0</v>
      </c>
      <c r="BG1162" s="166">
        <v>0</v>
      </c>
      <c r="BH1162" s="166">
        <v>0</v>
      </c>
      <c r="BI1162" s="166">
        <v>0</v>
      </c>
      <c r="BJ1162" s="166">
        <v>0</v>
      </c>
      <c r="BK1162" s="166">
        <v>0</v>
      </c>
      <c r="BL1162" s="166">
        <v>0</v>
      </c>
      <c r="BM1162" s="166">
        <v>0</v>
      </c>
      <c r="BN1162" s="166">
        <v>0</v>
      </c>
      <c r="BO1162" s="166">
        <v>0</v>
      </c>
      <c r="BP1162" s="166">
        <v>0</v>
      </c>
      <c r="BQ1162" s="81" t="s">
        <v>1759</v>
      </c>
      <c r="BS1162" s="81" t="s">
        <v>155</v>
      </c>
      <c r="BZ1162" s="81" t="s">
        <v>3991</v>
      </c>
      <c r="CA1162" s="81">
        <v>15</v>
      </c>
      <c r="CB1162" s="165" t="s">
        <v>3993</v>
      </c>
      <c r="CC1162" s="167">
        <v>0</v>
      </c>
      <c r="CD1162" s="167">
        <v>0</v>
      </c>
      <c r="CE1162" s="167">
        <v>0</v>
      </c>
      <c r="CF1162" s="167">
        <v>0</v>
      </c>
      <c r="CG1162" s="167">
        <v>0</v>
      </c>
      <c r="CH1162" s="167">
        <v>0</v>
      </c>
      <c r="CI1162" s="167">
        <v>0</v>
      </c>
      <c r="CJ1162" s="167">
        <v>0</v>
      </c>
      <c r="CK1162" s="167">
        <v>0</v>
      </c>
      <c r="CL1162" s="167">
        <v>0</v>
      </c>
      <c r="CM1162" s="167">
        <v>0</v>
      </c>
      <c r="CN1162" s="167">
        <v>0</v>
      </c>
      <c r="CO1162" s="167">
        <v>0</v>
      </c>
      <c r="CP1162" s="167">
        <v>0</v>
      </c>
      <c r="CQ1162" s="167">
        <v>0</v>
      </c>
      <c r="CR1162" s="167">
        <v>0</v>
      </c>
      <c r="CS1162" s="167">
        <v>0</v>
      </c>
      <c r="CT1162" s="167">
        <v>0</v>
      </c>
      <c r="CU1162" s="167">
        <v>0</v>
      </c>
      <c r="CV1162" s="167">
        <v>0</v>
      </c>
      <c r="CW1162" s="167">
        <v>0</v>
      </c>
      <c r="CX1162" s="167">
        <f>SUM(CD1162:CH1162)</f>
        <v>0</v>
      </c>
      <c r="CY1162" s="167">
        <f>SUM(CD1162:CM1162)</f>
        <v>0</v>
      </c>
    </row>
    <row r="1163" spans="1:103" ht="12.75" customHeight="1" x14ac:dyDescent="0.2">
      <c r="A1163" s="81">
        <v>1952</v>
      </c>
      <c r="B1163" s="165" t="s">
        <v>1952</v>
      </c>
      <c r="C1163" s="165" t="s">
        <v>1958</v>
      </c>
      <c r="E1163" s="165" t="s">
        <v>1959</v>
      </c>
      <c r="F1163" s="165" t="s">
        <v>1969</v>
      </c>
      <c r="G1163" s="81">
        <v>528781</v>
      </c>
      <c r="H1163" s="81">
        <v>177000</v>
      </c>
      <c r="I1163" s="165" t="s">
        <v>240</v>
      </c>
      <c r="L1163" s="166">
        <v>0</v>
      </c>
      <c r="M1163" s="166">
        <v>2</v>
      </c>
      <c r="N1163" s="166">
        <v>2</v>
      </c>
      <c r="O1163" s="166">
        <v>24</v>
      </c>
      <c r="P1163" s="166">
        <v>24</v>
      </c>
      <c r="Q1163" s="81" t="s">
        <v>155</v>
      </c>
      <c r="R1163" s="165" t="s">
        <v>1961</v>
      </c>
      <c r="S1163" s="81" t="s">
        <v>53</v>
      </c>
      <c r="T1163" s="349">
        <v>42657</v>
      </c>
      <c r="W1163" s="81" t="s">
        <v>114</v>
      </c>
      <c r="Y1163" s="81" t="s">
        <v>115</v>
      </c>
      <c r="Z1163" s="81" t="s">
        <v>116</v>
      </c>
      <c r="AA1163" s="81" t="s">
        <v>116</v>
      </c>
      <c r="AB1163" s="81" t="s">
        <v>117</v>
      </c>
      <c r="AC1163" s="166">
        <v>1.30000002682209E-2</v>
      </c>
      <c r="AG1163" s="81" t="s">
        <v>238</v>
      </c>
      <c r="AH1163" s="81" t="s">
        <v>118</v>
      </c>
      <c r="AK1163" s="166">
        <v>0</v>
      </c>
      <c r="AM1163" s="166">
        <v>0</v>
      </c>
      <c r="AO1163" s="166">
        <v>0</v>
      </c>
      <c r="AP1163" s="166">
        <v>0</v>
      </c>
      <c r="AQ1163" s="166">
        <v>2</v>
      </c>
      <c r="AR1163" s="166">
        <v>0</v>
      </c>
      <c r="AS1163" s="166">
        <v>0</v>
      </c>
      <c r="AT1163" s="166">
        <v>0</v>
      </c>
      <c r="AU1163" s="166">
        <v>0</v>
      </c>
      <c r="AV1163" s="166">
        <v>0</v>
      </c>
      <c r="AW1163" s="166">
        <v>0</v>
      </c>
      <c r="AX1163" s="166">
        <v>2</v>
      </c>
      <c r="AY1163" s="166">
        <v>0</v>
      </c>
      <c r="AZ1163" s="166">
        <v>0</v>
      </c>
      <c r="BA1163" s="166">
        <v>0</v>
      </c>
      <c r="BB1163" s="166">
        <v>0</v>
      </c>
      <c r="BC1163" s="166">
        <v>0</v>
      </c>
      <c r="BD1163" s="166">
        <v>0</v>
      </c>
      <c r="BE1163" s="166">
        <v>0</v>
      </c>
      <c r="BF1163" s="166">
        <v>0</v>
      </c>
      <c r="BG1163" s="166">
        <v>0</v>
      </c>
      <c r="BH1163" s="166">
        <v>0</v>
      </c>
      <c r="BI1163" s="166">
        <v>0</v>
      </c>
      <c r="BJ1163" s="166">
        <v>0</v>
      </c>
      <c r="BK1163" s="166">
        <v>0</v>
      </c>
      <c r="BL1163" s="166">
        <v>0</v>
      </c>
      <c r="BM1163" s="166">
        <v>0</v>
      </c>
      <c r="BN1163" s="166">
        <v>0</v>
      </c>
      <c r="BO1163" s="166">
        <v>0</v>
      </c>
      <c r="BP1163" s="166">
        <v>0</v>
      </c>
      <c r="BQ1163" s="81" t="s">
        <v>1759</v>
      </c>
      <c r="BS1163" s="81" t="s">
        <v>155</v>
      </c>
      <c r="BZ1163" s="81" t="s">
        <v>3991</v>
      </c>
      <c r="CA1163" s="81">
        <v>15</v>
      </c>
      <c r="CB1163" s="165" t="s">
        <v>3993</v>
      </c>
      <c r="CC1163" s="167">
        <v>0</v>
      </c>
      <c r="CD1163" s="167">
        <v>0</v>
      </c>
      <c r="CE1163" s="167">
        <v>0</v>
      </c>
      <c r="CF1163" s="167">
        <v>0</v>
      </c>
      <c r="CG1163" s="167">
        <v>0</v>
      </c>
      <c r="CH1163" s="167">
        <v>0</v>
      </c>
      <c r="CI1163" s="167">
        <v>0</v>
      </c>
      <c r="CJ1163" s="167">
        <v>0</v>
      </c>
      <c r="CK1163" s="167">
        <v>0</v>
      </c>
      <c r="CL1163" s="167">
        <v>0</v>
      </c>
      <c r="CM1163" s="167">
        <v>0</v>
      </c>
      <c r="CN1163" s="167">
        <v>0</v>
      </c>
      <c r="CO1163" s="167">
        <v>0</v>
      </c>
      <c r="CP1163" s="167">
        <v>0</v>
      </c>
      <c r="CQ1163" s="167">
        <v>0</v>
      </c>
      <c r="CR1163" s="167">
        <v>0</v>
      </c>
      <c r="CS1163" s="167">
        <v>0</v>
      </c>
      <c r="CT1163" s="167">
        <v>0</v>
      </c>
      <c r="CU1163" s="167">
        <v>0</v>
      </c>
      <c r="CV1163" s="167">
        <v>0</v>
      </c>
      <c r="CW1163" s="167">
        <v>0</v>
      </c>
      <c r="CX1163" s="167">
        <f>SUM(CD1163:CH1163)</f>
        <v>0</v>
      </c>
      <c r="CY1163" s="167">
        <f>SUM(CD1163:CM1163)</f>
        <v>0</v>
      </c>
    </row>
    <row r="1164" spans="1:103" ht="12.75" customHeight="1" x14ac:dyDescent="0.2">
      <c r="A1164" s="81">
        <v>3519</v>
      </c>
      <c r="B1164" s="165" t="s">
        <v>1952</v>
      </c>
      <c r="C1164" s="165" t="s">
        <v>1617</v>
      </c>
      <c r="E1164" s="165" t="s">
        <v>2790</v>
      </c>
      <c r="G1164" s="81">
        <v>525782</v>
      </c>
      <c r="H1164" s="81">
        <v>175172</v>
      </c>
      <c r="I1164" s="165" t="s">
        <v>251</v>
      </c>
      <c r="L1164" s="166">
        <v>0</v>
      </c>
      <c r="M1164" s="166">
        <v>336</v>
      </c>
      <c r="N1164" s="166">
        <v>336</v>
      </c>
      <c r="O1164" s="166">
        <v>517</v>
      </c>
      <c r="P1164" s="166">
        <v>517</v>
      </c>
      <c r="Q1164" s="81" t="s">
        <v>155</v>
      </c>
      <c r="R1164" s="165" t="s">
        <v>1618</v>
      </c>
      <c r="S1164" s="81" t="s">
        <v>53</v>
      </c>
      <c r="T1164" s="349">
        <v>42766</v>
      </c>
      <c r="W1164" s="81" t="s">
        <v>114</v>
      </c>
      <c r="Y1164" s="81" t="s">
        <v>115</v>
      </c>
      <c r="Z1164" s="81" t="s">
        <v>116</v>
      </c>
      <c r="AA1164" s="81" t="s">
        <v>116</v>
      </c>
      <c r="AB1164" s="81" t="s">
        <v>117</v>
      </c>
      <c r="AC1164" s="166">
        <v>0</v>
      </c>
      <c r="AG1164" s="81" t="s">
        <v>238</v>
      </c>
      <c r="AH1164" s="81" t="s">
        <v>118</v>
      </c>
      <c r="AI1164" s="81" t="s">
        <v>2791</v>
      </c>
      <c r="AK1164" s="166">
        <v>336</v>
      </c>
      <c r="AM1164" s="166">
        <v>34</v>
      </c>
      <c r="AO1164" s="166">
        <v>0</v>
      </c>
      <c r="AP1164" s="166">
        <v>77</v>
      </c>
      <c r="AQ1164" s="166">
        <v>221</v>
      </c>
      <c r="AR1164" s="166">
        <v>38</v>
      </c>
      <c r="AS1164" s="166">
        <v>0</v>
      </c>
      <c r="AT1164" s="166">
        <v>0</v>
      </c>
      <c r="AU1164" s="166">
        <v>0</v>
      </c>
      <c r="AV1164" s="166">
        <v>0</v>
      </c>
      <c r="AW1164" s="166">
        <v>77</v>
      </c>
      <c r="AX1164" s="166">
        <v>221</v>
      </c>
      <c r="AY1164" s="166">
        <v>38</v>
      </c>
      <c r="AZ1164" s="166">
        <v>0</v>
      </c>
      <c r="BA1164" s="166">
        <v>0</v>
      </c>
      <c r="BB1164" s="166">
        <v>0</v>
      </c>
      <c r="BC1164" s="166">
        <v>0</v>
      </c>
      <c r="BD1164" s="166">
        <v>0</v>
      </c>
      <c r="BE1164" s="166">
        <v>0</v>
      </c>
      <c r="BF1164" s="166">
        <v>0</v>
      </c>
      <c r="BG1164" s="166">
        <v>0</v>
      </c>
      <c r="BH1164" s="166">
        <v>0</v>
      </c>
      <c r="BI1164" s="166">
        <v>0</v>
      </c>
      <c r="BJ1164" s="166">
        <v>0</v>
      </c>
      <c r="BK1164" s="166">
        <v>0</v>
      </c>
      <c r="BL1164" s="166">
        <v>0</v>
      </c>
      <c r="BM1164" s="166">
        <v>0</v>
      </c>
      <c r="BN1164" s="166">
        <v>0</v>
      </c>
      <c r="BO1164" s="166">
        <v>0</v>
      </c>
      <c r="BP1164" s="166">
        <v>0</v>
      </c>
      <c r="BQ1164" s="81" t="s">
        <v>1758</v>
      </c>
      <c r="BT1164" s="81" t="s">
        <v>155</v>
      </c>
      <c r="BZ1164" s="81" t="s">
        <v>155</v>
      </c>
      <c r="CA1164" s="81" t="s">
        <v>3968</v>
      </c>
      <c r="CC1164" s="167">
        <v>0</v>
      </c>
      <c r="CD1164" s="167">
        <v>0</v>
      </c>
      <c r="CE1164" s="167">
        <v>0</v>
      </c>
      <c r="CF1164" s="167">
        <v>0</v>
      </c>
      <c r="CG1164" s="167">
        <f>$N1164/3</f>
        <v>112</v>
      </c>
      <c r="CH1164" s="167">
        <f>$N1164/3</f>
        <v>112</v>
      </c>
      <c r="CI1164" s="167">
        <f>$N1164/3</f>
        <v>112</v>
      </c>
      <c r="CJ1164" s="167">
        <v>0</v>
      </c>
      <c r="CK1164" s="167">
        <v>0</v>
      </c>
      <c r="CL1164" s="167">
        <v>0</v>
      </c>
      <c r="CM1164" s="167">
        <v>0</v>
      </c>
      <c r="CN1164" s="167">
        <v>0</v>
      </c>
      <c r="CO1164" s="167">
        <v>0</v>
      </c>
      <c r="CP1164" s="167">
        <v>0</v>
      </c>
      <c r="CQ1164" s="167">
        <v>0</v>
      </c>
      <c r="CR1164" s="167">
        <v>0</v>
      </c>
      <c r="CS1164" s="167">
        <v>0</v>
      </c>
      <c r="CT1164" s="167">
        <v>0</v>
      </c>
      <c r="CU1164" s="167">
        <v>0</v>
      </c>
      <c r="CV1164" s="167">
        <v>0</v>
      </c>
      <c r="CW1164" s="167">
        <v>0</v>
      </c>
      <c r="CX1164" s="167">
        <f>SUM(CD1164:CH1164)</f>
        <v>224</v>
      </c>
      <c r="CY1164" s="167">
        <f>SUM(CD1164:CM1164)</f>
        <v>336</v>
      </c>
    </row>
    <row r="1165" spans="1:103" ht="12.75" customHeight="1" x14ac:dyDescent="0.2">
      <c r="A1165" s="81">
        <v>3519</v>
      </c>
      <c r="B1165" s="165" t="s">
        <v>1952</v>
      </c>
      <c r="C1165" s="165" t="s">
        <v>1617</v>
      </c>
      <c r="E1165" s="165" t="s">
        <v>2790</v>
      </c>
      <c r="G1165" s="81">
        <v>525782</v>
      </c>
      <c r="H1165" s="81">
        <v>175172</v>
      </c>
      <c r="I1165" s="165" t="s">
        <v>251</v>
      </c>
      <c r="L1165" s="166">
        <v>0</v>
      </c>
      <c r="M1165" s="166">
        <v>181</v>
      </c>
      <c r="N1165" s="166">
        <v>181</v>
      </c>
      <c r="O1165" s="166">
        <v>517</v>
      </c>
      <c r="P1165" s="166">
        <v>517</v>
      </c>
      <c r="Q1165" s="81" t="s">
        <v>155</v>
      </c>
      <c r="R1165" s="165" t="s">
        <v>1618</v>
      </c>
      <c r="S1165" s="81" t="s">
        <v>53</v>
      </c>
      <c r="T1165" s="349">
        <v>42766</v>
      </c>
      <c r="W1165" s="81" t="s">
        <v>114</v>
      </c>
      <c r="Y1165" s="81" t="s">
        <v>115</v>
      </c>
      <c r="Z1165" s="81" t="s">
        <v>116</v>
      </c>
      <c r="AA1165" s="81" t="s">
        <v>116</v>
      </c>
      <c r="AB1165" s="81" t="s">
        <v>117</v>
      </c>
      <c r="AC1165" s="166">
        <v>0</v>
      </c>
      <c r="AG1165" s="81" t="s">
        <v>74</v>
      </c>
      <c r="AH1165" s="81" t="s">
        <v>880</v>
      </c>
      <c r="AI1165" s="81" t="s">
        <v>2791</v>
      </c>
      <c r="AK1165" s="166">
        <v>181</v>
      </c>
      <c r="AM1165" s="166">
        <v>18</v>
      </c>
      <c r="AO1165" s="166">
        <v>0</v>
      </c>
      <c r="AP1165" s="166">
        <v>46</v>
      </c>
      <c r="AQ1165" s="166">
        <v>118</v>
      </c>
      <c r="AR1165" s="166">
        <v>17</v>
      </c>
      <c r="AS1165" s="166">
        <v>0</v>
      </c>
      <c r="AT1165" s="166">
        <v>0</v>
      </c>
      <c r="AU1165" s="166">
        <v>0</v>
      </c>
      <c r="AV1165" s="166">
        <v>0</v>
      </c>
      <c r="AW1165" s="166">
        <v>46</v>
      </c>
      <c r="AX1165" s="166">
        <v>118</v>
      </c>
      <c r="AY1165" s="166">
        <v>17</v>
      </c>
      <c r="AZ1165" s="166">
        <v>0</v>
      </c>
      <c r="BA1165" s="166">
        <v>0</v>
      </c>
      <c r="BB1165" s="166">
        <v>0</v>
      </c>
      <c r="BC1165" s="166">
        <v>0</v>
      </c>
      <c r="BD1165" s="166">
        <v>0</v>
      </c>
      <c r="BE1165" s="166">
        <v>0</v>
      </c>
      <c r="BF1165" s="166">
        <v>0</v>
      </c>
      <c r="BG1165" s="166">
        <v>0</v>
      </c>
      <c r="BH1165" s="166">
        <v>0</v>
      </c>
      <c r="BI1165" s="166">
        <v>0</v>
      </c>
      <c r="BJ1165" s="166">
        <v>0</v>
      </c>
      <c r="BK1165" s="166">
        <v>0</v>
      </c>
      <c r="BL1165" s="166">
        <v>0</v>
      </c>
      <c r="BM1165" s="166">
        <v>0</v>
      </c>
      <c r="BN1165" s="166">
        <v>0</v>
      </c>
      <c r="BO1165" s="166">
        <v>0</v>
      </c>
      <c r="BP1165" s="166">
        <v>0</v>
      </c>
      <c r="BQ1165" s="81" t="s">
        <v>1758</v>
      </c>
      <c r="BT1165" s="81" t="s">
        <v>155</v>
      </c>
      <c r="BZ1165" s="81" t="s">
        <v>155</v>
      </c>
      <c r="CA1165" s="81" t="s">
        <v>3968</v>
      </c>
      <c r="CC1165" s="167">
        <v>0</v>
      </c>
      <c r="CD1165" s="167">
        <v>0</v>
      </c>
      <c r="CE1165" s="167">
        <v>0</v>
      </c>
      <c r="CF1165" s="167">
        <v>0</v>
      </c>
      <c r="CG1165" s="167">
        <f>$N1165/3</f>
        <v>60.333333333333336</v>
      </c>
      <c r="CH1165" s="167">
        <f>$N1165/3</f>
        <v>60.333333333333336</v>
      </c>
      <c r="CI1165" s="167">
        <f>$N1165/3</f>
        <v>60.333333333333336</v>
      </c>
      <c r="CJ1165" s="167">
        <v>0</v>
      </c>
      <c r="CK1165" s="167">
        <v>0</v>
      </c>
      <c r="CL1165" s="167">
        <v>0</v>
      </c>
      <c r="CM1165" s="167">
        <v>0</v>
      </c>
      <c r="CN1165" s="167">
        <v>0</v>
      </c>
      <c r="CO1165" s="167">
        <v>0</v>
      </c>
      <c r="CP1165" s="167">
        <v>0</v>
      </c>
      <c r="CQ1165" s="167">
        <v>0</v>
      </c>
      <c r="CR1165" s="167">
        <v>0</v>
      </c>
      <c r="CS1165" s="167">
        <v>0</v>
      </c>
      <c r="CT1165" s="167">
        <v>0</v>
      </c>
      <c r="CU1165" s="167">
        <v>0</v>
      </c>
      <c r="CV1165" s="167">
        <v>0</v>
      </c>
      <c r="CW1165" s="167">
        <v>0</v>
      </c>
      <c r="CX1165" s="167">
        <f>SUM(CD1165:CH1165)</f>
        <v>120.66666666666667</v>
      </c>
      <c r="CY1165" s="167">
        <f>SUM(CD1165:CM1165)</f>
        <v>181</v>
      </c>
    </row>
    <row r="1166" spans="1:103" ht="12.75" customHeight="1" x14ac:dyDescent="0.2">
      <c r="A1166" s="81">
        <v>3519</v>
      </c>
      <c r="B1166" s="165" t="s">
        <v>1952</v>
      </c>
      <c r="C1166" s="165" t="s">
        <v>1617</v>
      </c>
      <c r="E1166" s="165" t="s">
        <v>2790</v>
      </c>
      <c r="G1166" s="81">
        <v>525782</v>
      </c>
      <c r="H1166" s="81">
        <v>175172</v>
      </c>
      <c r="I1166" s="165" t="s">
        <v>251</v>
      </c>
      <c r="L1166" s="166">
        <v>0</v>
      </c>
      <c r="M1166" s="166">
        <v>0</v>
      </c>
      <c r="N1166" s="166">
        <v>0</v>
      </c>
      <c r="O1166" s="166">
        <v>517</v>
      </c>
      <c r="P1166" s="166">
        <v>517</v>
      </c>
      <c r="Q1166" s="81" t="s">
        <v>155</v>
      </c>
      <c r="R1166" s="165" t="s">
        <v>1618</v>
      </c>
      <c r="S1166" s="81" t="s">
        <v>53</v>
      </c>
      <c r="T1166" s="349">
        <v>42766</v>
      </c>
      <c r="W1166" s="81" t="s">
        <v>114</v>
      </c>
      <c r="Y1166" s="81" t="s">
        <v>115</v>
      </c>
      <c r="Z1166" s="81" t="s">
        <v>116</v>
      </c>
      <c r="AA1166" s="81" t="s">
        <v>116</v>
      </c>
      <c r="AB1166" s="81" t="s">
        <v>117</v>
      </c>
      <c r="AC1166" s="166">
        <v>0</v>
      </c>
      <c r="AG1166" s="81" t="s">
        <v>154</v>
      </c>
      <c r="AH1166" s="81" t="s">
        <v>276</v>
      </c>
      <c r="AI1166" s="81" t="s">
        <v>2791</v>
      </c>
      <c r="AK1166" s="166">
        <v>0</v>
      </c>
      <c r="AM1166" s="166">
        <v>0</v>
      </c>
      <c r="AO1166" s="166">
        <v>0</v>
      </c>
      <c r="AP1166" s="166">
        <v>0</v>
      </c>
      <c r="AQ1166" s="166">
        <v>0</v>
      </c>
      <c r="AR1166" s="166">
        <v>0</v>
      </c>
      <c r="AS1166" s="166">
        <v>0</v>
      </c>
      <c r="AT1166" s="166">
        <v>0</v>
      </c>
      <c r="AU1166" s="166">
        <v>0</v>
      </c>
      <c r="AV1166" s="166">
        <v>0</v>
      </c>
      <c r="AW1166" s="166">
        <v>0</v>
      </c>
      <c r="AX1166" s="166">
        <v>0</v>
      </c>
      <c r="AY1166" s="166">
        <v>0</v>
      </c>
      <c r="AZ1166" s="166">
        <v>0</v>
      </c>
      <c r="BA1166" s="166">
        <v>0</v>
      </c>
      <c r="BB1166" s="166">
        <v>0</v>
      </c>
      <c r="BC1166" s="166">
        <v>0</v>
      </c>
      <c r="BD1166" s="166">
        <v>0</v>
      </c>
      <c r="BE1166" s="166">
        <v>0</v>
      </c>
      <c r="BF1166" s="166">
        <v>0</v>
      </c>
      <c r="BG1166" s="166">
        <v>0</v>
      </c>
      <c r="BH1166" s="166">
        <v>0</v>
      </c>
      <c r="BI1166" s="166">
        <v>0</v>
      </c>
      <c r="BJ1166" s="166">
        <v>0</v>
      </c>
      <c r="BK1166" s="166">
        <v>0</v>
      </c>
      <c r="BL1166" s="166">
        <v>0</v>
      </c>
      <c r="BM1166" s="166">
        <v>0</v>
      </c>
      <c r="BN1166" s="166">
        <v>0</v>
      </c>
      <c r="BO1166" s="166">
        <v>0</v>
      </c>
      <c r="BP1166" s="166">
        <v>0</v>
      </c>
      <c r="BQ1166" s="81" t="s">
        <v>1758</v>
      </c>
      <c r="BT1166" s="81" t="s">
        <v>155</v>
      </c>
      <c r="BZ1166" s="81" t="s">
        <v>155</v>
      </c>
      <c r="CA1166" s="81" t="s">
        <v>3968</v>
      </c>
      <c r="CC1166" s="167">
        <v>0</v>
      </c>
      <c r="CD1166" s="167">
        <v>0</v>
      </c>
      <c r="CE1166" s="167">
        <v>0</v>
      </c>
      <c r="CF1166" s="167">
        <v>0</v>
      </c>
      <c r="CG1166" s="167">
        <f>$N1166/3</f>
        <v>0</v>
      </c>
      <c r="CH1166" s="167">
        <f>$N1166/3</f>
        <v>0</v>
      </c>
      <c r="CI1166" s="167">
        <f>$N1166/3</f>
        <v>0</v>
      </c>
      <c r="CJ1166" s="167">
        <v>0</v>
      </c>
      <c r="CK1166" s="167">
        <v>0</v>
      </c>
      <c r="CL1166" s="167">
        <v>0</v>
      </c>
      <c r="CM1166" s="167">
        <v>0</v>
      </c>
      <c r="CN1166" s="167">
        <v>0</v>
      </c>
      <c r="CO1166" s="167">
        <v>0</v>
      </c>
      <c r="CP1166" s="167">
        <v>0</v>
      </c>
      <c r="CQ1166" s="167">
        <v>0</v>
      </c>
      <c r="CR1166" s="167">
        <v>0</v>
      </c>
      <c r="CS1166" s="167">
        <v>0</v>
      </c>
      <c r="CT1166" s="167">
        <v>0</v>
      </c>
      <c r="CU1166" s="167">
        <v>0</v>
      </c>
      <c r="CV1166" s="167">
        <v>0</v>
      </c>
      <c r="CW1166" s="167">
        <v>0</v>
      </c>
      <c r="CX1166" s="167">
        <f>SUM(CD1166:CH1166)</f>
        <v>0</v>
      </c>
      <c r="CY1166" s="167">
        <f>SUM(CD1166:CM1166)</f>
        <v>0</v>
      </c>
    </row>
    <row r="1167" spans="1:103" ht="12.75" customHeight="1" x14ac:dyDescent="0.2">
      <c r="A1167" s="81">
        <v>3522</v>
      </c>
      <c r="B1167" s="165" t="s">
        <v>1952</v>
      </c>
      <c r="C1167" s="165" t="s">
        <v>1584</v>
      </c>
      <c r="E1167" s="165" t="s">
        <v>2995</v>
      </c>
      <c r="G1167" s="81">
        <v>525912</v>
      </c>
      <c r="H1167" s="81">
        <v>175143</v>
      </c>
      <c r="I1167" s="165" t="s">
        <v>251</v>
      </c>
      <c r="L1167" s="166">
        <v>0</v>
      </c>
      <c r="M1167" s="166">
        <v>264</v>
      </c>
      <c r="N1167" s="166">
        <v>264</v>
      </c>
      <c r="O1167" s="166">
        <v>348</v>
      </c>
      <c r="P1167" s="166">
        <v>348</v>
      </c>
      <c r="Q1167" s="81" t="s">
        <v>155</v>
      </c>
      <c r="R1167" s="165" t="s">
        <v>1585</v>
      </c>
      <c r="S1167" s="81" t="s">
        <v>53</v>
      </c>
      <c r="T1167" s="349">
        <v>42739</v>
      </c>
      <c r="W1167" s="81" t="s">
        <v>114</v>
      </c>
      <c r="Y1167" s="81" t="s">
        <v>115</v>
      </c>
      <c r="Z1167" s="81" t="s">
        <v>116</v>
      </c>
      <c r="AA1167" s="81" t="s">
        <v>116</v>
      </c>
      <c r="AB1167" s="81" t="s">
        <v>117</v>
      </c>
      <c r="AC1167" s="166">
        <v>0</v>
      </c>
      <c r="AG1167" s="81" t="s">
        <v>238</v>
      </c>
      <c r="AH1167" s="81" t="s">
        <v>118</v>
      </c>
      <c r="AI1167" s="81" t="s">
        <v>2996</v>
      </c>
      <c r="AK1167" s="166">
        <v>264</v>
      </c>
      <c r="AM1167" s="166">
        <v>26</v>
      </c>
      <c r="AO1167" s="166">
        <v>0</v>
      </c>
      <c r="AP1167" s="166">
        <v>114</v>
      </c>
      <c r="AQ1167" s="166">
        <v>127</v>
      </c>
      <c r="AR1167" s="166">
        <v>23</v>
      </c>
      <c r="AS1167" s="166">
        <v>0</v>
      </c>
      <c r="AT1167" s="166">
        <v>0</v>
      </c>
      <c r="AU1167" s="166">
        <v>0</v>
      </c>
      <c r="AV1167" s="166">
        <v>0</v>
      </c>
      <c r="AW1167" s="166">
        <v>114</v>
      </c>
      <c r="AX1167" s="166">
        <v>127</v>
      </c>
      <c r="AY1167" s="166">
        <v>23</v>
      </c>
      <c r="AZ1167" s="166">
        <v>0</v>
      </c>
      <c r="BA1167" s="166">
        <v>0</v>
      </c>
      <c r="BB1167" s="166">
        <v>0</v>
      </c>
      <c r="BC1167" s="166">
        <v>0</v>
      </c>
      <c r="BD1167" s="166">
        <v>0</v>
      </c>
      <c r="BE1167" s="166">
        <v>0</v>
      </c>
      <c r="BF1167" s="166">
        <v>0</v>
      </c>
      <c r="BG1167" s="166">
        <v>0</v>
      </c>
      <c r="BH1167" s="166">
        <v>0</v>
      </c>
      <c r="BI1167" s="166">
        <v>0</v>
      </c>
      <c r="BJ1167" s="166">
        <v>0</v>
      </c>
      <c r="BK1167" s="166">
        <v>0</v>
      </c>
      <c r="BL1167" s="166">
        <v>0</v>
      </c>
      <c r="BM1167" s="166">
        <v>0</v>
      </c>
      <c r="BN1167" s="166">
        <v>0</v>
      </c>
      <c r="BO1167" s="166">
        <v>0</v>
      </c>
      <c r="BP1167" s="166">
        <v>0</v>
      </c>
      <c r="BQ1167" s="81" t="s">
        <v>1758</v>
      </c>
      <c r="BT1167" s="81" t="s">
        <v>155</v>
      </c>
      <c r="BZ1167" s="81" t="s">
        <v>155</v>
      </c>
      <c r="CA1167" s="81" t="s">
        <v>3968</v>
      </c>
      <c r="CC1167" s="167">
        <v>0</v>
      </c>
      <c r="CD1167" s="167">
        <v>0</v>
      </c>
      <c r="CE1167" s="167">
        <v>0</v>
      </c>
      <c r="CF1167" s="167">
        <v>0</v>
      </c>
      <c r="CG1167" s="167">
        <f>$N1167/3</f>
        <v>88</v>
      </c>
      <c r="CH1167" s="167">
        <f>$N1167/3</f>
        <v>88</v>
      </c>
      <c r="CI1167" s="167">
        <f>$N1167/3</f>
        <v>88</v>
      </c>
      <c r="CJ1167" s="167">
        <v>0</v>
      </c>
      <c r="CK1167" s="167">
        <v>0</v>
      </c>
      <c r="CL1167" s="167">
        <v>0</v>
      </c>
      <c r="CM1167" s="167">
        <v>0</v>
      </c>
      <c r="CN1167" s="167">
        <v>0</v>
      </c>
      <c r="CO1167" s="167">
        <v>0</v>
      </c>
      <c r="CP1167" s="167">
        <v>0</v>
      </c>
      <c r="CQ1167" s="167">
        <v>0</v>
      </c>
      <c r="CR1167" s="167">
        <v>0</v>
      </c>
      <c r="CS1167" s="167">
        <v>0</v>
      </c>
      <c r="CT1167" s="167">
        <v>0</v>
      </c>
      <c r="CU1167" s="167">
        <v>0</v>
      </c>
      <c r="CV1167" s="167">
        <v>0</v>
      </c>
      <c r="CW1167" s="167">
        <v>0</v>
      </c>
      <c r="CX1167" s="167">
        <f>SUM(CD1167:CH1167)</f>
        <v>176</v>
      </c>
      <c r="CY1167" s="167">
        <f>SUM(CD1167:CM1167)</f>
        <v>264</v>
      </c>
    </row>
    <row r="1168" spans="1:103" ht="12.75" customHeight="1" x14ac:dyDescent="0.2">
      <c r="A1168" s="81">
        <v>3522</v>
      </c>
      <c r="B1168" s="165" t="s">
        <v>1952</v>
      </c>
      <c r="C1168" s="165" t="s">
        <v>1584</v>
      </c>
      <c r="E1168" s="165" t="s">
        <v>2995</v>
      </c>
      <c r="G1168" s="81">
        <v>525912</v>
      </c>
      <c r="H1168" s="81">
        <v>175143</v>
      </c>
      <c r="I1168" s="165" t="s">
        <v>251</v>
      </c>
      <c r="L1168" s="166">
        <v>0</v>
      </c>
      <c r="M1168" s="166">
        <v>84</v>
      </c>
      <c r="N1168" s="166">
        <v>84</v>
      </c>
      <c r="O1168" s="166">
        <v>348</v>
      </c>
      <c r="P1168" s="166">
        <v>348</v>
      </c>
      <c r="Q1168" s="81" t="s">
        <v>155</v>
      </c>
      <c r="R1168" s="165" t="s">
        <v>1585</v>
      </c>
      <c r="S1168" s="81" t="s">
        <v>53</v>
      </c>
      <c r="T1168" s="349">
        <v>42739</v>
      </c>
      <c r="W1168" s="81" t="s">
        <v>114</v>
      </c>
      <c r="Y1168" s="81" t="s">
        <v>115</v>
      </c>
      <c r="Z1168" s="81" t="s">
        <v>116</v>
      </c>
      <c r="AA1168" s="81" t="s">
        <v>116</v>
      </c>
      <c r="AB1168" s="81" t="s">
        <v>117</v>
      </c>
      <c r="AC1168" s="166">
        <v>0</v>
      </c>
      <c r="AG1168" s="81" t="s">
        <v>74</v>
      </c>
      <c r="AH1168" s="81" t="s">
        <v>990</v>
      </c>
      <c r="AI1168" s="81" t="s">
        <v>2996</v>
      </c>
      <c r="AK1168" s="166">
        <v>84</v>
      </c>
      <c r="AM1168" s="166">
        <v>9</v>
      </c>
      <c r="AO1168" s="166">
        <v>0</v>
      </c>
      <c r="AP1168" s="166">
        <v>44</v>
      </c>
      <c r="AQ1168" s="166">
        <v>40</v>
      </c>
      <c r="AR1168" s="166">
        <v>0</v>
      </c>
      <c r="AS1168" s="166">
        <v>0</v>
      </c>
      <c r="AT1168" s="166">
        <v>0</v>
      </c>
      <c r="AU1168" s="166">
        <v>0</v>
      </c>
      <c r="AV1168" s="166">
        <v>0</v>
      </c>
      <c r="AW1168" s="166">
        <v>44</v>
      </c>
      <c r="AX1168" s="166">
        <v>40</v>
      </c>
      <c r="AY1168" s="166">
        <v>0</v>
      </c>
      <c r="AZ1168" s="166">
        <v>0</v>
      </c>
      <c r="BA1168" s="166">
        <v>0</v>
      </c>
      <c r="BB1168" s="166">
        <v>0</v>
      </c>
      <c r="BC1168" s="166">
        <v>0</v>
      </c>
      <c r="BD1168" s="166">
        <v>0</v>
      </c>
      <c r="BE1168" s="166">
        <v>0</v>
      </c>
      <c r="BF1168" s="166">
        <v>0</v>
      </c>
      <c r="BG1168" s="166">
        <v>0</v>
      </c>
      <c r="BH1168" s="166">
        <v>0</v>
      </c>
      <c r="BI1168" s="166">
        <v>0</v>
      </c>
      <c r="BJ1168" s="166">
        <v>0</v>
      </c>
      <c r="BK1168" s="166">
        <v>0</v>
      </c>
      <c r="BL1168" s="166">
        <v>0</v>
      </c>
      <c r="BM1168" s="166">
        <v>0</v>
      </c>
      <c r="BN1168" s="166">
        <v>0</v>
      </c>
      <c r="BO1168" s="166">
        <v>0</v>
      </c>
      <c r="BP1168" s="166">
        <v>0</v>
      </c>
      <c r="BQ1168" s="81" t="s">
        <v>1758</v>
      </c>
      <c r="BT1168" s="81" t="s">
        <v>155</v>
      </c>
      <c r="BZ1168" s="81" t="s">
        <v>155</v>
      </c>
      <c r="CA1168" s="81" t="s">
        <v>3968</v>
      </c>
      <c r="CC1168" s="167">
        <v>0</v>
      </c>
      <c r="CD1168" s="167">
        <v>0</v>
      </c>
      <c r="CE1168" s="167">
        <v>0</v>
      </c>
      <c r="CF1168" s="167">
        <v>0</v>
      </c>
      <c r="CG1168" s="167">
        <f>$N1168/3</f>
        <v>28</v>
      </c>
      <c r="CH1168" s="167">
        <f>$N1168/3</f>
        <v>28</v>
      </c>
      <c r="CI1168" s="167">
        <f>$N1168/3</f>
        <v>28</v>
      </c>
      <c r="CJ1168" s="167">
        <v>0</v>
      </c>
      <c r="CK1168" s="167">
        <v>0</v>
      </c>
      <c r="CL1168" s="167">
        <v>0</v>
      </c>
      <c r="CM1168" s="167">
        <v>0</v>
      </c>
      <c r="CN1168" s="167">
        <v>0</v>
      </c>
      <c r="CO1168" s="167">
        <v>0</v>
      </c>
      <c r="CP1168" s="167">
        <v>0</v>
      </c>
      <c r="CQ1168" s="167">
        <v>0</v>
      </c>
      <c r="CR1168" s="167">
        <v>0</v>
      </c>
      <c r="CS1168" s="167">
        <v>0</v>
      </c>
      <c r="CT1168" s="167">
        <v>0</v>
      </c>
      <c r="CU1168" s="167">
        <v>0</v>
      </c>
      <c r="CV1168" s="167">
        <v>0</v>
      </c>
      <c r="CW1168" s="167">
        <v>0</v>
      </c>
      <c r="CX1168" s="167">
        <f>SUM(CD1168:CH1168)</f>
        <v>56</v>
      </c>
      <c r="CY1168" s="167">
        <f>SUM(CD1168:CM1168)</f>
        <v>84</v>
      </c>
    </row>
    <row r="1169" spans="1:103" ht="12.75" customHeight="1" x14ac:dyDescent="0.2">
      <c r="A1169" s="81">
        <v>3526</v>
      </c>
      <c r="B1169" s="165" t="s">
        <v>1952</v>
      </c>
      <c r="C1169" s="165" t="s">
        <v>2997</v>
      </c>
      <c r="E1169" s="165" t="s">
        <v>2998</v>
      </c>
      <c r="F1169" s="165" t="s">
        <v>2468</v>
      </c>
      <c r="G1169" s="81">
        <v>526547</v>
      </c>
      <c r="H1169" s="81">
        <v>175744</v>
      </c>
      <c r="I1169" s="165" t="s">
        <v>257</v>
      </c>
      <c r="L1169" s="166">
        <v>0</v>
      </c>
      <c r="M1169" s="166">
        <v>54</v>
      </c>
      <c r="N1169" s="166">
        <v>54</v>
      </c>
      <c r="O1169" s="166">
        <v>299</v>
      </c>
      <c r="P1169" s="166">
        <v>299</v>
      </c>
      <c r="Q1169" s="81" t="s">
        <v>155</v>
      </c>
      <c r="R1169" s="165" t="s">
        <v>2999</v>
      </c>
      <c r="S1169" s="81" t="s">
        <v>53</v>
      </c>
      <c r="T1169" s="349">
        <v>42951</v>
      </c>
      <c r="W1169" s="81" t="s">
        <v>114</v>
      </c>
      <c r="Y1169" s="81" t="s">
        <v>115</v>
      </c>
      <c r="Z1169" s="81" t="s">
        <v>116</v>
      </c>
      <c r="AA1169" s="81" t="s">
        <v>116</v>
      </c>
      <c r="AB1169" s="81" t="s">
        <v>117</v>
      </c>
      <c r="AC1169" s="166">
        <v>0.123000003397465</v>
      </c>
      <c r="AG1169" s="81" t="s">
        <v>238</v>
      </c>
      <c r="AH1169" s="81" t="s">
        <v>118</v>
      </c>
      <c r="AI1169" s="81" t="s">
        <v>3000</v>
      </c>
      <c r="AK1169" s="166">
        <v>0</v>
      </c>
      <c r="AM1169" s="166">
        <v>0</v>
      </c>
      <c r="AO1169" s="166">
        <v>0</v>
      </c>
      <c r="AP1169" s="166">
        <v>8</v>
      </c>
      <c r="AQ1169" s="166">
        <v>42</v>
      </c>
      <c r="AR1169" s="166">
        <v>4</v>
      </c>
      <c r="AS1169" s="166">
        <v>0</v>
      </c>
      <c r="AT1169" s="166">
        <v>0</v>
      </c>
      <c r="AU1169" s="166">
        <v>0</v>
      </c>
      <c r="AV1169" s="166">
        <v>0</v>
      </c>
      <c r="AW1169" s="166">
        <v>8</v>
      </c>
      <c r="AX1169" s="166">
        <v>42</v>
      </c>
      <c r="AY1169" s="166">
        <v>4</v>
      </c>
      <c r="AZ1169" s="166">
        <v>0</v>
      </c>
      <c r="BA1169" s="166">
        <v>0</v>
      </c>
      <c r="BB1169" s="166">
        <v>0</v>
      </c>
      <c r="BC1169" s="166">
        <v>0</v>
      </c>
      <c r="BD1169" s="166">
        <v>0</v>
      </c>
      <c r="BE1169" s="166">
        <v>0</v>
      </c>
      <c r="BF1169" s="166">
        <v>0</v>
      </c>
      <c r="BG1169" s="166">
        <v>0</v>
      </c>
      <c r="BH1169" s="166">
        <v>0</v>
      </c>
      <c r="BI1169" s="166">
        <v>0</v>
      </c>
      <c r="BJ1169" s="166">
        <v>0</v>
      </c>
      <c r="BK1169" s="166">
        <v>0</v>
      </c>
      <c r="BL1169" s="166">
        <v>0</v>
      </c>
      <c r="BM1169" s="166">
        <v>0</v>
      </c>
      <c r="BN1169" s="166">
        <v>0</v>
      </c>
      <c r="BO1169" s="166">
        <v>0</v>
      </c>
      <c r="BP1169" s="166">
        <v>0</v>
      </c>
      <c r="BQ1169" s="81" t="s">
        <v>1757</v>
      </c>
      <c r="BX1169" s="81" t="s">
        <v>155</v>
      </c>
      <c r="BZ1169" s="81" t="s">
        <v>3991</v>
      </c>
      <c r="CA1169" s="81">
        <v>15</v>
      </c>
      <c r="CB1169" s="165" t="s">
        <v>3996</v>
      </c>
      <c r="CC1169" s="167">
        <v>0</v>
      </c>
      <c r="CD1169" s="167">
        <v>0</v>
      </c>
      <c r="CE1169" s="167">
        <v>0</v>
      </c>
      <c r="CF1169" s="167">
        <v>0</v>
      </c>
      <c r="CG1169" s="167">
        <v>0</v>
      </c>
      <c r="CH1169" s="167">
        <v>0</v>
      </c>
      <c r="CI1169" s="167">
        <v>0</v>
      </c>
      <c r="CJ1169" s="167">
        <v>0</v>
      </c>
      <c r="CK1169" s="167">
        <v>0</v>
      </c>
      <c r="CL1169" s="167">
        <v>0</v>
      </c>
      <c r="CM1169" s="167">
        <v>0</v>
      </c>
      <c r="CN1169" s="167">
        <v>0</v>
      </c>
      <c r="CO1169" s="167">
        <v>0</v>
      </c>
      <c r="CP1169" s="167">
        <v>0</v>
      </c>
      <c r="CQ1169" s="167">
        <v>0</v>
      </c>
      <c r="CR1169" s="167">
        <v>0</v>
      </c>
      <c r="CS1169" s="167">
        <v>0</v>
      </c>
      <c r="CT1169" s="167">
        <v>0</v>
      </c>
      <c r="CU1169" s="167">
        <v>0</v>
      </c>
      <c r="CV1169" s="167">
        <v>0</v>
      </c>
      <c r="CW1169" s="167">
        <v>0</v>
      </c>
      <c r="CX1169" s="167">
        <f>SUM(CD1169:CH1169)</f>
        <v>0</v>
      </c>
      <c r="CY1169" s="167">
        <f>SUM(CD1169:CM1169)</f>
        <v>0</v>
      </c>
    </row>
    <row r="1170" spans="1:103" ht="12.75" customHeight="1" x14ac:dyDescent="0.2">
      <c r="A1170" s="81">
        <v>3526</v>
      </c>
      <c r="B1170" s="165" t="s">
        <v>1952</v>
      </c>
      <c r="C1170" s="165" t="s">
        <v>2997</v>
      </c>
      <c r="E1170" s="165" t="s">
        <v>2998</v>
      </c>
      <c r="F1170" s="165" t="s">
        <v>2468</v>
      </c>
      <c r="G1170" s="81">
        <v>526547</v>
      </c>
      <c r="H1170" s="81">
        <v>175744</v>
      </c>
      <c r="I1170" s="165" t="s">
        <v>257</v>
      </c>
      <c r="L1170" s="166">
        <v>0</v>
      </c>
      <c r="M1170" s="166">
        <v>13</v>
      </c>
      <c r="N1170" s="166">
        <v>13</v>
      </c>
      <c r="O1170" s="166">
        <v>299</v>
      </c>
      <c r="P1170" s="166">
        <v>299</v>
      </c>
      <c r="Q1170" s="81" t="s">
        <v>155</v>
      </c>
      <c r="R1170" s="165" t="s">
        <v>2999</v>
      </c>
      <c r="S1170" s="81" t="s">
        <v>53</v>
      </c>
      <c r="T1170" s="349">
        <v>42951</v>
      </c>
      <c r="W1170" s="81" t="s">
        <v>114</v>
      </c>
      <c r="Y1170" s="81" t="s">
        <v>115</v>
      </c>
      <c r="Z1170" s="81" t="s">
        <v>116</v>
      </c>
      <c r="AA1170" s="81" t="s">
        <v>116</v>
      </c>
      <c r="AB1170" s="81" t="s">
        <v>117</v>
      </c>
      <c r="AC1170" s="166">
        <v>2.8000000864267301E-2</v>
      </c>
      <c r="AG1170" s="81" t="s">
        <v>74</v>
      </c>
      <c r="AH1170" s="81" t="s">
        <v>990</v>
      </c>
      <c r="AI1170" s="81" t="s">
        <v>3000</v>
      </c>
      <c r="AK1170" s="166">
        <v>0</v>
      </c>
      <c r="AM1170" s="166">
        <v>0</v>
      </c>
      <c r="AO1170" s="166">
        <v>0</v>
      </c>
      <c r="AP1170" s="166">
        <v>9</v>
      </c>
      <c r="AQ1170" s="166">
        <v>4</v>
      </c>
      <c r="AR1170" s="166">
        <v>0</v>
      </c>
      <c r="AS1170" s="166">
        <v>0</v>
      </c>
      <c r="AT1170" s="166">
        <v>0</v>
      </c>
      <c r="AU1170" s="166">
        <v>0</v>
      </c>
      <c r="AV1170" s="166">
        <v>0</v>
      </c>
      <c r="AW1170" s="166">
        <v>9</v>
      </c>
      <c r="AX1170" s="166">
        <v>4</v>
      </c>
      <c r="AY1170" s="166">
        <v>0</v>
      </c>
      <c r="AZ1170" s="166">
        <v>0</v>
      </c>
      <c r="BA1170" s="166">
        <v>0</v>
      </c>
      <c r="BB1170" s="166">
        <v>0</v>
      </c>
      <c r="BC1170" s="166">
        <v>0</v>
      </c>
      <c r="BD1170" s="166">
        <v>0</v>
      </c>
      <c r="BE1170" s="166">
        <v>0</v>
      </c>
      <c r="BF1170" s="166">
        <v>0</v>
      </c>
      <c r="BG1170" s="166">
        <v>0</v>
      </c>
      <c r="BH1170" s="166">
        <v>0</v>
      </c>
      <c r="BI1170" s="166">
        <v>0</v>
      </c>
      <c r="BJ1170" s="166">
        <v>0</v>
      </c>
      <c r="BK1170" s="166">
        <v>0</v>
      </c>
      <c r="BL1170" s="166">
        <v>0</v>
      </c>
      <c r="BM1170" s="166">
        <v>0</v>
      </c>
      <c r="BN1170" s="166">
        <v>0</v>
      </c>
      <c r="BO1170" s="166">
        <v>0</v>
      </c>
      <c r="BP1170" s="166">
        <v>0</v>
      </c>
      <c r="BQ1170" s="81" t="s">
        <v>1757</v>
      </c>
      <c r="BX1170" s="81" t="s">
        <v>155</v>
      </c>
      <c r="BZ1170" s="81" t="s">
        <v>3991</v>
      </c>
      <c r="CA1170" s="81">
        <v>15</v>
      </c>
      <c r="CB1170" s="165" t="s">
        <v>3996</v>
      </c>
      <c r="CC1170" s="167">
        <v>0</v>
      </c>
      <c r="CD1170" s="167">
        <v>0</v>
      </c>
      <c r="CE1170" s="167">
        <v>0</v>
      </c>
      <c r="CF1170" s="167">
        <v>0</v>
      </c>
      <c r="CG1170" s="167">
        <v>0</v>
      </c>
      <c r="CH1170" s="167">
        <v>0</v>
      </c>
      <c r="CI1170" s="167">
        <v>0</v>
      </c>
      <c r="CJ1170" s="167">
        <v>0</v>
      </c>
      <c r="CK1170" s="167">
        <v>0</v>
      </c>
      <c r="CL1170" s="167">
        <v>0</v>
      </c>
      <c r="CM1170" s="167">
        <v>0</v>
      </c>
      <c r="CN1170" s="167">
        <v>0</v>
      </c>
      <c r="CO1170" s="167">
        <v>0</v>
      </c>
      <c r="CP1170" s="167">
        <v>0</v>
      </c>
      <c r="CQ1170" s="167">
        <v>0</v>
      </c>
      <c r="CR1170" s="167">
        <v>0</v>
      </c>
      <c r="CS1170" s="167">
        <v>0</v>
      </c>
      <c r="CT1170" s="167">
        <v>0</v>
      </c>
      <c r="CU1170" s="167">
        <v>0</v>
      </c>
      <c r="CV1170" s="167">
        <v>0</v>
      </c>
      <c r="CW1170" s="167">
        <v>0</v>
      </c>
      <c r="CX1170" s="167">
        <f>SUM(CD1170:CH1170)</f>
        <v>0</v>
      </c>
      <c r="CY1170" s="167">
        <f>SUM(CD1170:CM1170)</f>
        <v>0</v>
      </c>
    </row>
    <row r="1171" spans="1:103" ht="12.75" customHeight="1" x14ac:dyDescent="0.2">
      <c r="A1171" s="81">
        <v>3526</v>
      </c>
      <c r="B1171" s="165" t="s">
        <v>1952</v>
      </c>
      <c r="C1171" s="165" t="s">
        <v>2997</v>
      </c>
      <c r="E1171" s="165" t="s">
        <v>2998</v>
      </c>
      <c r="F1171" s="165" t="s">
        <v>2470</v>
      </c>
      <c r="G1171" s="81">
        <v>526547</v>
      </c>
      <c r="H1171" s="81">
        <v>175744</v>
      </c>
      <c r="I1171" s="165" t="s">
        <v>257</v>
      </c>
      <c r="L1171" s="166">
        <v>0</v>
      </c>
      <c r="M1171" s="166">
        <v>73</v>
      </c>
      <c r="N1171" s="166">
        <v>73</v>
      </c>
      <c r="O1171" s="166">
        <v>299</v>
      </c>
      <c r="P1171" s="166">
        <v>299</v>
      </c>
      <c r="Q1171" s="81" t="s">
        <v>155</v>
      </c>
      <c r="R1171" s="165" t="s">
        <v>2999</v>
      </c>
      <c r="S1171" s="81" t="s">
        <v>53</v>
      </c>
      <c r="T1171" s="349">
        <v>42951</v>
      </c>
      <c r="W1171" s="81" t="s">
        <v>114</v>
      </c>
      <c r="Y1171" s="81" t="s">
        <v>115</v>
      </c>
      <c r="Z1171" s="81" t="s">
        <v>116</v>
      </c>
      <c r="AA1171" s="81" t="s">
        <v>116</v>
      </c>
      <c r="AB1171" s="81" t="s">
        <v>117</v>
      </c>
      <c r="AC1171" s="166">
        <v>0.158000007271767</v>
      </c>
      <c r="AG1171" s="81" t="s">
        <v>238</v>
      </c>
      <c r="AH1171" s="81" t="s">
        <v>118</v>
      </c>
      <c r="AI1171" s="81" t="s">
        <v>3000</v>
      </c>
      <c r="AK1171" s="166">
        <v>0</v>
      </c>
      <c r="AM1171" s="166">
        <v>0</v>
      </c>
      <c r="AO1171" s="166">
        <v>0</v>
      </c>
      <c r="AP1171" s="166">
        <v>6</v>
      </c>
      <c r="AQ1171" s="166">
        <v>58</v>
      </c>
      <c r="AR1171" s="166">
        <v>9</v>
      </c>
      <c r="AS1171" s="166">
        <v>0</v>
      </c>
      <c r="AT1171" s="166">
        <v>0</v>
      </c>
      <c r="AU1171" s="166">
        <v>0</v>
      </c>
      <c r="AV1171" s="166">
        <v>0</v>
      </c>
      <c r="AW1171" s="166">
        <v>6</v>
      </c>
      <c r="AX1171" s="166">
        <v>58</v>
      </c>
      <c r="AY1171" s="166">
        <v>9</v>
      </c>
      <c r="AZ1171" s="166">
        <v>0</v>
      </c>
      <c r="BA1171" s="166">
        <v>0</v>
      </c>
      <c r="BB1171" s="166">
        <v>0</v>
      </c>
      <c r="BC1171" s="166">
        <v>0</v>
      </c>
      <c r="BD1171" s="166">
        <v>0</v>
      </c>
      <c r="BE1171" s="166">
        <v>0</v>
      </c>
      <c r="BF1171" s="166">
        <v>0</v>
      </c>
      <c r="BG1171" s="166">
        <v>0</v>
      </c>
      <c r="BH1171" s="166">
        <v>0</v>
      </c>
      <c r="BI1171" s="166">
        <v>0</v>
      </c>
      <c r="BJ1171" s="166">
        <v>0</v>
      </c>
      <c r="BK1171" s="166">
        <v>0</v>
      </c>
      <c r="BL1171" s="166">
        <v>0</v>
      </c>
      <c r="BM1171" s="166">
        <v>0</v>
      </c>
      <c r="BN1171" s="166">
        <v>0</v>
      </c>
      <c r="BO1171" s="166">
        <v>0</v>
      </c>
      <c r="BP1171" s="166">
        <v>0</v>
      </c>
      <c r="BQ1171" s="81" t="s">
        <v>1757</v>
      </c>
      <c r="BX1171" s="81" t="s">
        <v>155</v>
      </c>
      <c r="BZ1171" s="81" t="s">
        <v>3991</v>
      </c>
      <c r="CA1171" s="81">
        <v>15</v>
      </c>
      <c r="CB1171" s="165" t="s">
        <v>3996</v>
      </c>
      <c r="CC1171" s="167">
        <v>0</v>
      </c>
      <c r="CD1171" s="167">
        <v>0</v>
      </c>
      <c r="CE1171" s="167">
        <v>0</v>
      </c>
      <c r="CF1171" s="167">
        <v>0</v>
      </c>
      <c r="CG1171" s="167">
        <v>0</v>
      </c>
      <c r="CH1171" s="167">
        <v>0</v>
      </c>
      <c r="CI1171" s="167">
        <v>0</v>
      </c>
      <c r="CJ1171" s="167">
        <v>0</v>
      </c>
      <c r="CK1171" s="167">
        <v>0</v>
      </c>
      <c r="CL1171" s="167">
        <v>0</v>
      </c>
      <c r="CM1171" s="167">
        <v>0</v>
      </c>
      <c r="CN1171" s="167">
        <v>0</v>
      </c>
      <c r="CO1171" s="167">
        <v>0</v>
      </c>
      <c r="CP1171" s="167">
        <v>0</v>
      </c>
      <c r="CQ1171" s="167">
        <v>0</v>
      </c>
      <c r="CR1171" s="167">
        <v>0</v>
      </c>
      <c r="CS1171" s="167">
        <v>0</v>
      </c>
      <c r="CT1171" s="167">
        <v>0</v>
      </c>
      <c r="CU1171" s="167">
        <v>0</v>
      </c>
      <c r="CV1171" s="167">
        <v>0</v>
      </c>
      <c r="CW1171" s="167">
        <v>0</v>
      </c>
      <c r="CX1171" s="167">
        <f>SUM(CD1171:CH1171)</f>
        <v>0</v>
      </c>
      <c r="CY1171" s="167">
        <f>SUM(CD1171:CM1171)</f>
        <v>0</v>
      </c>
    </row>
    <row r="1172" spans="1:103" ht="12.75" customHeight="1" x14ac:dyDescent="0.2">
      <c r="A1172" s="81">
        <v>3526</v>
      </c>
      <c r="B1172" s="165" t="s">
        <v>1952</v>
      </c>
      <c r="C1172" s="165" t="s">
        <v>2997</v>
      </c>
      <c r="E1172" s="165" t="s">
        <v>2998</v>
      </c>
      <c r="F1172" s="165" t="s">
        <v>2470</v>
      </c>
      <c r="G1172" s="81">
        <v>526547</v>
      </c>
      <c r="H1172" s="81">
        <v>175744</v>
      </c>
      <c r="I1172" s="165" t="s">
        <v>257</v>
      </c>
      <c r="L1172" s="166">
        <v>0</v>
      </c>
      <c r="M1172" s="166">
        <v>29</v>
      </c>
      <c r="N1172" s="166">
        <v>29</v>
      </c>
      <c r="O1172" s="166">
        <v>299</v>
      </c>
      <c r="P1172" s="166">
        <v>299</v>
      </c>
      <c r="Q1172" s="81" t="s">
        <v>155</v>
      </c>
      <c r="R1172" s="165" t="s">
        <v>2999</v>
      </c>
      <c r="S1172" s="81" t="s">
        <v>53</v>
      </c>
      <c r="T1172" s="349">
        <v>42951</v>
      </c>
      <c r="W1172" s="81" t="s">
        <v>114</v>
      </c>
      <c r="Y1172" s="81" t="s">
        <v>115</v>
      </c>
      <c r="Z1172" s="81" t="s">
        <v>116</v>
      </c>
      <c r="AA1172" s="81" t="s">
        <v>116</v>
      </c>
      <c r="AB1172" s="81" t="s">
        <v>117</v>
      </c>
      <c r="AC1172" s="166">
        <v>6.1999998986720997E-2</v>
      </c>
      <c r="AG1172" s="81" t="s">
        <v>74</v>
      </c>
      <c r="AH1172" s="81" t="s">
        <v>990</v>
      </c>
      <c r="AI1172" s="81" t="s">
        <v>3000</v>
      </c>
      <c r="AK1172" s="166">
        <v>0</v>
      </c>
      <c r="AM1172" s="166">
        <v>0</v>
      </c>
      <c r="AO1172" s="166">
        <v>0</v>
      </c>
      <c r="AP1172" s="166">
        <v>20</v>
      </c>
      <c r="AQ1172" s="166">
        <v>9</v>
      </c>
      <c r="AR1172" s="166">
        <v>0</v>
      </c>
      <c r="AS1172" s="166">
        <v>0</v>
      </c>
      <c r="AT1172" s="166">
        <v>0</v>
      </c>
      <c r="AU1172" s="166">
        <v>0</v>
      </c>
      <c r="AV1172" s="166">
        <v>0</v>
      </c>
      <c r="AW1172" s="166">
        <v>20</v>
      </c>
      <c r="AX1172" s="166">
        <v>9</v>
      </c>
      <c r="AY1172" s="166">
        <v>0</v>
      </c>
      <c r="AZ1172" s="166">
        <v>0</v>
      </c>
      <c r="BA1172" s="166">
        <v>0</v>
      </c>
      <c r="BB1172" s="166">
        <v>0</v>
      </c>
      <c r="BC1172" s="166">
        <v>0</v>
      </c>
      <c r="BD1172" s="166">
        <v>0</v>
      </c>
      <c r="BE1172" s="166">
        <v>0</v>
      </c>
      <c r="BF1172" s="166">
        <v>0</v>
      </c>
      <c r="BG1172" s="166">
        <v>0</v>
      </c>
      <c r="BH1172" s="166">
        <v>0</v>
      </c>
      <c r="BI1172" s="166">
        <v>0</v>
      </c>
      <c r="BJ1172" s="166">
        <v>0</v>
      </c>
      <c r="BK1172" s="166">
        <v>0</v>
      </c>
      <c r="BL1172" s="166">
        <v>0</v>
      </c>
      <c r="BM1172" s="166">
        <v>0</v>
      </c>
      <c r="BN1172" s="166">
        <v>0</v>
      </c>
      <c r="BO1172" s="166">
        <v>0</v>
      </c>
      <c r="BP1172" s="166">
        <v>0</v>
      </c>
      <c r="BQ1172" s="81" t="s">
        <v>1757</v>
      </c>
      <c r="BX1172" s="81" t="s">
        <v>155</v>
      </c>
      <c r="BZ1172" s="81" t="s">
        <v>3991</v>
      </c>
      <c r="CA1172" s="81">
        <v>15</v>
      </c>
      <c r="CB1172" s="165" t="s">
        <v>3996</v>
      </c>
      <c r="CC1172" s="167">
        <v>0</v>
      </c>
      <c r="CD1172" s="167">
        <v>0</v>
      </c>
      <c r="CE1172" s="167">
        <v>0</v>
      </c>
      <c r="CF1172" s="167">
        <v>0</v>
      </c>
      <c r="CG1172" s="167">
        <v>0</v>
      </c>
      <c r="CH1172" s="167">
        <v>0</v>
      </c>
      <c r="CI1172" s="167">
        <v>0</v>
      </c>
      <c r="CJ1172" s="167">
        <v>0</v>
      </c>
      <c r="CK1172" s="167">
        <v>0</v>
      </c>
      <c r="CL1172" s="167">
        <v>0</v>
      </c>
      <c r="CM1172" s="167">
        <v>0</v>
      </c>
      <c r="CN1172" s="167">
        <v>0</v>
      </c>
      <c r="CO1172" s="167">
        <v>0</v>
      </c>
      <c r="CP1172" s="167">
        <v>0</v>
      </c>
      <c r="CQ1172" s="167">
        <v>0</v>
      </c>
      <c r="CR1172" s="167">
        <v>0</v>
      </c>
      <c r="CS1172" s="167">
        <v>0</v>
      </c>
      <c r="CT1172" s="167">
        <v>0</v>
      </c>
      <c r="CU1172" s="167">
        <v>0</v>
      </c>
      <c r="CV1172" s="167">
        <v>0</v>
      </c>
      <c r="CW1172" s="167">
        <v>0</v>
      </c>
      <c r="CX1172" s="167">
        <f>SUM(CD1172:CH1172)</f>
        <v>0</v>
      </c>
      <c r="CY1172" s="167">
        <f>SUM(CD1172:CM1172)</f>
        <v>0</v>
      </c>
    </row>
    <row r="1173" spans="1:103" ht="12.75" customHeight="1" x14ac:dyDescent="0.2">
      <c r="A1173" s="81">
        <v>3526</v>
      </c>
      <c r="B1173" s="165" t="s">
        <v>1952</v>
      </c>
      <c r="C1173" s="165" t="s">
        <v>2997</v>
      </c>
      <c r="E1173" s="165" t="s">
        <v>2998</v>
      </c>
      <c r="F1173" s="165" t="s">
        <v>3001</v>
      </c>
      <c r="G1173" s="81">
        <v>526547</v>
      </c>
      <c r="H1173" s="81">
        <v>175744</v>
      </c>
      <c r="I1173" s="165" t="s">
        <v>257</v>
      </c>
      <c r="L1173" s="166">
        <v>0</v>
      </c>
      <c r="M1173" s="166">
        <v>130</v>
      </c>
      <c r="N1173" s="166">
        <v>130</v>
      </c>
      <c r="O1173" s="166">
        <v>299</v>
      </c>
      <c r="P1173" s="166">
        <v>299</v>
      </c>
      <c r="Q1173" s="81" t="s">
        <v>155</v>
      </c>
      <c r="R1173" s="165" t="s">
        <v>2999</v>
      </c>
      <c r="S1173" s="81" t="s">
        <v>53</v>
      </c>
      <c r="T1173" s="349">
        <v>42951</v>
      </c>
      <c r="W1173" s="81" t="s">
        <v>114</v>
      </c>
      <c r="Y1173" s="81" t="s">
        <v>115</v>
      </c>
      <c r="Z1173" s="81" t="s">
        <v>116</v>
      </c>
      <c r="AA1173" s="81" t="s">
        <v>116</v>
      </c>
      <c r="AB1173" s="81" t="s">
        <v>117</v>
      </c>
      <c r="AC1173" s="166">
        <v>0.28299999237060502</v>
      </c>
      <c r="AG1173" s="81" t="s">
        <v>238</v>
      </c>
      <c r="AH1173" s="81" t="s">
        <v>118</v>
      </c>
      <c r="AI1173" s="81" t="s">
        <v>3000</v>
      </c>
      <c r="AK1173" s="166">
        <v>0</v>
      </c>
      <c r="AM1173" s="166">
        <v>0</v>
      </c>
      <c r="AO1173" s="166">
        <v>0</v>
      </c>
      <c r="AP1173" s="166">
        <v>40</v>
      </c>
      <c r="AQ1173" s="166">
        <v>76</v>
      </c>
      <c r="AR1173" s="166">
        <v>12</v>
      </c>
      <c r="AS1173" s="166">
        <v>0</v>
      </c>
      <c r="AT1173" s="166">
        <v>0</v>
      </c>
      <c r="AU1173" s="166">
        <v>2</v>
      </c>
      <c r="AV1173" s="166">
        <v>0</v>
      </c>
      <c r="AW1173" s="166">
        <v>40</v>
      </c>
      <c r="AX1173" s="166">
        <v>76</v>
      </c>
      <c r="AY1173" s="166">
        <v>12</v>
      </c>
      <c r="AZ1173" s="166">
        <v>0</v>
      </c>
      <c r="BA1173" s="166">
        <v>0</v>
      </c>
      <c r="BB1173" s="166">
        <v>2</v>
      </c>
      <c r="BC1173" s="166">
        <v>0</v>
      </c>
      <c r="BD1173" s="166">
        <v>0</v>
      </c>
      <c r="BE1173" s="166">
        <v>0</v>
      </c>
      <c r="BF1173" s="166">
        <v>0</v>
      </c>
      <c r="BG1173" s="166">
        <v>0</v>
      </c>
      <c r="BH1173" s="166">
        <v>0</v>
      </c>
      <c r="BI1173" s="166">
        <v>0</v>
      </c>
      <c r="BJ1173" s="166">
        <v>0</v>
      </c>
      <c r="BK1173" s="166">
        <v>0</v>
      </c>
      <c r="BL1173" s="166">
        <v>0</v>
      </c>
      <c r="BM1173" s="166">
        <v>0</v>
      </c>
      <c r="BN1173" s="166">
        <v>0</v>
      </c>
      <c r="BO1173" s="166">
        <v>0</v>
      </c>
      <c r="BP1173" s="166">
        <v>0</v>
      </c>
      <c r="BQ1173" s="81" t="s">
        <v>1757</v>
      </c>
      <c r="BX1173" s="81" t="s">
        <v>155</v>
      </c>
      <c r="BZ1173" s="81" t="s">
        <v>3991</v>
      </c>
      <c r="CA1173" s="81">
        <v>15</v>
      </c>
      <c r="CB1173" s="165" t="s">
        <v>3996</v>
      </c>
      <c r="CC1173" s="167">
        <v>0</v>
      </c>
      <c r="CD1173" s="167">
        <v>0</v>
      </c>
      <c r="CE1173" s="167">
        <v>0</v>
      </c>
      <c r="CF1173" s="167">
        <v>0</v>
      </c>
      <c r="CG1173" s="167">
        <v>0</v>
      </c>
      <c r="CH1173" s="167">
        <v>0</v>
      </c>
      <c r="CI1173" s="167">
        <v>0</v>
      </c>
      <c r="CJ1173" s="167">
        <v>0</v>
      </c>
      <c r="CK1173" s="167">
        <v>0</v>
      </c>
      <c r="CL1173" s="167">
        <v>0</v>
      </c>
      <c r="CM1173" s="167">
        <v>0</v>
      </c>
      <c r="CN1173" s="167">
        <v>0</v>
      </c>
      <c r="CO1173" s="167">
        <v>0</v>
      </c>
      <c r="CP1173" s="167">
        <v>0</v>
      </c>
      <c r="CQ1173" s="167">
        <v>0</v>
      </c>
      <c r="CR1173" s="167">
        <v>0</v>
      </c>
      <c r="CS1173" s="167">
        <v>0</v>
      </c>
      <c r="CT1173" s="167">
        <v>0</v>
      </c>
      <c r="CU1173" s="167">
        <v>0</v>
      </c>
      <c r="CV1173" s="167">
        <v>0</v>
      </c>
      <c r="CW1173" s="167">
        <v>0</v>
      </c>
      <c r="CX1173" s="167">
        <f>SUM(CD1173:CH1173)</f>
        <v>0</v>
      </c>
      <c r="CY1173" s="167">
        <f>SUM(CD1173:CM1173)</f>
        <v>0</v>
      </c>
    </row>
    <row r="1174" spans="1:103" ht="12.75" customHeight="1" x14ac:dyDescent="0.2">
      <c r="A1174" s="81">
        <v>3980</v>
      </c>
      <c r="B1174" s="165" t="s">
        <v>1952</v>
      </c>
      <c r="C1174" s="165" t="s">
        <v>1732</v>
      </c>
      <c r="E1174" s="165" t="s">
        <v>3025</v>
      </c>
      <c r="G1174" s="81">
        <v>526592</v>
      </c>
      <c r="H1174" s="81">
        <v>175883</v>
      </c>
      <c r="I1174" s="165" t="s">
        <v>257</v>
      </c>
      <c r="L1174" s="166">
        <v>0</v>
      </c>
      <c r="M1174" s="166">
        <v>108</v>
      </c>
      <c r="N1174" s="166">
        <v>108</v>
      </c>
      <c r="O1174" s="166">
        <v>136</v>
      </c>
      <c r="P1174" s="166">
        <v>136</v>
      </c>
      <c r="Q1174" s="81" t="s">
        <v>155</v>
      </c>
      <c r="R1174" s="165" t="s">
        <v>1733</v>
      </c>
      <c r="S1174" s="81" t="s">
        <v>53</v>
      </c>
      <c r="T1174" s="349">
        <v>42788</v>
      </c>
      <c r="W1174" s="81" t="s">
        <v>114</v>
      </c>
      <c r="Y1174" s="81" t="s">
        <v>115</v>
      </c>
      <c r="Z1174" s="81" t="s">
        <v>116</v>
      </c>
      <c r="AA1174" s="81" t="s">
        <v>116</v>
      </c>
      <c r="AB1174" s="81" t="s">
        <v>117</v>
      </c>
      <c r="AC1174" s="166">
        <v>0.354999989271164</v>
      </c>
      <c r="AG1174" s="81" t="s">
        <v>238</v>
      </c>
      <c r="AH1174" s="81" t="s">
        <v>118</v>
      </c>
      <c r="AI1174" s="81" t="s">
        <v>3026</v>
      </c>
      <c r="AK1174" s="166">
        <v>108</v>
      </c>
      <c r="AM1174" s="166">
        <v>8</v>
      </c>
      <c r="AO1174" s="166">
        <v>0</v>
      </c>
      <c r="AP1174" s="166">
        <v>24</v>
      </c>
      <c r="AQ1174" s="166">
        <v>64</v>
      </c>
      <c r="AR1174" s="166">
        <v>20</v>
      </c>
      <c r="AS1174" s="166">
        <v>0</v>
      </c>
      <c r="AT1174" s="166">
        <v>0</v>
      </c>
      <c r="AU1174" s="166">
        <v>0</v>
      </c>
      <c r="AV1174" s="166">
        <v>0</v>
      </c>
      <c r="AW1174" s="166">
        <v>24</v>
      </c>
      <c r="AX1174" s="166">
        <v>64</v>
      </c>
      <c r="AY1174" s="166">
        <v>20</v>
      </c>
      <c r="AZ1174" s="166">
        <v>0</v>
      </c>
      <c r="BA1174" s="166">
        <v>0</v>
      </c>
      <c r="BB1174" s="166">
        <v>0</v>
      </c>
      <c r="BC1174" s="166">
        <v>0</v>
      </c>
      <c r="BD1174" s="166">
        <v>0</v>
      </c>
      <c r="BE1174" s="166">
        <v>0</v>
      </c>
      <c r="BF1174" s="166">
        <v>0</v>
      </c>
      <c r="BG1174" s="166">
        <v>0</v>
      </c>
      <c r="BH1174" s="166">
        <v>0</v>
      </c>
      <c r="BI1174" s="166">
        <v>0</v>
      </c>
      <c r="BJ1174" s="166">
        <v>0</v>
      </c>
      <c r="BK1174" s="166">
        <v>0</v>
      </c>
      <c r="BL1174" s="166">
        <v>0</v>
      </c>
      <c r="BM1174" s="166">
        <v>0</v>
      </c>
      <c r="BN1174" s="166">
        <v>0</v>
      </c>
      <c r="BO1174" s="166">
        <v>0</v>
      </c>
      <c r="BP1174" s="166">
        <v>0</v>
      </c>
      <c r="BQ1174" s="81" t="s">
        <v>1757</v>
      </c>
      <c r="BX1174" s="81" t="s">
        <v>155</v>
      </c>
      <c r="BZ1174" s="81" t="s">
        <v>155</v>
      </c>
      <c r="CA1174" s="81" t="s">
        <v>3936</v>
      </c>
      <c r="CC1174" s="167">
        <v>0</v>
      </c>
      <c r="CD1174" s="167">
        <f>$N1174/5</f>
        <v>21.6</v>
      </c>
      <c r="CE1174" s="167">
        <f>$N1174/5</f>
        <v>21.6</v>
      </c>
      <c r="CF1174" s="167">
        <f>$N1174/5</f>
        <v>21.6</v>
      </c>
      <c r="CG1174" s="167">
        <f>$N1174/5</f>
        <v>21.6</v>
      </c>
      <c r="CH1174" s="167">
        <f>$N1174/5</f>
        <v>21.6</v>
      </c>
      <c r="CI1174" s="167">
        <v>0</v>
      </c>
      <c r="CJ1174" s="167">
        <v>0</v>
      </c>
      <c r="CK1174" s="167">
        <v>0</v>
      </c>
      <c r="CL1174" s="167">
        <v>0</v>
      </c>
      <c r="CM1174" s="167">
        <v>0</v>
      </c>
      <c r="CN1174" s="167">
        <v>0</v>
      </c>
      <c r="CO1174" s="167">
        <v>0</v>
      </c>
      <c r="CP1174" s="167">
        <v>0</v>
      </c>
      <c r="CQ1174" s="167">
        <v>0</v>
      </c>
      <c r="CR1174" s="167">
        <v>0</v>
      </c>
      <c r="CS1174" s="167">
        <v>0</v>
      </c>
      <c r="CT1174" s="167">
        <v>0</v>
      </c>
      <c r="CU1174" s="167">
        <v>0</v>
      </c>
      <c r="CV1174" s="167">
        <v>0</v>
      </c>
      <c r="CW1174" s="167">
        <v>0</v>
      </c>
      <c r="CX1174" s="167">
        <f>SUM(CD1174:CH1174)</f>
        <v>108</v>
      </c>
      <c r="CY1174" s="167">
        <f>SUM(CD1174:CM1174)</f>
        <v>108</v>
      </c>
    </row>
    <row r="1175" spans="1:103" ht="12.75" customHeight="1" x14ac:dyDescent="0.2">
      <c r="A1175" s="81">
        <v>3980</v>
      </c>
      <c r="B1175" s="165" t="s">
        <v>1952</v>
      </c>
      <c r="C1175" s="165" t="s">
        <v>1732</v>
      </c>
      <c r="E1175" s="165" t="s">
        <v>3025</v>
      </c>
      <c r="G1175" s="81">
        <v>526592</v>
      </c>
      <c r="H1175" s="81">
        <v>175883</v>
      </c>
      <c r="I1175" s="165" t="s">
        <v>257</v>
      </c>
      <c r="L1175" s="166">
        <v>0</v>
      </c>
      <c r="M1175" s="166">
        <v>28</v>
      </c>
      <c r="N1175" s="166">
        <v>28</v>
      </c>
      <c r="O1175" s="166">
        <v>136</v>
      </c>
      <c r="P1175" s="166">
        <v>136</v>
      </c>
      <c r="Q1175" s="81" t="s">
        <v>155</v>
      </c>
      <c r="R1175" s="165" t="s">
        <v>1733</v>
      </c>
      <c r="S1175" s="81" t="s">
        <v>53</v>
      </c>
      <c r="T1175" s="349">
        <v>42788</v>
      </c>
      <c r="W1175" s="81" t="s">
        <v>114</v>
      </c>
      <c r="Y1175" s="81" t="s">
        <v>115</v>
      </c>
      <c r="Z1175" s="81" t="s">
        <v>116</v>
      </c>
      <c r="AA1175" s="81" t="s">
        <v>116</v>
      </c>
      <c r="AB1175" s="81" t="s">
        <v>117</v>
      </c>
      <c r="AC1175" s="166">
        <v>7.5000002980232197E-2</v>
      </c>
      <c r="AG1175" s="81" t="s">
        <v>74</v>
      </c>
      <c r="AH1175" s="81" t="s">
        <v>990</v>
      </c>
      <c r="AI1175" s="81" t="s">
        <v>3026</v>
      </c>
      <c r="AK1175" s="166">
        <v>28</v>
      </c>
      <c r="AM1175" s="166">
        <v>6</v>
      </c>
      <c r="AO1175" s="166">
        <v>0</v>
      </c>
      <c r="AP1175" s="166">
        <v>12</v>
      </c>
      <c r="AQ1175" s="166">
        <v>16</v>
      </c>
      <c r="AR1175" s="166">
        <v>0</v>
      </c>
      <c r="AS1175" s="166">
        <v>0</v>
      </c>
      <c r="AT1175" s="166">
        <v>0</v>
      </c>
      <c r="AU1175" s="166">
        <v>0</v>
      </c>
      <c r="AV1175" s="166">
        <v>0</v>
      </c>
      <c r="AW1175" s="166">
        <v>12</v>
      </c>
      <c r="AX1175" s="166">
        <v>16</v>
      </c>
      <c r="AY1175" s="166">
        <v>0</v>
      </c>
      <c r="AZ1175" s="166">
        <v>0</v>
      </c>
      <c r="BA1175" s="166">
        <v>0</v>
      </c>
      <c r="BB1175" s="166">
        <v>0</v>
      </c>
      <c r="BC1175" s="166">
        <v>0</v>
      </c>
      <c r="BD1175" s="166">
        <v>0</v>
      </c>
      <c r="BE1175" s="166">
        <v>0</v>
      </c>
      <c r="BF1175" s="166">
        <v>0</v>
      </c>
      <c r="BG1175" s="166">
        <v>0</v>
      </c>
      <c r="BH1175" s="166">
        <v>0</v>
      </c>
      <c r="BI1175" s="166">
        <v>0</v>
      </c>
      <c r="BJ1175" s="166">
        <v>0</v>
      </c>
      <c r="BK1175" s="166">
        <v>0</v>
      </c>
      <c r="BL1175" s="166">
        <v>0</v>
      </c>
      <c r="BM1175" s="166">
        <v>0</v>
      </c>
      <c r="BN1175" s="166">
        <v>0</v>
      </c>
      <c r="BO1175" s="166">
        <v>0</v>
      </c>
      <c r="BP1175" s="166">
        <v>0</v>
      </c>
      <c r="BQ1175" s="81" t="s">
        <v>1757</v>
      </c>
      <c r="BX1175" s="81" t="s">
        <v>155</v>
      </c>
      <c r="BZ1175" s="81" t="s">
        <v>155</v>
      </c>
      <c r="CA1175" s="81" t="s">
        <v>3936</v>
      </c>
      <c r="CC1175" s="167">
        <v>0</v>
      </c>
      <c r="CD1175" s="167">
        <f>$N1175/5</f>
        <v>5.6</v>
      </c>
      <c r="CE1175" s="167">
        <f>$N1175/5</f>
        <v>5.6</v>
      </c>
      <c r="CF1175" s="167">
        <f>$N1175/5</f>
        <v>5.6</v>
      </c>
      <c r="CG1175" s="167">
        <f>$N1175/5</f>
        <v>5.6</v>
      </c>
      <c r="CH1175" s="167">
        <f>$N1175/5</f>
        <v>5.6</v>
      </c>
      <c r="CI1175" s="167">
        <v>0</v>
      </c>
      <c r="CJ1175" s="167">
        <v>0</v>
      </c>
      <c r="CK1175" s="167">
        <v>0</v>
      </c>
      <c r="CL1175" s="167">
        <v>0</v>
      </c>
      <c r="CM1175" s="167">
        <v>0</v>
      </c>
      <c r="CN1175" s="167">
        <v>0</v>
      </c>
      <c r="CO1175" s="167">
        <v>0</v>
      </c>
      <c r="CP1175" s="167">
        <v>0</v>
      </c>
      <c r="CQ1175" s="167">
        <v>0</v>
      </c>
      <c r="CR1175" s="167">
        <v>0</v>
      </c>
      <c r="CS1175" s="167">
        <v>0</v>
      </c>
      <c r="CT1175" s="167">
        <v>0</v>
      </c>
      <c r="CU1175" s="167">
        <v>0</v>
      </c>
      <c r="CV1175" s="167">
        <v>0</v>
      </c>
      <c r="CW1175" s="167">
        <v>0</v>
      </c>
      <c r="CX1175" s="167">
        <f>SUM(CD1175:CH1175)</f>
        <v>28</v>
      </c>
      <c r="CY1175" s="167">
        <f>SUM(CD1175:CM1175)</f>
        <v>28</v>
      </c>
    </row>
    <row r="1176" spans="1:103" ht="12.75" customHeight="1" x14ac:dyDescent="0.2">
      <c r="A1176" s="81">
        <v>6404</v>
      </c>
      <c r="B1176" s="165" t="s">
        <v>1952</v>
      </c>
      <c r="C1176" s="165" t="s">
        <v>3433</v>
      </c>
      <c r="E1176" s="165" t="s">
        <v>3432</v>
      </c>
      <c r="G1176" s="81">
        <v>526552</v>
      </c>
      <c r="H1176" s="81">
        <v>172073</v>
      </c>
      <c r="I1176" s="165" t="s">
        <v>249</v>
      </c>
      <c r="L1176" s="166">
        <v>1</v>
      </c>
      <c r="M1176" s="166">
        <v>10</v>
      </c>
      <c r="N1176" s="166">
        <v>9</v>
      </c>
      <c r="O1176" s="166">
        <v>10</v>
      </c>
      <c r="P1176" s="166">
        <v>9</v>
      </c>
      <c r="Q1176" s="81" t="s">
        <v>155</v>
      </c>
      <c r="R1176" s="165" t="s">
        <v>3434</v>
      </c>
      <c r="S1176" s="81" t="s">
        <v>53</v>
      </c>
      <c r="T1176" s="349">
        <v>42933</v>
      </c>
      <c r="W1176" s="81" t="s">
        <v>114</v>
      </c>
      <c r="Y1176" s="81" t="s">
        <v>115</v>
      </c>
      <c r="Z1176" s="81" t="s">
        <v>116</v>
      </c>
      <c r="AA1176" s="81" t="s">
        <v>116</v>
      </c>
      <c r="AB1176" s="81" t="s">
        <v>117</v>
      </c>
      <c r="AC1176" s="166">
        <v>1.7999999225139601E-2</v>
      </c>
      <c r="AG1176" s="81" t="s">
        <v>238</v>
      </c>
      <c r="AH1176" s="81" t="s">
        <v>118</v>
      </c>
      <c r="AK1176" s="166">
        <v>0</v>
      </c>
      <c r="AL1176" s="166">
        <v>9</v>
      </c>
      <c r="AM1176" s="166">
        <v>0</v>
      </c>
      <c r="AN1176" s="166">
        <v>1</v>
      </c>
      <c r="AO1176" s="166">
        <v>0</v>
      </c>
      <c r="AP1176" s="166">
        <v>4</v>
      </c>
      <c r="AQ1176" s="166">
        <v>5</v>
      </c>
      <c r="AR1176" s="166">
        <v>0</v>
      </c>
      <c r="AS1176" s="166">
        <v>0</v>
      </c>
      <c r="AT1176" s="166">
        <v>0</v>
      </c>
      <c r="AU1176" s="166">
        <v>0</v>
      </c>
      <c r="AV1176" s="166">
        <v>0</v>
      </c>
      <c r="AW1176" s="166">
        <v>4</v>
      </c>
      <c r="AX1176" s="166">
        <v>6</v>
      </c>
      <c r="AY1176" s="166">
        <v>0</v>
      </c>
      <c r="AZ1176" s="166">
        <v>0</v>
      </c>
      <c r="BA1176" s="166">
        <v>0</v>
      </c>
      <c r="BB1176" s="166">
        <v>0</v>
      </c>
      <c r="BC1176" s="166">
        <v>0</v>
      </c>
      <c r="BD1176" s="166">
        <v>0</v>
      </c>
      <c r="BE1176" s="166">
        <v>-1</v>
      </c>
      <c r="BF1176" s="166">
        <v>0</v>
      </c>
      <c r="BG1176" s="166">
        <v>0</v>
      </c>
      <c r="BH1176" s="166">
        <v>0</v>
      </c>
      <c r="BI1176" s="166">
        <v>0</v>
      </c>
      <c r="BJ1176" s="166">
        <v>0</v>
      </c>
      <c r="BK1176" s="166">
        <v>0</v>
      </c>
      <c r="BL1176" s="166">
        <v>0</v>
      </c>
      <c r="BM1176" s="166">
        <v>0</v>
      </c>
      <c r="BN1176" s="166">
        <v>0</v>
      </c>
      <c r="BO1176" s="166">
        <v>0</v>
      </c>
      <c r="BP1176" s="166">
        <v>0</v>
      </c>
      <c r="BQ1176" s="81" t="s">
        <v>1758</v>
      </c>
      <c r="BZ1176" s="81" t="s">
        <v>3991</v>
      </c>
      <c r="CA1176" s="81">
        <v>15</v>
      </c>
      <c r="CB1176" s="165" t="s">
        <v>4004</v>
      </c>
      <c r="CC1176" s="167">
        <v>0</v>
      </c>
      <c r="CD1176" s="167">
        <v>0</v>
      </c>
      <c r="CE1176" s="167">
        <v>0</v>
      </c>
      <c r="CF1176" s="167">
        <v>0</v>
      </c>
      <c r="CG1176" s="167">
        <v>0</v>
      </c>
      <c r="CH1176" s="167">
        <v>0</v>
      </c>
      <c r="CI1176" s="167">
        <v>0</v>
      </c>
      <c r="CJ1176" s="167">
        <v>0</v>
      </c>
      <c r="CK1176" s="167">
        <v>0</v>
      </c>
      <c r="CL1176" s="167">
        <v>0</v>
      </c>
      <c r="CM1176" s="167">
        <v>0</v>
      </c>
      <c r="CN1176" s="167">
        <v>0</v>
      </c>
      <c r="CO1176" s="167">
        <v>0</v>
      </c>
      <c r="CP1176" s="167">
        <v>0</v>
      </c>
      <c r="CQ1176" s="167">
        <v>0</v>
      </c>
      <c r="CR1176" s="167">
        <v>0</v>
      </c>
      <c r="CS1176" s="167">
        <v>0</v>
      </c>
      <c r="CT1176" s="167">
        <v>0</v>
      </c>
      <c r="CU1176" s="167">
        <v>0</v>
      </c>
      <c r="CV1176" s="167">
        <v>0</v>
      </c>
      <c r="CW1176" s="167">
        <v>0</v>
      </c>
      <c r="CX1176" s="167">
        <f>SUM(CD1176:CH1176)</f>
        <v>0</v>
      </c>
      <c r="CY1176" s="167">
        <f>SUM(CD1176:CM1176)</f>
        <v>0</v>
      </c>
    </row>
    <row r="1177" spans="1:103" ht="12.75" customHeight="1" x14ac:dyDescent="0.2">
      <c r="A1177" s="81">
        <v>6478</v>
      </c>
      <c r="B1177" s="165" t="s">
        <v>1952</v>
      </c>
      <c r="C1177" s="165" t="s">
        <v>1554</v>
      </c>
      <c r="D1177" s="165" t="s">
        <v>1555</v>
      </c>
      <c r="E1177" s="165" t="s">
        <v>3437</v>
      </c>
      <c r="G1177" s="81">
        <v>528953</v>
      </c>
      <c r="H1177" s="81">
        <v>177092</v>
      </c>
      <c r="I1177" s="165" t="s">
        <v>240</v>
      </c>
      <c r="L1177" s="166">
        <v>0</v>
      </c>
      <c r="M1177" s="166">
        <v>128</v>
      </c>
      <c r="N1177" s="166">
        <v>128</v>
      </c>
      <c r="O1177" s="166">
        <v>162</v>
      </c>
      <c r="P1177" s="166">
        <v>162</v>
      </c>
      <c r="Q1177" s="81" t="s">
        <v>155</v>
      </c>
      <c r="R1177" s="165" t="s">
        <v>1557</v>
      </c>
      <c r="S1177" s="81" t="s">
        <v>53</v>
      </c>
      <c r="T1177" s="349">
        <v>42628</v>
      </c>
      <c r="W1177" s="81" t="s">
        <v>114</v>
      </c>
      <c r="Y1177" s="81" t="s">
        <v>115</v>
      </c>
      <c r="Z1177" s="81" t="s">
        <v>116</v>
      </c>
      <c r="AA1177" s="81" t="s">
        <v>116</v>
      </c>
      <c r="AB1177" s="81" t="s">
        <v>117</v>
      </c>
      <c r="AC1177" s="166">
        <v>0</v>
      </c>
      <c r="AG1177" s="81" t="s">
        <v>238</v>
      </c>
      <c r="AH1177" s="81" t="s">
        <v>118</v>
      </c>
      <c r="AK1177" s="166">
        <v>130</v>
      </c>
      <c r="AM1177" s="166">
        <v>13</v>
      </c>
      <c r="AO1177" s="166">
        <v>0</v>
      </c>
      <c r="AP1177" s="166">
        <v>31</v>
      </c>
      <c r="AQ1177" s="166">
        <v>86</v>
      </c>
      <c r="AR1177" s="166">
        <v>11</v>
      </c>
      <c r="AS1177" s="166">
        <v>0</v>
      </c>
      <c r="AT1177" s="166">
        <v>0</v>
      </c>
      <c r="AU1177" s="166">
        <v>0</v>
      </c>
      <c r="AV1177" s="166">
        <v>0</v>
      </c>
      <c r="AW1177" s="166">
        <v>31</v>
      </c>
      <c r="AX1177" s="166">
        <v>86</v>
      </c>
      <c r="AY1177" s="166">
        <v>11</v>
      </c>
      <c r="AZ1177" s="166">
        <v>0</v>
      </c>
      <c r="BA1177" s="166">
        <v>0</v>
      </c>
      <c r="BB1177" s="166">
        <v>0</v>
      </c>
      <c r="BC1177" s="166">
        <v>0</v>
      </c>
      <c r="BD1177" s="166">
        <v>0</v>
      </c>
      <c r="BE1177" s="166">
        <v>0</v>
      </c>
      <c r="BF1177" s="166">
        <v>0</v>
      </c>
      <c r="BG1177" s="166">
        <v>0</v>
      </c>
      <c r="BH1177" s="166">
        <v>0</v>
      </c>
      <c r="BI1177" s="166">
        <v>0</v>
      </c>
      <c r="BJ1177" s="166">
        <v>0</v>
      </c>
      <c r="BK1177" s="166">
        <v>0</v>
      </c>
      <c r="BL1177" s="166">
        <v>0</v>
      </c>
      <c r="BM1177" s="166">
        <v>0</v>
      </c>
      <c r="BN1177" s="166">
        <v>0</v>
      </c>
      <c r="BO1177" s="166">
        <v>0</v>
      </c>
      <c r="BP1177" s="166">
        <v>0</v>
      </c>
      <c r="BQ1177" s="81" t="s">
        <v>1759</v>
      </c>
      <c r="BS1177" s="81" t="s">
        <v>155</v>
      </c>
      <c r="BZ1177" s="81" t="s">
        <v>155</v>
      </c>
      <c r="CA1177" s="81">
        <v>12</v>
      </c>
      <c r="CC1177" s="167">
        <v>0</v>
      </c>
      <c r="CD1177" s="167">
        <v>0</v>
      </c>
      <c r="CE1177" s="167">
        <v>0</v>
      </c>
      <c r="CF1177" s="167">
        <v>0</v>
      </c>
      <c r="CG1177" s="167">
        <f>N1177</f>
        <v>128</v>
      </c>
      <c r="CH1177" s="167">
        <v>0</v>
      </c>
      <c r="CI1177" s="167">
        <v>0</v>
      </c>
      <c r="CJ1177" s="167">
        <v>0</v>
      </c>
      <c r="CK1177" s="167">
        <v>0</v>
      </c>
      <c r="CL1177" s="167">
        <v>0</v>
      </c>
      <c r="CM1177" s="167">
        <v>0</v>
      </c>
      <c r="CN1177" s="167">
        <v>0</v>
      </c>
      <c r="CO1177" s="167">
        <v>0</v>
      </c>
      <c r="CP1177" s="167">
        <v>0</v>
      </c>
      <c r="CQ1177" s="167">
        <v>0</v>
      </c>
      <c r="CR1177" s="167">
        <v>0</v>
      </c>
      <c r="CS1177" s="167">
        <v>0</v>
      </c>
      <c r="CT1177" s="167">
        <v>0</v>
      </c>
      <c r="CU1177" s="167">
        <v>0</v>
      </c>
      <c r="CV1177" s="167">
        <v>0</v>
      </c>
      <c r="CW1177" s="167">
        <v>0</v>
      </c>
      <c r="CX1177" s="167">
        <f>SUM(CD1177:CH1177)</f>
        <v>128</v>
      </c>
      <c r="CY1177" s="167">
        <f>SUM(CD1177:CM1177)</f>
        <v>128</v>
      </c>
    </row>
    <row r="1178" spans="1:103" ht="12.75" customHeight="1" x14ac:dyDescent="0.2">
      <c r="A1178" s="81">
        <v>6478</v>
      </c>
      <c r="B1178" s="165" t="s">
        <v>1952</v>
      </c>
      <c r="C1178" s="165" t="s">
        <v>1554</v>
      </c>
      <c r="D1178" s="165" t="s">
        <v>1555</v>
      </c>
      <c r="E1178" s="165" t="s">
        <v>3437</v>
      </c>
      <c r="G1178" s="81">
        <v>528953</v>
      </c>
      <c r="H1178" s="81">
        <v>177092</v>
      </c>
      <c r="I1178" s="165" t="s">
        <v>240</v>
      </c>
      <c r="L1178" s="166">
        <v>0</v>
      </c>
      <c r="M1178" s="166">
        <v>34</v>
      </c>
      <c r="N1178" s="166">
        <v>34</v>
      </c>
      <c r="O1178" s="166">
        <v>162</v>
      </c>
      <c r="P1178" s="166">
        <v>162</v>
      </c>
      <c r="Q1178" s="81" t="s">
        <v>155</v>
      </c>
      <c r="R1178" s="165" t="s">
        <v>1557</v>
      </c>
      <c r="S1178" s="81" t="s">
        <v>53</v>
      </c>
      <c r="T1178" s="349">
        <v>42628</v>
      </c>
      <c r="W1178" s="81" t="s">
        <v>114</v>
      </c>
      <c r="Y1178" s="81" t="s">
        <v>115</v>
      </c>
      <c r="Z1178" s="81" t="s">
        <v>116</v>
      </c>
      <c r="AA1178" s="81" t="s">
        <v>116</v>
      </c>
      <c r="AB1178" s="81" t="s">
        <v>117</v>
      </c>
      <c r="AC1178" s="166">
        <v>0</v>
      </c>
      <c r="AG1178" s="81" t="s">
        <v>74</v>
      </c>
      <c r="AH1178" s="81" t="s">
        <v>990</v>
      </c>
      <c r="AK1178" s="166">
        <v>44</v>
      </c>
      <c r="AM1178" s="166">
        <v>4</v>
      </c>
      <c r="AO1178" s="166">
        <v>0</v>
      </c>
      <c r="AP1178" s="166">
        <v>17</v>
      </c>
      <c r="AQ1178" s="166">
        <v>17</v>
      </c>
      <c r="AR1178" s="166">
        <v>0</v>
      </c>
      <c r="AS1178" s="166">
        <v>0</v>
      </c>
      <c r="AT1178" s="166">
        <v>0</v>
      </c>
      <c r="AU1178" s="166">
        <v>0</v>
      </c>
      <c r="AV1178" s="166">
        <v>0</v>
      </c>
      <c r="AW1178" s="166">
        <v>17</v>
      </c>
      <c r="AX1178" s="166">
        <v>17</v>
      </c>
      <c r="AY1178" s="166">
        <v>0</v>
      </c>
      <c r="AZ1178" s="166">
        <v>0</v>
      </c>
      <c r="BA1178" s="166">
        <v>0</v>
      </c>
      <c r="BB1178" s="166">
        <v>0</v>
      </c>
      <c r="BC1178" s="166">
        <v>0</v>
      </c>
      <c r="BD1178" s="166">
        <v>0</v>
      </c>
      <c r="BE1178" s="166">
        <v>0</v>
      </c>
      <c r="BF1178" s="166">
        <v>0</v>
      </c>
      <c r="BG1178" s="166">
        <v>0</v>
      </c>
      <c r="BH1178" s="166">
        <v>0</v>
      </c>
      <c r="BI1178" s="166">
        <v>0</v>
      </c>
      <c r="BJ1178" s="166">
        <v>0</v>
      </c>
      <c r="BK1178" s="166">
        <v>0</v>
      </c>
      <c r="BL1178" s="166">
        <v>0</v>
      </c>
      <c r="BM1178" s="166">
        <v>0</v>
      </c>
      <c r="BN1178" s="166">
        <v>0</v>
      </c>
      <c r="BO1178" s="166">
        <v>0</v>
      </c>
      <c r="BP1178" s="166">
        <v>0</v>
      </c>
      <c r="BQ1178" s="81" t="s">
        <v>1759</v>
      </c>
      <c r="BS1178" s="81" t="s">
        <v>155</v>
      </c>
      <c r="BZ1178" s="81" t="s">
        <v>155</v>
      </c>
      <c r="CA1178" s="81">
        <v>12</v>
      </c>
      <c r="CC1178" s="167">
        <v>0</v>
      </c>
      <c r="CD1178" s="167">
        <v>0</v>
      </c>
      <c r="CE1178" s="167">
        <v>0</v>
      </c>
      <c r="CF1178" s="167">
        <v>0</v>
      </c>
      <c r="CG1178" s="167">
        <f>N1178</f>
        <v>34</v>
      </c>
      <c r="CH1178" s="167">
        <v>0</v>
      </c>
      <c r="CI1178" s="167">
        <v>0</v>
      </c>
      <c r="CJ1178" s="167">
        <v>0</v>
      </c>
      <c r="CK1178" s="167">
        <v>0</v>
      </c>
      <c r="CL1178" s="167">
        <v>0</v>
      </c>
      <c r="CM1178" s="167">
        <v>0</v>
      </c>
      <c r="CN1178" s="167">
        <v>0</v>
      </c>
      <c r="CO1178" s="167">
        <v>0</v>
      </c>
      <c r="CP1178" s="167">
        <v>0</v>
      </c>
      <c r="CQ1178" s="167">
        <v>0</v>
      </c>
      <c r="CR1178" s="167">
        <v>0</v>
      </c>
      <c r="CS1178" s="167">
        <v>0</v>
      </c>
      <c r="CT1178" s="167">
        <v>0</v>
      </c>
      <c r="CU1178" s="167">
        <v>0</v>
      </c>
      <c r="CV1178" s="167">
        <v>0</v>
      </c>
      <c r="CW1178" s="167">
        <v>0</v>
      </c>
      <c r="CX1178" s="167">
        <f>SUM(CD1178:CH1178)</f>
        <v>34</v>
      </c>
      <c r="CY1178" s="167">
        <f>SUM(CD1178:CM1178)</f>
        <v>34</v>
      </c>
    </row>
    <row r="1179" spans="1:103" ht="12.75" customHeight="1" x14ac:dyDescent="0.2">
      <c r="A1179" s="81">
        <v>6499</v>
      </c>
      <c r="B1179" s="165" t="s">
        <v>1952</v>
      </c>
      <c r="C1179" s="165" t="s">
        <v>1562</v>
      </c>
      <c r="E1179" s="165" t="s">
        <v>3034</v>
      </c>
      <c r="G1179" s="81">
        <v>529152</v>
      </c>
      <c r="H1179" s="81">
        <v>176426</v>
      </c>
      <c r="I1179" s="165" t="s">
        <v>240</v>
      </c>
      <c r="L1179" s="166">
        <v>1</v>
      </c>
      <c r="M1179" s="166">
        <v>4</v>
      </c>
      <c r="N1179" s="166">
        <v>3</v>
      </c>
      <c r="O1179" s="166">
        <v>4</v>
      </c>
      <c r="P1179" s="166">
        <v>3</v>
      </c>
      <c r="R1179" s="165" t="s">
        <v>1563</v>
      </c>
      <c r="S1179" s="81" t="s">
        <v>53</v>
      </c>
      <c r="T1179" s="349">
        <v>42669</v>
      </c>
      <c r="W1179" s="81" t="s">
        <v>114</v>
      </c>
      <c r="Y1179" s="81" t="s">
        <v>115</v>
      </c>
      <c r="Z1179" s="81" t="s">
        <v>116</v>
      </c>
      <c r="AA1179" s="81" t="s">
        <v>117</v>
      </c>
      <c r="AB1179" s="81" t="s">
        <v>218</v>
      </c>
      <c r="AC1179" s="166">
        <v>9.9999997764825804E-3</v>
      </c>
      <c r="AG1179" s="81" t="s">
        <v>238</v>
      </c>
      <c r="AH1179" s="81" t="s">
        <v>118</v>
      </c>
      <c r="AK1179" s="166">
        <v>9</v>
      </c>
      <c r="AM1179" s="166">
        <v>0</v>
      </c>
      <c r="AO1179" s="166">
        <v>0</v>
      </c>
      <c r="AP1179" s="166">
        <v>0</v>
      </c>
      <c r="AQ1179" s="166">
        <v>1</v>
      </c>
      <c r="AR1179" s="166">
        <v>2</v>
      </c>
      <c r="AS1179" s="166">
        <v>0</v>
      </c>
      <c r="AT1179" s="166">
        <v>0</v>
      </c>
      <c r="AU1179" s="166">
        <v>0</v>
      </c>
      <c r="AV1179" s="166">
        <v>0</v>
      </c>
      <c r="AW1179" s="166">
        <v>0</v>
      </c>
      <c r="AX1179" s="166">
        <v>1</v>
      </c>
      <c r="AY1179" s="166">
        <v>3</v>
      </c>
      <c r="AZ1179" s="166">
        <v>0</v>
      </c>
      <c r="BA1179" s="166">
        <v>0</v>
      </c>
      <c r="BB1179" s="166">
        <v>0</v>
      </c>
      <c r="BC1179" s="166">
        <v>0</v>
      </c>
      <c r="BD1179" s="166">
        <v>0</v>
      </c>
      <c r="BE1179" s="166">
        <v>0</v>
      </c>
      <c r="BF1179" s="166">
        <v>-1</v>
      </c>
      <c r="BG1179" s="166">
        <v>0</v>
      </c>
      <c r="BH1179" s="166">
        <v>0</v>
      </c>
      <c r="BI1179" s="166">
        <v>0</v>
      </c>
      <c r="BJ1179" s="166">
        <v>0</v>
      </c>
      <c r="BK1179" s="166">
        <v>0</v>
      </c>
      <c r="BL1179" s="166">
        <v>0</v>
      </c>
      <c r="BM1179" s="166">
        <v>0</v>
      </c>
      <c r="BN1179" s="166">
        <v>0</v>
      </c>
      <c r="BO1179" s="166">
        <v>0</v>
      </c>
      <c r="BP1179" s="166">
        <v>0</v>
      </c>
      <c r="BQ1179" s="81" t="s">
        <v>1759</v>
      </c>
      <c r="BS1179" s="81" t="s">
        <v>155</v>
      </c>
      <c r="BZ1179" s="81" t="s">
        <v>155</v>
      </c>
      <c r="CA1179" s="81">
        <v>4</v>
      </c>
      <c r="CC1179" s="167">
        <v>0</v>
      </c>
      <c r="CD1179" s="167">
        <v>0</v>
      </c>
      <c r="CE1179" s="167">
        <f>$N1179/4</f>
        <v>0.75</v>
      </c>
      <c r="CF1179" s="167">
        <f>$N1179/4</f>
        <v>0.75</v>
      </c>
      <c r="CG1179" s="167">
        <f>$N1179/4</f>
        <v>0.75</v>
      </c>
      <c r="CH1179" s="167">
        <f>$N1179/4</f>
        <v>0.75</v>
      </c>
      <c r="CI1179" s="167">
        <v>0</v>
      </c>
      <c r="CJ1179" s="167">
        <v>0</v>
      </c>
      <c r="CK1179" s="167">
        <v>0</v>
      </c>
      <c r="CL1179" s="167">
        <v>0</v>
      </c>
      <c r="CM1179" s="167">
        <v>0</v>
      </c>
      <c r="CN1179" s="167">
        <v>0</v>
      </c>
      <c r="CO1179" s="167">
        <v>0</v>
      </c>
      <c r="CP1179" s="167">
        <v>0</v>
      </c>
      <c r="CQ1179" s="167">
        <v>0</v>
      </c>
      <c r="CR1179" s="167">
        <v>0</v>
      </c>
      <c r="CS1179" s="167">
        <v>0</v>
      </c>
      <c r="CT1179" s="167">
        <v>0</v>
      </c>
      <c r="CU1179" s="167">
        <v>0</v>
      </c>
      <c r="CV1179" s="167">
        <v>0</v>
      </c>
      <c r="CW1179" s="167">
        <v>0</v>
      </c>
      <c r="CX1179" s="167">
        <f>SUM(CD1179:CH1179)</f>
        <v>3</v>
      </c>
      <c r="CY1179" s="167">
        <f>SUM(CD1179:CM1179)</f>
        <v>3</v>
      </c>
    </row>
    <row r="1180" spans="1:103" ht="12.75" customHeight="1" x14ac:dyDescent="0.2">
      <c r="A1180" s="81">
        <v>6505</v>
      </c>
      <c r="B1180" s="165" t="s">
        <v>1952</v>
      </c>
      <c r="C1180" s="165" t="s">
        <v>1724</v>
      </c>
      <c r="D1180" s="165" t="s">
        <v>876</v>
      </c>
      <c r="E1180" s="165" t="s">
        <v>3440</v>
      </c>
      <c r="F1180" s="165" t="s">
        <v>1294</v>
      </c>
      <c r="G1180" s="81">
        <v>526483</v>
      </c>
      <c r="H1180" s="81">
        <v>175747</v>
      </c>
      <c r="I1180" s="165" t="s">
        <v>257</v>
      </c>
      <c r="L1180" s="166">
        <v>0</v>
      </c>
      <c r="M1180" s="166">
        <v>85</v>
      </c>
      <c r="N1180" s="166">
        <v>85</v>
      </c>
      <c r="O1180" s="166">
        <v>127</v>
      </c>
      <c r="P1180" s="166">
        <v>125</v>
      </c>
      <c r="Q1180" s="81" t="s">
        <v>155</v>
      </c>
      <c r="R1180" s="165" t="s">
        <v>1725</v>
      </c>
      <c r="S1180" s="81" t="s">
        <v>53</v>
      </c>
      <c r="T1180" s="349">
        <v>42650</v>
      </c>
      <c r="W1180" s="81" t="s">
        <v>114</v>
      </c>
      <c r="Y1180" s="81" t="s">
        <v>115</v>
      </c>
      <c r="Z1180" s="81" t="s">
        <v>116</v>
      </c>
      <c r="AA1180" s="81" t="s">
        <v>116</v>
      </c>
      <c r="AB1180" s="81" t="s">
        <v>117</v>
      </c>
      <c r="AC1180" s="166">
        <v>0.20000000298023199</v>
      </c>
      <c r="AG1180" s="81" t="s">
        <v>238</v>
      </c>
      <c r="AH1180" s="81" t="s">
        <v>118</v>
      </c>
      <c r="AK1180" s="166">
        <v>0</v>
      </c>
      <c r="AM1180" s="166">
        <v>0</v>
      </c>
      <c r="AO1180" s="166">
        <v>0</v>
      </c>
      <c r="AP1180" s="166">
        <v>14</v>
      </c>
      <c r="AQ1180" s="166">
        <v>68</v>
      </c>
      <c r="AR1180" s="166">
        <v>3</v>
      </c>
      <c r="AS1180" s="166">
        <v>0</v>
      </c>
      <c r="AT1180" s="166">
        <v>0</v>
      </c>
      <c r="AU1180" s="166">
        <v>0</v>
      </c>
      <c r="AV1180" s="166">
        <v>0</v>
      </c>
      <c r="AW1180" s="166">
        <v>14</v>
      </c>
      <c r="AX1180" s="166">
        <v>68</v>
      </c>
      <c r="AY1180" s="166">
        <v>3</v>
      </c>
      <c r="AZ1180" s="166">
        <v>0</v>
      </c>
      <c r="BA1180" s="166">
        <v>0</v>
      </c>
      <c r="BB1180" s="166">
        <v>0</v>
      </c>
      <c r="BC1180" s="166">
        <v>0</v>
      </c>
      <c r="BD1180" s="166">
        <v>0</v>
      </c>
      <c r="BE1180" s="166">
        <v>0</v>
      </c>
      <c r="BF1180" s="166">
        <v>0</v>
      </c>
      <c r="BG1180" s="166">
        <v>0</v>
      </c>
      <c r="BH1180" s="166">
        <v>0</v>
      </c>
      <c r="BI1180" s="166">
        <v>0</v>
      </c>
      <c r="BJ1180" s="166">
        <v>0</v>
      </c>
      <c r="BK1180" s="166">
        <v>0</v>
      </c>
      <c r="BL1180" s="166">
        <v>0</v>
      </c>
      <c r="BM1180" s="166">
        <v>0</v>
      </c>
      <c r="BN1180" s="166">
        <v>0</v>
      </c>
      <c r="BO1180" s="166">
        <v>0</v>
      </c>
      <c r="BP1180" s="166">
        <v>0</v>
      </c>
      <c r="BQ1180" s="81" t="s">
        <v>1757</v>
      </c>
      <c r="BX1180" s="81" t="s">
        <v>155</v>
      </c>
      <c r="BZ1180" s="81" t="s">
        <v>3991</v>
      </c>
      <c r="CA1180" s="81">
        <v>15</v>
      </c>
      <c r="CB1180" s="165" t="s">
        <v>4013</v>
      </c>
      <c r="CC1180" s="167">
        <v>0</v>
      </c>
      <c r="CD1180" s="167">
        <v>0</v>
      </c>
      <c r="CE1180" s="167">
        <v>0</v>
      </c>
      <c r="CF1180" s="167">
        <v>0</v>
      </c>
      <c r="CG1180" s="167">
        <v>0</v>
      </c>
      <c r="CH1180" s="167">
        <v>0</v>
      </c>
      <c r="CI1180" s="167">
        <v>0</v>
      </c>
      <c r="CJ1180" s="167">
        <v>0</v>
      </c>
      <c r="CK1180" s="167">
        <v>0</v>
      </c>
      <c r="CL1180" s="167">
        <v>0</v>
      </c>
      <c r="CM1180" s="167">
        <v>0</v>
      </c>
      <c r="CN1180" s="167">
        <v>0</v>
      </c>
      <c r="CO1180" s="167">
        <v>0</v>
      </c>
      <c r="CP1180" s="167">
        <v>0</v>
      </c>
      <c r="CQ1180" s="167">
        <v>0</v>
      </c>
      <c r="CR1180" s="167">
        <v>0</v>
      </c>
      <c r="CS1180" s="167">
        <v>0</v>
      </c>
      <c r="CT1180" s="167">
        <v>0</v>
      </c>
      <c r="CU1180" s="167">
        <v>0</v>
      </c>
      <c r="CV1180" s="167">
        <v>0</v>
      </c>
      <c r="CW1180" s="167">
        <v>0</v>
      </c>
      <c r="CX1180" s="167">
        <f>SUM(CD1180:CH1180)</f>
        <v>0</v>
      </c>
      <c r="CY1180" s="167">
        <f>SUM(CD1180:CM1180)</f>
        <v>0</v>
      </c>
    </row>
    <row r="1181" spans="1:103" ht="12.75" customHeight="1" x14ac:dyDescent="0.2">
      <c r="A1181" s="81">
        <v>6505</v>
      </c>
      <c r="B1181" s="165" t="s">
        <v>1952</v>
      </c>
      <c r="C1181" s="165" t="s">
        <v>1724</v>
      </c>
      <c r="D1181" s="165" t="s">
        <v>876</v>
      </c>
      <c r="E1181" s="165" t="s">
        <v>3440</v>
      </c>
      <c r="F1181" s="165" t="s">
        <v>1231</v>
      </c>
      <c r="G1181" s="81">
        <v>526483</v>
      </c>
      <c r="H1181" s="81">
        <v>175747</v>
      </c>
      <c r="I1181" s="165" t="s">
        <v>257</v>
      </c>
      <c r="L1181" s="166">
        <v>0</v>
      </c>
      <c r="M1181" s="166">
        <v>17</v>
      </c>
      <c r="N1181" s="166">
        <v>17</v>
      </c>
      <c r="O1181" s="166">
        <v>127</v>
      </c>
      <c r="P1181" s="166">
        <v>125</v>
      </c>
      <c r="Q1181" s="81" t="s">
        <v>155</v>
      </c>
      <c r="R1181" s="165" t="s">
        <v>1725</v>
      </c>
      <c r="S1181" s="81" t="s">
        <v>53</v>
      </c>
      <c r="T1181" s="349">
        <v>42650</v>
      </c>
      <c r="W1181" s="81" t="s">
        <v>114</v>
      </c>
      <c r="Y1181" s="81" t="s">
        <v>115</v>
      </c>
      <c r="Z1181" s="81" t="s">
        <v>116</v>
      </c>
      <c r="AA1181" s="81" t="s">
        <v>116</v>
      </c>
      <c r="AB1181" s="81" t="s">
        <v>117</v>
      </c>
      <c r="AC1181" s="166">
        <v>3.9999999105930301E-2</v>
      </c>
      <c r="AG1181" s="81" t="s">
        <v>74</v>
      </c>
      <c r="AH1181" s="81" t="s">
        <v>880</v>
      </c>
      <c r="AK1181" s="166">
        <v>0</v>
      </c>
      <c r="AM1181" s="166">
        <v>0</v>
      </c>
      <c r="AO1181" s="166">
        <v>0</v>
      </c>
      <c r="AP1181" s="166">
        <v>7</v>
      </c>
      <c r="AQ1181" s="166">
        <v>10</v>
      </c>
      <c r="AR1181" s="166">
        <v>0</v>
      </c>
      <c r="AS1181" s="166">
        <v>0</v>
      </c>
      <c r="AT1181" s="166">
        <v>0</v>
      </c>
      <c r="AU1181" s="166">
        <v>0</v>
      </c>
      <c r="AV1181" s="166">
        <v>0</v>
      </c>
      <c r="AW1181" s="166">
        <v>7</v>
      </c>
      <c r="AX1181" s="166">
        <v>10</v>
      </c>
      <c r="AY1181" s="166">
        <v>0</v>
      </c>
      <c r="AZ1181" s="166">
        <v>0</v>
      </c>
      <c r="BA1181" s="166">
        <v>0</v>
      </c>
      <c r="BB1181" s="166">
        <v>0</v>
      </c>
      <c r="BC1181" s="166">
        <v>0</v>
      </c>
      <c r="BD1181" s="166">
        <v>0</v>
      </c>
      <c r="BE1181" s="166">
        <v>0</v>
      </c>
      <c r="BF1181" s="166">
        <v>0</v>
      </c>
      <c r="BG1181" s="166">
        <v>0</v>
      </c>
      <c r="BH1181" s="166">
        <v>0</v>
      </c>
      <c r="BI1181" s="166">
        <v>0</v>
      </c>
      <c r="BJ1181" s="166">
        <v>0</v>
      </c>
      <c r="BK1181" s="166">
        <v>0</v>
      </c>
      <c r="BL1181" s="166">
        <v>0</v>
      </c>
      <c r="BM1181" s="166">
        <v>0</v>
      </c>
      <c r="BN1181" s="166">
        <v>0</v>
      </c>
      <c r="BO1181" s="166">
        <v>0</v>
      </c>
      <c r="BP1181" s="166">
        <v>0</v>
      </c>
      <c r="BQ1181" s="81" t="s">
        <v>1757</v>
      </c>
      <c r="BX1181" s="81" t="s">
        <v>155</v>
      </c>
      <c r="BZ1181" s="81" t="s">
        <v>3991</v>
      </c>
      <c r="CA1181" s="81">
        <v>15</v>
      </c>
      <c r="CB1181" s="165" t="s">
        <v>4013</v>
      </c>
      <c r="CC1181" s="167">
        <v>0</v>
      </c>
      <c r="CD1181" s="167">
        <v>0</v>
      </c>
      <c r="CE1181" s="167">
        <v>0</v>
      </c>
      <c r="CF1181" s="167">
        <v>0</v>
      </c>
      <c r="CG1181" s="167">
        <v>0</v>
      </c>
      <c r="CH1181" s="167">
        <v>0</v>
      </c>
      <c r="CI1181" s="167">
        <v>0</v>
      </c>
      <c r="CJ1181" s="167">
        <v>0</v>
      </c>
      <c r="CK1181" s="167">
        <v>0</v>
      </c>
      <c r="CL1181" s="167">
        <v>0</v>
      </c>
      <c r="CM1181" s="167">
        <v>0</v>
      </c>
      <c r="CN1181" s="167">
        <v>0</v>
      </c>
      <c r="CO1181" s="167">
        <v>0</v>
      </c>
      <c r="CP1181" s="167">
        <v>0</v>
      </c>
      <c r="CQ1181" s="167">
        <v>0</v>
      </c>
      <c r="CR1181" s="167">
        <v>0</v>
      </c>
      <c r="CS1181" s="167">
        <v>0</v>
      </c>
      <c r="CT1181" s="167">
        <v>0</v>
      </c>
      <c r="CU1181" s="167">
        <v>0</v>
      </c>
      <c r="CV1181" s="167">
        <v>0</v>
      </c>
      <c r="CW1181" s="167">
        <v>0</v>
      </c>
      <c r="CX1181" s="167">
        <f>SUM(CD1181:CH1181)</f>
        <v>0</v>
      </c>
      <c r="CY1181" s="167">
        <f>SUM(CD1181:CM1181)</f>
        <v>0</v>
      </c>
    </row>
    <row r="1182" spans="1:103" ht="12.75" customHeight="1" x14ac:dyDescent="0.2">
      <c r="A1182" s="81">
        <v>6505</v>
      </c>
      <c r="B1182" s="165" t="s">
        <v>1952</v>
      </c>
      <c r="C1182" s="165" t="s">
        <v>1724</v>
      </c>
      <c r="D1182" s="165" t="s">
        <v>876</v>
      </c>
      <c r="E1182" s="165" t="s">
        <v>3440</v>
      </c>
      <c r="F1182" s="165" t="s">
        <v>1231</v>
      </c>
      <c r="G1182" s="81">
        <v>526483</v>
      </c>
      <c r="H1182" s="81">
        <v>175747</v>
      </c>
      <c r="I1182" s="165" t="s">
        <v>257</v>
      </c>
      <c r="L1182" s="166">
        <v>0</v>
      </c>
      <c r="M1182" s="166">
        <v>15</v>
      </c>
      <c r="N1182" s="166">
        <v>15</v>
      </c>
      <c r="O1182" s="166">
        <v>127</v>
      </c>
      <c r="P1182" s="166">
        <v>125</v>
      </c>
      <c r="Q1182" s="81" t="s">
        <v>155</v>
      </c>
      <c r="R1182" s="165" t="s">
        <v>1725</v>
      </c>
      <c r="S1182" s="81" t="s">
        <v>53</v>
      </c>
      <c r="T1182" s="349">
        <v>42650</v>
      </c>
      <c r="W1182" s="81" t="s">
        <v>114</v>
      </c>
      <c r="Y1182" s="81" t="s">
        <v>115</v>
      </c>
      <c r="Z1182" s="81" t="s">
        <v>116</v>
      </c>
      <c r="AA1182" s="81" t="s">
        <v>116</v>
      </c>
      <c r="AB1182" s="81" t="s">
        <v>117</v>
      </c>
      <c r="AC1182" s="166">
        <v>3.5000000149011598E-2</v>
      </c>
      <c r="AG1182" s="81" t="s">
        <v>238</v>
      </c>
      <c r="AH1182" s="81" t="s">
        <v>118</v>
      </c>
      <c r="AK1182" s="166">
        <v>0</v>
      </c>
      <c r="AM1182" s="166">
        <v>0</v>
      </c>
      <c r="AO1182" s="166">
        <v>0</v>
      </c>
      <c r="AP1182" s="166">
        <v>3</v>
      </c>
      <c r="AQ1182" s="166">
        <v>10</v>
      </c>
      <c r="AR1182" s="166">
        <v>2</v>
      </c>
      <c r="AS1182" s="166">
        <v>0</v>
      </c>
      <c r="AT1182" s="166">
        <v>0</v>
      </c>
      <c r="AU1182" s="166">
        <v>0</v>
      </c>
      <c r="AV1182" s="166">
        <v>0</v>
      </c>
      <c r="AW1182" s="166">
        <v>3</v>
      </c>
      <c r="AX1182" s="166">
        <v>10</v>
      </c>
      <c r="AY1182" s="166">
        <v>2</v>
      </c>
      <c r="AZ1182" s="166">
        <v>0</v>
      </c>
      <c r="BA1182" s="166">
        <v>0</v>
      </c>
      <c r="BB1182" s="166">
        <v>0</v>
      </c>
      <c r="BC1182" s="166">
        <v>0</v>
      </c>
      <c r="BD1182" s="166">
        <v>0</v>
      </c>
      <c r="BE1182" s="166">
        <v>0</v>
      </c>
      <c r="BF1182" s="166">
        <v>0</v>
      </c>
      <c r="BG1182" s="166">
        <v>0</v>
      </c>
      <c r="BH1182" s="166">
        <v>0</v>
      </c>
      <c r="BI1182" s="166">
        <v>0</v>
      </c>
      <c r="BJ1182" s="166">
        <v>0</v>
      </c>
      <c r="BK1182" s="166">
        <v>0</v>
      </c>
      <c r="BL1182" s="166">
        <v>0</v>
      </c>
      <c r="BM1182" s="166">
        <v>0</v>
      </c>
      <c r="BN1182" s="166">
        <v>0</v>
      </c>
      <c r="BO1182" s="166">
        <v>0</v>
      </c>
      <c r="BP1182" s="166">
        <v>0</v>
      </c>
      <c r="BQ1182" s="81" t="s">
        <v>1757</v>
      </c>
      <c r="BX1182" s="81" t="s">
        <v>155</v>
      </c>
      <c r="BZ1182" s="81" t="s">
        <v>3991</v>
      </c>
      <c r="CA1182" s="81">
        <v>15</v>
      </c>
      <c r="CB1182" s="165" t="s">
        <v>4013</v>
      </c>
      <c r="CC1182" s="167">
        <v>0</v>
      </c>
      <c r="CD1182" s="167">
        <v>0</v>
      </c>
      <c r="CE1182" s="167">
        <v>0</v>
      </c>
      <c r="CF1182" s="167">
        <v>0</v>
      </c>
      <c r="CG1182" s="167">
        <v>0</v>
      </c>
      <c r="CH1182" s="167">
        <v>0</v>
      </c>
      <c r="CI1182" s="167">
        <v>0</v>
      </c>
      <c r="CJ1182" s="167">
        <v>0</v>
      </c>
      <c r="CK1182" s="167">
        <v>0</v>
      </c>
      <c r="CL1182" s="167">
        <v>0</v>
      </c>
      <c r="CM1182" s="167">
        <v>0</v>
      </c>
      <c r="CN1182" s="167">
        <v>0</v>
      </c>
      <c r="CO1182" s="167">
        <v>0</v>
      </c>
      <c r="CP1182" s="167">
        <v>0</v>
      </c>
      <c r="CQ1182" s="167">
        <v>0</v>
      </c>
      <c r="CR1182" s="167">
        <v>0</v>
      </c>
      <c r="CS1182" s="167">
        <v>0</v>
      </c>
      <c r="CT1182" s="167">
        <v>0</v>
      </c>
      <c r="CU1182" s="167">
        <v>0</v>
      </c>
      <c r="CV1182" s="167">
        <v>0</v>
      </c>
      <c r="CW1182" s="167">
        <v>0</v>
      </c>
      <c r="CX1182" s="167">
        <f>SUM(CD1182:CH1182)</f>
        <v>0</v>
      </c>
      <c r="CY1182" s="167">
        <f>SUM(CD1182:CM1182)</f>
        <v>0</v>
      </c>
    </row>
    <row r="1183" spans="1:103" ht="12.75" customHeight="1" x14ac:dyDescent="0.2">
      <c r="A1183" s="81">
        <v>6505</v>
      </c>
      <c r="B1183" s="165" t="s">
        <v>1952</v>
      </c>
      <c r="C1183" s="165" t="s">
        <v>1724</v>
      </c>
      <c r="D1183" s="165" t="s">
        <v>876</v>
      </c>
      <c r="E1183" s="165" t="s">
        <v>3440</v>
      </c>
      <c r="F1183" s="165" t="s">
        <v>1726</v>
      </c>
      <c r="G1183" s="81">
        <v>526483</v>
      </c>
      <c r="H1183" s="81">
        <v>175747</v>
      </c>
      <c r="I1183" s="165" t="s">
        <v>257</v>
      </c>
      <c r="L1183" s="166">
        <v>2</v>
      </c>
      <c r="M1183" s="166">
        <v>10</v>
      </c>
      <c r="N1183" s="166">
        <v>8</v>
      </c>
      <c r="O1183" s="166">
        <v>127</v>
      </c>
      <c r="P1183" s="166">
        <v>125</v>
      </c>
      <c r="Q1183" s="81" t="s">
        <v>155</v>
      </c>
      <c r="R1183" s="165" t="s">
        <v>1725</v>
      </c>
      <c r="S1183" s="81" t="s">
        <v>53</v>
      </c>
      <c r="T1183" s="349">
        <v>42650</v>
      </c>
      <c r="W1183" s="81" t="s">
        <v>114</v>
      </c>
      <c r="Y1183" s="81" t="s">
        <v>115</v>
      </c>
      <c r="Z1183" s="81" t="s">
        <v>116</v>
      </c>
      <c r="AA1183" s="81" t="s">
        <v>116</v>
      </c>
      <c r="AB1183" s="81" t="s">
        <v>117</v>
      </c>
      <c r="AC1183" s="166">
        <v>2.3000000044703501E-2</v>
      </c>
      <c r="AG1183" s="81" t="s">
        <v>238</v>
      </c>
      <c r="AH1183" s="81" t="s">
        <v>118</v>
      </c>
      <c r="AK1183" s="166">
        <v>0</v>
      </c>
      <c r="AM1183" s="166">
        <v>0</v>
      </c>
      <c r="AO1183" s="166">
        <v>0</v>
      </c>
      <c r="AP1183" s="166">
        <v>0</v>
      </c>
      <c r="AQ1183" s="166">
        <v>6</v>
      </c>
      <c r="AR1183" s="166">
        <v>1</v>
      </c>
      <c r="AS1183" s="166">
        <v>1</v>
      </c>
      <c r="AT1183" s="166">
        <v>0</v>
      </c>
      <c r="AU1183" s="166">
        <v>0</v>
      </c>
      <c r="AV1183" s="166">
        <v>0</v>
      </c>
      <c r="AW1183" s="166">
        <v>0</v>
      </c>
      <c r="AX1183" s="166">
        <v>6</v>
      </c>
      <c r="AY1183" s="166">
        <v>1</v>
      </c>
      <c r="AZ1183" s="166">
        <v>1</v>
      </c>
      <c r="BA1183" s="166">
        <v>0</v>
      </c>
      <c r="BB1183" s="166">
        <v>0</v>
      </c>
      <c r="BC1183" s="166">
        <v>0</v>
      </c>
      <c r="BD1183" s="166">
        <v>0</v>
      </c>
      <c r="BE1183" s="166">
        <v>0</v>
      </c>
      <c r="BF1183" s="166">
        <v>0</v>
      </c>
      <c r="BG1183" s="166">
        <v>0</v>
      </c>
      <c r="BH1183" s="166">
        <v>0</v>
      </c>
      <c r="BI1183" s="166">
        <v>0</v>
      </c>
      <c r="BJ1183" s="166">
        <v>0</v>
      </c>
      <c r="BK1183" s="166">
        <v>0</v>
      </c>
      <c r="BL1183" s="166">
        <v>0</v>
      </c>
      <c r="BM1183" s="166">
        <v>0</v>
      </c>
      <c r="BN1183" s="166">
        <v>0</v>
      </c>
      <c r="BO1183" s="166">
        <v>0</v>
      </c>
      <c r="BP1183" s="166">
        <v>0</v>
      </c>
      <c r="BQ1183" s="81" t="s">
        <v>1757</v>
      </c>
      <c r="BX1183" s="81" t="s">
        <v>155</v>
      </c>
      <c r="BZ1183" s="81" t="s">
        <v>3991</v>
      </c>
      <c r="CA1183" s="81">
        <v>15</v>
      </c>
      <c r="CB1183" s="165" t="s">
        <v>4013</v>
      </c>
      <c r="CC1183" s="167">
        <v>0</v>
      </c>
      <c r="CD1183" s="167">
        <v>0</v>
      </c>
      <c r="CE1183" s="167">
        <v>0</v>
      </c>
      <c r="CF1183" s="167">
        <v>0</v>
      </c>
      <c r="CG1183" s="167">
        <v>0</v>
      </c>
      <c r="CH1183" s="167">
        <v>0</v>
      </c>
      <c r="CI1183" s="167">
        <v>0</v>
      </c>
      <c r="CJ1183" s="167">
        <v>0</v>
      </c>
      <c r="CK1183" s="167">
        <v>0</v>
      </c>
      <c r="CL1183" s="167">
        <v>0</v>
      </c>
      <c r="CM1183" s="167">
        <v>0</v>
      </c>
      <c r="CN1183" s="167">
        <v>0</v>
      </c>
      <c r="CO1183" s="167">
        <v>0</v>
      </c>
      <c r="CP1183" s="167">
        <v>0</v>
      </c>
      <c r="CQ1183" s="167">
        <v>0</v>
      </c>
      <c r="CR1183" s="167">
        <v>0</v>
      </c>
      <c r="CS1183" s="167">
        <v>0</v>
      </c>
      <c r="CT1183" s="167">
        <v>0</v>
      </c>
      <c r="CU1183" s="167">
        <v>0</v>
      </c>
      <c r="CV1183" s="167">
        <v>0</v>
      </c>
      <c r="CW1183" s="167">
        <v>0</v>
      </c>
      <c r="CX1183" s="167">
        <f>SUM(CD1183:CH1183)</f>
        <v>0</v>
      </c>
      <c r="CY1183" s="167">
        <f>SUM(CD1183:CM1183)</f>
        <v>0</v>
      </c>
    </row>
    <row r="1184" spans="1:103" ht="12.75" customHeight="1" x14ac:dyDescent="0.2">
      <c r="A1184" s="81">
        <v>6515</v>
      </c>
      <c r="B1184" s="165" t="s">
        <v>1952</v>
      </c>
      <c r="C1184" s="165" t="s">
        <v>1576</v>
      </c>
      <c r="E1184" s="165" t="s">
        <v>3041</v>
      </c>
      <c r="G1184" s="81">
        <v>523349</v>
      </c>
      <c r="H1184" s="81">
        <v>175914</v>
      </c>
      <c r="I1184" s="165" t="s">
        <v>259</v>
      </c>
      <c r="L1184" s="166">
        <v>0</v>
      </c>
      <c r="M1184" s="166">
        <v>9</v>
      </c>
      <c r="N1184" s="166">
        <v>9</v>
      </c>
      <c r="O1184" s="166">
        <v>9</v>
      </c>
      <c r="P1184" s="166">
        <v>9</v>
      </c>
      <c r="R1184" s="165" t="s">
        <v>1577</v>
      </c>
      <c r="S1184" s="81" t="s">
        <v>53</v>
      </c>
      <c r="T1184" s="349">
        <v>42689</v>
      </c>
      <c r="W1184" s="81" t="s">
        <v>114</v>
      </c>
      <c r="Y1184" s="81" t="s">
        <v>115</v>
      </c>
      <c r="Z1184" s="81" t="s">
        <v>219</v>
      </c>
      <c r="AA1184" s="81" t="s">
        <v>117</v>
      </c>
      <c r="AB1184" s="81" t="s">
        <v>3889</v>
      </c>
      <c r="AC1184" s="166">
        <v>0.14800000190734899</v>
      </c>
      <c r="AG1184" s="81" t="s">
        <v>154</v>
      </c>
      <c r="AH1184" s="81" t="s">
        <v>312</v>
      </c>
      <c r="AK1184" s="166">
        <v>0</v>
      </c>
      <c r="AM1184" s="166">
        <v>0</v>
      </c>
      <c r="AO1184" s="166">
        <v>2</v>
      </c>
      <c r="AP1184" s="166">
        <v>7</v>
      </c>
      <c r="AQ1184" s="166">
        <v>0</v>
      </c>
      <c r="AR1184" s="166">
        <v>0</v>
      </c>
      <c r="AS1184" s="166">
        <v>0</v>
      </c>
      <c r="AT1184" s="166">
        <v>0</v>
      </c>
      <c r="AU1184" s="166">
        <v>0</v>
      </c>
      <c r="AV1184" s="166">
        <v>2</v>
      </c>
      <c r="AW1184" s="166">
        <v>7</v>
      </c>
      <c r="AX1184" s="166">
        <v>0</v>
      </c>
      <c r="AY1184" s="166">
        <v>0</v>
      </c>
      <c r="AZ1184" s="166">
        <v>0</v>
      </c>
      <c r="BA1184" s="166">
        <v>0</v>
      </c>
      <c r="BB1184" s="166">
        <v>0</v>
      </c>
      <c r="BC1184" s="166">
        <v>0</v>
      </c>
      <c r="BD1184" s="166">
        <v>0</v>
      </c>
      <c r="BE1184" s="166">
        <v>0</v>
      </c>
      <c r="BF1184" s="166">
        <v>0</v>
      </c>
      <c r="BG1184" s="166">
        <v>0</v>
      </c>
      <c r="BH1184" s="166">
        <v>0</v>
      </c>
      <c r="BI1184" s="166">
        <v>0</v>
      </c>
      <c r="BJ1184" s="166">
        <v>0</v>
      </c>
      <c r="BK1184" s="166">
        <v>0</v>
      </c>
      <c r="BL1184" s="166">
        <v>0</v>
      </c>
      <c r="BM1184" s="166">
        <v>0</v>
      </c>
      <c r="BN1184" s="166">
        <v>0</v>
      </c>
      <c r="BO1184" s="166">
        <v>0</v>
      </c>
      <c r="BP1184" s="166">
        <v>0</v>
      </c>
      <c r="BQ1184" s="81" t="s">
        <v>1758</v>
      </c>
      <c r="BZ1184" s="81" t="s">
        <v>155</v>
      </c>
      <c r="CA1184" s="81" t="s">
        <v>3972</v>
      </c>
      <c r="CC1184" s="167">
        <v>0</v>
      </c>
      <c r="CD1184" s="167">
        <f>$N1184/4</f>
        <v>2.25</v>
      </c>
      <c r="CE1184" s="167">
        <f>$N1184/4</f>
        <v>2.25</v>
      </c>
      <c r="CF1184" s="167">
        <f>$N1184/4</f>
        <v>2.25</v>
      </c>
      <c r="CG1184" s="167">
        <f>$N1184/4</f>
        <v>2.25</v>
      </c>
      <c r="CH1184" s="167">
        <v>0</v>
      </c>
      <c r="CI1184" s="167">
        <v>0</v>
      </c>
      <c r="CJ1184" s="167">
        <v>0</v>
      </c>
      <c r="CK1184" s="167">
        <v>0</v>
      </c>
      <c r="CL1184" s="167">
        <v>0</v>
      </c>
      <c r="CM1184" s="167">
        <v>0</v>
      </c>
      <c r="CN1184" s="167">
        <v>0</v>
      </c>
      <c r="CO1184" s="167">
        <v>0</v>
      </c>
      <c r="CP1184" s="167">
        <v>0</v>
      </c>
      <c r="CQ1184" s="167">
        <v>0</v>
      </c>
      <c r="CR1184" s="167">
        <v>0</v>
      </c>
      <c r="CS1184" s="167">
        <v>0</v>
      </c>
      <c r="CT1184" s="167">
        <v>0</v>
      </c>
      <c r="CU1184" s="167">
        <v>0</v>
      </c>
      <c r="CV1184" s="167">
        <v>0</v>
      </c>
      <c r="CW1184" s="167">
        <v>0</v>
      </c>
      <c r="CX1184" s="167">
        <f>SUM(CD1184:CH1184)</f>
        <v>9</v>
      </c>
      <c r="CY1184" s="167">
        <f>SUM(CD1184:CM1184)</f>
        <v>9</v>
      </c>
    </row>
    <row r="1185" spans="1:103" ht="12.75" customHeight="1" x14ac:dyDescent="0.2">
      <c r="A1185" s="81">
        <v>213</v>
      </c>
      <c r="B1185" s="165" t="s">
        <v>1955</v>
      </c>
      <c r="C1185" s="165" t="s">
        <v>2008</v>
      </c>
      <c r="E1185" s="165" t="s">
        <v>1935</v>
      </c>
      <c r="G1185" s="81">
        <v>523620</v>
      </c>
      <c r="H1185" s="81">
        <v>175154</v>
      </c>
      <c r="I1185" s="165" t="s">
        <v>250</v>
      </c>
      <c r="L1185" s="166">
        <v>0</v>
      </c>
      <c r="M1185" s="166">
        <v>4</v>
      </c>
      <c r="N1185" s="166">
        <v>4</v>
      </c>
      <c r="O1185" s="166">
        <v>4</v>
      </c>
      <c r="P1185" s="166">
        <v>4</v>
      </c>
      <c r="R1185" s="165" t="s">
        <v>2009</v>
      </c>
      <c r="S1185" s="81" t="s">
        <v>121</v>
      </c>
      <c r="T1185" s="349">
        <v>43032</v>
      </c>
      <c r="W1185" s="81" t="s">
        <v>114</v>
      </c>
      <c r="Y1185" s="81" t="s">
        <v>115</v>
      </c>
      <c r="Z1185" s="81" t="s">
        <v>219</v>
      </c>
      <c r="AA1185" s="81" t="s">
        <v>117</v>
      </c>
      <c r="AB1185" s="81" t="s">
        <v>3889</v>
      </c>
      <c r="AC1185" s="166">
        <v>1.2000000104308101E-2</v>
      </c>
      <c r="AG1185" s="81" t="s">
        <v>238</v>
      </c>
      <c r="AH1185" s="81" t="s">
        <v>118</v>
      </c>
      <c r="AK1185" s="166">
        <v>0</v>
      </c>
      <c r="AM1185" s="166">
        <v>0</v>
      </c>
      <c r="AO1185" s="166">
        <v>0</v>
      </c>
      <c r="AP1185" s="166">
        <v>0</v>
      </c>
      <c r="AQ1185" s="166">
        <v>4</v>
      </c>
      <c r="AR1185" s="166">
        <v>0</v>
      </c>
      <c r="AS1185" s="166">
        <v>0</v>
      </c>
      <c r="AT1185" s="166">
        <v>0</v>
      </c>
      <c r="AU1185" s="166">
        <v>0</v>
      </c>
      <c r="AV1185" s="166">
        <v>0</v>
      </c>
      <c r="AW1185" s="166">
        <v>0</v>
      </c>
      <c r="AX1185" s="166">
        <v>4</v>
      </c>
      <c r="AY1185" s="166">
        <v>0</v>
      </c>
      <c r="AZ1185" s="166">
        <v>0</v>
      </c>
      <c r="BA1185" s="166">
        <v>0</v>
      </c>
      <c r="BB1185" s="166">
        <v>0</v>
      </c>
      <c r="BC1185" s="166">
        <v>0</v>
      </c>
      <c r="BD1185" s="166">
        <v>0</v>
      </c>
      <c r="BE1185" s="166">
        <v>0</v>
      </c>
      <c r="BF1185" s="166">
        <v>0</v>
      </c>
      <c r="BG1185" s="166">
        <v>0</v>
      </c>
      <c r="BH1185" s="166">
        <v>0</v>
      </c>
      <c r="BI1185" s="166">
        <v>0</v>
      </c>
      <c r="BJ1185" s="166">
        <v>0</v>
      </c>
      <c r="BK1185" s="166">
        <v>0</v>
      </c>
      <c r="BL1185" s="166">
        <v>0</v>
      </c>
      <c r="BM1185" s="166">
        <v>0</v>
      </c>
      <c r="BN1185" s="166">
        <v>0</v>
      </c>
      <c r="BO1185" s="166">
        <v>0</v>
      </c>
      <c r="BP1185" s="166">
        <v>0</v>
      </c>
      <c r="BQ1185" s="81" t="s">
        <v>1758</v>
      </c>
      <c r="BR1185" s="81" t="s">
        <v>161</v>
      </c>
      <c r="BZ1185" s="81" t="s">
        <v>155</v>
      </c>
      <c r="CA1185" s="81">
        <v>10</v>
      </c>
      <c r="CC1185" s="167">
        <v>0</v>
      </c>
      <c r="CD1185" s="167">
        <v>0</v>
      </c>
      <c r="CE1185" s="167">
        <v>0</v>
      </c>
      <c r="CF1185" s="167">
        <v>0</v>
      </c>
      <c r="CG1185" s="167">
        <v>0</v>
      </c>
      <c r="CH1185" s="167">
        <f>$N1185/3</f>
        <v>1.3333333333333333</v>
      </c>
      <c r="CI1185" s="167">
        <f>$N1185/3</f>
        <v>1.3333333333333333</v>
      </c>
      <c r="CJ1185" s="167">
        <f>$N1185/3</f>
        <v>1.3333333333333333</v>
      </c>
      <c r="CK1185" s="167">
        <v>0</v>
      </c>
      <c r="CL1185" s="167">
        <v>0</v>
      </c>
      <c r="CM1185" s="167">
        <v>0</v>
      </c>
      <c r="CN1185" s="167">
        <v>0</v>
      </c>
      <c r="CO1185" s="167">
        <v>0</v>
      </c>
      <c r="CP1185" s="167">
        <v>0</v>
      </c>
      <c r="CQ1185" s="167">
        <v>0</v>
      </c>
      <c r="CR1185" s="167">
        <v>0</v>
      </c>
      <c r="CS1185" s="167">
        <v>0</v>
      </c>
      <c r="CT1185" s="167">
        <v>0</v>
      </c>
      <c r="CU1185" s="167">
        <v>0</v>
      </c>
      <c r="CV1185" s="167">
        <v>0</v>
      </c>
      <c r="CW1185" s="167">
        <v>0</v>
      </c>
      <c r="CX1185" s="167">
        <f>SUM(CD1185:CH1185)</f>
        <v>1.3333333333333333</v>
      </c>
      <c r="CY1185" s="167">
        <f>SUM(CD1185:CM1185)</f>
        <v>4</v>
      </c>
    </row>
    <row r="1186" spans="1:103" ht="12.75" customHeight="1" x14ac:dyDescent="0.2">
      <c r="A1186" s="81">
        <v>463</v>
      </c>
      <c r="B1186" s="165" t="s">
        <v>1955</v>
      </c>
      <c r="C1186" s="165" t="s">
        <v>2010</v>
      </c>
      <c r="E1186" s="165" t="s">
        <v>2011</v>
      </c>
      <c r="G1186" s="81">
        <v>527418</v>
      </c>
      <c r="H1186" s="81">
        <v>176670</v>
      </c>
      <c r="I1186" s="165" t="s">
        <v>257</v>
      </c>
      <c r="L1186" s="166">
        <v>0</v>
      </c>
      <c r="M1186" s="166">
        <v>2</v>
      </c>
      <c r="N1186" s="166">
        <v>2</v>
      </c>
      <c r="O1186" s="166">
        <v>2</v>
      </c>
      <c r="P1186" s="166">
        <v>2</v>
      </c>
      <c r="R1186" s="165" t="s">
        <v>2012</v>
      </c>
      <c r="S1186" s="81" t="s">
        <v>121</v>
      </c>
      <c r="T1186" s="349">
        <v>43133</v>
      </c>
      <c r="W1186" s="81" t="s">
        <v>114</v>
      </c>
      <c r="Y1186" s="81" t="s">
        <v>397</v>
      </c>
      <c r="Z1186" s="81" t="s">
        <v>116</v>
      </c>
      <c r="AA1186" s="81" t="s">
        <v>117</v>
      </c>
      <c r="AB1186" s="81" t="s">
        <v>218</v>
      </c>
      <c r="AC1186" s="166">
        <v>3.7999998778104803E-2</v>
      </c>
      <c r="AG1186" s="81" t="s">
        <v>238</v>
      </c>
      <c r="AH1186" s="81" t="s">
        <v>118</v>
      </c>
      <c r="AK1186" s="166">
        <v>0</v>
      </c>
      <c r="AM1186" s="166">
        <v>0</v>
      </c>
      <c r="AO1186" s="166">
        <v>0</v>
      </c>
      <c r="AP1186" s="166">
        <v>0</v>
      </c>
      <c r="AQ1186" s="166">
        <v>0</v>
      </c>
      <c r="AR1186" s="166">
        <v>2</v>
      </c>
      <c r="AS1186" s="166">
        <v>0</v>
      </c>
      <c r="AT1186" s="166">
        <v>0</v>
      </c>
      <c r="AU1186" s="166">
        <v>0</v>
      </c>
      <c r="AV1186" s="166">
        <v>0</v>
      </c>
      <c r="AW1186" s="166">
        <v>0</v>
      </c>
      <c r="AX1186" s="166">
        <v>0</v>
      </c>
      <c r="AY1186" s="166">
        <v>0</v>
      </c>
      <c r="AZ1186" s="166">
        <v>0</v>
      </c>
      <c r="BA1186" s="166">
        <v>0</v>
      </c>
      <c r="BB1186" s="166">
        <v>0</v>
      </c>
      <c r="BC1186" s="166">
        <v>0</v>
      </c>
      <c r="BD1186" s="166">
        <v>0</v>
      </c>
      <c r="BE1186" s="166">
        <v>0</v>
      </c>
      <c r="BF1186" s="166">
        <v>2</v>
      </c>
      <c r="BG1186" s="166">
        <v>0</v>
      </c>
      <c r="BH1186" s="166">
        <v>0</v>
      </c>
      <c r="BI1186" s="166">
        <v>0</v>
      </c>
      <c r="BJ1186" s="166">
        <v>0</v>
      </c>
      <c r="BK1186" s="166">
        <v>0</v>
      </c>
      <c r="BL1186" s="166">
        <v>0</v>
      </c>
      <c r="BM1186" s="166">
        <v>0</v>
      </c>
      <c r="BN1186" s="166">
        <v>0</v>
      </c>
      <c r="BO1186" s="166">
        <v>0</v>
      </c>
      <c r="BP1186" s="166">
        <v>0</v>
      </c>
      <c r="BQ1186" s="81" t="s">
        <v>1757</v>
      </c>
      <c r="BZ1186" s="81" t="s">
        <v>155</v>
      </c>
      <c r="CA1186" s="81">
        <v>6</v>
      </c>
      <c r="CC1186" s="167">
        <v>0</v>
      </c>
      <c r="CD1186" s="167">
        <v>0</v>
      </c>
      <c r="CE1186" s="167">
        <v>0</v>
      </c>
      <c r="CF1186" s="167">
        <v>0</v>
      </c>
      <c r="CG1186" s="167">
        <v>0</v>
      </c>
      <c r="CH1186" s="167">
        <f>$N1186/3</f>
        <v>0.66666666666666663</v>
      </c>
      <c r="CI1186" s="167">
        <f>$N1186/3</f>
        <v>0.66666666666666663</v>
      </c>
      <c r="CJ1186" s="167">
        <f>$N1186/3</f>
        <v>0.66666666666666663</v>
      </c>
      <c r="CK1186" s="167">
        <v>0</v>
      </c>
      <c r="CL1186" s="167">
        <v>0</v>
      </c>
      <c r="CM1186" s="167">
        <v>0</v>
      </c>
      <c r="CN1186" s="167">
        <v>0</v>
      </c>
      <c r="CO1186" s="167">
        <v>0</v>
      </c>
      <c r="CP1186" s="167">
        <v>0</v>
      </c>
      <c r="CQ1186" s="167">
        <v>0</v>
      </c>
      <c r="CR1186" s="167">
        <v>0</v>
      </c>
      <c r="CS1186" s="167">
        <v>0</v>
      </c>
      <c r="CT1186" s="167">
        <v>0</v>
      </c>
      <c r="CU1186" s="167">
        <v>0</v>
      </c>
      <c r="CV1186" s="167">
        <v>0</v>
      </c>
      <c r="CW1186" s="167">
        <v>0</v>
      </c>
      <c r="CX1186" s="167">
        <f>SUM(CD1186:CH1186)</f>
        <v>0.66666666666666663</v>
      </c>
      <c r="CY1186" s="167">
        <f>SUM(CD1186:CM1186)</f>
        <v>2</v>
      </c>
    </row>
    <row r="1187" spans="1:103" ht="12.75" customHeight="1" x14ac:dyDescent="0.2">
      <c r="A1187" s="81">
        <v>473</v>
      </c>
      <c r="B1187" s="165" t="s">
        <v>1955</v>
      </c>
      <c r="C1187" s="165" t="s">
        <v>2013</v>
      </c>
      <c r="E1187" s="165" t="s">
        <v>2014</v>
      </c>
      <c r="G1187" s="81">
        <v>527472</v>
      </c>
      <c r="H1187" s="81">
        <v>171903</v>
      </c>
      <c r="I1187" s="165" t="s">
        <v>242</v>
      </c>
      <c r="L1187" s="166">
        <v>0</v>
      </c>
      <c r="M1187" s="166">
        <v>2</v>
      </c>
      <c r="N1187" s="166">
        <v>2</v>
      </c>
      <c r="O1187" s="166">
        <v>2</v>
      </c>
      <c r="P1187" s="166">
        <v>2</v>
      </c>
      <c r="R1187" s="165" t="s">
        <v>2015</v>
      </c>
      <c r="S1187" s="81" t="s">
        <v>121</v>
      </c>
      <c r="T1187" s="349">
        <v>43180</v>
      </c>
      <c r="W1187" s="81" t="s">
        <v>114</v>
      </c>
      <c r="Y1187" s="81" t="s">
        <v>115</v>
      </c>
      <c r="Z1187" s="81" t="s">
        <v>116</v>
      </c>
      <c r="AA1187" s="81" t="s">
        <v>117</v>
      </c>
      <c r="AB1187" s="81" t="s">
        <v>218</v>
      </c>
      <c r="AC1187" s="166">
        <v>1.09999999403954E-2</v>
      </c>
      <c r="AG1187" s="81" t="s">
        <v>238</v>
      </c>
      <c r="AH1187" s="81" t="s">
        <v>118</v>
      </c>
      <c r="AK1187" s="166">
        <v>0</v>
      </c>
      <c r="AM1187" s="166">
        <v>0</v>
      </c>
      <c r="AO1187" s="166">
        <v>0</v>
      </c>
      <c r="AP1187" s="166">
        <v>1</v>
      </c>
      <c r="AQ1187" s="166">
        <v>0</v>
      </c>
      <c r="AR1187" s="166">
        <v>1</v>
      </c>
      <c r="AS1187" s="166">
        <v>0</v>
      </c>
      <c r="AT1187" s="166">
        <v>0</v>
      </c>
      <c r="AU1187" s="166">
        <v>0</v>
      </c>
      <c r="AV1187" s="166">
        <v>0</v>
      </c>
      <c r="AW1187" s="166">
        <v>0</v>
      </c>
      <c r="AX1187" s="166">
        <v>0</v>
      </c>
      <c r="AY1187" s="166">
        <v>0</v>
      </c>
      <c r="AZ1187" s="166">
        <v>0</v>
      </c>
      <c r="BA1187" s="166">
        <v>0</v>
      </c>
      <c r="BB1187" s="166">
        <v>0</v>
      </c>
      <c r="BC1187" s="166">
        <v>0</v>
      </c>
      <c r="BD1187" s="166">
        <v>1</v>
      </c>
      <c r="BE1187" s="166">
        <v>0</v>
      </c>
      <c r="BF1187" s="166">
        <v>1</v>
      </c>
      <c r="BG1187" s="166">
        <v>0</v>
      </c>
      <c r="BH1187" s="166">
        <v>0</v>
      </c>
      <c r="BI1187" s="166">
        <v>0</v>
      </c>
      <c r="BJ1187" s="166">
        <v>0</v>
      </c>
      <c r="BK1187" s="166">
        <v>0</v>
      </c>
      <c r="BL1187" s="166">
        <v>0</v>
      </c>
      <c r="BM1187" s="166">
        <v>0</v>
      </c>
      <c r="BN1187" s="166">
        <v>0</v>
      </c>
      <c r="BO1187" s="166">
        <v>0</v>
      </c>
      <c r="BP1187" s="166">
        <v>0</v>
      </c>
      <c r="BQ1187" s="81" t="s">
        <v>1757</v>
      </c>
      <c r="BZ1187" s="81" t="s">
        <v>155</v>
      </c>
      <c r="CA1187" s="81">
        <v>6</v>
      </c>
      <c r="CC1187" s="167">
        <v>0</v>
      </c>
      <c r="CD1187" s="167">
        <v>0</v>
      </c>
      <c r="CE1187" s="167">
        <v>0</v>
      </c>
      <c r="CF1187" s="167">
        <v>0</v>
      </c>
      <c r="CG1187" s="167">
        <v>0</v>
      </c>
      <c r="CH1187" s="167">
        <f>$N1187/3</f>
        <v>0.66666666666666663</v>
      </c>
      <c r="CI1187" s="167">
        <f>$N1187/3</f>
        <v>0.66666666666666663</v>
      </c>
      <c r="CJ1187" s="167">
        <f>$N1187/3</f>
        <v>0.66666666666666663</v>
      </c>
      <c r="CK1187" s="167">
        <v>0</v>
      </c>
      <c r="CL1187" s="167">
        <v>0</v>
      </c>
      <c r="CM1187" s="167">
        <v>0</v>
      </c>
      <c r="CN1187" s="167">
        <v>0</v>
      </c>
      <c r="CO1187" s="167">
        <v>0</v>
      </c>
      <c r="CP1187" s="167">
        <v>0</v>
      </c>
      <c r="CQ1187" s="167">
        <v>0</v>
      </c>
      <c r="CR1187" s="167">
        <v>0</v>
      </c>
      <c r="CS1187" s="167">
        <v>0</v>
      </c>
      <c r="CT1187" s="167">
        <v>0</v>
      </c>
      <c r="CU1187" s="167">
        <v>0</v>
      </c>
      <c r="CV1187" s="167">
        <v>0</v>
      </c>
      <c r="CW1187" s="167">
        <v>0</v>
      </c>
      <c r="CX1187" s="167">
        <f>SUM(CD1187:CH1187)</f>
        <v>0.66666666666666663</v>
      </c>
      <c r="CY1187" s="167">
        <f>SUM(CD1187:CM1187)</f>
        <v>2</v>
      </c>
    </row>
    <row r="1188" spans="1:103" ht="12.75" customHeight="1" x14ac:dyDescent="0.2">
      <c r="A1188" s="81">
        <v>536</v>
      </c>
      <c r="B1188" s="165" t="s">
        <v>1955</v>
      </c>
      <c r="C1188" s="165" t="s">
        <v>1578</v>
      </c>
      <c r="E1188" s="165" t="s">
        <v>1956</v>
      </c>
      <c r="G1188" s="81">
        <v>525441</v>
      </c>
      <c r="H1188" s="81">
        <v>174750</v>
      </c>
      <c r="I1188" s="165" t="s">
        <v>251</v>
      </c>
      <c r="L1188" s="166">
        <v>4</v>
      </c>
      <c r="M1188" s="166">
        <v>20</v>
      </c>
      <c r="N1188" s="166">
        <v>16</v>
      </c>
      <c r="O1188" s="166">
        <v>22</v>
      </c>
      <c r="P1188" s="166">
        <v>18</v>
      </c>
      <c r="Q1188" s="81" t="s">
        <v>155</v>
      </c>
      <c r="R1188" s="165" t="s">
        <v>1579</v>
      </c>
      <c r="S1188" s="81" t="s">
        <v>121</v>
      </c>
      <c r="T1188" s="349">
        <v>42761</v>
      </c>
      <c r="W1188" s="81" t="s">
        <v>114</v>
      </c>
      <c r="Y1188" s="81" t="s">
        <v>115</v>
      </c>
      <c r="Z1188" s="81" t="s">
        <v>116</v>
      </c>
      <c r="AA1188" s="81" t="s">
        <v>116</v>
      </c>
      <c r="AB1188" s="81" t="s">
        <v>117</v>
      </c>
      <c r="AC1188" s="166">
        <v>4.5000001788139302E-2</v>
      </c>
      <c r="AG1188" s="81" t="s">
        <v>238</v>
      </c>
      <c r="AH1188" s="81" t="s">
        <v>118</v>
      </c>
      <c r="AK1188" s="166">
        <v>19</v>
      </c>
      <c r="AM1188" s="166">
        <v>1</v>
      </c>
      <c r="AO1188" s="166">
        <v>3</v>
      </c>
      <c r="AP1188" s="166">
        <v>2</v>
      </c>
      <c r="AQ1188" s="166">
        <v>9</v>
      </c>
      <c r="AR1188" s="166">
        <v>2</v>
      </c>
      <c r="AS1188" s="166">
        <v>0</v>
      </c>
      <c r="AT1188" s="166">
        <v>0</v>
      </c>
      <c r="AU1188" s="166">
        <v>0</v>
      </c>
      <c r="AV1188" s="166">
        <v>3</v>
      </c>
      <c r="AW1188" s="166">
        <v>2</v>
      </c>
      <c r="AX1188" s="166">
        <v>9</v>
      </c>
      <c r="AY1188" s="166">
        <v>2</v>
      </c>
      <c r="AZ1188" s="166">
        <v>0</v>
      </c>
      <c r="BA1188" s="166">
        <v>0</v>
      </c>
      <c r="BB1188" s="166">
        <v>0</v>
      </c>
      <c r="BC1188" s="166">
        <v>0</v>
      </c>
      <c r="BD1188" s="166">
        <v>0</v>
      </c>
      <c r="BE1188" s="166">
        <v>0</v>
      </c>
      <c r="BF1188" s="166">
        <v>0</v>
      </c>
      <c r="BG1188" s="166">
        <v>0</v>
      </c>
      <c r="BH1188" s="166">
        <v>0</v>
      </c>
      <c r="BI1188" s="166">
        <v>0</v>
      </c>
      <c r="BJ1188" s="166">
        <v>0</v>
      </c>
      <c r="BK1188" s="166">
        <v>0</v>
      </c>
      <c r="BL1188" s="166">
        <v>0</v>
      </c>
      <c r="BM1188" s="166">
        <v>0</v>
      </c>
      <c r="BN1188" s="166">
        <v>0</v>
      </c>
      <c r="BO1188" s="166">
        <v>0</v>
      </c>
      <c r="BP1188" s="166">
        <v>0</v>
      </c>
      <c r="BQ1188" s="81" t="s">
        <v>1758</v>
      </c>
      <c r="BR1188" s="81" t="s">
        <v>202</v>
      </c>
      <c r="BT1188" s="81" t="s">
        <v>155</v>
      </c>
      <c r="BZ1188" s="81" t="s">
        <v>3991</v>
      </c>
      <c r="CA1188" s="81">
        <v>15</v>
      </c>
      <c r="CB1188" s="165" t="s">
        <v>3992</v>
      </c>
      <c r="CC1188" s="167">
        <v>0</v>
      </c>
      <c r="CD1188" s="167">
        <v>0</v>
      </c>
      <c r="CE1188" s="167">
        <v>0</v>
      </c>
      <c r="CF1188" s="167">
        <v>0</v>
      </c>
      <c r="CG1188" s="167">
        <v>0</v>
      </c>
      <c r="CH1188" s="167">
        <v>0</v>
      </c>
      <c r="CI1188" s="167">
        <v>0</v>
      </c>
      <c r="CJ1188" s="167">
        <v>0</v>
      </c>
      <c r="CK1188" s="167">
        <v>0</v>
      </c>
      <c r="CL1188" s="167">
        <v>0</v>
      </c>
      <c r="CM1188" s="167">
        <v>0</v>
      </c>
      <c r="CN1188" s="167">
        <v>0</v>
      </c>
      <c r="CO1188" s="167">
        <v>0</v>
      </c>
      <c r="CP1188" s="167">
        <v>0</v>
      </c>
      <c r="CQ1188" s="167">
        <v>0</v>
      </c>
      <c r="CR1188" s="167">
        <v>0</v>
      </c>
      <c r="CS1188" s="167">
        <v>0</v>
      </c>
      <c r="CT1188" s="167">
        <v>0</v>
      </c>
      <c r="CU1188" s="167">
        <v>0</v>
      </c>
      <c r="CV1188" s="167">
        <v>0</v>
      </c>
      <c r="CW1188" s="167">
        <v>0</v>
      </c>
      <c r="CX1188" s="167">
        <f>SUM(CD1188:CH1188)</f>
        <v>0</v>
      </c>
      <c r="CY1188" s="167">
        <f>SUM(CD1188:CM1188)</f>
        <v>0</v>
      </c>
    </row>
    <row r="1189" spans="1:103" ht="12.75" customHeight="1" x14ac:dyDescent="0.2">
      <c r="A1189" s="81">
        <v>536</v>
      </c>
      <c r="B1189" s="165" t="s">
        <v>1955</v>
      </c>
      <c r="C1189" s="165" t="s">
        <v>1578</v>
      </c>
      <c r="E1189" s="165" t="s">
        <v>1956</v>
      </c>
      <c r="G1189" s="81">
        <v>525441</v>
      </c>
      <c r="H1189" s="81">
        <v>174750</v>
      </c>
      <c r="I1189" s="165" t="s">
        <v>251</v>
      </c>
      <c r="L1189" s="166">
        <v>0</v>
      </c>
      <c r="M1189" s="166">
        <v>2</v>
      </c>
      <c r="N1189" s="166">
        <v>2</v>
      </c>
      <c r="O1189" s="166">
        <v>22</v>
      </c>
      <c r="P1189" s="166">
        <v>18</v>
      </c>
      <c r="Q1189" s="81" t="s">
        <v>155</v>
      </c>
      <c r="R1189" s="165" t="s">
        <v>1579</v>
      </c>
      <c r="S1189" s="81" t="s">
        <v>121</v>
      </c>
      <c r="T1189" s="349">
        <v>42761</v>
      </c>
      <c r="W1189" s="81" t="s">
        <v>114</v>
      </c>
      <c r="Y1189" s="81" t="s">
        <v>115</v>
      </c>
      <c r="Z1189" s="81" t="s">
        <v>116</v>
      </c>
      <c r="AA1189" s="81" t="s">
        <v>116</v>
      </c>
      <c r="AB1189" s="81" t="s">
        <v>117</v>
      </c>
      <c r="AC1189" s="166">
        <v>4.9999998882412902E-3</v>
      </c>
      <c r="AG1189" s="81" t="s">
        <v>74</v>
      </c>
      <c r="AH1189" s="81" t="s">
        <v>880</v>
      </c>
      <c r="AK1189" s="166">
        <v>2</v>
      </c>
      <c r="AM1189" s="166">
        <v>0</v>
      </c>
      <c r="AO1189" s="166">
        <v>0</v>
      </c>
      <c r="AP1189" s="166">
        <v>2</v>
      </c>
      <c r="AQ1189" s="166">
        <v>0</v>
      </c>
      <c r="AR1189" s="166">
        <v>0</v>
      </c>
      <c r="AS1189" s="166">
        <v>0</v>
      </c>
      <c r="AT1189" s="166">
        <v>0</v>
      </c>
      <c r="AU1189" s="166">
        <v>0</v>
      </c>
      <c r="AV1189" s="166">
        <v>0</v>
      </c>
      <c r="AW1189" s="166">
        <v>2</v>
      </c>
      <c r="AX1189" s="166">
        <v>0</v>
      </c>
      <c r="AY1189" s="166">
        <v>0</v>
      </c>
      <c r="AZ1189" s="166">
        <v>0</v>
      </c>
      <c r="BA1189" s="166">
        <v>0</v>
      </c>
      <c r="BB1189" s="166">
        <v>0</v>
      </c>
      <c r="BC1189" s="166">
        <v>0</v>
      </c>
      <c r="BD1189" s="166">
        <v>0</v>
      </c>
      <c r="BE1189" s="166">
        <v>0</v>
      </c>
      <c r="BF1189" s="166">
        <v>0</v>
      </c>
      <c r="BG1189" s="166">
        <v>0</v>
      </c>
      <c r="BH1189" s="166">
        <v>0</v>
      </c>
      <c r="BI1189" s="166">
        <v>0</v>
      </c>
      <c r="BJ1189" s="166">
        <v>0</v>
      </c>
      <c r="BK1189" s="166">
        <v>0</v>
      </c>
      <c r="BL1189" s="166">
        <v>0</v>
      </c>
      <c r="BM1189" s="166">
        <v>0</v>
      </c>
      <c r="BN1189" s="166">
        <v>0</v>
      </c>
      <c r="BO1189" s="166">
        <v>0</v>
      </c>
      <c r="BP1189" s="166">
        <v>0</v>
      </c>
      <c r="BQ1189" s="81" t="s">
        <v>1758</v>
      </c>
      <c r="BR1189" s="81" t="s">
        <v>202</v>
      </c>
      <c r="BT1189" s="81" t="s">
        <v>155</v>
      </c>
      <c r="BZ1189" s="81" t="s">
        <v>3991</v>
      </c>
      <c r="CA1189" s="81">
        <v>15</v>
      </c>
      <c r="CB1189" s="165" t="s">
        <v>3992</v>
      </c>
      <c r="CC1189" s="167">
        <v>0</v>
      </c>
      <c r="CD1189" s="167">
        <v>0</v>
      </c>
      <c r="CE1189" s="167">
        <v>0</v>
      </c>
      <c r="CF1189" s="167">
        <v>0</v>
      </c>
      <c r="CG1189" s="167">
        <v>0</v>
      </c>
      <c r="CH1189" s="167">
        <v>0</v>
      </c>
      <c r="CI1189" s="167">
        <v>0</v>
      </c>
      <c r="CJ1189" s="167">
        <v>0</v>
      </c>
      <c r="CK1189" s="167">
        <v>0</v>
      </c>
      <c r="CL1189" s="167">
        <v>0</v>
      </c>
      <c r="CM1189" s="167">
        <v>0</v>
      </c>
      <c r="CN1189" s="167">
        <v>0</v>
      </c>
      <c r="CO1189" s="167">
        <v>0</v>
      </c>
      <c r="CP1189" s="167">
        <v>0</v>
      </c>
      <c r="CQ1189" s="167">
        <v>0</v>
      </c>
      <c r="CR1189" s="167">
        <v>0</v>
      </c>
      <c r="CS1189" s="167">
        <v>0</v>
      </c>
      <c r="CT1189" s="167">
        <v>0</v>
      </c>
      <c r="CU1189" s="167">
        <v>0</v>
      </c>
      <c r="CV1189" s="167">
        <v>0</v>
      </c>
      <c r="CW1189" s="167">
        <v>0</v>
      </c>
      <c r="CX1189" s="167">
        <f>SUM(CD1189:CH1189)</f>
        <v>0</v>
      </c>
      <c r="CY1189" s="167">
        <f>SUM(CD1189:CM1189)</f>
        <v>0</v>
      </c>
    </row>
    <row r="1190" spans="1:103" ht="12.75" customHeight="1" x14ac:dyDescent="0.2">
      <c r="A1190" s="81">
        <v>560</v>
      </c>
      <c r="B1190" s="165" t="s">
        <v>1955</v>
      </c>
      <c r="C1190" s="165" t="s">
        <v>2016</v>
      </c>
      <c r="E1190" s="165" t="s">
        <v>2017</v>
      </c>
      <c r="G1190" s="81">
        <v>525002</v>
      </c>
      <c r="H1190" s="81">
        <v>174627</v>
      </c>
      <c r="I1190" s="165" t="s">
        <v>251</v>
      </c>
      <c r="L1190" s="166">
        <v>0</v>
      </c>
      <c r="M1190" s="166">
        <v>1</v>
      </c>
      <c r="N1190" s="166">
        <v>1</v>
      </c>
      <c r="O1190" s="166">
        <v>1</v>
      </c>
      <c r="P1190" s="166">
        <v>1</v>
      </c>
      <c r="R1190" s="165" t="s">
        <v>2018</v>
      </c>
      <c r="S1190" s="81" t="s">
        <v>121</v>
      </c>
      <c r="T1190" s="349">
        <v>43047</v>
      </c>
      <c r="W1190" s="81" t="s">
        <v>365</v>
      </c>
      <c r="Y1190" s="81" t="s">
        <v>115</v>
      </c>
      <c r="Z1190" s="81" t="s">
        <v>219</v>
      </c>
      <c r="AA1190" s="81" t="s">
        <v>117</v>
      </c>
      <c r="AB1190" s="81" t="s">
        <v>3889</v>
      </c>
      <c r="AC1190" s="166">
        <v>3.0000000260770299E-3</v>
      </c>
      <c r="AG1190" s="81" t="s">
        <v>238</v>
      </c>
      <c r="AH1190" s="81" t="s">
        <v>118</v>
      </c>
      <c r="AK1190" s="166">
        <v>0</v>
      </c>
      <c r="AM1190" s="166">
        <v>0</v>
      </c>
      <c r="AO1190" s="166">
        <v>0</v>
      </c>
      <c r="AP1190" s="166">
        <v>1</v>
      </c>
      <c r="AQ1190" s="166">
        <v>0</v>
      </c>
      <c r="AR1190" s="166">
        <v>0</v>
      </c>
      <c r="AS1190" s="166">
        <v>0</v>
      </c>
      <c r="AT1190" s="166">
        <v>0</v>
      </c>
      <c r="AU1190" s="166">
        <v>0</v>
      </c>
      <c r="AV1190" s="166">
        <v>0</v>
      </c>
      <c r="AW1190" s="166">
        <v>1</v>
      </c>
      <c r="AX1190" s="166">
        <v>0</v>
      </c>
      <c r="AY1190" s="166">
        <v>0</v>
      </c>
      <c r="AZ1190" s="166">
        <v>0</v>
      </c>
      <c r="BA1190" s="166">
        <v>0</v>
      </c>
      <c r="BB1190" s="166">
        <v>0</v>
      </c>
      <c r="BC1190" s="166">
        <v>0</v>
      </c>
      <c r="BD1190" s="166">
        <v>0</v>
      </c>
      <c r="BE1190" s="166">
        <v>0</v>
      </c>
      <c r="BF1190" s="166">
        <v>0</v>
      </c>
      <c r="BG1190" s="166">
        <v>0</v>
      </c>
      <c r="BH1190" s="166">
        <v>0</v>
      </c>
      <c r="BI1190" s="166">
        <v>0</v>
      </c>
      <c r="BJ1190" s="166">
        <v>0</v>
      </c>
      <c r="BK1190" s="166">
        <v>0</v>
      </c>
      <c r="BL1190" s="166">
        <v>0</v>
      </c>
      <c r="BM1190" s="166">
        <v>0</v>
      </c>
      <c r="BN1190" s="166">
        <v>0</v>
      </c>
      <c r="BO1190" s="166">
        <v>0</v>
      </c>
      <c r="BP1190" s="166">
        <v>0</v>
      </c>
      <c r="BQ1190" s="81" t="s">
        <v>1758</v>
      </c>
      <c r="BZ1190" s="81" t="s">
        <v>155</v>
      </c>
      <c r="CA1190" s="81">
        <v>10</v>
      </c>
      <c r="CC1190" s="167">
        <v>0</v>
      </c>
      <c r="CD1190" s="167">
        <v>0</v>
      </c>
      <c r="CE1190" s="167">
        <v>0</v>
      </c>
      <c r="CF1190" s="167">
        <v>0</v>
      </c>
      <c r="CG1190" s="167">
        <v>0</v>
      </c>
      <c r="CH1190" s="167">
        <f>$N1190/3</f>
        <v>0.33333333333333331</v>
      </c>
      <c r="CI1190" s="167">
        <f>$N1190/3</f>
        <v>0.33333333333333331</v>
      </c>
      <c r="CJ1190" s="167">
        <f>$N1190/3</f>
        <v>0.33333333333333331</v>
      </c>
      <c r="CK1190" s="167">
        <v>0</v>
      </c>
      <c r="CL1190" s="167">
        <v>0</v>
      </c>
      <c r="CM1190" s="167">
        <v>0</v>
      </c>
      <c r="CN1190" s="167">
        <v>0</v>
      </c>
      <c r="CO1190" s="167">
        <v>0</v>
      </c>
      <c r="CP1190" s="167">
        <v>0</v>
      </c>
      <c r="CQ1190" s="167">
        <v>0</v>
      </c>
      <c r="CR1190" s="167">
        <v>0</v>
      </c>
      <c r="CS1190" s="167">
        <v>0</v>
      </c>
      <c r="CT1190" s="167">
        <v>0</v>
      </c>
      <c r="CU1190" s="167">
        <v>0</v>
      </c>
      <c r="CV1190" s="167">
        <v>0</v>
      </c>
      <c r="CW1190" s="167">
        <v>0</v>
      </c>
      <c r="CX1190" s="167">
        <f>SUM(CD1190:CH1190)</f>
        <v>0.33333333333333331</v>
      </c>
      <c r="CY1190" s="167">
        <f>SUM(CD1190:CM1190)</f>
        <v>1</v>
      </c>
    </row>
    <row r="1191" spans="1:103" ht="12.75" customHeight="1" x14ac:dyDescent="0.2">
      <c r="A1191" s="81">
        <v>700</v>
      </c>
      <c r="B1191" s="165" t="s">
        <v>1955</v>
      </c>
      <c r="C1191" s="165" t="s">
        <v>2019</v>
      </c>
      <c r="E1191" s="165" t="s">
        <v>2020</v>
      </c>
      <c r="G1191" s="81">
        <v>528024</v>
      </c>
      <c r="H1191" s="81">
        <v>173250</v>
      </c>
      <c r="I1191" s="165" t="s">
        <v>254</v>
      </c>
      <c r="L1191" s="166">
        <v>1</v>
      </c>
      <c r="M1191" s="166">
        <v>4</v>
      </c>
      <c r="N1191" s="166">
        <v>3</v>
      </c>
      <c r="O1191" s="166">
        <v>4</v>
      </c>
      <c r="P1191" s="166">
        <v>3</v>
      </c>
      <c r="R1191" s="165" t="s">
        <v>2021</v>
      </c>
      <c r="S1191" s="81" t="s">
        <v>121</v>
      </c>
      <c r="T1191" s="349">
        <v>43180</v>
      </c>
      <c r="W1191" s="81" t="s">
        <v>114</v>
      </c>
      <c r="Y1191" s="81" t="s">
        <v>115</v>
      </c>
      <c r="Z1191" s="81" t="s">
        <v>398</v>
      </c>
      <c r="AA1191" s="81" t="s">
        <v>117</v>
      </c>
      <c r="AB1191" s="81" t="s">
        <v>220</v>
      </c>
      <c r="AC1191" s="166">
        <v>2.9999999329447701E-2</v>
      </c>
      <c r="AG1191" s="81" t="s">
        <v>238</v>
      </c>
      <c r="AH1191" s="81" t="s">
        <v>118</v>
      </c>
      <c r="AK1191" s="166">
        <v>0</v>
      </c>
      <c r="AM1191" s="166">
        <v>0</v>
      </c>
      <c r="AO1191" s="166">
        <v>1</v>
      </c>
      <c r="AP1191" s="166">
        <v>0</v>
      </c>
      <c r="AQ1191" s="166">
        <v>0</v>
      </c>
      <c r="AR1191" s="166">
        <v>2</v>
      </c>
      <c r="AS1191" s="166">
        <v>0</v>
      </c>
      <c r="AT1191" s="166">
        <v>0</v>
      </c>
      <c r="AU1191" s="166">
        <v>0</v>
      </c>
      <c r="AV1191" s="166">
        <v>1</v>
      </c>
      <c r="AW1191" s="166">
        <v>0</v>
      </c>
      <c r="AX1191" s="166">
        <v>0</v>
      </c>
      <c r="AY1191" s="166">
        <v>2</v>
      </c>
      <c r="AZ1191" s="166">
        <v>0</v>
      </c>
      <c r="BA1191" s="166">
        <v>0</v>
      </c>
      <c r="BB1191" s="166">
        <v>0</v>
      </c>
      <c r="BC1191" s="166">
        <v>0</v>
      </c>
      <c r="BD1191" s="166">
        <v>0</v>
      </c>
      <c r="BE1191" s="166">
        <v>0</v>
      </c>
      <c r="BF1191" s="166">
        <v>0</v>
      </c>
      <c r="BG1191" s="166">
        <v>0</v>
      </c>
      <c r="BH1191" s="166">
        <v>0</v>
      </c>
      <c r="BI1191" s="166">
        <v>0</v>
      </c>
      <c r="BJ1191" s="166">
        <v>0</v>
      </c>
      <c r="BK1191" s="166">
        <v>0</v>
      </c>
      <c r="BL1191" s="166">
        <v>0</v>
      </c>
      <c r="BM1191" s="166">
        <v>0</v>
      </c>
      <c r="BN1191" s="166">
        <v>0</v>
      </c>
      <c r="BO1191" s="166">
        <v>0</v>
      </c>
      <c r="BP1191" s="166">
        <v>0</v>
      </c>
      <c r="BQ1191" s="81" t="s">
        <v>1757</v>
      </c>
      <c r="BZ1191" s="81" t="s">
        <v>155</v>
      </c>
      <c r="CA1191" s="81">
        <v>10</v>
      </c>
      <c r="CC1191" s="167">
        <v>0</v>
      </c>
      <c r="CD1191" s="167">
        <v>0</v>
      </c>
      <c r="CE1191" s="167">
        <v>0</v>
      </c>
      <c r="CF1191" s="167">
        <v>0</v>
      </c>
      <c r="CG1191" s="167">
        <v>0</v>
      </c>
      <c r="CH1191" s="167">
        <f>$N1191/3</f>
        <v>1</v>
      </c>
      <c r="CI1191" s="167">
        <f>$N1191/3</f>
        <v>1</v>
      </c>
      <c r="CJ1191" s="167">
        <f>$N1191/3</f>
        <v>1</v>
      </c>
      <c r="CK1191" s="167">
        <v>0</v>
      </c>
      <c r="CL1191" s="167">
        <v>0</v>
      </c>
      <c r="CM1191" s="167">
        <v>0</v>
      </c>
      <c r="CN1191" s="167">
        <v>0</v>
      </c>
      <c r="CO1191" s="167">
        <v>0</v>
      </c>
      <c r="CP1191" s="167">
        <v>0</v>
      </c>
      <c r="CQ1191" s="167">
        <v>0</v>
      </c>
      <c r="CR1191" s="167">
        <v>0</v>
      </c>
      <c r="CS1191" s="167">
        <v>0</v>
      </c>
      <c r="CT1191" s="167">
        <v>0</v>
      </c>
      <c r="CU1191" s="167">
        <v>0</v>
      </c>
      <c r="CV1191" s="167">
        <v>0</v>
      </c>
      <c r="CW1191" s="167">
        <v>0</v>
      </c>
      <c r="CX1191" s="167">
        <f>SUM(CD1191:CH1191)</f>
        <v>1</v>
      </c>
      <c r="CY1191" s="167">
        <f>SUM(CD1191:CM1191)</f>
        <v>3</v>
      </c>
    </row>
    <row r="1192" spans="1:103" ht="12.75" customHeight="1" x14ac:dyDescent="0.2">
      <c r="A1192" s="81">
        <v>786</v>
      </c>
      <c r="B1192" s="165" t="s">
        <v>1955</v>
      </c>
      <c r="C1192" s="165" t="s">
        <v>2022</v>
      </c>
      <c r="E1192" s="165" t="s">
        <v>2023</v>
      </c>
      <c r="G1192" s="81">
        <v>529441</v>
      </c>
      <c r="H1192" s="81">
        <v>171210</v>
      </c>
      <c r="I1192" s="165" t="s">
        <v>252</v>
      </c>
      <c r="L1192" s="166">
        <v>0</v>
      </c>
      <c r="M1192" s="166">
        <v>1</v>
      </c>
      <c r="N1192" s="166">
        <v>1</v>
      </c>
      <c r="O1192" s="166">
        <v>1</v>
      </c>
      <c r="P1192" s="166">
        <v>1</v>
      </c>
      <c r="R1192" s="165" t="s">
        <v>2024</v>
      </c>
      <c r="S1192" s="81" t="s">
        <v>121</v>
      </c>
      <c r="T1192" s="349">
        <v>43153</v>
      </c>
      <c r="W1192" s="81" t="s">
        <v>114</v>
      </c>
      <c r="Y1192" s="81" t="s">
        <v>115</v>
      </c>
      <c r="Z1192" s="81" t="s">
        <v>219</v>
      </c>
      <c r="AA1192" s="81" t="s">
        <v>117</v>
      </c>
      <c r="AB1192" s="81" t="s">
        <v>3889</v>
      </c>
      <c r="AC1192" s="166">
        <v>4.9999998882412902E-3</v>
      </c>
      <c r="AG1192" s="81" t="s">
        <v>238</v>
      </c>
      <c r="AH1192" s="81" t="s">
        <v>118</v>
      </c>
      <c r="AK1192" s="166">
        <v>0</v>
      </c>
      <c r="AM1192" s="166">
        <v>0</v>
      </c>
      <c r="AO1192" s="166">
        <v>1</v>
      </c>
      <c r="AP1192" s="166">
        <v>0</v>
      </c>
      <c r="AQ1192" s="166">
        <v>0</v>
      </c>
      <c r="AR1192" s="166">
        <v>0</v>
      </c>
      <c r="AS1192" s="166">
        <v>0</v>
      </c>
      <c r="AT1192" s="166">
        <v>0</v>
      </c>
      <c r="AU1192" s="166">
        <v>0</v>
      </c>
      <c r="AV1192" s="166">
        <v>1</v>
      </c>
      <c r="AW1192" s="166">
        <v>0</v>
      </c>
      <c r="AX1192" s="166">
        <v>0</v>
      </c>
      <c r="AY1192" s="166">
        <v>0</v>
      </c>
      <c r="AZ1192" s="166">
        <v>0</v>
      </c>
      <c r="BA1192" s="166">
        <v>0</v>
      </c>
      <c r="BB1192" s="166">
        <v>0</v>
      </c>
      <c r="BC1192" s="166">
        <v>0</v>
      </c>
      <c r="BD1192" s="166">
        <v>0</v>
      </c>
      <c r="BE1192" s="166">
        <v>0</v>
      </c>
      <c r="BF1192" s="166">
        <v>0</v>
      </c>
      <c r="BG1192" s="166">
        <v>0</v>
      </c>
      <c r="BH1192" s="166">
        <v>0</v>
      </c>
      <c r="BI1192" s="166">
        <v>0</v>
      </c>
      <c r="BJ1192" s="166">
        <v>0</v>
      </c>
      <c r="BK1192" s="166">
        <v>0</v>
      </c>
      <c r="BL1192" s="166">
        <v>0</v>
      </c>
      <c r="BM1192" s="166">
        <v>0</v>
      </c>
      <c r="BN1192" s="166">
        <v>0</v>
      </c>
      <c r="BO1192" s="166">
        <v>0</v>
      </c>
      <c r="BP1192" s="166">
        <v>0</v>
      </c>
      <c r="BQ1192" s="81" t="s">
        <v>1757</v>
      </c>
      <c r="BZ1192" s="81" t="s">
        <v>155</v>
      </c>
      <c r="CA1192" s="81">
        <v>10</v>
      </c>
      <c r="CC1192" s="167">
        <v>0</v>
      </c>
      <c r="CD1192" s="167">
        <v>0</v>
      </c>
      <c r="CE1192" s="167">
        <v>0</v>
      </c>
      <c r="CF1192" s="167">
        <v>0</v>
      </c>
      <c r="CG1192" s="167">
        <v>0</v>
      </c>
      <c r="CH1192" s="167">
        <f>$N1192/3</f>
        <v>0.33333333333333331</v>
      </c>
      <c r="CI1192" s="167">
        <f>$N1192/3</f>
        <v>0.33333333333333331</v>
      </c>
      <c r="CJ1192" s="167">
        <f>$N1192/3</f>
        <v>0.33333333333333331</v>
      </c>
      <c r="CK1192" s="167">
        <v>0</v>
      </c>
      <c r="CL1192" s="167">
        <v>0</v>
      </c>
      <c r="CM1192" s="167">
        <v>0</v>
      </c>
      <c r="CN1192" s="167">
        <v>0</v>
      </c>
      <c r="CO1192" s="167">
        <v>0</v>
      </c>
      <c r="CP1192" s="167">
        <v>0</v>
      </c>
      <c r="CQ1192" s="167">
        <v>0</v>
      </c>
      <c r="CR1192" s="167">
        <v>0</v>
      </c>
      <c r="CS1192" s="167">
        <v>0</v>
      </c>
      <c r="CT1192" s="167">
        <v>0</v>
      </c>
      <c r="CU1192" s="167">
        <v>0</v>
      </c>
      <c r="CV1192" s="167">
        <v>0</v>
      </c>
      <c r="CW1192" s="167">
        <v>0</v>
      </c>
      <c r="CX1192" s="167">
        <f>SUM(CD1192:CH1192)</f>
        <v>0.33333333333333331</v>
      </c>
      <c r="CY1192" s="167">
        <f>SUM(CD1192:CM1192)</f>
        <v>1</v>
      </c>
    </row>
    <row r="1193" spans="1:103" ht="12.75" customHeight="1" x14ac:dyDescent="0.2">
      <c r="A1193" s="81">
        <v>911</v>
      </c>
      <c r="B1193" s="165" t="s">
        <v>1955</v>
      </c>
      <c r="C1193" s="165" t="s">
        <v>2025</v>
      </c>
      <c r="E1193" s="165" t="s">
        <v>2026</v>
      </c>
      <c r="G1193" s="81">
        <v>526146</v>
      </c>
      <c r="H1193" s="81">
        <v>172566</v>
      </c>
      <c r="I1193" s="165" t="s">
        <v>249</v>
      </c>
      <c r="L1193" s="166">
        <v>1</v>
      </c>
      <c r="M1193" s="166">
        <v>1</v>
      </c>
      <c r="N1193" s="166">
        <v>0</v>
      </c>
      <c r="O1193" s="166">
        <v>2</v>
      </c>
      <c r="P1193" s="166">
        <v>1</v>
      </c>
      <c r="R1193" s="165" t="s">
        <v>2027</v>
      </c>
      <c r="S1193" s="81" t="s">
        <v>121</v>
      </c>
      <c r="T1193" s="349">
        <v>43168</v>
      </c>
      <c r="W1193" s="81" t="s">
        <v>114</v>
      </c>
      <c r="Y1193" s="81" t="s">
        <v>115</v>
      </c>
      <c r="Z1193" s="81" t="s">
        <v>398</v>
      </c>
      <c r="AA1193" s="81" t="s">
        <v>117</v>
      </c>
      <c r="AB1193" s="81" t="s">
        <v>220</v>
      </c>
      <c r="AC1193" s="166">
        <v>8.9999996125698107E-3</v>
      </c>
      <c r="AG1193" s="81" t="s">
        <v>238</v>
      </c>
      <c r="AH1193" s="81" t="s">
        <v>118</v>
      </c>
      <c r="AK1193" s="166">
        <v>0</v>
      </c>
      <c r="AM1193" s="166">
        <v>0</v>
      </c>
      <c r="AN1193" s="166">
        <v>1</v>
      </c>
      <c r="AO1193" s="166">
        <v>0</v>
      </c>
      <c r="AP1193" s="166">
        <v>-1</v>
      </c>
      <c r="AQ1193" s="166">
        <v>1</v>
      </c>
      <c r="AR1193" s="166">
        <v>0</v>
      </c>
      <c r="AS1193" s="166">
        <v>0</v>
      </c>
      <c r="AT1193" s="166">
        <v>0</v>
      </c>
      <c r="AU1193" s="166">
        <v>0</v>
      </c>
      <c r="AV1193" s="166">
        <v>0</v>
      </c>
      <c r="AW1193" s="166">
        <v>-1</v>
      </c>
      <c r="AX1193" s="166">
        <v>1</v>
      </c>
      <c r="AY1193" s="166">
        <v>0</v>
      </c>
      <c r="AZ1193" s="166">
        <v>0</v>
      </c>
      <c r="BA1193" s="166">
        <v>0</v>
      </c>
      <c r="BB1193" s="166">
        <v>0</v>
      </c>
      <c r="BC1193" s="166">
        <v>0</v>
      </c>
      <c r="BD1193" s="166">
        <v>0</v>
      </c>
      <c r="BE1193" s="166">
        <v>0</v>
      </c>
      <c r="BF1193" s="166">
        <v>0</v>
      </c>
      <c r="BG1193" s="166">
        <v>0</v>
      </c>
      <c r="BH1193" s="166">
        <v>0</v>
      </c>
      <c r="BI1193" s="166">
        <v>0</v>
      </c>
      <c r="BJ1193" s="166">
        <v>0</v>
      </c>
      <c r="BK1193" s="166">
        <v>0</v>
      </c>
      <c r="BL1193" s="166">
        <v>0</v>
      </c>
      <c r="BM1193" s="166">
        <v>0</v>
      </c>
      <c r="BN1193" s="166">
        <v>0</v>
      </c>
      <c r="BO1193" s="166">
        <v>0</v>
      </c>
      <c r="BP1193" s="166">
        <v>0</v>
      </c>
      <c r="BQ1193" s="81" t="s">
        <v>1758</v>
      </c>
      <c r="BZ1193" s="81" t="s">
        <v>155</v>
      </c>
      <c r="CA1193" s="81">
        <v>10</v>
      </c>
      <c r="CC1193" s="167">
        <v>0</v>
      </c>
      <c r="CD1193" s="167">
        <v>0</v>
      </c>
      <c r="CE1193" s="167">
        <v>0</v>
      </c>
      <c r="CF1193" s="167">
        <v>0</v>
      </c>
      <c r="CG1193" s="167">
        <v>0</v>
      </c>
      <c r="CH1193" s="167">
        <f>$N1193/3</f>
        <v>0</v>
      </c>
      <c r="CI1193" s="167">
        <f>$N1193/3</f>
        <v>0</v>
      </c>
      <c r="CJ1193" s="167">
        <f>$N1193/3</f>
        <v>0</v>
      </c>
      <c r="CK1193" s="167">
        <v>0</v>
      </c>
      <c r="CL1193" s="167">
        <v>0</v>
      </c>
      <c r="CM1193" s="167">
        <v>0</v>
      </c>
      <c r="CN1193" s="167">
        <v>0</v>
      </c>
      <c r="CO1193" s="167">
        <v>0</v>
      </c>
      <c r="CP1193" s="167">
        <v>0</v>
      </c>
      <c r="CQ1193" s="167">
        <v>0</v>
      </c>
      <c r="CR1193" s="167">
        <v>0</v>
      </c>
      <c r="CS1193" s="167">
        <v>0</v>
      </c>
      <c r="CT1193" s="167">
        <v>0</v>
      </c>
      <c r="CU1193" s="167">
        <v>0</v>
      </c>
      <c r="CV1193" s="167">
        <v>0</v>
      </c>
      <c r="CW1193" s="167">
        <v>0</v>
      </c>
      <c r="CX1193" s="167">
        <f>SUM(CD1193:CH1193)</f>
        <v>0</v>
      </c>
      <c r="CY1193" s="167">
        <f>SUM(CD1193:CM1193)</f>
        <v>0</v>
      </c>
    </row>
    <row r="1194" spans="1:103" ht="12.75" customHeight="1" x14ac:dyDescent="0.2">
      <c r="A1194" s="81">
        <v>911</v>
      </c>
      <c r="B1194" s="165" t="s">
        <v>1955</v>
      </c>
      <c r="C1194" s="165" t="s">
        <v>2025</v>
      </c>
      <c r="E1194" s="165" t="s">
        <v>2026</v>
      </c>
      <c r="G1194" s="81">
        <v>526146</v>
      </c>
      <c r="H1194" s="81">
        <v>172566</v>
      </c>
      <c r="I1194" s="165" t="s">
        <v>249</v>
      </c>
      <c r="L1194" s="166">
        <v>0</v>
      </c>
      <c r="M1194" s="166">
        <v>1</v>
      </c>
      <c r="N1194" s="166">
        <v>1</v>
      </c>
      <c r="O1194" s="166">
        <v>2</v>
      </c>
      <c r="P1194" s="166">
        <v>1</v>
      </c>
      <c r="R1194" s="165" t="s">
        <v>2027</v>
      </c>
      <c r="S1194" s="81" t="s">
        <v>121</v>
      </c>
      <c r="T1194" s="349">
        <v>43168</v>
      </c>
      <c r="W1194" s="81" t="s">
        <v>114</v>
      </c>
      <c r="Y1194" s="81" t="s">
        <v>115</v>
      </c>
      <c r="Z1194" s="81" t="s">
        <v>398</v>
      </c>
      <c r="AA1194" s="81" t="s">
        <v>117</v>
      </c>
      <c r="AB1194" s="81" t="s">
        <v>218</v>
      </c>
      <c r="AC1194" s="166">
        <v>6.0000000521540598E-3</v>
      </c>
      <c r="AG1194" s="81" t="s">
        <v>238</v>
      </c>
      <c r="AH1194" s="81" t="s">
        <v>118</v>
      </c>
      <c r="AK1194" s="166">
        <v>0</v>
      </c>
      <c r="AL1194" s="166">
        <v>1</v>
      </c>
      <c r="AM1194" s="166">
        <v>0</v>
      </c>
      <c r="AO1194" s="166">
        <v>0</v>
      </c>
      <c r="AP1194" s="166">
        <v>1</v>
      </c>
      <c r="AQ1194" s="166">
        <v>0</v>
      </c>
      <c r="AR1194" s="166">
        <v>0</v>
      </c>
      <c r="AS1194" s="166">
        <v>0</v>
      </c>
      <c r="AT1194" s="166">
        <v>0</v>
      </c>
      <c r="AU1194" s="166">
        <v>0</v>
      </c>
      <c r="AV1194" s="166">
        <v>0</v>
      </c>
      <c r="AW1194" s="166">
        <v>1</v>
      </c>
      <c r="AX1194" s="166">
        <v>0</v>
      </c>
      <c r="AY1194" s="166">
        <v>0</v>
      </c>
      <c r="AZ1194" s="166">
        <v>0</v>
      </c>
      <c r="BA1194" s="166">
        <v>0</v>
      </c>
      <c r="BB1194" s="166">
        <v>0</v>
      </c>
      <c r="BC1194" s="166">
        <v>0</v>
      </c>
      <c r="BD1194" s="166">
        <v>0</v>
      </c>
      <c r="BE1194" s="166">
        <v>0</v>
      </c>
      <c r="BF1194" s="166">
        <v>0</v>
      </c>
      <c r="BG1194" s="166">
        <v>0</v>
      </c>
      <c r="BH1194" s="166">
        <v>0</v>
      </c>
      <c r="BI1194" s="166">
        <v>0</v>
      </c>
      <c r="BJ1194" s="166">
        <v>0</v>
      </c>
      <c r="BK1194" s="166">
        <v>0</v>
      </c>
      <c r="BL1194" s="166">
        <v>0</v>
      </c>
      <c r="BM1194" s="166">
        <v>0</v>
      </c>
      <c r="BN1194" s="166">
        <v>0</v>
      </c>
      <c r="BO1194" s="166">
        <v>0</v>
      </c>
      <c r="BP1194" s="166">
        <v>0</v>
      </c>
      <c r="BQ1194" s="81" t="s">
        <v>1758</v>
      </c>
      <c r="BZ1194" s="81" t="s">
        <v>155</v>
      </c>
      <c r="CA1194" s="81">
        <v>10</v>
      </c>
      <c r="CC1194" s="167">
        <v>0</v>
      </c>
      <c r="CD1194" s="167">
        <v>0</v>
      </c>
      <c r="CE1194" s="167">
        <v>0</v>
      </c>
      <c r="CF1194" s="167">
        <v>0</v>
      </c>
      <c r="CG1194" s="167">
        <v>0</v>
      </c>
      <c r="CH1194" s="167">
        <f>$N1194/3</f>
        <v>0.33333333333333331</v>
      </c>
      <c r="CI1194" s="167">
        <f>$N1194/3</f>
        <v>0.33333333333333331</v>
      </c>
      <c r="CJ1194" s="167">
        <f>$N1194/3</f>
        <v>0.33333333333333331</v>
      </c>
      <c r="CK1194" s="167">
        <v>0</v>
      </c>
      <c r="CL1194" s="167">
        <v>0</v>
      </c>
      <c r="CM1194" s="167">
        <v>0</v>
      </c>
      <c r="CN1194" s="167">
        <v>0</v>
      </c>
      <c r="CO1194" s="167">
        <v>0</v>
      </c>
      <c r="CP1194" s="167">
        <v>0</v>
      </c>
      <c r="CQ1194" s="167">
        <v>0</v>
      </c>
      <c r="CR1194" s="167">
        <v>0</v>
      </c>
      <c r="CS1194" s="167">
        <v>0</v>
      </c>
      <c r="CT1194" s="167">
        <v>0</v>
      </c>
      <c r="CU1194" s="167">
        <v>0</v>
      </c>
      <c r="CV1194" s="167">
        <v>0</v>
      </c>
      <c r="CW1194" s="167">
        <v>0</v>
      </c>
      <c r="CX1194" s="167">
        <f>SUM(CD1194:CH1194)</f>
        <v>0.33333333333333331</v>
      </c>
      <c r="CY1194" s="167">
        <f>SUM(CD1194:CM1194)</f>
        <v>1</v>
      </c>
    </row>
    <row r="1195" spans="1:103" ht="12.75" customHeight="1" x14ac:dyDescent="0.2">
      <c r="A1195" s="81">
        <v>1587</v>
      </c>
      <c r="B1195" s="165" t="s">
        <v>1955</v>
      </c>
      <c r="C1195" s="165" t="s">
        <v>2028</v>
      </c>
      <c r="E1195" s="165" t="s">
        <v>2029</v>
      </c>
      <c r="G1195" s="81">
        <v>526103</v>
      </c>
      <c r="H1195" s="81">
        <v>173307</v>
      </c>
      <c r="I1195" s="165" t="s">
        <v>249</v>
      </c>
      <c r="L1195" s="166">
        <v>0</v>
      </c>
      <c r="M1195" s="166">
        <v>1</v>
      </c>
      <c r="N1195" s="166">
        <v>1</v>
      </c>
      <c r="O1195" s="166">
        <v>1</v>
      </c>
      <c r="P1195" s="166">
        <v>1</v>
      </c>
      <c r="R1195" s="165" t="s">
        <v>2030</v>
      </c>
      <c r="S1195" s="81" t="s">
        <v>121</v>
      </c>
      <c r="T1195" s="349">
        <v>43168</v>
      </c>
      <c r="W1195" s="81" t="s">
        <v>114</v>
      </c>
      <c r="Y1195" s="81" t="s">
        <v>115</v>
      </c>
      <c r="Z1195" s="81" t="s">
        <v>398</v>
      </c>
      <c r="AA1195" s="81" t="s">
        <v>117</v>
      </c>
      <c r="AB1195" s="81" t="s">
        <v>399</v>
      </c>
      <c r="AC1195" s="166">
        <v>0</v>
      </c>
      <c r="AG1195" s="81" t="s">
        <v>238</v>
      </c>
      <c r="AH1195" s="81" t="s">
        <v>118</v>
      </c>
      <c r="AK1195" s="166">
        <v>0</v>
      </c>
      <c r="AM1195" s="166">
        <v>0</v>
      </c>
      <c r="AO1195" s="166">
        <v>0</v>
      </c>
      <c r="AP1195" s="166">
        <v>0</v>
      </c>
      <c r="AQ1195" s="166">
        <v>1</v>
      </c>
      <c r="AR1195" s="166">
        <v>0</v>
      </c>
      <c r="AS1195" s="166">
        <v>0</v>
      </c>
      <c r="AT1195" s="166">
        <v>0</v>
      </c>
      <c r="AU1195" s="166">
        <v>0</v>
      </c>
      <c r="AV1195" s="166">
        <v>0</v>
      </c>
      <c r="AW1195" s="166">
        <v>0</v>
      </c>
      <c r="AX1195" s="166">
        <v>1</v>
      </c>
      <c r="AY1195" s="166">
        <v>0</v>
      </c>
      <c r="AZ1195" s="166">
        <v>0</v>
      </c>
      <c r="BA1195" s="166">
        <v>0</v>
      </c>
      <c r="BB1195" s="166">
        <v>0</v>
      </c>
      <c r="BC1195" s="166">
        <v>0</v>
      </c>
      <c r="BD1195" s="166">
        <v>0</v>
      </c>
      <c r="BE1195" s="166">
        <v>0</v>
      </c>
      <c r="BF1195" s="166">
        <v>0</v>
      </c>
      <c r="BG1195" s="166">
        <v>0</v>
      </c>
      <c r="BH1195" s="166">
        <v>0</v>
      </c>
      <c r="BI1195" s="166">
        <v>0</v>
      </c>
      <c r="BJ1195" s="166">
        <v>0</v>
      </c>
      <c r="BK1195" s="166">
        <v>0</v>
      </c>
      <c r="BL1195" s="166">
        <v>0</v>
      </c>
      <c r="BM1195" s="166">
        <v>0</v>
      </c>
      <c r="BN1195" s="166">
        <v>0</v>
      </c>
      <c r="BO1195" s="166">
        <v>0</v>
      </c>
      <c r="BP1195" s="166">
        <v>0</v>
      </c>
      <c r="BQ1195" s="81" t="s">
        <v>1758</v>
      </c>
      <c r="BZ1195" s="81" t="s">
        <v>155</v>
      </c>
      <c r="CA1195" s="81">
        <v>10</v>
      </c>
      <c r="CC1195" s="167">
        <v>0</v>
      </c>
      <c r="CD1195" s="167">
        <v>0</v>
      </c>
      <c r="CE1195" s="167">
        <v>0</v>
      </c>
      <c r="CF1195" s="167">
        <v>0</v>
      </c>
      <c r="CG1195" s="167">
        <v>0</v>
      </c>
      <c r="CH1195" s="167">
        <f>$N1195/3</f>
        <v>0.33333333333333331</v>
      </c>
      <c r="CI1195" s="167">
        <f>$N1195/3</f>
        <v>0.33333333333333331</v>
      </c>
      <c r="CJ1195" s="167">
        <f>$N1195/3</f>
        <v>0.33333333333333331</v>
      </c>
      <c r="CK1195" s="167">
        <v>0</v>
      </c>
      <c r="CL1195" s="167">
        <v>0</v>
      </c>
      <c r="CM1195" s="167">
        <v>0</v>
      </c>
      <c r="CN1195" s="167">
        <v>0</v>
      </c>
      <c r="CO1195" s="167">
        <v>0</v>
      </c>
      <c r="CP1195" s="167">
        <v>0</v>
      </c>
      <c r="CQ1195" s="167">
        <v>0</v>
      </c>
      <c r="CR1195" s="167">
        <v>0</v>
      </c>
      <c r="CS1195" s="167">
        <v>0</v>
      </c>
      <c r="CT1195" s="167">
        <v>0</v>
      </c>
      <c r="CU1195" s="167">
        <v>0</v>
      </c>
      <c r="CV1195" s="167">
        <v>0</v>
      </c>
      <c r="CW1195" s="167">
        <v>0</v>
      </c>
      <c r="CX1195" s="167">
        <f>SUM(CD1195:CH1195)</f>
        <v>0.33333333333333331</v>
      </c>
      <c r="CY1195" s="167">
        <f>SUM(CD1195:CM1195)</f>
        <v>1</v>
      </c>
    </row>
    <row r="1196" spans="1:103" ht="12.75" customHeight="1" x14ac:dyDescent="0.2">
      <c r="A1196" s="81">
        <v>1836</v>
      </c>
      <c r="B1196" s="165" t="s">
        <v>1955</v>
      </c>
      <c r="C1196" s="165" t="s">
        <v>2031</v>
      </c>
      <c r="D1196" s="165" t="s">
        <v>2032</v>
      </c>
      <c r="E1196" s="165" t="s">
        <v>2033</v>
      </c>
      <c r="G1196" s="81">
        <v>525361</v>
      </c>
      <c r="H1196" s="81">
        <v>174644</v>
      </c>
      <c r="I1196" s="165" t="s">
        <v>258</v>
      </c>
      <c r="L1196" s="166">
        <v>1</v>
      </c>
      <c r="M1196" s="166">
        <v>2</v>
      </c>
      <c r="N1196" s="166">
        <v>1</v>
      </c>
      <c r="O1196" s="166">
        <v>2</v>
      </c>
      <c r="P1196" s="166">
        <v>1</v>
      </c>
      <c r="R1196" s="165" t="s">
        <v>2034</v>
      </c>
      <c r="S1196" s="81" t="s">
        <v>121</v>
      </c>
      <c r="T1196" s="349">
        <v>43181</v>
      </c>
      <c r="W1196" s="81" t="s">
        <v>114</v>
      </c>
      <c r="Y1196" s="81" t="s">
        <v>115</v>
      </c>
      <c r="Z1196" s="81" t="s">
        <v>119</v>
      </c>
      <c r="AA1196" s="81" t="s">
        <v>117</v>
      </c>
      <c r="AB1196" s="81" t="s">
        <v>220</v>
      </c>
      <c r="AC1196" s="166">
        <v>8.0000003799796104E-3</v>
      </c>
      <c r="AG1196" s="81" t="s">
        <v>238</v>
      </c>
      <c r="AH1196" s="81" t="s">
        <v>118</v>
      </c>
      <c r="AK1196" s="166">
        <v>0</v>
      </c>
      <c r="AM1196" s="166">
        <v>0</v>
      </c>
      <c r="AO1196" s="166">
        <v>2</v>
      </c>
      <c r="AP1196" s="166">
        <v>-1</v>
      </c>
      <c r="AQ1196" s="166">
        <v>0</v>
      </c>
      <c r="AR1196" s="166">
        <v>0</v>
      </c>
      <c r="AS1196" s="166">
        <v>0</v>
      </c>
      <c r="AT1196" s="166">
        <v>0</v>
      </c>
      <c r="AU1196" s="166">
        <v>0</v>
      </c>
      <c r="AV1196" s="166">
        <v>2</v>
      </c>
      <c r="AW1196" s="166">
        <v>-1</v>
      </c>
      <c r="AX1196" s="166">
        <v>0</v>
      </c>
      <c r="AY1196" s="166">
        <v>0</v>
      </c>
      <c r="AZ1196" s="166">
        <v>0</v>
      </c>
      <c r="BA1196" s="166">
        <v>0</v>
      </c>
      <c r="BB1196" s="166">
        <v>0</v>
      </c>
      <c r="BC1196" s="166">
        <v>0</v>
      </c>
      <c r="BD1196" s="166">
        <v>0</v>
      </c>
      <c r="BE1196" s="166">
        <v>0</v>
      </c>
      <c r="BF1196" s="166">
        <v>0</v>
      </c>
      <c r="BG1196" s="166">
        <v>0</v>
      </c>
      <c r="BH1196" s="166">
        <v>0</v>
      </c>
      <c r="BI1196" s="166">
        <v>0</v>
      </c>
      <c r="BJ1196" s="166">
        <v>0</v>
      </c>
      <c r="BK1196" s="166">
        <v>0</v>
      </c>
      <c r="BL1196" s="166">
        <v>0</v>
      </c>
      <c r="BM1196" s="166">
        <v>0</v>
      </c>
      <c r="BN1196" s="166">
        <v>0</v>
      </c>
      <c r="BO1196" s="166">
        <v>0</v>
      </c>
      <c r="BP1196" s="166">
        <v>0</v>
      </c>
      <c r="BQ1196" s="81" t="s">
        <v>1758</v>
      </c>
      <c r="BR1196" s="81" t="s">
        <v>202</v>
      </c>
      <c r="BT1196" s="81" t="s">
        <v>155</v>
      </c>
      <c r="BZ1196" s="81" t="s">
        <v>155</v>
      </c>
      <c r="CA1196" s="81">
        <v>10</v>
      </c>
      <c r="CC1196" s="167">
        <v>0</v>
      </c>
      <c r="CD1196" s="167">
        <v>0</v>
      </c>
      <c r="CE1196" s="167">
        <v>0</v>
      </c>
      <c r="CF1196" s="167">
        <v>0</v>
      </c>
      <c r="CG1196" s="167">
        <v>0</v>
      </c>
      <c r="CH1196" s="167">
        <f>$N1196/3</f>
        <v>0.33333333333333331</v>
      </c>
      <c r="CI1196" s="167">
        <f>$N1196/3</f>
        <v>0.33333333333333331</v>
      </c>
      <c r="CJ1196" s="167">
        <f>$N1196/3</f>
        <v>0.33333333333333331</v>
      </c>
      <c r="CK1196" s="167">
        <v>0</v>
      </c>
      <c r="CL1196" s="167">
        <v>0</v>
      </c>
      <c r="CM1196" s="167">
        <v>0</v>
      </c>
      <c r="CN1196" s="167">
        <v>0</v>
      </c>
      <c r="CO1196" s="167">
        <v>0</v>
      </c>
      <c r="CP1196" s="167">
        <v>0</v>
      </c>
      <c r="CQ1196" s="167">
        <v>0</v>
      </c>
      <c r="CR1196" s="167">
        <v>0</v>
      </c>
      <c r="CS1196" s="167">
        <v>0</v>
      </c>
      <c r="CT1196" s="167">
        <v>0</v>
      </c>
      <c r="CU1196" s="167">
        <v>0</v>
      </c>
      <c r="CV1196" s="167">
        <v>0</v>
      </c>
      <c r="CW1196" s="167">
        <v>0</v>
      </c>
      <c r="CX1196" s="167">
        <f>SUM(CD1196:CH1196)</f>
        <v>0.33333333333333331</v>
      </c>
      <c r="CY1196" s="167">
        <f>SUM(CD1196:CM1196)</f>
        <v>1</v>
      </c>
    </row>
    <row r="1197" spans="1:103" ht="12.75" customHeight="1" x14ac:dyDescent="0.2">
      <c r="A1197" s="81">
        <v>1847</v>
      </c>
      <c r="B1197" s="165" t="s">
        <v>1955</v>
      </c>
      <c r="C1197" s="165" t="s">
        <v>2035</v>
      </c>
      <c r="D1197" s="165" t="s">
        <v>2036</v>
      </c>
      <c r="E1197" s="165" t="s">
        <v>2037</v>
      </c>
      <c r="G1197" s="81">
        <v>527213</v>
      </c>
      <c r="H1197" s="81">
        <v>170860</v>
      </c>
      <c r="I1197" s="165" t="s">
        <v>253</v>
      </c>
      <c r="L1197" s="166">
        <v>0</v>
      </c>
      <c r="M1197" s="166">
        <v>1</v>
      </c>
      <c r="N1197" s="166">
        <v>1</v>
      </c>
      <c r="O1197" s="166">
        <v>1</v>
      </c>
      <c r="P1197" s="166">
        <v>1</v>
      </c>
      <c r="R1197" s="165" t="s">
        <v>2038</v>
      </c>
      <c r="S1197" s="81" t="s">
        <v>296</v>
      </c>
      <c r="T1197" s="349">
        <v>42877</v>
      </c>
      <c r="U1197" s="349">
        <v>42933</v>
      </c>
      <c r="V1197" s="81" t="s">
        <v>155</v>
      </c>
      <c r="W1197" s="81" t="s">
        <v>365</v>
      </c>
      <c r="Y1197" s="81" t="s">
        <v>397</v>
      </c>
      <c r="Z1197" s="81" t="s">
        <v>116</v>
      </c>
      <c r="AA1197" s="81" t="s">
        <v>117</v>
      </c>
      <c r="AB1197" s="81" t="s">
        <v>218</v>
      </c>
      <c r="AC1197" s="166">
        <v>3.4000001847744002E-2</v>
      </c>
      <c r="AG1197" s="81" t="s">
        <v>238</v>
      </c>
      <c r="AH1197" s="81" t="s">
        <v>118</v>
      </c>
      <c r="AK1197" s="166">
        <v>1</v>
      </c>
      <c r="AM1197" s="166">
        <v>0</v>
      </c>
      <c r="AO1197" s="166">
        <v>0</v>
      </c>
      <c r="AP1197" s="166">
        <v>0</v>
      </c>
      <c r="AQ1197" s="166">
        <v>1</v>
      </c>
      <c r="AR1197" s="166">
        <v>0</v>
      </c>
      <c r="AS1197" s="166">
        <v>0</v>
      </c>
      <c r="AT1197" s="166">
        <v>0</v>
      </c>
      <c r="AU1197" s="166">
        <v>0</v>
      </c>
      <c r="AV1197" s="166">
        <v>0</v>
      </c>
      <c r="AW1197" s="166">
        <v>0</v>
      </c>
      <c r="AX1197" s="166">
        <v>0</v>
      </c>
      <c r="AY1197" s="166">
        <v>0</v>
      </c>
      <c r="AZ1197" s="166">
        <v>0</v>
      </c>
      <c r="BA1197" s="166">
        <v>0</v>
      </c>
      <c r="BB1197" s="166">
        <v>0</v>
      </c>
      <c r="BC1197" s="166">
        <v>0</v>
      </c>
      <c r="BD1197" s="166">
        <v>0</v>
      </c>
      <c r="BE1197" s="166">
        <v>1</v>
      </c>
      <c r="BF1197" s="166">
        <v>0</v>
      </c>
      <c r="BG1197" s="166">
        <v>0</v>
      </c>
      <c r="BH1197" s="166">
        <v>0</v>
      </c>
      <c r="BI1197" s="166">
        <v>0</v>
      </c>
      <c r="BJ1197" s="166">
        <v>0</v>
      </c>
      <c r="BK1197" s="166">
        <v>0</v>
      </c>
      <c r="BL1197" s="166">
        <v>0</v>
      </c>
      <c r="BM1197" s="166">
        <v>0</v>
      </c>
      <c r="BN1197" s="166">
        <v>0</v>
      </c>
      <c r="BO1197" s="166">
        <v>0</v>
      </c>
      <c r="BP1197" s="166">
        <v>0</v>
      </c>
      <c r="BQ1197" s="81" t="s">
        <v>1757</v>
      </c>
      <c r="BZ1197" s="81" t="s">
        <v>155</v>
      </c>
      <c r="CA1197" s="81">
        <v>6</v>
      </c>
      <c r="CC1197" s="167">
        <v>0</v>
      </c>
      <c r="CD1197" s="167">
        <v>0</v>
      </c>
      <c r="CE1197" s="167">
        <v>0</v>
      </c>
      <c r="CF1197" s="167">
        <v>0</v>
      </c>
      <c r="CG1197" s="167">
        <v>0</v>
      </c>
      <c r="CH1197" s="167">
        <f>$N1197/3</f>
        <v>0.33333333333333331</v>
      </c>
      <c r="CI1197" s="167">
        <f>$N1197/3</f>
        <v>0.33333333333333331</v>
      </c>
      <c r="CJ1197" s="167">
        <f>$N1197/3</f>
        <v>0.33333333333333331</v>
      </c>
      <c r="CK1197" s="167">
        <v>0</v>
      </c>
      <c r="CL1197" s="167">
        <v>0</v>
      </c>
      <c r="CM1197" s="167">
        <v>0</v>
      </c>
      <c r="CN1197" s="167">
        <v>0</v>
      </c>
      <c r="CO1197" s="167">
        <v>0</v>
      </c>
      <c r="CP1197" s="167">
        <v>0</v>
      </c>
      <c r="CQ1197" s="167">
        <v>0</v>
      </c>
      <c r="CR1197" s="167">
        <v>0</v>
      </c>
      <c r="CS1197" s="167">
        <v>0</v>
      </c>
      <c r="CT1197" s="167">
        <v>0</v>
      </c>
      <c r="CU1197" s="167">
        <v>0</v>
      </c>
      <c r="CV1197" s="167">
        <v>0</v>
      </c>
      <c r="CW1197" s="167">
        <v>0</v>
      </c>
      <c r="CX1197" s="167">
        <f>SUM(CD1197:CH1197)</f>
        <v>0.33333333333333331</v>
      </c>
      <c r="CY1197" s="167">
        <f>SUM(CD1197:CM1197)</f>
        <v>1</v>
      </c>
    </row>
    <row r="1198" spans="1:103" ht="12.75" customHeight="1" x14ac:dyDescent="0.2">
      <c r="A1198" s="81">
        <v>1867</v>
      </c>
      <c r="B1198" s="165" t="s">
        <v>1955</v>
      </c>
      <c r="C1198" s="165" t="s">
        <v>2039</v>
      </c>
      <c r="E1198" s="165" t="s">
        <v>2040</v>
      </c>
      <c r="G1198" s="81">
        <v>526162</v>
      </c>
      <c r="H1198" s="81">
        <v>172667</v>
      </c>
      <c r="I1198" s="165" t="s">
        <v>249</v>
      </c>
      <c r="L1198" s="166">
        <v>0</v>
      </c>
      <c r="M1198" s="166">
        <v>5</v>
      </c>
      <c r="N1198" s="166">
        <v>5</v>
      </c>
      <c r="O1198" s="166">
        <v>5</v>
      </c>
      <c r="P1198" s="166">
        <v>5</v>
      </c>
      <c r="R1198" s="165" t="s">
        <v>2041</v>
      </c>
      <c r="S1198" s="81" t="s">
        <v>121</v>
      </c>
      <c r="T1198" s="349">
        <v>43117</v>
      </c>
      <c r="W1198" s="81" t="s">
        <v>114</v>
      </c>
      <c r="Y1198" s="81" t="s">
        <v>115</v>
      </c>
      <c r="Z1198" s="81" t="s">
        <v>116</v>
      </c>
      <c r="AA1198" s="81" t="s">
        <v>117</v>
      </c>
      <c r="AB1198" s="81" t="s">
        <v>218</v>
      </c>
      <c r="AC1198" s="166">
        <v>2.9999999329447701E-2</v>
      </c>
      <c r="AG1198" s="81" t="s">
        <v>238</v>
      </c>
      <c r="AH1198" s="81" t="s">
        <v>118</v>
      </c>
      <c r="AK1198" s="166">
        <v>0</v>
      </c>
      <c r="AM1198" s="166">
        <v>0</v>
      </c>
      <c r="AO1198" s="166">
        <v>0</v>
      </c>
      <c r="AP1198" s="166">
        <v>1</v>
      </c>
      <c r="AQ1198" s="166">
        <v>4</v>
      </c>
      <c r="AR1198" s="166">
        <v>0</v>
      </c>
      <c r="AS1198" s="166">
        <v>0</v>
      </c>
      <c r="AT1198" s="166">
        <v>0</v>
      </c>
      <c r="AU1198" s="166">
        <v>0</v>
      </c>
      <c r="AV1198" s="166">
        <v>0</v>
      </c>
      <c r="AW1198" s="166">
        <v>1</v>
      </c>
      <c r="AX1198" s="166">
        <v>1</v>
      </c>
      <c r="AY1198" s="166">
        <v>0</v>
      </c>
      <c r="AZ1198" s="166">
        <v>0</v>
      </c>
      <c r="BA1198" s="166">
        <v>0</v>
      </c>
      <c r="BB1198" s="166">
        <v>0</v>
      </c>
      <c r="BC1198" s="166">
        <v>0</v>
      </c>
      <c r="BD1198" s="166">
        <v>0</v>
      </c>
      <c r="BE1198" s="166">
        <v>3</v>
      </c>
      <c r="BF1198" s="166">
        <v>0</v>
      </c>
      <c r="BG1198" s="166">
        <v>0</v>
      </c>
      <c r="BH1198" s="166">
        <v>0</v>
      </c>
      <c r="BI1198" s="166">
        <v>0</v>
      </c>
      <c r="BJ1198" s="166">
        <v>0</v>
      </c>
      <c r="BK1198" s="166">
        <v>0</v>
      </c>
      <c r="BL1198" s="166">
        <v>0</v>
      </c>
      <c r="BM1198" s="166">
        <v>0</v>
      </c>
      <c r="BN1198" s="166">
        <v>0</v>
      </c>
      <c r="BO1198" s="166">
        <v>0</v>
      </c>
      <c r="BP1198" s="166">
        <v>0</v>
      </c>
      <c r="BQ1198" s="81" t="s">
        <v>1758</v>
      </c>
      <c r="BZ1198" s="81" t="s">
        <v>155</v>
      </c>
      <c r="CA1198" s="81">
        <v>6</v>
      </c>
      <c r="CC1198" s="167">
        <v>0</v>
      </c>
      <c r="CD1198" s="167">
        <v>0</v>
      </c>
      <c r="CE1198" s="167">
        <v>0</v>
      </c>
      <c r="CF1198" s="167">
        <v>0</v>
      </c>
      <c r="CG1198" s="167">
        <v>0</v>
      </c>
      <c r="CH1198" s="167">
        <f>$N1198/3</f>
        <v>1.6666666666666667</v>
      </c>
      <c r="CI1198" s="167">
        <f>$N1198/3</f>
        <v>1.6666666666666667</v>
      </c>
      <c r="CJ1198" s="167">
        <f>$N1198/3</f>
        <v>1.6666666666666667</v>
      </c>
      <c r="CK1198" s="167">
        <v>0</v>
      </c>
      <c r="CL1198" s="167">
        <v>0</v>
      </c>
      <c r="CM1198" s="167">
        <v>0</v>
      </c>
      <c r="CN1198" s="167">
        <v>0</v>
      </c>
      <c r="CO1198" s="167">
        <v>0</v>
      </c>
      <c r="CP1198" s="167">
        <v>0</v>
      </c>
      <c r="CQ1198" s="167">
        <v>0</v>
      </c>
      <c r="CR1198" s="167">
        <v>0</v>
      </c>
      <c r="CS1198" s="167">
        <v>0</v>
      </c>
      <c r="CT1198" s="167">
        <v>0</v>
      </c>
      <c r="CU1198" s="167">
        <v>0</v>
      </c>
      <c r="CV1198" s="167">
        <v>0</v>
      </c>
      <c r="CW1198" s="167">
        <v>0</v>
      </c>
      <c r="CX1198" s="167">
        <f>SUM(CD1198:CH1198)</f>
        <v>1.6666666666666667</v>
      </c>
      <c r="CY1198" s="167">
        <f>SUM(CD1198:CM1198)</f>
        <v>5</v>
      </c>
    </row>
    <row r="1199" spans="1:103" ht="12.75" customHeight="1" x14ac:dyDescent="0.2">
      <c r="A1199" s="81">
        <v>1998</v>
      </c>
      <c r="B1199" s="165" t="s">
        <v>1955</v>
      </c>
      <c r="C1199" s="165" t="s">
        <v>2042</v>
      </c>
      <c r="E1199" s="165" t="s">
        <v>2043</v>
      </c>
      <c r="G1199" s="81">
        <v>529304</v>
      </c>
      <c r="H1199" s="81">
        <v>172598</v>
      </c>
      <c r="I1199" s="165" t="s">
        <v>248</v>
      </c>
      <c r="L1199" s="166">
        <v>0</v>
      </c>
      <c r="M1199" s="166">
        <v>1</v>
      </c>
      <c r="N1199" s="166">
        <v>1</v>
      </c>
      <c r="O1199" s="166">
        <v>1</v>
      </c>
      <c r="P1199" s="166">
        <v>1</v>
      </c>
      <c r="R1199" s="165" t="s">
        <v>2044</v>
      </c>
      <c r="S1199" s="81" t="s">
        <v>121</v>
      </c>
      <c r="T1199" s="349">
        <v>43048</v>
      </c>
      <c r="W1199" s="81" t="s">
        <v>114</v>
      </c>
      <c r="Y1199" s="81" t="s">
        <v>115</v>
      </c>
      <c r="Z1199" s="81" t="s">
        <v>116</v>
      </c>
      <c r="AA1199" s="81" t="s">
        <v>117</v>
      </c>
      <c r="AB1199" s="81" t="s">
        <v>218</v>
      </c>
      <c r="AC1199" s="166">
        <v>7.9000003635883304E-2</v>
      </c>
      <c r="AG1199" s="81" t="s">
        <v>238</v>
      </c>
      <c r="AH1199" s="81" t="s">
        <v>118</v>
      </c>
      <c r="AK1199" s="166">
        <v>0</v>
      </c>
      <c r="AM1199" s="166">
        <v>0</v>
      </c>
      <c r="AO1199" s="166">
        <v>0</v>
      </c>
      <c r="AP1199" s="166">
        <v>0</v>
      </c>
      <c r="AQ1199" s="166">
        <v>0</v>
      </c>
      <c r="AR1199" s="166">
        <v>0</v>
      </c>
      <c r="AS1199" s="166">
        <v>1</v>
      </c>
      <c r="AT1199" s="166">
        <v>0</v>
      </c>
      <c r="AU1199" s="166">
        <v>0</v>
      </c>
      <c r="AV1199" s="166">
        <v>0</v>
      </c>
      <c r="AW1199" s="166">
        <v>0</v>
      </c>
      <c r="AX1199" s="166">
        <v>0</v>
      </c>
      <c r="AY1199" s="166">
        <v>0</v>
      </c>
      <c r="AZ1199" s="166">
        <v>0</v>
      </c>
      <c r="BA1199" s="166">
        <v>0</v>
      </c>
      <c r="BB1199" s="166">
        <v>0</v>
      </c>
      <c r="BC1199" s="166">
        <v>0</v>
      </c>
      <c r="BD1199" s="166">
        <v>0</v>
      </c>
      <c r="BE1199" s="166">
        <v>0</v>
      </c>
      <c r="BF1199" s="166">
        <v>0</v>
      </c>
      <c r="BG1199" s="166">
        <v>1</v>
      </c>
      <c r="BH1199" s="166">
        <v>0</v>
      </c>
      <c r="BI1199" s="166">
        <v>0</v>
      </c>
      <c r="BJ1199" s="166">
        <v>0</v>
      </c>
      <c r="BK1199" s="166">
        <v>0</v>
      </c>
      <c r="BL1199" s="166">
        <v>0</v>
      </c>
      <c r="BM1199" s="166">
        <v>0</v>
      </c>
      <c r="BN1199" s="166">
        <v>0</v>
      </c>
      <c r="BO1199" s="166">
        <v>0</v>
      </c>
      <c r="BP1199" s="166">
        <v>0</v>
      </c>
      <c r="BQ1199" s="81" t="s">
        <v>1757</v>
      </c>
      <c r="BZ1199" s="81" t="s">
        <v>3991</v>
      </c>
      <c r="CA1199" s="81">
        <v>15</v>
      </c>
      <c r="CB1199" s="165" t="s">
        <v>3994</v>
      </c>
      <c r="CC1199" s="167">
        <v>0</v>
      </c>
      <c r="CD1199" s="167">
        <v>0</v>
      </c>
      <c r="CE1199" s="167">
        <v>0</v>
      </c>
      <c r="CF1199" s="167">
        <v>0</v>
      </c>
      <c r="CG1199" s="167">
        <v>0</v>
      </c>
      <c r="CH1199" s="167">
        <v>0</v>
      </c>
      <c r="CI1199" s="167">
        <v>0</v>
      </c>
      <c r="CJ1199" s="167">
        <v>0</v>
      </c>
      <c r="CK1199" s="167">
        <v>0</v>
      </c>
      <c r="CL1199" s="167">
        <v>0</v>
      </c>
      <c r="CM1199" s="167">
        <v>0</v>
      </c>
      <c r="CN1199" s="167">
        <v>0</v>
      </c>
      <c r="CO1199" s="167">
        <v>0</v>
      </c>
      <c r="CP1199" s="167">
        <v>0</v>
      </c>
      <c r="CQ1199" s="167">
        <v>0</v>
      </c>
      <c r="CR1199" s="167">
        <v>0</v>
      </c>
      <c r="CS1199" s="167">
        <v>0</v>
      </c>
      <c r="CT1199" s="167">
        <v>0</v>
      </c>
      <c r="CU1199" s="167">
        <v>0</v>
      </c>
      <c r="CV1199" s="167">
        <v>0</v>
      </c>
      <c r="CW1199" s="167">
        <v>0</v>
      </c>
      <c r="CX1199" s="167">
        <f>SUM(CD1199:CH1199)</f>
        <v>0</v>
      </c>
      <c r="CY1199" s="167">
        <f>SUM(CD1199:CM1199)</f>
        <v>0</v>
      </c>
    </row>
    <row r="1200" spans="1:103" ht="12.75" customHeight="1" x14ac:dyDescent="0.2">
      <c r="A1200" s="81">
        <v>2202</v>
      </c>
      <c r="B1200" s="165" t="s">
        <v>1955</v>
      </c>
      <c r="C1200" s="165" t="s">
        <v>2045</v>
      </c>
      <c r="E1200" s="165" t="s">
        <v>2046</v>
      </c>
      <c r="G1200" s="81">
        <v>528351</v>
      </c>
      <c r="H1200" s="81">
        <v>173235</v>
      </c>
      <c r="I1200" s="165" t="s">
        <v>254</v>
      </c>
      <c r="L1200" s="166">
        <v>0</v>
      </c>
      <c r="M1200" s="166">
        <v>2</v>
      </c>
      <c r="N1200" s="166">
        <v>2</v>
      </c>
      <c r="O1200" s="166">
        <v>2</v>
      </c>
      <c r="P1200" s="166">
        <v>2</v>
      </c>
      <c r="R1200" s="165" t="s">
        <v>2047</v>
      </c>
      <c r="S1200" s="81" t="s">
        <v>121</v>
      </c>
      <c r="T1200" s="349">
        <v>43188</v>
      </c>
      <c r="W1200" s="81" t="s">
        <v>114</v>
      </c>
      <c r="Y1200" s="81" t="s">
        <v>115</v>
      </c>
      <c r="Z1200" s="81" t="s">
        <v>116</v>
      </c>
      <c r="AA1200" s="81" t="s">
        <v>117</v>
      </c>
      <c r="AB1200" s="81" t="s">
        <v>218</v>
      </c>
      <c r="AC1200" s="166">
        <v>8.0000003799796104E-3</v>
      </c>
      <c r="AG1200" s="81" t="s">
        <v>238</v>
      </c>
      <c r="AH1200" s="81" t="s">
        <v>118</v>
      </c>
      <c r="AK1200" s="166">
        <v>0</v>
      </c>
      <c r="AM1200" s="166">
        <v>0</v>
      </c>
      <c r="AO1200" s="166">
        <v>0</v>
      </c>
      <c r="AP1200" s="166">
        <v>2</v>
      </c>
      <c r="AQ1200" s="166">
        <v>0</v>
      </c>
      <c r="AR1200" s="166">
        <v>0</v>
      </c>
      <c r="AS1200" s="166">
        <v>0</v>
      </c>
      <c r="AT1200" s="166">
        <v>0</v>
      </c>
      <c r="AU1200" s="166">
        <v>0</v>
      </c>
      <c r="AV1200" s="166">
        <v>0</v>
      </c>
      <c r="AW1200" s="166">
        <v>2</v>
      </c>
      <c r="AX1200" s="166">
        <v>0</v>
      </c>
      <c r="AY1200" s="166">
        <v>0</v>
      </c>
      <c r="AZ1200" s="166">
        <v>0</v>
      </c>
      <c r="BA1200" s="166">
        <v>0</v>
      </c>
      <c r="BB1200" s="166">
        <v>0</v>
      </c>
      <c r="BC1200" s="166">
        <v>0</v>
      </c>
      <c r="BD1200" s="166">
        <v>0</v>
      </c>
      <c r="BE1200" s="166">
        <v>0</v>
      </c>
      <c r="BF1200" s="166">
        <v>0</v>
      </c>
      <c r="BG1200" s="166">
        <v>0</v>
      </c>
      <c r="BH1200" s="166">
        <v>0</v>
      </c>
      <c r="BI1200" s="166">
        <v>0</v>
      </c>
      <c r="BJ1200" s="166">
        <v>0</v>
      </c>
      <c r="BK1200" s="166">
        <v>0</v>
      </c>
      <c r="BL1200" s="166">
        <v>0</v>
      </c>
      <c r="BM1200" s="166">
        <v>0</v>
      </c>
      <c r="BN1200" s="166">
        <v>0</v>
      </c>
      <c r="BO1200" s="166">
        <v>0</v>
      </c>
      <c r="BP1200" s="166">
        <v>0</v>
      </c>
      <c r="BQ1200" s="81" t="s">
        <v>1757</v>
      </c>
      <c r="BZ1200" s="81" t="s">
        <v>3991</v>
      </c>
      <c r="CA1200" s="81">
        <v>15</v>
      </c>
      <c r="CB1200" s="165" t="s">
        <v>3995</v>
      </c>
      <c r="CC1200" s="167">
        <v>0</v>
      </c>
      <c r="CD1200" s="167">
        <v>0</v>
      </c>
      <c r="CE1200" s="167">
        <v>0</v>
      </c>
      <c r="CF1200" s="167">
        <v>0</v>
      </c>
      <c r="CG1200" s="167">
        <v>0</v>
      </c>
      <c r="CH1200" s="167">
        <v>0</v>
      </c>
      <c r="CI1200" s="167">
        <v>0</v>
      </c>
      <c r="CJ1200" s="167">
        <v>0</v>
      </c>
      <c r="CK1200" s="167">
        <v>0</v>
      </c>
      <c r="CL1200" s="167">
        <v>0</v>
      </c>
      <c r="CM1200" s="167">
        <v>0</v>
      </c>
      <c r="CN1200" s="167">
        <v>0</v>
      </c>
      <c r="CO1200" s="167">
        <v>0</v>
      </c>
      <c r="CP1200" s="167">
        <v>0</v>
      </c>
      <c r="CQ1200" s="167">
        <v>0</v>
      </c>
      <c r="CR1200" s="167">
        <v>0</v>
      </c>
      <c r="CS1200" s="167">
        <v>0</v>
      </c>
      <c r="CT1200" s="167">
        <v>0</v>
      </c>
      <c r="CU1200" s="167">
        <v>0</v>
      </c>
      <c r="CV1200" s="167">
        <v>0</v>
      </c>
      <c r="CW1200" s="167">
        <v>0</v>
      </c>
      <c r="CX1200" s="167">
        <f>SUM(CD1200:CH1200)</f>
        <v>0</v>
      </c>
      <c r="CY1200" s="167">
        <f>SUM(CD1200:CM1200)</f>
        <v>0</v>
      </c>
    </row>
    <row r="1201" spans="1:103" ht="12.75" customHeight="1" x14ac:dyDescent="0.2">
      <c r="A1201" s="81">
        <v>2390</v>
      </c>
      <c r="B1201" s="165" t="s">
        <v>1955</v>
      </c>
      <c r="C1201" s="165" t="s">
        <v>2048</v>
      </c>
      <c r="D1201" s="165" t="s">
        <v>151</v>
      </c>
      <c r="E1201" s="165" t="s">
        <v>2049</v>
      </c>
      <c r="G1201" s="81">
        <v>525245</v>
      </c>
      <c r="H1201" s="81">
        <v>174192</v>
      </c>
      <c r="I1201" s="165" t="s">
        <v>258</v>
      </c>
      <c r="L1201" s="166">
        <v>0</v>
      </c>
      <c r="M1201" s="166">
        <v>1</v>
      </c>
      <c r="N1201" s="166">
        <v>1</v>
      </c>
      <c r="O1201" s="166">
        <v>1</v>
      </c>
      <c r="P1201" s="166">
        <v>1</v>
      </c>
      <c r="R1201" s="165" t="s">
        <v>2050</v>
      </c>
      <c r="S1201" s="81" t="s">
        <v>121</v>
      </c>
      <c r="T1201" s="349">
        <v>43063</v>
      </c>
      <c r="W1201" s="81" t="s">
        <v>114</v>
      </c>
      <c r="Y1201" s="81" t="s">
        <v>397</v>
      </c>
      <c r="Z1201" s="81" t="s">
        <v>116</v>
      </c>
      <c r="AA1201" s="81" t="s">
        <v>117</v>
      </c>
      <c r="AB1201" s="81" t="s">
        <v>218</v>
      </c>
      <c r="AC1201" s="166">
        <v>1.7000000923872001E-2</v>
      </c>
      <c r="AG1201" s="81" t="s">
        <v>238</v>
      </c>
      <c r="AH1201" s="81" t="s">
        <v>118</v>
      </c>
      <c r="AK1201" s="166">
        <v>0</v>
      </c>
      <c r="AM1201" s="166">
        <v>0</v>
      </c>
      <c r="AO1201" s="166">
        <v>0</v>
      </c>
      <c r="AP1201" s="166">
        <v>0</v>
      </c>
      <c r="AQ1201" s="166">
        <v>0</v>
      </c>
      <c r="AR1201" s="166">
        <v>0</v>
      </c>
      <c r="AS1201" s="166">
        <v>1</v>
      </c>
      <c r="AT1201" s="166">
        <v>0</v>
      </c>
      <c r="AU1201" s="166">
        <v>0</v>
      </c>
      <c r="AV1201" s="166">
        <v>0</v>
      </c>
      <c r="AW1201" s="166">
        <v>0</v>
      </c>
      <c r="AX1201" s="166">
        <v>0</v>
      </c>
      <c r="AY1201" s="166">
        <v>0</v>
      </c>
      <c r="AZ1201" s="166">
        <v>0</v>
      </c>
      <c r="BA1201" s="166">
        <v>0</v>
      </c>
      <c r="BB1201" s="166">
        <v>0</v>
      </c>
      <c r="BC1201" s="166">
        <v>0</v>
      </c>
      <c r="BD1201" s="166">
        <v>0</v>
      </c>
      <c r="BE1201" s="166">
        <v>0</v>
      </c>
      <c r="BF1201" s="166">
        <v>0</v>
      </c>
      <c r="BG1201" s="166">
        <v>1</v>
      </c>
      <c r="BH1201" s="166">
        <v>0</v>
      </c>
      <c r="BI1201" s="166">
        <v>0</v>
      </c>
      <c r="BJ1201" s="166">
        <v>0</v>
      </c>
      <c r="BK1201" s="166">
        <v>0</v>
      </c>
      <c r="BL1201" s="166">
        <v>0</v>
      </c>
      <c r="BM1201" s="166">
        <v>0</v>
      </c>
      <c r="BN1201" s="166">
        <v>0</v>
      </c>
      <c r="BO1201" s="166">
        <v>0</v>
      </c>
      <c r="BP1201" s="166">
        <v>0</v>
      </c>
      <c r="BQ1201" s="81" t="s">
        <v>1758</v>
      </c>
      <c r="BZ1201" s="81" t="s">
        <v>155</v>
      </c>
      <c r="CA1201" s="81">
        <v>6</v>
      </c>
      <c r="CC1201" s="167">
        <v>0</v>
      </c>
      <c r="CD1201" s="167">
        <v>0</v>
      </c>
      <c r="CE1201" s="167">
        <v>0</v>
      </c>
      <c r="CF1201" s="167">
        <v>0</v>
      </c>
      <c r="CG1201" s="167">
        <v>0</v>
      </c>
      <c r="CH1201" s="167">
        <f>$N1201/3</f>
        <v>0.33333333333333331</v>
      </c>
      <c r="CI1201" s="167">
        <f>$N1201/3</f>
        <v>0.33333333333333331</v>
      </c>
      <c r="CJ1201" s="167">
        <f>$N1201/3</f>
        <v>0.33333333333333331</v>
      </c>
      <c r="CK1201" s="167">
        <v>0</v>
      </c>
      <c r="CL1201" s="167">
        <v>0</v>
      </c>
      <c r="CM1201" s="167">
        <v>0</v>
      </c>
      <c r="CN1201" s="167">
        <v>0</v>
      </c>
      <c r="CO1201" s="167">
        <v>0</v>
      </c>
      <c r="CP1201" s="167">
        <v>0</v>
      </c>
      <c r="CQ1201" s="167">
        <v>0</v>
      </c>
      <c r="CR1201" s="167">
        <v>0</v>
      </c>
      <c r="CS1201" s="167">
        <v>0</v>
      </c>
      <c r="CT1201" s="167">
        <v>0</v>
      </c>
      <c r="CU1201" s="167">
        <v>0</v>
      </c>
      <c r="CV1201" s="167">
        <v>0</v>
      </c>
      <c r="CW1201" s="167">
        <v>0</v>
      </c>
      <c r="CX1201" s="167">
        <f>SUM(CD1201:CH1201)</f>
        <v>0.33333333333333331</v>
      </c>
      <c r="CY1201" s="167">
        <f>SUM(CD1201:CM1201)</f>
        <v>1</v>
      </c>
    </row>
    <row r="1202" spans="1:103" ht="12.75" customHeight="1" x14ac:dyDescent="0.2">
      <c r="A1202" s="81">
        <v>2504</v>
      </c>
      <c r="B1202" s="165" t="s">
        <v>1955</v>
      </c>
      <c r="C1202" s="165" t="s">
        <v>2051</v>
      </c>
      <c r="D1202" s="165" t="s">
        <v>2052</v>
      </c>
      <c r="E1202" s="165" t="s">
        <v>2053</v>
      </c>
      <c r="G1202" s="81">
        <v>524835</v>
      </c>
      <c r="H1202" s="81">
        <v>173907</v>
      </c>
      <c r="I1202" s="165" t="s">
        <v>250</v>
      </c>
      <c r="L1202" s="166">
        <v>0</v>
      </c>
      <c r="M1202" s="166">
        <v>1</v>
      </c>
      <c r="N1202" s="166">
        <v>1</v>
      </c>
      <c r="O1202" s="166">
        <v>1</v>
      </c>
      <c r="P1202" s="166">
        <v>1</v>
      </c>
      <c r="R1202" s="165" t="s">
        <v>2054</v>
      </c>
      <c r="S1202" s="81" t="s">
        <v>121</v>
      </c>
      <c r="T1202" s="349">
        <v>43075</v>
      </c>
      <c r="W1202" s="81" t="s">
        <v>114</v>
      </c>
      <c r="Y1202" s="81" t="s">
        <v>115</v>
      </c>
      <c r="Z1202" s="81" t="s">
        <v>116</v>
      </c>
      <c r="AA1202" s="81" t="s">
        <v>117</v>
      </c>
      <c r="AB1202" s="81" t="s">
        <v>218</v>
      </c>
      <c r="AC1202" s="166">
        <v>4.9999998882412902E-3</v>
      </c>
      <c r="AG1202" s="81" t="s">
        <v>238</v>
      </c>
      <c r="AH1202" s="81" t="s">
        <v>118</v>
      </c>
      <c r="AK1202" s="166">
        <v>0</v>
      </c>
      <c r="AM1202" s="166">
        <v>0</v>
      </c>
      <c r="AO1202" s="166">
        <v>0</v>
      </c>
      <c r="AP1202" s="166">
        <v>1</v>
      </c>
      <c r="AQ1202" s="166">
        <v>0</v>
      </c>
      <c r="AR1202" s="166">
        <v>0</v>
      </c>
      <c r="AS1202" s="166">
        <v>0</v>
      </c>
      <c r="AT1202" s="166">
        <v>0</v>
      </c>
      <c r="AU1202" s="166">
        <v>0</v>
      </c>
      <c r="AV1202" s="166">
        <v>0</v>
      </c>
      <c r="AW1202" s="166">
        <v>0</v>
      </c>
      <c r="AX1202" s="166">
        <v>0</v>
      </c>
      <c r="AY1202" s="166">
        <v>0</v>
      </c>
      <c r="AZ1202" s="166">
        <v>0</v>
      </c>
      <c r="BA1202" s="166">
        <v>0</v>
      </c>
      <c r="BB1202" s="166">
        <v>0</v>
      </c>
      <c r="BC1202" s="166">
        <v>0</v>
      </c>
      <c r="BD1202" s="166">
        <v>1</v>
      </c>
      <c r="BE1202" s="166">
        <v>0</v>
      </c>
      <c r="BF1202" s="166">
        <v>0</v>
      </c>
      <c r="BG1202" s="166">
        <v>0</v>
      </c>
      <c r="BH1202" s="166">
        <v>0</v>
      </c>
      <c r="BI1202" s="166">
        <v>0</v>
      </c>
      <c r="BJ1202" s="166">
        <v>0</v>
      </c>
      <c r="BK1202" s="166">
        <v>0</v>
      </c>
      <c r="BL1202" s="166">
        <v>0</v>
      </c>
      <c r="BM1202" s="166">
        <v>0</v>
      </c>
      <c r="BN1202" s="166">
        <v>0</v>
      </c>
      <c r="BO1202" s="166">
        <v>0</v>
      </c>
      <c r="BP1202" s="166">
        <v>0</v>
      </c>
      <c r="BQ1202" s="81" t="s">
        <v>1758</v>
      </c>
      <c r="BZ1202" s="81" t="s">
        <v>155</v>
      </c>
      <c r="CA1202" s="81">
        <v>6</v>
      </c>
      <c r="CC1202" s="167">
        <v>0</v>
      </c>
      <c r="CD1202" s="167">
        <v>0</v>
      </c>
      <c r="CE1202" s="167">
        <v>0</v>
      </c>
      <c r="CF1202" s="167">
        <v>0</v>
      </c>
      <c r="CG1202" s="167">
        <v>0</v>
      </c>
      <c r="CH1202" s="167">
        <f>$N1202/3</f>
        <v>0.33333333333333331</v>
      </c>
      <c r="CI1202" s="167">
        <f>$N1202/3</f>
        <v>0.33333333333333331</v>
      </c>
      <c r="CJ1202" s="167">
        <f>$N1202/3</f>
        <v>0.33333333333333331</v>
      </c>
      <c r="CK1202" s="167">
        <v>0</v>
      </c>
      <c r="CL1202" s="167">
        <v>0</v>
      </c>
      <c r="CM1202" s="167">
        <v>0</v>
      </c>
      <c r="CN1202" s="167">
        <v>0</v>
      </c>
      <c r="CO1202" s="167">
        <v>0</v>
      </c>
      <c r="CP1202" s="167">
        <v>0</v>
      </c>
      <c r="CQ1202" s="167">
        <v>0</v>
      </c>
      <c r="CR1202" s="167">
        <v>0</v>
      </c>
      <c r="CS1202" s="167">
        <v>0</v>
      </c>
      <c r="CT1202" s="167">
        <v>0</v>
      </c>
      <c r="CU1202" s="167">
        <v>0</v>
      </c>
      <c r="CV1202" s="167">
        <v>0</v>
      </c>
      <c r="CW1202" s="167">
        <v>0</v>
      </c>
      <c r="CX1202" s="167">
        <f>SUM(CD1202:CH1202)</f>
        <v>0.33333333333333331</v>
      </c>
      <c r="CY1202" s="167">
        <f>SUM(CD1202:CM1202)</f>
        <v>1</v>
      </c>
    </row>
    <row r="1203" spans="1:103" ht="12.75" customHeight="1" x14ac:dyDescent="0.2">
      <c r="A1203" s="81">
        <v>2589</v>
      </c>
      <c r="B1203" s="165" t="s">
        <v>1955</v>
      </c>
      <c r="C1203" s="165" t="s">
        <v>2055</v>
      </c>
      <c r="E1203" s="165" t="s">
        <v>2056</v>
      </c>
      <c r="G1203" s="81">
        <v>528730</v>
      </c>
      <c r="H1203" s="81">
        <v>176714</v>
      </c>
      <c r="I1203" s="165" t="s">
        <v>240</v>
      </c>
      <c r="L1203" s="166">
        <v>0</v>
      </c>
      <c r="M1203" s="166">
        <v>1</v>
      </c>
      <c r="N1203" s="166">
        <v>1</v>
      </c>
      <c r="O1203" s="166">
        <v>1</v>
      </c>
      <c r="P1203" s="166">
        <v>1</v>
      </c>
      <c r="R1203" s="165" t="s">
        <v>2057</v>
      </c>
      <c r="S1203" s="81" t="s">
        <v>121</v>
      </c>
      <c r="T1203" s="349">
        <v>43123</v>
      </c>
      <c r="W1203" s="81" t="s">
        <v>114</v>
      </c>
      <c r="Y1203" s="81" t="s">
        <v>115</v>
      </c>
      <c r="Z1203" s="81" t="s">
        <v>398</v>
      </c>
      <c r="AA1203" s="81" t="s">
        <v>117</v>
      </c>
      <c r="AB1203" s="81" t="s">
        <v>336</v>
      </c>
      <c r="AC1203" s="166">
        <v>8.0000003799796104E-3</v>
      </c>
      <c r="AG1203" s="81" t="s">
        <v>238</v>
      </c>
      <c r="AH1203" s="81" t="s">
        <v>118</v>
      </c>
      <c r="AK1203" s="166">
        <v>0</v>
      </c>
      <c r="AM1203" s="166">
        <v>0</v>
      </c>
      <c r="AO1203" s="166">
        <v>0</v>
      </c>
      <c r="AP1203" s="166">
        <v>0</v>
      </c>
      <c r="AQ1203" s="166">
        <v>0</v>
      </c>
      <c r="AR1203" s="166">
        <v>0</v>
      </c>
      <c r="AS1203" s="166">
        <v>1</v>
      </c>
      <c r="AT1203" s="166">
        <v>0</v>
      </c>
      <c r="AU1203" s="166">
        <v>0</v>
      </c>
      <c r="AV1203" s="166">
        <v>0</v>
      </c>
      <c r="AW1203" s="166">
        <v>0</v>
      </c>
      <c r="AX1203" s="166">
        <v>0</v>
      </c>
      <c r="AY1203" s="166">
        <v>0</v>
      </c>
      <c r="AZ1203" s="166">
        <v>0</v>
      </c>
      <c r="BA1203" s="166">
        <v>0</v>
      </c>
      <c r="BB1203" s="166">
        <v>0</v>
      </c>
      <c r="BC1203" s="166">
        <v>0</v>
      </c>
      <c r="BD1203" s="166">
        <v>0</v>
      </c>
      <c r="BE1203" s="166">
        <v>0</v>
      </c>
      <c r="BF1203" s="166">
        <v>0</v>
      </c>
      <c r="BG1203" s="166">
        <v>1</v>
      </c>
      <c r="BH1203" s="166">
        <v>0</v>
      </c>
      <c r="BI1203" s="166">
        <v>0</v>
      </c>
      <c r="BJ1203" s="166">
        <v>0</v>
      </c>
      <c r="BK1203" s="166">
        <v>0</v>
      </c>
      <c r="BL1203" s="166">
        <v>0</v>
      </c>
      <c r="BM1203" s="166">
        <v>0</v>
      </c>
      <c r="BN1203" s="166">
        <v>0</v>
      </c>
      <c r="BO1203" s="166">
        <v>0</v>
      </c>
      <c r="BP1203" s="166">
        <v>0</v>
      </c>
      <c r="BQ1203" s="81" t="s">
        <v>1757</v>
      </c>
      <c r="BZ1203" s="81" t="s">
        <v>155</v>
      </c>
      <c r="CA1203" s="81">
        <v>10</v>
      </c>
      <c r="CC1203" s="167">
        <v>0</v>
      </c>
      <c r="CD1203" s="167">
        <v>0</v>
      </c>
      <c r="CE1203" s="167">
        <v>0</v>
      </c>
      <c r="CF1203" s="167">
        <v>0</v>
      </c>
      <c r="CG1203" s="167">
        <v>0</v>
      </c>
      <c r="CH1203" s="167">
        <f>$N1203/3</f>
        <v>0.33333333333333331</v>
      </c>
      <c r="CI1203" s="167">
        <f>$N1203/3</f>
        <v>0.33333333333333331</v>
      </c>
      <c r="CJ1203" s="167">
        <f>$N1203/3</f>
        <v>0.33333333333333331</v>
      </c>
      <c r="CK1203" s="167">
        <v>0</v>
      </c>
      <c r="CL1203" s="167">
        <v>0</v>
      </c>
      <c r="CM1203" s="167">
        <v>0</v>
      </c>
      <c r="CN1203" s="167">
        <v>0</v>
      </c>
      <c r="CO1203" s="167">
        <v>0</v>
      </c>
      <c r="CP1203" s="167">
        <v>0</v>
      </c>
      <c r="CQ1203" s="167">
        <v>0</v>
      </c>
      <c r="CR1203" s="167">
        <v>0</v>
      </c>
      <c r="CS1203" s="167">
        <v>0</v>
      </c>
      <c r="CT1203" s="167">
        <v>0</v>
      </c>
      <c r="CU1203" s="167">
        <v>0</v>
      </c>
      <c r="CV1203" s="167">
        <v>0</v>
      </c>
      <c r="CW1203" s="167">
        <v>0</v>
      </c>
      <c r="CX1203" s="167">
        <f>SUM(CD1203:CH1203)</f>
        <v>0.33333333333333331</v>
      </c>
      <c r="CY1203" s="167">
        <f>SUM(CD1203:CM1203)</f>
        <v>1</v>
      </c>
    </row>
    <row r="1204" spans="1:103" ht="12.75" customHeight="1" x14ac:dyDescent="0.2">
      <c r="A1204" s="81">
        <v>2681</v>
      </c>
      <c r="B1204" s="165" t="s">
        <v>1955</v>
      </c>
      <c r="C1204" s="165" t="s">
        <v>2058</v>
      </c>
      <c r="E1204" s="165" t="s">
        <v>2059</v>
      </c>
      <c r="G1204" s="81">
        <v>526030</v>
      </c>
      <c r="H1204" s="81">
        <v>174684</v>
      </c>
      <c r="I1204" s="165" t="s">
        <v>251</v>
      </c>
      <c r="L1204" s="166">
        <v>0</v>
      </c>
      <c r="M1204" s="166">
        <v>1</v>
      </c>
      <c r="N1204" s="166">
        <v>1</v>
      </c>
      <c r="O1204" s="166">
        <v>1</v>
      </c>
      <c r="P1204" s="166">
        <v>1</v>
      </c>
      <c r="R1204" s="165" t="s">
        <v>2060</v>
      </c>
      <c r="S1204" s="81" t="s">
        <v>121</v>
      </c>
      <c r="T1204" s="349">
        <v>43119</v>
      </c>
      <c r="W1204" s="81" t="s">
        <v>114</v>
      </c>
      <c r="Y1204" s="81" t="s">
        <v>115</v>
      </c>
      <c r="Z1204" s="81" t="s">
        <v>310</v>
      </c>
      <c r="AA1204" s="81" t="s">
        <v>117</v>
      </c>
      <c r="AB1204" s="81" t="s">
        <v>102</v>
      </c>
      <c r="AC1204" s="166">
        <v>4.0000001899898104E-3</v>
      </c>
      <c r="AG1204" s="81" t="s">
        <v>238</v>
      </c>
      <c r="AH1204" s="81" t="s">
        <v>118</v>
      </c>
      <c r="AK1204" s="166">
        <v>0</v>
      </c>
      <c r="AM1204" s="166">
        <v>0</v>
      </c>
      <c r="AO1204" s="166">
        <v>0</v>
      </c>
      <c r="AP1204" s="166">
        <v>1</v>
      </c>
      <c r="AQ1204" s="166">
        <v>0</v>
      </c>
      <c r="AR1204" s="166">
        <v>0</v>
      </c>
      <c r="AS1204" s="166">
        <v>0</v>
      </c>
      <c r="AT1204" s="166">
        <v>0</v>
      </c>
      <c r="AU1204" s="166">
        <v>0</v>
      </c>
      <c r="AV1204" s="166">
        <v>0</v>
      </c>
      <c r="AW1204" s="166">
        <v>1</v>
      </c>
      <c r="AX1204" s="166">
        <v>0</v>
      </c>
      <c r="AY1204" s="166">
        <v>0</v>
      </c>
      <c r="AZ1204" s="166">
        <v>0</v>
      </c>
      <c r="BA1204" s="166">
        <v>0</v>
      </c>
      <c r="BB1204" s="166">
        <v>0</v>
      </c>
      <c r="BC1204" s="166">
        <v>0</v>
      </c>
      <c r="BD1204" s="166">
        <v>0</v>
      </c>
      <c r="BE1204" s="166">
        <v>0</v>
      </c>
      <c r="BF1204" s="166">
        <v>0</v>
      </c>
      <c r="BG1204" s="166">
        <v>0</v>
      </c>
      <c r="BH1204" s="166">
        <v>0</v>
      </c>
      <c r="BI1204" s="166">
        <v>0</v>
      </c>
      <c r="BJ1204" s="166">
        <v>0</v>
      </c>
      <c r="BK1204" s="166">
        <v>0</v>
      </c>
      <c r="BL1204" s="166">
        <v>0</v>
      </c>
      <c r="BM1204" s="166">
        <v>0</v>
      </c>
      <c r="BN1204" s="166">
        <v>0</v>
      </c>
      <c r="BO1204" s="166">
        <v>0</v>
      </c>
      <c r="BP1204" s="166">
        <v>0</v>
      </c>
      <c r="BQ1204" s="81" t="s">
        <v>1758</v>
      </c>
      <c r="BZ1204" s="81" t="s">
        <v>155</v>
      </c>
      <c r="CA1204" s="81">
        <v>10</v>
      </c>
      <c r="CC1204" s="167">
        <v>0</v>
      </c>
      <c r="CD1204" s="167">
        <v>0</v>
      </c>
      <c r="CE1204" s="167">
        <v>0</v>
      </c>
      <c r="CF1204" s="167">
        <v>0</v>
      </c>
      <c r="CG1204" s="167">
        <v>0</v>
      </c>
      <c r="CH1204" s="167">
        <f>$N1204/3</f>
        <v>0.33333333333333331</v>
      </c>
      <c r="CI1204" s="167">
        <f>$N1204/3</f>
        <v>0.33333333333333331</v>
      </c>
      <c r="CJ1204" s="167">
        <f>$N1204/3</f>
        <v>0.33333333333333331</v>
      </c>
      <c r="CK1204" s="167">
        <v>0</v>
      </c>
      <c r="CL1204" s="167">
        <v>0</v>
      </c>
      <c r="CM1204" s="167">
        <v>0</v>
      </c>
      <c r="CN1204" s="167">
        <v>0</v>
      </c>
      <c r="CO1204" s="167">
        <v>0</v>
      </c>
      <c r="CP1204" s="167">
        <v>0</v>
      </c>
      <c r="CQ1204" s="167">
        <v>0</v>
      </c>
      <c r="CR1204" s="167">
        <v>0</v>
      </c>
      <c r="CS1204" s="167">
        <v>0</v>
      </c>
      <c r="CT1204" s="167">
        <v>0</v>
      </c>
      <c r="CU1204" s="167">
        <v>0</v>
      </c>
      <c r="CV1204" s="167">
        <v>0</v>
      </c>
      <c r="CW1204" s="167">
        <v>0</v>
      </c>
      <c r="CX1204" s="167">
        <f>SUM(CD1204:CH1204)</f>
        <v>0.33333333333333331</v>
      </c>
      <c r="CY1204" s="167">
        <f>SUM(CD1204:CM1204)</f>
        <v>1</v>
      </c>
    </row>
    <row r="1205" spans="1:103" ht="12.75" customHeight="1" x14ac:dyDescent="0.2">
      <c r="A1205" s="81">
        <v>2708</v>
      </c>
      <c r="B1205" s="165" t="s">
        <v>1955</v>
      </c>
      <c r="C1205" s="165" t="s">
        <v>2061</v>
      </c>
      <c r="E1205" s="165" t="s">
        <v>2062</v>
      </c>
      <c r="G1205" s="81">
        <v>528946</v>
      </c>
      <c r="H1205" s="81">
        <v>172480</v>
      </c>
      <c r="I1205" s="165" t="s">
        <v>248</v>
      </c>
      <c r="L1205" s="166">
        <v>0</v>
      </c>
      <c r="M1205" s="166">
        <v>1</v>
      </c>
      <c r="N1205" s="166">
        <v>1</v>
      </c>
      <c r="O1205" s="166">
        <v>1</v>
      </c>
      <c r="P1205" s="166">
        <v>1</v>
      </c>
      <c r="R1205" s="165" t="s">
        <v>2063</v>
      </c>
      <c r="S1205" s="81" t="s">
        <v>121</v>
      </c>
      <c r="T1205" s="349">
        <v>43147</v>
      </c>
      <c r="W1205" s="81" t="s">
        <v>114</v>
      </c>
      <c r="Y1205" s="81" t="s">
        <v>115</v>
      </c>
      <c r="Z1205" s="81" t="s">
        <v>116</v>
      </c>
      <c r="AA1205" s="81" t="s">
        <v>117</v>
      </c>
      <c r="AB1205" s="81" t="s">
        <v>218</v>
      </c>
      <c r="AC1205" s="166">
        <v>8.9999996125698107E-3</v>
      </c>
      <c r="AG1205" s="81" t="s">
        <v>238</v>
      </c>
      <c r="AH1205" s="81" t="s">
        <v>118</v>
      </c>
      <c r="AK1205" s="166">
        <v>0</v>
      </c>
      <c r="AL1205" s="166">
        <v>1</v>
      </c>
      <c r="AM1205" s="166">
        <v>0</v>
      </c>
      <c r="AO1205" s="166">
        <v>0</v>
      </c>
      <c r="AP1205" s="166">
        <v>1</v>
      </c>
      <c r="AQ1205" s="166">
        <v>0</v>
      </c>
      <c r="AR1205" s="166">
        <v>0</v>
      </c>
      <c r="AS1205" s="166">
        <v>0</v>
      </c>
      <c r="AT1205" s="166">
        <v>0</v>
      </c>
      <c r="AU1205" s="166">
        <v>0</v>
      </c>
      <c r="AV1205" s="166">
        <v>0</v>
      </c>
      <c r="AW1205" s="166">
        <v>0</v>
      </c>
      <c r="AX1205" s="166">
        <v>0</v>
      </c>
      <c r="AY1205" s="166">
        <v>0</v>
      </c>
      <c r="AZ1205" s="166">
        <v>0</v>
      </c>
      <c r="BA1205" s="166">
        <v>0</v>
      </c>
      <c r="BB1205" s="166">
        <v>0</v>
      </c>
      <c r="BC1205" s="166">
        <v>0</v>
      </c>
      <c r="BD1205" s="166">
        <v>1</v>
      </c>
      <c r="BE1205" s="166">
        <v>0</v>
      </c>
      <c r="BF1205" s="166">
        <v>0</v>
      </c>
      <c r="BG1205" s="166">
        <v>0</v>
      </c>
      <c r="BH1205" s="166">
        <v>0</v>
      </c>
      <c r="BI1205" s="166">
        <v>0</v>
      </c>
      <c r="BJ1205" s="166">
        <v>0</v>
      </c>
      <c r="BK1205" s="166">
        <v>0</v>
      </c>
      <c r="BL1205" s="166">
        <v>0</v>
      </c>
      <c r="BM1205" s="166">
        <v>0</v>
      </c>
      <c r="BN1205" s="166">
        <v>0</v>
      </c>
      <c r="BO1205" s="166">
        <v>0</v>
      </c>
      <c r="BP1205" s="166">
        <v>0</v>
      </c>
      <c r="BQ1205" s="81" t="s">
        <v>1757</v>
      </c>
      <c r="BZ1205" s="81" t="s">
        <v>155</v>
      </c>
      <c r="CA1205" s="81">
        <v>6</v>
      </c>
      <c r="CC1205" s="167">
        <v>0</v>
      </c>
      <c r="CD1205" s="167">
        <v>0</v>
      </c>
      <c r="CE1205" s="167">
        <v>0</v>
      </c>
      <c r="CF1205" s="167">
        <v>0</v>
      </c>
      <c r="CG1205" s="167">
        <v>0</v>
      </c>
      <c r="CH1205" s="167">
        <f>$N1205/3</f>
        <v>0.33333333333333331</v>
      </c>
      <c r="CI1205" s="167">
        <f>$N1205/3</f>
        <v>0.33333333333333331</v>
      </c>
      <c r="CJ1205" s="167">
        <f>$N1205/3</f>
        <v>0.33333333333333331</v>
      </c>
      <c r="CK1205" s="167">
        <v>0</v>
      </c>
      <c r="CL1205" s="167">
        <v>0</v>
      </c>
      <c r="CM1205" s="167">
        <v>0</v>
      </c>
      <c r="CN1205" s="167">
        <v>0</v>
      </c>
      <c r="CO1205" s="167">
        <v>0</v>
      </c>
      <c r="CP1205" s="167">
        <v>0</v>
      </c>
      <c r="CQ1205" s="167">
        <v>0</v>
      </c>
      <c r="CR1205" s="167">
        <v>0</v>
      </c>
      <c r="CS1205" s="167">
        <v>0</v>
      </c>
      <c r="CT1205" s="167">
        <v>0</v>
      </c>
      <c r="CU1205" s="167">
        <v>0</v>
      </c>
      <c r="CV1205" s="167">
        <v>0</v>
      </c>
      <c r="CW1205" s="167">
        <v>0</v>
      </c>
      <c r="CX1205" s="167">
        <f>SUM(CD1205:CH1205)</f>
        <v>0.33333333333333331</v>
      </c>
      <c r="CY1205" s="167">
        <f>SUM(CD1205:CM1205)</f>
        <v>1</v>
      </c>
    </row>
    <row r="1206" spans="1:103" ht="12.75" customHeight="1" x14ac:dyDescent="0.2">
      <c r="A1206" s="81">
        <v>2946</v>
      </c>
      <c r="B1206" s="165" t="s">
        <v>1955</v>
      </c>
      <c r="C1206" s="165" t="s">
        <v>2064</v>
      </c>
      <c r="E1206" s="165" t="s">
        <v>2065</v>
      </c>
      <c r="G1206" s="81">
        <v>523254</v>
      </c>
      <c r="H1206" s="81">
        <v>176072</v>
      </c>
      <c r="I1206" s="165" t="s">
        <v>259</v>
      </c>
      <c r="L1206" s="166">
        <v>0</v>
      </c>
      <c r="M1206" s="166">
        <v>2</v>
      </c>
      <c r="N1206" s="166">
        <v>2</v>
      </c>
      <c r="O1206" s="166">
        <v>2</v>
      </c>
      <c r="P1206" s="166">
        <v>2</v>
      </c>
      <c r="R1206" s="165" t="s">
        <v>2066</v>
      </c>
      <c r="S1206" s="81" t="s">
        <v>121</v>
      </c>
      <c r="T1206" s="349">
        <v>43076</v>
      </c>
      <c r="W1206" s="81" t="s">
        <v>114</v>
      </c>
      <c r="Y1206" s="81" t="s">
        <v>115</v>
      </c>
      <c r="Z1206" s="81" t="s">
        <v>116</v>
      </c>
      <c r="AA1206" s="81" t="s">
        <v>117</v>
      </c>
      <c r="AB1206" s="81" t="s">
        <v>218</v>
      </c>
      <c r="AC1206" s="166">
        <v>2.0999999716877899E-2</v>
      </c>
      <c r="AG1206" s="81" t="s">
        <v>238</v>
      </c>
      <c r="AH1206" s="81" t="s">
        <v>118</v>
      </c>
      <c r="AK1206" s="166">
        <v>0</v>
      </c>
      <c r="AM1206" s="166">
        <v>0</v>
      </c>
      <c r="AO1206" s="166">
        <v>0</v>
      </c>
      <c r="AP1206" s="166">
        <v>0</v>
      </c>
      <c r="AQ1206" s="166">
        <v>0</v>
      </c>
      <c r="AR1206" s="166">
        <v>0</v>
      </c>
      <c r="AS1206" s="166">
        <v>2</v>
      </c>
      <c r="AT1206" s="166">
        <v>0</v>
      </c>
      <c r="AU1206" s="166">
        <v>0</v>
      </c>
      <c r="AV1206" s="166">
        <v>0</v>
      </c>
      <c r="AW1206" s="166">
        <v>0</v>
      </c>
      <c r="AX1206" s="166">
        <v>0</v>
      </c>
      <c r="AY1206" s="166">
        <v>0</v>
      </c>
      <c r="AZ1206" s="166">
        <v>0</v>
      </c>
      <c r="BA1206" s="166">
        <v>0</v>
      </c>
      <c r="BB1206" s="166">
        <v>0</v>
      </c>
      <c r="BC1206" s="166">
        <v>0</v>
      </c>
      <c r="BD1206" s="166">
        <v>0</v>
      </c>
      <c r="BE1206" s="166">
        <v>0</v>
      </c>
      <c r="BF1206" s="166">
        <v>0</v>
      </c>
      <c r="BG1206" s="166">
        <v>2</v>
      </c>
      <c r="BH1206" s="166">
        <v>0</v>
      </c>
      <c r="BI1206" s="166">
        <v>0</v>
      </c>
      <c r="BJ1206" s="166">
        <v>0</v>
      </c>
      <c r="BK1206" s="166">
        <v>0</v>
      </c>
      <c r="BL1206" s="166">
        <v>0</v>
      </c>
      <c r="BM1206" s="166">
        <v>0</v>
      </c>
      <c r="BN1206" s="166">
        <v>0</v>
      </c>
      <c r="BO1206" s="166">
        <v>0</v>
      </c>
      <c r="BP1206" s="166">
        <v>0</v>
      </c>
      <c r="BQ1206" s="81" t="s">
        <v>1758</v>
      </c>
      <c r="BZ1206" s="81" t="s">
        <v>155</v>
      </c>
      <c r="CA1206" s="81">
        <v>6</v>
      </c>
      <c r="CC1206" s="167">
        <v>0</v>
      </c>
      <c r="CD1206" s="167">
        <v>0</v>
      </c>
      <c r="CE1206" s="167">
        <v>0</v>
      </c>
      <c r="CF1206" s="167">
        <v>0</v>
      </c>
      <c r="CG1206" s="167">
        <v>0</v>
      </c>
      <c r="CH1206" s="167">
        <f>$N1206/3</f>
        <v>0.66666666666666663</v>
      </c>
      <c r="CI1206" s="167">
        <f>$N1206/3</f>
        <v>0.66666666666666663</v>
      </c>
      <c r="CJ1206" s="167">
        <f>$N1206/3</f>
        <v>0.66666666666666663</v>
      </c>
      <c r="CK1206" s="167">
        <v>0</v>
      </c>
      <c r="CL1206" s="167">
        <v>0</v>
      </c>
      <c r="CM1206" s="167">
        <v>0</v>
      </c>
      <c r="CN1206" s="167">
        <v>0</v>
      </c>
      <c r="CO1206" s="167">
        <v>0</v>
      </c>
      <c r="CP1206" s="167">
        <v>0</v>
      </c>
      <c r="CQ1206" s="167">
        <v>0</v>
      </c>
      <c r="CR1206" s="167">
        <v>0</v>
      </c>
      <c r="CS1206" s="167">
        <v>0</v>
      </c>
      <c r="CT1206" s="167">
        <v>0</v>
      </c>
      <c r="CU1206" s="167">
        <v>0</v>
      </c>
      <c r="CV1206" s="167">
        <v>0</v>
      </c>
      <c r="CW1206" s="167">
        <v>0</v>
      </c>
      <c r="CX1206" s="167">
        <f>SUM(CD1206:CH1206)</f>
        <v>0.66666666666666663</v>
      </c>
      <c r="CY1206" s="167">
        <f>SUM(CD1206:CM1206)</f>
        <v>2</v>
      </c>
    </row>
    <row r="1207" spans="1:103" ht="12.75" customHeight="1" x14ac:dyDescent="0.2">
      <c r="A1207" s="81">
        <v>3090</v>
      </c>
      <c r="B1207" s="165" t="s">
        <v>1955</v>
      </c>
      <c r="C1207" s="165" t="s">
        <v>1649</v>
      </c>
      <c r="E1207" s="165" t="s">
        <v>2067</v>
      </c>
      <c r="G1207" s="81">
        <v>525209</v>
      </c>
      <c r="H1207" s="81">
        <v>173685</v>
      </c>
      <c r="I1207" s="165" t="s">
        <v>258</v>
      </c>
      <c r="L1207" s="166">
        <v>0</v>
      </c>
      <c r="M1207" s="166">
        <v>1</v>
      </c>
      <c r="N1207" s="166">
        <v>1</v>
      </c>
      <c r="O1207" s="166">
        <v>1</v>
      </c>
      <c r="P1207" s="166">
        <v>1</v>
      </c>
      <c r="R1207" s="165" t="s">
        <v>1650</v>
      </c>
      <c r="S1207" s="81" t="s">
        <v>296</v>
      </c>
      <c r="T1207" s="349">
        <v>42796</v>
      </c>
      <c r="U1207" s="349">
        <v>42894</v>
      </c>
      <c r="V1207" s="81" t="s">
        <v>155</v>
      </c>
      <c r="W1207" s="81" t="s">
        <v>365</v>
      </c>
      <c r="Y1207" s="81" t="s">
        <v>115</v>
      </c>
      <c r="Z1207" s="81" t="s">
        <v>219</v>
      </c>
      <c r="AA1207" s="81" t="s">
        <v>117</v>
      </c>
      <c r="AB1207" s="81" t="s">
        <v>3889</v>
      </c>
      <c r="AC1207" s="166">
        <v>4.0000001899898104E-3</v>
      </c>
      <c r="AG1207" s="81" t="s">
        <v>238</v>
      </c>
      <c r="AH1207" s="81" t="s">
        <v>118</v>
      </c>
      <c r="AK1207" s="166">
        <v>0</v>
      </c>
      <c r="AM1207" s="166">
        <v>0</v>
      </c>
      <c r="AO1207" s="166">
        <v>0</v>
      </c>
      <c r="AP1207" s="166">
        <v>1</v>
      </c>
      <c r="AQ1207" s="166">
        <v>0</v>
      </c>
      <c r="AR1207" s="166">
        <v>0</v>
      </c>
      <c r="AS1207" s="166">
        <v>0</v>
      </c>
      <c r="AT1207" s="166">
        <v>0</v>
      </c>
      <c r="AU1207" s="166">
        <v>0</v>
      </c>
      <c r="AV1207" s="166">
        <v>0</v>
      </c>
      <c r="AW1207" s="166">
        <v>1</v>
      </c>
      <c r="AX1207" s="166">
        <v>0</v>
      </c>
      <c r="AY1207" s="166">
        <v>0</v>
      </c>
      <c r="AZ1207" s="166">
        <v>0</v>
      </c>
      <c r="BA1207" s="166">
        <v>0</v>
      </c>
      <c r="BB1207" s="166">
        <v>0</v>
      </c>
      <c r="BC1207" s="166">
        <v>0</v>
      </c>
      <c r="BD1207" s="166">
        <v>0</v>
      </c>
      <c r="BE1207" s="166">
        <v>0</v>
      </c>
      <c r="BF1207" s="166">
        <v>0</v>
      </c>
      <c r="BG1207" s="166">
        <v>0</v>
      </c>
      <c r="BH1207" s="166">
        <v>0</v>
      </c>
      <c r="BI1207" s="166">
        <v>0</v>
      </c>
      <c r="BJ1207" s="166">
        <v>0</v>
      </c>
      <c r="BK1207" s="166">
        <v>0</v>
      </c>
      <c r="BL1207" s="166">
        <v>0</v>
      </c>
      <c r="BM1207" s="166">
        <v>0</v>
      </c>
      <c r="BN1207" s="166">
        <v>0</v>
      </c>
      <c r="BO1207" s="166">
        <v>0</v>
      </c>
      <c r="BP1207" s="166">
        <v>0</v>
      </c>
      <c r="BQ1207" s="81" t="s">
        <v>1758</v>
      </c>
      <c r="BZ1207" s="81" t="s">
        <v>155</v>
      </c>
      <c r="CA1207" s="81">
        <v>10</v>
      </c>
      <c r="CC1207" s="167">
        <v>0</v>
      </c>
      <c r="CD1207" s="167">
        <v>0</v>
      </c>
      <c r="CE1207" s="167">
        <v>0</v>
      </c>
      <c r="CF1207" s="167">
        <v>0</v>
      </c>
      <c r="CG1207" s="167">
        <v>0</v>
      </c>
      <c r="CH1207" s="167">
        <f>$N1207/3</f>
        <v>0.33333333333333331</v>
      </c>
      <c r="CI1207" s="167">
        <f>$N1207/3</f>
        <v>0.33333333333333331</v>
      </c>
      <c r="CJ1207" s="167">
        <f>$N1207/3</f>
        <v>0.33333333333333331</v>
      </c>
      <c r="CK1207" s="167">
        <v>0</v>
      </c>
      <c r="CL1207" s="167">
        <v>0</v>
      </c>
      <c r="CM1207" s="167">
        <v>0</v>
      </c>
      <c r="CN1207" s="167">
        <v>0</v>
      </c>
      <c r="CO1207" s="167">
        <v>0</v>
      </c>
      <c r="CP1207" s="167">
        <v>0</v>
      </c>
      <c r="CQ1207" s="167">
        <v>0</v>
      </c>
      <c r="CR1207" s="167">
        <v>0</v>
      </c>
      <c r="CS1207" s="167">
        <v>0</v>
      </c>
      <c r="CT1207" s="167">
        <v>0</v>
      </c>
      <c r="CU1207" s="167">
        <v>0</v>
      </c>
      <c r="CV1207" s="167">
        <v>0</v>
      </c>
      <c r="CW1207" s="167">
        <v>0</v>
      </c>
      <c r="CX1207" s="167">
        <f>SUM(CD1207:CH1207)</f>
        <v>0.33333333333333331</v>
      </c>
      <c r="CY1207" s="167">
        <f>SUM(CD1207:CM1207)</f>
        <v>1</v>
      </c>
    </row>
    <row r="1208" spans="1:103" ht="12.75" customHeight="1" x14ac:dyDescent="0.2">
      <c r="A1208" s="81">
        <v>3344</v>
      </c>
      <c r="B1208" s="165" t="s">
        <v>1955</v>
      </c>
      <c r="C1208" s="165" t="s">
        <v>2068</v>
      </c>
      <c r="E1208" s="165" t="s">
        <v>2069</v>
      </c>
      <c r="G1208" s="81">
        <v>527574</v>
      </c>
      <c r="H1208" s="81">
        <v>171313</v>
      </c>
      <c r="I1208" s="165" t="s">
        <v>253</v>
      </c>
      <c r="L1208" s="166">
        <v>1</v>
      </c>
      <c r="M1208" s="166">
        <v>4</v>
      </c>
      <c r="N1208" s="166">
        <v>3</v>
      </c>
      <c r="O1208" s="166">
        <v>4</v>
      </c>
      <c r="P1208" s="166">
        <v>3</v>
      </c>
      <c r="R1208" s="165" t="s">
        <v>2070</v>
      </c>
      <c r="S1208" s="81" t="s">
        <v>121</v>
      </c>
      <c r="T1208" s="349">
        <v>43186</v>
      </c>
      <c r="W1208" s="81" t="s">
        <v>114</v>
      </c>
      <c r="Y1208" s="81" t="s">
        <v>115</v>
      </c>
      <c r="Z1208" s="81" t="s">
        <v>398</v>
      </c>
      <c r="AA1208" s="81" t="s">
        <v>117</v>
      </c>
      <c r="AB1208" s="81" t="s">
        <v>220</v>
      </c>
      <c r="AC1208" s="166">
        <v>0</v>
      </c>
      <c r="AG1208" s="81" t="s">
        <v>238</v>
      </c>
      <c r="AH1208" s="81" t="s">
        <v>118</v>
      </c>
      <c r="AK1208" s="166">
        <v>0</v>
      </c>
      <c r="AM1208" s="166">
        <v>0</v>
      </c>
      <c r="AO1208" s="166">
        <v>0</v>
      </c>
      <c r="AP1208" s="166">
        <v>4</v>
      </c>
      <c r="AQ1208" s="166">
        <v>0</v>
      </c>
      <c r="AR1208" s="166">
        <v>0</v>
      </c>
      <c r="AS1208" s="166">
        <v>-1</v>
      </c>
      <c r="AT1208" s="166">
        <v>0</v>
      </c>
      <c r="AU1208" s="166">
        <v>0</v>
      </c>
      <c r="AV1208" s="166">
        <v>0</v>
      </c>
      <c r="AW1208" s="166">
        <v>4</v>
      </c>
      <c r="AX1208" s="166">
        <v>0</v>
      </c>
      <c r="AY1208" s="166">
        <v>0</v>
      </c>
      <c r="AZ1208" s="166">
        <v>-1</v>
      </c>
      <c r="BA1208" s="166">
        <v>0</v>
      </c>
      <c r="BB1208" s="166">
        <v>0</v>
      </c>
      <c r="BC1208" s="166">
        <v>0</v>
      </c>
      <c r="BD1208" s="166">
        <v>0</v>
      </c>
      <c r="BE1208" s="166">
        <v>0</v>
      </c>
      <c r="BF1208" s="166">
        <v>0</v>
      </c>
      <c r="BG1208" s="166">
        <v>0</v>
      </c>
      <c r="BH1208" s="166">
        <v>0</v>
      </c>
      <c r="BI1208" s="166">
        <v>0</v>
      </c>
      <c r="BJ1208" s="166">
        <v>0</v>
      </c>
      <c r="BK1208" s="166">
        <v>0</v>
      </c>
      <c r="BL1208" s="166">
        <v>0</v>
      </c>
      <c r="BM1208" s="166">
        <v>0</v>
      </c>
      <c r="BN1208" s="166">
        <v>0</v>
      </c>
      <c r="BO1208" s="166">
        <v>0</v>
      </c>
      <c r="BP1208" s="166">
        <v>0</v>
      </c>
      <c r="BQ1208" s="81" t="s">
        <v>1757</v>
      </c>
      <c r="BR1208" s="81" t="s">
        <v>242</v>
      </c>
      <c r="BZ1208" s="81" t="s">
        <v>155</v>
      </c>
      <c r="CA1208" s="81">
        <v>10</v>
      </c>
      <c r="CC1208" s="167">
        <v>0</v>
      </c>
      <c r="CD1208" s="167">
        <v>0</v>
      </c>
      <c r="CE1208" s="167">
        <v>0</v>
      </c>
      <c r="CF1208" s="167">
        <v>0</v>
      </c>
      <c r="CG1208" s="167">
        <v>0</v>
      </c>
      <c r="CH1208" s="167">
        <f>$N1208/3</f>
        <v>1</v>
      </c>
      <c r="CI1208" s="167">
        <f>$N1208/3</f>
        <v>1</v>
      </c>
      <c r="CJ1208" s="167">
        <f>$N1208/3</f>
        <v>1</v>
      </c>
      <c r="CK1208" s="167">
        <v>0</v>
      </c>
      <c r="CL1208" s="167">
        <v>0</v>
      </c>
      <c r="CM1208" s="167">
        <v>0</v>
      </c>
      <c r="CN1208" s="167">
        <v>0</v>
      </c>
      <c r="CO1208" s="167">
        <v>0</v>
      </c>
      <c r="CP1208" s="167">
        <v>0</v>
      </c>
      <c r="CQ1208" s="167">
        <v>0</v>
      </c>
      <c r="CR1208" s="167">
        <v>0</v>
      </c>
      <c r="CS1208" s="167">
        <v>0</v>
      </c>
      <c r="CT1208" s="167">
        <v>0</v>
      </c>
      <c r="CU1208" s="167">
        <v>0</v>
      </c>
      <c r="CV1208" s="167">
        <v>0</v>
      </c>
      <c r="CW1208" s="167">
        <v>0</v>
      </c>
      <c r="CX1208" s="167">
        <f>SUM(CD1208:CH1208)</f>
        <v>1</v>
      </c>
      <c r="CY1208" s="167">
        <f>SUM(CD1208:CM1208)</f>
        <v>3</v>
      </c>
    </row>
    <row r="1209" spans="1:103" ht="12.75" customHeight="1" x14ac:dyDescent="0.2">
      <c r="A1209" s="81">
        <v>3568</v>
      </c>
      <c r="B1209" s="165" t="s">
        <v>1955</v>
      </c>
      <c r="C1209" s="165" t="s">
        <v>2071</v>
      </c>
      <c r="E1209" s="165" t="s">
        <v>2072</v>
      </c>
      <c r="G1209" s="81">
        <v>521152</v>
      </c>
      <c r="H1209" s="81">
        <v>174359</v>
      </c>
      <c r="I1209" s="165" t="s">
        <v>877</v>
      </c>
      <c r="L1209" s="166">
        <v>0</v>
      </c>
      <c r="M1209" s="166">
        <v>1</v>
      </c>
      <c r="N1209" s="166">
        <v>1</v>
      </c>
      <c r="O1209" s="166">
        <v>1</v>
      </c>
      <c r="P1209" s="166">
        <v>1</v>
      </c>
      <c r="R1209" s="165" t="s">
        <v>2073</v>
      </c>
      <c r="S1209" s="81" t="s">
        <v>121</v>
      </c>
      <c r="T1209" s="349">
        <v>43153</v>
      </c>
      <c r="W1209" s="81" t="s">
        <v>114</v>
      </c>
      <c r="Y1209" s="81" t="s">
        <v>115</v>
      </c>
      <c r="Z1209" s="81" t="s">
        <v>116</v>
      </c>
      <c r="AA1209" s="81" t="s">
        <v>117</v>
      </c>
      <c r="AB1209" s="81" t="s">
        <v>218</v>
      </c>
      <c r="AC1209" s="166">
        <v>6.3000001013279003E-2</v>
      </c>
      <c r="AG1209" s="81" t="s">
        <v>238</v>
      </c>
      <c r="AH1209" s="81" t="s">
        <v>118</v>
      </c>
      <c r="AK1209" s="166">
        <v>0</v>
      </c>
      <c r="AL1209" s="166">
        <v>1</v>
      </c>
      <c r="AM1209" s="166">
        <v>0</v>
      </c>
      <c r="AO1209" s="166">
        <v>0</v>
      </c>
      <c r="AP1209" s="166">
        <v>0</v>
      </c>
      <c r="AQ1209" s="166">
        <v>0</v>
      </c>
      <c r="AR1209" s="166">
        <v>0</v>
      </c>
      <c r="AS1209" s="166">
        <v>0</v>
      </c>
      <c r="AT1209" s="166">
        <v>1</v>
      </c>
      <c r="AU1209" s="166">
        <v>0</v>
      </c>
      <c r="AV1209" s="166">
        <v>0</v>
      </c>
      <c r="AW1209" s="166">
        <v>0</v>
      </c>
      <c r="AX1209" s="166">
        <v>0</v>
      </c>
      <c r="AY1209" s="166">
        <v>0</v>
      </c>
      <c r="AZ1209" s="166">
        <v>0</v>
      </c>
      <c r="BA1209" s="166">
        <v>0</v>
      </c>
      <c r="BB1209" s="166">
        <v>0</v>
      </c>
      <c r="BC1209" s="166">
        <v>0</v>
      </c>
      <c r="BD1209" s="166">
        <v>0</v>
      </c>
      <c r="BE1209" s="166">
        <v>0</v>
      </c>
      <c r="BF1209" s="166">
        <v>0</v>
      </c>
      <c r="BG1209" s="166">
        <v>0</v>
      </c>
      <c r="BH1209" s="166">
        <v>1</v>
      </c>
      <c r="BI1209" s="166">
        <v>0</v>
      </c>
      <c r="BJ1209" s="166">
        <v>0</v>
      </c>
      <c r="BK1209" s="166">
        <v>0</v>
      </c>
      <c r="BL1209" s="166">
        <v>0</v>
      </c>
      <c r="BM1209" s="166">
        <v>0</v>
      </c>
      <c r="BN1209" s="166">
        <v>0</v>
      </c>
      <c r="BO1209" s="166">
        <v>0</v>
      </c>
      <c r="BP1209" s="166">
        <v>0</v>
      </c>
      <c r="BQ1209" s="81" t="s">
        <v>1758</v>
      </c>
      <c r="BZ1209" s="81" t="s">
        <v>3991</v>
      </c>
      <c r="CA1209" s="81">
        <v>15</v>
      </c>
      <c r="CB1209" s="165" t="s">
        <v>3997</v>
      </c>
      <c r="CC1209" s="167">
        <v>0</v>
      </c>
      <c r="CD1209" s="167">
        <v>0</v>
      </c>
      <c r="CE1209" s="167">
        <v>0</v>
      </c>
      <c r="CF1209" s="167">
        <v>0</v>
      </c>
      <c r="CG1209" s="167">
        <v>0</v>
      </c>
      <c r="CH1209" s="167">
        <v>0</v>
      </c>
      <c r="CI1209" s="167">
        <v>0</v>
      </c>
      <c r="CJ1209" s="167">
        <v>0</v>
      </c>
      <c r="CK1209" s="167">
        <v>0</v>
      </c>
      <c r="CL1209" s="167">
        <v>0</v>
      </c>
      <c r="CM1209" s="167">
        <v>0</v>
      </c>
      <c r="CN1209" s="167">
        <v>0</v>
      </c>
      <c r="CO1209" s="167">
        <v>0</v>
      </c>
      <c r="CP1209" s="167">
        <v>0</v>
      </c>
      <c r="CQ1209" s="167">
        <v>0</v>
      </c>
      <c r="CR1209" s="167">
        <v>0</v>
      </c>
      <c r="CS1209" s="167">
        <v>0</v>
      </c>
      <c r="CT1209" s="167">
        <v>0</v>
      </c>
      <c r="CU1209" s="167">
        <v>0</v>
      </c>
      <c r="CV1209" s="167">
        <v>0</v>
      </c>
      <c r="CW1209" s="167">
        <v>0</v>
      </c>
      <c r="CX1209" s="167">
        <f>SUM(CD1209:CH1209)</f>
        <v>0</v>
      </c>
      <c r="CY1209" s="167">
        <f>SUM(CD1209:CM1209)</f>
        <v>0</v>
      </c>
    </row>
    <row r="1210" spans="1:103" ht="12.75" customHeight="1" x14ac:dyDescent="0.2">
      <c r="A1210" s="81">
        <v>3588</v>
      </c>
      <c r="B1210" s="165" t="s">
        <v>1955</v>
      </c>
      <c r="C1210" s="165" t="s">
        <v>2074</v>
      </c>
      <c r="E1210" s="165" t="s">
        <v>2075</v>
      </c>
      <c r="G1210" s="81">
        <v>528283</v>
      </c>
      <c r="H1210" s="81">
        <v>175682</v>
      </c>
      <c r="I1210" s="165" t="s">
        <v>256</v>
      </c>
      <c r="L1210" s="166">
        <v>1</v>
      </c>
      <c r="M1210" s="166">
        <v>9</v>
      </c>
      <c r="N1210" s="166">
        <v>8</v>
      </c>
      <c r="O1210" s="166">
        <v>9</v>
      </c>
      <c r="P1210" s="166">
        <v>8</v>
      </c>
      <c r="R1210" s="165" t="s">
        <v>2076</v>
      </c>
      <c r="S1210" s="81" t="s">
        <v>121</v>
      </c>
      <c r="T1210" s="349">
        <v>43070</v>
      </c>
      <c r="W1210" s="81" t="s">
        <v>114</v>
      </c>
      <c r="Y1210" s="81" t="s">
        <v>115</v>
      </c>
      <c r="Z1210" s="81" t="s">
        <v>398</v>
      </c>
      <c r="AA1210" s="81" t="s">
        <v>117</v>
      </c>
      <c r="AB1210" s="81" t="s">
        <v>220</v>
      </c>
      <c r="AC1210" s="166">
        <v>1.4999999664723899E-2</v>
      </c>
      <c r="AG1210" s="81" t="s">
        <v>238</v>
      </c>
      <c r="AH1210" s="81" t="s">
        <v>118</v>
      </c>
      <c r="AK1210" s="166">
        <v>0</v>
      </c>
      <c r="AM1210" s="166">
        <v>0</v>
      </c>
      <c r="AO1210" s="166">
        <v>9</v>
      </c>
      <c r="AP1210" s="166">
        <v>0</v>
      </c>
      <c r="AQ1210" s="166">
        <v>0</v>
      </c>
      <c r="AR1210" s="166">
        <v>0</v>
      </c>
      <c r="AS1210" s="166">
        <v>-1</v>
      </c>
      <c r="AT1210" s="166">
        <v>0</v>
      </c>
      <c r="AU1210" s="166">
        <v>0</v>
      </c>
      <c r="AV1210" s="166">
        <v>9</v>
      </c>
      <c r="AW1210" s="166">
        <v>0</v>
      </c>
      <c r="AX1210" s="166">
        <v>0</v>
      </c>
      <c r="AY1210" s="166">
        <v>0</v>
      </c>
      <c r="AZ1210" s="166">
        <v>-1</v>
      </c>
      <c r="BA1210" s="166">
        <v>0</v>
      </c>
      <c r="BB1210" s="166">
        <v>0</v>
      </c>
      <c r="BC1210" s="166">
        <v>0</v>
      </c>
      <c r="BD1210" s="166">
        <v>0</v>
      </c>
      <c r="BE1210" s="166">
        <v>0</v>
      </c>
      <c r="BF1210" s="166">
        <v>0</v>
      </c>
      <c r="BG1210" s="166">
        <v>0</v>
      </c>
      <c r="BH1210" s="166">
        <v>0</v>
      </c>
      <c r="BI1210" s="166">
        <v>0</v>
      </c>
      <c r="BJ1210" s="166">
        <v>0</v>
      </c>
      <c r="BK1210" s="166">
        <v>0</v>
      </c>
      <c r="BL1210" s="166">
        <v>0</v>
      </c>
      <c r="BM1210" s="166">
        <v>0</v>
      </c>
      <c r="BN1210" s="166">
        <v>0</v>
      </c>
      <c r="BO1210" s="166">
        <v>0</v>
      </c>
      <c r="BP1210" s="166">
        <v>0</v>
      </c>
      <c r="BQ1210" s="81" t="s">
        <v>1757</v>
      </c>
      <c r="BZ1210" s="81" t="s">
        <v>155</v>
      </c>
      <c r="CA1210" s="81">
        <v>10</v>
      </c>
      <c r="CC1210" s="167">
        <v>0</v>
      </c>
      <c r="CD1210" s="167">
        <v>0</v>
      </c>
      <c r="CE1210" s="167">
        <v>0</v>
      </c>
      <c r="CF1210" s="167">
        <v>0</v>
      </c>
      <c r="CG1210" s="167">
        <v>0</v>
      </c>
      <c r="CH1210" s="167">
        <f>$N1210/3</f>
        <v>2.6666666666666665</v>
      </c>
      <c r="CI1210" s="167">
        <f>$N1210/3</f>
        <v>2.6666666666666665</v>
      </c>
      <c r="CJ1210" s="167">
        <f>$N1210/3</f>
        <v>2.6666666666666665</v>
      </c>
      <c r="CK1210" s="167">
        <v>0</v>
      </c>
      <c r="CL1210" s="167">
        <v>0</v>
      </c>
      <c r="CM1210" s="167">
        <v>0</v>
      </c>
      <c r="CN1210" s="167">
        <v>0</v>
      </c>
      <c r="CO1210" s="167">
        <v>0</v>
      </c>
      <c r="CP1210" s="167">
        <v>0</v>
      </c>
      <c r="CQ1210" s="167">
        <v>0</v>
      </c>
      <c r="CR1210" s="167">
        <v>0</v>
      </c>
      <c r="CS1210" s="167">
        <v>0</v>
      </c>
      <c r="CT1210" s="167">
        <v>0</v>
      </c>
      <c r="CU1210" s="167">
        <v>0</v>
      </c>
      <c r="CV1210" s="167">
        <v>0</v>
      </c>
      <c r="CW1210" s="167">
        <v>0</v>
      </c>
      <c r="CX1210" s="167">
        <f>SUM(CD1210:CH1210)</f>
        <v>2.6666666666666665</v>
      </c>
      <c r="CY1210" s="167">
        <f>SUM(CD1210:CM1210)</f>
        <v>8</v>
      </c>
    </row>
    <row r="1211" spans="1:103" ht="12.75" customHeight="1" x14ac:dyDescent="0.2">
      <c r="A1211" s="81">
        <v>3745</v>
      </c>
      <c r="B1211" s="165" t="s">
        <v>1955</v>
      </c>
      <c r="C1211" s="165" t="s">
        <v>3002</v>
      </c>
      <c r="D1211" s="165" t="s">
        <v>439</v>
      </c>
      <c r="E1211" s="165" t="s">
        <v>3003</v>
      </c>
      <c r="F1211" s="165" t="s">
        <v>2468</v>
      </c>
      <c r="G1211" s="81">
        <v>529291</v>
      </c>
      <c r="H1211" s="81">
        <v>171210</v>
      </c>
      <c r="I1211" s="165" t="s">
        <v>252</v>
      </c>
      <c r="L1211" s="166">
        <v>0</v>
      </c>
      <c r="M1211" s="166">
        <v>6</v>
      </c>
      <c r="N1211" s="166">
        <v>6</v>
      </c>
      <c r="O1211" s="166">
        <v>22</v>
      </c>
      <c r="P1211" s="166">
        <v>22</v>
      </c>
      <c r="Q1211" s="81" t="s">
        <v>155</v>
      </c>
      <c r="R1211" s="165" t="s">
        <v>3004</v>
      </c>
      <c r="S1211" s="81" t="s">
        <v>121</v>
      </c>
      <c r="T1211" s="349">
        <v>43164</v>
      </c>
      <c r="W1211" s="81" t="s">
        <v>114</v>
      </c>
      <c r="Y1211" s="81" t="s">
        <v>115</v>
      </c>
      <c r="Z1211" s="81" t="s">
        <v>116</v>
      </c>
      <c r="AA1211" s="81" t="s">
        <v>116</v>
      </c>
      <c r="AB1211" s="81" t="s">
        <v>117</v>
      </c>
      <c r="AC1211" s="166">
        <v>4.80000004172325E-2</v>
      </c>
      <c r="AG1211" s="81" t="s">
        <v>238</v>
      </c>
      <c r="AH1211" s="81" t="s">
        <v>118</v>
      </c>
      <c r="AK1211" s="166">
        <v>0</v>
      </c>
      <c r="AM1211" s="166">
        <v>0</v>
      </c>
      <c r="AO1211" s="166">
        <v>0</v>
      </c>
      <c r="AP1211" s="166">
        <v>3</v>
      </c>
      <c r="AQ1211" s="166">
        <v>3</v>
      </c>
      <c r="AR1211" s="166">
        <v>0</v>
      </c>
      <c r="AS1211" s="166">
        <v>0</v>
      </c>
      <c r="AT1211" s="166">
        <v>0</v>
      </c>
      <c r="AU1211" s="166">
        <v>0</v>
      </c>
      <c r="AV1211" s="166">
        <v>0</v>
      </c>
      <c r="AW1211" s="166">
        <v>3</v>
      </c>
      <c r="AX1211" s="166">
        <v>3</v>
      </c>
      <c r="AY1211" s="166">
        <v>0</v>
      </c>
      <c r="AZ1211" s="166">
        <v>0</v>
      </c>
      <c r="BA1211" s="166">
        <v>0</v>
      </c>
      <c r="BB1211" s="166">
        <v>0</v>
      </c>
      <c r="BC1211" s="166">
        <v>0</v>
      </c>
      <c r="BD1211" s="166">
        <v>0</v>
      </c>
      <c r="BE1211" s="166">
        <v>0</v>
      </c>
      <c r="BF1211" s="166">
        <v>0</v>
      </c>
      <c r="BG1211" s="166">
        <v>0</v>
      </c>
      <c r="BH1211" s="166">
        <v>0</v>
      </c>
      <c r="BI1211" s="166">
        <v>0</v>
      </c>
      <c r="BJ1211" s="166">
        <v>0</v>
      </c>
      <c r="BK1211" s="166">
        <v>0</v>
      </c>
      <c r="BL1211" s="166">
        <v>0</v>
      </c>
      <c r="BM1211" s="166">
        <v>0</v>
      </c>
      <c r="BN1211" s="166">
        <v>0</v>
      </c>
      <c r="BO1211" s="166">
        <v>0</v>
      </c>
      <c r="BP1211" s="166">
        <v>0</v>
      </c>
      <c r="BQ1211" s="81" t="s">
        <v>1757</v>
      </c>
      <c r="BZ1211" s="81" t="s">
        <v>3991</v>
      </c>
      <c r="CA1211" s="81">
        <v>15</v>
      </c>
      <c r="CB1211" s="165" t="s">
        <v>3998</v>
      </c>
      <c r="CC1211" s="167">
        <v>0</v>
      </c>
      <c r="CD1211" s="167">
        <v>0</v>
      </c>
      <c r="CE1211" s="167">
        <v>0</v>
      </c>
      <c r="CF1211" s="167">
        <v>0</v>
      </c>
      <c r="CG1211" s="167">
        <v>0</v>
      </c>
      <c r="CH1211" s="167">
        <v>0</v>
      </c>
      <c r="CI1211" s="167">
        <v>0</v>
      </c>
      <c r="CJ1211" s="167">
        <v>0</v>
      </c>
      <c r="CK1211" s="167">
        <v>0</v>
      </c>
      <c r="CL1211" s="167">
        <v>0</v>
      </c>
      <c r="CM1211" s="167">
        <v>0</v>
      </c>
      <c r="CN1211" s="167">
        <v>0</v>
      </c>
      <c r="CO1211" s="167">
        <v>0</v>
      </c>
      <c r="CP1211" s="167">
        <v>0</v>
      </c>
      <c r="CQ1211" s="167">
        <v>0</v>
      </c>
      <c r="CR1211" s="167">
        <v>0</v>
      </c>
      <c r="CS1211" s="167">
        <v>0</v>
      </c>
      <c r="CT1211" s="167">
        <v>0</v>
      </c>
      <c r="CU1211" s="167">
        <v>0</v>
      </c>
      <c r="CV1211" s="167">
        <v>0</v>
      </c>
      <c r="CW1211" s="167">
        <v>0</v>
      </c>
      <c r="CX1211" s="167">
        <f>SUM(CD1211:CH1211)</f>
        <v>0</v>
      </c>
      <c r="CY1211" s="167">
        <f>SUM(CD1211:CM1211)</f>
        <v>0</v>
      </c>
    </row>
    <row r="1212" spans="1:103" ht="12.75" customHeight="1" x14ac:dyDescent="0.2">
      <c r="A1212" s="81">
        <v>3745</v>
      </c>
      <c r="B1212" s="165" t="s">
        <v>1955</v>
      </c>
      <c r="C1212" s="165" t="s">
        <v>3002</v>
      </c>
      <c r="D1212" s="165" t="s">
        <v>439</v>
      </c>
      <c r="E1212" s="165" t="s">
        <v>3003</v>
      </c>
      <c r="F1212" s="165" t="s">
        <v>2470</v>
      </c>
      <c r="G1212" s="81">
        <v>529291</v>
      </c>
      <c r="H1212" s="81">
        <v>171210</v>
      </c>
      <c r="I1212" s="165" t="s">
        <v>252</v>
      </c>
      <c r="L1212" s="166">
        <v>0</v>
      </c>
      <c r="M1212" s="166">
        <v>6</v>
      </c>
      <c r="N1212" s="166">
        <v>6</v>
      </c>
      <c r="O1212" s="166">
        <v>22</v>
      </c>
      <c r="P1212" s="166">
        <v>22</v>
      </c>
      <c r="Q1212" s="81" t="s">
        <v>155</v>
      </c>
      <c r="R1212" s="165" t="s">
        <v>3004</v>
      </c>
      <c r="S1212" s="81" t="s">
        <v>121</v>
      </c>
      <c r="T1212" s="349">
        <v>43164</v>
      </c>
      <c r="W1212" s="81" t="s">
        <v>114</v>
      </c>
      <c r="Y1212" s="81" t="s">
        <v>115</v>
      </c>
      <c r="Z1212" s="81" t="s">
        <v>116</v>
      </c>
      <c r="AA1212" s="81" t="s">
        <v>116</v>
      </c>
      <c r="AB1212" s="81" t="s">
        <v>117</v>
      </c>
      <c r="AC1212" s="166">
        <v>7.1999996900558499E-2</v>
      </c>
      <c r="AG1212" s="81" t="s">
        <v>238</v>
      </c>
      <c r="AH1212" s="81" t="s">
        <v>118</v>
      </c>
      <c r="AK1212" s="166">
        <v>0</v>
      </c>
      <c r="AM1212" s="166">
        <v>0</v>
      </c>
      <c r="AO1212" s="166">
        <v>0</v>
      </c>
      <c r="AP1212" s="166">
        <v>0</v>
      </c>
      <c r="AQ1212" s="166">
        <v>0</v>
      </c>
      <c r="AR1212" s="166">
        <v>6</v>
      </c>
      <c r="AS1212" s="166">
        <v>0</v>
      </c>
      <c r="AT1212" s="166">
        <v>0</v>
      </c>
      <c r="AU1212" s="166">
        <v>0</v>
      </c>
      <c r="AV1212" s="166">
        <v>0</v>
      </c>
      <c r="AW1212" s="166">
        <v>0</v>
      </c>
      <c r="AX1212" s="166">
        <v>0</v>
      </c>
      <c r="AY1212" s="166">
        <v>0</v>
      </c>
      <c r="AZ1212" s="166">
        <v>0</v>
      </c>
      <c r="BA1212" s="166">
        <v>0</v>
      </c>
      <c r="BB1212" s="166">
        <v>0</v>
      </c>
      <c r="BC1212" s="166">
        <v>0</v>
      </c>
      <c r="BD1212" s="166">
        <v>0</v>
      </c>
      <c r="BE1212" s="166">
        <v>0</v>
      </c>
      <c r="BF1212" s="166">
        <v>6</v>
      </c>
      <c r="BG1212" s="166">
        <v>0</v>
      </c>
      <c r="BH1212" s="166">
        <v>0</v>
      </c>
      <c r="BI1212" s="166">
        <v>0</v>
      </c>
      <c r="BJ1212" s="166">
        <v>0</v>
      </c>
      <c r="BK1212" s="166">
        <v>0</v>
      </c>
      <c r="BL1212" s="166">
        <v>0</v>
      </c>
      <c r="BM1212" s="166">
        <v>0</v>
      </c>
      <c r="BN1212" s="166">
        <v>0</v>
      </c>
      <c r="BO1212" s="166">
        <v>0</v>
      </c>
      <c r="BP1212" s="166">
        <v>0</v>
      </c>
      <c r="BQ1212" s="81" t="s">
        <v>1757</v>
      </c>
      <c r="BZ1212" s="81" t="s">
        <v>3991</v>
      </c>
      <c r="CA1212" s="81">
        <v>15</v>
      </c>
      <c r="CB1212" s="165" t="s">
        <v>3998</v>
      </c>
      <c r="CC1212" s="167">
        <v>0</v>
      </c>
      <c r="CD1212" s="167">
        <v>0</v>
      </c>
      <c r="CE1212" s="167">
        <v>0</v>
      </c>
      <c r="CF1212" s="167">
        <v>0</v>
      </c>
      <c r="CG1212" s="167">
        <v>0</v>
      </c>
      <c r="CH1212" s="167">
        <v>0</v>
      </c>
      <c r="CI1212" s="167">
        <v>0</v>
      </c>
      <c r="CJ1212" s="167">
        <v>0</v>
      </c>
      <c r="CK1212" s="167">
        <v>0</v>
      </c>
      <c r="CL1212" s="167">
        <v>0</v>
      </c>
      <c r="CM1212" s="167">
        <v>0</v>
      </c>
      <c r="CN1212" s="167">
        <v>0</v>
      </c>
      <c r="CO1212" s="167">
        <v>0</v>
      </c>
      <c r="CP1212" s="167">
        <v>0</v>
      </c>
      <c r="CQ1212" s="167">
        <v>0</v>
      </c>
      <c r="CR1212" s="167">
        <v>0</v>
      </c>
      <c r="CS1212" s="167">
        <v>0</v>
      </c>
      <c r="CT1212" s="167">
        <v>0</v>
      </c>
      <c r="CU1212" s="167">
        <v>0</v>
      </c>
      <c r="CV1212" s="167">
        <v>0</v>
      </c>
      <c r="CW1212" s="167">
        <v>0</v>
      </c>
      <c r="CX1212" s="167">
        <f>SUM(CD1212:CH1212)</f>
        <v>0</v>
      </c>
      <c r="CY1212" s="167">
        <f>SUM(CD1212:CM1212)</f>
        <v>0</v>
      </c>
    </row>
    <row r="1213" spans="1:103" ht="12.75" customHeight="1" x14ac:dyDescent="0.2">
      <c r="A1213" s="81">
        <v>3745</v>
      </c>
      <c r="B1213" s="165" t="s">
        <v>1955</v>
      </c>
      <c r="C1213" s="165" t="s">
        <v>3002</v>
      </c>
      <c r="D1213" s="165" t="s">
        <v>439</v>
      </c>
      <c r="E1213" s="165" t="s">
        <v>3003</v>
      </c>
      <c r="F1213" s="165" t="s">
        <v>3001</v>
      </c>
      <c r="G1213" s="81">
        <v>529291</v>
      </c>
      <c r="H1213" s="81">
        <v>171210</v>
      </c>
      <c r="I1213" s="165" t="s">
        <v>252</v>
      </c>
      <c r="L1213" s="166">
        <v>0</v>
      </c>
      <c r="M1213" s="166">
        <v>10</v>
      </c>
      <c r="N1213" s="166">
        <v>10</v>
      </c>
      <c r="O1213" s="166">
        <v>22</v>
      </c>
      <c r="P1213" s="166">
        <v>22</v>
      </c>
      <c r="Q1213" s="81" t="s">
        <v>155</v>
      </c>
      <c r="R1213" s="165" t="s">
        <v>3004</v>
      </c>
      <c r="S1213" s="81" t="s">
        <v>121</v>
      </c>
      <c r="T1213" s="349">
        <v>43164</v>
      </c>
      <c r="W1213" s="81" t="s">
        <v>114</v>
      </c>
      <c r="Y1213" s="81" t="s">
        <v>115</v>
      </c>
      <c r="Z1213" s="81" t="s">
        <v>116</v>
      </c>
      <c r="AA1213" s="81" t="s">
        <v>116</v>
      </c>
      <c r="AB1213" s="81" t="s">
        <v>117</v>
      </c>
      <c r="AC1213" s="166">
        <v>7.8000001609325395E-2</v>
      </c>
      <c r="AG1213" s="81" t="s">
        <v>238</v>
      </c>
      <c r="AH1213" s="81" t="s">
        <v>118</v>
      </c>
      <c r="AK1213" s="166">
        <v>0</v>
      </c>
      <c r="AM1213" s="166">
        <v>0</v>
      </c>
      <c r="AO1213" s="166">
        <v>0</v>
      </c>
      <c r="AP1213" s="166">
        <v>4</v>
      </c>
      <c r="AQ1213" s="166">
        <v>6</v>
      </c>
      <c r="AR1213" s="166">
        <v>0</v>
      </c>
      <c r="AS1213" s="166">
        <v>0</v>
      </c>
      <c r="AT1213" s="166">
        <v>0</v>
      </c>
      <c r="AU1213" s="166">
        <v>0</v>
      </c>
      <c r="AV1213" s="166">
        <v>0</v>
      </c>
      <c r="AW1213" s="166">
        <v>4</v>
      </c>
      <c r="AX1213" s="166">
        <v>6</v>
      </c>
      <c r="AY1213" s="166">
        <v>0</v>
      </c>
      <c r="AZ1213" s="166">
        <v>0</v>
      </c>
      <c r="BA1213" s="166">
        <v>0</v>
      </c>
      <c r="BB1213" s="166">
        <v>0</v>
      </c>
      <c r="BC1213" s="166">
        <v>0</v>
      </c>
      <c r="BD1213" s="166">
        <v>0</v>
      </c>
      <c r="BE1213" s="166">
        <v>0</v>
      </c>
      <c r="BF1213" s="166">
        <v>0</v>
      </c>
      <c r="BG1213" s="166">
        <v>0</v>
      </c>
      <c r="BH1213" s="166">
        <v>0</v>
      </c>
      <c r="BI1213" s="166">
        <v>0</v>
      </c>
      <c r="BJ1213" s="166">
        <v>0</v>
      </c>
      <c r="BK1213" s="166">
        <v>0</v>
      </c>
      <c r="BL1213" s="166">
        <v>0</v>
      </c>
      <c r="BM1213" s="166">
        <v>0</v>
      </c>
      <c r="BN1213" s="166">
        <v>0</v>
      </c>
      <c r="BO1213" s="166">
        <v>0</v>
      </c>
      <c r="BP1213" s="166">
        <v>0</v>
      </c>
      <c r="BQ1213" s="81" t="s">
        <v>1757</v>
      </c>
      <c r="BZ1213" s="81" t="s">
        <v>3991</v>
      </c>
      <c r="CA1213" s="81">
        <v>15</v>
      </c>
      <c r="CB1213" s="165" t="s">
        <v>3998</v>
      </c>
      <c r="CC1213" s="167">
        <v>0</v>
      </c>
      <c r="CD1213" s="167">
        <v>0</v>
      </c>
      <c r="CE1213" s="167">
        <v>0</v>
      </c>
      <c r="CF1213" s="167">
        <v>0</v>
      </c>
      <c r="CG1213" s="167">
        <v>0</v>
      </c>
      <c r="CH1213" s="167">
        <v>0</v>
      </c>
      <c r="CI1213" s="167">
        <v>0</v>
      </c>
      <c r="CJ1213" s="167">
        <v>0</v>
      </c>
      <c r="CK1213" s="167">
        <v>0</v>
      </c>
      <c r="CL1213" s="167">
        <v>0</v>
      </c>
      <c r="CM1213" s="167">
        <v>0</v>
      </c>
      <c r="CN1213" s="167">
        <v>0</v>
      </c>
      <c r="CO1213" s="167">
        <v>0</v>
      </c>
      <c r="CP1213" s="167">
        <v>0</v>
      </c>
      <c r="CQ1213" s="167">
        <v>0</v>
      </c>
      <c r="CR1213" s="167">
        <v>0</v>
      </c>
      <c r="CS1213" s="167">
        <v>0</v>
      </c>
      <c r="CT1213" s="167">
        <v>0</v>
      </c>
      <c r="CU1213" s="167">
        <v>0</v>
      </c>
      <c r="CV1213" s="167">
        <v>0</v>
      </c>
      <c r="CW1213" s="167">
        <v>0</v>
      </c>
      <c r="CX1213" s="167">
        <f>SUM(CD1213:CH1213)</f>
        <v>0</v>
      </c>
      <c r="CY1213" s="167">
        <f>SUM(CD1213:CM1213)</f>
        <v>0</v>
      </c>
    </row>
    <row r="1214" spans="1:103" ht="12.75" customHeight="1" x14ac:dyDescent="0.2">
      <c r="A1214" s="81">
        <v>3837</v>
      </c>
      <c r="B1214" s="165" t="s">
        <v>1955</v>
      </c>
      <c r="C1214" s="165" t="s">
        <v>2077</v>
      </c>
      <c r="E1214" s="165" t="s">
        <v>2078</v>
      </c>
      <c r="G1214" s="81">
        <v>525943</v>
      </c>
      <c r="H1214" s="81">
        <v>173455</v>
      </c>
      <c r="I1214" s="165" t="s">
        <v>249</v>
      </c>
      <c r="L1214" s="166">
        <v>1</v>
      </c>
      <c r="M1214" s="166">
        <v>1</v>
      </c>
      <c r="N1214" s="166">
        <v>0</v>
      </c>
      <c r="O1214" s="166">
        <v>1</v>
      </c>
      <c r="P1214" s="166">
        <v>0</v>
      </c>
      <c r="R1214" s="165" t="s">
        <v>2079</v>
      </c>
      <c r="S1214" s="81" t="s">
        <v>121</v>
      </c>
      <c r="T1214" s="349">
        <v>43116</v>
      </c>
      <c r="W1214" s="81" t="s">
        <v>114</v>
      </c>
      <c r="Y1214" s="81" t="s">
        <v>115</v>
      </c>
      <c r="Z1214" s="81" t="s">
        <v>398</v>
      </c>
      <c r="AA1214" s="81" t="s">
        <v>117</v>
      </c>
      <c r="AB1214" s="81" t="s">
        <v>220</v>
      </c>
      <c r="AC1214" s="166">
        <v>4.9999998882412902E-3</v>
      </c>
      <c r="AG1214" s="81" t="s">
        <v>238</v>
      </c>
      <c r="AH1214" s="81" t="s">
        <v>118</v>
      </c>
      <c r="AK1214" s="166">
        <v>0</v>
      </c>
      <c r="AM1214" s="166">
        <v>0</v>
      </c>
      <c r="AO1214" s="166">
        <v>0</v>
      </c>
      <c r="AP1214" s="166">
        <v>1</v>
      </c>
      <c r="AQ1214" s="166">
        <v>0</v>
      </c>
      <c r="AR1214" s="166">
        <v>-1</v>
      </c>
      <c r="AS1214" s="166">
        <v>0</v>
      </c>
      <c r="AT1214" s="166">
        <v>0</v>
      </c>
      <c r="AU1214" s="166">
        <v>0</v>
      </c>
      <c r="AV1214" s="166">
        <v>0</v>
      </c>
      <c r="AW1214" s="166">
        <v>1</v>
      </c>
      <c r="AX1214" s="166">
        <v>0</v>
      </c>
      <c r="AY1214" s="166">
        <v>-1</v>
      </c>
      <c r="AZ1214" s="166">
        <v>0</v>
      </c>
      <c r="BA1214" s="166">
        <v>0</v>
      </c>
      <c r="BB1214" s="166">
        <v>0</v>
      </c>
      <c r="BC1214" s="166">
        <v>0</v>
      </c>
      <c r="BD1214" s="166">
        <v>0</v>
      </c>
      <c r="BE1214" s="166">
        <v>0</v>
      </c>
      <c r="BF1214" s="166">
        <v>0</v>
      </c>
      <c r="BG1214" s="166">
        <v>0</v>
      </c>
      <c r="BH1214" s="166">
        <v>0</v>
      </c>
      <c r="BI1214" s="166">
        <v>0</v>
      </c>
      <c r="BJ1214" s="166">
        <v>0</v>
      </c>
      <c r="BK1214" s="166">
        <v>0</v>
      </c>
      <c r="BL1214" s="166">
        <v>0</v>
      </c>
      <c r="BM1214" s="166">
        <v>0</v>
      </c>
      <c r="BN1214" s="166">
        <v>0</v>
      </c>
      <c r="BO1214" s="166">
        <v>0</v>
      </c>
      <c r="BP1214" s="166">
        <v>0</v>
      </c>
      <c r="BQ1214" s="81" t="s">
        <v>1758</v>
      </c>
      <c r="BZ1214" s="81" t="s">
        <v>155</v>
      </c>
      <c r="CA1214" s="81">
        <v>10</v>
      </c>
      <c r="CC1214" s="167">
        <v>0</v>
      </c>
      <c r="CD1214" s="167">
        <v>0</v>
      </c>
      <c r="CE1214" s="167">
        <v>0</v>
      </c>
      <c r="CF1214" s="167">
        <v>0</v>
      </c>
      <c r="CG1214" s="167">
        <v>0</v>
      </c>
      <c r="CH1214" s="167">
        <f>$N1214/3</f>
        <v>0</v>
      </c>
      <c r="CI1214" s="167">
        <f>$N1214/3</f>
        <v>0</v>
      </c>
      <c r="CJ1214" s="167">
        <f>$N1214/3</f>
        <v>0</v>
      </c>
      <c r="CK1214" s="167">
        <v>0</v>
      </c>
      <c r="CL1214" s="167">
        <v>0</v>
      </c>
      <c r="CM1214" s="167">
        <v>0</v>
      </c>
      <c r="CN1214" s="167">
        <v>0</v>
      </c>
      <c r="CO1214" s="167">
        <v>0</v>
      </c>
      <c r="CP1214" s="167">
        <v>0</v>
      </c>
      <c r="CQ1214" s="167">
        <v>0</v>
      </c>
      <c r="CR1214" s="167">
        <v>0</v>
      </c>
      <c r="CS1214" s="167">
        <v>0</v>
      </c>
      <c r="CT1214" s="167">
        <v>0</v>
      </c>
      <c r="CU1214" s="167">
        <v>0</v>
      </c>
      <c r="CV1214" s="167">
        <v>0</v>
      </c>
      <c r="CW1214" s="167">
        <v>0</v>
      </c>
      <c r="CX1214" s="167">
        <f>SUM(CD1214:CH1214)</f>
        <v>0</v>
      </c>
      <c r="CY1214" s="167">
        <f>SUM(CD1214:CM1214)</f>
        <v>0</v>
      </c>
    </row>
    <row r="1215" spans="1:103" ht="12.75" customHeight="1" x14ac:dyDescent="0.2">
      <c r="A1215" s="81">
        <v>3961</v>
      </c>
      <c r="B1215" s="165" t="s">
        <v>1955</v>
      </c>
      <c r="C1215" s="165" t="s">
        <v>3021</v>
      </c>
      <c r="E1215" s="165" t="s">
        <v>3022</v>
      </c>
      <c r="G1215" s="81">
        <v>527645</v>
      </c>
      <c r="H1215" s="81">
        <v>171873</v>
      </c>
      <c r="I1215" s="165" t="s">
        <v>242</v>
      </c>
      <c r="L1215" s="166">
        <v>0</v>
      </c>
      <c r="M1215" s="166">
        <v>31</v>
      </c>
      <c r="N1215" s="166">
        <v>31</v>
      </c>
      <c r="O1215" s="166">
        <v>47</v>
      </c>
      <c r="P1215" s="166">
        <v>47</v>
      </c>
      <c r="Q1215" s="81" t="s">
        <v>155</v>
      </c>
      <c r="R1215" s="165" t="s">
        <v>3023</v>
      </c>
      <c r="S1215" s="81" t="s">
        <v>121</v>
      </c>
      <c r="T1215" s="349">
        <v>42971</v>
      </c>
      <c r="W1215" s="81" t="s">
        <v>114</v>
      </c>
      <c r="Y1215" s="81" t="s">
        <v>115</v>
      </c>
      <c r="Z1215" s="81" t="s">
        <v>116</v>
      </c>
      <c r="AA1215" s="81" t="s">
        <v>116</v>
      </c>
      <c r="AB1215" s="81" t="s">
        <v>117</v>
      </c>
      <c r="AC1215" s="166">
        <v>0.31999999284744302</v>
      </c>
      <c r="AG1215" s="81" t="s">
        <v>238</v>
      </c>
      <c r="AH1215" s="81" t="s">
        <v>118</v>
      </c>
      <c r="AI1215" s="81" t="s">
        <v>3024</v>
      </c>
      <c r="AK1215" s="166">
        <v>0</v>
      </c>
      <c r="AM1215" s="166">
        <v>0</v>
      </c>
      <c r="AO1215" s="166">
        <v>0</v>
      </c>
      <c r="AP1215" s="166">
        <v>17</v>
      </c>
      <c r="AQ1215" s="166">
        <v>13</v>
      </c>
      <c r="AR1215" s="166">
        <v>1</v>
      </c>
      <c r="AS1215" s="166">
        <v>0</v>
      </c>
      <c r="AT1215" s="166">
        <v>0</v>
      </c>
      <c r="AU1215" s="166">
        <v>0</v>
      </c>
      <c r="AV1215" s="166">
        <v>0</v>
      </c>
      <c r="AW1215" s="166">
        <v>17</v>
      </c>
      <c r="AX1215" s="166">
        <v>13</v>
      </c>
      <c r="AY1215" s="166">
        <v>1</v>
      </c>
      <c r="AZ1215" s="166">
        <v>0</v>
      </c>
      <c r="BA1215" s="166">
        <v>0</v>
      </c>
      <c r="BB1215" s="166">
        <v>0</v>
      </c>
      <c r="BC1215" s="166">
        <v>0</v>
      </c>
      <c r="BD1215" s="166">
        <v>0</v>
      </c>
      <c r="BE1215" s="166">
        <v>0</v>
      </c>
      <c r="BF1215" s="166">
        <v>0</v>
      </c>
      <c r="BG1215" s="166">
        <v>0</v>
      </c>
      <c r="BH1215" s="166">
        <v>0</v>
      </c>
      <c r="BI1215" s="166">
        <v>0</v>
      </c>
      <c r="BJ1215" s="166">
        <v>0</v>
      </c>
      <c r="BK1215" s="166">
        <v>0</v>
      </c>
      <c r="BL1215" s="166">
        <v>0</v>
      </c>
      <c r="BM1215" s="166">
        <v>0</v>
      </c>
      <c r="BN1215" s="166">
        <v>0</v>
      </c>
      <c r="BO1215" s="166">
        <v>0</v>
      </c>
      <c r="BP1215" s="166">
        <v>0</v>
      </c>
      <c r="BQ1215" s="81" t="s">
        <v>1757</v>
      </c>
      <c r="BR1215" s="81" t="s">
        <v>242</v>
      </c>
      <c r="BZ1215" s="81" t="s">
        <v>155</v>
      </c>
      <c r="CA1215" s="81">
        <v>6</v>
      </c>
      <c r="CC1215" s="167">
        <v>0</v>
      </c>
      <c r="CD1215" s="167">
        <v>0</v>
      </c>
      <c r="CE1215" s="167">
        <v>0</v>
      </c>
      <c r="CF1215" s="167">
        <v>0</v>
      </c>
      <c r="CG1215" s="167">
        <v>0</v>
      </c>
      <c r="CH1215" s="167">
        <f>$N1215/3</f>
        <v>10.333333333333334</v>
      </c>
      <c r="CI1215" s="167">
        <f>$N1215/3</f>
        <v>10.333333333333334</v>
      </c>
      <c r="CJ1215" s="167">
        <f>$N1215/3</f>
        <v>10.333333333333334</v>
      </c>
      <c r="CK1215" s="167">
        <v>0</v>
      </c>
      <c r="CL1215" s="167">
        <v>0</v>
      </c>
      <c r="CM1215" s="167">
        <v>0</v>
      </c>
      <c r="CN1215" s="167">
        <v>0</v>
      </c>
      <c r="CO1215" s="167">
        <v>0</v>
      </c>
      <c r="CP1215" s="167">
        <v>0</v>
      </c>
      <c r="CQ1215" s="167">
        <v>0</v>
      </c>
      <c r="CR1215" s="167">
        <v>0</v>
      </c>
      <c r="CS1215" s="167">
        <v>0</v>
      </c>
      <c r="CT1215" s="167">
        <v>0</v>
      </c>
      <c r="CU1215" s="167">
        <v>0</v>
      </c>
      <c r="CV1215" s="167">
        <v>0</v>
      </c>
      <c r="CW1215" s="167">
        <v>0</v>
      </c>
      <c r="CX1215" s="167">
        <f>SUM(CD1215:CH1215)</f>
        <v>10.333333333333334</v>
      </c>
      <c r="CY1215" s="167">
        <f>SUM(CD1215:CM1215)</f>
        <v>31</v>
      </c>
    </row>
    <row r="1216" spans="1:103" ht="12.75" customHeight="1" x14ac:dyDescent="0.2">
      <c r="A1216" s="81">
        <v>3961</v>
      </c>
      <c r="B1216" s="165" t="s">
        <v>1955</v>
      </c>
      <c r="C1216" s="165" t="s">
        <v>3021</v>
      </c>
      <c r="E1216" s="165" t="s">
        <v>3022</v>
      </c>
      <c r="G1216" s="81">
        <v>527645</v>
      </c>
      <c r="H1216" s="81">
        <v>171873</v>
      </c>
      <c r="I1216" s="165" t="s">
        <v>242</v>
      </c>
      <c r="L1216" s="166">
        <v>0</v>
      </c>
      <c r="M1216" s="166">
        <v>9</v>
      </c>
      <c r="N1216" s="166">
        <v>9</v>
      </c>
      <c r="O1216" s="166">
        <v>47</v>
      </c>
      <c r="P1216" s="166">
        <v>47</v>
      </c>
      <c r="Q1216" s="81" t="s">
        <v>155</v>
      </c>
      <c r="R1216" s="165" t="s">
        <v>3023</v>
      </c>
      <c r="S1216" s="81" t="s">
        <v>121</v>
      </c>
      <c r="T1216" s="349">
        <v>42971</v>
      </c>
      <c r="W1216" s="81" t="s">
        <v>114</v>
      </c>
      <c r="Y1216" s="81" t="s">
        <v>115</v>
      </c>
      <c r="Z1216" s="81" t="s">
        <v>116</v>
      </c>
      <c r="AA1216" s="81" t="s">
        <v>116</v>
      </c>
      <c r="AB1216" s="81" t="s">
        <v>117</v>
      </c>
      <c r="AC1216" s="166">
        <v>9.3000002205371898E-2</v>
      </c>
      <c r="AG1216" s="81" t="s">
        <v>154</v>
      </c>
      <c r="AH1216" s="81" t="s">
        <v>312</v>
      </c>
      <c r="AI1216" s="81" t="s">
        <v>3024</v>
      </c>
      <c r="AK1216" s="166">
        <v>0</v>
      </c>
      <c r="AM1216" s="166">
        <v>0</v>
      </c>
      <c r="AO1216" s="166">
        <v>0</v>
      </c>
      <c r="AP1216" s="166">
        <v>3</v>
      </c>
      <c r="AQ1216" s="166">
        <v>3</v>
      </c>
      <c r="AR1216" s="166">
        <v>3</v>
      </c>
      <c r="AS1216" s="166">
        <v>0</v>
      </c>
      <c r="AT1216" s="166">
        <v>0</v>
      </c>
      <c r="AU1216" s="166">
        <v>0</v>
      </c>
      <c r="AV1216" s="166">
        <v>0</v>
      </c>
      <c r="AW1216" s="166">
        <v>3</v>
      </c>
      <c r="AX1216" s="166">
        <v>3</v>
      </c>
      <c r="AY1216" s="166">
        <v>3</v>
      </c>
      <c r="AZ1216" s="166">
        <v>0</v>
      </c>
      <c r="BA1216" s="166">
        <v>0</v>
      </c>
      <c r="BB1216" s="166">
        <v>0</v>
      </c>
      <c r="BC1216" s="166">
        <v>0</v>
      </c>
      <c r="BD1216" s="166">
        <v>0</v>
      </c>
      <c r="BE1216" s="166">
        <v>0</v>
      </c>
      <c r="BF1216" s="166">
        <v>0</v>
      </c>
      <c r="BG1216" s="166">
        <v>0</v>
      </c>
      <c r="BH1216" s="166">
        <v>0</v>
      </c>
      <c r="BI1216" s="166">
        <v>0</v>
      </c>
      <c r="BJ1216" s="166">
        <v>0</v>
      </c>
      <c r="BK1216" s="166">
        <v>0</v>
      </c>
      <c r="BL1216" s="166">
        <v>0</v>
      </c>
      <c r="BM1216" s="166">
        <v>0</v>
      </c>
      <c r="BN1216" s="166">
        <v>0</v>
      </c>
      <c r="BO1216" s="166">
        <v>0</v>
      </c>
      <c r="BP1216" s="166">
        <v>0</v>
      </c>
      <c r="BQ1216" s="81" t="s">
        <v>1757</v>
      </c>
      <c r="BR1216" s="81" t="s">
        <v>242</v>
      </c>
      <c r="BZ1216" s="81" t="s">
        <v>155</v>
      </c>
      <c r="CA1216" s="81">
        <v>6</v>
      </c>
      <c r="CC1216" s="167">
        <v>0</v>
      </c>
      <c r="CD1216" s="167">
        <v>0</v>
      </c>
      <c r="CE1216" s="167">
        <v>0</v>
      </c>
      <c r="CF1216" s="167">
        <v>0</v>
      </c>
      <c r="CG1216" s="167">
        <v>0</v>
      </c>
      <c r="CH1216" s="167">
        <f>$N1216/3</f>
        <v>3</v>
      </c>
      <c r="CI1216" s="167">
        <f>$N1216/3</f>
        <v>3</v>
      </c>
      <c r="CJ1216" s="167">
        <f>$N1216/3</f>
        <v>3</v>
      </c>
      <c r="CK1216" s="167">
        <v>0</v>
      </c>
      <c r="CL1216" s="167">
        <v>0</v>
      </c>
      <c r="CM1216" s="167">
        <v>0</v>
      </c>
      <c r="CN1216" s="167">
        <v>0</v>
      </c>
      <c r="CO1216" s="167">
        <v>0</v>
      </c>
      <c r="CP1216" s="167">
        <v>0</v>
      </c>
      <c r="CQ1216" s="167">
        <v>0</v>
      </c>
      <c r="CR1216" s="167">
        <v>0</v>
      </c>
      <c r="CS1216" s="167">
        <v>0</v>
      </c>
      <c r="CT1216" s="167">
        <v>0</v>
      </c>
      <c r="CU1216" s="167">
        <v>0</v>
      </c>
      <c r="CV1216" s="167">
        <v>0</v>
      </c>
      <c r="CW1216" s="167">
        <v>0</v>
      </c>
      <c r="CX1216" s="167">
        <f>SUM(CD1216:CH1216)</f>
        <v>3</v>
      </c>
      <c r="CY1216" s="167">
        <f>SUM(CD1216:CM1216)</f>
        <v>9</v>
      </c>
    </row>
    <row r="1217" spans="1:103" ht="12.75" customHeight="1" x14ac:dyDescent="0.2">
      <c r="A1217" s="81">
        <v>3961</v>
      </c>
      <c r="B1217" s="165" t="s">
        <v>1955</v>
      </c>
      <c r="C1217" s="165" t="s">
        <v>3021</v>
      </c>
      <c r="E1217" s="165" t="s">
        <v>3022</v>
      </c>
      <c r="G1217" s="81">
        <v>527645</v>
      </c>
      <c r="H1217" s="81">
        <v>171873</v>
      </c>
      <c r="I1217" s="165" t="s">
        <v>242</v>
      </c>
      <c r="L1217" s="166">
        <v>0</v>
      </c>
      <c r="M1217" s="166">
        <v>7</v>
      </c>
      <c r="N1217" s="166">
        <v>7</v>
      </c>
      <c r="O1217" s="166">
        <v>47</v>
      </c>
      <c r="P1217" s="166">
        <v>47</v>
      </c>
      <c r="Q1217" s="81" t="s">
        <v>155</v>
      </c>
      <c r="R1217" s="165" t="s">
        <v>3023</v>
      </c>
      <c r="S1217" s="81" t="s">
        <v>121</v>
      </c>
      <c r="T1217" s="349">
        <v>42971</v>
      </c>
      <c r="W1217" s="81" t="s">
        <v>114</v>
      </c>
      <c r="Y1217" s="81" t="s">
        <v>115</v>
      </c>
      <c r="Z1217" s="81" t="s">
        <v>116</v>
      </c>
      <c r="AA1217" s="81" t="s">
        <v>116</v>
      </c>
      <c r="AB1217" s="81" t="s">
        <v>117</v>
      </c>
      <c r="AC1217" s="166">
        <v>7.1999996900558499E-2</v>
      </c>
      <c r="AG1217" s="81" t="s">
        <v>238</v>
      </c>
      <c r="AH1217" s="81" t="s">
        <v>118</v>
      </c>
      <c r="AI1217" s="81" t="s">
        <v>3024</v>
      </c>
      <c r="AK1217" s="166">
        <v>0</v>
      </c>
      <c r="AM1217" s="166">
        <v>0</v>
      </c>
      <c r="AN1217" s="166">
        <v>5</v>
      </c>
      <c r="AO1217" s="166">
        <v>0</v>
      </c>
      <c r="AP1217" s="166">
        <v>3</v>
      </c>
      <c r="AQ1217" s="166">
        <v>3</v>
      </c>
      <c r="AR1217" s="166">
        <v>1</v>
      </c>
      <c r="AS1217" s="166">
        <v>0</v>
      </c>
      <c r="AT1217" s="166">
        <v>0</v>
      </c>
      <c r="AU1217" s="166">
        <v>0</v>
      </c>
      <c r="AV1217" s="166">
        <v>0</v>
      </c>
      <c r="AW1217" s="166">
        <v>3</v>
      </c>
      <c r="AX1217" s="166">
        <v>3</v>
      </c>
      <c r="AY1217" s="166">
        <v>1</v>
      </c>
      <c r="AZ1217" s="166">
        <v>0</v>
      </c>
      <c r="BA1217" s="166">
        <v>0</v>
      </c>
      <c r="BB1217" s="166">
        <v>0</v>
      </c>
      <c r="BC1217" s="166">
        <v>0</v>
      </c>
      <c r="BD1217" s="166">
        <v>0</v>
      </c>
      <c r="BE1217" s="166">
        <v>0</v>
      </c>
      <c r="BF1217" s="166">
        <v>0</v>
      </c>
      <c r="BG1217" s="166">
        <v>0</v>
      </c>
      <c r="BH1217" s="166">
        <v>0</v>
      </c>
      <c r="BI1217" s="166">
        <v>0</v>
      </c>
      <c r="BJ1217" s="166">
        <v>0</v>
      </c>
      <c r="BK1217" s="166">
        <v>0</v>
      </c>
      <c r="BL1217" s="166">
        <v>0</v>
      </c>
      <c r="BM1217" s="166">
        <v>0</v>
      </c>
      <c r="BN1217" s="166">
        <v>0</v>
      </c>
      <c r="BO1217" s="166">
        <v>0</v>
      </c>
      <c r="BP1217" s="166">
        <v>0</v>
      </c>
      <c r="BQ1217" s="81" t="s">
        <v>1757</v>
      </c>
      <c r="BR1217" s="81" t="s">
        <v>242</v>
      </c>
      <c r="BZ1217" s="81" t="s">
        <v>155</v>
      </c>
      <c r="CA1217" s="81">
        <v>6</v>
      </c>
      <c r="CC1217" s="167">
        <v>0</v>
      </c>
      <c r="CD1217" s="167">
        <v>0</v>
      </c>
      <c r="CE1217" s="167">
        <v>0</v>
      </c>
      <c r="CF1217" s="167">
        <v>0</v>
      </c>
      <c r="CG1217" s="167">
        <v>0</v>
      </c>
      <c r="CH1217" s="167">
        <f>$N1217/3</f>
        <v>2.3333333333333335</v>
      </c>
      <c r="CI1217" s="167">
        <f>$N1217/3</f>
        <v>2.3333333333333335</v>
      </c>
      <c r="CJ1217" s="167">
        <f>$N1217/3</f>
        <v>2.3333333333333335</v>
      </c>
      <c r="CK1217" s="167">
        <v>0</v>
      </c>
      <c r="CL1217" s="167">
        <v>0</v>
      </c>
      <c r="CM1217" s="167">
        <v>0</v>
      </c>
      <c r="CN1217" s="167">
        <v>0</v>
      </c>
      <c r="CO1217" s="167">
        <v>0</v>
      </c>
      <c r="CP1217" s="167">
        <v>0</v>
      </c>
      <c r="CQ1217" s="167">
        <v>0</v>
      </c>
      <c r="CR1217" s="167">
        <v>0</v>
      </c>
      <c r="CS1217" s="167">
        <v>0</v>
      </c>
      <c r="CT1217" s="167">
        <v>0</v>
      </c>
      <c r="CU1217" s="167">
        <v>0</v>
      </c>
      <c r="CV1217" s="167">
        <v>0</v>
      </c>
      <c r="CW1217" s="167">
        <v>0</v>
      </c>
      <c r="CX1217" s="167">
        <f>SUM(CD1217:CH1217)</f>
        <v>2.3333333333333335</v>
      </c>
      <c r="CY1217" s="167">
        <f>SUM(CD1217:CM1217)</f>
        <v>7</v>
      </c>
    </row>
    <row r="1218" spans="1:103" ht="12.75" customHeight="1" x14ac:dyDescent="0.2">
      <c r="A1218" s="81">
        <v>4084</v>
      </c>
      <c r="B1218" s="165" t="s">
        <v>1955</v>
      </c>
      <c r="C1218" s="165" t="s">
        <v>2084</v>
      </c>
      <c r="E1218" s="165" t="s">
        <v>2085</v>
      </c>
      <c r="G1218" s="81">
        <v>527971</v>
      </c>
      <c r="H1218" s="81">
        <v>172408</v>
      </c>
      <c r="I1218" s="165" t="s">
        <v>254</v>
      </c>
      <c r="L1218" s="166">
        <v>1</v>
      </c>
      <c r="M1218" s="166">
        <v>1</v>
      </c>
      <c r="N1218" s="166">
        <v>0</v>
      </c>
      <c r="O1218" s="166">
        <v>3</v>
      </c>
      <c r="P1218" s="166">
        <v>2</v>
      </c>
      <c r="R1218" s="165" t="s">
        <v>2086</v>
      </c>
      <c r="S1218" s="81" t="s">
        <v>121</v>
      </c>
      <c r="T1218" s="349">
        <v>43115</v>
      </c>
      <c r="W1218" s="81" t="s">
        <v>114</v>
      </c>
      <c r="Y1218" s="81" t="s">
        <v>115</v>
      </c>
      <c r="Z1218" s="81" t="s">
        <v>398</v>
      </c>
      <c r="AA1218" s="81" t="s">
        <v>117</v>
      </c>
      <c r="AB1218" s="81" t="s">
        <v>220</v>
      </c>
      <c r="AC1218" s="166">
        <v>3.0000000260770299E-3</v>
      </c>
      <c r="AG1218" s="81" t="s">
        <v>238</v>
      </c>
      <c r="AH1218" s="81" t="s">
        <v>118</v>
      </c>
      <c r="AK1218" s="166">
        <v>0</v>
      </c>
      <c r="AM1218" s="166">
        <v>0</v>
      </c>
      <c r="AO1218" s="166">
        <v>-1</v>
      </c>
      <c r="AP1218" s="166">
        <v>1</v>
      </c>
      <c r="AQ1218" s="166">
        <v>0</v>
      </c>
      <c r="AR1218" s="166">
        <v>0</v>
      </c>
      <c r="AS1218" s="166">
        <v>0</v>
      </c>
      <c r="AT1218" s="166">
        <v>0</v>
      </c>
      <c r="AU1218" s="166">
        <v>0</v>
      </c>
      <c r="AV1218" s="166">
        <v>-1</v>
      </c>
      <c r="AW1218" s="166">
        <v>1</v>
      </c>
      <c r="AX1218" s="166">
        <v>0</v>
      </c>
      <c r="AY1218" s="166">
        <v>0</v>
      </c>
      <c r="AZ1218" s="166">
        <v>0</v>
      </c>
      <c r="BA1218" s="166">
        <v>0</v>
      </c>
      <c r="BB1218" s="166">
        <v>0</v>
      </c>
      <c r="BC1218" s="166">
        <v>0</v>
      </c>
      <c r="BD1218" s="166">
        <v>0</v>
      </c>
      <c r="BE1218" s="166">
        <v>0</v>
      </c>
      <c r="BF1218" s="166">
        <v>0</v>
      </c>
      <c r="BG1218" s="166">
        <v>0</v>
      </c>
      <c r="BH1218" s="166">
        <v>0</v>
      </c>
      <c r="BI1218" s="166">
        <v>0</v>
      </c>
      <c r="BJ1218" s="166">
        <v>0</v>
      </c>
      <c r="BK1218" s="166">
        <v>0</v>
      </c>
      <c r="BL1218" s="166">
        <v>0</v>
      </c>
      <c r="BM1218" s="166">
        <v>0</v>
      </c>
      <c r="BN1218" s="166">
        <v>0</v>
      </c>
      <c r="BO1218" s="166">
        <v>0</v>
      </c>
      <c r="BP1218" s="166">
        <v>0</v>
      </c>
      <c r="BQ1218" s="81" t="s">
        <v>1757</v>
      </c>
      <c r="BZ1218" s="81" t="s">
        <v>155</v>
      </c>
      <c r="CA1218" s="81">
        <v>10</v>
      </c>
      <c r="CC1218" s="167">
        <v>0</v>
      </c>
      <c r="CD1218" s="167">
        <v>0</v>
      </c>
      <c r="CE1218" s="167">
        <v>0</v>
      </c>
      <c r="CF1218" s="167">
        <v>0</v>
      </c>
      <c r="CG1218" s="167">
        <v>0</v>
      </c>
      <c r="CH1218" s="167">
        <f>$N1218/3</f>
        <v>0</v>
      </c>
      <c r="CI1218" s="167">
        <f>$N1218/3</f>
        <v>0</v>
      </c>
      <c r="CJ1218" s="167">
        <f>$N1218/3</f>
        <v>0</v>
      </c>
      <c r="CK1218" s="167">
        <v>0</v>
      </c>
      <c r="CL1218" s="167">
        <v>0</v>
      </c>
      <c r="CM1218" s="167">
        <v>0</v>
      </c>
      <c r="CN1218" s="167">
        <v>0</v>
      </c>
      <c r="CO1218" s="167">
        <v>0</v>
      </c>
      <c r="CP1218" s="167">
        <v>0</v>
      </c>
      <c r="CQ1218" s="167">
        <v>0</v>
      </c>
      <c r="CR1218" s="167">
        <v>0</v>
      </c>
      <c r="CS1218" s="167">
        <v>0</v>
      </c>
      <c r="CT1218" s="167">
        <v>0</v>
      </c>
      <c r="CU1218" s="167">
        <v>0</v>
      </c>
      <c r="CV1218" s="167">
        <v>0</v>
      </c>
      <c r="CW1218" s="167">
        <v>0</v>
      </c>
      <c r="CX1218" s="167">
        <f>SUM(CD1218:CH1218)</f>
        <v>0</v>
      </c>
      <c r="CY1218" s="167">
        <f>SUM(CD1218:CM1218)</f>
        <v>0</v>
      </c>
    </row>
    <row r="1219" spans="1:103" ht="12.75" customHeight="1" x14ac:dyDescent="0.2">
      <c r="A1219" s="81">
        <v>4084</v>
      </c>
      <c r="B1219" s="165" t="s">
        <v>1955</v>
      </c>
      <c r="C1219" s="165" t="s">
        <v>2084</v>
      </c>
      <c r="E1219" s="165" t="s">
        <v>2085</v>
      </c>
      <c r="G1219" s="81">
        <v>527971</v>
      </c>
      <c r="H1219" s="81">
        <v>172408</v>
      </c>
      <c r="I1219" s="165" t="s">
        <v>254</v>
      </c>
      <c r="L1219" s="166">
        <v>0</v>
      </c>
      <c r="M1219" s="166">
        <v>1</v>
      </c>
      <c r="N1219" s="166">
        <v>1</v>
      </c>
      <c r="O1219" s="166">
        <v>3</v>
      </c>
      <c r="P1219" s="166">
        <v>2</v>
      </c>
      <c r="R1219" s="165" t="s">
        <v>2086</v>
      </c>
      <c r="S1219" s="81" t="s">
        <v>121</v>
      </c>
      <c r="T1219" s="349">
        <v>43115</v>
      </c>
      <c r="W1219" s="81" t="s">
        <v>114</v>
      </c>
      <c r="Y1219" s="81" t="s">
        <v>115</v>
      </c>
      <c r="Z1219" s="81" t="s">
        <v>398</v>
      </c>
      <c r="AA1219" s="81" t="s">
        <v>117</v>
      </c>
      <c r="AB1219" s="81" t="s">
        <v>218</v>
      </c>
      <c r="AC1219" s="166">
        <v>3.0000000260770299E-3</v>
      </c>
      <c r="AG1219" s="81" t="s">
        <v>238</v>
      </c>
      <c r="AH1219" s="81" t="s">
        <v>118</v>
      </c>
      <c r="AK1219" s="166">
        <v>0</v>
      </c>
      <c r="AM1219" s="166">
        <v>0</v>
      </c>
      <c r="AO1219" s="166">
        <v>1</v>
      </c>
      <c r="AP1219" s="166">
        <v>0</v>
      </c>
      <c r="AQ1219" s="166">
        <v>0</v>
      </c>
      <c r="AR1219" s="166">
        <v>0</v>
      </c>
      <c r="AS1219" s="166">
        <v>0</v>
      </c>
      <c r="AT1219" s="166">
        <v>0</v>
      </c>
      <c r="AU1219" s="166">
        <v>0</v>
      </c>
      <c r="AV1219" s="166">
        <v>1</v>
      </c>
      <c r="AW1219" s="166">
        <v>0</v>
      </c>
      <c r="AX1219" s="166">
        <v>0</v>
      </c>
      <c r="AY1219" s="166">
        <v>0</v>
      </c>
      <c r="AZ1219" s="166">
        <v>0</v>
      </c>
      <c r="BA1219" s="166">
        <v>0</v>
      </c>
      <c r="BB1219" s="166">
        <v>0</v>
      </c>
      <c r="BC1219" s="166">
        <v>0</v>
      </c>
      <c r="BD1219" s="166">
        <v>0</v>
      </c>
      <c r="BE1219" s="166">
        <v>0</v>
      </c>
      <c r="BF1219" s="166">
        <v>0</v>
      </c>
      <c r="BG1219" s="166">
        <v>0</v>
      </c>
      <c r="BH1219" s="166">
        <v>0</v>
      </c>
      <c r="BI1219" s="166">
        <v>0</v>
      </c>
      <c r="BJ1219" s="166">
        <v>0</v>
      </c>
      <c r="BK1219" s="166">
        <v>0</v>
      </c>
      <c r="BL1219" s="166">
        <v>0</v>
      </c>
      <c r="BM1219" s="166">
        <v>0</v>
      </c>
      <c r="BN1219" s="166">
        <v>0</v>
      </c>
      <c r="BO1219" s="166">
        <v>0</v>
      </c>
      <c r="BP1219" s="166">
        <v>0</v>
      </c>
      <c r="BQ1219" s="81" t="s">
        <v>1757</v>
      </c>
      <c r="BZ1219" s="81" t="s">
        <v>155</v>
      </c>
      <c r="CA1219" s="81">
        <v>10</v>
      </c>
      <c r="CC1219" s="167">
        <v>0</v>
      </c>
      <c r="CD1219" s="167">
        <v>0</v>
      </c>
      <c r="CE1219" s="167">
        <v>0</v>
      </c>
      <c r="CF1219" s="167">
        <v>0</v>
      </c>
      <c r="CG1219" s="167">
        <v>0</v>
      </c>
      <c r="CH1219" s="167">
        <f>$N1219/3</f>
        <v>0.33333333333333331</v>
      </c>
      <c r="CI1219" s="167">
        <f>$N1219/3</f>
        <v>0.33333333333333331</v>
      </c>
      <c r="CJ1219" s="167">
        <f>$N1219/3</f>
        <v>0.33333333333333331</v>
      </c>
      <c r="CK1219" s="167">
        <v>0</v>
      </c>
      <c r="CL1219" s="167">
        <v>0</v>
      </c>
      <c r="CM1219" s="167">
        <v>0</v>
      </c>
      <c r="CN1219" s="167">
        <v>0</v>
      </c>
      <c r="CO1219" s="167">
        <v>0</v>
      </c>
      <c r="CP1219" s="167">
        <v>0</v>
      </c>
      <c r="CQ1219" s="167">
        <v>0</v>
      </c>
      <c r="CR1219" s="167">
        <v>0</v>
      </c>
      <c r="CS1219" s="167">
        <v>0</v>
      </c>
      <c r="CT1219" s="167">
        <v>0</v>
      </c>
      <c r="CU1219" s="167">
        <v>0</v>
      </c>
      <c r="CV1219" s="167">
        <v>0</v>
      </c>
      <c r="CW1219" s="167">
        <v>0</v>
      </c>
      <c r="CX1219" s="167">
        <f>SUM(CD1219:CH1219)</f>
        <v>0.33333333333333331</v>
      </c>
      <c r="CY1219" s="167">
        <f>SUM(CD1219:CM1219)</f>
        <v>1</v>
      </c>
    </row>
    <row r="1220" spans="1:103" ht="12.75" customHeight="1" x14ac:dyDescent="0.2">
      <c r="A1220" s="81">
        <v>4084</v>
      </c>
      <c r="B1220" s="165" t="s">
        <v>1955</v>
      </c>
      <c r="C1220" s="165" t="s">
        <v>2084</v>
      </c>
      <c r="E1220" s="165" t="s">
        <v>2085</v>
      </c>
      <c r="G1220" s="81">
        <v>527971</v>
      </c>
      <c r="H1220" s="81">
        <v>172408</v>
      </c>
      <c r="I1220" s="165" t="s">
        <v>254</v>
      </c>
      <c r="L1220" s="166">
        <v>0</v>
      </c>
      <c r="M1220" s="166">
        <v>1</v>
      </c>
      <c r="N1220" s="166">
        <v>1</v>
      </c>
      <c r="O1220" s="166">
        <v>3</v>
      </c>
      <c r="P1220" s="166">
        <v>2</v>
      </c>
      <c r="R1220" s="165" t="s">
        <v>2086</v>
      </c>
      <c r="S1220" s="81" t="s">
        <v>121</v>
      </c>
      <c r="T1220" s="349">
        <v>43115</v>
      </c>
      <c r="W1220" s="81" t="s">
        <v>114</v>
      </c>
      <c r="Y1220" s="81" t="s">
        <v>115</v>
      </c>
      <c r="Z1220" s="81" t="s">
        <v>398</v>
      </c>
      <c r="AA1220" s="81" t="s">
        <v>117</v>
      </c>
      <c r="AB1220" s="81" t="s">
        <v>102</v>
      </c>
      <c r="AC1220" s="166">
        <v>3.0000000260770299E-3</v>
      </c>
      <c r="AG1220" s="81" t="s">
        <v>238</v>
      </c>
      <c r="AH1220" s="81" t="s">
        <v>118</v>
      </c>
      <c r="AK1220" s="166">
        <v>0</v>
      </c>
      <c r="AM1220" s="166">
        <v>0</v>
      </c>
      <c r="AN1220" s="166">
        <v>1</v>
      </c>
      <c r="AO1220" s="166">
        <v>0</v>
      </c>
      <c r="AP1220" s="166">
        <v>1</v>
      </c>
      <c r="AQ1220" s="166">
        <v>0</v>
      </c>
      <c r="AR1220" s="166">
        <v>0</v>
      </c>
      <c r="AS1220" s="166">
        <v>0</v>
      </c>
      <c r="AT1220" s="166">
        <v>0</v>
      </c>
      <c r="AU1220" s="166">
        <v>0</v>
      </c>
      <c r="AV1220" s="166">
        <v>0</v>
      </c>
      <c r="AW1220" s="166">
        <v>1</v>
      </c>
      <c r="AX1220" s="166">
        <v>0</v>
      </c>
      <c r="AY1220" s="166">
        <v>0</v>
      </c>
      <c r="AZ1220" s="166">
        <v>0</v>
      </c>
      <c r="BA1220" s="166">
        <v>0</v>
      </c>
      <c r="BB1220" s="166">
        <v>0</v>
      </c>
      <c r="BC1220" s="166">
        <v>0</v>
      </c>
      <c r="BD1220" s="166">
        <v>0</v>
      </c>
      <c r="BE1220" s="166">
        <v>0</v>
      </c>
      <c r="BF1220" s="166">
        <v>0</v>
      </c>
      <c r="BG1220" s="166">
        <v>0</v>
      </c>
      <c r="BH1220" s="166">
        <v>0</v>
      </c>
      <c r="BI1220" s="166">
        <v>0</v>
      </c>
      <c r="BJ1220" s="166">
        <v>0</v>
      </c>
      <c r="BK1220" s="166">
        <v>0</v>
      </c>
      <c r="BL1220" s="166">
        <v>0</v>
      </c>
      <c r="BM1220" s="166">
        <v>0</v>
      </c>
      <c r="BN1220" s="166">
        <v>0</v>
      </c>
      <c r="BO1220" s="166">
        <v>0</v>
      </c>
      <c r="BP1220" s="166">
        <v>0</v>
      </c>
      <c r="BQ1220" s="81" t="s">
        <v>1757</v>
      </c>
      <c r="BZ1220" s="81" t="s">
        <v>155</v>
      </c>
      <c r="CA1220" s="81">
        <v>10</v>
      </c>
      <c r="CC1220" s="167">
        <v>0</v>
      </c>
      <c r="CD1220" s="167">
        <v>0</v>
      </c>
      <c r="CE1220" s="167">
        <v>0</v>
      </c>
      <c r="CF1220" s="167">
        <v>0</v>
      </c>
      <c r="CG1220" s="167">
        <v>0</v>
      </c>
      <c r="CH1220" s="167">
        <f>$N1220/3</f>
        <v>0.33333333333333331</v>
      </c>
      <c r="CI1220" s="167">
        <f>$N1220/3</f>
        <v>0.33333333333333331</v>
      </c>
      <c r="CJ1220" s="167">
        <f>$N1220/3</f>
        <v>0.33333333333333331</v>
      </c>
      <c r="CK1220" s="167">
        <v>0</v>
      </c>
      <c r="CL1220" s="167">
        <v>0</v>
      </c>
      <c r="CM1220" s="167">
        <v>0</v>
      </c>
      <c r="CN1220" s="167">
        <v>0</v>
      </c>
      <c r="CO1220" s="167">
        <v>0</v>
      </c>
      <c r="CP1220" s="167">
        <v>0</v>
      </c>
      <c r="CQ1220" s="167">
        <v>0</v>
      </c>
      <c r="CR1220" s="167">
        <v>0</v>
      </c>
      <c r="CS1220" s="167">
        <v>0</v>
      </c>
      <c r="CT1220" s="167">
        <v>0</v>
      </c>
      <c r="CU1220" s="167">
        <v>0</v>
      </c>
      <c r="CV1220" s="167">
        <v>0</v>
      </c>
      <c r="CW1220" s="167">
        <v>0</v>
      </c>
      <c r="CX1220" s="167">
        <f>SUM(CD1220:CH1220)</f>
        <v>0.33333333333333331</v>
      </c>
      <c r="CY1220" s="167">
        <f>SUM(CD1220:CM1220)</f>
        <v>1</v>
      </c>
    </row>
    <row r="1221" spans="1:103" ht="12.75" customHeight="1" x14ac:dyDescent="0.2">
      <c r="A1221" s="81">
        <v>4167</v>
      </c>
      <c r="B1221" s="165" t="s">
        <v>1955</v>
      </c>
      <c r="C1221" s="165" t="s">
        <v>2087</v>
      </c>
      <c r="E1221" s="165" t="s">
        <v>2088</v>
      </c>
      <c r="G1221" s="81">
        <v>522501</v>
      </c>
      <c r="H1221" s="81">
        <v>173758</v>
      </c>
      <c r="I1221" s="165" t="s">
        <v>877</v>
      </c>
      <c r="L1221" s="166">
        <v>0</v>
      </c>
      <c r="M1221" s="166">
        <v>5</v>
      </c>
      <c r="N1221" s="166">
        <v>5</v>
      </c>
      <c r="O1221" s="166">
        <v>5</v>
      </c>
      <c r="P1221" s="166">
        <v>5</v>
      </c>
      <c r="R1221" s="165" t="s">
        <v>2089</v>
      </c>
      <c r="S1221" s="81" t="s">
        <v>296</v>
      </c>
      <c r="T1221" s="349">
        <v>42989</v>
      </c>
      <c r="U1221" s="349">
        <v>43046</v>
      </c>
      <c r="V1221" s="81" t="s">
        <v>155</v>
      </c>
      <c r="W1221" s="81" t="s">
        <v>365</v>
      </c>
      <c r="Y1221" s="81" t="s">
        <v>115</v>
      </c>
      <c r="Z1221" s="81" t="s">
        <v>398</v>
      </c>
      <c r="AA1221" s="81" t="s">
        <v>117</v>
      </c>
      <c r="AB1221" s="81" t="s">
        <v>399</v>
      </c>
      <c r="AC1221" s="166">
        <v>3.7999998778104803E-2</v>
      </c>
      <c r="AG1221" s="81" t="s">
        <v>238</v>
      </c>
      <c r="AH1221" s="81" t="s">
        <v>118</v>
      </c>
      <c r="AK1221" s="166">
        <v>0</v>
      </c>
      <c r="AM1221" s="166">
        <v>0</v>
      </c>
      <c r="AO1221" s="166">
        <v>0</v>
      </c>
      <c r="AP1221" s="166">
        <v>0</v>
      </c>
      <c r="AQ1221" s="166">
        <v>5</v>
      </c>
      <c r="AR1221" s="166">
        <v>0</v>
      </c>
      <c r="AS1221" s="166">
        <v>0</v>
      </c>
      <c r="AT1221" s="166">
        <v>0</v>
      </c>
      <c r="AU1221" s="166">
        <v>0</v>
      </c>
      <c r="AV1221" s="166">
        <v>0</v>
      </c>
      <c r="AW1221" s="166">
        <v>0</v>
      </c>
      <c r="AX1221" s="166">
        <v>5</v>
      </c>
      <c r="AY1221" s="166">
        <v>0</v>
      </c>
      <c r="AZ1221" s="166">
        <v>0</v>
      </c>
      <c r="BA1221" s="166">
        <v>0</v>
      </c>
      <c r="BB1221" s="166">
        <v>0</v>
      </c>
      <c r="BC1221" s="166">
        <v>0</v>
      </c>
      <c r="BD1221" s="166">
        <v>0</v>
      </c>
      <c r="BE1221" s="166">
        <v>0</v>
      </c>
      <c r="BF1221" s="166">
        <v>0</v>
      </c>
      <c r="BG1221" s="166">
        <v>0</v>
      </c>
      <c r="BH1221" s="166">
        <v>0</v>
      </c>
      <c r="BI1221" s="166">
        <v>0</v>
      </c>
      <c r="BJ1221" s="166">
        <v>0</v>
      </c>
      <c r="BK1221" s="166">
        <v>0</v>
      </c>
      <c r="BL1221" s="166">
        <v>0</v>
      </c>
      <c r="BM1221" s="166">
        <v>0</v>
      </c>
      <c r="BN1221" s="166">
        <v>0</v>
      </c>
      <c r="BO1221" s="166">
        <v>0</v>
      </c>
      <c r="BP1221" s="166">
        <v>0</v>
      </c>
      <c r="BQ1221" s="81" t="s">
        <v>1758</v>
      </c>
      <c r="BZ1221" s="81" t="s">
        <v>155</v>
      </c>
      <c r="CA1221" s="81">
        <v>10</v>
      </c>
      <c r="CC1221" s="167">
        <v>0</v>
      </c>
      <c r="CD1221" s="167">
        <v>0</v>
      </c>
      <c r="CE1221" s="167">
        <v>0</v>
      </c>
      <c r="CF1221" s="167">
        <v>0</v>
      </c>
      <c r="CG1221" s="167">
        <v>0</v>
      </c>
      <c r="CH1221" s="167">
        <f>$N1221/3</f>
        <v>1.6666666666666667</v>
      </c>
      <c r="CI1221" s="167">
        <f>$N1221/3</f>
        <v>1.6666666666666667</v>
      </c>
      <c r="CJ1221" s="167">
        <f>$N1221/3</f>
        <v>1.6666666666666667</v>
      </c>
      <c r="CK1221" s="167">
        <v>0</v>
      </c>
      <c r="CL1221" s="167">
        <v>0</v>
      </c>
      <c r="CM1221" s="167">
        <v>0</v>
      </c>
      <c r="CN1221" s="167">
        <v>0</v>
      </c>
      <c r="CO1221" s="167">
        <v>0</v>
      </c>
      <c r="CP1221" s="167">
        <v>0</v>
      </c>
      <c r="CQ1221" s="167">
        <v>0</v>
      </c>
      <c r="CR1221" s="167">
        <v>0</v>
      </c>
      <c r="CS1221" s="167">
        <v>0</v>
      </c>
      <c r="CT1221" s="167">
        <v>0</v>
      </c>
      <c r="CU1221" s="167">
        <v>0</v>
      </c>
      <c r="CV1221" s="167">
        <v>0</v>
      </c>
      <c r="CW1221" s="167">
        <v>0</v>
      </c>
      <c r="CX1221" s="167">
        <f>SUM(CD1221:CH1221)</f>
        <v>1.6666666666666667</v>
      </c>
      <c r="CY1221" s="167">
        <f>SUM(CD1221:CM1221)</f>
        <v>5</v>
      </c>
    </row>
    <row r="1222" spans="1:103" ht="12.75" customHeight="1" x14ac:dyDescent="0.2">
      <c r="A1222" s="81">
        <v>4167</v>
      </c>
      <c r="B1222" s="165" t="s">
        <v>1955</v>
      </c>
      <c r="C1222" s="165" t="s">
        <v>2090</v>
      </c>
      <c r="E1222" s="165" t="s">
        <v>2088</v>
      </c>
      <c r="G1222" s="81">
        <v>522501</v>
      </c>
      <c r="H1222" s="81">
        <v>173758</v>
      </c>
      <c r="I1222" s="165" t="s">
        <v>877</v>
      </c>
      <c r="L1222" s="166">
        <v>0</v>
      </c>
      <c r="M1222" s="166">
        <v>2</v>
      </c>
      <c r="N1222" s="166">
        <v>2</v>
      </c>
      <c r="O1222" s="166">
        <v>4</v>
      </c>
      <c r="P1222" s="166">
        <v>4</v>
      </c>
      <c r="R1222" s="165" t="s">
        <v>2091</v>
      </c>
      <c r="S1222" s="81" t="s">
        <v>121</v>
      </c>
      <c r="T1222" s="349">
        <v>43181</v>
      </c>
      <c r="W1222" s="81" t="s">
        <v>114</v>
      </c>
      <c r="Y1222" s="81" t="s">
        <v>115</v>
      </c>
      <c r="Z1222" s="81" t="s">
        <v>398</v>
      </c>
      <c r="AA1222" s="81" t="s">
        <v>117</v>
      </c>
      <c r="AB1222" s="81" t="s">
        <v>399</v>
      </c>
      <c r="AC1222" s="166">
        <v>1.8999999389052401E-2</v>
      </c>
      <c r="AG1222" s="81" t="s">
        <v>238</v>
      </c>
      <c r="AH1222" s="81" t="s">
        <v>118</v>
      </c>
      <c r="AK1222" s="166">
        <v>0</v>
      </c>
      <c r="AM1222" s="166">
        <v>0</v>
      </c>
      <c r="AO1222" s="166">
        <v>0</v>
      </c>
      <c r="AP1222" s="166">
        <v>0</v>
      </c>
      <c r="AQ1222" s="166">
        <v>2</v>
      </c>
      <c r="AR1222" s="166">
        <v>0</v>
      </c>
      <c r="AS1222" s="166">
        <v>0</v>
      </c>
      <c r="AT1222" s="166">
        <v>0</v>
      </c>
      <c r="AU1222" s="166">
        <v>0</v>
      </c>
      <c r="AV1222" s="166">
        <v>0</v>
      </c>
      <c r="AW1222" s="166">
        <v>0</v>
      </c>
      <c r="AX1222" s="166">
        <v>2</v>
      </c>
      <c r="AY1222" s="166">
        <v>0</v>
      </c>
      <c r="AZ1222" s="166">
        <v>0</v>
      </c>
      <c r="BA1222" s="166">
        <v>0</v>
      </c>
      <c r="BB1222" s="166">
        <v>0</v>
      </c>
      <c r="BC1222" s="166">
        <v>0</v>
      </c>
      <c r="BD1222" s="166">
        <v>0</v>
      </c>
      <c r="BE1222" s="166">
        <v>0</v>
      </c>
      <c r="BF1222" s="166">
        <v>0</v>
      </c>
      <c r="BG1222" s="166">
        <v>0</v>
      </c>
      <c r="BH1222" s="166">
        <v>0</v>
      </c>
      <c r="BI1222" s="166">
        <v>0</v>
      </c>
      <c r="BJ1222" s="166">
        <v>0</v>
      </c>
      <c r="BK1222" s="166">
        <v>0</v>
      </c>
      <c r="BL1222" s="166">
        <v>0</v>
      </c>
      <c r="BM1222" s="166">
        <v>0</v>
      </c>
      <c r="BN1222" s="166">
        <v>0</v>
      </c>
      <c r="BO1222" s="166">
        <v>0</v>
      </c>
      <c r="BP1222" s="166">
        <v>0</v>
      </c>
      <c r="BQ1222" s="81" t="s">
        <v>1758</v>
      </c>
      <c r="BZ1222" s="81" t="s">
        <v>155</v>
      </c>
      <c r="CA1222" s="81">
        <v>10</v>
      </c>
      <c r="CC1222" s="167">
        <v>0</v>
      </c>
      <c r="CD1222" s="167">
        <v>0</v>
      </c>
      <c r="CE1222" s="167">
        <v>0</v>
      </c>
      <c r="CF1222" s="167">
        <v>0</v>
      </c>
      <c r="CG1222" s="167">
        <v>0</v>
      </c>
      <c r="CH1222" s="167">
        <f>$N1222/3</f>
        <v>0.66666666666666663</v>
      </c>
      <c r="CI1222" s="167">
        <f>$N1222/3</f>
        <v>0.66666666666666663</v>
      </c>
      <c r="CJ1222" s="167">
        <f>$N1222/3</f>
        <v>0.66666666666666663</v>
      </c>
      <c r="CK1222" s="167">
        <v>0</v>
      </c>
      <c r="CL1222" s="167">
        <v>0</v>
      </c>
      <c r="CM1222" s="167">
        <v>0</v>
      </c>
      <c r="CN1222" s="167">
        <v>0</v>
      </c>
      <c r="CO1222" s="167">
        <v>0</v>
      </c>
      <c r="CP1222" s="167">
        <v>0</v>
      </c>
      <c r="CQ1222" s="167">
        <v>0</v>
      </c>
      <c r="CR1222" s="167">
        <v>0</v>
      </c>
      <c r="CS1222" s="167">
        <v>0</v>
      </c>
      <c r="CT1222" s="167">
        <v>0</v>
      </c>
      <c r="CU1222" s="167">
        <v>0</v>
      </c>
      <c r="CV1222" s="167">
        <v>0</v>
      </c>
      <c r="CW1222" s="167">
        <v>0</v>
      </c>
      <c r="CX1222" s="167">
        <f>SUM(CD1222:CH1222)</f>
        <v>0.66666666666666663</v>
      </c>
      <c r="CY1222" s="167">
        <f>SUM(CD1222:CM1222)</f>
        <v>2</v>
      </c>
    </row>
    <row r="1223" spans="1:103" ht="12.75" customHeight="1" x14ac:dyDescent="0.2">
      <c r="A1223" s="81">
        <v>4167</v>
      </c>
      <c r="B1223" s="165" t="s">
        <v>1955</v>
      </c>
      <c r="C1223" s="165" t="s">
        <v>2090</v>
      </c>
      <c r="E1223" s="165" t="s">
        <v>2088</v>
      </c>
      <c r="G1223" s="81">
        <v>522501</v>
      </c>
      <c r="H1223" s="81">
        <v>173758</v>
      </c>
      <c r="I1223" s="165" t="s">
        <v>877</v>
      </c>
      <c r="L1223" s="166">
        <v>0</v>
      </c>
      <c r="M1223" s="166">
        <v>1</v>
      </c>
      <c r="N1223" s="166">
        <v>1</v>
      </c>
      <c r="O1223" s="166">
        <v>4</v>
      </c>
      <c r="P1223" s="166">
        <v>4</v>
      </c>
      <c r="R1223" s="165" t="s">
        <v>2091</v>
      </c>
      <c r="S1223" s="81" t="s">
        <v>121</v>
      </c>
      <c r="T1223" s="349">
        <v>43181</v>
      </c>
      <c r="W1223" s="81" t="s">
        <v>114</v>
      </c>
      <c r="Y1223" s="81" t="s">
        <v>115</v>
      </c>
      <c r="Z1223" s="81" t="s">
        <v>398</v>
      </c>
      <c r="AA1223" s="81" t="s">
        <v>117</v>
      </c>
      <c r="AB1223" s="81" t="s">
        <v>311</v>
      </c>
      <c r="AC1223" s="166">
        <v>9.9999997764825804E-3</v>
      </c>
      <c r="AG1223" s="81" t="s">
        <v>238</v>
      </c>
      <c r="AH1223" s="81" t="s">
        <v>118</v>
      </c>
      <c r="AK1223" s="166">
        <v>0</v>
      </c>
      <c r="AM1223" s="166">
        <v>0</v>
      </c>
      <c r="AO1223" s="166">
        <v>0</v>
      </c>
      <c r="AP1223" s="166">
        <v>0</v>
      </c>
      <c r="AQ1223" s="166">
        <v>1</v>
      </c>
      <c r="AR1223" s="166">
        <v>0</v>
      </c>
      <c r="AS1223" s="166">
        <v>0</v>
      </c>
      <c r="AT1223" s="166">
        <v>0</v>
      </c>
      <c r="AU1223" s="166">
        <v>0</v>
      </c>
      <c r="AV1223" s="166">
        <v>0</v>
      </c>
      <c r="AW1223" s="166">
        <v>0</v>
      </c>
      <c r="AX1223" s="166">
        <v>1</v>
      </c>
      <c r="AY1223" s="166">
        <v>0</v>
      </c>
      <c r="AZ1223" s="166">
        <v>0</v>
      </c>
      <c r="BA1223" s="166">
        <v>0</v>
      </c>
      <c r="BB1223" s="166">
        <v>0</v>
      </c>
      <c r="BC1223" s="166">
        <v>0</v>
      </c>
      <c r="BD1223" s="166">
        <v>0</v>
      </c>
      <c r="BE1223" s="166">
        <v>0</v>
      </c>
      <c r="BF1223" s="166">
        <v>0</v>
      </c>
      <c r="BG1223" s="166">
        <v>0</v>
      </c>
      <c r="BH1223" s="166">
        <v>0</v>
      </c>
      <c r="BI1223" s="166">
        <v>0</v>
      </c>
      <c r="BJ1223" s="166">
        <v>0</v>
      </c>
      <c r="BK1223" s="166">
        <v>0</v>
      </c>
      <c r="BL1223" s="166">
        <v>0</v>
      </c>
      <c r="BM1223" s="166">
        <v>0</v>
      </c>
      <c r="BN1223" s="166">
        <v>0</v>
      </c>
      <c r="BO1223" s="166">
        <v>0</v>
      </c>
      <c r="BP1223" s="166">
        <v>0</v>
      </c>
      <c r="BQ1223" s="81" t="s">
        <v>1758</v>
      </c>
      <c r="BZ1223" s="81" t="s">
        <v>155</v>
      </c>
      <c r="CA1223" s="81">
        <v>10</v>
      </c>
      <c r="CC1223" s="167">
        <v>0</v>
      </c>
      <c r="CD1223" s="167">
        <v>0</v>
      </c>
      <c r="CE1223" s="167">
        <v>0</v>
      </c>
      <c r="CF1223" s="167">
        <v>0</v>
      </c>
      <c r="CG1223" s="167">
        <v>0</v>
      </c>
      <c r="CH1223" s="167">
        <f>$N1223/3</f>
        <v>0.33333333333333331</v>
      </c>
      <c r="CI1223" s="167">
        <f>$N1223/3</f>
        <v>0.33333333333333331</v>
      </c>
      <c r="CJ1223" s="167">
        <f>$N1223/3</f>
        <v>0.33333333333333331</v>
      </c>
      <c r="CK1223" s="167">
        <v>0</v>
      </c>
      <c r="CL1223" s="167">
        <v>0</v>
      </c>
      <c r="CM1223" s="167">
        <v>0</v>
      </c>
      <c r="CN1223" s="167">
        <v>0</v>
      </c>
      <c r="CO1223" s="167">
        <v>0</v>
      </c>
      <c r="CP1223" s="167">
        <v>0</v>
      </c>
      <c r="CQ1223" s="167">
        <v>0</v>
      </c>
      <c r="CR1223" s="167">
        <v>0</v>
      </c>
      <c r="CS1223" s="167">
        <v>0</v>
      </c>
      <c r="CT1223" s="167">
        <v>0</v>
      </c>
      <c r="CU1223" s="167">
        <v>0</v>
      </c>
      <c r="CV1223" s="167">
        <v>0</v>
      </c>
      <c r="CW1223" s="167">
        <v>0</v>
      </c>
      <c r="CX1223" s="167">
        <f>SUM(CD1223:CH1223)</f>
        <v>0.33333333333333331</v>
      </c>
      <c r="CY1223" s="167">
        <f>SUM(CD1223:CM1223)</f>
        <v>1</v>
      </c>
    </row>
    <row r="1224" spans="1:103" ht="12.75" customHeight="1" x14ac:dyDescent="0.2">
      <c r="A1224" s="81">
        <v>4167</v>
      </c>
      <c r="B1224" s="165" t="s">
        <v>1955</v>
      </c>
      <c r="C1224" s="165" t="s">
        <v>2090</v>
      </c>
      <c r="E1224" s="165" t="s">
        <v>2088</v>
      </c>
      <c r="G1224" s="81">
        <v>522501</v>
      </c>
      <c r="H1224" s="81">
        <v>173758</v>
      </c>
      <c r="I1224" s="165" t="s">
        <v>877</v>
      </c>
      <c r="L1224" s="166">
        <v>0</v>
      </c>
      <c r="M1224" s="166">
        <v>1</v>
      </c>
      <c r="N1224" s="166">
        <v>1</v>
      </c>
      <c r="O1224" s="166">
        <v>4</v>
      </c>
      <c r="P1224" s="166">
        <v>4</v>
      </c>
      <c r="R1224" s="165" t="s">
        <v>2091</v>
      </c>
      <c r="S1224" s="81" t="s">
        <v>121</v>
      </c>
      <c r="T1224" s="349">
        <v>43181</v>
      </c>
      <c r="W1224" s="81" t="s">
        <v>114</v>
      </c>
      <c r="Y1224" s="81" t="s">
        <v>115</v>
      </c>
      <c r="Z1224" s="81" t="s">
        <v>398</v>
      </c>
      <c r="AA1224" s="81" t="s">
        <v>117</v>
      </c>
      <c r="AB1224" s="81" t="s">
        <v>218</v>
      </c>
      <c r="AC1224" s="166">
        <v>8.9999996125698107E-3</v>
      </c>
      <c r="AG1224" s="81" t="s">
        <v>238</v>
      </c>
      <c r="AH1224" s="81" t="s">
        <v>118</v>
      </c>
      <c r="AK1224" s="166">
        <v>0</v>
      </c>
      <c r="AM1224" s="166">
        <v>0</v>
      </c>
      <c r="AO1224" s="166">
        <v>0</v>
      </c>
      <c r="AP1224" s="166">
        <v>0</v>
      </c>
      <c r="AQ1224" s="166">
        <v>1</v>
      </c>
      <c r="AR1224" s="166">
        <v>0</v>
      </c>
      <c r="AS1224" s="166">
        <v>0</v>
      </c>
      <c r="AT1224" s="166">
        <v>0</v>
      </c>
      <c r="AU1224" s="166">
        <v>0</v>
      </c>
      <c r="AV1224" s="166">
        <v>0</v>
      </c>
      <c r="AW1224" s="166">
        <v>0</v>
      </c>
      <c r="AX1224" s="166">
        <v>1</v>
      </c>
      <c r="AY1224" s="166">
        <v>0</v>
      </c>
      <c r="AZ1224" s="166">
        <v>0</v>
      </c>
      <c r="BA1224" s="166">
        <v>0</v>
      </c>
      <c r="BB1224" s="166">
        <v>0</v>
      </c>
      <c r="BC1224" s="166">
        <v>0</v>
      </c>
      <c r="BD1224" s="166">
        <v>0</v>
      </c>
      <c r="BE1224" s="166">
        <v>0</v>
      </c>
      <c r="BF1224" s="166">
        <v>0</v>
      </c>
      <c r="BG1224" s="166">
        <v>0</v>
      </c>
      <c r="BH1224" s="166">
        <v>0</v>
      </c>
      <c r="BI1224" s="166">
        <v>0</v>
      </c>
      <c r="BJ1224" s="166">
        <v>0</v>
      </c>
      <c r="BK1224" s="166">
        <v>0</v>
      </c>
      <c r="BL1224" s="166">
        <v>0</v>
      </c>
      <c r="BM1224" s="166">
        <v>0</v>
      </c>
      <c r="BN1224" s="166">
        <v>0</v>
      </c>
      <c r="BO1224" s="166">
        <v>0</v>
      </c>
      <c r="BP1224" s="166">
        <v>0</v>
      </c>
      <c r="BQ1224" s="81" t="s">
        <v>1758</v>
      </c>
      <c r="BZ1224" s="81" t="s">
        <v>155</v>
      </c>
      <c r="CA1224" s="81">
        <v>10</v>
      </c>
      <c r="CC1224" s="167">
        <v>0</v>
      </c>
      <c r="CD1224" s="167">
        <v>0</v>
      </c>
      <c r="CE1224" s="167">
        <v>0</v>
      </c>
      <c r="CF1224" s="167">
        <v>0</v>
      </c>
      <c r="CG1224" s="167">
        <v>0</v>
      </c>
      <c r="CH1224" s="167">
        <f>$N1224/3</f>
        <v>0.33333333333333331</v>
      </c>
      <c r="CI1224" s="167">
        <f>$N1224/3</f>
        <v>0.33333333333333331</v>
      </c>
      <c r="CJ1224" s="167">
        <f>$N1224/3</f>
        <v>0.33333333333333331</v>
      </c>
      <c r="CK1224" s="167">
        <v>0</v>
      </c>
      <c r="CL1224" s="167">
        <v>0</v>
      </c>
      <c r="CM1224" s="167">
        <v>0</v>
      </c>
      <c r="CN1224" s="167">
        <v>0</v>
      </c>
      <c r="CO1224" s="167">
        <v>0</v>
      </c>
      <c r="CP1224" s="167">
        <v>0</v>
      </c>
      <c r="CQ1224" s="167">
        <v>0</v>
      </c>
      <c r="CR1224" s="167">
        <v>0</v>
      </c>
      <c r="CS1224" s="167">
        <v>0</v>
      </c>
      <c r="CT1224" s="167">
        <v>0</v>
      </c>
      <c r="CU1224" s="167">
        <v>0</v>
      </c>
      <c r="CV1224" s="167">
        <v>0</v>
      </c>
      <c r="CW1224" s="167">
        <v>0</v>
      </c>
      <c r="CX1224" s="167">
        <f>SUM(CD1224:CH1224)</f>
        <v>0.33333333333333331</v>
      </c>
      <c r="CY1224" s="167">
        <f>SUM(CD1224:CM1224)</f>
        <v>1</v>
      </c>
    </row>
    <row r="1225" spans="1:103" ht="12.75" customHeight="1" x14ac:dyDescent="0.2">
      <c r="A1225" s="81">
        <v>4345</v>
      </c>
      <c r="B1225" s="165" t="s">
        <v>1955</v>
      </c>
      <c r="C1225" s="165" t="s">
        <v>2092</v>
      </c>
      <c r="E1225" s="165" t="s">
        <v>2093</v>
      </c>
      <c r="F1225" s="165" t="s">
        <v>2095</v>
      </c>
      <c r="G1225" s="81">
        <v>527940</v>
      </c>
      <c r="H1225" s="81">
        <v>172391</v>
      </c>
      <c r="I1225" s="165" t="s">
        <v>254</v>
      </c>
      <c r="L1225" s="166">
        <v>0</v>
      </c>
      <c r="M1225" s="166">
        <v>1</v>
      </c>
      <c r="N1225" s="166">
        <v>1</v>
      </c>
      <c r="O1225" s="166">
        <v>3</v>
      </c>
      <c r="P1225" s="166">
        <v>2</v>
      </c>
      <c r="R1225" s="165" t="s">
        <v>2094</v>
      </c>
      <c r="S1225" s="81" t="s">
        <v>121</v>
      </c>
      <c r="T1225" s="349">
        <v>43181</v>
      </c>
      <c r="W1225" s="81" t="s">
        <v>114</v>
      </c>
      <c r="Y1225" s="81" t="s">
        <v>115</v>
      </c>
      <c r="Z1225" s="81" t="s">
        <v>398</v>
      </c>
      <c r="AA1225" s="81" t="s">
        <v>117</v>
      </c>
      <c r="AB1225" s="81" t="s">
        <v>218</v>
      </c>
      <c r="AC1225" s="166">
        <v>4.0000001899898104E-3</v>
      </c>
      <c r="AG1225" s="81" t="s">
        <v>238</v>
      </c>
      <c r="AH1225" s="81" t="s">
        <v>118</v>
      </c>
      <c r="AK1225" s="166">
        <v>0</v>
      </c>
      <c r="AM1225" s="166">
        <v>0</v>
      </c>
      <c r="AO1225" s="166">
        <v>0</v>
      </c>
      <c r="AP1225" s="166">
        <v>0</v>
      </c>
      <c r="AQ1225" s="166">
        <v>1</v>
      </c>
      <c r="AR1225" s="166">
        <v>0</v>
      </c>
      <c r="AS1225" s="166">
        <v>0</v>
      </c>
      <c r="AT1225" s="166">
        <v>0</v>
      </c>
      <c r="AU1225" s="166">
        <v>0</v>
      </c>
      <c r="AV1225" s="166">
        <v>0</v>
      </c>
      <c r="AW1225" s="166">
        <v>0</v>
      </c>
      <c r="AX1225" s="166">
        <v>1</v>
      </c>
      <c r="AY1225" s="166">
        <v>0</v>
      </c>
      <c r="AZ1225" s="166">
        <v>0</v>
      </c>
      <c r="BA1225" s="166">
        <v>0</v>
      </c>
      <c r="BB1225" s="166">
        <v>0</v>
      </c>
      <c r="BC1225" s="166">
        <v>0</v>
      </c>
      <c r="BD1225" s="166">
        <v>0</v>
      </c>
      <c r="BE1225" s="166">
        <v>0</v>
      </c>
      <c r="BF1225" s="166">
        <v>0</v>
      </c>
      <c r="BG1225" s="166">
        <v>0</v>
      </c>
      <c r="BH1225" s="166">
        <v>0</v>
      </c>
      <c r="BI1225" s="166">
        <v>0</v>
      </c>
      <c r="BJ1225" s="166">
        <v>0</v>
      </c>
      <c r="BK1225" s="166">
        <v>0</v>
      </c>
      <c r="BL1225" s="166">
        <v>0</v>
      </c>
      <c r="BM1225" s="166">
        <v>0</v>
      </c>
      <c r="BN1225" s="166">
        <v>0</v>
      </c>
      <c r="BO1225" s="166">
        <v>0</v>
      </c>
      <c r="BP1225" s="166">
        <v>0</v>
      </c>
      <c r="BQ1225" s="81" t="s">
        <v>1757</v>
      </c>
      <c r="BZ1225" s="81" t="s">
        <v>155</v>
      </c>
      <c r="CA1225" s="81">
        <v>10</v>
      </c>
      <c r="CC1225" s="167">
        <v>0</v>
      </c>
      <c r="CD1225" s="167">
        <v>0</v>
      </c>
      <c r="CE1225" s="167">
        <v>0</v>
      </c>
      <c r="CF1225" s="167">
        <v>0</v>
      </c>
      <c r="CG1225" s="167">
        <v>0</v>
      </c>
      <c r="CH1225" s="167">
        <f>$N1225/3</f>
        <v>0.33333333333333331</v>
      </c>
      <c r="CI1225" s="167">
        <f>$N1225/3</f>
        <v>0.33333333333333331</v>
      </c>
      <c r="CJ1225" s="167">
        <f>$N1225/3</f>
        <v>0.33333333333333331</v>
      </c>
      <c r="CK1225" s="167">
        <v>0</v>
      </c>
      <c r="CL1225" s="167">
        <v>0</v>
      </c>
      <c r="CM1225" s="167">
        <v>0</v>
      </c>
      <c r="CN1225" s="167">
        <v>0</v>
      </c>
      <c r="CO1225" s="167">
        <v>0</v>
      </c>
      <c r="CP1225" s="167">
        <v>0</v>
      </c>
      <c r="CQ1225" s="167">
        <v>0</v>
      </c>
      <c r="CR1225" s="167">
        <v>0</v>
      </c>
      <c r="CS1225" s="167">
        <v>0</v>
      </c>
      <c r="CT1225" s="167">
        <v>0</v>
      </c>
      <c r="CU1225" s="167">
        <v>0</v>
      </c>
      <c r="CV1225" s="167">
        <v>0</v>
      </c>
      <c r="CW1225" s="167">
        <v>0</v>
      </c>
      <c r="CX1225" s="167">
        <f>SUM(CD1225:CH1225)</f>
        <v>0.33333333333333331</v>
      </c>
      <c r="CY1225" s="167">
        <f>SUM(CD1225:CM1225)</f>
        <v>1</v>
      </c>
    </row>
    <row r="1226" spans="1:103" ht="12.75" customHeight="1" x14ac:dyDescent="0.2">
      <c r="A1226" s="81">
        <v>4345</v>
      </c>
      <c r="B1226" s="165" t="s">
        <v>1955</v>
      </c>
      <c r="C1226" s="165" t="s">
        <v>2092</v>
      </c>
      <c r="E1226" s="165" t="s">
        <v>2093</v>
      </c>
      <c r="G1226" s="81">
        <v>527940</v>
      </c>
      <c r="H1226" s="81">
        <v>172391</v>
      </c>
      <c r="I1226" s="165" t="s">
        <v>254</v>
      </c>
      <c r="L1226" s="166">
        <v>1</v>
      </c>
      <c r="M1226" s="166">
        <v>2</v>
      </c>
      <c r="N1226" s="166">
        <v>1</v>
      </c>
      <c r="O1226" s="166">
        <v>3</v>
      </c>
      <c r="P1226" s="166">
        <v>2</v>
      </c>
      <c r="R1226" s="165" t="s">
        <v>2094</v>
      </c>
      <c r="S1226" s="81" t="s">
        <v>121</v>
      </c>
      <c r="T1226" s="349">
        <v>43181</v>
      </c>
      <c r="W1226" s="81" t="s">
        <v>114</v>
      </c>
      <c r="Y1226" s="81" t="s">
        <v>115</v>
      </c>
      <c r="Z1226" s="81" t="s">
        <v>398</v>
      </c>
      <c r="AA1226" s="81" t="s">
        <v>117</v>
      </c>
      <c r="AB1226" s="81" t="s">
        <v>220</v>
      </c>
      <c r="AC1226" s="166">
        <v>7.0000002160668399E-3</v>
      </c>
      <c r="AG1226" s="81" t="s">
        <v>238</v>
      </c>
      <c r="AH1226" s="81" t="s">
        <v>118</v>
      </c>
      <c r="AK1226" s="166">
        <v>0</v>
      </c>
      <c r="AM1226" s="166">
        <v>0</v>
      </c>
      <c r="AO1226" s="166">
        <v>0</v>
      </c>
      <c r="AP1226" s="166">
        <v>1</v>
      </c>
      <c r="AQ1226" s="166">
        <v>1</v>
      </c>
      <c r="AR1226" s="166">
        <v>-1</v>
      </c>
      <c r="AS1226" s="166">
        <v>0</v>
      </c>
      <c r="AT1226" s="166">
        <v>0</v>
      </c>
      <c r="AU1226" s="166">
        <v>0</v>
      </c>
      <c r="AV1226" s="166">
        <v>0</v>
      </c>
      <c r="AW1226" s="166">
        <v>1</v>
      </c>
      <c r="AX1226" s="166">
        <v>1</v>
      </c>
      <c r="AY1226" s="166">
        <v>-1</v>
      </c>
      <c r="AZ1226" s="166">
        <v>0</v>
      </c>
      <c r="BA1226" s="166">
        <v>0</v>
      </c>
      <c r="BB1226" s="166">
        <v>0</v>
      </c>
      <c r="BC1226" s="166">
        <v>0</v>
      </c>
      <c r="BD1226" s="166">
        <v>0</v>
      </c>
      <c r="BE1226" s="166">
        <v>0</v>
      </c>
      <c r="BF1226" s="166">
        <v>0</v>
      </c>
      <c r="BG1226" s="166">
        <v>0</v>
      </c>
      <c r="BH1226" s="166">
        <v>0</v>
      </c>
      <c r="BI1226" s="166">
        <v>0</v>
      </c>
      <c r="BJ1226" s="166">
        <v>0</v>
      </c>
      <c r="BK1226" s="166">
        <v>0</v>
      </c>
      <c r="BL1226" s="166">
        <v>0</v>
      </c>
      <c r="BM1226" s="166">
        <v>0</v>
      </c>
      <c r="BN1226" s="166">
        <v>0</v>
      </c>
      <c r="BO1226" s="166">
        <v>0</v>
      </c>
      <c r="BP1226" s="166">
        <v>0</v>
      </c>
      <c r="BQ1226" s="81" t="s">
        <v>1757</v>
      </c>
      <c r="BZ1226" s="81" t="s">
        <v>155</v>
      </c>
      <c r="CA1226" s="81">
        <v>10</v>
      </c>
      <c r="CC1226" s="167">
        <v>0</v>
      </c>
      <c r="CD1226" s="167">
        <v>0</v>
      </c>
      <c r="CE1226" s="167">
        <v>0</v>
      </c>
      <c r="CF1226" s="167">
        <v>0</v>
      </c>
      <c r="CG1226" s="167">
        <v>0</v>
      </c>
      <c r="CH1226" s="167">
        <f>$N1226/3</f>
        <v>0.33333333333333331</v>
      </c>
      <c r="CI1226" s="167">
        <f>$N1226/3</f>
        <v>0.33333333333333331</v>
      </c>
      <c r="CJ1226" s="167">
        <f>$N1226/3</f>
        <v>0.33333333333333331</v>
      </c>
      <c r="CK1226" s="167">
        <v>0</v>
      </c>
      <c r="CL1226" s="167">
        <v>0</v>
      </c>
      <c r="CM1226" s="167">
        <v>0</v>
      </c>
      <c r="CN1226" s="167">
        <v>0</v>
      </c>
      <c r="CO1226" s="167">
        <v>0</v>
      </c>
      <c r="CP1226" s="167">
        <v>0</v>
      </c>
      <c r="CQ1226" s="167">
        <v>0</v>
      </c>
      <c r="CR1226" s="167">
        <v>0</v>
      </c>
      <c r="CS1226" s="167">
        <v>0</v>
      </c>
      <c r="CT1226" s="167">
        <v>0</v>
      </c>
      <c r="CU1226" s="167">
        <v>0</v>
      </c>
      <c r="CV1226" s="167">
        <v>0</v>
      </c>
      <c r="CW1226" s="167">
        <v>0</v>
      </c>
      <c r="CX1226" s="167">
        <f>SUM(CD1226:CH1226)</f>
        <v>0.33333333333333331</v>
      </c>
      <c r="CY1226" s="167">
        <f>SUM(CD1226:CM1226)</f>
        <v>1</v>
      </c>
    </row>
    <row r="1227" spans="1:103" ht="12.75" customHeight="1" x14ac:dyDescent="0.2">
      <c r="A1227" s="81">
        <v>4592</v>
      </c>
      <c r="B1227" s="165" t="s">
        <v>1955</v>
      </c>
      <c r="C1227" s="165" t="s">
        <v>3036</v>
      </c>
      <c r="E1227" s="165" t="s">
        <v>3037</v>
      </c>
      <c r="F1227" s="165" t="s">
        <v>3038</v>
      </c>
      <c r="G1227" s="81">
        <v>525349</v>
      </c>
      <c r="H1227" s="81">
        <v>174610</v>
      </c>
      <c r="I1227" s="165" t="s">
        <v>258</v>
      </c>
      <c r="L1227" s="166">
        <v>0</v>
      </c>
      <c r="M1227" s="166">
        <v>5</v>
      </c>
      <c r="N1227" s="166">
        <v>5</v>
      </c>
      <c r="O1227" s="166">
        <v>9</v>
      </c>
      <c r="P1227" s="166">
        <v>9</v>
      </c>
      <c r="R1227" s="165" t="s">
        <v>3039</v>
      </c>
      <c r="S1227" s="81" t="s">
        <v>121</v>
      </c>
      <c r="T1227" s="349">
        <v>43154</v>
      </c>
      <c r="W1227" s="81" t="s">
        <v>114</v>
      </c>
      <c r="Y1227" s="81" t="s">
        <v>115</v>
      </c>
      <c r="Z1227" s="81" t="s">
        <v>219</v>
      </c>
      <c r="AA1227" s="81" t="s">
        <v>117</v>
      </c>
      <c r="AB1227" s="81" t="s">
        <v>3889</v>
      </c>
      <c r="AC1227" s="166">
        <v>7.0000002160668399E-3</v>
      </c>
      <c r="AG1227" s="81" t="s">
        <v>238</v>
      </c>
      <c r="AH1227" s="81" t="s">
        <v>118</v>
      </c>
      <c r="AK1227" s="166">
        <v>0</v>
      </c>
      <c r="AM1227" s="166">
        <v>0</v>
      </c>
      <c r="AO1227" s="166">
        <v>0</v>
      </c>
      <c r="AP1227" s="166">
        <v>2</v>
      </c>
      <c r="AQ1227" s="166">
        <v>3</v>
      </c>
      <c r="AR1227" s="166">
        <v>0</v>
      </c>
      <c r="AS1227" s="166">
        <v>0</v>
      </c>
      <c r="AT1227" s="166">
        <v>0</v>
      </c>
      <c r="AU1227" s="166">
        <v>0</v>
      </c>
      <c r="AV1227" s="166">
        <v>0</v>
      </c>
      <c r="AW1227" s="166">
        <v>2</v>
      </c>
      <c r="AX1227" s="166">
        <v>3</v>
      </c>
      <c r="AY1227" s="166">
        <v>0</v>
      </c>
      <c r="AZ1227" s="166">
        <v>0</v>
      </c>
      <c r="BA1227" s="166">
        <v>0</v>
      </c>
      <c r="BB1227" s="166">
        <v>0</v>
      </c>
      <c r="BC1227" s="166">
        <v>0</v>
      </c>
      <c r="BD1227" s="166">
        <v>0</v>
      </c>
      <c r="BE1227" s="166">
        <v>0</v>
      </c>
      <c r="BF1227" s="166">
        <v>0</v>
      </c>
      <c r="BG1227" s="166">
        <v>0</v>
      </c>
      <c r="BH1227" s="166">
        <v>0</v>
      </c>
      <c r="BI1227" s="166">
        <v>0</v>
      </c>
      <c r="BJ1227" s="166">
        <v>0</v>
      </c>
      <c r="BK1227" s="166">
        <v>0</v>
      </c>
      <c r="BL1227" s="166">
        <v>0</v>
      </c>
      <c r="BM1227" s="166">
        <v>0</v>
      </c>
      <c r="BN1227" s="166">
        <v>0</v>
      </c>
      <c r="BO1227" s="166">
        <v>0</v>
      </c>
      <c r="BP1227" s="166">
        <v>0</v>
      </c>
      <c r="BQ1227" s="81" t="s">
        <v>1758</v>
      </c>
      <c r="BR1227" s="81" t="s">
        <v>202</v>
      </c>
      <c r="BT1227" s="81" t="s">
        <v>155</v>
      </c>
      <c r="BZ1227" s="81" t="s">
        <v>155</v>
      </c>
      <c r="CA1227" s="81">
        <v>10</v>
      </c>
      <c r="CC1227" s="167">
        <v>0</v>
      </c>
      <c r="CD1227" s="167">
        <v>0</v>
      </c>
      <c r="CE1227" s="167">
        <v>0</v>
      </c>
      <c r="CF1227" s="167">
        <v>0</v>
      </c>
      <c r="CG1227" s="167">
        <v>0</v>
      </c>
      <c r="CH1227" s="167">
        <f>$N1227/3</f>
        <v>1.6666666666666667</v>
      </c>
      <c r="CI1227" s="167">
        <f>$N1227/3</f>
        <v>1.6666666666666667</v>
      </c>
      <c r="CJ1227" s="167">
        <f>$N1227/3</f>
        <v>1.6666666666666667</v>
      </c>
      <c r="CK1227" s="167">
        <v>0</v>
      </c>
      <c r="CL1227" s="167">
        <v>0</v>
      </c>
      <c r="CM1227" s="167">
        <v>0</v>
      </c>
      <c r="CN1227" s="167">
        <v>0</v>
      </c>
      <c r="CO1227" s="167">
        <v>0</v>
      </c>
      <c r="CP1227" s="167">
        <v>0</v>
      </c>
      <c r="CQ1227" s="167">
        <v>0</v>
      </c>
      <c r="CR1227" s="167">
        <v>0</v>
      </c>
      <c r="CS1227" s="167">
        <v>0</v>
      </c>
      <c r="CT1227" s="167">
        <v>0</v>
      </c>
      <c r="CU1227" s="167">
        <v>0</v>
      </c>
      <c r="CV1227" s="167">
        <v>0</v>
      </c>
      <c r="CW1227" s="167">
        <v>0</v>
      </c>
      <c r="CX1227" s="167">
        <f>SUM(CD1227:CH1227)</f>
        <v>1.6666666666666667</v>
      </c>
      <c r="CY1227" s="167">
        <f>SUM(CD1227:CM1227)</f>
        <v>5</v>
      </c>
    </row>
    <row r="1228" spans="1:103" ht="12.75" customHeight="1" x14ac:dyDescent="0.2">
      <c r="A1228" s="81">
        <v>4592</v>
      </c>
      <c r="B1228" s="165" t="s">
        <v>1955</v>
      </c>
      <c r="C1228" s="165" t="s">
        <v>3036</v>
      </c>
      <c r="E1228" s="165" t="s">
        <v>3037</v>
      </c>
      <c r="F1228" s="165" t="s">
        <v>3040</v>
      </c>
      <c r="G1228" s="81">
        <v>525349</v>
      </c>
      <c r="H1228" s="81">
        <v>174610</v>
      </c>
      <c r="I1228" s="165" t="s">
        <v>258</v>
      </c>
      <c r="L1228" s="166">
        <v>0</v>
      </c>
      <c r="M1228" s="166">
        <v>4</v>
      </c>
      <c r="N1228" s="166">
        <v>4</v>
      </c>
      <c r="O1228" s="166">
        <v>9</v>
      </c>
      <c r="P1228" s="166">
        <v>9</v>
      </c>
      <c r="R1228" s="165" t="s">
        <v>3039</v>
      </c>
      <c r="S1228" s="81" t="s">
        <v>121</v>
      </c>
      <c r="T1228" s="349">
        <v>43154</v>
      </c>
      <c r="W1228" s="81" t="s">
        <v>114</v>
      </c>
      <c r="Y1228" s="81" t="s">
        <v>115</v>
      </c>
      <c r="Z1228" s="81" t="s">
        <v>219</v>
      </c>
      <c r="AA1228" s="81" t="s">
        <v>117</v>
      </c>
      <c r="AB1228" s="81" t="s">
        <v>3889</v>
      </c>
      <c r="AC1228" s="166">
        <v>4.9999998882412902E-3</v>
      </c>
      <c r="AG1228" s="81" t="s">
        <v>238</v>
      </c>
      <c r="AH1228" s="81" t="s">
        <v>118</v>
      </c>
      <c r="AK1228" s="166">
        <v>0</v>
      </c>
      <c r="AM1228" s="166">
        <v>0</v>
      </c>
      <c r="AO1228" s="166">
        <v>0</v>
      </c>
      <c r="AP1228" s="166">
        <v>2</v>
      </c>
      <c r="AQ1228" s="166">
        <v>2</v>
      </c>
      <c r="AR1228" s="166">
        <v>0</v>
      </c>
      <c r="AS1228" s="166">
        <v>0</v>
      </c>
      <c r="AT1228" s="166">
        <v>0</v>
      </c>
      <c r="AU1228" s="166">
        <v>0</v>
      </c>
      <c r="AV1228" s="166">
        <v>0</v>
      </c>
      <c r="AW1228" s="166">
        <v>2</v>
      </c>
      <c r="AX1228" s="166">
        <v>2</v>
      </c>
      <c r="AY1228" s="166">
        <v>0</v>
      </c>
      <c r="AZ1228" s="166">
        <v>0</v>
      </c>
      <c r="BA1228" s="166">
        <v>0</v>
      </c>
      <c r="BB1228" s="166">
        <v>0</v>
      </c>
      <c r="BC1228" s="166">
        <v>0</v>
      </c>
      <c r="BD1228" s="166">
        <v>0</v>
      </c>
      <c r="BE1228" s="166">
        <v>0</v>
      </c>
      <c r="BF1228" s="166">
        <v>0</v>
      </c>
      <c r="BG1228" s="166">
        <v>0</v>
      </c>
      <c r="BH1228" s="166">
        <v>0</v>
      </c>
      <c r="BI1228" s="166">
        <v>0</v>
      </c>
      <c r="BJ1228" s="166">
        <v>0</v>
      </c>
      <c r="BK1228" s="166">
        <v>0</v>
      </c>
      <c r="BL1228" s="166">
        <v>0</v>
      </c>
      <c r="BM1228" s="166">
        <v>0</v>
      </c>
      <c r="BN1228" s="166">
        <v>0</v>
      </c>
      <c r="BO1228" s="166">
        <v>0</v>
      </c>
      <c r="BP1228" s="166">
        <v>0</v>
      </c>
      <c r="BQ1228" s="81" t="s">
        <v>1758</v>
      </c>
      <c r="BR1228" s="81" t="s">
        <v>202</v>
      </c>
      <c r="BT1228" s="81" t="s">
        <v>155</v>
      </c>
      <c r="BZ1228" s="81" t="s">
        <v>155</v>
      </c>
      <c r="CA1228" s="81">
        <v>10</v>
      </c>
      <c r="CC1228" s="167">
        <v>0</v>
      </c>
      <c r="CD1228" s="167">
        <v>0</v>
      </c>
      <c r="CE1228" s="167">
        <v>0</v>
      </c>
      <c r="CF1228" s="167">
        <v>0</v>
      </c>
      <c r="CG1228" s="167">
        <v>0</v>
      </c>
      <c r="CH1228" s="167">
        <f>$N1228/3</f>
        <v>1.3333333333333333</v>
      </c>
      <c r="CI1228" s="167">
        <f>$N1228/3</f>
        <v>1.3333333333333333</v>
      </c>
      <c r="CJ1228" s="167">
        <f>$N1228/3</f>
        <v>1.3333333333333333</v>
      </c>
      <c r="CK1228" s="167">
        <v>0</v>
      </c>
      <c r="CL1228" s="167">
        <v>0</v>
      </c>
      <c r="CM1228" s="167">
        <v>0</v>
      </c>
      <c r="CN1228" s="167">
        <v>0</v>
      </c>
      <c r="CO1228" s="167">
        <v>0</v>
      </c>
      <c r="CP1228" s="167">
        <v>0</v>
      </c>
      <c r="CQ1228" s="167">
        <v>0</v>
      </c>
      <c r="CR1228" s="167">
        <v>0</v>
      </c>
      <c r="CS1228" s="167">
        <v>0</v>
      </c>
      <c r="CT1228" s="167">
        <v>0</v>
      </c>
      <c r="CU1228" s="167">
        <v>0</v>
      </c>
      <c r="CV1228" s="167">
        <v>0</v>
      </c>
      <c r="CW1228" s="167">
        <v>0</v>
      </c>
      <c r="CX1228" s="167">
        <f>SUM(CD1228:CH1228)</f>
        <v>1.3333333333333333</v>
      </c>
      <c r="CY1228" s="167">
        <f>SUM(CD1228:CM1228)</f>
        <v>4</v>
      </c>
    </row>
    <row r="1229" spans="1:103" ht="12.75" customHeight="1" x14ac:dyDescent="0.2">
      <c r="A1229" s="81">
        <v>4643</v>
      </c>
      <c r="B1229" s="165" t="s">
        <v>1955</v>
      </c>
      <c r="C1229" s="165" t="s">
        <v>2097</v>
      </c>
      <c r="E1229" s="165" t="s">
        <v>2098</v>
      </c>
      <c r="G1229" s="81">
        <v>528560</v>
      </c>
      <c r="H1229" s="81">
        <v>173342</v>
      </c>
      <c r="I1229" s="165" t="s">
        <v>247</v>
      </c>
      <c r="L1229" s="166">
        <v>1</v>
      </c>
      <c r="M1229" s="166">
        <v>2</v>
      </c>
      <c r="N1229" s="166">
        <v>1</v>
      </c>
      <c r="O1229" s="166">
        <v>2</v>
      </c>
      <c r="P1229" s="166">
        <v>1</v>
      </c>
      <c r="R1229" s="165" t="s">
        <v>2099</v>
      </c>
      <c r="S1229" s="81" t="s">
        <v>121</v>
      </c>
      <c r="T1229" s="349">
        <v>43124</v>
      </c>
      <c r="W1229" s="81" t="s">
        <v>114</v>
      </c>
      <c r="Y1229" s="81" t="s">
        <v>115</v>
      </c>
      <c r="Z1229" s="81" t="s">
        <v>119</v>
      </c>
      <c r="AA1229" s="81" t="s">
        <v>117</v>
      </c>
      <c r="AB1229" s="81" t="s">
        <v>220</v>
      </c>
      <c r="AC1229" s="166">
        <v>4.0000001899898104E-3</v>
      </c>
      <c r="AG1229" s="81" t="s">
        <v>238</v>
      </c>
      <c r="AH1229" s="81" t="s">
        <v>118</v>
      </c>
      <c r="AK1229" s="166">
        <v>0</v>
      </c>
      <c r="AM1229" s="166">
        <v>0</v>
      </c>
      <c r="AO1229" s="166">
        <v>1</v>
      </c>
      <c r="AP1229" s="166">
        <v>1</v>
      </c>
      <c r="AQ1229" s="166">
        <v>-1</v>
      </c>
      <c r="AR1229" s="166">
        <v>0</v>
      </c>
      <c r="AS1229" s="166">
        <v>0</v>
      </c>
      <c r="AT1229" s="166">
        <v>0</v>
      </c>
      <c r="AU1229" s="166">
        <v>0</v>
      </c>
      <c r="AV1229" s="166">
        <v>1</v>
      </c>
      <c r="AW1229" s="166">
        <v>1</v>
      </c>
      <c r="AX1229" s="166">
        <v>-1</v>
      </c>
      <c r="AY1229" s="166">
        <v>0</v>
      </c>
      <c r="AZ1229" s="166">
        <v>0</v>
      </c>
      <c r="BA1229" s="166">
        <v>0</v>
      </c>
      <c r="BB1229" s="166">
        <v>0</v>
      </c>
      <c r="BC1229" s="166">
        <v>0</v>
      </c>
      <c r="BD1229" s="166">
        <v>0</v>
      </c>
      <c r="BE1229" s="166">
        <v>0</v>
      </c>
      <c r="BF1229" s="166">
        <v>0</v>
      </c>
      <c r="BG1229" s="166">
        <v>0</v>
      </c>
      <c r="BH1229" s="166">
        <v>0</v>
      </c>
      <c r="BI1229" s="166">
        <v>0</v>
      </c>
      <c r="BJ1229" s="166">
        <v>0</v>
      </c>
      <c r="BK1229" s="166">
        <v>0</v>
      </c>
      <c r="BL1229" s="166">
        <v>0</v>
      </c>
      <c r="BM1229" s="166">
        <v>0</v>
      </c>
      <c r="BN1229" s="166">
        <v>0</v>
      </c>
      <c r="BO1229" s="166">
        <v>0</v>
      </c>
      <c r="BP1229" s="166">
        <v>0</v>
      </c>
      <c r="BQ1229" s="81" t="s">
        <v>1757</v>
      </c>
      <c r="BR1229" s="81" t="s">
        <v>247</v>
      </c>
      <c r="BZ1229" s="81" t="s">
        <v>155</v>
      </c>
      <c r="CA1229" s="81">
        <v>10</v>
      </c>
      <c r="CC1229" s="167">
        <v>0</v>
      </c>
      <c r="CD1229" s="167">
        <v>0</v>
      </c>
      <c r="CE1229" s="167">
        <v>0</v>
      </c>
      <c r="CF1229" s="167">
        <v>0</v>
      </c>
      <c r="CG1229" s="167">
        <v>0</v>
      </c>
      <c r="CH1229" s="167">
        <f>$N1229/3</f>
        <v>0.33333333333333331</v>
      </c>
      <c r="CI1229" s="167">
        <f>$N1229/3</f>
        <v>0.33333333333333331</v>
      </c>
      <c r="CJ1229" s="167">
        <f>$N1229/3</f>
        <v>0.33333333333333331</v>
      </c>
      <c r="CK1229" s="167">
        <v>0</v>
      </c>
      <c r="CL1229" s="167">
        <v>0</v>
      </c>
      <c r="CM1229" s="167">
        <v>0</v>
      </c>
      <c r="CN1229" s="167">
        <v>0</v>
      </c>
      <c r="CO1229" s="167">
        <v>0</v>
      </c>
      <c r="CP1229" s="167">
        <v>0</v>
      </c>
      <c r="CQ1229" s="167">
        <v>0</v>
      </c>
      <c r="CR1229" s="167">
        <v>0</v>
      </c>
      <c r="CS1229" s="167">
        <v>0</v>
      </c>
      <c r="CT1229" s="167">
        <v>0</v>
      </c>
      <c r="CU1229" s="167">
        <v>0</v>
      </c>
      <c r="CV1229" s="167">
        <v>0</v>
      </c>
      <c r="CW1229" s="167">
        <v>0</v>
      </c>
      <c r="CX1229" s="167">
        <f>SUM(CD1229:CH1229)</f>
        <v>0.33333333333333331</v>
      </c>
      <c r="CY1229" s="167">
        <f>SUM(CD1229:CM1229)</f>
        <v>1</v>
      </c>
    </row>
    <row r="1230" spans="1:103" ht="12.75" customHeight="1" x14ac:dyDescent="0.2">
      <c r="A1230" s="81">
        <v>4750</v>
      </c>
      <c r="B1230" s="165" t="s">
        <v>1955</v>
      </c>
      <c r="C1230" s="165" t="s">
        <v>2100</v>
      </c>
      <c r="E1230" s="165" t="s">
        <v>2101</v>
      </c>
      <c r="G1230" s="81">
        <v>525522</v>
      </c>
      <c r="H1230" s="81">
        <v>174660</v>
      </c>
      <c r="I1230" s="165" t="s">
        <v>258</v>
      </c>
      <c r="L1230" s="166">
        <v>0</v>
      </c>
      <c r="M1230" s="166">
        <v>6</v>
      </c>
      <c r="N1230" s="166">
        <v>6</v>
      </c>
      <c r="O1230" s="166">
        <v>6</v>
      </c>
      <c r="P1230" s="166">
        <v>6</v>
      </c>
      <c r="R1230" s="165" t="s">
        <v>2102</v>
      </c>
      <c r="S1230" s="81" t="s">
        <v>121</v>
      </c>
      <c r="T1230" s="349">
        <v>43180</v>
      </c>
      <c r="W1230" s="81" t="s">
        <v>114</v>
      </c>
      <c r="Y1230" s="81" t="s">
        <v>115</v>
      </c>
      <c r="Z1230" s="81" t="s">
        <v>398</v>
      </c>
      <c r="AA1230" s="81" t="s">
        <v>117</v>
      </c>
      <c r="AB1230" s="81" t="s">
        <v>218</v>
      </c>
      <c r="AC1230" s="166">
        <v>1.8999999389052401E-2</v>
      </c>
      <c r="AG1230" s="81" t="s">
        <v>238</v>
      </c>
      <c r="AH1230" s="81" t="s">
        <v>118</v>
      </c>
      <c r="AK1230" s="166">
        <v>0</v>
      </c>
      <c r="AL1230" s="166">
        <v>6</v>
      </c>
      <c r="AM1230" s="166">
        <v>0</v>
      </c>
      <c r="AO1230" s="166">
        <v>1</v>
      </c>
      <c r="AP1230" s="166">
        <v>1</v>
      </c>
      <c r="AQ1230" s="166">
        <v>4</v>
      </c>
      <c r="AR1230" s="166">
        <v>0</v>
      </c>
      <c r="AS1230" s="166">
        <v>0</v>
      </c>
      <c r="AT1230" s="166">
        <v>0</v>
      </c>
      <c r="AU1230" s="166">
        <v>0</v>
      </c>
      <c r="AV1230" s="166">
        <v>1</v>
      </c>
      <c r="AW1230" s="166">
        <v>1</v>
      </c>
      <c r="AX1230" s="166">
        <v>4</v>
      </c>
      <c r="AY1230" s="166">
        <v>0</v>
      </c>
      <c r="AZ1230" s="166">
        <v>0</v>
      </c>
      <c r="BA1230" s="166">
        <v>0</v>
      </c>
      <c r="BB1230" s="166">
        <v>0</v>
      </c>
      <c r="BC1230" s="166">
        <v>0</v>
      </c>
      <c r="BD1230" s="166">
        <v>0</v>
      </c>
      <c r="BE1230" s="166">
        <v>0</v>
      </c>
      <c r="BF1230" s="166">
        <v>0</v>
      </c>
      <c r="BG1230" s="166">
        <v>0</v>
      </c>
      <c r="BH1230" s="166">
        <v>0</v>
      </c>
      <c r="BI1230" s="166">
        <v>0</v>
      </c>
      <c r="BJ1230" s="166">
        <v>0</v>
      </c>
      <c r="BK1230" s="166">
        <v>0</v>
      </c>
      <c r="BL1230" s="166">
        <v>0</v>
      </c>
      <c r="BM1230" s="166">
        <v>0</v>
      </c>
      <c r="BN1230" s="166">
        <v>0</v>
      </c>
      <c r="BO1230" s="166">
        <v>0</v>
      </c>
      <c r="BP1230" s="166">
        <v>0</v>
      </c>
      <c r="BQ1230" s="81" t="s">
        <v>1758</v>
      </c>
      <c r="BR1230" s="81" t="s">
        <v>202</v>
      </c>
      <c r="BT1230" s="81" t="s">
        <v>155</v>
      </c>
      <c r="BZ1230" s="81" t="s">
        <v>155</v>
      </c>
      <c r="CA1230" s="81">
        <v>10</v>
      </c>
      <c r="CC1230" s="167">
        <v>0</v>
      </c>
      <c r="CD1230" s="167">
        <v>0</v>
      </c>
      <c r="CE1230" s="167">
        <v>0</v>
      </c>
      <c r="CF1230" s="167">
        <v>0</v>
      </c>
      <c r="CG1230" s="167">
        <v>0</v>
      </c>
      <c r="CH1230" s="167">
        <f>$N1230/3</f>
        <v>2</v>
      </c>
      <c r="CI1230" s="167">
        <f>$N1230/3</f>
        <v>2</v>
      </c>
      <c r="CJ1230" s="167">
        <f>$N1230/3</f>
        <v>2</v>
      </c>
      <c r="CK1230" s="167">
        <v>0</v>
      </c>
      <c r="CL1230" s="167">
        <v>0</v>
      </c>
      <c r="CM1230" s="167">
        <v>0</v>
      </c>
      <c r="CN1230" s="167">
        <v>0</v>
      </c>
      <c r="CO1230" s="167">
        <v>0</v>
      </c>
      <c r="CP1230" s="167">
        <v>0</v>
      </c>
      <c r="CQ1230" s="167">
        <v>0</v>
      </c>
      <c r="CR1230" s="167">
        <v>0</v>
      </c>
      <c r="CS1230" s="167">
        <v>0</v>
      </c>
      <c r="CT1230" s="167">
        <v>0</v>
      </c>
      <c r="CU1230" s="167">
        <v>0</v>
      </c>
      <c r="CV1230" s="167">
        <v>0</v>
      </c>
      <c r="CW1230" s="167">
        <v>0</v>
      </c>
      <c r="CX1230" s="167">
        <f>SUM(CD1230:CH1230)</f>
        <v>2</v>
      </c>
      <c r="CY1230" s="167">
        <f>SUM(CD1230:CM1230)</f>
        <v>6</v>
      </c>
    </row>
    <row r="1231" spans="1:103" ht="12.75" customHeight="1" x14ac:dyDescent="0.2">
      <c r="A1231" s="81">
        <v>4775</v>
      </c>
      <c r="B1231" s="165" t="s">
        <v>1955</v>
      </c>
      <c r="C1231" s="165" t="s">
        <v>2103</v>
      </c>
      <c r="E1231" s="165" t="s">
        <v>2104</v>
      </c>
      <c r="G1231" s="81">
        <v>521333</v>
      </c>
      <c r="H1231" s="81">
        <v>174425</v>
      </c>
      <c r="I1231" s="165" t="s">
        <v>877</v>
      </c>
      <c r="L1231" s="166">
        <v>3</v>
      </c>
      <c r="M1231" s="166">
        <v>8</v>
      </c>
      <c r="N1231" s="166">
        <v>5</v>
      </c>
      <c r="O1231" s="166">
        <v>8</v>
      </c>
      <c r="P1231" s="166">
        <v>5</v>
      </c>
      <c r="R1231" s="165" t="s">
        <v>2105</v>
      </c>
      <c r="S1231" s="81" t="s">
        <v>121</v>
      </c>
      <c r="T1231" s="349">
        <v>43082</v>
      </c>
      <c r="W1231" s="81" t="s">
        <v>114</v>
      </c>
      <c r="Y1231" s="81" t="s">
        <v>115</v>
      </c>
      <c r="Z1231" s="81" t="s">
        <v>398</v>
      </c>
      <c r="AA1231" s="81" t="s">
        <v>117</v>
      </c>
      <c r="AB1231" s="81" t="s">
        <v>218</v>
      </c>
      <c r="AC1231" s="166">
        <v>0</v>
      </c>
      <c r="AG1231" s="81" t="s">
        <v>238</v>
      </c>
      <c r="AH1231" s="81" t="s">
        <v>118</v>
      </c>
      <c r="AK1231" s="166">
        <v>0</v>
      </c>
      <c r="AM1231" s="166">
        <v>0</v>
      </c>
      <c r="AO1231" s="166">
        <v>1</v>
      </c>
      <c r="AP1231" s="166">
        <v>2</v>
      </c>
      <c r="AQ1231" s="166">
        <v>-1</v>
      </c>
      <c r="AR1231" s="166">
        <v>4</v>
      </c>
      <c r="AS1231" s="166">
        <v>-2</v>
      </c>
      <c r="AT1231" s="166">
        <v>1</v>
      </c>
      <c r="AU1231" s="166">
        <v>0</v>
      </c>
      <c r="AV1231" s="166">
        <v>1</v>
      </c>
      <c r="AW1231" s="166">
        <v>2</v>
      </c>
      <c r="AX1231" s="166">
        <v>-1</v>
      </c>
      <c r="AY1231" s="166">
        <v>0</v>
      </c>
      <c r="AZ1231" s="166">
        <v>-1</v>
      </c>
      <c r="BA1231" s="166">
        <v>0</v>
      </c>
      <c r="BB1231" s="166">
        <v>0</v>
      </c>
      <c r="BC1231" s="166">
        <v>0</v>
      </c>
      <c r="BD1231" s="166">
        <v>0</v>
      </c>
      <c r="BE1231" s="166">
        <v>0</v>
      </c>
      <c r="BF1231" s="166">
        <v>4</v>
      </c>
      <c r="BG1231" s="166">
        <v>-1</v>
      </c>
      <c r="BH1231" s="166">
        <v>1</v>
      </c>
      <c r="BI1231" s="166">
        <v>0</v>
      </c>
      <c r="BJ1231" s="166">
        <v>0</v>
      </c>
      <c r="BK1231" s="166">
        <v>0</v>
      </c>
      <c r="BL1231" s="166">
        <v>0</v>
      </c>
      <c r="BM1231" s="166">
        <v>0</v>
      </c>
      <c r="BN1231" s="166">
        <v>0</v>
      </c>
      <c r="BO1231" s="166">
        <v>0</v>
      </c>
      <c r="BP1231" s="166">
        <v>0</v>
      </c>
      <c r="BQ1231" s="81" t="s">
        <v>1758</v>
      </c>
      <c r="BZ1231" s="81" t="s">
        <v>155</v>
      </c>
      <c r="CA1231" s="81">
        <v>10</v>
      </c>
      <c r="CC1231" s="167">
        <v>0</v>
      </c>
      <c r="CD1231" s="167">
        <v>0</v>
      </c>
      <c r="CE1231" s="167">
        <v>0</v>
      </c>
      <c r="CF1231" s="167">
        <v>0</v>
      </c>
      <c r="CG1231" s="167">
        <v>0</v>
      </c>
      <c r="CH1231" s="167">
        <f>$N1231/3</f>
        <v>1.6666666666666667</v>
      </c>
      <c r="CI1231" s="167">
        <f>$N1231/3</f>
        <v>1.6666666666666667</v>
      </c>
      <c r="CJ1231" s="167">
        <f>$N1231/3</f>
        <v>1.6666666666666667</v>
      </c>
      <c r="CK1231" s="167">
        <v>0</v>
      </c>
      <c r="CL1231" s="167">
        <v>0</v>
      </c>
      <c r="CM1231" s="167">
        <v>0</v>
      </c>
      <c r="CN1231" s="167">
        <v>0</v>
      </c>
      <c r="CO1231" s="167">
        <v>0</v>
      </c>
      <c r="CP1231" s="167">
        <v>0</v>
      </c>
      <c r="CQ1231" s="167">
        <v>0</v>
      </c>
      <c r="CR1231" s="167">
        <v>0</v>
      </c>
      <c r="CS1231" s="167">
        <v>0</v>
      </c>
      <c r="CT1231" s="167">
        <v>0</v>
      </c>
      <c r="CU1231" s="167">
        <v>0</v>
      </c>
      <c r="CV1231" s="167">
        <v>0</v>
      </c>
      <c r="CW1231" s="167">
        <v>0</v>
      </c>
      <c r="CX1231" s="167">
        <f>SUM(CD1231:CH1231)</f>
        <v>1.6666666666666667</v>
      </c>
      <c r="CY1231" s="167">
        <f>SUM(CD1231:CM1231)</f>
        <v>5</v>
      </c>
    </row>
    <row r="1232" spans="1:103" ht="12.75" customHeight="1" x14ac:dyDescent="0.2">
      <c r="A1232" s="81">
        <v>4797</v>
      </c>
      <c r="B1232" s="165" t="s">
        <v>1955</v>
      </c>
      <c r="C1232" s="165" t="s">
        <v>2106</v>
      </c>
      <c r="D1232" s="165" t="s">
        <v>2107</v>
      </c>
      <c r="E1232" s="165" t="s">
        <v>2108</v>
      </c>
      <c r="G1232" s="81">
        <v>527293</v>
      </c>
      <c r="H1232" s="81">
        <v>177185</v>
      </c>
      <c r="I1232" s="165" t="s">
        <v>257</v>
      </c>
      <c r="L1232" s="166">
        <v>0</v>
      </c>
      <c r="M1232" s="166">
        <v>1</v>
      </c>
      <c r="N1232" s="166">
        <v>1</v>
      </c>
      <c r="O1232" s="166">
        <v>1</v>
      </c>
      <c r="P1232" s="166">
        <v>1</v>
      </c>
      <c r="R1232" s="165" t="s">
        <v>2109</v>
      </c>
      <c r="S1232" s="81" t="s">
        <v>802</v>
      </c>
      <c r="T1232" s="349">
        <v>43151</v>
      </c>
      <c r="W1232" s="81" t="s">
        <v>114</v>
      </c>
      <c r="Y1232" s="81" t="s">
        <v>115</v>
      </c>
      <c r="Z1232" s="81" t="s">
        <v>310</v>
      </c>
      <c r="AA1232" s="81" t="s">
        <v>117</v>
      </c>
      <c r="AB1232" s="81" t="s">
        <v>399</v>
      </c>
      <c r="AC1232" s="166">
        <v>0</v>
      </c>
      <c r="AG1232" s="81" t="s">
        <v>238</v>
      </c>
      <c r="AH1232" s="81" t="s">
        <v>118</v>
      </c>
      <c r="AK1232" s="166">
        <v>0</v>
      </c>
      <c r="AM1232" s="166">
        <v>0</v>
      </c>
      <c r="AO1232" s="166">
        <v>0</v>
      </c>
      <c r="AP1232" s="166">
        <v>0</v>
      </c>
      <c r="AQ1232" s="166">
        <v>1</v>
      </c>
      <c r="AR1232" s="166">
        <v>0</v>
      </c>
      <c r="AS1232" s="166">
        <v>0</v>
      </c>
      <c r="AT1232" s="166">
        <v>0</v>
      </c>
      <c r="AU1232" s="166">
        <v>0</v>
      </c>
      <c r="AV1232" s="166">
        <v>0</v>
      </c>
      <c r="AW1232" s="166">
        <v>0</v>
      </c>
      <c r="AX1232" s="166">
        <v>1</v>
      </c>
      <c r="AY1232" s="166">
        <v>0</v>
      </c>
      <c r="AZ1232" s="166">
        <v>0</v>
      </c>
      <c r="BA1232" s="166">
        <v>0</v>
      </c>
      <c r="BB1232" s="166">
        <v>0</v>
      </c>
      <c r="BC1232" s="166">
        <v>0</v>
      </c>
      <c r="BD1232" s="166">
        <v>0</v>
      </c>
      <c r="BE1232" s="166">
        <v>0</v>
      </c>
      <c r="BF1232" s="166">
        <v>0</v>
      </c>
      <c r="BG1232" s="166">
        <v>0</v>
      </c>
      <c r="BH1232" s="166">
        <v>0</v>
      </c>
      <c r="BI1232" s="166">
        <v>0</v>
      </c>
      <c r="BJ1232" s="166">
        <v>0</v>
      </c>
      <c r="BK1232" s="166">
        <v>0</v>
      </c>
      <c r="BL1232" s="166">
        <v>0</v>
      </c>
      <c r="BM1232" s="166">
        <v>0</v>
      </c>
      <c r="BN1232" s="166">
        <v>0</v>
      </c>
      <c r="BO1232" s="166">
        <v>0</v>
      </c>
      <c r="BP1232" s="166">
        <v>0</v>
      </c>
      <c r="BQ1232" s="81" t="s">
        <v>1757</v>
      </c>
      <c r="BX1232" s="81" t="s">
        <v>155</v>
      </c>
      <c r="BZ1232" s="81" t="s">
        <v>155</v>
      </c>
      <c r="CA1232" s="81">
        <v>10</v>
      </c>
      <c r="CC1232" s="167">
        <v>0</v>
      </c>
      <c r="CD1232" s="167">
        <v>0</v>
      </c>
      <c r="CE1232" s="167">
        <v>0</v>
      </c>
      <c r="CF1232" s="167">
        <v>0</v>
      </c>
      <c r="CG1232" s="167">
        <v>0</v>
      </c>
      <c r="CH1232" s="167">
        <f>$N1232/3</f>
        <v>0.33333333333333331</v>
      </c>
      <c r="CI1232" s="167">
        <f>$N1232/3</f>
        <v>0.33333333333333331</v>
      </c>
      <c r="CJ1232" s="167">
        <f>$N1232/3</f>
        <v>0.33333333333333331</v>
      </c>
      <c r="CK1232" s="167">
        <v>0</v>
      </c>
      <c r="CL1232" s="167">
        <v>0</v>
      </c>
      <c r="CM1232" s="167">
        <v>0</v>
      </c>
      <c r="CN1232" s="167">
        <v>0</v>
      </c>
      <c r="CO1232" s="167">
        <v>0</v>
      </c>
      <c r="CP1232" s="167">
        <v>0</v>
      </c>
      <c r="CQ1232" s="167">
        <v>0</v>
      </c>
      <c r="CR1232" s="167">
        <v>0</v>
      </c>
      <c r="CS1232" s="167">
        <v>0</v>
      </c>
      <c r="CT1232" s="167">
        <v>0</v>
      </c>
      <c r="CU1232" s="167">
        <v>0</v>
      </c>
      <c r="CV1232" s="167">
        <v>0</v>
      </c>
      <c r="CW1232" s="167">
        <v>0</v>
      </c>
      <c r="CX1232" s="167">
        <f>SUM(CD1232:CH1232)</f>
        <v>0.33333333333333331</v>
      </c>
      <c r="CY1232" s="167">
        <f>SUM(CD1232:CM1232)</f>
        <v>1</v>
      </c>
    </row>
    <row r="1233" spans="1:103" ht="12.75" customHeight="1" x14ac:dyDescent="0.2">
      <c r="A1233" s="81">
        <v>4980</v>
      </c>
      <c r="B1233" s="165" t="s">
        <v>1955</v>
      </c>
      <c r="C1233" s="165" t="s">
        <v>2110</v>
      </c>
      <c r="D1233" s="165" t="s">
        <v>2107</v>
      </c>
      <c r="E1233" s="165" t="s">
        <v>2111</v>
      </c>
      <c r="G1233" s="81">
        <v>527292</v>
      </c>
      <c r="H1233" s="81">
        <v>177189</v>
      </c>
      <c r="I1233" s="165" t="s">
        <v>257</v>
      </c>
      <c r="L1233" s="166">
        <v>0</v>
      </c>
      <c r="M1233" s="166">
        <v>1</v>
      </c>
      <c r="N1233" s="166">
        <v>1</v>
      </c>
      <c r="O1233" s="166">
        <v>1</v>
      </c>
      <c r="P1233" s="166">
        <v>1</v>
      </c>
      <c r="R1233" s="165" t="s">
        <v>2112</v>
      </c>
      <c r="S1233" s="81" t="s">
        <v>802</v>
      </c>
      <c r="T1233" s="349">
        <v>43151</v>
      </c>
      <c r="W1233" s="81" t="s">
        <v>114</v>
      </c>
      <c r="Y1233" s="81" t="s">
        <v>115</v>
      </c>
      <c r="Z1233" s="81" t="s">
        <v>310</v>
      </c>
      <c r="AA1233" s="81" t="s">
        <v>117</v>
      </c>
      <c r="AB1233" s="81" t="s">
        <v>399</v>
      </c>
      <c r="AC1233" s="166">
        <v>0</v>
      </c>
      <c r="AG1233" s="81" t="s">
        <v>238</v>
      </c>
      <c r="AH1233" s="81" t="s">
        <v>118</v>
      </c>
      <c r="AK1233" s="166">
        <v>0</v>
      </c>
      <c r="AM1233" s="166">
        <v>0</v>
      </c>
      <c r="AO1233" s="166">
        <v>0</v>
      </c>
      <c r="AP1233" s="166">
        <v>1</v>
      </c>
      <c r="AQ1233" s="166">
        <v>0</v>
      </c>
      <c r="AR1233" s="166">
        <v>0</v>
      </c>
      <c r="AS1233" s="166">
        <v>0</v>
      </c>
      <c r="AT1233" s="166">
        <v>0</v>
      </c>
      <c r="AU1233" s="166">
        <v>0</v>
      </c>
      <c r="AV1233" s="166">
        <v>0</v>
      </c>
      <c r="AW1233" s="166">
        <v>1</v>
      </c>
      <c r="AX1233" s="166">
        <v>0</v>
      </c>
      <c r="AY1233" s="166">
        <v>0</v>
      </c>
      <c r="AZ1233" s="166">
        <v>0</v>
      </c>
      <c r="BA1233" s="166">
        <v>0</v>
      </c>
      <c r="BB1233" s="166">
        <v>0</v>
      </c>
      <c r="BC1233" s="166">
        <v>0</v>
      </c>
      <c r="BD1233" s="166">
        <v>0</v>
      </c>
      <c r="BE1233" s="166">
        <v>0</v>
      </c>
      <c r="BF1233" s="166">
        <v>0</v>
      </c>
      <c r="BG1233" s="166">
        <v>0</v>
      </c>
      <c r="BH1233" s="166">
        <v>0</v>
      </c>
      <c r="BI1233" s="166">
        <v>0</v>
      </c>
      <c r="BJ1233" s="166">
        <v>0</v>
      </c>
      <c r="BK1233" s="166">
        <v>0</v>
      </c>
      <c r="BL1233" s="166">
        <v>0</v>
      </c>
      <c r="BM1233" s="166">
        <v>0</v>
      </c>
      <c r="BN1233" s="166">
        <v>0</v>
      </c>
      <c r="BO1233" s="166">
        <v>0</v>
      </c>
      <c r="BP1233" s="166">
        <v>0</v>
      </c>
      <c r="BQ1233" s="81" t="s">
        <v>1757</v>
      </c>
      <c r="BX1233" s="81" t="s">
        <v>155</v>
      </c>
      <c r="BZ1233" s="81" t="s">
        <v>155</v>
      </c>
      <c r="CA1233" s="81">
        <v>10</v>
      </c>
      <c r="CC1233" s="167">
        <v>0</v>
      </c>
      <c r="CD1233" s="167">
        <v>0</v>
      </c>
      <c r="CE1233" s="167">
        <v>0</v>
      </c>
      <c r="CF1233" s="167">
        <v>0</v>
      </c>
      <c r="CG1233" s="167">
        <v>0</v>
      </c>
      <c r="CH1233" s="167">
        <f>$N1233/3</f>
        <v>0.33333333333333331</v>
      </c>
      <c r="CI1233" s="167">
        <f>$N1233/3</f>
        <v>0.33333333333333331</v>
      </c>
      <c r="CJ1233" s="167">
        <f>$N1233/3</f>
        <v>0.33333333333333331</v>
      </c>
      <c r="CK1233" s="167">
        <v>0</v>
      </c>
      <c r="CL1233" s="167">
        <v>0</v>
      </c>
      <c r="CM1233" s="167">
        <v>0</v>
      </c>
      <c r="CN1233" s="167">
        <v>0</v>
      </c>
      <c r="CO1233" s="167">
        <v>0</v>
      </c>
      <c r="CP1233" s="167">
        <v>0</v>
      </c>
      <c r="CQ1233" s="167">
        <v>0</v>
      </c>
      <c r="CR1233" s="167">
        <v>0</v>
      </c>
      <c r="CS1233" s="167">
        <v>0</v>
      </c>
      <c r="CT1233" s="167">
        <v>0</v>
      </c>
      <c r="CU1233" s="167">
        <v>0</v>
      </c>
      <c r="CV1233" s="167">
        <v>0</v>
      </c>
      <c r="CW1233" s="167">
        <v>0</v>
      </c>
      <c r="CX1233" s="167">
        <f>SUM(CD1233:CH1233)</f>
        <v>0.33333333333333331</v>
      </c>
      <c r="CY1233" s="167">
        <f>SUM(CD1233:CM1233)</f>
        <v>1</v>
      </c>
    </row>
    <row r="1234" spans="1:103" ht="12.75" customHeight="1" x14ac:dyDescent="0.2">
      <c r="A1234" s="81">
        <v>4984</v>
      </c>
      <c r="B1234" s="165" t="s">
        <v>1955</v>
      </c>
      <c r="C1234" s="165" t="s">
        <v>2113</v>
      </c>
      <c r="E1234" s="165" t="s">
        <v>2114</v>
      </c>
      <c r="G1234" s="81">
        <v>524707</v>
      </c>
      <c r="H1234" s="81">
        <v>173200</v>
      </c>
      <c r="I1234" s="165" t="s">
        <v>111</v>
      </c>
      <c r="L1234" s="166">
        <v>1</v>
      </c>
      <c r="M1234" s="166">
        <v>8</v>
      </c>
      <c r="N1234" s="166">
        <v>7</v>
      </c>
      <c r="O1234" s="166">
        <v>8</v>
      </c>
      <c r="P1234" s="166">
        <v>7</v>
      </c>
      <c r="R1234" s="165" t="s">
        <v>2115</v>
      </c>
      <c r="S1234" s="81" t="s">
        <v>121</v>
      </c>
      <c r="T1234" s="349">
        <v>43139</v>
      </c>
      <c r="W1234" s="81" t="s">
        <v>114</v>
      </c>
      <c r="Y1234" s="81" t="s">
        <v>115</v>
      </c>
      <c r="Z1234" s="81" t="s">
        <v>116</v>
      </c>
      <c r="AA1234" s="81" t="s">
        <v>117</v>
      </c>
      <c r="AB1234" s="81" t="s">
        <v>218</v>
      </c>
      <c r="AC1234" s="166">
        <v>5.2999999374151202E-2</v>
      </c>
      <c r="AG1234" s="81" t="s">
        <v>238</v>
      </c>
      <c r="AH1234" s="81" t="s">
        <v>118</v>
      </c>
      <c r="AK1234" s="166">
        <v>0</v>
      </c>
      <c r="AM1234" s="166">
        <v>0</v>
      </c>
      <c r="AO1234" s="166">
        <v>1</v>
      </c>
      <c r="AP1234" s="166">
        <v>1</v>
      </c>
      <c r="AQ1234" s="166">
        <v>5</v>
      </c>
      <c r="AR1234" s="166">
        <v>1</v>
      </c>
      <c r="AS1234" s="166">
        <v>-1</v>
      </c>
      <c r="AT1234" s="166">
        <v>0</v>
      </c>
      <c r="AU1234" s="166">
        <v>0</v>
      </c>
      <c r="AV1234" s="166">
        <v>1</v>
      </c>
      <c r="AW1234" s="166">
        <v>1</v>
      </c>
      <c r="AX1234" s="166">
        <v>5</v>
      </c>
      <c r="AY1234" s="166">
        <v>1</v>
      </c>
      <c r="AZ1234" s="166">
        <v>-1</v>
      </c>
      <c r="BA1234" s="166">
        <v>0</v>
      </c>
      <c r="BB1234" s="166">
        <v>0</v>
      </c>
      <c r="BC1234" s="166">
        <v>0</v>
      </c>
      <c r="BD1234" s="166">
        <v>0</v>
      </c>
      <c r="BE1234" s="166">
        <v>0</v>
      </c>
      <c r="BF1234" s="166">
        <v>0</v>
      </c>
      <c r="BG1234" s="166">
        <v>0</v>
      </c>
      <c r="BH1234" s="166">
        <v>0</v>
      </c>
      <c r="BI1234" s="166">
        <v>0</v>
      </c>
      <c r="BJ1234" s="166">
        <v>0</v>
      </c>
      <c r="BK1234" s="166">
        <v>0</v>
      </c>
      <c r="BL1234" s="166">
        <v>0</v>
      </c>
      <c r="BM1234" s="166">
        <v>0</v>
      </c>
      <c r="BN1234" s="166">
        <v>0</v>
      </c>
      <c r="BO1234" s="166">
        <v>0</v>
      </c>
      <c r="BP1234" s="166">
        <v>0</v>
      </c>
      <c r="BQ1234" s="81" t="s">
        <v>1758</v>
      </c>
      <c r="BZ1234" s="81" t="s">
        <v>155</v>
      </c>
      <c r="CA1234" s="81">
        <v>6</v>
      </c>
      <c r="CC1234" s="167">
        <v>0</v>
      </c>
      <c r="CD1234" s="167">
        <v>0</v>
      </c>
      <c r="CE1234" s="167">
        <v>0</v>
      </c>
      <c r="CF1234" s="167">
        <v>0</v>
      </c>
      <c r="CG1234" s="167">
        <v>0</v>
      </c>
      <c r="CH1234" s="167">
        <f>$N1234/3</f>
        <v>2.3333333333333335</v>
      </c>
      <c r="CI1234" s="167">
        <f>$N1234/3</f>
        <v>2.3333333333333335</v>
      </c>
      <c r="CJ1234" s="167">
        <f>$N1234/3</f>
        <v>2.3333333333333335</v>
      </c>
      <c r="CK1234" s="167">
        <v>0</v>
      </c>
      <c r="CL1234" s="167">
        <v>0</v>
      </c>
      <c r="CM1234" s="167">
        <v>0</v>
      </c>
      <c r="CN1234" s="167">
        <v>0</v>
      </c>
      <c r="CO1234" s="167">
        <v>0</v>
      </c>
      <c r="CP1234" s="167">
        <v>0</v>
      </c>
      <c r="CQ1234" s="167">
        <v>0</v>
      </c>
      <c r="CR1234" s="167">
        <v>0</v>
      </c>
      <c r="CS1234" s="167">
        <v>0</v>
      </c>
      <c r="CT1234" s="167">
        <v>0</v>
      </c>
      <c r="CU1234" s="167">
        <v>0</v>
      </c>
      <c r="CV1234" s="167">
        <v>0</v>
      </c>
      <c r="CW1234" s="167">
        <v>0</v>
      </c>
      <c r="CX1234" s="167">
        <f>SUM(CD1234:CH1234)</f>
        <v>2.3333333333333335</v>
      </c>
      <c r="CY1234" s="167">
        <f>SUM(CD1234:CM1234)</f>
        <v>7</v>
      </c>
    </row>
    <row r="1235" spans="1:103" ht="12.75" customHeight="1" x14ac:dyDescent="0.2">
      <c r="A1235" s="81">
        <v>5119</v>
      </c>
      <c r="B1235" s="165" t="s">
        <v>1955</v>
      </c>
      <c r="C1235" s="165" t="s">
        <v>1560</v>
      </c>
      <c r="E1235" s="165" t="s">
        <v>2116</v>
      </c>
      <c r="G1235" s="81">
        <v>527391</v>
      </c>
      <c r="H1235" s="81">
        <v>171805</v>
      </c>
      <c r="I1235" s="165" t="s">
        <v>242</v>
      </c>
      <c r="L1235" s="166">
        <v>0</v>
      </c>
      <c r="M1235" s="166">
        <v>7</v>
      </c>
      <c r="N1235" s="166">
        <v>7</v>
      </c>
      <c r="O1235" s="166">
        <v>7</v>
      </c>
      <c r="P1235" s="166">
        <v>7</v>
      </c>
      <c r="R1235" s="165" t="s">
        <v>1561</v>
      </c>
      <c r="S1235" s="81" t="s">
        <v>296</v>
      </c>
      <c r="T1235" s="349">
        <v>42643</v>
      </c>
      <c r="U1235" s="349">
        <v>42699</v>
      </c>
      <c r="W1235" s="81" t="s">
        <v>365</v>
      </c>
      <c r="Y1235" s="81" t="s">
        <v>115</v>
      </c>
      <c r="Z1235" s="81" t="s">
        <v>116</v>
      </c>
      <c r="AA1235" s="81" t="s">
        <v>117</v>
      </c>
      <c r="AB1235" s="81" t="s">
        <v>218</v>
      </c>
      <c r="AC1235" s="166">
        <v>1.7999999225139601E-2</v>
      </c>
      <c r="AG1235" s="81" t="s">
        <v>238</v>
      </c>
      <c r="AH1235" s="81" t="s">
        <v>118</v>
      </c>
      <c r="AK1235" s="166">
        <v>0</v>
      </c>
      <c r="AM1235" s="166">
        <v>0</v>
      </c>
      <c r="AO1235" s="166">
        <v>0</v>
      </c>
      <c r="AP1235" s="166">
        <v>3</v>
      </c>
      <c r="AQ1235" s="166">
        <v>2</v>
      </c>
      <c r="AR1235" s="166">
        <v>2</v>
      </c>
      <c r="AS1235" s="166">
        <v>0</v>
      </c>
      <c r="AT1235" s="166">
        <v>0</v>
      </c>
      <c r="AU1235" s="166">
        <v>0</v>
      </c>
      <c r="AV1235" s="166">
        <v>0</v>
      </c>
      <c r="AW1235" s="166">
        <v>3</v>
      </c>
      <c r="AX1235" s="166">
        <v>2</v>
      </c>
      <c r="AY1235" s="166">
        <v>2</v>
      </c>
      <c r="AZ1235" s="166">
        <v>0</v>
      </c>
      <c r="BA1235" s="166">
        <v>0</v>
      </c>
      <c r="BB1235" s="166">
        <v>0</v>
      </c>
      <c r="BC1235" s="166">
        <v>0</v>
      </c>
      <c r="BD1235" s="166">
        <v>0</v>
      </c>
      <c r="BE1235" s="166">
        <v>0</v>
      </c>
      <c r="BF1235" s="166">
        <v>0</v>
      </c>
      <c r="BG1235" s="166">
        <v>0</v>
      </c>
      <c r="BH1235" s="166">
        <v>0</v>
      </c>
      <c r="BI1235" s="166">
        <v>0</v>
      </c>
      <c r="BJ1235" s="166">
        <v>0</v>
      </c>
      <c r="BK1235" s="166">
        <v>0</v>
      </c>
      <c r="BL1235" s="166">
        <v>0</v>
      </c>
      <c r="BM1235" s="166">
        <v>0</v>
      </c>
      <c r="BN1235" s="166">
        <v>0</v>
      </c>
      <c r="BO1235" s="166">
        <v>0</v>
      </c>
      <c r="BP1235" s="166">
        <v>0</v>
      </c>
      <c r="BQ1235" s="81" t="s">
        <v>1757</v>
      </c>
      <c r="BZ1235" s="81" t="s">
        <v>3991</v>
      </c>
      <c r="CA1235" s="81">
        <v>15</v>
      </c>
      <c r="CB1235" s="165" t="s">
        <v>3999</v>
      </c>
      <c r="CC1235" s="167">
        <v>0</v>
      </c>
      <c r="CD1235" s="167">
        <v>0</v>
      </c>
      <c r="CE1235" s="167">
        <v>0</v>
      </c>
      <c r="CF1235" s="167">
        <v>0</v>
      </c>
      <c r="CG1235" s="167">
        <v>0</v>
      </c>
      <c r="CH1235" s="167">
        <v>0</v>
      </c>
      <c r="CI1235" s="167">
        <v>0</v>
      </c>
      <c r="CJ1235" s="167">
        <v>0</v>
      </c>
      <c r="CK1235" s="167">
        <v>0</v>
      </c>
      <c r="CL1235" s="167">
        <v>0</v>
      </c>
      <c r="CM1235" s="167">
        <v>0</v>
      </c>
      <c r="CN1235" s="167">
        <v>0</v>
      </c>
      <c r="CO1235" s="167">
        <v>0</v>
      </c>
      <c r="CP1235" s="167">
        <v>0</v>
      </c>
      <c r="CQ1235" s="167">
        <v>0</v>
      </c>
      <c r="CR1235" s="167">
        <v>0</v>
      </c>
      <c r="CS1235" s="167">
        <v>0</v>
      </c>
      <c r="CT1235" s="167">
        <v>0</v>
      </c>
      <c r="CU1235" s="167">
        <v>0</v>
      </c>
      <c r="CV1235" s="167">
        <v>0</v>
      </c>
      <c r="CW1235" s="167">
        <v>0</v>
      </c>
      <c r="CX1235" s="167">
        <f>SUM(CD1235:CH1235)</f>
        <v>0</v>
      </c>
      <c r="CY1235" s="167">
        <f>SUM(CD1235:CM1235)</f>
        <v>0</v>
      </c>
    </row>
    <row r="1236" spans="1:103" ht="12.75" customHeight="1" x14ac:dyDescent="0.2">
      <c r="A1236" s="81">
        <v>5207</v>
      </c>
      <c r="B1236" s="165" t="s">
        <v>1955</v>
      </c>
      <c r="C1236" s="165" t="s">
        <v>1588</v>
      </c>
      <c r="E1236" s="165" t="s">
        <v>2117</v>
      </c>
      <c r="G1236" s="81">
        <v>528921</v>
      </c>
      <c r="H1236" s="81">
        <v>173548</v>
      </c>
      <c r="I1236" s="165" t="s">
        <v>247</v>
      </c>
      <c r="L1236" s="166">
        <v>0</v>
      </c>
      <c r="M1236" s="166">
        <v>1</v>
      </c>
      <c r="N1236" s="166">
        <v>1</v>
      </c>
      <c r="O1236" s="166">
        <v>1</v>
      </c>
      <c r="P1236" s="166">
        <v>1</v>
      </c>
      <c r="R1236" s="165" t="s">
        <v>1589</v>
      </c>
      <c r="S1236" s="81" t="s">
        <v>296</v>
      </c>
      <c r="T1236" s="349">
        <v>42741</v>
      </c>
      <c r="U1236" s="349">
        <v>42907</v>
      </c>
      <c r="V1236" s="81" t="s">
        <v>155</v>
      </c>
      <c r="W1236" s="81" t="s">
        <v>365</v>
      </c>
      <c r="Y1236" s="81" t="s">
        <v>115</v>
      </c>
      <c r="Z1236" s="81" t="s">
        <v>219</v>
      </c>
      <c r="AA1236" s="81" t="s">
        <v>117</v>
      </c>
      <c r="AB1236" s="81" t="s">
        <v>3889</v>
      </c>
      <c r="AC1236" s="166">
        <v>8.9999996125698107E-3</v>
      </c>
      <c r="AG1236" s="81" t="s">
        <v>238</v>
      </c>
      <c r="AH1236" s="81" t="s">
        <v>118</v>
      </c>
      <c r="AK1236" s="166">
        <v>0</v>
      </c>
      <c r="AM1236" s="166">
        <v>0</v>
      </c>
      <c r="AO1236" s="166">
        <v>0</v>
      </c>
      <c r="AP1236" s="166">
        <v>1</v>
      </c>
      <c r="AQ1236" s="166">
        <v>0</v>
      </c>
      <c r="AR1236" s="166">
        <v>0</v>
      </c>
      <c r="AS1236" s="166">
        <v>0</v>
      </c>
      <c r="AT1236" s="166">
        <v>0</v>
      </c>
      <c r="AU1236" s="166">
        <v>0</v>
      </c>
      <c r="AV1236" s="166">
        <v>0</v>
      </c>
      <c r="AW1236" s="166">
        <v>1</v>
      </c>
      <c r="AX1236" s="166">
        <v>0</v>
      </c>
      <c r="AY1236" s="166">
        <v>0</v>
      </c>
      <c r="AZ1236" s="166">
        <v>0</v>
      </c>
      <c r="BA1236" s="166">
        <v>0</v>
      </c>
      <c r="BB1236" s="166">
        <v>0</v>
      </c>
      <c r="BC1236" s="166">
        <v>0</v>
      </c>
      <c r="BD1236" s="166">
        <v>0</v>
      </c>
      <c r="BE1236" s="166">
        <v>0</v>
      </c>
      <c r="BF1236" s="166">
        <v>0</v>
      </c>
      <c r="BG1236" s="166">
        <v>0</v>
      </c>
      <c r="BH1236" s="166">
        <v>0</v>
      </c>
      <c r="BI1236" s="166">
        <v>0</v>
      </c>
      <c r="BJ1236" s="166">
        <v>0</v>
      </c>
      <c r="BK1236" s="166">
        <v>0</v>
      </c>
      <c r="BL1236" s="166">
        <v>0</v>
      </c>
      <c r="BM1236" s="166">
        <v>0</v>
      </c>
      <c r="BN1236" s="166">
        <v>0</v>
      </c>
      <c r="BO1236" s="166">
        <v>0</v>
      </c>
      <c r="BP1236" s="166">
        <v>0</v>
      </c>
      <c r="BQ1236" s="81" t="s">
        <v>1757</v>
      </c>
      <c r="BZ1236" s="81" t="s">
        <v>155</v>
      </c>
      <c r="CA1236" s="81">
        <v>10</v>
      </c>
      <c r="CC1236" s="167">
        <v>0</v>
      </c>
      <c r="CD1236" s="167">
        <v>0</v>
      </c>
      <c r="CE1236" s="167">
        <v>0</v>
      </c>
      <c r="CF1236" s="167">
        <v>0</v>
      </c>
      <c r="CG1236" s="167">
        <v>0</v>
      </c>
      <c r="CH1236" s="167">
        <f>$N1236/3</f>
        <v>0.33333333333333331</v>
      </c>
      <c r="CI1236" s="167">
        <f>$N1236/3</f>
        <v>0.33333333333333331</v>
      </c>
      <c r="CJ1236" s="167">
        <f>$N1236/3</f>
        <v>0.33333333333333331</v>
      </c>
      <c r="CK1236" s="167">
        <v>0</v>
      </c>
      <c r="CL1236" s="167">
        <v>0</v>
      </c>
      <c r="CM1236" s="167">
        <v>0</v>
      </c>
      <c r="CN1236" s="167">
        <v>0</v>
      </c>
      <c r="CO1236" s="167">
        <v>0</v>
      </c>
      <c r="CP1236" s="167">
        <v>0</v>
      </c>
      <c r="CQ1236" s="167">
        <v>0</v>
      </c>
      <c r="CR1236" s="167">
        <v>0</v>
      </c>
      <c r="CS1236" s="167">
        <v>0</v>
      </c>
      <c r="CT1236" s="167">
        <v>0</v>
      </c>
      <c r="CU1236" s="167">
        <v>0</v>
      </c>
      <c r="CV1236" s="167">
        <v>0</v>
      </c>
      <c r="CW1236" s="167">
        <v>0</v>
      </c>
      <c r="CX1236" s="167">
        <f>SUM(CD1236:CH1236)</f>
        <v>0.33333333333333331</v>
      </c>
      <c r="CY1236" s="167">
        <f>SUM(CD1236:CM1236)</f>
        <v>1</v>
      </c>
    </row>
    <row r="1237" spans="1:103" ht="12.75" customHeight="1" x14ac:dyDescent="0.2">
      <c r="A1237" s="81">
        <v>5381</v>
      </c>
      <c r="B1237" s="165" t="s">
        <v>1955</v>
      </c>
      <c r="C1237" s="165" t="s">
        <v>3338</v>
      </c>
      <c r="E1237" s="165" t="s">
        <v>3339</v>
      </c>
      <c r="G1237" s="81">
        <v>526820</v>
      </c>
      <c r="H1237" s="81">
        <v>176155</v>
      </c>
      <c r="I1237" s="165" t="s">
        <v>257</v>
      </c>
      <c r="L1237" s="166">
        <v>0</v>
      </c>
      <c r="M1237" s="166">
        <v>53</v>
      </c>
      <c r="N1237" s="166">
        <v>53</v>
      </c>
      <c r="O1237" s="166">
        <v>82</v>
      </c>
      <c r="P1237" s="166">
        <v>82</v>
      </c>
      <c r="Q1237" s="81" t="s">
        <v>155</v>
      </c>
      <c r="R1237" s="165" t="s">
        <v>3340</v>
      </c>
      <c r="S1237" s="81" t="s">
        <v>121</v>
      </c>
      <c r="T1237" s="349">
        <v>43027</v>
      </c>
      <c r="W1237" s="81" t="s">
        <v>114</v>
      </c>
      <c r="Y1237" s="81" t="s">
        <v>115</v>
      </c>
      <c r="Z1237" s="81" t="s">
        <v>116</v>
      </c>
      <c r="AA1237" s="81" t="s">
        <v>116</v>
      </c>
      <c r="AB1237" s="81" t="s">
        <v>117</v>
      </c>
      <c r="AC1237" s="166">
        <v>0</v>
      </c>
      <c r="AG1237" s="81" t="s">
        <v>238</v>
      </c>
      <c r="AH1237" s="81" t="s">
        <v>118</v>
      </c>
      <c r="AI1237" s="81" t="s">
        <v>3341</v>
      </c>
      <c r="AK1237" s="166">
        <v>0</v>
      </c>
      <c r="AM1237" s="166">
        <v>0</v>
      </c>
      <c r="AO1237" s="166">
        <v>1</v>
      </c>
      <c r="AP1237" s="166">
        <v>13</v>
      </c>
      <c r="AQ1237" s="166">
        <v>31</v>
      </c>
      <c r="AR1237" s="166">
        <v>8</v>
      </c>
      <c r="AS1237" s="166">
        <v>0</v>
      </c>
      <c r="AT1237" s="166">
        <v>0</v>
      </c>
      <c r="AU1237" s="166">
        <v>0</v>
      </c>
      <c r="AV1237" s="166">
        <v>1</v>
      </c>
      <c r="AW1237" s="166">
        <v>13</v>
      </c>
      <c r="AX1237" s="166">
        <v>31</v>
      </c>
      <c r="AY1237" s="166">
        <v>8</v>
      </c>
      <c r="AZ1237" s="166">
        <v>0</v>
      </c>
      <c r="BA1237" s="166">
        <v>0</v>
      </c>
      <c r="BB1237" s="166">
        <v>0</v>
      </c>
      <c r="BC1237" s="166">
        <v>0</v>
      </c>
      <c r="BD1237" s="166">
        <v>0</v>
      </c>
      <c r="BE1237" s="166">
        <v>0</v>
      </c>
      <c r="BF1237" s="166">
        <v>0</v>
      </c>
      <c r="BG1237" s="166">
        <v>0</v>
      </c>
      <c r="BH1237" s="166">
        <v>0</v>
      </c>
      <c r="BI1237" s="166">
        <v>0</v>
      </c>
      <c r="BJ1237" s="166">
        <v>0</v>
      </c>
      <c r="BK1237" s="166">
        <v>0</v>
      </c>
      <c r="BL1237" s="166">
        <v>0</v>
      </c>
      <c r="BM1237" s="166">
        <v>0</v>
      </c>
      <c r="BN1237" s="166">
        <v>0</v>
      </c>
      <c r="BO1237" s="166">
        <v>0</v>
      </c>
      <c r="BP1237" s="166">
        <v>0</v>
      </c>
      <c r="BQ1237" s="81" t="s">
        <v>1757</v>
      </c>
      <c r="BZ1237" s="81" t="s">
        <v>155</v>
      </c>
      <c r="CA1237" s="81">
        <v>6</v>
      </c>
      <c r="CC1237" s="167">
        <v>0</v>
      </c>
      <c r="CD1237" s="167">
        <v>0</v>
      </c>
      <c r="CE1237" s="167">
        <v>0</v>
      </c>
      <c r="CF1237" s="167">
        <v>0</v>
      </c>
      <c r="CG1237" s="167">
        <v>0</v>
      </c>
      <c r="CH1237" s="167">
        <f>$N1237/3</f>
        <v>17.666666666666668</v>
      </c>
      <c r="CI1237" s="167">
        <f>$N1237/3</f>
        <v>17.666666666666668</v>
      </c>
      <c r="CJ1237" s="167">
        <f>$N1237/3</f>
        <v>17.666666666666668</v>
      </c>
      <c r="CK1237" s="167">
        <v>0</v>
      </c>
      <c r="CL1237" s="167">
        <v>0</v>
      </c>
      <c r="CM1237" s="167">
        <v>0</v>
      </c>
      <c r="CN1237" s="167">
        <v>0</v>
      </c>
      <c r="CO1237" s="167">
        <v>0</v>
      </c>
      <c r="CP1237" s="167">
        <v>0</v>
      </c>
      <c r="CQ1237" s="167">
        <v>0</v>
      </c>
      <c r="CR1237" s="167">
        <v>0</v>
      </c>
      <c r="CS1237" s="167">
        <v>0</v>
      </c>
      <c r="CT1237" s="167">
        <v>0</v>
      </c>
      <c r="CU1237" s="167">
        <v>0</v>
      </c>
      <c r="CV1237" s="167">
        <v>0</v>
      </c>
      <c r="CW1237" s="167">
        <v>0</v>
      </c>
      <c r="CX1237" s="167">
        <f>SUM(CD1237:CH1237)</f>
        <v>17.666666666666668</v>
      </c>
      <c r="CY1237" s="167">
        <f>SUM(CD1237:CM1237)</f>
        <v>53</v>
      </c>
    </row>
    <row r="1238" spans="1:103" ht="12.75" customHeight="1" x14ac:dyDescent="0.2">
      <c r="A1238" s="81">
        <v>5381</v>
      </c>
      <c r="B1238" s="165" t="s">
        <v>1955</v>
      </c>
      <c r="C1238" s="165" t="s">
        <v>3338</v>
      </c>
      <c r="E1238" s="165" t="s">
        <v>3339</v>
      </c>
      <c r="G1238" s="81">
        <v>526820</v>
      </c>
      <c r="H1238" s="81">
        <v>176155</v>
      </c>
      <c r="I1238" s="165" t="s">
        <v>257</v>
      </c>
      <c r="L1238" s="166">
        <v>0</v>
      </c>
      <c r="M1238" s="166">
        <v>29</v>
      </c>
      <c r="N1238" s="166">
        <v>29</v>
      </c>
      <c r="O1238" s="166">
        <v>82</v>
      </c>
      <c r="P1238" s="166">
        <v>82</v>
      </c>
      <c r="Q1238" s="81" t="s">
        <v>155</v>
      </c>
      <c r="R1238" s="165" t="s">
        <v>3340</v>
      </c>
      <c r="S1238" s="81" t="s">
        <v>121</v>
      </c>
      <c r="T1238" s="349">
        <v>43027</v>
      </c>
      <c r="W1238" s="81" t="s">
        <v>114</v>
      </c>
      <c r="Y1238" s="81" t="s">
        <v>115</v>
      </c>
      <c r="Z1238" s="81" t="s">
        <v>116</v>
      </c>
      <c r="AA1238" s="81" t="s">
        <v>116</v>
      </c>
      <c r="AB1238" s="81" t="s">
        <v>117</v>
      </c>
      <c r="AC1238" s="166">
        <v>0</v>
      </c>
      <c r="AG1238" s="81" t="s">
        <v>74</v>
      </c>
      <c r="AH1238" s="81" t="s">
        <v>990</v>
      </c>
      <c r="AI1238" s="81" t="s">
        <v>3341</v>
      </c>
      <c r="AK1238" s="166">
        <v>0</v>
      </c>
      <c r="AM1238" s="166">
        <v>0</v>
      </c>
      <c r="AO1238" s="166">
        <v>0</v>
      </c>
      <c r="AP1238" s="166">
        <v>15</v>
      </c>
      <c r="AQ1238" s="166">
        <v>14</v>
      </c>
      <c r="AR1238" s="166">
        <v>0</v>
      </c>
      <c r="AS1238" s="166">
        <v>0</v>
      </c>
      <c r="AT1238" s="166">
        <v>0</v>
      </c>
      <c r="AU1238" s="166">
        <v>0</v>
      </c>
      <c r="AV1238" s="166">
        <v>0</v>
      </c>
      <c r="AW1238" s="166">
        <v>15</v>
      </c>
      <c r="AX1238" s="166">
        <v>14</v>
      </c>
      <c r="AY1238" s="166">
        <v>0</v>
      </c>
      <c r="AZ1238" s="166">
        <v>0</v>
      </c>
      <c r="BA1238" s="166">
        <v>0</v>
      </c>
      <c r="BB1238" s="166">
        <v>0</v>
      </c>
      <c r="BC1238" s="166">
        <v>0</v>
      </c>
      <c r="BD1238" s="166">
        <v>0</v>
      </c>
      <c r="BE1238" s="166">
        <v>0</v>
      </c>
      <c r="BF1238" s="166">
        <v>0</v>
      </c>
      <c r="BG1238" s="166">
        <v>0</v>
      </c>
      <c r="BH1238" s="166">
        <v>0</v>
      </c>
      <c r="BI1238" s="166">
        <v>0</v>
      </c>
      <c r="BJ1238" s="166">
        <v>0</v>
      </c>
      <c r="BK1238" s="166">
        <v>0</v>
      </c>
      <c r="BL1238" s="166">
        <v>0</v>
      </c>
      <c r="BM1238" s="166">
        <v>0</v>
      </c>
      <c r="BN1238" s="166">
        <v>0</v>
      </c>
      <c r="BO1238" s="166">
        <v>0</v>
      </c>
      <c r="BP1238" s="166">
        <v>0</v>
      </c>
      <c r="BQ1238" s="81" t="s">
        <v>1757</v>
      </c>
      <c r="BZ1238" s="81" t="s">
        <v>155</v>
      </c>
      <c r="CA1238" s="81">
        <v>6</v>
      </c>
      <c r="CC1238" s="167">
        <v>0</v>
      </c>
      <c r="CD1238" s="167">
        <v>0</v>
      </c>
      <c r="CE1238" s="167">
        <v>0</v>
      </c>
      <c r="CF1238" s="167">
        <v>0</v>
      </c>
      <c r="CG1238" s="167">
        <v>0</v>
      </c>
      <c r="CH1238" s="167">
        <f>$N1238/3</f>
        <v>9.6666666666666661</v>
      </c>
      <c r="CI1238" s="167">
        <f>$N1238/3</f>
        <v>9.6666666666666661</v>
      </c>
      <c r="CJ1238" s="167">
        <f>$N1238/3</f>
        <v>9.6666666666666661</v>
      </c>
      <c r="CK1238" s="167">
        <v>0</v>
      </c>
      <c r="CL1238" s="167">
        <v>0</v>
      </c>
      <c r="CM1238" s="167">
        <v>0</v>
      </c>
      <c r="CN1238" s="167">
        <v>0</v>
      </c>
      <c r="CO1238" s="167">
        <v>0</v>
      </c>
      <c r="CP1238" s="167">
        <v>0</v>
      </c>
      <c r="CQ1238" s="167">
        <v>0</v>
      </c>
      <c r="CR1238" s="167">
        <v>0</v>
      </c>
      <c r="CS1238" s="167">
        <v>0</v>
      </c>
      <c r="CT1238" s="167">
        <v>0</v>
      </c>
      <c r="CU1238" s="167">
        <v>0</v>
      </c>
      <c r="CV1238" s="167">
        <v>0</v>
      </c>
      <c r="CW1238" s="167">
        <v>0</v>
      </c>
      <c r="CX1238" s="167">
        <f>SUM(CD1238:CH1238)</f>
        <v>9.6666666666666661</v>
      </c>
      <c r="CY1238" s="167">
        <f>SUM(CD1238:CM1238)</f>
        <v>29</v>
      </c>
    </row>
    <row r="1239" spans="1:103" ht="12.75" customHeight="1" x14ac:dyDescent="0.2">
      <c r="A1239" s="81">
        <v>5552</v>
      </c>
      <c r="B1239" s="165" t="s">
        <v>1955</v>
      </c>
      <c r="C1239" s="165" t="s">
        <v>2118</v>
      </c>
      <c r="E1239" s="165" t="s">
        <v>2119</v>
      </c>
      <c r="G1239" s="81">
        <v>525905</v>
      </c>
      <c r="H1239" s="81">
        <v>173024</v>
      </c>
      <c r="I1239" s="165" t="s">
        <v>249</v>
      </c>
      <c r="L1239" s="166">
        <v>0</v>
      </c>
      <c r="M1239" s="166">
        <v>2</v>
      </c>
      <c r="N1239" s="166">
        <v>2</v>
      </c>
      <c r="O1239" s="166">
        <v>2</v>
      </c>
      <c r="P1239" s="166">
        <v>2</v>
      </c>
      <c r="R1239" s="165" t="s">
        <v>2120</v>
      </c>
      <c r="S1239" s="81" t="s">
        <v>121</v>
      </c>
      <c r="T1239" s="349">
        <v>43074</v>
      </c>
      <c r="W1239" s="81" t="s">
        <v>114</v>
      </c>
      <c r="Y1239" s="81" t="s">
        <v>115</v>
      </c>
      <c r="Z1239" s="81" t="s">
        <v>310</v>
      </c>
      <c r="AA1239" s="81" t="s">
        <v>117</v>
      </c>
      <c r="AB1239" s="81" t="s">
        <v>311</v>
      </c>
      <c r="AC1239" s="166">
        <v>8.9999996125698107E-3</v>
      </c>
      <c r="AG1239" s="81" t="s">
        <v>238</v>
      </c>
      <c r="AH1239" s="81" t="s">
        <v>118</v>
      </c>
      <c r="AK1239" s="166">
        <v>0</v>
      </c>
      <c r="AM1239" s="166">
        <v>0</v>
      </c>
      <c r="AO1239" s="166">
        <v>0</v>
      </c>
      <c r="AP1239" s="166">
        <v>2</v>
      </c>
      <c r="AQ1239" s="166">
        <v>0</v>
      </c>
      <c r="AR1239" s="166">
        <v>0</v>
      </c>
      <c r="AS1239" s="166">
        <v>0</v>
      </c>
      <c r="AT1239" s="166">
        <v>0</v>
      </c>
      <c r="AU1239" s="166">
        <v>0</v>
      </c>
      <c r="AV1239" s="166">
        <v>0</v>
      </c>
      <c r="AW1239" s="166">
        <v>2</v>
      </c>
      <c r="AX1239" s="166">
        <v>0</v>
      </c>
      <c r="AY1239" s="166">
        <v>0</v>
      </c>
      <c r="AZ1239" s="166">
        <v>0</v>
      </c>
      <c r="BA1239" s="166">
        <v>0</v>
      </c>
      <c r="BB1239" s="166">
        <v>0</v>
      </c>
      <c r="BC1239" s="166">
        <v>0</v>
      </c>
      <c r="BD1239" s="166">
        <v>0</v>
      </c>
      <c r="BE1239" s="166">
        <v>0</v>
      </c>
      <c r="BF1239" s="166">
        <v>0</v>
      </c>
      <c r="BG1239" s="166">
        <v>0</v>
      </c>
      <c r="BH1239" s="166">
        <v>0</v>
      </c>
      <c r="BI1239" s="166">
        <v>0</v>
      </c>
      <c r="BJ1239" s="166">
        <v>0</v>
      </c>
      <c r="BK1239" s="166">
        <v>0</v>
      </c>
      <c r="BL1239" s="166">
        <v>0</v>
      </c>
      <c r="BM1239" s="166">
        <v>0</v>
      </c>
      <c r="BN1239" s="166">
        <v>0</v>
      </c>
      <c r="BO1239" s="166">
        <v>0</v>
      </c>
      <c r="BP1239" s="166">
        <v>0</v>
      </c>
      <c r="BQ1239" s="81" t="s">
        <v>1758</v>
      </c>
      <c r="BY1239" s="81" t="s">
        <v>155</v>
      </c>
      <c r="BZ1239" s="81" t="s">
        <v>155</v>
      </c>
      <c r="CA1239" s="81">
        <v>10</v>
      </c>
      <c r="CC1239" s="167">
        <v>0</v>
      </c>
      <c r="CD1239" s="167">
        <v>0</v>
      </c>
      <c r="CE1239" s="167">
        <v>0</v>
      </c>
      <c r="CF1239" s="167">
        <v>0</v>
      </c>
      <c r="CG1239" s="167">
        <v>0</v>
      </c>
      <c r="CH1239" s="167">
        <f>$N1239/3</f>
        <v>0.66666666666666663</v>
      </c>
      <c r="CI1239" s="167">
        <f>$N1239/3</f>
        <v>0.66666666666666663</v>
      </c>
      <c r="CJ1239" s="167">
        <f>$N1239/3</f>
        <v>0.66666666666666663</v>
      </c>
      <c r="CK1239" s="167">
        <v>0</v>
      </c>
      <c r="CL1239" s="167">
        <v>0</v>
      </c>
      <c r="CM1239" s="167">
        <v>0</v>
      </c>
      <c r="CN1239" s="167">
        <v>0</v>
      </c>
      <c r="CO1239" s="167">
        <v>0</v>
      </c>
      <c r="CP1239" s="167">
        <v>0</v>
      </c>
      <c r="CQ1239" s="167">
        <v>0</v>
      </c>
      <c r="CR1239" s="167">
        <v>0</v>
      </c>
      <c r="CS1239" s="167">
        <v>0</v>
      </c>
      <c r="CT1239" s="167">
        <v>0</v>
      </c>
      <c r="CU1239" s="167">
        <v>0</v>
      </c>
      <c r="CV1239" s="167">
        <v>0</v>
      </c>
      <c r="CW1239" s="167">
        <v>0</v>
      </c>
      <c r="CX1239" s="167">
        <f>SUM(CD1239:CH1239)</f>
        <v>0.66666666666666663</v>
      </c>
      <c r="CY1239" s="167">
        <f>SUM(CD1239:CM1239)</f>
        <v>2</v>
      </c>
    </row>
    <row r="1240" spans="1:103" ht="12.75" customHeight="1" x14ac:dyDescent="0.2">
      <c r="A1240" s="81">
        <v>5615</v>
      </c>
      <c r="B1240" s="165" t="s">
        <v>1955</v>
      </c>
      <c r="C1240" s="165" t="s">
        <v>2121</v>
      </c>
      <c r="E1240" s="165" t="s">
        <v>2122</v>
      </c>
      <c r="G1240" s="81">
        <v>527098</v>
      </c>
      <c r="H1240" s="81">
        <v>170956</v>
      </c>
      <c r="I1240" s="165" t="s">
        <v>242</v>
      </c>
      <c r="L1240" s="166">
        <v>0</v>
      </c>
      <c r="M1240" s="166">
        <v>1</v>
      </c>
      <c r="N1240" s="166">
        <v>1</v>
      </c>
      <c r="O1240" s="166">
        <v>1</v>
      </c>
      <c r="P1240" s="166">
        <v>1</v>
      </c>
      <c r="R1240" s="165" t="s">
        <v>2123</v>
      </c>
      <c r="S1240" s="81" t="s">
        <v>121</v>
      </c>
      <c r="T1240" s="349">
        <v>43151</v>
      </c>
      <c r="W1240" s="81" t="s">
        <v>114</v>
      </c>
      <c r="Y1240" s="81" t="s">
        <v>115</v>
      </c>
      <c r="Z1240" s="81" t="s">
        <v>116</v>
      </c>
      <c r="AA1240" s="81" t="s">
        <v>117</v>
      </c>
      <c r="AB1240" s="81" t="s">
        <v>218</v>
      </c>
      <c r="AC1240" s="166">
        <v>1.4000000432133701E-2</v>
      </c>
      <c r="AG1240" s="81" t="s">
        <v>238</v>
      </c>
      <c r="AH1240" s="81" t="s">
        <v>118</v>
      </c>
      <c r="AK1240" s="166">
        <v>0</v>
      </c>
      <c r="AM1240" s="166">
        <v>0</v>
      </c>
      <c r="AO1240" s="166">
        <v>0</v>
      </c>
      <c r="AP1240" s="166">
        <v>0</v>
      </c>
      <c r="AQ1240" s="166">
        <v>1</v>
      </c>
      <c r="AR1240" s="166">
        <v>0</v>
      </c>
      <c r="AS1240" s="166">
        <v>0</v>
      </c>
      <c r="AT1240" s="166">
        <v>0</v>
      </c>
      <c r="AU1240" s="166">
        <v>0</v>
      </c>
      <c r="AV1240" s="166">
        <v>0</v>
      </c>
      <c r="AW1240" s="166">
        <v>0</v>
      </c>
      <c r="AX1240" s="166">
        <v>0</v>
      </c>
      <c r="AY1240" s="166">
        <v>0</v>
      </c>
      <c r="AZ1240" s="166">
        <v>0</v>
      </c>
      <c r="BA1240" s="166">
        <v>0</v>
      </c>
      <c r="BB1240" s="166">
        <v>0</v>
      </c>
      <c r="BC1240" s="166">
        <v>0</v>
      </c>
      <c r="BD1240" s="166">
        <v>0</v>
      </c>
      <c r="BE1240" s="166">
        <v>1</v>
      </c>
      <c r="BF1240" s="166">
        <v>0</v>
      </c>
      <c r="BG1240" s="166">
        <v>0</v>
      </c>
      <c r="BH1240" s="166">
        <v>0</v>
      </c>
      <c r="BI1240" s="166">
        <v>0</v>
      </c>
      <c r="BJ1240" s="166">
        <v>0</v>
      </c>
      <c r="BK1240" s="166">
        <v>0</v>
      </c>
      <c r="BL1240" s="166">
        <v>0</v>
      </c>
      <c r="BM1240" s="166">
        <v>0</v>
      </c>
      <c r="BN1240" s="166">
        <v>0</v>
      </c>
      <c r="BO1240" s="166">
        <v>0</v>
      </c>
      <c r="BP1240" s="166">
        <v>0</v>
      </c>
      <c r="BQ1240" s="81" t="s">
        <v>1757</v>
      </c>
      <c r="BZ1240" s="81" t="s">
        <v>155</v>
      </c>
      <c r="CA1240" s="81">
        <v>6</v>
      </c>
      <c r="CC1240" s="167">
        <v>0</v>
      </c>
      <c r="CD1240" s="167">
        <v>0</v>
      </c>
      <c r="CE1240" s="167">
        <v>0</v>
      </c>
      <c r="CF1240" s="167">
        <v>0</v>
      </c>
      <c r="CG1240" s="167">
        <v>0</v>
      </c>
      <c r="CH1240" s="167">
        <f>$N1240/3</f>
        <v>0.33333333333333331</v>
      </c>
      <c r="CI1240" s="167">
        <f>$N1240/3</f>
        <v>0.33333333333333331</v>
      </c>
      <c r="CJ1240" s="167">
        <f>$N1240/3</f>
        <v>0.33333333333333331</v>
      </c>
      <c r="CK1240" s="167">
        <v>0</v>
      </c>
      <c r="CL1240" s="167">
        <v>0</v>
      </c>
      <c r="CM1240" s="167">
        <v>0</v>
      </c>
      <c r="CN1240" s="167">
        <v>0</v>
      </c>
      <c r="CO1240" s="167">
        <v>0</v>
      </c>
      <c r="CP1240" s="167">
        <v>0</v>
      </c>
      <c r="CQ1240" s="167">
        <v>0</v>
      </c>
      <c r="CR1240" s="167">
        <v>0</v>
      </c>
      <c r="CS1240" s="167">
        <v>0</v>
      </c>
      <c r="CT1240" s="167">
        <v>0</v>
      </c>
      <c r="CU1240" s="167">
        <v>0</v>
      </c>
      <c r="CV1240" s="167">
        <v>0</v>
      </c>
      <c r="CW1240" s="167">
        <v>0</v>
      </c>
      <c r="CX1240" s="167">
        <f>SUM(CD1240:CH1240)</f>
        <v>0.33333333333333331</v>
      </c>
      <c r="CY1240" s="167">
        <f>SUM(CD1240:CM1240)</f>
        <v>1</v>
      </c>
    </row>
    <row r="1241" spans="1:103" ht="12.75" customHeight="1" x14ac:dyDescent="0.2">
      <c r="A1241" s="81">
        <v>5642</v>
      </c>
      <c r="B1241" s="165" t="s">
        <v>1955</v>
      </c>
      <c r="C1241" s="165" t="s">
        <v>2124</v>
      </c>
      <c r="E1241" s="165" t="s">
        <v>2125</v>
      </c>
      <c r="G1241" s="81">
        <v>527300</v>
      </c>
      <c r="H1241" s="81">
        <v>175396</v>
      </c>
      <c r="I1241" s="165" t="s">
        <v>255</v>
      </c>
      <c r="L1241" s="166">
        <v>0</v>
      </c>
      <c r="M1241" s="166">
        <v>2</v>
      </c>
      <c r="N1241" s="166">
        <v>2</v>
      </c>
      <c r="O1241" s="166">
        <v>2</v>
      </c>
      <c r="P1241" s="166">
        <v>2</v>
      </c>
      <c r="R1241" s="165" t="s">
        <v>2126</v>
      </c>
      <c r="S1241" s="81" t="s">
        <v>296</v>
      </c>
      <c r="T1241" s="349">
        <v>42859</v>
      </c>
      <c r="U1241" s="349">
        <v>43040</v>
      </c>
      <c r="V1241" s="81" t="s">
        <v>155</v>
      </c>
      <c r="W1241" s="81" t="s">
        <v>365</v>
      </c>
      <c r="Y1241" s="81" t="s">
        <v>115</v>
      </c>
      <c r="Z1241" s="81" t="s">
        <v>310</v>
      </c>
      <c r="AA1241" s="81" t="s">
        <v>117</v>
      </c>
      <c r="AB1241" s="81" t="s">
        <v>399</v>
      </c>
      <c r="AC1241" s="166">
        <v>6.0000000521540598E-3</v>
      </c>
      <c r="AG1241" s="81" t="s">
        <v>238</v>
      </c>
      <c r="AH1241" s="81" t="s">
        <v>118</v>
      </c>
      <c r="AK1241" s="166">
        <v>0</v>
      </c>
      <c r="AM1241" s="166">
        <v>0</v>
      </c>
      <c r="AO1241" s="166">
        <v>0</v>
      </c>
      <c r="AP1241" s="166">
        <v>2</v>
      </c>
      <c r="AQ1241" s="166">
        <v>0</v>
      </c>
      <c r="AR1241" s="166">
        <v>0</v>
      </c>
      <c r="AS1241" s="166">
        <v>0</v>
      </c>
      <c r="AT1241" s="166">
        <v>0</v>
      </c>
      <c r="AU1241" s="166">
        <v>0</v>
      </c>
      <c r="AV1241" s="166">
        <v>0</v>
      </c>
      <c r="AW1241" s="166">
        <v>2</v>
      </c>
      <c r="AX1241" s="166">
        <v>0</v>
      </c>
      <c r="AY1241" s="166">
        <v>0</v>
      </c>
      <c r="AZ1241" s="166">
        <v>0</v>
      </c>
      <c r="BA1241" s="166">
        <v>0</v>
      </c>
      <c r="BB1241" s="166">
        <v>0</v>
      </c>
      <c r="BC1241" s="166">
        <v>0</v>
      </c>
      <c r="BD1241" s="166">
        <v>0</v>
      </c>
      <c r="BE1241" s="166">
        <v>0</v>
      </c>
      <c r="BF1241" s="166">
        <v>0</v>
      </c>
      <c r="BG1241" s="166">
        <v>0</v>
      </c>
      <c r="BH1241" s="166">
        <v>0</v>
      </c>
      <c r="BI1241" s="166">
        <v>0</v>
      </c>
      <c r="BJ1241" s="166">
        <v>0</v>
      </c>
      <c r="BK1241" s="166">
        <v>0</v>
      </c>
      <c r="BL1241" s="166">
        <v>0</v>
      </c>
      <c r="BM1241" s="166">
        <v>0</v>
      </c>
      <c r="BN1241" s="166">
        <v>0</v>
      </c>
      <c r="BO1241" s="166">
        <v>0</v>
      </c>
      <c r="BP1241" s="166">
        <v>0</v>
      </c>
      <c r="BQ1241" s="81" t="s">
        <v>1757</v>
      </c>
      <c r="BR1241" s="81" t="s">
        <v>160</v>
      </c>
      <c r="BZ1241" s="81" t="s">
        <v>155</v>
      </c>
      <c r="CA1241" s="81">
        <v>10</v>
      </c>
      <c r="CC1241" s="167">
        <v>0</v>
      </c>
      <c r="CD1241" s="167">
        <v>0</v>
      </c>
      <c r="CE1241" s="167">
        <v>0</v>
      </c>
      <c r="CF1241" s="167">
        <v>0</v>
      </c>
      <c r="CG1241" s="167">
        <v>0</v>
      </c>
      <c r="CH1241" s="167">
        <f>$N1241/3</f>
        <v>0.66666666666666663</v>
      </c>
      <c r="CI1241" s="167">
        <f>$N1241/3</f>
        <v>0.66666666666666663</v>
      </c>
      <c r="CJ1241" s="167">
        <f>$N1241/3</f>
        <v>0.66666666666666663</v>
      </c>
      <c r="CK1241" s="167">
        <v>0</v>
      </c>
      <c r="CL1241" s="167">
        <v>0</v>
      </c>
      <c r="CM1241" s="167">
        <v>0</v>
      </c>
      <c r="CN1241" s="167">
        <v>0</v>
      </c>
      <c r="CO1241" s="167">
        <v>0</v>
      </c>
      <c r="CP1241" s="167">
        <v>0</v>
      </c>
      <c r="CQ1241" s="167">
        <v>0</v>
      </c>
      <c r="CR1241" s="167">
        <v>0</v>
      </c>
      <c r="CS1241" s="167">
        <v>0</v>
      </c>
      <c r="CT1241" s="167">
        <v>0</v>
      </c>
      <c r="CU1241" s="167">
        <v>0</v>
      </c>
      <c r="CV1241" s="167">
        <v>0</v>
      </c>
      <c r="CW1241" s="167">
        <v>0</v>
      </c>
      <c r="CX1241" s="167">
        <f>SUM(CD1241:CH1241)</f>
        <v>0.66666666666666663</v>
      </c>
      <c r="CY1241" s="167">
        <f>SUM(CD1241:CM1241)</f>
        <v>2</v>
      </c>
    </row>
    <row r="1242" spans="1:103" ht="12.75" customHeight="1" x14ac:dyDescent="0.2">
      <c r="A1242" s="81">
        <v>5862</v>
      </c>
      <c r="B1242" s="165" t="s">
        <v>1955</v>
      </c>
      <c r="C1242" s="165" t="s">
        <v>2127</v>
      </c>
      <c r="E1242" s="165" t="s">
        <v>2128</v>
      </c>
      <c r="F1242" s="165" t="s">
        <v>2129</v>
      </c>
      <c r="G1242" s="81">
        <v>524068</v>
      </c>
      <c r="H1242" s="81">
        <v>175336</v>
      </c>
      <c r="I1242" s="165" t="s">
        <v>259</v>
      </c>
      <c r="L1242" s="166">
        <v>1</v>
      </c>
      <c r="M1242" s="166">
        <v>3</v>
      </c>
      <c r="N1242" s="166">
        <v>2</v>
      </c>
      <c r="O1242" s="166">
        <v>5</v>
      </c>
      <c r="P1242" s="166">
        <v>4</v>
      </c>
      <c r="R1242" s="165" t="s">
        <v>2130</v>
      </c>
      <c r="S1242" s="81" t="s">
        <v>121</v>
      </c>
      <c r="T1242" s="349">
        <v>43188</v>
      </c>
      <c r="W1242" s="81" t="s">
        <v>114</v>
      </c>
      <c r="Y1242" s="81" t="s">
        <v>115</v>
      </c>
      <c r="Z1242" s="81" t="s">
        <v>398</v>
      </c>
      <c r="AA1242" s="81" t="s">
        <v>117</v>
      </c>
      <c r="AB1242" s="81" t="s">
        <v>220</v>
      </c>
      <c r="AC1242" s="166">
        <v>8.9999996125698107E-3</v>
      </c>
      <c r="AG1242" s="81" t="s">
        <v>238</v>
      </c>
      <c r="AH1242" s="81" t="s">
        <v>118</v>
      </c>
      <c r="AK1242" s="166">
        <v>0</v>
      </c>
      <c r="AM1242" s="166">
        <v>0</v>
      </c>
      <c r="AO1242" s="166">
        <v>0</v>
      </c>
      <c r="AP1242" s="166">
        <v>0</v>
      </c>
      <c r="AQ1242" s="166">
        <v>3</v>
      </c>
      <c r="AR1242" s="166">
        <v>-1</v>
      </c>
      <c r="AS1242" s="166">
        <v>0</v>
      </c>
      <c r="AT1242" s="166">
        <v>0</v>
      </c>
      <c r="AU1242" s="166">
        <v>0</v>
      </c>
      <c r="AV1242" s="166">
        <v>0</v>
      </c>
      <c r="AW1242" s="166">
        <v>0</v>
      </c>
      <c r="AX1242" s="166">
        <v>3</v>
      </c>
      <c r="AY1242" s="166">
        <v>-1</v>
      </c>
      <c r="AZ1242" s="166">
        <v>0</v>
      </c>
      <c r="BA1242" s="166">
        <v>0</v>
      </c>
      <c r="BB1242" s="166">
        <v>0</v>
      </c>
      <c r="BC1242" s="166">
        <v>0</v>
      </c>
      <c r="BD1242" s="166">
        <v>0</v>
      </c>
      <c r="BE1242" s="166">
        <v>0</v>
      </c>
      <c r="BF1242" s="166">
        <v>0</v>
      </c>
      <c r="BG1242" s="166">
        <v>0</v>
      </c>
      <c r="BH1242" s="166">
        <v>0</v>
      </c>
      <c r="BI1242" s="166">
        <v>0</v>
      </c>
      <c r="BJ1242" s="166">
        <v>0</v>
      </c>
      <c r="BK1242" s="166">
        <v>0</v>
      </c>
      <c r="BL1242" s="166">
        <v>0</v>
      </c>
      <c r="BM1242" s="166">
        <v>0</v>
      </c>
      <c r="BN1242" s="166">
        <v>0</v>
      </c>
      <c r="BO1242" s="166">
        <v>0</v>
      </c>
      <c r="BP1242" s="166">
        <v>0</v>
      </c>
      <c r="BQ1242" s="81" t="s">
        <v>1758</v>
      </c>
      <c r="BR1242" s="81" t="s">
        <v>161</v>
      </c>
      <c r="BZ1242" s="81" t="s">
        <v>3991</v>
      </c>
      <c r="CA1242" s="81">
        <v>15</v>
      </c>
      <c r="CB1242" s="165" t="s">
        <v>4000</v>
      </c>
      <c r="CC1242" s="167">
        <v>0</v>
      </c>
      <c r="CD1242" s="167">
        <v>0</v>
      </c>
      <c r="CE1242" s="167">
        <v>0</v>
      </c>
      <c r="CF1242" s="167">
        <v>0</v>
      </c>
      <c r="CG1242" s="167">
        <v>0</v>
      </c>
      <c r="CH1242" s="167">
        <v>0</v>
      </c>
      <c r="CI1242" s="167">
        <v>0</v>
      </c>
      <c r="CJ1242" s="167">
        <v>0</v>
      </c>
      <c r="CK1242" s="167">
        <v>0</v>
      </c>
      <c r="CL1242" s="167">
        <v>0</v>
      </c>
      <c r="CM1242" s="167">
        <v>0</v>
      </c>
      <c r="CN1242" s="167">
        <v>0</v>
      </c>
      <c r="CO1242" s="167">
        <v>0</v>
      </c>
      <c r="CP1242" s="167">
        <v>0</v>
      </c>
      <c r="CQ1242" s="167">
        <v>0</v>
      </c>
      <c r="CR1242" s="167">
        <v>0</v>
      </c>
      <c r="CS1242" s="167">
        <v>0</v>
      </c>
      <c r="CT1242" s="167">
        <v>0</v>
      </c>
      <c r="CU1242" s="167">
        <v>0</v>
      </c>
      <c r="CV1242" s="167">
        <v>0</v>
      </c>
      <c r="CW1242" s="167">
        <v>0</v>
      </c>
      <c r="CX1242" s="167">
        <f>SUM(CD1242:CH1242)</f>
        <v>0</v>
      </c>
      <c r="CY1242" s="167">
        <f>SUM(CD1242:CM1242)</f>
        <v>0</v>
      </c>
    </row>
    <row r="1243" spans="1:103" ht="12.75" customHeight="1" x14ac:dyDescent="0.2">
      <c r="A1243" s="81">
        <v>5862</v>
      </c>
      <c r="B1243" s="165" t="s">
        <v>1955</v>
      </c>
      <c r="C1243" s="165" t="s">
        <v>2127</v>
      </c>
      <c r="E1243" s="165" t="s">
        <v>2128</v>
      </c>
      <c r="F1243" s="165" t="s">
        <v>2131</v>
      </c>
      <c r="G1243" s="81">
        <v>524068</v>
      </c>
      <c r="H1243" s="81">
        <v>175336</v>
      </c>
      <c r="I1243" s="165" t="s">
        <v>259</v>
      </c>
      <c r="L1243" s="166">
        <v>0</v>
      </c>
      <c r="M1243" s="166">
        <v>2</v>
      </c>
      <c r="N1243" s="166">
        <v>2</v>
      </c>
      <c r="O1243" s="166">
        <v>5</v>
      </c>
      <c r="P1243" s="166">
        <v>4</v>
      </c>
      <c r="R1243" s="165" t="s">
        <v>2130</v>
      </c>
      <c r="S1243" s="81" t="s">
        <v>121</v>
      </c>
      <c r="T1243" s="349">
        <v>43188</v>
      </c>
      <c r="W1243" s="81" t="s">
        <v>114</v>
      </c>
      <c r="Y1243" s="81" t="s">
        <v>115</v>
      </c>
      <c r="Z1243" s="81" t="s">
        <v>398</v>
      </c>
      <c r="AA1243" s="81" t="s">
        <v>117</v>
      </c>
      <c r="AB1243" s="81" t="s">
        <v>218</v>
      </c>
      <c r="AC1243" s="166">
        <v>4.9999998882412902E-3</v>
      </c>
      <c r="AG1243" s="81" t="s">
        <v>238</v>
      </c>
      <c r="AH1243" s="81" t="s">
        <v>118</v>
      </c>
      <c r="AK1243" s="166">
        <v>0</v>
      </c>
      <c r="AM1243" s="166">
        <v>0</v>
      </c>
      <c r="AO1243" s="166">
        <v>0</v>
      </c>
      <c r="AP1243" s="166">
        <v>1</v>
      </c>
      <c r="AQ1243" s="166">
        <v>1</v>
      </c>
      <c r="AR1243" s="166">
        <v>0</v>
      </c>
      <c r="AS1243" s="166">
        <v>0</v>
      </c>
      <c r="AT1243" s="166">
        <v>0</v>
      </c>
      <c r="AU1243" s="166">
        <v>0</v>
      </c>
      <c r="AV1243" s="166">
        <v>0</v>
      </c>
      <c r="AW1243" s="166">
        <v>1</v>
      </c>
      <c r="AX1243" s="166">
        <v>1</v>
      </c>
      <c r="AY1243" s="166">
        <v>0</v>
      </c>
      <c r="AZ1243" s="166">
        <v>0</v>
      </c>
      <c r="BA1243" s="166">
        <v>0</v>
      </c>
      <c r="BB1243" s="166">
        <v>0</v>
      </c>
      <c r="BC1243" s="166">
        <v>0</v>
      </c>
      <c r="BD1243" s="166">
        <v>0</v>
      </c>
      <c r="BE1243" s="166">
        <v>0</v>
      </c>
      <c r="BF1243" s="166">
        <v>0</v>
      </c>
      <c r="BG1243" s="166">
        <v>0</v>
      </c>
      <c r="BH1243" s="166">
        <v>0</v>
      </c>
      <c r="BI1243" s="166">
        <v>0</v>
      </c>
      <c r="BJ1243" s="166">
        <v>0</v>
      </c>
      <c r="BK1243" s="166">
        <v>0</v>
      </c>
      <c r="BL1243" s="166">
        <v>0</v>
      </c>
      <c r="BM1243" s="166">
        <v>0</v>
      </c>
      <c r="BN1243" s="166">
        <v>0</v>
      </c>
      <c r="BO1243" s="166">
        <v>0</v>
      </c>
      <c r="BP1243" s="166">
        <v>0</v>
      </c>
      <c r="BQ1243" s="81" t="s">
        <v>1758</v>
      </c>
      <c r="BR1243" s="81" t="s">
        <v>161</v>
      </c>
      <c r="BZ1243" s="81" t="s">
        <v>3991</v>
      </c>
      <c r="CA1243" s="81">
        <v>15</v>
      </c>
      <c r="CB1243" s="165" t="s">
        <v>4000</v>
      </c>
      <c r="CC1243" s="167">
        <v>0</v>
      </c>
      <c r="CD1243" s="167">
        <v>0</v>
      </c>
      <c r="CE1243" s="167">
        <v>0</v>
      </c>
      <c r="CF1243" s="167">
        <v>0</v>
      </c>
      <c r="CG1243" s="167">
        <v>0</v>
      </c>
      <c r="CH1243" s="167">
        <v>0</v>
      </c>
      <c r="CI1243" s="167">
        <v>0</v>
      </c>
      <c r="CJ1243" s="167">
        <v>0</v>
      </c>
      <c r="CK1243" s="167">
        <v>0</v>
      </c>
      <c r="CL1243" s="167">
        <v>0</v>
      </c>
      <c r="CM1243" s="167">
        <v>0</v>
      </c>
      <c r="CN1243" s="167">
        <v>0</v>
      </c>
      <c r="CO1243" s="167">
        <v>0</v>
      </c>
      <c r="CP1243" s="167">
        <v>0</v>
      </c>
      <c r="CQ1243" s="167">
        <v>0</v>
      </c>
      <c r="CR1243" s="167">
        <v>0</v>
      </c>
      <c r="CS1243" s="167">
        <v>0</v>
      </c>
      <c r="CT1243" s="167">
        <v>0</v>
      </c>
      <c r="CU1243" s="167">
        <v>0</v>
      </c>
      <c r="CV1243" s="167">
        <v>0</v>
      </c>
      <c r="CW1243" s="167">
        <v>0</v>
      </c>
      <c r="CX1243" s="167">
        <f>SUM(CD1243:CH1243)</f>
        <v>0</v>
      </c>
      <c r="CY1243" s="167">
        <f>SUM(CD1243:CM1243)</f>
        <v>0</v>
      </c>
    </row>
    <row r="1244" spans="1:103" ht="12.75" customHeight="1" x14ac:dyDescent="0.2">
      <c r="A1244" s="81">
        <v>6030</v>
      </c>
      <c r="B1244" s="165" t="s">
        <v>1955</v>
      </c>
      <c r="C1244" s="165" t="s">
        <v>2132</v>
      </c>
      <c r="E1244" s="165" t="s">
        <v>2133</v>
      </c>
      <c r="G1244" s="81">
        <v>522262</v>
      </c>
      <c r="H1244" s="81">
        <v>173980</v>
      </c>
      <c r="I1244" s="165" t="s">
        <v>877</v>
      </c>
      <c r="L1244" s="166">
        <v>0</v>
      </c>
      <c r="M1244" s="166">
        <v>2</v>
      </c>
      <c r="N1244" s="166">
        <v>2</v>
      </c>
      <c r="O1244" s="166">
        <v>2</v>
      </c>
      <c r="P1244" s="166">
        <v>2</v>
      </c>
      <c r="R1244" s="165" t="s">
        <v>2134</v>
      </c>
      <c r="S1244" s="81" t="s">
        <v>121</v>
      </c>
      <c r="T1244" s="349">
        <v>42810</v>
      </c>
      <c r="W1244" s="81" t="s">
        <v>114</v>
      </c>
      <c r="Y1244" s="81" t="s">
        <v>115</v>
      </c>
      <c r="Z1244" s="81" t="s">
        <v>116</v>
      </c>
      <c r="AA1244" s="81" t="s">
        <v>117</v>
      </c>
      <c r="AB1244" s="81" t="s">
        <v>218</v>
      </c>
      <c r="AC1244" s="166">
        <v>0.10199999809265101</v>
      </c>
      <c r="AG1244" s="81" t="s">
        <v>238</v>
      </c>
      <c r="AH1244" s="81" t="s">
        <v>118</v>
      </c>
      <c r="AK1244" s="166">
        <v>0</v>
      </c>
      <c r="AM1244" s="166">
        <v>0</v>
      </c>
      <c r="AO1244" s="166">
        <v>0</v>
      </c>
      <c r="AP1244" s="166">
        <v>0</v>
      </c>
      <c r="AQ1244" s="166">
        <v>0</v>
      </c>
      <c r="AR1244" s="166">
        <v>0</v>
      </c>
      <c r="AS1244" s="166">
        <v>0</v>
      </c>
      <c r="AT1244" s="166">
        <v>2</v>
      </c>
      <c r="AU1244" s="166">
        <v>0</v>
      </c>
      <c r="AV1244" s="166">
        <v>0</v>
      </c>
      <c r="AW1244" s="166">
        <v>0</v>
      </c>
      <c r="AX1244" s="166">
        <v>0</v>
      </c>
      <c r="AY1244" s="166">
        <v>0</v>
      </c>
      <c r="AZ1244" s="166">
        <v>0</v>
      </c>
      <c r="BA1244" s="166">
        <v>0</v>
      </c>
      <c r="BB1244" s="166">
        <v>0</v>
      </c>
      <c r="BC1244" s="166">
        <v>0</v>
      </c>
      <c r="BD1244" s="166">
        <v>0</v>
      </c>
      <c r="BE1244" s="166">
        <v>0</v>
      </c>
      <c r="BF1244" s="166">
        <v>0</v>
      </c>
      <c r="BG1244" s="166">
        <v>0</v>
      </c>
      <c r="BH1244" s="166">
        <v>2</v>
      </c>
      <c r="BI1244" s="166">
        <v>0</v>
      </c>
      <c r="BJ1244" s="166">
        <v>0</v>
      </c>
      <c r="BK1244" s="166">
        <v>0</v>
      </c>
      <c r="BL1244" s="166">
        <v>0</v>
      </c>
      <c r="BM1244" s="166">
        <v>0</v>
      </c>
      <c r="BN1244" s="166">
        <v>0</v>
      </c>
      <c r="BO1244" s="166">
        <v>0</v>
      </c>
      <c r="BP1244" s="166">
        <v>0</v>
      </c>
      <c r="BQ1244" s="81" t="s">
        <v>1758</v>
      </c>
      <c r="BZ1244" s="81" t="s">
        <v>3991</v>
      </c>
      <c r="CA1244" s="81">
        <v>15</v>
      </c>
      <c r="CB1244" s="165" t="s">
        <v>4001</v>
      </c>
      <c r="CC1244" s="167">
        <v>0</v>
      </c>
      <c r="CD1244" s="167">
        <v>0</v>
      </c>
      <c r="CE1244" s="167">
        <v>0</v>
      </c>
      <c r="CF1244" s="167">
        <v>0</v>
      </c>
      <c r="CG1244" s="167">
        <v>0</v>
      </c>
      <c r="CH1244" s="167">
        <v>0</v>
      </c>
      <c r="CI1244" s="167">
        <v>0</v>
      </c>
      <c r="CJ1244" s="167">
        <v>0</v>
      </c>
      <c r="CK1244" s="167">
        <v>0</v>
      </c>
      <c r="CL1244" s="167">
        <v>0</v>
      </c>
      <c r="CM1244" s="167">
        <v>0</v>
      </c>
      <c r="CN1244" s="167">
        <v>0</v>
      </c>
      <c r="CO1244" s="167">
        <v>0</v>
      </c>
      <c r="CP1244" s="167">
        <v>0</v>
      </c>
      <c r="CQ1244" s="167">
        <v>0</v>
      </c>
      <c r="CR1244" s="167">
        <v>0</v>
      </c>
      <c r="CS1244" s="167">
        <v>0</v>
      </c>
      <c r="CT1244" s="167">
        <v>0</v>
      </c>
      <c r="CU1244" s="167">
        <v>0</v>
      </c>
      <c r="CV1244" s="167">
        <v>0</v>
      </c>
      <c r="CW1244" s="167">
        <v>0</v>
      </c>
      <c r="CX1244" s="167">
        <f>SUM(CD1244:CH1244)</f>
        <v>0</v>
      </c>
      <c r="CY1244" s="167">
        <f>SUM(CD1244:CM1244)</f>
        <v>0</v>
      </c>
    </row>
    <row r="1245" spans="1:103" ht="12.75" customHeight="1" x14ac:dyDescent="0.2">
      <c r="A1245" s="81">
        <v>6088</v>
      </c>
      <c r="B1245" s="165" t="s">
        <v>1955</v>
      </c>
      <c r="C1245" s="165" t="s">
        <v>2135</v>
      </c>
      <c r="E1245" s="165" t="s">
        <v>2136</v>
      </c>
      <c r="G1245" s="81">
        <v>527736</v>
      </c>
      <c r="H1245" s="81">
        <v>172067</v>
      </c>
      <c r="I1245" s="165" t="s">
        <v>242</v>
      </c>
      <c r="L1245" s="166">
        <v>0</v>
      </c>
      <c r="M1245" s="166">
        <v>4</v>
      </c>
      <c r="N1245" s="166">
        <v>4</v>
      </c>
      <c r="O1245" s="166">
        <v>4</v>
      </c>
      <c r="P1245" s="166">
        <v>4</v>
      </c>
      <c r="R1245" s="165" t="s">
        <v>2137</v>
      </c>
      <c r="S1245" s="81" t="s">
        <v>121</v>
      </c>
      <c r="T1245" s="349">
        <v>42997</v>
      </c>
      <c r="W1245" s="81" t="s">
        <v>114</v>
      </c>
      <c r="Y1245" s="81" t="s">
        <v>115</v>
      </c>
      <c r="Z1245" s="81" t="s">
        <v>398</v>
      </c>
      <c r="AA1245" s="81" t="s">
        <v>117</v>
      </c>
      <c r="AB1245" s="81" t="s">
        <v>218</v>
      </c>
      <c r="AC1245" s="166">
        <v>8.9999996125698107E-3</v>
      </c>
      <c r="AG1245" s="81" t="s">
        <v>238</v>
      </c>
      <c r="AH1245" s="81" t="s">
        <v>118</v>
      </c>
      <c r="AK1245" s="166">
        <v>0</v>
      </c>
      <c r="AM1245" s="166">
        <v>0</v>
      </c>
      <c r="AO1245" s="166">
        <v>4</v>
      </c>
      <c r="AP1245" s="166">
        <v>0</v>
      </c>
      <c r="AQ1245" s="166">
        <v>0</v>
      </c>
      <c r="AR1245" s="166">
        <v>0</v>
      </c>
      <c r="AS1245" s="166">
        <v>0</v>
      </c>
      <c r="AT1245" s="166">
        <v>0</v>
      </c>
      <c r="AU1245" s="166">
        <v>0</v>
      </c>
      <c r="AV1245" s="166">
        <v>4</v>
      </c>
      <c r="AW1245" s="166">
        <v>0</v>
      </c>
      <c r="AX1245" s="166">
        <v>0</v>
      </c>
      <c r="AY1245" s="166">
        <v>0</v>
      </c>
      <c r="AZ1245" s="166">
        <v>0</v>
      </c>
      <c r="BA1245" s="166">
        <v>0</v>
      </c>
      <c r="BB1245" s="166">
        <v>0</v>
      </c>
      <c r="BC1245" s="166">
        <v>0</v>
      </c>
      <c r="BD1245" s="166">
        <v>0</v>
      </c>
      <c r="BE1245" s="166">
        <v>0</v>
      </c>
      <c r="BF1245" s="166">
        <v>0</v>
      </c>
      <c r="BG1245" s="166">
        <v>0</v>
      </c>
      <c r="BH1245" s="166">
        <v>0</v>
      </c>
      <c r="BI1245" s="166">
        <v>0</v>
      </c>
      <c r="BJ1245" s="166">
        <v>0</v>
      </c>
      <c r="BK1245" s="166">
        <v>0</v>
      </c>
      <c r="BL1245" s="166">
        <v>0</v>
      </c>
      <c r="BM1245" s="166">
        <v>0</v>
      </c>
      <c r="BN1245" s="166">
        <v>0</v>
      </c>
      <c r="BO1245" s="166">
        <v>0</v>
      </c>
      <c r="BP1245" s="166">
        <v>0</v>
      </c>
      <c r="BQ1245" s="81" t="s">
        <v>1757</v>
      </c>
      <c r="BZ1245" s="81" t="s">
        <v>155</v>
      </c>
      <c r="CA1245" s="81">
        <v>10</v>
      </c>
      <c r="CC1245" s="167">
        <v>0</v>
      </c>
      <c r="CD1245" s="167">
        <v>0</v>
      </c>
      <c r="CE1245" s="167">
        <v>0</v>
      </c>
      <c r="CF1245" s="167">
        <v>0</v>
      </c>
      <c r="CG1245" s="167">
        <v>0</v>
      </c>
      <c r="CH1245" s="167">
        <f>$N1245/3</f>
        <v>1.3333333333333333</v>
      </c>
      <c r="CI1245" s="167">
        <f>$N1245/3</f>
        <v>1.3333333333333333</v>
      </c>
      <c r="CJ1245" s="167">
        <f>$N1245/3</f>
        <v>1.3333333333333333</v>
      </c>
      <c r="CK1245" s="167">
        <v>0</v>
      </c>
      <c r="CL1245" s="167">
        <v>0</v>
      </c>
      <c r="CM1245" s="167">
        <v>0</v>
      </c>
      <c r="CN1245" s="167">
        <v>0</v>
      </c>
      <c r="CO1245" s="167">
        <v>0</v>
      </c>
      <c r="CP1245" s="167">
        <v>0</v>
      </c>
      <c r="CQ1245" s="167">
        <v>0</v>
      </c>
      <c r="CR1245" s="167">
        <v>0</v>
      </c>
      <c r="CS1245" s="167">
        <v>0</v>
      </c>
      <c r="CT1245" s="167">
        <v>0</v>
      </c>
      <c r="CU1245" s="167">
        <v>0</v>
      </c>
      <c r="CV1245" s="167">
        <v>0</v>
      </c>
      <c r="CW1245" s="167">
        <v>0</v>
      </c>
      <c r="CX1245" s="167">
        <f>SUM(CD1245:CH1245)</f>
        <v>1.3333333333333333</v>
      </c>
      <c r="CY1245" s="167">
        <f>SUM(CD1245:CM1245)</f>
        <v>4</v>
      </c>
    </row>
    <row r="1246" spans="1:103" ht="12.75" customHeight="1" x14ac:dyDescent="0.2">
      <c r="A1246" s="81">
        <v>6149</v>
      </c>
      <c r="B1246" s="165" t="s">
        <v>1955</v>
      </c>
      <c r="C1246" s="165" t="s">
        <v>1552</v>
      </c>
      <c r="E1246" s="165" t="s">
        <v>3424</v>
      </c>
      <c r="G1246" s="81">
        <v>525867</v>
      </c>
      <c r="H1246" s="81">
        <v>172948</v>
      </c>
      <c r="I1246" s="165" t="s">
        <v>258</v>
      </c>
      <c r="L1246" s="166">
        <v>0</v>
      </c>
      <c r="M1246" s="166">
        <v>15</v>
      </c>
      <c r="N1246" s="166">
        <v>15</v>
      </c>
      <c r="O1246" s="166">
        <v>15</v>
      </c>
      <c r="P1246" s="166">
        <v>15</v>
      </c>
      <c r="Q1246" s="81" t="s">
        <v>155</v>
      </c>
      <c r="R1246" s="165" t="s">
        <v>1553</v>
      </c>
      <c r="S1246" s="81" t="s">
        <v>121</v>
      </c>
      <c r="T1246" s="349">
        <v>42615</v>
      </c>
      <c r="W1246" s="81" t="s">
        <v>114</v>
      </c>
      <c r="Y1246" s="81" t="s">
        <v>115</v>
      </c>
      <c r="Z1246" s="81" t="s">
        <v>116</v>
      </c>
      <c r="AA1246" s="81" t="s">
        <v>116</v>
      </c>
      <c r="AB1246" s="81" t="s">
        <v>117</v>
      </c>
      <c r="AC1246" s="166">
        <v>6.7000001668930095E-2</v>
      </c>
      <c r="AG1246" s="81" t="s">
        <v>238</v>
      </c>
      <c r="AH1246" s="81" t="s">
        <v>118</v>
      </c>
      <c r="AK1246" s="166">
        <v>0</v>
      </c>
      <c r="AM1246" s="166">
        <v>2</v>
      </c>
      <c r="AO1246" s="166">
        <v>0</v>
      </c>
      <c r="AP1246" s="166">
        <v>3</v>
      </c>
      <c r="AQ1246" s="166">
        <v>11</v>
      </c>
      <c r="AR1246" s="166">
        <v>1</v>
      </c>
      <c r="AS1246" s="166">
        <v>0</v>
      </c>
      <c r="AT1246" s="166">
        <v>0</v>
      </c>
      <c r="AU1246" s="166">
        <v>0</v>
      </c>
      <c r="AV1246" s="166">
        <v>0</v>
      </c>
      <c r="AW1246" s="166">
        <v>3</v>
      </c>
      <c r="AX1246" s="166">
        <v>11</v>
      </c>
      <c r="AY1246" s="166">
        <v>1</v>
      </c>
      <c r="AZ1246" s="166">
        <v>0</v>
      </c>
      <c r="BA1246" s="166">
        <v>0</v>
      </c>
      <c r="BB1246" s="166">
        <v>0</v>
      </c>
      <c r="BC1246" s="166">
        <v>0</v>
      </c>
      <c r="BD1246" s="166">
        <v>0</v>
      </c>
      <c r="BE1246" s="166">
        <v>0</v>
      </c>
      <c r="BF1246" s="166">
        <v>0</v>
      </c>
      <c r="BG1246" s="166">
        <v>0</v>
      </c>
      <c r="BH1246" s="166">
        <v>0</v>
      </c>
      <c r="BI1246" s="166">
        <v>0</v>
      </c>
      <c r="BJ1246" s="166">
        <v>0</v>
      </c>
      <c r="BK1246" s="166">
        <v>0</v>
      </c>
      <c r="BL1246" s="166">
        <v>0</v>
      </c>
      <c r="BM1246" s="166">
        <v>0</v>
      </c>
      <c r="BN1246" s="166">
        <v>0</v>
      </c>
      <c r="BO1246" s="166">
        <v>0</v>
      </c>
      <c r="BP1246" s="166">
        <v>0</v>
      </c>
      <c r="BQ1246" s="81" t="s">
        <v>1758</v>
      </c>
      <c r="BY1246" s="81" t="s">
        <v>155</v>
      </c>
      <c r="BZ1246" s="81" t="s">
        <v>155</v>
      </c>
      <c r="CA1246" s="81">
        <v>6</v>
      </c>
      <c r="CC1246" s="167">
        <v>0</v>
      </c>
      <c r="CD1246" s="167">
        <v>0</v>
      </c>
      <c r="CE1246" s="167">
        <v>0</v>
      </c>
      <c r="CF1246" s="167">
        <v>0</v>
      </c>
      <c r="CG1246" s="167">
        <v>0</v>
      </c>
      <c r="CH1246" s="167">
        <f>$N1246/3</f>
        <v>5</v>
      </c>
      <c r="CI1246" s="167">
        <f>$N1246/3</f>
        <v>5</v>
      </c>
      <c r="CJ1246" s="167">
        <f>$N1246/3</f>
        <v>5</v>
      </c>
      <c r="CK1246" s="167">
        <v>0</v>
      </c>
      <c r="CL1246" s="167">
        <v>0</v>
      </c>
      <c r="CM1246" s="167">
        <v>0</v>
      </c>
      <c r="CN1246" s="167">
        <v>0</v>
      </c>
      <c r="CO1246" s="167">
        <v>0</v>
      </c>
      <c r="CP1246" s="167">
        <v>0</v>
      </c>
      <c r="CQ1246" s="167">
        <v>0</v>
      </c>
      <c r="CR1246" s="167">
        <v>0</v>
      </c>
      <c r="CS1246" s="167">
        <v>0</v>
      </c>
      <c r="CT1246" s="167">
        <v>0</v>
      </c>
      <c r="CU1246" s="167">
        <v>0</v>
      </c>
      <c r="CV1246" s="167">
        <v>0</v>
      </c>
      <c r="CW1246" s="167">
        <v>0</v>
      </c>
      <c r="CX1246" s="167">
        <f>SUM(CD1246:CH1246)</f>
        <v>5</v>
      </c>
      <c r="CY1246" s="167">
        <f>SUM(CD1246:CM1246)</f>
        <v>15</v>
      </c>
    </row>
    <row r="1247" spans="1:103" ht="12.75" customHeight="1" x14ac:dyDescent="0.2">
      <c r="A1247" s="81">
        <v>6149</v>
      </c>
      <c r="B1247" s="165" t="s">
        <v>1955</v>
      </c>
      <c r="C1247" s="165" t="s">
        <v>3425</v>
      </c>
      <c r="E1247" s="165" t="s">
        <v>3424</v>
      </c>
      <c r="G1247" s="81">
        <v>525867</v>
      </c>
      <c r="H1247" s="81">
        <v>172948</v>
      </c>
      <c r="I1247" s="165" t="s">
        <v>258</v>
      </c>
      <c r="L1247" s="166">
        <v>0</v>
      </c>
      <c r="M1247" s="166">
        <v>9</v>
      </c>
      <c r="N1247" s="166">
        <v>9</v>
      </c>
      <c r="O1247" s="166">
        <v>9</v>
      </c>
      <c r="P1247" s="166">
        <v>9</v>
      </c>
      <c r="R1247" s="165" t="s">
        <v>3426</v>
      </c>
      <c r="S1247" s="81" t="s">
        <v>121</v>
      </c>
      <c r="T1247" s="349">
        <v>43146</v>
      </c>
      <c r="W1247" s="81" t="s">
        <v>114</v>
      </c>
      <c r="Y1247" s="81" t="s">
        <v>115</v>
      </c>
      <c r="Z1247" s="81" t="s">
        <v>116</v>
      </c>
      <c r="AA1247" s="81" t="s">
        <v>117</v>
      </c>
      <c r="AB1247" s="81" t="s">
        <v>218</v>
      </c>
      <c r="AC1247" s="166">
        <v>5.0999999046325697E-2</v>
      </c>
      <c r="AG1247" s="81" t="s">
        <v>238</v>
      </c>
      <c r="AH1247" s="81" t="s">
        <v>118</v>
      </c>
      <c r="AK1247" s="166">
        <v>0</v>
      </c>
      <c r="AL1247" s="166">
        <v>8</v>
      </c>
      <c r="AM1247" s="166">
        <v>0</v>
      </c>
      <c r="AN1247" s="166">
        <v>1</v>
      </c>
      <c r="AO1247" s="166">
        <v>0</v>
      </c>
      <c r="AP1247" s="166">
        <v>1</v>
      </c>
      <c r="AQ1247" s="166">
        <v>7</v>
      </c>
      <c r="AR1247" s="166">
        <v>1</v>
      </c>
      <c r="AS1247" s="166">
        <v>0</v>
      </c>
      <c r="AT1247" s="166">
        <v>0</v>
      </c>
      <c r="AU1247" s="166">
        <v>0</v>
      </c>
      <c r="AV1247" s="166">
        <v>0</v>
      </c>
      <c r="AW1247" s="166">
        <v>1</v>
      </c>
      <c r="AX1247" s="166">
        <v>7</v>
      </c>
      <c r="AY1247" s="166">
        <v>1</v>
      </c>
      <c r="AZ1247" s="166">
        <v>0</v>
      </c>
      <c r="BA1247" s="166">
        <v>0</v>
      </c>
      <c r="BB1247" s="166">
        <v>0</v>
      </c>
      <c r="BC1247" s="166">
        <v>0</v>
      </c>
      <c r="BD1247" s="166">
        <v>0</v>
      </c>
      <c r="BE1247" s="166">
        <v>0</v>
      </c>
      <c r="BF1247" s="166">
        <v>0</v>
      </c>
      <c r="BG1247" s="166">
        <v>0</v>
      </c>
      <c r="BH1247" s="166">
        <v>0</v>
      </c>
      <c r="BI1247" s="166">
        <v>0</v>
      </c>
      <c r="BJ1247" s="166">
        <v>0</v>
      </c>
      <c r="BK1247" s="166">
        <v>0</v>
      </c>
      <c r="BL1247" s="166">
        <v>0</v>
      </c>
      <c r="BM1247" s="166">
        <v>0</v>
      </c>
      <c r="BN1247" s="166">
        <v>0</v>
      </c>
      <c r="BO1247" s="166">
        <v>0</v>
      </c>
      <c r="BP1247" s="166">
        <v>0</v>
      </c>
      <c r="BQ1247" s="81" t="s">
        <v>1758</v>
      </c>
      <c r="BY1247" s="81" t="s">
        <v>155</v>
      </c>
      <c r="BZ1247" s="81" t="s">
        <v>155</v>
      </c>
      <c r="CA1247" s="81">
        <v>6</v>
      </c>
      <c r="CC1247" s="167">
        <v>0</v>
      </c>
      <c r="CD1247" s="167">
        <v>0</v>
      </c>
      <c r="CE1247" s="167">
        <v>0</v>
      </c>
      <c r="CF1247" s="167">
        <v>0</v>
      </c>
      <c r="CG1247" s="167">
        <v>0</v>
      </c>
      <c r="CH1247" s="167">
        <f>$N1247/3</f>
        <v>3</v>
      </c>
      <c r="CI1247" s="167">
        <f>$N1247/3</f>
        <v>3</v>
      </c>
      <c r="CJ1247" s="167">
        <f>$N1247/3</f>
        <v>3</v>
      </c>
      <c r="CK1247" s="167">
        <v>0</v>
      </c>
      <c r="CL1247" s="167">
        <v>0</v>
      </c>
      <c r="CM1247" s="167">
        <v>0</v>
      </c>
      <c r="CN1247" s="167">
        <v>0</v>
      </c>
      <c r="CO1247" s="167">
        <v>0</v>
      </c>
      <c r="CP1247" s="167">
        <v>0</v>
      </c>
      <c r="CQ1247" s="167">
        <v>0</v>
      </c>
      <c r="CR1247" s="167">
        <v>0</v>
      </c>
      <c r="CS1247" s="167">
        <v>0</v>
      </c>
      <c r="CT1247" s="167">
        <v>0</v>
      </c>
      <c r="CU1247" s="167">
        <v>0</v>
      </c>
      <c r="CV1247" s="167">
        <v>0</v>
      </c>
      <c r="CW1247" s="167">
        <v>0</v>
      </c>
      <c r="CX1247" s="167">
        <f>SUM(CD1247:CH1247)</f>
        <v>3</v>
      </c>
      <c r="CY1247" s="167">
        <f>SUM(CD1247:CM1247)</f>
        <v>9</v>
      </c>
    </row>
    <row r="1248" spans="1:103" ht="12.75" customHeight="1" x14ac:dyDescent="0.2">
      <c r="A1248" s="81">
        <v>6196</v>
      </c>
      <c r="B1248" s="165" t="s">
        <v>1955</v>
      </c>
      <c r="C1248" s="165" t="s">
        <v>2140</v>
      </c>
      <c r="E1248" s="165" t="s">
        <v>2141</v>
      </c>
      <c r="G1248" s="81">
        <v>528701</v>
      </c>
      <c r="H1248" s="81">
        <v>172342</v>
      </c>
      <c r="I1248" s="165" t="s">
        <v>248</v>
      </c>
      <c r="L1248" s="166">
        <v>0</v>
      </c>
      <c r="M1248" s="166">
        <v>1</v>
      </c>
      <c r="N1248" s="166">
        <v>1</v>
      </c>
      <c r="O1248" s="166">
        <v>1</v>
      </c>
      <c r="P1248" s="166">
        <v>1</v>
      </c>
      <c r="R1248" s="165" t="s">
        <v>2142</v>
      </c>
      <c r="S1248" s="81" t="s">
        <v>121</v>
      </c>
      <c r="T1248" s="349">
        <v>43165</v>
      </c>
      <c r="W1248" s="81" t="s">
        <v>114</v>
      </c>
      <c r="Y1248" s="81" t="s">
        <v>115</v>
      </c>
      <c r="Z1248" s="81" t="s">
        <v>116</v>
      </c>
      <c r="AA1248" s="81" t="s">
        <v>117</v>
      </c>
      <c r="AB1248" s="81" t="s">
        <v>218</v>
      </c>
      <c r="AC1248" s="166">
        <v>8.9999996125698107E-3</v>
      </c>
      <c r="AG1248" s="81" t="s">
        <v>238</v>
      </c>
      <c r="AH1248" s="81" t="s">
        <v>118</v>
      </c>
      <c r="AK1248" s="166">
        <v>0</v>
      </c>
      <c r="AM1248" s="166">
        <v>0</v>
      </c>
      <c r="AO1248" s="166">
        <v>0</v>
      </c>
      <c r="AP1248" s="166">
        <v>0</v>
      </c>
      <c r="AQ1248" s="166">
        <v>0</v>
      </c>
      <c r="AR1248" s="166">
        <v>1</v>
      </c>
      <c r="AS1248" s="166">
        <v>0</v>
      </c>
      <c r="AT1248" s="166">
        <v>0</v>
      </c>
      <c r="AU1248" s="166">
        <v>0</v>
      </c>
      <c r="AV1248" s="166">
        <v>0</v>
      </c>
      <c r="AW1248" s="166">
        <v>0</v>
      </c>
      <c r="AX1248" s="166">
        <v>0</v>
      </c>
      <c r="AY1248" s="166">
        <v>0</v>
      </c>
      <c r="AZ1248" s="166">
        <v>0</v>
      </c>
      <c r="BA1248" s="166">
        <v>0</v>
      </c>
      <c r="BB1248" s="166">
        <v>0</v>
      </c>
      <c r="BC1248" s="166">
        <v>0</v>
      </c>
      <c r="BD1248" s="166">
        <v>0</v>
      </c>
      <c r="BE1248" s="166">
        <v>0</v>
      </c>
      <c r="BF1248" s="166">
        <v>1</v>
      </c>
      <c r="BG1248" s="166">
        <v>0</v>
      </c>
      <c r="BH1248" s="166">
        <v>0</v>
      </c>
      <c r="BI1248" s="166">
        <v>0</v>
      </c>
      <c r="BJ1248" s="166">
        <v>0</v>
      </c>
      <c r="BK1248" s="166">
        <v>0</v>
      </c>
      <c r="BL1248" s="166">
        <v>0</v>
      </c>
      <c r="BM1248" s="166">
        <v>0</v>
      </c>
      <c r="BN1248" s="166">
        <v>0</v>
      </c>
      <c r="BO1248" s="166">
        <v>0</v>
      </c>
      <c r="BP1248" s="166">
        <v>0</v>
      </c>
      <c r="BQ1248" s="81" t="s">
        <v>1757</v>
      </c>
      <c r="BZ1248" s="81" t="s">
        <v>3991</v>
      </c>
      <c r="CA1248" s="81">
        <v>15</v>
      </c>
      <c r="CB1248" s="165" t="s">
        <v>4002</v>
      </c>
      <c r="CC1248" s="167">
        <v>0</v>
      </c>
      <c r="CD1248" s="167">
        <v>0</v>
      </c>
      <c r="CE1248" s="167">
        <v>0</v>
      </c>
      <c r="CF1248" s="167">
        <v>0</v>
      </c>
      <c r="CG1248" s="167">
        <v>0</v>
      </c>
      <c r="CH1248" s="167">
        <v>0</v>
      </c>
      <c r="CI1248" s="167">
        <v>0</v>
      </c>
      <c r="CJ1248" s="167">
        <v>0</v>
      </c>
      <c r="CK1248" s="167">
        <v>0</v>
      </c>
      <c r="CL1248" s="167">
        <v>0</v>
      </c>
      <c r="CM1248" s="167">
        <v>0</v>
      </c>
      <c r="CN1248" s="167">
        <v>0</v>
      </c>
      <c r="CO1248" s="167">
        <v>0</v>
      </c>
      <c r="CP1248" s="167">
        <v>0</v>
      </c>
      <c r="CQ1248" s="167">
        <v>0</v>
      </c>
      <c r="CR1248" s="167">
        <v>0</v>
      </c>
      <c r="CS1248" s="167">
        <v>0</v>
      </c>
      <c r="CT1248" s="167">
        <v>0</v>
      </c>
      <c r="CU1248" s="167">
        <v>0</v>
      </c>
      <c r="CV1248" s="167">
        <v>0</v>
      </c>
      <c r="CW1248" s="167">
        <v>0</v>
      </c>
      <c r="CX1248" s="167">
        <f>SUM(CD1248:CH1248)</f>
        <v>0</v>
      </c>
      <c r="CY1248" s="167">
        <f>SUM(CD1248:CM1248)</f>
        <v>0</v>
      </c>
    </row>
    <row r="1249" spans="1:103" ht="12.75" customHeight="1" x14ac:dyDescent="0.2">
      <c r="A1249" s="81">
        <v>6204</v>
      </c>
      <c r="B1249" s="165" t="s">
        <v>1955</v>
      </c>
      <c r="C1249" s="165" t="s">
        <v>2143</v>
      </c>
      <c r="E1249" s="165" t="s">
        <v>2144</v>
      </c>
      <c r="G1249" s="81">
        <v>527745</v>
      </c>
      <c r="H1249" s="81">
        <v>171310</v>
      </c>
      <c r="I1249" s="165" t="s">
        <v>253</v>
      </c>
      <c r="L1249" s="166">
        <v>1</v>
      </c>
      <c r="M1249" s="166">
        <v>0</v>
      </c>
      <c r="N1249" s="166">
        <v>-1</v>
      </c>
      <c r="O1249" s="166">
        <v>0</v>
      </c>
      <c r="P1249" s="166">
        <v>-1</v>
      </c>
      <c r="R1249" s="165" t="s">
        <v>2145</v>
      </c>
      <c r="S1249" s="81" t="s">
        <v>121</v>
      </c>
      <c r="T1249" s="349">
        <v>42970</v>
      </c>
      <c r="W1249" s="81" t="s">
        <v>114</v>
      </c>
      <c r="Y1249" s="81" t="s">
        <v>115</v>
      </c>
      <c r="Z1249" s="81" t="s">
        <v>310</v>
      </c>
      <c r="AA1249" s="81" t="s">
        <v>117</v>
      </c>
      <c r="AB1249" s="81" t="s">
        <v>105</v>
      </c>
      <c r="AC1249" s="166">
        <v>1.4999999664723899E-2</v>
      </c>
      <c r="AG1249" s="81" t="s">
        <v>238</v>
      </c>
      <c r="AH1249" s="81" t="s">
        <v>118</v>
      </c>
      <c r="AK1249" s="166">
        <v>0</v>
      </c>
      <c r="AM1249" s="166">
        <v>0</v>
      </c>
      <c r="AO1249" s="166">
        <v>0</v>
      </c>
      <c r="AP1249" s="166">
        <v>0</v>
      </c>
      <c r="AQ1249" s="166">
        <v>0</v>
      </c>
      <c r="AR1249" s="166">
        <v>0</v>
      </c>
      <c r="AS1249" s="166">
        <v>0</v>
      </c>
      <c r="AT1249" s="166">
        <v>-1</v>
      </c>
      <c r="AU1249" s="166">
        <v>0</v>
      </c>
      <c r="AV1249" s="166">
        <v>0</v>
      </c>
      <c r="AW1249" s="166">
        <v>0</v>
      </c>
      <c r="AX1249" s="166">
        <v>0</v>
      </c>
      <c r="AY1249" s="166">
        <v>0</v>
      </c>
      <c r="AZ1249" s="166">
        <v>0</v>
      </c>
      <c r="BA1249" s="166">
        <v>0</v>
      </c>
      <c r="BB1249" s="166">
        <v>0</v>
      </c>
      <c r="BC1249" s="166">
        <v>0</v>
      </c>
      <c r="BD1249" s="166">
        <v>0</v>
      </c>
      <c r="BE1249" s="166">
        <v>0</v>
      </c>
      <c r="BF1249" s="166">
        <v>0</v>
      </c>
      <c r="BG1249" s="166">
        <v>0</v>
      </c>
      <c r="BH1249" s="166">
        <v>-1</v>
      </c>
      <c r="BI1249" s="166">
        <v>0</v>
      </c>
      <c r="BJ1249" s="166">
        <v>0</v>
      </c>
      <c r="BK1249" s="166">
        <v>0</v>
      </c>
      <c r="BL1249" s="166">
        <v>0</v>
      </c>
      <c r="BM1249" s="166">
        <v>0</v>
      </c>
      <c r="BN1249" s="166">
        <v>0</v>
      </c>
      <c r="BO1249" s="166">
        <v>0</v>
      </c>
      <c r="BP1249" s="166">
        <v>0</v>
      </c>
      <c r="BQ1249" s="81" t="s">
        <v>1757</v>
      </c>
      <c r="BZ1249" s="81" t="s">
        <v>155</v>
      </c>
      <c r="CA1249" s="81">
        <v>10</v>
      </c>
      <c r="CC1249" s="167">
        <v>0</v>
      </c>
      <c r="CD1249" s="167">
        <v>0</v>
      </c>
      <c r="CE1249" s="167">
        <v>0</v>
      </c>
      <c r="CF1249" s="167">
        <v>0</v>
      </c>
      <c r="CG1249" s="167">
        <v>0</v>
      </c>
      <c r="CH1249" s="167">
        <f>$N1249/3</f>
        <v>-0.33333333333333331</v>
      </c>
      <c r="CI1249" s="167">
        <f>$N1249/3</f>
        <v>-0.33333333333333331</v>
      </c>
      <c r="CJ1249" s="167">
        <f>$N1249/3</f>
        <v>-0.33333333333333331</v>
      </c>
      <c r="CK1249" s="167">
        <v>0</v>
      </c>
      <c r="CL1249" s="167">
        <v>0</v>
      </c>
      <c r="CM1249" s="167">
        <v>0</v>
      </c>
      <c r="CN1249" s="167">
        <v>0</v>
      </c>
      <c r="CO1249" s="167">
        <v>0</v>
      </c>
      <c r="CP1249" s="167">
        <v>0</v>
      </c>
      <c r="CQ1249" s="167">
        <v>0</v>
      </c>
      <c r="CR1249" s="167">
        <v>0</v>
      </c>
      <c r="CS1249" s="167">
        <v>0</v>
      </c>
      <c r="CT1249" s="167">
        <v>0</v>
      </c>
      <c r="CU1249" s="167">
        <v>0</v>
      </c>
      <c r="CV1249" s="167">
        <v>0</v>
      </c>
      <c r="CW1249" s="167">
        <v>0</v>
      </c>
      <c r="CX1249" s="167">
        <f>SUM(CD1249:CH1249)</f>
        <v>-0.33333333333333331</v>
      </c>
      <c r="CY1249" s="167">
        <f>SUM(CD1249:CM1249)</f>
        <v>-1</v>
      </c>
    </row>
    <row r="1250" spans="1:103" ht="12.75" customHeight="1" x14ac:dyDescent="0.2">
      <c r="A1250" s="81">
        <v>6212</v>
      </c>
      <c r="B1250" s="165" t="s">
        <v>1955</v>
      </c>
      <c r="C1250" s="165" t="s">
        <v>2146</v>
      </c>
      <c r="E1250" s="165" t="s">
        <v>2147</v>
      </c>
      <c r="G1250" s="81">
        <v>529084</v>
      </c>
      <c r="H1250" s="81">
        <v>173102</v>
      </c>
      <c r="I1250" s="165" t="s">
        <v>247</v>
      </c>
      <c r="L1250" s="166">
        <v>0</v>
      </c>
      <c r="M1250" s="166">
        <v>1</v>
      </c>
      <c r="N1250" s="166">
        <v>1</v>
      </c>
      <c r="O1250" s="166">
        <v>1</v>
      </c>
      <c r="P1250" s="166">
        <v>1</v>
      </c>
      <c r="R1250" s="165" t="s">
        <v>2148</v>
      </c>
      <c r="S1250" s="81" t="s">
        <v>121</v>
      </c>
      <c r="T1250" s="349">
        <v>43160</v>
      </c>
      <c r="W1250" s="81" t="s">
        <v>114</v>
      </c>
      <c r="Y1250" s="81" t="s">
        <v>115</v>
      </c>
      <c r="Z1250" s="81" t="s">
        <v>116</v>
      </c>
      <c r="AA1250" s="81" t="s">
        <v>117</v>
      </c>
      <c r="AB1250" s="81" t="s">
        <v>218</v>
      </c>
      <c r="AC1250" s="166">
        <v>2.5000000372528999E-2</v>
      </c>
      <c r="AG1250" s="81" t="s">
        <v>238</v>
      </c>
      <c r="AH1250" s="81" t="s">
        <v>118</v>
      </c>
      <c r="AK1250" s="166">
        <v>0</v>
      </c>
      <c r="AM1250" s="166">
        <v>0</v>
      </c>
      <c r="AO1250" s="166">
        <v>0</v>
      </c>
      <c r="AP1250" s="166">
        <v>0</v>
      </c>
      <c r="AQ1250" s="166">
        <v>0</v>
      </c>
      <c r="AR1250" s="166">
        <v>1</v>
      </c>
      <c r="AS1250" s="166">
        <v>0</v>
      </c>
      <c r="AT1250" s="166">
        <v>0</v>
      </c>
      <c r="AU1250" s="166">
        <v>0</v>
      </c>
      <c r="AV1250" s="166">
        <v>0</v>
      </c>
      <c r="AW1250" s="166">
        <v>0</v>
      </c>
      <c r="AX1250" s="166">
        <v>0</v>
      </c>
      <c r="AY1250" s="166">
        <v>0</v>
      </c>
      <c r="AZ1250" s="166">
        <v>0</v>
      </c>
      <c r="BA1250" s="166">
        <v>0</v>
      </c>
      <c r="BB1250" s="166">
        <v>0</v>
      </c>
      <c r="BC1250" s="166">
        <v>0</v>
      </c>
      <c r="BD1250" s="166">
        <v>0</v>
      </c>
      <c r="BE1250" s="166">
        <v>0</v>
      </c>
      <c r="BF1250" s="166">
        <v>1</v>
      </c>
      <c r="BG1250" s="166">
        <v>0</v>
      </c>
      <c r="BH1250" s="166">
        <v>0</v>
      </c>
      <c r="BI1250" s="166">
        <v>0</v>
      </c>
      <c r="BJ1250" s="166">
        <v>0</v>
      </c>
      <c r="BK1250" s="166">
        <v>0</v>
      </c>
      <c r="BL1250" s="166">
        <v>0</v>
      </c>
      <c r="BM1250" s="166">
        <v>0</v>
      </c>
      <c r="BN1250" s="166">
        <v>0</v>
      </c>
      <c r="BO1250" s="166">
        <v>0</v>
      </c>
      <c r="BP1250" s="166">
        <v>0</v>
      </c>
      <c r="BQ1250" s="81" t="s">
        <v>1757</v>
      </c>
      <c r="BZ1250" s="81" t="s">
        <v>155</v>
      </c>
      <c r="CA1250" s="81">
        <v>6</v>
      </c>
      <c r="CC1250" s="167">
        <v>0</v>
      </c>
      <c r="CD1250" s="167">
        <v>0</v>
      </c>
      <c r="CE1250" s="167">
        <v>0</v>
      </c>
      <c r="CF1250" s="167">
        <v>0</v>
      </c>
      <c r="CG1250" s="167">
        <v>0</v>
      </c>
      <c r="CH1250" s="167">
        <f>$N1250/3</f>
        <v>0.33333333333333331</v>
      </c>
      <c r="CI1250" s="167">
        <f>$N1250/3</f>
        <v>0.33333333333333331</v>
      </c>
      <c r="CJ1250" s="167">
        <f>$N1250/3</f>
        <v>0.33333333333333331</v>
      </c>
      <c r="CK1250" s="167">
        <v>0</v>
      </c>
      <c r="CL1250" s="167">
        <v>0</v>
      </c>
      <c r="CM1250" s="167">
        <v>0</v>
      </c>
      <c r="CN1250" s="167">
        <v>0</v>
      </c>
      <c r="CO1250" s="167">
        <v>0</v>
      </c>
      <c r="CP1250" s="167">
        <v>0</v>
      </c>
      <c r="CQ1250" s="167">
        <v>0</v>
      </c>
      <c r="CR1250" s="167">
        <v>0</v>
      </c>
      <c r="CS1250" s="167">
        <v>0</v>
      </c>
      <c r="CT1250" s="167">
        <v>0</v>
      </c>
      <c r="CU1250" s="167">
        <v>0</v>
      </c>
      <c r="CV1250" s="167">
        <v>0</v>
      </c>
      <c r="CW1250" s="167">
        <v>0</v>
      </c>
      <c r="CX1250" s="167">
        <f>SUM(CD1250:CH1250)</f>
        <v>0.33333333333333331</v>
      </c>
      <c r="CY1250" s="167">
        <f>SUM(CD1250:CM1250)</f>
        <v>1</v>
      </c>
    </row>
    <row r="1251" spans="1:103" ht="12.75" customHeight="1" x14ac:dyDescent="0.2">
      <c r="A1251" s="81">
        <v>6268</v>
      </c>
      <c r="B1251" s="165" t="s">
        <v>1955</v>
      </c>
      <c r="C1251" s="165" t="s">
        <v>2149</v>
      </c>
      <c r="E1251" s="165" t="s">
        <v>2150</v>
      </c>
      <c r="G1251" s="81">
        <v>528342</v>
      </c>
      <c r="H1251" s="81">
        <v>172639</v>
      </c>
      <c r="I1251" s="165" t="s">
        <v>248</v>
      </c>
      <c r="L1251" s="166">
        <v>0</v>
      </c>
      <c r="M1251" s="166">
        <v>1</v>
      </c>
      <c r="N1251" s="166">
        <v>1</v>
      </c>
      <c r="O1251" s="166">
        <v>1</v>
      </c>
      <c r="P1251" s="166">
        <v>1</v>
      </c>
      <c r="R1251" s="165" t="s">
        <v>2151</v>
      </c>
      <c r="S1251" s="81" t="s">
        <v>121</v>
      </c>
      <c r="T1251" s="349">
        <v>43167</v>
      </c>
      <c r="W1251" s="81" t="s">
        <v>114</v>
      </c>
      <c r="Y1251" s="81" t="s">
        <v>115</v>
      </c>
      <c r="Z1251" s="81" t="s">
        <v>119</v>
      </c>
      <c r="AA1251" s="81" t="s">
        <v>117</v>
      </c>
      <c r="AB1251" s="81" t="s">
        <v>220</v>
      </c>
      <c r="AC1251" s="166">
        <v>0</v>
      </c>
      <c r="AG1251" s="81" t="s">
        <v>238</v>
      </c>
      <c r="AH1251" s="81" t="s">
        <v>118</v>
      </c>
      <c r="AK1251" s="166">
        <v>0</v>
      </c>
      <c r="AM1251" s="166">
        <v>0</v>
      </c>
      <c r="AO1251" s="166">
        <v>0</v>
      </c>
      <c r="AP1251" s="166">
        <v>1</v>
      </c>
      <c r="AQ1251" s="166">
        <v>0</v>
      </c>
      <c r="AR1251" s="166">
        <v>0</v>
      </c>
      <c r="AS1251" s="166">
        <v>0</v>
      </c>
      <c r="AT1251" s="166">
        <v>0</v>
      </c>
      <c r="AU1251" s="166">
        <v>0</v>
      </c>
      <c r="AV1251" s="166">
        <v>0</v>
      </c>
      <c r="AW1251" s="166">
        <v>1</v>
      </c>
      <c r="AX1251" s="166">
        <v>0</v>
      </c>
      <c r="AY1251" s="166">
        <v>0</v>
      </c>
      <c r="AZ1251" s="166">
        <v>0</v>
      </c>
      <c r="BA1251" s="166">
        <v>0</v>
      </c>
      <c r="BB1251" s="166">
        <v>0</v>
      </c>
      <c r="BC1251" s="166">
        <v>0</v>
      </c>
      <c r="BD1251" s="166">
        <v>0</v>
      </c>
      <c r="BE1251" s="166">
        <v>0</v>
      </c>
      <c r="BF1251" s="166">
        <v>0</v>
      </c>
      <c r="BG1251" s="166">
        <v>0</v>
      </c>
      <c r="BH1251" s="166">
        <v>0</v>
      </c>
      <c r="BI1251" s="166">
        <v>0</v>
      </c>
      <c r="BJ1251" s="166">
        <v>0</v>
      </c>
      <c r="BK1251" s="166">
        <v>0</v>
      </c>
      <c r="BL1251" s="166">
        <v>0</v>
      </c>
      <c r="BM1251" s="166">
        <v>0</v>
      </c>
      <c r="BN1251" s="166">
        <v>0</v>
      </c>
      <c r="BO1251" s="166">
        <v>0</v>
      </c>
      <c r="BP1251" s="166">
        <v>0</v>
      </c>
      <c r="BQ1251" s="81" t="s">
        <v>1757</v>
      </c>
      <c r="BZ1251" s="81" t="s">
        <v>155</v>
      </c>
      <c r="CA1251" s="81">
        <v>10</v>
      </c>
      <c r="CC1251" s="167">
        <v>0</v>
      </c>
      <c r="CD1251" s="167">
        <v>0</v>
      </c>
      <c r="CE1251" s="167">
        <v>0</v>
      </c>
      <c r="CF1251" s="167">
        <v>0</v>
      </c>
      <c r="CG1251" s="167">
        <v>0</v>
      </c>
      <c r="CH1251" s="167">
        <f>$N1251/3</f>
        <v>0.33333333333333331</v>
      </c>
      <c r="CI1251" s="167">
        <f>$N1251/3</f>
        <v>0.33333333333333331</v>
      </c>
      <c r="CJ1251" s="167">
        <f>$N1251/3</f>
        <v>0.33333333333333331</v>
      </c>
      <c r="CK1251" s="167">
        <v>0</v>
      </c>
      <c r="CL1251" s="167">
        <v>0</v>
      </c>
      <c r="CM1251" s="167">
        <v>0</v>
      </c>
      <c r="CN1251" s="167">
        <v>0</v>
      </c>
      <c r="CO1251" s="167">
        <v>0</v>
      </c>
      <c r="CP1251" s="167">
        <v>0</v>
      </c>
      <c r="CQ1251" s="167">
        <v>0</v>
      </c>
      <c r="CR1251" s="167">
        <v>0</v>
      </c>
      <c r="CS1251" s="167">
        <v>0</v>
      </c>
      <c r="CT1251" s="167">
        <v>0</v>
      </c>
      <c r="CU1251" s="167">
        <v>0</v>
      </c>
      <c r="CV1251" s="167">
        <v>0</v>
      </c>
      <c r="CW1251" s="167">
        <v>0</v>
      </c>
      <c r="CX1251" s="167">
        <f>SUM(CD1251:CH1251)</f>
        <v>0.33333333333333331</v>
      </c>
      <c r="CY1251" s="167">
        <f>SUM(CD1251:CM1251)</f>
        <v>1</v>
      </c>
    </row>
    <row r="1252" spans="1:103" ht="12.75" customHeight="1" x14ac:dyDescent="0.2">
      <c r="A1252" s="81">
        <v>6294</v>
      </c>
      <c r="B1252" s="165" t="s">
        <v>1955</v>
      </c>
      <c r="C1252" s="165" t="s">
        <v>2152</v>
      </c>
      <c r="E1252" s="165" t="s">
        <v>2153</v>
      </c>
      <c r="G1252" s="81">
        <v>528226</v>
      </c>
      <c r="H1252" s="81">
        <v>175530</v>
      </c>
      <c r="I1252" s="165" t="s">
        <v>256</v>
      </c>
      <c r="L1252" s="166">
        <v>1</v>
      </c>
      <c r="M1252" s="166">
        <v>1</v>
      </c>
      <c r="N1252" s="166">
        <v>0</v>
      </c>
      <c r="O1252" s="166">
        <v>1</v>
      </c>
      <c r="P1252" s="166">
        <v>0</v>
      </c>
      <c r="R1252" s="165" t="s">
        <v>2154</v>
      </c>
      <c r="S1252" s="81" t="s">
        <v>121</v>
      </c>
      <c r="T1252" s="349">
        <v>43188</v>
      </c>
      <c r="W1252" s="81" t="s">
        <v>114</v>
      </c>
      <c r="Y1252" s="81" t="s">
        <v>115</v>
      </c>
      <c r="Z1252" s="81" t="s">
        <v>116</v>
      </c>
      <c r="AA1252" s="81" t="s">
        <v>117</v>
      </c>
      <c r="AB1252" s="81" t="s">
        <v>218</v>
      </c>
      <c r="AC1252" s="166">
        <v>1.09999999403954E-2</v>
      </c>
      <c r="AG1252" s="81" t="s">
        <v>238</v>
      </c>
      <c r="AH1252" s="81" t="s">
        <v>118</v>
      </c>
      <c r="AK1252" s="166">
        <v>0</v>
      </c>
      <c r="AM1252" s="166">
        <v>0</v>
      </c>
      <c r="AO1252" s="166">
        <v>0</v>
      </c>
      <c r="AP1252" s="166">
        <v>0</v>
      </c>
      <c r="AQ1252" s="166">
        <v>0</v>
      </c>
      <c r="AR1252" s="166">
        <v>1</v>
      </c>
      <c r="AS1252" s="166">
        <v>-1</v>
      </c>
      <c r="AT1252" s="166">
        <v>0</v>
      </c>
      <c r="AU1252" s="166">
        <v>0</v>
      </c>
      <c r="AV1252" s="166">
        <v>0</v>
      </c>
      <c r="AW1252" s="166">
        <v>0</v>
      </c>
      <c r="AX1252" s="166">
        <v>0</v>
      </c>
      <c r="AY1252" s="166">
        <v>0</v>
      </c>
      <c r="AZ1252" s="166">
        <v>0</v>
      </c>
      <c r="BA1252" s="166">
        <v>0</v>
      </c>
      <c r="BB1252" s="166">
        <v>0</v>
      </c>
      <c r="BC1252" s="166">
        <v>0</v>
      </c>
      <c r="BD1252" s="166">
        <v>0</v>
      </c>
      <c r="BE1252" s="166">
        <v>0</v>
      </c>
      <c r="BF1252" s="166">
        <v>1</v>
      </c>
      <c r="BG1252" s="166">
        <v>-1</v>
      </c>
      <c r="BH1252" s="166">
        <v>0</v>
      </c>
      <c r="BI1252" s="166">
        <v>0</v>
      </c>
      <c r="BJ1252" s="166">
        <v>0</v>
      </c>
      <c r="BK1252" s="166">
        <v>0</v>
      </c>
      <c r="BL1252" s="166">
        <v>0</v>
      </c>
      <c r="BM1252" s="166">
        <v>0</v>
      </c>
      <c r="BN1252" s="166">
        <v>0</v>
      </c>
      <c r="BO1252" s="166">
        <v>0</v>
      </c>
      <c r="BP1252" s="166">
        <v>0</v>
      </c>
      <c r="BQ1252" s="81" t="s">
        <v>1757</v>
      </c>
      <c r="BZ1252" s="81" t="s">
        <v>155</v>
      </c>
      <c r="CA1252" s="81">
        <v>6</v>
      </c>
      <c r="CC1252" s="167">
        <v>0</v>
      </c>
      <c r="CD1252" s="167">
        <v>0</v>
      </c>
      <c r="CE1252" s="167">
        <v>0</v>
      </c>
      <c r="CF1252" s="167">
        <v>0</v>
      </c>
      <c r="CG1252" s="167">
        <v>0</v>
      </c>
      <c r="CH1252" s="167">
        <f>$N1252/3</f>
        <v>0</v>
      </c>
      <c r="CI1252" s="167">
        <f>$N1252/3</f>
        <v>0</v>
      </c>
      <c r="CJ1252" s="167">
        <f>$N1252/3</f>
        <v>0</v>
      </c>
      <c r="CK1252" s="167">
        <v>0</v>
      </c>
      <c r="CL1252" s="167">
        <v>0</v>
      </c>
      <c r="CM1252" s="167">
        <v>0</v>
      </c>
      <c r="CN1252" s="167">
        <v>0</v>
      </c>
      <c r="CO1252" s="167">
        <v>0</v>
      </c>
      <c r="CP1252" s="167">
        <v>0</v>
      </c>
      <c r="CQ1252" s="167">
        <v>0</v>
      </c>
      <c r="CR1252" s="167">
        <v>0</v>
      </c>
      <c r="CS1252" s="167">
        <v>0</v>
      </c>
      <c r="CT1252" s="167">
        <v>0</v>
      </c>
      <c r="CU1252" s="167">
        <v>0</v>
      </c>
      <c r="CV1252" s="167">
        <v>0</v>
      </c>
      <c r="CW1252" s="167">
        <v>0</v>
      </c>
      <c r="CX1252" s="167">
        <f>SUM(CD1252:CH1252)</f>
        <v>0</v>
      </c>
      <c r="CY1252" s="167">
        <f>SUM(CD1252:CM1252)</f>
        <v>0</v>
      </c>
    </row>
    <row r="1253" spans="1:103" ht="12.75" customHeight="1" x14ac:dyDescent="0.2">
      <c r="A1253" s="81">
        <v>6335</v>
      </c>
      <c r="B1253" s="165" t="s">
        <v>1955</v>
      </c>
      <c r="C1253" s="165" t="s">
        <v>2155</v>
      </c>
      <c r="D1253" s="165" t="s">
        <v>2107</v>
      </c>
      <c r="E1253" s="165" t="s">
        <v>2156</v>
      </c>
      <c r="G1253" s="81">
        <v>527310</v>
      </c>
      <c r="H1253" s="81">
        <v>177196</v>
      </c>
      <c r="I1253" s="165" t="s">
        <v>257</v>
      </c>
      <c r="L1253" s="166">
        <v>0</v>
      </c>
      <c r="M1253" s="166">
        <v>2</v>
      </c>
      <c r="N1253" s="166">
        <v>2</v>
      </c>
      <c r="O1253" s="166">
        <v>2</v>
      </c>
      <c r="P1253" s="166">
        <v>2</v>
      </c>
      <c r="R1253" s="165" t="s">
        <v>2157</v>
      </c>
      <c r="S1253" s="81" t="s">
        <v>802</v>
      </c>
      <c r="T1253" s="349">
        <v>43151</v>
      </c>
      <c r="W1253" s="81" t="s">
        <v>114</v>
      </c>
      <c r="Y1253" s="81" t="s">
        <v>115</v>
      </c>
      <c r="Z1253" s="81" t="s">
        <v>310</v>
      </c>
      <c r="AA1253" s="81" t="s">
        <v>117</v>
      </c>
      <c r="AB1253" s="81" t="s">
        <v>399</v>
      </c>
      <c r="AC1253" s="166">
        <v>0</v>
      </c>
      <c r="AG1253" s="81" t="s">
        <v>238</v>
      </c>
      <c r="AH1253" s="81" t="s">
        <v>118</v>
      </c>
      <c r="AI1253" s="81" t="s">
        <v>1996</v>
      </c>
      <c r="AK1253" s="166">
        <v>0</v>
      </c>
      <c r="AM1253" s="166">
        <v>0</v>
      </c>
      <c r="AO1253" s="166">
        <v>0</v>
      </c>
      <c r="AP1253" s="166">
        <v>0</v>
      </c>
      <c r="AQ1253" s="166">
        <v>0</v>
      </c>
      <c r="AR1253" s="166">
        <v>2</v>
      </c>
      <c r="AS1253" s="166">
        <v>0</v>
      </c>
      <c r="AT1253" s="166">
        <v>0</v>
      </c>
      <c r="AU1253" s="166">
        <v>0</v>
      </c>
      <c r="AV1253" s="166">
        <v>0</v>
      </c>
      <c r="AW1253" s="166">
        <v>0</v>
      </c>
      <c r="AX1253" s="166">
        <v>0</v>
      </c>
      <c r="AY1253" s="166">
        <v>2</v>
      </c>
      <c r="AZ1253" s="166">
        <v>0</v>
      </c>
      <c r="BA1253" s="166">
        <v>0</v>
      </c>
      <c r="BB1253" s="166">
        <v>0</v>
      </c>
      <c r="BC1253" s="166">
        <v>0</v>
      </c>
      <c r="BD1253" s="166">
        <v>0</v>
      </c>
      <c r="BE1253" s="166">
        <v>0</v>
      </c>
      <c r="BF1253" s="166">
        <v>0</v>
      </c>
      <c r="BG1253" s="166">
        <v>0</v>
      </c>
      <c r="BH1253" s="166">
        <v>0</v>
      </c>
      <c r="BI1253" s="166">
        <v>0</v>
      </c>
      <c r="BJ1253" s="166">
        <v>0</v>
      </c>
      <c r="BK1253" s="166">
        <v>0</v>
      </c>
      <c r="BL1253" s="166">
        <v>0</v>
      </c>
      <c r="BM1253" s="166">
        <v>0</v>
      </c>
      <c r="BN1253" s="166">
        <v>0</v>
      </c>
      <c r="BO1253" s="166">
        <v>0</v>
      </c>
      <c r="BP1253" s="166">
        <v>0</v>
      </c>
      <c r="BQ1253" s="81" t="s">
        <v>1757</v>
      </c>
      <c r="BX1253" s="81" t="s">
        <v>155</v>
      </c>
      <c r="BZ1253" s="81" t="s">
        <v>3991</v>
      </c>
      <c r="CA1253" s="81">
        <v>15</v>
      </c>
      <c r="CB1253" s="165" t="s">
        <v>4003</v>
      </c>
      <c r="CC1253" s="167">
        <v>0</v>
      </c>
      <c r="CD1253" s="167">
        <v>0</v>
      </c>
      <c r="CE1253" s="167">
        <v>0</v>
      </c>
      <c r="CF1253" s="167">
        <v>0</v>
      </c>
      <c r="CG1253" s="167">
        <v>0</v>
      </c>
      <c r="CH1253" s="167">
        <v>0</v>
      </c>
      <c r="CI1253" s="167">
        <v>0</v>
      </c>
      <c r="CJ1253" s="167">
        <v>0</v>
      </c>
      <c r="CK1253" s="167">
        <v>0</v>
      </c>
      <c r="CL1253" s="167">
        <v>0</v>
      </c>
      <c r="CM1253" s="167">
        <v>0</v>
      </c>
      <c r="CN1253" s="167">
        <v>0</v>
      </c>
      <c r="CO1253" s="167">
        <v>0</v>
      </c>
      <c r="CP1253" s="167">
        <v>0</v>
      </c>
      <c r="CQ1253" s="167">
        <v>0</v>
      </c>
      <c r="CR1253" s="167">
        <v>0</v>
      </c>
      <c r="CS1253" s="167">
        <v>0</v>
      </c>
      <c r="CT1253" s="167">
        <v>0</v>
      </c>
      <c r="CU1253" s="167">
        <v>0</v>
      </c>
      <c r="CV1253" s="167">
        <v>0</v>
      </c>
      <c r="CW1253" s="167">
        <v>0</v>
      </c>
      <c r="CX1253" s="167">
        <f>SUM(CD1253:CH1253)</f>
        <v>0</v>
      </c>
      <c r="CY1253" s="167">
        <f>SUM(CD1253:CM1253)</f>
        <v>0</v>
      </c>
    </row>
    <row r="1254" spans="1:103" ht="12.75" customHeight="1" x14ac:dyDescent="0.2">
      <c r="A1254" s="81">
        <v>6495</v>
      </c>
      <c r="B1254" s="165" t="s">
        <v>1955</v>
      </c>
      <c r="C1254" s="165" t="s">
        <v>2158</v>
      </c>
      <c r="E1254" s="165" t="s">
        <v>2159</v>
      </c>
      <c r="G1254" s="81">
        <v>524891</v>
      </c>
      <c r="H1254" s="81">
        <v>173680</v>
      </c>
      <c r="I1254" s="165" t="s">
        <v>258</v>
      </c>
      <c r="L1254" s="166">
        <v>0</v>
      </c>
      <c r="M1254" s="166">
        <v>1</v>
      </c>
      <c r="N1254" s="166">
        <v>1</v>
      </c>
      <c r="O1254" s="166">
        <v>1</v>
      </c>
      <c r="P1254" s="166">
        <v>1</v>
      </c>
      <c r="R1254" s="165" t="s">
        <v>2160</v>
      </c>
      <c r="S1254" s="81" t="s">
        <v>121</v>
      </c>
      <c r="T1254" s="349">
        <v>43054</v>
      </c>
      <c r="W1254" s="81" t="s">
        <v>114</v>
      </c>
      <c r="Y1254" s="81" t="s">
        <v>115</v>
      </c>
      <c r="Z1254" s="81" t="s">
        <v>116</v>
      </c>
      <c r="AA1254" s="81" t="s">
        <v>117</v>
      </c>
      <c r="AB1254" s="81" t="s">
        <v>218</v>
      </c>
      <c r="AC1254" s="166">
        <v>2.8999999165535001E-2</v>
      </c>
      <c r="AG1254" s="81" t="s">
        <v>238</v>
      </c>
      <c r="AH1254" s="81" t="s">
        <v>118</v>
      </c>
      <c r="AK1254" s="166">
        <v>0</v>
      </c>
      <c r="AM1254" s="166">
        <v>0</v>
      </c>
      <c r="AO1254" s="166">
        <v>0</v>
      </c>
      <c r="AP1254" s="166">
        <v>0</v>
      </c>
      <c r="AQ1254" s="166">
        <v>0</v>
      </c>
      <c r="AR1254" s="166">
        <v>1</v>
      </c>
      <c r="AS1254" s="166">
        <v>0</v>
      </c>
      <c r="AT1254" s="166">
        <v>0</v>
      </c>
      <c r="AU1254" s="166">
        <v>0</v>
      </c>
      <c r="AV1254" s="166">
        <v>0</v>
      </c>
      <c r="AW1254" s="166">
        <v>0</v>
      </c>
      <c r="AX1254" s="166">
        <v>0</v>
      </c>
      <c r="AY1254" s="166">
        <v>0</v>
      </c>
      <c r="AZ1254" s="166">
        <v>0</v>
      </c>
      <c r="BA1254" s="166">
        <v>0</v>
      </c>
      <c r="BB1254" s="166">
        <v>0</v>
      </c>
      <c r="BC1254" s="166">
        <v>0</v>
      </c>
      <c r="BD1254" s="166">
        <v>0</v>
      </c>
      <c r="BE1254" s="166">
        <v>0</v>
      </c>
      <c r="BF1254" s="166">
        <v>1</v>
      </c>
      <c r="BG1254" s="166">
        <v>0</v>
      </c>
      <c r="BH1254" s="166">
        <v>0</v>
      </c>
      <c r="BI1254" s="166">
        <v>0</v>
      </c>
      <c r="BJ1254" s="166">
        <v>0</v>
      </c>
      <c r="BK1254" s="166">
        <v>0</v>
      </c>
      <c r="BL1254" s="166">
        <v>0</v>
      </c>
      <c r="BM1254" s="166">
        <v>0</v>
      </c>
      <c r="BN1254" s="166">
        <v>0</v>
      </c>
      <c r="BO1254" s="166">
        <v>0</v>
      </c>
      <c r="BP1254" s="166">
        <v>0</v>
      </c>
      <c r="BQ1254" s="81" t="s">
        <v>1758</v>
      </c>
      <c r="BZ1254" s="81" t="s">
        <v>155</v>
      </c>
      <c r="CA1254" s="81">
        <v>6</v>
      </c>
      <c r="CC1254" s="167">
        <v>0</v>
      </c>
      <c r="CD1254" s="167">
        <v>0</v>
      </c>
      <c r="CE1254" s="167">
        <v>0</v>
      </c>
      <c r="CF1254" s="167">
        <v>0</v>
      </c>
      <c r="CG1254" s="167">
        <v>0</v>
      </c>
      <c r="CH1254" s="167">
        <f>$N1254/3</f>
        <v>0.33333333333333331</v>
      </c>
      <c r="CI1254" s="167">
        <f>$N1254/3</f>
        <v>0.33333333333333331</v>
      </c>
      <c r="CJ1254" s="167">
        <f>$N1254/3</f>
        <v>0.33333333333333331</v>
      </c>
      <c r="CK1254" s="167">
        <v>0</v>
      </c>
      <c r="CL1254" s="167">
        <v>0</v>
      </c>
      <c r="CM1254" s="167">
        <v>0</v>
      </c>
      <c r="CN1254" s="167">
        <v>0</v>
      </c>
      <c r="CO1254" s="167">
        <v>0</v>
      </c>
      <c r="CP1254" s="167">
        <v>0</v>
      </c>
      <c r="CQ1254" s="167">
        <v>0</v>
      </c>
      <c r="CR1254" s="167">
        <v>0</v>
      </c>
      <c r="CS1254" s="167">
        <v>0</v>
      </c>
      <c r="CT1254" s="167">
        <v>0</v>
      </c>
      <c r="CU1254" s="167">
        <v>0</v>
      </c>
      <c r="CV1254" s="167">
        <v>0</v>
      </c>
      <c r="CW1254" s="167">
        <v>0</v>
      </c>
      <c r="CX1254" s="167">
        <f>SUM(CD1254:CH1254)</f>
        <v>0.33333333333333331</v>
      </c>
      <c r="CY1254" s="167">
        <f>SUM(CD1254:CM1254)</f>
        <v>1</v>
      </c>
    </row>
    <row r="1255" spans="1:103" ht="12.75" customHeight="1" x14ac:dyDescent="0.2">
      <c r="A1255" s="81">
        <v>6502</v>
      </c>
      <c r="B1255" s="165" t="s">
        <v>1955</v>
      </c>
      <c r="C1255" s="165" t="s">
        <v>1548</v>
      </c>
      <c r="E1255" s="165" t="s">
        <v>2161</v>
      </c>
      <c r="G1255" s="81">
        <v>528002</v>
      </c>
      <c r="H1255" s="81">
        <v>172307</v>
      </c>
      <c r="I1255" s="165" t="s">
        <v>248</v>
      </c>
      <c r="L1255" s="166">
        <v>0</v>
      </c>
      <c r="M1255" s="166">
        <v>2</v>
      </c>
      <c r="N1255" s="166">
        <v>2</v>
      </c>
      <c r="O1255" s="166">
        <v>2</v>
      </c>
      <c r="P1255" s="166">
        <v>2</v>
      </c>
      <c r="R1255" s="165" t="s">
        <v>1549</v>
      </c>
      <c r="S1255" s="81" t="s">
        <v>121</v>
      </c>
      <c r="T1255" s="349">
        <v>42571</v>
      </c>
      <c r="W1255" s="81" t="s">
        <v>114</v>
      </c>
      <c r="Y1255" s="81" t="s">
        <v>115</v>
      </c>
      <c r="Z1255" s="81" t="s">
        <v>219</v>
      </c>
      <c r="AA1255" s="81" t="s">
        <v>117</v>
      </c>
      <c r="AB1255" s="81" t="s">
        <v>3889</v>
      </c>
      <c r="AC1255" s="166">
        <v>9.9999997764825804E-3</v>
      </c>
      <c r="AG1255" s="81" t="s">
        <v>238</v>
      </c>
      <c r="AH1255" s="81" t="s">
        <v>118</v>
      </c>
      <c r="AK1255" s="166">
        <v>0</v>
      </c>
      <c r="AM1255" s="166">
        <v>0</v>
      </c>
      <c r="AO1255" s="166">
        <v>0</v>
      </c>
      <c r="AP1255" s="166">
        <v>2</v>
      </c>
      <c r="AQ1255" s="166">
        <v>0</v>
      </c>
      <c r="AR1255" s="166">
        <v>0</v>
      </c>
      <c r="AS1255" s="166">
        <v>0</v>
      </c>
      <c r="AT1255" s="166">
        <v>0</v>
      </c>
      <c r="AU1255" s="166">
        <v>0</v>
      </c>
      <c r="AV1255" s="166">
        <v>0</v>
      </c>
      <c r="AW1255" s="166">
        <v>2</v>
      </c>
      <c r="AX1255" s="166">
        <v>0</v>
      </c>
      <c r="AY1255" s="166">
        <v>0</v>
      </c>
      <c r="AZ1255" s="166">
        <v>0</v>
      </c>
      <c r="BA1255" s="166">
        <v>0</v>
      </c>
      <c r="BB1255" s="166">
        <v>0</v>
      </c>
      <c r="BC1255" s="166">
        <v>0</v>
      </c>
      <c r="BD1255" s="166">
        <v>0</v>
      </c>
      <c r="BE1255" s="166">
        <v>0</v>
      </c>
      <c r="BF1255" s="166">
        <v>0</v>
      </c>
      <c r="BG1255" s="166">
        <v>0</v>
      </c>
      <c r="BH1255" s="166">
        <v>0</v>
      </c>
      <c r="BI1255" s="166">
        <v>0</v>
      </c>
      <c r="BJ1255" s="166">
        <v>0</v>
      </c>
      <c r="BK1255" s="166">
        <v>0</v>
      </c>
      <c r="BL1255" s="166">
        <v>0</v>
      </c>
      <c r="BM1255" s="166">
        <v>0</v>
      </c>
      <c r="BN1255" s="166">
        <v>0</v>
      </c>
      <c r="BO1255" s="166">
        <v>0</v>
      </c>
      <c r="BP1255" s="166">
        <v>0</v>
      </c>
      <c r="BQ1255" s="81" t="s">
        <v>1757</v>
      </c>
      <c r="BZ1255" s="81" t="s">
        <v>155</v>
      </c>
      <c r="CA1255" s="81">
        <v>10</v>
      </c>
      <c r="CC1255" s="167">
        <v>0</v>
      </c>
      <c r="CD1255" s="167">
        <v>0</v>
      </c>
      <c r="CE1255" s="167">
        <v>0</v>
      </c>
      <c r="CF1255" s="167">
        <v>0</v>
      </c>
      <c r="CG1255" s="167">
        <v>0</v>
      </c>
      <c r="CH1255" s="167">
        <f>$N1255/3</f>
        <v>0.66666666666666663</v>
      </c>
      <c r="CI1255" s="167">
        <f>$N1255/3</f>
        <v>0.66666666666666663</v>
      </c>
      <c r="CJ1255" s="167">
        <f>$N1255/3</f>
        <v>0.66666666666666663</v>
      </c>
      <c r="CK1255" s="167">
        <v>0</v>
      </c>
      <c r="CL1255" s="167">
        <v>0</v>
      </c>
      <c r="CM1255" s="167">
        <v>0</v>
      </c>
      <c r="CN1255" s="167">
        <v>0</v>
      </c>
      <c r="CO1255" s="167">
        <v>0</v>
      </c>
      <c r="CP1255" s="167">
        <v>0</v>
      </c>
      <c r="CQ1255" s="167">
        <v>0</v>
      </c>
      <c r="CR1255" s="167">
        <v>0</v>
      </c>
      <c r="CS1255" s="167">
        <v>0</v>
      </c>
      <c r="CT1255" s="167">
        <v>0</v>
      </c>
      <c r="CU1255" s="167">
        <v>0</v>
      </c>
      <c r="CV1255" s="167">
        <v>0</v>
      </c>
      <c r="CW1255" s="167">
        <v>0</v>
      </c>
      <c r="CX1255" s="167">
        <f>SUM(CD1255:CH1255)</f>
        <v>0.66666666666666663</v>
      </c>
      <c r="CY1255" s="167">
        <f>SUM(CD1255:CM1255)</f>
        <v>2</v>
      </c>
    </row>
    <row r="1256" spans="1:103" ht="12.75" customHeight="1" x14ac:dyDescent="0.2">
      <c r="A1256" s="81">
        <v>6513</v>
      </c>
      <c r="B1256" s="165" t="s">
        <v>1955</v>
      </c>
      <c r="C1256" s="165" t="s">
        <v>1662</v>
      </c>
      <c r="E1256" s="165" t="s">
        <v>2162</v>
      </c>
      <c r="G1256" s="81">
        <v>526631</v>
      </c>
      <c r="H1256" s="81">
        <v>176210</v>
      </c>
      <c r="I1256" s="165" t="s">
        <v>257</v>
      </c>
      <c r="L1256" s="166">
        <v>0</v>
      </c>
      <c r="M1256" s="166">
        <v>1</v>
      </c>
      <c r="N1256" s="166">
        <v>1</v>
      </c>
      <c r="O1256" s="166">
        <v>1</v>
      </c>
      <c r="P1256" s="166">
        <v>1</v>
      </c>
      <c r="R1256" s="165" t="s">
        <v>1663</v>
      </c>
      <c r="S1256" s="81" t="s">
        <v>296</v>
      </c>
      <c r="T1256" s="349">
        <v>42801</v>
      </c>
      <c r="U1256" s="349">
        <v>43021</v>
      </c>
      <c r="V1256" s="81" t="s">
        <v>155</v>
      </c>
      <c r="W1256" s="81" t="s">
        <v>365</v>
      </c>
      <c r="Y1256" s="81" t="s">
        <v>115</v>
      </c>
      <c r="Z1256" s="81" t="s">
        <v>116</v>
      </c>
      <c r="AA1256" s="81" t="s">
        <v>117</v>
      </c>
      <c r="AB1256" s="81" t="s">
        <v>218</v>
      </c>
      <c r="AC1256" s="166">
        <v>2.9999999329447701E-2</v>
      </c>
      <c r="AG1256" s="81" t="s">
        <v>238</v>
      </c>
      <c r="AH1256" s="81" t="s">
        <v>118</v>
      </c>
      <c r="AK1256" s="166">
        <v>0</v>
      </c>
      <c r="AM1256" s="166">
        <v>0</v>
      </c>
      <c r="AO1256" s="166">
        <v>0</v>
      </c>
      <c r="AP1256" s="166">
        <v>0</v>
      </c>
      <c r="AQ1256" s="166">
        <v>0</v>
      </c>
      <c r="AR1256" s="166">
        <v>1</v>
      </c>
      <c r="AS1256" s="166">
        <v>0</v>
      </c>
      <c r="AT1256" s="166">
        <v>0</v>
      </c>
      <c r="AU1256" s="166">
        <v>0</v>
      </c>
      <c r="AV1256" s="166">
        <v>0</v>
      </c>
      <c r="AW1256" s="166">
        <v>0</v>
      </c>
      <c r="AX1256" s="166">
        <v>0</v>
      </c>
      <c r="AY1256" s="166">
        <v>0</v>
      </c>
      <c r="AZ1256" s="166">
        <v>0</v>
      </c>
      <c r="BA1256" s="166">
        <v>0</v>
      </c>
      <c r="BB1256" s="166">
        <v>0</v>
      </c>
      <c r="BC1256" s="166">
        <v>0</v>
      </c>
      <c r="BD1256" s="166">
        <v>0</v>
      </c>
      <c r="BE1256" s="166">
        <v>0</v>
      </c>
      <c r="BF1256" s="166">
        <v>1</v>
      </c>
      <c r="BG1256" s="166">
        <v>0</v>
      </c>
      <c r="BH1256" s="166">
        <v>0</v>
      </c>
      <c r="BI1256" s="166">
        <v>0</v>
      </c>
      <c r="BJ1256" s="166">
        <v>0</v>
      </c>
      <c r="BK1256" s="166">
        <v>0</v>
      </c>
      <c r="BL1256" s="166">
        <v>0</v>
      </c>
      <c r="BM1256" s="166">
        <v>0</v>
      </c>
      <c r="BN1256" s="166">
        <v>0</v>
      </c>
      <c r="BO1256" s="166">
        <v>0</v>
      </c>
      <c r="BP1256" s="166">
        <v>0</v>
      </c>
      <c r="BQ1256" s="81" t="s">
        <v>1757</v>
      </c>
      <c r="BX1256" s="81" t="s">
        <v>155</v>
      </c>
      <c r="BZ1256" s="81" t="s">
        <v>155</v>
      </c>
      <c r="CA1256" s="81">
        <v>6</v>
      </c>
      <c r="CC1256" s="167">
        <v>0</v>
      </c>
      <c r="CD1256" s="167">
        <v>0</v>
      </c>
      <c r="CE1256" s="167">
        <v>0</v>
      </c>
      <c r="CF1256" s="167">
        <v>0</v>
      </c>
      <c r="CG1256" s="167">
        <v>0</v>
      </c>
      <c r="CH1256" s="167">
        <f>$N1256/3</f>
        <v>0.33333333333333331</v>
      </c>
      <c r="CI1256" s="167">
        <f>$N1256/3</f>
        <v>0.33333333333333331</v>
      </c>
      <c r="CJ1256" s="167">
        <f>$N1256/3</f>
        <v>0.33333333333333331</v>
      </c>
      <c r="CK1256" s="167">
        <v>0</v>
      </c>
      <c r="CL1256" s="167">
        <v>0</v>
      </c>
      <c r="CM1256" s="167">
        <v>0</v>
      </c>
      <c r="CN1256" s="167">
        <v>0</v>
      </c>
      <c r="CO1256" s="167">
        <v>0</v>
      </c>
      <c r="CP1256" s="167">
        <v>0</v>
      </c>
      <c r="CQ1256" s="167">
        <v>0</v>
      </c>
      <c r="CR1256" s="167">
        <v>0</v>
      </c>
      <c r="CS1256" s="167">
        <v>0</v>
      </c>
      <c r="CT1256" s="167">
        <v>0</v>
      </c>
      <c r="CU1256" s="167">
        <v>0</v>
      </c>
      <c r="CV1256" s="167">
        <v>0</v>
      </c>
      <c r="CW1256" s="167">
        <v>0</v>
      </c>
      <c r="CX1256" s="167">
        <f>SUM(CD1256:CH1256)</f>
        <v>0.33333333333333331</v>
      </c>
      <c r="CY1256" s="167">
        <f>SUM(CD1256:CM1256)</f>
        <v>1</v>
      </c>
    </row>
    <row r="1257" spans="1:103" ht="12.75" customHeight="1" x14ac:dyDescent="0.2">
      <c r="A1257" s="81">
        <v>6526</v>
      </c>
      <c r="B1257" s="165" t="s">
        <v>1955</v>
      </c>
      <c r="C1257" s="165" t="s">
        <v>1613</v>
      </c>
      <c r="E1257" s="165" t="s">
        <v>3447</v>
      </c>
      <c r="G1257" s="81">
        <v>525688</v>
      </c>
      <c r="H1257" s="81">
        <v>174300</v>
      </c>
      <c r="I1257" s="165" t="s">
        <v>258</v>
      </c>
      <c r="L1257" s="166">
        <v>0</v>
      </c>
      <c r="M1257" s="166">
        <v>17</v>
      </c>
      <c r="N1257" s="166">
        <v>17</v>
      </c>
      <c r="O1257" s="166">
        <v>27</v>
      </c>
      <c r="P1257" s="166">
        <v>27</v>
      </c>
      <c r="Q1257" s="81" t="s">
        <v>155</v>
      </c>
      <c r="R1257" s="165" t="s">
        <v>1614</v>
      </c>
      <c r="S1257" s="81" t="s">
        <v>121</v>
      </c>
      <c r="T1257" s="349">
        <v>42809</v>
      </c>
      <c r="W1257" s="81" t="s">
        <v>114</v>
      </c>
      <c r="Y1257" s="81" t="s">
        <v>115</v>
      </c>
      <c r="Z1257" s="81" t="s">
        <v>116</v>
      </c>
      <c r="AA1257" s="81" t="s">
        <v>116</v>
      </c>
      <c r="AB1257" s="81" t="s">
        <v>117</v>
      </c>
      <c r="AC1257" s="166">
        <v>0</v>
      </c>
      <c r="AG1257" s="81" t="s">
        <v>74</v>
      </c>
      <c r="AH1257" s="81" t="s">
        <v>880</v>
      </c>
      <c r="AK1257" s="166">
        <v>15</v>
      </c>
      <c r="AM1257" s="166">
        <v>2</v>
      </c>
      <c r="AO1257" s="166">
        <v>2</v>
      </c>
      <c r="AP1257" s="166">
        <v>15</v>
      </c>
      <c r="AQ1257" s="166">
        <v>0</v>
      </c>
      <c r="AR1257" s="166">
        <v>0</v>
      </c>
      <c r="AS1257" s="166">
        <v>0</v>
      </c>
      <c r="AT1257" s="166">
        <v>0</v>
      </c>
      <c r="AU1257" s="166">
        <v>0</v>
      </c>
      <c r="AV1257" s="166">
        <v>2</v>
      </c>
      <c r="AW1257" s="166">
        <v>15</v>
      </c>
      <c r="AX1257" s="166">
        <v>0</v>
      </c>
      <c r="AY1257" s="166">
        <v>0</v>
      </c>
      <c r="AZ1257" s="166">
        <v>0</v>
      </c>
      <c r="BA1257" s="166">
        <v>0</v>
      </c>
      <c r="BB1257" s="166">
        <v>0</v>
      </c>
      <c r="BC1257" s="166">
        <v>0</v>
      </c>
      <c r="BD1257" s="166">
        <v>0</v>
      </c>
      <c r="BE1257" s="166">
        <v>0</v>
      </c>
      <c r="BF1257" s="166">
        <v>0</v>
      </c>
      <c r="BG1257" s="166">
        <v>0</v>
      </c>
      <c r="BH1257" s="166">
        <v>0</v>
      </c>
      <c r="BI1257" s="166">
        <v>0</v>
      </c>
      <c r="BJ1257" s="166">
        <v>0</v>
      </c>
      <c r="BK1257" s="166">
        <v>0</v>
      </c>
      <c r="BL1257" s="166">
        <v>0</v>
      </c>
      <c r="BM1257" s="166">
        <v>0</v>
      </c>
      <c r="BN1257" s="166">
        <v>0</v>
      </c>
      <c r="BO1257" s="166">
        <v>0</v>
      </c>
      <c r="BP1257" s="166">
        <v>0</v>
      </c>
      <c r="BQ1257" s="81" t="s">
        <v>1758</v>
      </c>
      <c r="BR1257" s="81" t="s">
        <v>202</v>
      </c>
      <c r="BT1257" s="81" t="s">
        <v>155</v>
      </c>
      <c r="BZ1257" s="81" t="s">
        <v>155</v>
      </c>
      <c r="CA1257" s="81">
        <v>6</v>
      </c>
      <c r="CC1257" s="167">
        <v>0</v>
      </c>
      <c r="CD1257" s="167">
        <v>0</v>
      </c>
      <c r="CE1257" s="167">
        <v>0</v>
      </c>
      <c r="CF1257" s="167">
        <v>0</v>
      </c>
      <c r="CG1257" s="167">
        <v>0</v>
      </c>
      <c r="CH1257" s="167">
        <f>$N1257/3</f>
        <v>5.666666666666667</v>
      </c>
      <c r="CI1257" s="167">
        <f>$N1257/3</f>
        <v>5.666666666666667</v>
      </c>
      <c r="CJ1257" s="167">
        <f>$N1257/3</f>
        <v>5.666666666666667</v>
      </c>
      <c r="CK1257" s="167">
        <v>0</v>
      </c>
      <c r="CL1257" s="167">
        <v>0</v>
      </c>
      <c r="CM1257" s="167">
        <v>0</v>
      </c>
      <c r="CN1257" s="167">
        <v>0</v>
      </c>
      <c r="CO1257" s="167">
        <v>0</v>
      </c>
      <c r="CP1257" s="167">
        <v>0</v>
      </c>
      <c r="CQ1257" s="167">
        <v>0</v>
      </c>
      <c r="CR1257" s="167">
        <v>0</v>
      </c>
      <c r="CS1257" s="167">
        <v>0</v>
      </c>
      <c r="CT1257" s="167">
        <v>0</v>
      </c>
      <c r="CU1257" s="167">
        <v>0</v>
      </c>
      <c r="CV1257" s="167">
        <v>0</v>
      </c>
      <c r="CW1257" s="167">
        <v>0</v>
      </c>
      <c r="CX1257" s="167">
        <f>SUM(CD1257:CH1257)</f>
        <v>5.666666666666667</v>
      </c>
      <c r="CY1257" s="167">
        <f>SUM(CD1257:CM1257)</f>
        <v>17</v>
      </c>
    </row>
    <row r="1258" spans="1:103" ht="12.75" customHeight="1" x14ac:dyDescent="0.2">
      <c r="A1258" s="81">
        <v>6526</v>
      </c>
      <c r="B1258" s="165" t="s">
        <v>1955</v>
      </c>
      <c r="C1258" s="165" t="s">
        <v>1613</v>
      </c>
      <c r="E1258" s="165" t="s">
        <v>3447</v>
      </c>
      <c r="G1258" s="81">
        <v>525688</v>
      </c>
      <c r="H1258" s="81">
        <v>174300</v>
      </c>
      <c r="I1258" s="165" t="s">
        <v>258</v>
      </c>
      <c r="L1258" s="166">
        <v>0</v>
      </c>
      <c r="M1258" s="166">
        <v>10</v>
      </c>
      <c r="N1258" s="166">
        <v>10</v>
      </c>
      <c r="O1258" s="166">
        <v>27</v>
      </c>
      <c r="P1258" s="166">
        <v>27</v>
      </c>
      <c r="Q1258" s="81" t="s">
        <v>155</v>
      </c>
      <c r="R1258" s="165" t="s">
        <v>1614</v>
      </c>
      <c r="S1258" s="81" t="s">
        <v>121</v>
      </c>
      <c r="T1258" s="349">
        <v>42809</v>
      </c>
      <c r="W1258" s="81" t="s">
        <v>114</v>
      </c>
      <c r="Y1258" s="81" t="s">
        <v>115</v>
      </c>
      <c r="Z1258" s="81" t="s">
        <v>116</v>
      </c>
      <c r="AA1258" s="81" t="s">
        <v>116</v>
      </c>
      <c r="AB1258" s="81" t="s">
        <v>117</v>
      </c>
      <c r="AC1258" s="166">
        <v>0</v>
      </c>
      <c r="AG1258" s="81" t="s">
        <v>238</v>
      </c>
      <c r="AH1258" s="81" t="s">
        <v>118</v>
      </c>
      <c r="AK1258" s="166">
        <v>10</v>
      </c>
      <c r="AM1258" s="166">
        <v>1</v>
      </c>
      <c r="AO1258" s="166">
        <v>0</v>
      </c>
      <c r="AP1258" s="166">
        <v>6</v>
      </c>
      <c r="AQ1258" s="166">
        <v>4</v>
      </c>
      <c r="AR1258" s="166">
        <v>0</v>
      </c>
      <c r="AS1258" s="166">
        <v>0</v>
      </c>
      <c r="AT1258" s="166">
        <v>0</v>
      </c>
      <c r="AU1258" s="166">
        <v>0</v>
      </c>
      <c r="AV1258" s="166">
        <v>0</v>
      </c>
      <c r="AW1258" s="166">
        <v>6</v>
      </c>
      <c r="AX1258" s="166">
        <v>4</v>
      </c>
      <c r="AY1258" s="166">
        <v>0</v>
      </c>
      <c r="AZ1258" s="166">
        <v>0</v>
      </c>
      <c r="BA1258" s="166">
        <v>0</v>
      </c>
      <c r="BB1258" s="166">
        <v>0</v>
      </c>
      <c r="BC1258" s="166">
        <v>0</v>
      </c>
      <c r="BD1258" s="166">
        <v>0</v>
      </c>
      <c r="BE1258" s="166">
        <v>0</v>
      </c>
      <c r="BF1258" s="166">
        <v>0</v>
      </c>
      <c r="BG1258" s="166">
        <v>0</v>
      </c>
      <c r="BH1258" s="166">
        <v>0</v>
      </c>
      <c r="BI1258" s="166">
        <v>0</v>
      </c>
      <c r="BJ1258" s="166">
        <v>0</v>
      </c>
      <c r="BK1258" s="166">
        <v>0</v>
      </c>
      <c r="BL1258" s="166">
        <v>0</v>
      </c>
      <c r="BM1258" s="166">
        <v>0</v>
      </c>
      <c r="BN1258" s="166">
        <v>0</v>
      </c>
      <c r="BO1258" s="166">
        <v>0</v>
      </c>
      <c r="BP1258" s="166">
        <v>0</v>
      </c>
      <c r="BQ1258" s="81" t="s">
        <v>1758</v>
      </c>
      <c r="BR1258" s="81" t="s">
        <v>202</v>
      </c>
      <c r="BT1258" s="81" t="s">
        <v>155</v>
      </c>
      <c r="BZ1258" s="81" t="s">
        <v>155</v>
      </c>
      <c r="CA1258" s="81">
        <v>6</v>
      </c>
      <c r="CC1258" s="167">
        <v>0</v>
      </c>
      <c r="CD1258" s="167">
        <v>0</v>
      </c>
      <c r="CE1258" s="167">
        <v>0</v>
      </c>
      <c r="CF1258" s="167">
        <v>0</v>
      </c>
      <c r="CG1258" s="167">
        <v>0</v>
      </c>
      <c r="CH1258" s="167">
        <f>$N1258/3</f>
        <v>3.3333333333333335</v>
      </c>
      <c r="CI1258" s="167">
        <f>$N1258/3</f>
        <v>3.3333333333333335</v>
      </c>
      <c r="CJ1258" s="167">
        <f>$N1258/3</f>
        <v>3.3333333333333335</v>
      </c>
      <c r="CK1258" s="167">
        <v>0</v>
      </c>
      <c r="CL1258" s="167">
        <v>0</v>
      </c>
      <c r="CM1258" s="167">
        <v>0</v>
      </c>
      <c r="CN1258" s="167">
        <v>0</v>
      </c>
      <c r="CO1258" s="167">
        <v>0</v>
      </c>
      <c r="CP1258" s="167">
        <v>0</v>
      </c>
      <c r="CQ1258" s="167">
        <v>0</v>
      </c>
      <c r="CR1258" s="167">
        <v>0</v>
      </c>
      <c r="CS1258" s="167">
        <v>0</v>
      </c>
      <c r="CT1258" s="167">
        <v>0</v>
      </c>
      <c r="CU1258" s="167">
        <v>0</v>
      </c>
      <c r="CV1258" s="167">
        <v>0</v>
      </c>
      <c r="CW1258" s="167">
        <v>0</v>
      </c>
      <c r="CX1258" s="167">
        <f>SUM(CD1258:CH1258)</f>
        <v>3.3333333333333335</v>
      </c>
      <c r="CY1258" s="167">
        <f>SUM(CD1258:CM1258)</f>
        <v>10</v>
      </c>
    </row>
    <row r="1259" spans="1:103" ht="12.75" customHeight="1" x14ac:dyDescent="0.2">
      <c r="A1259" s="81">
        <v>6576</v>
      </c>
      <c r="B1259" s="165" t="s">
        <v>1955</v>
      </c>
      <c r="C1259" s="165" t="s">
        <v>2163</v>
      </c>
      <c r="E1259" s="165" t="s">
        <v>2164</v>
      </c>
      <c r="G1259" s="81">
        <v>527523</v>
      </c>
      <c r="H1259" s="81">
        <v>174885</v>
      </c>
      <c r="I1259" s="165" t="s">
        <v>255</v>
      </c>
      <c r="L1259" s="166">
        <v>1</v>
      </c>
      <c r="M1259" s="166">
        <v>4</v>
      </c>
      <c r="N1259" s="166">
        <v>3</v>
      </c>
      <c r="O1259" s="166">
        <v>4</v>
      </c>
      <c r="P1259" s="166">
        <v>3</v>
      </c>
      <c r="R1259" s="165" t="s">
        <v>2165</v>
      </c>
      <c r="S1259" s="81" t="s">
        <v>296</v>
      </c>
      <c r="T1259" s="349">
        <v>42824</v>
      </c>
      <c r="U1259" s="349">
        <v>42880</v>
      </c>
      <c r="V1259" s="81" t="s">
        <v>155</v>
      </c>
      <c r="W1259" s="81" t="s">
        <v>365</v>
      </c>
      <c r="Y1259" s="81" t="s">
        <v>115</v>
      </c>
      <c r="Z1259" s="81" t="s">
        <v>398</v>
      </c>
      <c r="AA1259" s="81" t="s">
        <v>117</v>
      </c>
      <c r="AB1259" s="81" t="s">
        <v>218</v>
      </c>
      <c r="AC1259" s="166">
        <v>1.4000000432133701E-2</v>
      </c>
      <c r="AG1259" s="81" t="s">
        <v>238</v>
      </c>
      <c r="AH1259" s="81" t="s">
        <v>118</v>
      </c>
      <c r="AK1259" s="166">
        <v>0</v>
      </c>
      <c r="AM1259" s="166">
        <v>0</v>
      </c>
      <c r="AO1259" s="166">
        <v>0</v>
      </c>
      <c r="AP1259" s="166">
        <v>1</v>
      </c>
      <c r="AQ1259" s="166">
        <v>2</v>
      </c>
      <c r="AR1259" s="166">
        <v>0</v>
      </c>
      <c r="AS1259" s="166">
        <v>0</v>
      </c>
      <c r="AT1259" s="166">
        <v>0</v>
      </c>
      <c r="AU1259" s="166">
        <v>0</v>
      </c>
      <c r="AV1259" s="166">
        <v>0</v>
      </c>
      <c r="AW1259" s="166">
        <v>1</v>
      </c>
      <c r="AX1259" s="166">
        <v>2</v>
      </c>
      <c r="AY1259" s="166">
        <v>0</v>
      </c>
      <c r="AZ1259" s="166">
        <v>0</v>
      </c>
      <c r="BA1259" s="166">
        <v>0</v>
      </c>
      <c r="BB1259" s="166">
        <v>0</v>
      </c>
      <c r="BC1259" s="166">
        <v>0</v>
      </c>
      <c r="BD1259" s="166">
        <v>0</v>
      </c>
      <c r="BE1259" s="166">
        <v>0</v>
      </c>
      <c r="BF1259" s="166">
        <v>0</v>
      </c>
      <c r="BG1259" s="166">
        <v>0</v>
      </c>
      <c r="BH1259" s="166">
        <v>0</v>
      </c>
      <c r="BI1259" s="166">
        <v>0</v>
      </c>
      <c r="BJ1259" s="166">
        <v>0</v>
      </c>
      <c r="BK1259" s="166">
        <v>0</v>
      </c>
      <c r="BL1259" s="166">
        <v>0</v>
      </c>
      <c r="BM1259" s="166">
        <v>0</v>
      </c>
      <c r="BN1259" s="166">
        <v>0</v>
      </c>
      <c r="BO1259" s="166">
        <v>0</v>
      </c>
      <c r="BP1259" s="166">
        <v>0</v>
      </c>
      <c r="BQ1259" s="81" t="s">
        <v>1757</v>
      </c>
      <c r="BR1259" s="81" t="s">
        <v>160</v>
      </c>
      <c r="BZ1259" s="81" t="s">
        <v>155</v>
      </c>
      <c r="CA1259" s="81">
        <v>10</v>
      </c>
      <c r="CC1259" s="167">
        <v>0</v>
      </c>
      <c r="CD1259" s="167">
        <v>0</v>
      </c>
      <c r="CE1259" s="167">
        <v>0</v>
      </c>
      <c r="CF1259" s="167">
        <v>0</v>
      </c>
      <c r="CG1259" s="167">
        <v>0</v>
      </c>
      <c r="CH1259" s="167">
        <f>$N1259/3</f>
        <v>1</v>
      </c>
      <c r="CI1259" s="167">
        <f>$N1259/3</f>
        <v>1</v>
      </c>
      <c r="CJ1259" s="167">
        <f>$N1259/3</f>
        <v>1</v>
      </c>
      <c r="CK1259" s="167">
        <v>0</v>
      </c>
      <c r="CL1259" s="167">
        <v>0</v>
      </c>
      <c r="CM1259" s="167">
        <v>0</v>
      </c>
      <c r="CN1259" s="167">
        <v>0</v>
      </c>
      <c r="CO1259" s="167">
        <v>0</v>
      </c>
      <c r="CP1259" s="167">
        <v>0</v>
      </c>
      <c r="CQ1259" s="167">
        <v>0</v>
      </c>
      <c r="CR1259" s="167">
        <v>0</v>
      </c>
      <c r="CS1259" s="167">
        <v>0</v>
      </c>
      <c r="CT1259" s="167">
        <v>0</v>
      </c>
      <c r="CU1259" s="167">
        <v>0</v>
      </c>
      <c r="CV1259" s="167">
        <v>0</v>
      </c>
      <c r="CW1259" s="167">
        <v>0</v>
      </c>
      <c r="CX1259" s="167">
        <f>SUM(CD1259:CH1259)</f>
        <v>1</v>
      </c>
      <c r="CY1259" s="167">
        <f>SUM(CD1259:CM1259)</f>
        <v>3</v>
      </c>
    </row>
    <row r="1260" spans="1:103" ht="12.75" customHeight="1" x14ac:dyDescent="0.2">
      <c r="A1260" s="81">
        <v>6576</v>
      </c>
      <c r="B1260" s="165" t="s">
        <v>1955</v>
      </c>
      <c r="C1260" s="165" t="s">
        <v>2166</v>
      </c>
      <c r="E1260" s="165" t="s">
        <v>2164</v>
      </c>
      <c r="G1260" s="81">
        <v>527523</v>
      </c>
      <c r="H1260" s="81">
        <v>174885</v>
      </c>
      <c r="I1260" s="165" t="s">
        <v>255</v>
      </c>
      <c r="L1260" s="166">
        <v>0</v>
      </c>
      <c r="M1260" s="166">
        <v>4</v>
      </c>
      <c r="N1260" s="166">
        <v>4</v>
      </c>
      <c r="O1260" s="166">
        <v>4</v>
      </c>
      <c r="P1260" s="166">
        <v>4</v>
      </c>
      <c r="R1260" s="165" t="s">
        <v>2167</v>
      </c>
      <c r="S1260" s="81" t="s">
        <v>296</v>
      </c>
      <c r="T1260" s="349">
        <v>43042</v>
      </c>
      <c r="U1260" s="349">
        <v>43098</v>
      </c>
      <c r="V1260" s="81" t="s">
        <v>155</v>
      </c>
      <c r="W1260" s="81" t="s">
        <v>365</v>
      </c>
      <c r="Y1260" s="81" t="s">
        <v>115</v>
      </c>
      <c r="Z1260" s="81" t="s">
        <v>398</v>
      </c>
      <c r="AA1260" s="81" t="s">
        <v>117</v>
      </c>
      <c r="AB1260" s="81" t="s">
        <v>218</v>
      </c>
      <c r="AC1260" s="166">
        <v>1.4000000432133701E-2</v>
      </c>
      <c r="AG1260" s="81" t="s">
        <v>238</v>
      </c>
      <c r="AH1260" s="81" t="s">
        <v>118</v>
      </c>
      <c r="AK1260" s="166">
        <v>0</v>
      </c>
      <c r="AM1260" s="166">
        <v>0</v>
      </c>
      <c r="AO1260" s="166">
        <v>1</v>
      </c>
      <c r="AP1260" s="166">
        <v>1</v>
      </c>
      <c r="AQ1260" s="166">
        <v>2</v>
      </c>
      <c r="AR1260" s="166">
        <v>0</v>
      </c>
      <c r="AS1260" s="166">
        <v>0</v>
      </c>
      <c r="AT1260" s="166">
        <v>0</v>
      </c>
      <c r="AU1260" s="166">
        <v>0</v>
      </c>
      <c r="AV1260" s="166">
        <v>1</v>
      </c>
      <c r="AW1260" s="166">
        <v>1</v>
      </c>
      <c r="AX1260" s="166">
        <v>2</v>
      </c>
      <c r="AY1260" s="166">
        <v>0</v>
      </c>
      <c r="AZ1260" s="166">
        <v>0</v>
      </c>
      <c r="BA1260" s="166">
        <v>0</v>
      </c>
      <c r="BB1260" s="166">
        <v>0</v>
      </c>
      <c r="BC1260" s="166">
        <v>0</v>
      </c>
      <c r="BD1260" s="166">
        <v>0</v>
      </c>
      <c r="BE1260" s="166">
        <v>0</v>
      </c>
      <c r="BF1260" s="166">
        <v>0</v>
      </c>
      <c r="BG1260" s="166">
        <v>0</v>
      </c>
      <c r="BH1260" s="166">
        <v>0</v>
      </c>
      <c r="BI1260" s="166">
        <v>0</v>
      </c>
      <c r="BJ1260" s="166">
        <v>0</v>
      </c>
      <c r="BK1260" s="166">
        <v>0</v>
      </c>
      <c r="BL1260" s="166">
        <v>0</v>
      </c>
      <c r="BM1260" s="166">
        <v>0</v>
      </c>
      <c r="BN1260" s="166">
        <v>0</v>
      </c>
      <c r="BO1260" s="166">
        <v>0</v>
      </c>
      <c r="BP1260" s="166">
        <v>0</v>
      </c>
      <c r="BQ1260" s="81" t="s">
        <v>1757</v>
      </c>
      <c r="BR1260" s="81" t="s">
        <v>160</v>
      </c>
      <c r="BZ1260" s="81" t="s">
        <v>155</v>
      </c>
      <c r="CA1260" s="81">
        <v>10</v>
      </c>
      <c r="CC1260" s="167">
        <v>0</v>
      </c>
      <c r="CD1260" s="167">
        <v>0</v>
      </c>
      <c r="CE1260" s="167">
        <v>0</v>
      </c>
      <c r="CF1260" s="167">
        <v>0</v>
      </c>
      <c r="CG1260" s="167">
        <v>0</v>
      </c>
      <c r="CH1260" s="167">
        <f>$N1260/3</f>
        <v>1.3333333333333333</v>
      </c>
      <c r="CI1260" s="167">
        <f>$N1260/3</f>
        <v>1.3333333333333333</v>
      </c>
      <c r="CJ1260" s="167">
        <f>$N1260/3</f>
        <v>1.3333333333333333</v>
      </c>
      <c r="CK1260" s="167">
        <v>0</v>
      </c>
      <c r="CL1260" s="167">
        <v>0</v>
      </c>
      <c r="CM1260" s="167">
        <v>0</v>
      </c>
      <c r="CN1260" s="167">
        <v>0</v>
      </c>
      <c r="CO1260" s="167">
        <v>0</v>
      </c>
      <c r="CP1260" s="167">
        <v>0</v>
      </c>
      <c r="CQ1260" s="167">
        <v>0</v>
      </c>
      <c r="CR1260" s="167">
        <v>0</v>
      </c>
      <c r="CS1260" s="167">
        <v>0</v>
      </c>
      <c r="CT1260" s="167">
        <v>0</v>
      </c>
      <c r="CU1260" s="167">
        <v>0</v>
      </c>
      <c r="CV1260" s="167">
        <v>0</v>
      </c>
      <c r="CW1260" s="167">
        <v>0</v>
      </c>
      <c r="CX1260" s="167">
        <f>SUM(CD1260:CH1260)</f>
        <v>1.3333333333333333</v>
      </c>
      <c r="CY1260" s="167">
        <f>SUM(CD1260:CM1260)</f>
        <v>4</v>
      </c>
    </row>
    <row r="1261" spans="1:103" ht="12.75" customHeight="1" x14ac:dyDescent="0.2">
      <c r="A1261" s="81">
        <v>6585</v>
      </c>
      <c r="B1261" s="165" t="s">
        <v>1955</v>
      </c>
      <c r="C1261" s="165" t="s">
        <v>2168</v>
      </c>
      <c r="E1261" s="165" t="s">
        <v>2169</v>
      </c>
      <c r="G1261" s="81">
        <v>527915</v>
      </c>
      <c r="H1261" s="81">
        <v>175487</v>
      </c>
      <c r="I1261" s="165" t="s">
        <v>256</v>
      </c>
      <c r="L1261" s="166">
        <v>1</v>
      </c>
      <c r="M1261" s="166">
        <v>3</v>
      </c>
      <c r="N1261" s="166">
        <v>2</v>
      </c>
      <c r="O1261" s="166">
        <v>5</v>
      </c>
      <c r="P1261" s="166">
        <v>2</v>
      </c>
      <c r="R1261" s="165" t="s">
        <v>2170</v>
      </c>
      <c r="S1261" s="81" t="s">
        <v>121</v>
      </c>
      <c r="T1261" s="349">
        <v>43108</v>
      </c>
      <c r="W1261" s="81" t="s">
        <v>114</v>
      </c>
      <c r="Y1261" s="81" t="s">
        <v>115</v>
      </c>
      <c r="Z1261" s="81" t="s">
        <v>398</v>
      </c>
      <c r="AA1261" s="81" t="s">
        <v>117</v>
      </c>
      <c r="AB1261" s="81" t="s">
        <v>220</v>
      </c>
      <c r="AC1261" s="166">
        <v>8.9999996125698107E-3</v>
      </c>
      <c r="AG1261" s="81" t="s">
        <v>238</v>
      </c>
      <c r="AH1261" s="81" t="s">
        <v>118</v>
      </c>
      <c r="AK1261" s="166">
        <v>0</v>
      </c>
      <c r="AM1261" s="166">
        <v>0</v>
      </c>
      <c r="AO1261" s="166">
        <v>1</v>
      </c>
      <c r="AP1261" s="166">
        <v>1</v>
      </c>
      <c r="AQ1261" s="166">
        <v>1</v>
      </c>
      <c r="AR1261" s="166">
        <v>0</v>
      </c>
      <c r="AS1261" s="166">
        <v>-1</v>
      </c>
      <c r="AT1261" s="166">
        <v>0</v>
      </c>
      <c r="AU1261" s="166">
        <v>0</v>
      </c>
      <c r="AV1261" s="166">
        <v>1</v>
      </c>
      <c r="AW1261" s="166">
        <v>1</v>
      </c>
      <c r="AX1261" s="166">
        <v>1</v>
      </c>
      <c r="AY1261" s="166">
        <v>0</v>
      </c>
      <c r="AZ1261" s="166">
        <v>-1</v>
      </c>
      <c r="BA1261" s="166">
        <v>0</v>
      </c>
      <c r="BB1261" s="166">
        <v>0</v>
      </c>
      <c r="BC1261" s="166">
        <v>0</v>
      </c>
      <c r="BD1261" s="166">
        <v>0</v>
      </c>
      <c r="BE1261" s="166">
        <v>0</v>
      </c>
      <c r="BF1261" s="166">
        <v>0</v>
      </c>
      <c r="BG1261" s="166">
        <v>0</v>
      </c>
      <c r="BH1261" s="166">
        <v>0</v>
      </c>
      <c r="BI1261" s="166">
        <v>0</v>
      </c>
      <c r="BJ1261" s="166">
        <v>0</v>
      </c>
      <c r="BK1261" s="166">
        <v>0</v>
      </c>
      <c r="BL1261" s="166">
        <v>0</v>
      </c>
      <c r="BM1261" s="166">
        <v>0</v>
      </c>
      <c r="BN1261" s="166">
        <v>0</v>
      </c>
      <c r="BO1261" s="166">
        <v>0</v>
      </c>
      <c r="BP1261" s="166">
        <v>0</v>
      </c>
      <c r="BQ1261" s="81" t="s">
        <v>1757</v>
      </c>
      <c r="BZ1261" s="81" t="s">
        <v>155</v>
      </c>
      <c r="CA1261" s="81">
        <v>10</v>
      </c>
      <c r="CC1261" s="167">
        <v>0</v>
      </c>
      <c r="CD1261" s="167">
        <v>0</v>
      </c>
      <c r="CE1261" s="167">
        <v>0</v>
      </c>
      <c r="CF1261" s="167">
        <v>0</v>
      </c>
      <c r="CG1261" s="167">
        <v>0</v>
      </c>
      <c r="CH1261" s="167">
        <f>$N1261/3</f>
        <v>0.66666666666666663</v>
      </c>
      <c r="CI1261" s="167">
        <f>$N1261/3</f>
        <v>0.66666666666666663</v>
      </c>
      <c r="CJ1261" s="167">
        <f>$N1261/3</f>
        <v>0.66666666666666663</v>
      </c>
      <c r="CK1261" s="167">
        <v>0</v>
      </c>
      <c r="CL1261" s="167">
        <v>0</v>
      </c>
      <c r="CM1261" s="167">
        <v>0</v>
      </c>
      <c r="CN1261" s="167">
        <v>0</v>
      </c>
      <c r="CO1261" s="167">
        <v>0</v>
      </c>
      <c r="CP1261" s="167">
        <v>0</v>
      </c>
      <c r="CQ1261" s="167">
        <v>0</v>
      </c>
      <c r="CR1261" s="167">
        <v>0</v>
      </c>
      <c r="CS1261" s="167">
        <v>0</v>
      </c>
      <c r="CT1261" s="167">
        <v>0</v>
      </c>
      <c r="CU1261" s="167">
        <v>0</v>
      </c>
      <c r="CV1261" s="167">
        <v>0</v>
      </c>
      <c r="CW1261" s="167">
        <v>0</v>
      </c>
      <c r="CX1261" s="167">
        <f>SUM(CD1261:CH1261)</f>
        <v>0.66666666666666663</v>
      </c>
      <c r="CY1261" s="167">
        <f>SUM(CD1261:CM1261)</f>
        <v>2</v>
      </c>
    </row>
    <row r="1262" spans="1:103" ht="12.75" customHeight="1" x14ac:dyDescent="0.2">
      <c r="A1262" s="81">
        <v>6585</v>
      </c>
      <c r="B1262" s="165" t="s">
        <v>1955</v>
      </c>
      <c r="C1262" s="165" t="s">
        <v>2168</v>
      </c>
      <c r="E1262" s="165" t="s">
        <v>2169</v>
      </c>
      <c r="G1262" s="81">
        <v>527915</v>
      </c>
      <c r="H1262" s="81">
        <v>175487</v>
      </c>
      <c r="I1262" s="165" t="s">
        <v>256</v>
      </c>
      <c r="L1262" s="166">
        <v>2</v>
      </c>
      <c r="M1262" s="166">
        <v>2</v>
      </c>
      <c r="N1262" s="166">
        <v>0</v>
      </c>
      <c r="O1262" s="166">
        <v>5</v>
      </c>
      <c r="P1262" s="166">
        <v>2</v>
      </c>
      <c r="R1262" s="165" t="s">
        <v>2170</v>
      </c>
      <c r="S1262" s="81" t="s">
        <v>121</v>
      </c>
      <c r="T1262" s="349">
        <v>43108</v>
      </c>
      <c r="W1262" s="81" t="s">
        <v>114</v>
      </c>
      <c r="Y1262" s="81" t="s">
        <v>115</v>
      </c>
      <c r="Z1262" s="81" t="s">
        <v>398</v>
      </c>
      <c r="AA1262" s="81" t="s">
        <v>117</v>
      </c>
      <c r="AB1262" s="81" t="s">
        <v>218</v>
      </c>
      <c r="AC1262" s="166">
        <v>1.2000000104308101E-2</v>
      </c>
      <c r="AG1262" s="81" t="s">
        <v>238</v>
      </c>
      <c r="AH1262" s="81" t="s">
        <v>118</v>
      </c>
      <c r="AK1262" s="166">
        <v>0</v>
      </c>
      <c r="AM1262" s="166">
        <v>0</v>
      </c>
      <c r="AO1262" s="166">
        <v>0</v>
      </c>
      <c r="AP1262" s="166">
        <v>-2</v>
      </c>
      <c r="AQ1262" s="166">
        <v>1</v>
      </c>
      <c r="AR1262" s="166">
        <v>1</v>
      </c>
      <c r="AS1262" s="166">
        <v>0</v>
      </c>
      <c r="AT1262" s="166">
        <v>0</v>
      </c>
      <c r="AU1262" s="166">
        <v>0</v>
      </c>
      <c r="AV1262" s="166">
        <v>0</v>
      </c>
      <c r="AW1262" s="166">
        <v>-2</v>
      </c>
      <c r="AX1262" s="166">
        <v>1</v>
      </c>
      <c r="AY1262" s="166">
        <v>1</v>
      </c>
      <c r="AZ1262" s="166">
        <v>0</v>
      </c>
      <c r="BA1262" s="166">
        <v>0</v>
      </c>
      <c r="BB1262" s="166">
        <v>0</v>
      </c>
      <c r="BC1262" s="166">
        <v>0</v>
      </c>
      <c r="BD1262" s="166">
        <v>0</v>
      </c>
      <c r="BE1262" s="166">
        <v>0</v>
      </c>
      <c r="BF1262" s="166">
        <v>0</v>
      </c>
      <c r="BG1262" s="166">
        <v>0</v>
      </c>
      <c r="BH1262" s="166">
        <v>0</v>
      </c>
      <c r="BI1262" s="166">
        <v>0</v>
      </c>
      <c r="BJ1262" s="166">
        <v>0</v>
      </c>
      <c r="BK1262" s="166">
        <v>0</v>
      </c>
      <c r="BL1262" s="166">
        <v>0</v>
      </c>
      <c r="BM1262" s="166">
        <v>0</v>
      </c>
      <c r="BN1262" s="166">
        <v>0</v>
      </c>
      <c r="BO1262" s="166">
        <v>0</v>
      </c>
      <c r="BP1262" s="166">
        <v>0</v>
      </c>
      <c r="BQ1262" s="81" t="s">
        <v>1757</v>
      </c>
      <c r="BZ1262" s="81" t="s">
        <v>155</v>
      </c>
      <c r="CA1262" s="81">
        <v>10</v>
      </c>
      <c r="CC1262" s="167">
        <v>0</v>
      </c>
      <c r="CD1262" s="167">
        <v>0</v>
      </c>
      <c r="CE1262" s="167">
        <v>0</v>
      </c>
      <c r="CF1262" s="167">
        <v>0</v>
      </c>
      <c r="CG1262" s="167">
        <v>0</v>
      </c>
      <c r="CH1262" s="167">
        <f>$N1262/3</f>
        <v>0</v>
      </c>
      <c r="CI1262" s="167">
        <f>$N1262/3</f>
        <v>0</v>
      </c>
      <c r="CJ1262" s="167">
        <f>$N1262/3</f>
        <v>0</v>
      </c>
      <c r="CK1262" s="167">
        <v>0</v>
      </c>
      <c r="CL1262" s="167">
        <v>0</v>
      </c>
      <c r="CM1262" s="167">
        <v>0</v>
      </c>
      <c r="CN1262" s="167">
        <v>0</v>
      </c>
      <c r="CO1262" s="167">
        <v>0</v>
      </c>
      <c r="CP1262" s="167">
        <v>0</v>
      </c>
      <c r="CQ1262" s="167">
        <v>0</v>
      </c>
      <c r="CR1262" s="167">
        <v>0</v>
      </c>
      <c r="CS1262" s="167">
        <v>0</v>
      </c>
      <c r="CT1262" s="167">
        <v>0</v>
      </c>
      <c r="CU1262" s="167">
        <v>0</v>
      </c>
      <c r="CV1262" s="167">
        <v>0</v>
      </c>
      <c r="CW1262" s="167">
        <v>0</v>
      </c>
      <c r="CX1262" s="167">
        <f>SUM(CD1262:CH1262)</f>
        <v>0</v>
      </c>
      <c r="CY1262" s="167">
        <f>SUM(CD1262:CM1262)</f>
        <v>0</v>
      </c>
    </row>
    <row r="1263" spans="1:103" ht="12.75" customHeight="1" x14ac:dyDescent="0.2">
      <c r="A1263" s="81">
        <v>6587</v>
      </c>
      <c r="B1263" s="165" t="s">
        <v>1955</v>
      </c>
      <c r="C1263" s="165" t="s">
        <v>2171</v>
      </c>
      <c r="E1263" s="165" t="s">
        <v>2172</v>
      </c>
      <c r="G1263" s="81">
        <v>525314</v>
      </c>
      <c r="H1263" s="81">
        <v>174719</v>
      </c>
      <c r="I1263" s="165" t="s">
        <v>251</v>
      </c>
      <c r="L1263" s="166">
        <v>0</v>
      </c>
      <c r="M1263" s="166">
        <v>1</v>
      </c>
      <c r="N1263" s="166">
        <v>1</v>
      </c>
      <c r="O1263" s="166">
        <v>1</v>
      </c>
      <c r="P1263" s="166">
        <v>1</v>
      </c>
      <c r="R1263" s="165" t="s">
        <v>2173</v>
      </c>
      <c r="S1263" s="81" t="s">
        <v>504</v>
      </c>
      <c r="T1263" s="349">
        <v>42858</v>
      </c>
      <c r="W1263" s="81" t="s">
        <v>114</v>
      </c>
      <c r="Y1263" s="81" t="s">
        <v>115</v>
      </c>
      <c r="Z1263" s="81" t="s">
        <v>310</v>
      </c>
      <c r="AA1263" s="81" t="s">
        <v>117</v>
      </c>
      <c r="AB1263" s="81" t="s">
        <v>399</v>
      </c>
      <c r="AC1263" s="166">
        <v>0</v>
      </c>
      <c r="AG1263" s="81" t="s">
        <v>238</v>
      </c>
      <c r="AH1263" s="81" t="s">
        <v>118</v>
      </c>
      <c r="AK1263" s="166">
        <v>0</v>
      </c>
      <c r="AM1263" s="166">
        <v>0</v>
      </c>
      <c r="AO1263" s="166">
        <v>0</v>
      </c>
      <c r="AP1263" s="166">
        <v>1</v>
      </c>
      <c r="AQ1263" s="166">
        <v>0</v>
      </c>
      <c r="AR1263" s="166">
        <v>0</v>
      </c>
      <c r="AS1263" s="166">
        <v>0</v>
      </c>
      <c r="AT1263" s="166">
        <v>0</v>
      </c>
      <c r="AU1263" s="166">
        <v>0</v>
      </c>
      <c r="AV1263" s="166">
        <v>0</v>
      </c>
      <c r="AW1263" s="166">
        <v>1</v>
      </c>
      <c r="AX1263" s="166">
        <v>0</v>
      </c>
      <c r="AY1263" s="166">
        <v>0</v>
      </c>
      <c r="AZ1263" s="166">
        <v>0</v>
      </c>
      <c r="BA1263" s="166">
        <v>0</v>
      </c>
      <c r="BB1263" s="166">
        <v>0</v>
      </c>
      <c r="BC1263" s="166">
        <v>0</v>
      </c>
      <c r="BD1263" s="166">
        <v>0</v>
      </c>
      <c r="BE1263" s="166">
        <v>0</v>
      </c>
      <c r="BF1263" s="166">
        <v>0</v>
      </c>
      <c r="BG1263" s="166">
        <v>0</v>
      </c>
      <c r="BH1263" s="166">
        <v>0</v>
      </c>
      <c r="BI1263" s="166">
        <v>0</v>
      </c>
      <c r="BJ1263" s="166">
        <v>0</v>
      </c>
      <c r="BK1263" s="166">
        <v>0</v>
      </c>
      <c r="BL1263" s="166">
        <v>0</v>
      </c>
      <c r="BM1263" s="166">
        <v>0</v>
      </c>
      <c r="BN1263" s="166">
        <v>0</v>
      </c>
      <c r="BO1263" s="166">
        <v>0</v>
      </c>
      <c r="BP1263" s="166">
        <v>0</v>
      </c>
      <c r="BQ1263" s="81" t="s">
        <v>1758</v>
      </c>
      <c r="BR1263" s="81" t="s">
        <v>202</v>
      </c>
      <c r="BT1263" s="81" t="s">
        <v>155</v>
      </c>
      <c r="BZ1263" s="81" t="s">
        <v>155</v>
      </c>
      <c r="CA1263" s="81">
        <v>10</v>
      </c>
      <c r="CC1263" s="167">
        <v>0</v>
      </c>
      <c r="CD1263" s="167">
        <v>0</v>
      </c>
      <c r="CE1263" s="167">
        <v>0</v>
      </c>
      <c r="CF1263" s="167">
        <v>0</v>
      </c>
      <c r="CG1263" s="167">
        <v>0</v>
      </c>
      <c r="CH1263" s="167">
        <f>$N1263/3</f>
        <v>0.33333333333333331</v>
      </c>
      <c r="CI1263" s="167">
        <f>$N1263/3</f>
        <v>0.33333333333333331</v>
      </c>
      <c r="CJ1263" s="167">
        <f>$N1263/3</f>
        <v>0.33333333333333331</v>
      </c>
      <c r="CK1263" s="167">
        <v>0</v>
      </c>
      <c r="CL1263" s="167">
        <v>0</v>
      </c>
      <c r="CM1263" s="167">
        <v>0</v>
      </c>
      <c r="CN1263" s="167">
        <v>0</v>
      </c>
      <c r="CO1263" s="167">
        <v>0</v>
      </c>
      <c r="CP1263" s="167">
        <v>0</v>
      </c>
      <c r="CQ1263" s="167">
        <v>0</v>
      </c>
      <c r="CR1263" s="167">
        <v>0</v>
      </c>
      <c r="CS1263" s="167">
        <v>0</v>
      </c>
      <c r="CT1263" s="167">
        <v>0</v>
      </c>
      <c r="CU1263" s="167">
        <v>0</v>
      </c>
      <c r="CV1263" s="167">
        <v>0</v>
      </c>
      <c r="CW1263" s="167">
        <v>0</v>
      </c>
      <c r="CX1263" s="167">
        <f>SUM(CD1263:CH1263)</f>
        <v>0.33333333333333331</v>
      </c>
      <c r="CY1263" s="167">
        <f>SUM(CD1263:CM1263)</f>
        <v>1</v>
      </c>
    </row>
    <row r="1264" spans="1:103" ht="12.75" customHeight="1" x14ac:dyDescent="0.2">
      <c r="A1264" s="81">
        <v>6588</v>
      </c>
      <c r="B1264" s="165" t="s">
        <v>1955</v>
      </c>
      <c r="C1264" s="165" t="s">
        <v>2174</v>
      </c>
      <c r="E1264" s="165" t="s">
        <v>2175</v>
      </c>
      <c r="G1264" s="81">
        <v>527122</v>
      </c>
      <c r="H1264" s="81">
        <v>175837</v>
      </c>
      <c r="I1264" s="165" t="s">
        <v>241</v>
      </c>
      <c r="L1264" s="166">
        <v>0</v>
      </c>
      <c r="M1264" s="166">
        <v>5</v>
      </c>
      <c r="N1264" s="166">
        <v>5</v>
      </c>
      <c r="O1264" s="166">
        <v>5</v>
      </c>
      <c r="P1264" s="166">
        <v>5</v>
      </c>
      <c r="R1264" s="165" t="s">
        <v>2176</v>
      </c>
      <c r="S1264" s="81" t="s">
        <v>121</v>
      </c>
      <c r="T1264" s="349">
        <v>42824</v>
      </c>
      <c r="W1264" s="81" t="s">
        <v>114</v>
      </c>
      <c r="Y1264" s="81" t="s">
        <v>115</v>
      </c>
      <c r="Z1264" s="81" t="s">
        <v>116</v>
      </c>
      <c r="AA1264" s="81" t="s">
        <v>117</v>
      </c>
      <c r="AB1264" s="81" t="s">
        <v>218</v>
      </c>
      <c r="AC1264" s="166">
        <v>0</v>
      </c>
      <c r="AG1264" s="81" t="s">
        <v>154</v>
      </c>
      <c r="AH1264" s="81" t="s">
        <v>38</v>
      </c>
      <c r="AK1264" s="166">
        <v>0</v>
      </c>
      <c r="AM1264" s="166">
        <v>0</v>
      </c>
      <c r="AO1264" s="166">
        <v>0</v>
      </c>
      <c r="AP1264" s="166">
        <v>4</v>
      </c>
      <c r="AQ1264" s="166">
        <v>1</v>
      </c>
      <c r="AR1264" s="166">
        <v>0</v>
      </c>
      <c r="AS1264" s="166">
        <v>0</v>
      </c>
      <c r="AT1264" s="166">
        <v>0</v>
      </c>
      <c r="AU1264" s="166">
        <v>0</v>
      </c>
      <c r="AV1264" s="166">
        <v>0</v>
      </c>
      <c r="AW1264" s="166">
        <v>4</v>
      </c>
      <c r="AX1264" s="166">
        <v>1</v>
      </c>
      <c r="AY1264" s="166">
        <v>0</v>
      </c>
      <c r="AZ1264" s="166">
        <v>0</v>
      </c>
      <c r="BA1264" s="166">
        <v>0</v>
      </c>
      <c r="BB1264" s="166">
        <v>0</v>
      </c>
      <c r="BC1264" s="166">
        <v>0</v>
      </c>
      <c r="BD1264" s="166">
        <v>0</v>
      </c>
      <c r="BE1264" s="166">
        <v>0</v>
      </c>
      <c r="BF1264" s="166">
        <v>0</v>
      </c>
      <c r="BG1264" s="166">
        <v>0</v>
      </c>
      <c r="BH1264" s="166">
        <v>0</v>
      </c>
      <c r="BI1264" s="166">
        <v>0</v>
      </c>
      <c r="BJ1264" s="166">
        <v>0</v>
      </c>
      <c r="BK1264" s="166">
        <v>0</v>
      </c>
      <c r="BL1264" s="166">
        <v>0</v>
      </c>
      <c r="BM1264" s="166">
        <v>0</v>
      </c>
      <c r="BN1264" s="166">
        <v>0</v>
      </c>
      <c r="BO1264" s="166">
        <v>0</v>
      </c>
      <c r="BP1264" s="166">
        <v>0</v>
      </c>
      <c r="BQ1264" s="81" t="s">
        <v>1759</v>
      </c>
      <c r="BU1264" s="81" t="s">
        <v>155</v>
      </c>
      <c r="BZ1264" s="81" t="s">
        <v>155</v>
      </c>
      <c r="CA1264" s="81">
        <v>6</v>
      </c>
      <c r="CC1264" s="167">
        <v>0</v>
      </c>
      <c r="CD1264" s="167">
        <v>0</v>
      </c>
      <c r="CE1264" s="167">
        <v>0</v>
      </c>
      <c r="CF1264" s="167">
        <v>0</v>
      </c>
      <c r="CG1264" s="167">
        <v>0</v>
      </c>
      <c r="CH1264" s="167">
        <f>$N1264/3</f>
        <v>1.6666666666666667</v>
      </c>
      <c r="CI1264" s="167">
        <f>$N1264/3</f>
        <v>1.6666666666666667</v>
      </c>
      <c r="CJ1264" s="167">
        <f>$N1264/3</f>
        <v>1.6666666666666667</v>
      </c>
      <c r="CK1264" s="167">
        <v>0</v>
      </c>
      <c r="CL1264" s="167">
        <v>0</v>
      </c>
      <c r="CM1264" s="167">
        <v>0</v>
      </c>
      <c r="CN1264" s="167">
        <v>0</v>
      </c>
      <c r="CO1264" s="167">
        <v>0</v>
      </c>
      <c r="CP1264" s="167">
        <v>0</v>
      </c>
      <c r="CQ1264" s="167">
        <v>0</v>
      </c>
      <c r="CR1264" s="167">
        <v>0</v>
      </c>
      <c r="CS1264" s="167">
        <v>0</v>
      </c>
      <c r="CT1264" s="167">
        <v>0</v>
      </c>
      <c r="CU1264" s="167">
        <v>0</v>
      </c>
      <c r="CV1264" s="167">
        <v>0</v>
      </c>
      <c r="CW1264" s="167">
        <v>0</v>
      </c>
      <c r="CX1264" s="167">
        <f>SUM(CD1264:CH1264)</f>
        <v>1.6666666666666667</v>
      </c>
      <c r="CY1264" s="167">
        <f>SUM(CD1264:CM1264)</f>
        <v>5</v>
      </c>
    </row>
    <row r="1265" spans="1:103" ht="12.75" customHeight="1" x14ac:dyDescent="0.2">
      <c r="A1265" s="81">
        <v>6613</v>
      </c>
      <c r="B1265" s="165" t="s">
        <v>1955</v>
      </c>
      <c r="C1265" s="165" t="s">
        <v>2177</v>
      </c>
      <c r="E1265" s="165" t="s">
        <v>2178</v>
      </c>
      <c r="G1265" s="81">
        <v>523233</v>
      </c>
      <c r="H1265" s="81">
        <v>176094</v>
      </c>
      <c r="I1265" s="165" t="s">
        <v>259</v>
      </c>
      <c r="L1265" s="166">
        <v>0</v>
      </c>
      <c r="M1265" s="166">
        <v>6</v>
      </c>
      <c r="N1265" s="166">
        <v>6</v>
      </c>
      <c r="O1265" s="166">
        <v>6</v>
      </c>
      <c r="P1265" s="166">
        <v>6</v>
      </c>
      <c r="R1265" s="165" t="s">
        <v>2179</v>
      </c>
      <c r="S1265" s="81" t="s">
        <v>121</v>
      </c>
      <c r="T1265" s="349">
        <v>43088</v>
      </c>
      <c r="W1265" s="81" t="s">
        <v>114</v>
      </c>
      <c r="Y1265" s="81" t="s">
        <v>115</v>
      </c>
      <c r="Z1265" s="81" t="s">
        <v>116</v>
      </c>
      <c r="AA1265" s="81" t="s">
        <v>117</v>
      </c>
      <c r="AB1265" s="81" t="s">
        <v>218</v>
      </c>
      <c r="AC1265" s="166">
        <v>3.0999999493360499E-2</v>
      </c>
      <c r="AG1265" s="81" t="s">
        <v>238</v>
      </c>
      <c r="AH1265" s="81" t="s">
        <v>118</v>
      </c>
      <c r="AK1265" s="166">
        <v>0</v>
      </c>
      <c r="AM1265" s="166">
        <v>0</v>
      </c>
      <c r="AO1265" s="166">
        <v>0</v>
      </c>
      <c r="AP1265" s="166">
        <v>3</v>
      </c>
      <c r="AQ1265" s="166">
        <v>2</v>
      </c>
      <c r="AR1265" s="166">
        <v>1</v>
      </c>
      <c r="AS1265" s="166">
        <v>0</v>
      </c>
      <c r="AT1265" s="166">
        <v>0</v>
      </c>
      <c r="AU1265" s="166">
        <v>0</v>
      </c>
      <c r="AV1265" s="166">
        <v>0</v>
      </c>
      <c r="AW1265" s="166">
        <v>3</v>
      </c>
      <c r="AX1265" s="166">
        <v>2</v>
      </c>
      <c r="AY1265" s="166">
        <v>0</v>
      </c>
      <c r="AZ1265" s="166">
        <v>0</v>
      </c>
      <c r="BA1265" s="166">
        <v>0</v>
      </c>
      <c r="BB1265" s="166">
        <v>0</v>
      </c>
      <c r="BC1265" s="166">
        <v>0</v>
      </c>
      <c r="BD1265" s="166">
        <v>0</v>
      </c>
      <c r="BE1265" s="166">
        <v>0</v>
      </c>
      <c r="BF1265" s="166">
        <v>1</v>
      </c>
      <c r="BG1265" s="166">
        <v>0</v>
      </c>
      <c r="BH1265" s="166">
        <v>0</v>
      </c>
      <c r="BI1265" s="166">
        <v>0</v>
      </c>
      <c r="BJ1265" s="166">
        <v>0</v>
      </c>
      <c r="BK1265" s="166">
        <v>0</v>
      </c>
      <c r="BL1265" s="166">
        <v>0</v>
      </c>
      <c r="BM1265" s="166">
        <v>0</v>
      </c>
      <c r="BN1265" s="166">
        <v>0</v>
      </c>
      <c r="BO1265" s="166">
        <v>0</v>
      </c>
      <c r="BP1265" s="166">
        <v>0</v>
      </c>
      <c r="BQ1265" s="81" t="s">
        <v>1758</v>
      </c>
      <c r="BZ1265" s="81" t="s">
        <v>155</v>
      </c>
      <c r="CA1265" s="81">
        <v>6</v>
      </c>
      <c r="CC1265" s="167">
        <v>0</v>
      </c>
      <c r="CD1265" s="167">
        <v>0</v>
      </c>
      <c r="CE1265" s="167">
        <v>0</v>
      </c>
      <c r="CF1265" s="167">
        <v>0</v>
      </c>
      <c r="CG1265" s="167">
        <v>0</v>
      </c>
      <c r="CH1265" s="167">
        <f>$N1265/3</f>
        <v>2</v>
      </c>
      <c r="CI1265" s="167">
        <f>$N1265/3</f>
        <v>2</v>
      </c>
      <c r="CJ1265" s="167">
        <f>$N1265/3</f>
        <v>2</v>
      </c>
      <c r="CK1265" s="167">
        <v>0</v>
      </c>
      <c r="CL1265" s="167">
        <v>0</v>
      </c>
      <c r="CM1265" s="167">
        <v>0</v>
      </c>
      <c r="CN1265" s="167">
        <v>0</v>
      </c>
      <c r="CO1265" s="167">
        <v>0</v>
      </c>
      <c r="CP1265" s="167">
        <v>0</v>
      </c>
      <c r="CQ1265" s="167">
        <v>0</v>
      </c>
      <c r="CR1265" s="167">
        <v>0</v>
      </c>
      <c r="CS1265" s="167">
        <v>0</v>
      </c>
      <c r="CT1265" s="167">
        <v>0</v>
      </c>
      <c r="CU1265" s="167">
        <v>0</v>
      </c>
      <c r="CV1265" s="167">
        <v>0</v>
      </c>
      <c r="CW1265" s="167">
        <v>0</v>
      </c>
      <c r="CX1265" s="167">
        <f>SUM(CD1265:CH1265)</f>
        <v>2</v>
      </c>
      <c r="CY1265" s="167">
        <f>SUM(CD1265:CM1265)</f>
        <v>6</v>
      </c>
    </row>
    <row r="1266" spans="1:103" ht="12.75" customHeight="1" x14ac:dyDescent="0.2">
      <c r="A1266" s="81">
        <v>6626</v>
      </c>
      <c r="B1266" s="165" t="s">
        <v>1955</v>
      </c>
      <c r="C1266" s="165" t="s">
        <v>2180</v>
      </c>
      <c r="E1266" s="165" t="s">
        <v>2181</v>
      </c>
      <c r="G1266" s="81">
        <v>528645</v>
      </c>
      <c r="H1266" s="81">
        <v>175982</v>
      </c>
      <c r="I1266" s="165" t="s">
        <v>240</v>
      </c>
      <c r="L1266" s="166">
        <v>0</v>
      </c>
      <c r="M1266" s="166">
        <v>1</v>
      </c>
      <c r="N1266" s="166">
        <v>1</v>
      </c>
      <c r="O1266" s="166">
        <v>1</v>
      </c>
      <c r="P1266" s="166">
        <v>1</v>
      </c>
      <c r="R1266" s="165" t="s">
        <v>2182</v>
      </c>
      <c r="S1266" s="81" t="s">
        <v>121</v>
      </c>
      <c r="T1266" s="349">
        <v>43042</v>
      </c>
      <c r="W1266" s="81" t="s">
        <v>114</v>
      </c>
      <c r="Y1266" s="81" t="s">
        <v>115</v>
      </c>
      <c r="Z1266" s="81" t="s">
        <v>116</v>
      </c>
      <c r="AA1266" s="81" t="s">
        <v>117</v>
      </c>
      <c r="AB1266" s="81" t="s">
        <v>218</v>
      </c>
      <c r="AC1266" s="166">
        <v>2.4000000208616298E-2</v>
      </c>
      <c r="AG1266" s="81" t="s">
        <v>238</v>
      </c>
      <c r="AH1266" s="81" t="s">
        <v>118</v>
      </c>
      <c r="AK1266" s="166">
        <v>0</v>
      </c>
      <c r="AM1266" s="166">
        <v>0</v>
      </c>
      <c r="AO1266" s="166">
        <v>0</v>
      </c>
      <c r="AP1266" s="166">
        <v>0</v>
      </c>
      <c r="AQ1266" s="166">
        <v>0</v>
      </c>
      <c r="AR1266" s="166">
        <v>1</v>
      </c>
      <c r="AS1266" s="166">
        <v>0</v>
      </c>
      <c r="AT1266" s="166">
        <v>0</v>
      </c>
      <c r="AU1266" s="166">
        <v>0</v>
      </c>
      <c r="AV1266" s="166">
        <v>0</v>
      </c>
      <c r="AW1266" s="166">
        <v>0</v>
      </c>
      <c r="AX1266" s="166">
        <v>0</v>
      </c>
      <c r="AY1266" s="166">
        <v>0</v>
      </c>
      <c r="AZ1266" s="166">
        <v>0</v>
      </c>
      <c r="BA1266" s="166">
        <v>0</v>
      </c>
      <c r="BB1266" s="166">
        <v>0</v>
      </c>
      <c r="BC1266" s="166">
        <v>0</v>
      </c>
      <c r="BD1266" s="166">
        <v>0</v>
      </c>
      <c r="BE1266" s="166">
        <v>0</v>
      </c>
      <c r="BF1266" s="166">
        <v>1</v>
      </c>
      <c r="BG1266" s="166">
        <v>0</v>
      </c>
      <c r="BH1266" s="166">
        <v>0</v>
      </c>
      <c r="BI1266" s="166">
        <v>0</v>
      </c>
      <c r="BJ1266" s="166">
        <v>0</v>
      </c>
      <c r="BK1266" s="166">
        <v>0</v>
      </c>
      <c r="BL1266" s="166">
        <v>0</v>
      </c>
      <c r="BM1266" s="166">
        <v>0</v>
      </c>
      <c r="BN1266" s="166">
        <v>0</v>
      </c>
      <c r="BO1266" s="166">
        <v>0</v>
      </c>
      <c r="BP1266" s="166">
        <v>0</v>
      </c>
      <c r="BQ1266" s="81" t="s">
        <v>1757</v>
      </c>
      <c r="BZ1266" s="81" t="s">
        <v>155</v>
      </c>
      <c r="CA1266" s="81">
        <v>6</v>
      </c>
      <c r="CC1266" s="167">
        <v>0</v>
      </c>
      <c r="CD1266" s="167">
        <v>0</v>
      </c>
      <c r="CE1266" s="167">
        <v>0</v>
      </c>
      <c r="CF1266" s="167">
        <v>0</v>
      </c>
      <c r="CG1266" s="167">
        <v>0</v>
      </c>
      <c r="CH1266" s="167">
        <f>$N1266/3</f>
        <v>0.33333333333333331</v>
      </c>
      <c r="CI1266" s="167">
        <f>$N1266/3</f>
        <v>0.33333333333333331</v>
      </c>
      <c r="CJ1266" s="167">
        <f>$N1266/3</f>
        <v>0.33333333333333331</v>
      </c>
      <c r="CK1266" s="167">
        <v>0</v>
      </c>
      <c r="CL1266" s="167">
        <v>0</v>
      </c>
      <c r="CM1266" s="167">
        <v>0</v>
      </c>
      <c r="CN1266" s="167">
        <v>0</v>
      </c>
      <c r="CO1266" s="167">
        <v>0</v>
      </c>
      <c r="CP1266" s="167">
        <v>0</v>
      </c>
      <c r="CQ1266" s="167">
        <v>0</v>
      </c>
      <c r="CR1266" s="167">
        <v>0</v>
      </c>
      <c r="CS1266" s="167">
        <v>0</v>
      </c>
      <c r="CT1266" s="167">
        <v>0</v>
      </c>
      <c r="CU1266" s="167">
        <v>0</v>
      </c>
      <c r="CV1266" s="167">
        <v>0</v>
      </c>
      <c r="CW1266" s="167">
        <v>0</v>
      </c>
      <c r="CX1266" s="167">
        <f>SUM(CD1266:CH1266)</f>
        <v>0.33333333333333331</v>
      </c>
      <c r="CY1266" s="167">
        <f>SUM(CD1266:CM1266)</f>
        <v>1</v>
      </c>
    </row>
    <row r="1267" spans="1:103" ht="12.75" customHeight="1" x14ac:dyDescent="0.2">
      <c r="A1267" s="81">
        <v>6626</v>
      </c>
      <c r="B1267" s="165" t="s">
        <v>1955</v>
      </c>
      <c r="C1267" s="165" t="s">
        <v>2183</v>
      </c>
      <c r="E1267" s="165" t="s">
        <v>2181</v>
      </c>
      <c r="G1267" s="81">
        <v>528645</v>
      </c>
      <c r="H1267" s="81">
        <v>175982</v>
      </c>
      <c r="I1267" s="165" t="s">
        <v>240</v>
      </c>
      <c r="L1267" s="166">
        <v>2</v>
      </c>
      <c r="M1267" s="166">
        <v>4</v>
      </c>
      <c r="N1267" s="166">
        <v>2</v>
      </c>
      <c r="O1267" s="166">
        <v>5</v>
      </c>
      <c r="P1267" s="166">
        <v>3</v>
      </c>
      <c r="R1267" s="165" t="s">
        <v>2184</v>
      </c>
      <c r="S1267" s="81" t="s">
        <v>121</v>
      </c>
      <c r="T1267" s="349">
        <v>43123</v>
      </c>
      <c r="W1267" s="81" t="s">
        <v>114</v>
      </c>
      <c r="Y1267" s="81" t="s">
        <v>115</v>
      </c>
      <c r="Z1267" s="81" t="s">
        <v>398</v>
      </c>
      <c r="AA1267" s="81" t="s">
        <v>117</v>
      </c>
      <c r="AB1267" s="81" t="s">
        <v>220</v>
      </c>
      <c r="AC1267" s="166">
        <v>1.09999999403954E-2</v>
      </c>
      <c r="AG1267" s="81" t="s">
        <v>238</v>
      </c>
      <c r="AH1267" s="81" t="s">
        <v>118</v>
      </c>
      <c r="AK1267" s="166">
        <v>0</v>
      </c>
      <c r="AM1267" s="166">
        <v>0</v>
      </c>
      <c r="AO1267" s="166">
        <v>0</v>
      </c>
      <c r="AP1267" s="166">
        <v>0</v>
      </c>
      <c r="AQ1267" s="166">
        <v>4</v>
      </c>
      <c r="AR1267" s="166">
        <v>-2</v>
      </c>
      <c r="AS1267" s="166">
        <v>0</v>
      </c>
      <c r="AT1267" s="166">
        <v>0</v>
      </c>
      <c r="AU1267" s="166">
        <v>0</v>
      </c>
      <c r="AV1267" s="166">
        <v>0</v>
      </c>
      <c r="AW1267" s="166">
        <v>0</v>
      </c>
      <c r="AX1267" s="166">
        <v>4</v>
      </c>
      <c r="AY1267" s="166">
        <v>-2</v>
      </c>
      <c r="AZ1267" s="166">
        <v>0</v>
      </c>
      <c r="BA1267" s="166">
        <v>0</v>
      </c>
      <c r="BB1267" s="166">
        <v>0</v>
      </c>
      <c r="BC1267" s="166">
        <v>0</v>
      </c>
      <c r="BD1267" s="166">
        <v>0</v>
      </c>
      <c r="BE1267" s="166">
        <v>0</v>
      </c>
      <c r="BF1267" s="166">
        <v>0</v>
      </c>
      <c r="BG1267" s="166">
        <v>0</v>
      </c>
      <c r="BH1267" s="166">
        <v>0</v>
      </c>
      <c r="BI1267" s="166">
        <v>0</v>
      </c>
      <c r="BJ1267" s="166">
        <v>0</v>
      </c>
      <c r="BK1267" s="166">
        <v>0</v>
      </c>
      <c r="BL1267" s="166">
        <v>0</v>
      </c>
      <c r="BM1267" s="166">
        <v>0</v>
      </c>
      <c r="BN1267" s="166">
        <v>0</v>
      </c>
      <c r="BO1267" s="166">
        <v>0</v>
      </c>
      <c r="BP1267" s="166">
        <v>0</v>
      </c>
      <c r="BQ1267" s="81" t="s">
        <v>1757</v>
      </c>
      <c r="BZ1267" s="81" t="s">
        <v>155</v>
      </c>
      <c r="CA1267" s="81">
        <v>10</v>
      </c>
      <c r="CC1267" s="167">
        <v>0</v>
      </c>
      <c r="CD1267" s="167">
        <v>0</v>
      </c>
      <c r="CE1267" s="167">
        <v>0</v>
      </c>
      <c r="CF1267" s="167">
        <v>0</v>
      </c>
      <c r="CG1267" s="167">
        <v>0</v>
      </c>
      <c r="CH1267" s="167">
        <f>$N1267/3</f>
        <v>0.66666666666666663</v>
      </c>
      <c r="CI1267" s="167">
        <f>$N1267/3</f>
        <v>0.66666666666666663</v>
      </c>
      <c r="CJ1267" s="167">
        <f>$N1267/3</f>
        <v>0.66666666666666663</v>
      </c>
      <c r="CK1267" s="167">
        <v>0</v>
      </c>
      <c r="CL1267" s="167">
        <v>0</v>
      </c>
      <c r="CM1267" s="167">
        <v>0</v>
      </c>
      <c r="CN1267" s="167">
        <v>0</v>
      </c>
      <c r="CO1267" s="167">
        <v>0</v>
      </c>
      <c r="CP1267" s="167">
        <v>0</v>
      </c>
      <c r="CQ1267" s="167">
        <v>0</v>
      </c>
      <c r="CR1267" s="167">
        <v>0</v>
      </c>
      <c r="CS1267" s="167">
        <v>0</v>
      </c>
      <c r="CT1267" s="167">
        <v>0</v>
      </c>
      <c r="CU1267" s="167">
        <v>0</v>
      </c>
      <c r="CV1267" s="167">
        <v>0</v>
      </c>
      <c r="CW1267" s="167">
        <v>0</v>
      </c>
      <c r="CX1267" s="167">
        <f>SUM(CD1267:CH1267)</f>
        <v>0.66666666666666663</v>
      </c>
      <c r="CY1267" s="167">
        <f>SUM(CD1267:CM1267)</f>
        <v>2</v>
      </c>
    </row>
    <row r="1268" spans="1:103" ht="12.75" customHeight="1" x14ac:dyDescent="0.2">
      <c r="A1268" s="81">
        <v>6626</v>
      </c>
      <c r="B1268" s="165" t="s">
        <v>1955</v>
      </c>
      <c r="C1268" s="165" t="s">
        <v>2183</v>
      </c>
      <c r="E1268" s="165" t="s">
        <v>2181</v>
      </c>
      <c r="G1268" s="81">
        <v>528645</v>
      </c>
      <c r="H1268" s="81">
        <v>175982</v>
      </c>
      <c r="I1268" s="165" t="s">
        <v>240</v>
      </c>
      <c r="L1268" s="166">
        <v>0</v>
      </c>
      <c r="M1268" s="166">
        <v>1</v>
      </c>
      <c r="N1268" s="166">
        <v>1</v>
      </c>
      <c r="O1268" s="166">
        <v>5</v>
      </c>
      <c r="P1268" s="166">
        <v>3</v>
      </c>
      <c r="R1268" s="165" t="s">
        <v>2184</v>
      </c>
      <c r="S1268" s="81" t="s">
        <v>121</v>
      </c>
      <c r="T1268" s="349">
        <v>43123</v>
      </c>
      <c r="W1268" s="81" t="s">
        <v>114</v>
      </c>
      <c r="Y1268" s="81" t="s">
        <v>115</v>
      </c>
      <c r="Z1268" s="81" t="s">
        <v>398</v>
      </c>
      <c r="AA1268" s="81" t="s">
        <v>117</v>
      </c>
      <c r="AB1268" s="81" t="s">
        <v>218</v>
      </c>
      <c r="AC1268" s="166">
        <v>3.0000000260770299E-3</v>
      </c>
      <c r="AG1268" s="81" t="s">
        <v>238</v>
      </c>
      <c r="AH1268" s="81" t="s">
        <v>118</v>
      </c>
      <c r="AK1268" s="166">
        <v>0</v>
      </c>
      <c r="AM1268" s="166">
        <v>0</v>
      </c>
      <c r="AO1268" s="166">
        <v>0</v>
      </c>
      <c r="AP1268" s="166">
        <v>0</v>
      </c>
      <c r="AQ1268" s="166">
        <v>0</v>
      </c>
      <c r="AR1268" s="166">
        <v>1</v>
      </c>
      <c r="AS1268" s="166">
        <v>0</v>
      </c>
      <c r="AT1268" s="166">
        <v>0</v>
      </c>
      <c r="AU1268" s="166">
        <v>0</v>
      </c>
      <c r="AV1268" s="166">
        <v>0</v>
      </c>
      <c r="AW1268" s="166">
        <v>0</v>
      </c>
      <c r="AX1268" s="166">
        <v>0</v>
      </c>
      <c r="AY1268" s="166">
        <v>1</v>
      </c>
      <c r="AZ1268" s="166">
        <v>0</v>
      </c>
      <c r="BA1268" s="166">
        <v>0</v>
      </c>
      <c r="BB1268" s="166">
        <v>0</v>
      </c>
      <c r="BC1268" s="166">
        <v>0</v>
      </c>
      <c r="BD1268" s="166">
        <v>0</v>
      </c>
      <c r="BE1268" s="166">
        <v>0</v>
      </c>
      <c r="BF1268" s="166">
        <v>0</v>
      </c>
      <c r="BG1268" s="166">
        <v>0</v>
      </c>
      <c r="BH1268" s="166">
        <v>0</v>
      </c>
      <c r="BI1268" s="166">
        <v>0</v>
      </c>
      <c r="BJ1268" s="166">
        <v>0</v>
      </c>
      <c r="BK1268" s="166">
        <v>0</v>
      </c>
      <c r="BL1268" s="166">
        <v>0</v>
      </c>
      <c r="BM1268" s="166">
        <v>0</v>
      </c>
      <c r="BN1268" s="166">
        <v>0</v>
      </c>
      <c r="BO1268" s="166">
        <v>0</v>
      </c>
      <c r="BP1268" s="166">
        <v>0</v>
      </c>
      <c r="BQ1268" s="81" t="s">
        <v>1757</v>
      </c>
      <c r="BZ1268" s="81" t="s">
        <v>155</v>
      </c>
      <c r="CA1268" s="81">
        <v>10</v>
      </c>
      <c r="CC1268" s="167">
        <v>0</v>
      </c>
      <c r="CD1268" s="167">
        <v>0</v>
      </c>
      <c r="CE1268" s="167">
        <v>0</v>
      </c>
      <c r="CF1268" s="167">
        <v>0</v>
      </c>
      <c r="CG1268" s="167">
        <v>0</v>
      </c>
      <c r="CH1268" s="167">
        <f>$N1268/3</f>
        <v>0.33333333333333331</v>
      </c>
      <c r="CI1268" s="167">
        <f>$N1268/3</f>
        <v>0.33333333333333331</v>
      </c>
      <c r="CJ1268" s="167">
        <f>$N1268/3</f>
        <v>0.33333333333333331</v>
      </c>
      <c r="CK1268" s="167">
        <v>0</v>
      </c>
      <c r="CL1268" s="167">
        <v>0</v>
      </c>
      <c r="CM1268" s="167">
        <v>0</v>
      </c>
      <c r="CN1268" s="167">
        <v>0</v>
      </c>
      <c r="CO1268" s="167">
        <v>0</v>
      </c>
      <c r="CP1268" s="167">
        <v>0</v>
      </c>
      <c r="CQ1268" s="167">
        <v>0</v>
      </c>
      <c r="CR1268" s="167">
        <v>0</v>
      </c>
      <c r="CS1268" s="167">
        <v>0</v>
      </c>
      <c r="CT1268" s="167">
        <v>0</v>
      </c>
      <c r="CU1268" s="167">
        <v>0</v>
      </c>
      <c r="CV1268" s="167">
        <v>0</v>
      </c>
      <c r="CW1268" s="167">
        <v>0</v>
      </c>
      <c r="CX1268" s="167">
        <f>SUM(CD1268:CH1268)</f>
        <v>0.33333333333333331</v>
      </c>
      <c r="CY1268" s="167">
        <f>SUM(CD1268:CM1268)</f>
        <v>1</v>
      </c>
    </row>
    <row r="1269" spans="1:103" ht="12.75" customHeight="1" x14ac:dyDescent="0.2">
      <c r="A1269" s="81">
        <v>6629</v>
      </c>
      <c r="B1269" s="165" t="s">
        <v>1955</v>
      </c>
      <c r="C1269" s="165" t="s">
        <v>2185</v>
      </c>
      <c r="E1269" s="165" t="s">
        <v>2186</v>
      </c>
      <c r="G1269" s="81">
        <v>525145</v>
      </c>
      <c r="H1269" s="81">
        <v>173406</v>
      </c>
      <c r="I1269" s="165" t="s">
        <v>258</v>
      </c>
      <c r="L1269" s="166">
        <v>1</v>
      </c>
      <c r="M1269" s="166">
        <v>2</v>
      </c>
      <c r="N1269" s="166">
        <v>1</v>
      </c>
      <c r="O1269" s="166">
        <v>2</v>
      </c>
      <c r="P1269" s="166">
        <v>1</v>
      </c>
      <c r="R1269" s="165" t="s">
        <v>2187</v>
      </c>
      <c r="S1269" s="81" t="s">
        <v>121</v>
      </c>
      <c r="T1269" s="349">
        <v>43168</v>
      </c>
      <c r="W1269" s="81" t="s">
        <v>114</v>
      </c>
      <c r="Y1269" s="81" t="s">
        <v>115</v>
      </c>
      <c r="Z1269" s="81" t="s">
        <v>116</v>
      </c>
      <c r="AA1269" s="81" t="s">
        <v>117</v>
      </c>
      <c r="AB1269" s="81" t="s">
        <v>218</v>
      </c>
      <c r="AC1269" s="166">
        <v>1.4000000432133701E-2</v>
      </c>
      <c r="AG1269" s="81" t="s">
        <v>238</v>
      </c>
      <c r="AH1269" s="81" t="s">
        <v>118</v>
      </c>
      <c r="AK1269" s="166">
        <v>0</v>
      </c>
      <c r="AL1269" s="166">
        <v>2</v>
      </c>
      <c r="AM1269" s="166">
        <v>0</v>
      </c>
      <c r="AO1269" s="166">
        <v>0</v>
      </c>
      <c r="AP1269" s="166">
        <v>-1</v>
      </c>
      <c r="AQ1269" s="166">
        <v>0</v>
      </c>
      <c r="AR1269" s="166">
        <v>2</v>
      </c>
      <c r="AS1269" s="166">
        <v>0</v>
      </c>
      <c r="AT1269" s="166">
        <v>0</v>
      </c>
      <c r="AU1269" s="166">
        <v>0</v>
      </c>
      <c r="AV1269" s="166">
        <v>0</v>
      </c>
      <c r="AW1269" s="166">
        <v>-1</v>
      </c>
      <c r="AX1269" s="166">
        <v>0</v>
      </c>
      <c r="AY1269" s="166">
        <v>0</v>
      </c>
      <c r="AZ1269" s="166">
        <v>0</v>
      </c>
      <c r="BA1269" s="166">
        <v>0</v>
      </c>
      <c r="BB1269" s="166">
        <v>0</v>
      </c>
      <c r="BC1269" s="166">
        <v>0</v>
      </c>
      <c r="BD1269" s="166">
        <v>0</v>
      </c>
      <c r="BE1269" s="166">
        <v>0</v>
      </c>
      <c r="BF1269" s="166">
        <v>2</v>
      </c>
      <c r="BG1269" s="166">
        <v>0</v>
      </c>
      <c r="BH1269" s="166">
        <v>0</v>
      </c>
      <c r="BI1269" s="166">
        <v>0</v>
      </c>
      <c r="BJ1269" s="166">
        <v>0</v>
      </c>
      <c r="BK1269" s="166">
        <v>0</v>
      </c>
      <c r="BL1269" s="166">
        <v>0</v>
      </c>
      <c r="BM1269" s="166">
        <v>0</v>
      </c>
      <c r="BN1269" s="166">
        <v>0</v>
      </c>
      <c r="BO1269" s="166">
        <v>0</v>
      </c>
      <c r="BP1269" s="166">
        <v>0</v>
      </c>
      <c r="BQ1269" s="81" t="s">
        <v>1758</v>
      </c>
      <c r="BZ1269" s="81" t="s">
        <v>155</v>
      </c>
      <c r="CA1269" s="81">
        <v>6</v>
      </c>
      <c r="CC1269" s="167">
        <v>0</v>
      </c>
      <c r="CD1269" s="167">
        <v>0</v>
      </c>
      <c r="CE1269" s="167">
        <v>0</v>
      </c>
      <c r="CF1269" s="167">
        <v>0</v>
      </c>
      <c r="CG1269" s="167">
        <v>0</v>
      </c>
      <c r="CH1269" s="167">
        <f>$N1269/3</f>
        <v>0.33333333333333331</v>
      </c>
      <c r="CI1269" s="167">
        <f>$N1269/3</f>
        <v>0.33333333333333331</v>
      </c>
      <c r="CJ1269" s="167">
        <f>$N1269/3</f>
        <v>0.33333333333333331</v>
      </c>
      <c r="CK1269" s="167">
        <v>0</v>
      </c>
      <c r="CL1269" s="167">
        <v>0</v>
      </c>
      <c r="CM1269" s="167">
        <v>0</v>
      </c>
      <c r="CN1269" s="167">
        <v>0</v>
      </c>
      <c r="CO1269" s="167">
        <v>0</v>
      </c>
      <c r="CP1269" s="167">
        <v>0</v>
      </c>
      <c r="CQ1269" s="167">
        <v>0</v>
      </c>
      <c r="CR1269" s="167">
        <v>0</v>
      </c>
      <c r="CS1269" s="167">
        <v>0</v>
      </c>
      <c r="CT1269" s="167">
        <v>0</v>
      </c>
      <c r="CU1269" s="167">
        <v>0</v>
      </c>
      <c r="CV1269" s="167">
        <v>0</v>
      </c>
      <c r="CW1269" s="167">
        <v>0</v>
      </c>
      <c r="CX1269" s="167">
        <f>SUM(CD1269:CH1269)</f>
        <v>0.33333333333333331</v>
      </c>
      <c r="CY1269" s="167">
        <f>SUM(CD1269:CM1269)</f>
        <v>1</v>
      </c>
    </row>
    <row r="1270" spans="1:103" ht="12.75" customHeight="1" x14ac:dyDescent="0.2">
      <c r="A1270" s="81">
        <v>6632</v>
      </c>
      <c r="B1270" s="165" t="s">
        <v>1955</v>
      </c>
      <c r="C1270" s="165" t="s">
        <v>2188</v>
      </c>
      <c r="E1270" s="165" t="s">
        <v>2189</v>
      </c>
      <c r="F1270" s="165" t="s">
        <v>1803</v>
      </c>
      <c r="G1270" s="81">
        <v>528637</v>
      </c>
      <c r="H1270" s="81">
        <v>176365</v>
      </c>
      <c r="I1270" s="165" t="s">
        <v>240</v>
      </c>
      <c r="L1270" s="166">
        <v>0</v>
      </c>
      <c r="M1270" s="166">
        <v>1</v>
      </c>
      <c r="N1270" s="166">
        <v>1</v>
      </c>
      <c r="O1270" s="166">
        <v>1</v>
      </c>
      <c r="P1270" s="166">
        <v>1</v>
      </c>
      <c r="R1270" s="165" t="s">
        <v>2190</v>
      </c>
      <c r="S1270" s="81" t="s">
        <v>121</v>
      </c>
      <c r="T1270" s="349">
        <v>43188</v>
      </c>
      <c r="W1270" s="81" t="s">
        <v>114</v>
      </c>
      <c r="Y1270" s="81" t="s">
        <v>115</v>
      </c>
      <c r="Z1270" s="81" t="s">
        <v>219</v>
      </c>
      <c r="AA1270" s="81" t="s">
        <v>117</v>
      </c>
      <c r="AB1270" s="81" t="s">
        <v>3889</v>
      </c>
      <c r="AC1270" s="166">
        <v>3.0000000260770299E-3</v>
      </c>
      <c r="AG1270" s="81" t="s">
        <v>238</v>
      </c>
      <c r="AH1270" s="81" t="s">
        <v>118</v>
      </c>
      <c r="AK1270" s="166">
        <v>0</v>
      </c>
      <c r="AM1270" s="166">
        <v>0</v>
      </c>
      <c r="AO1270" s="166">
        <v>0</v>
      </c>
      <c r="AP1270" s="166">
        <v>0</v>
      </c>
      <c r="AQ1270" s="166">
        <v>1</v>
      </c>
      <c r="AR1270" s="166">
        <v>0</v>
      </c>
      <c r="AS1270" s="166">
        <v>0</v>
      </c>
      <c r="AT1270" s="166">
        <v>0</v>
      </c>
      <c r="AU1270" s="166">
        <v>0</v>
      </c>
      <c r="AV1270" s="166">
        <v>0</v>
      </c>
      <c r="AW1270" s="166">
        <v>0</v>
      </c>
      <c r="AX1270" s="166">
        <v>1</v>
      </c>
      <c r="AY1270" s="166">
        <v>0</v>
      </c>
      <c r="AZ1270" s="166">
        <v>0</v>
      </c>
      <c r="BA1270" s="166">
        <v>0</v>
      </c>
      <c r="BB1270" s="166">
        <v>0</v>
      </c>
      <c r="BC1270" s="166">
        <v>0</v>
      </c>
      <c r="BD1270" s="166">
        <v>0</v>
      </c>
      <c r="BE1270" s="166">
        <v>0</v>
      </c>
      <c r="BF1270" s="166">
        <v>0</v>
      </c>
      <c r="BG1270" s="166">
        <v>0</v>
      </c>
      <c r="BH1270" s="166">
        <v>0</v>
      </c>
      <c r="BI1270" s="166">
        <v>0</v>
      </c>
      <c r="BJ1270" s="166">
        <v>0</v>
      </c>
      <c r="BK1270" s="166">
        <v>0</v>
      </c>
      <c r="BL1270" s="166">
        <v>0</v>
      </c>
      <c r="BM1270" s="166">
        <v>0</v>
      </c>
      <c r="BN1270" s="166">
        <v>0</v>
      </c>
      <c r="BO1270" s="166">
        <v>0</v>
      </c>
      <c r="BP1270" s="166">
        <v>0</v>
      </c>
      <c r="BQ1270" s="81" t="s">
        <v>1757</v>
      </c>
      <c r="BZ1270" s="81" t="s">
        <v>3991</v>
      </c>
      <c r="CA1270" s="81">
        <v>15</v>
      </c>
      <c r="CB1270" s="165" t="s">
        <v>4005</v>
      </c>
      <c r="CC1270" s="167">
        <v>0</v>
      </c>
      <c r="CD1270" s="167">
        <v>0</v>
      </c>
      <c r="CE1270" s="167">
        <v>0</v>
      </c>
      <c r="CF1270" s="167">
        <v>0</v>
      </c>
      <c r="CG1270" s="167">
        <v>0</v>
      </c>
      <c r="CH1270" s="167">
        <v>0</v>
      </c>
      <c r="CI1270" s="167">
        <v>0</v>
      </c>
      <c r="CJ1270" s="167">
        <v>0</v>
      </c>
      <c r="CK1270" s="167">
        <v>0</v>
      </c>
      <c r="CL1270" s="167">
        <v>0</v>
      </c>
      <c r="CM1270" s="167">
        <v>0</v>
      </c>
      <c r="CN1270" s="167">
        <v>0</v>
      </c>
      <c r="CO1270" s="167">
        <v>0</v>
      </c>
      <c r="CP1270" s="167">
        <v>0</v>
      </c>
      <c r="CQ1270" s="167">
        <v>0</v>
      </c>
      <c r="CR1270" s="167">
        <v>0</v>
      </c>
      <c r="CS1270" s="167">
        <v>0</v>
      </c>
      <c r="CT1270" s="167">
        <v>0</v>
      </c>
      <c r="CU1270" s="167">
        <v>0</v>
      </c>
      <c r="CV1270" s="167">
        <v>0</v>
      </c>
      <c r="CW1270" s="167">
        <v>0</v>
      </c>
      <c r="CX1270" s="167">
        <f>SUM(CD1270:CH1270)</f>
        <v>0</v>
      </c>
      <c r="CY1270" s="167">
        <f>SUM(CD1270:CM1270)</f>
        <v>0</v>
      </c>
    </row>
    <row r="1271" spans="1:103" ht="12.75" customHeight="1" x14ac:dyDescent="0.2">
      <c r="A1271" s="81">
        <v>6633</v>
      </c>
      <c r="B1271" s="165" t="s">
        <v>1955</v>
      </c>
      <c r="C1271" s="165" t="s">
        <v>2191</v>
      </c>
      <c r="E1271" s="165" t="s">
        <v>2192</v>
      </c>
      <c r="G1271" s="81">
        <v>528446</v>
      </c>
      <c r="H1271" s="81">
        <v>175694</v>
      </c>
      <c r="I1271" s="165" t="s">
        <v>256</v>
      </c>
      <c r="L1271" s="166">
        <v>0</v>
      </c>
      <c r="M1271" s="166">
        <v>9</v>
      </c>
      <c r="N1271" s="166">
        <v>9</v>
      </c>
      <c r="O1271" s="166">
        <v>9</v>
      </c>
      <c r="P1271" s="166">
        <v>9</v>
      </c>
      <c r="R1271" s="165" t="s">
        <v>2193</v>
      </c>
      <c r="S1271" s="81" t="s">
        <v>121</v>
      </c>
      <c r="T1271" s="349">
        <v>43129</v>
      </c>
      <c r="W1271" s="81" t="s">
        <v>114</v>
      </c>
      <c r="Y1271" s="81" t="s">
        <v>115</v>
      </c>
      <c r="Z1271" s="81" t="s">
        <v>116</v>
      </c>
      <c r="AA1271" s="81" t="s">
        <v>117</v>
      </c>
      <c r="AB1271" s="81" t="s">
        <v>218</v>
      </c>
      <c r="AC1271" s="166">
        <v>9.4999998807907104E-2</v>
      </c>
      <c r="AG1271" s="81" t="s">
        <v>238</v>
      </c>
      <c r="AH1271" s="81" t="s">
        <v>118</v>
      </c>
      <c r="AK1271" s="166">
        <v>0</v>
      </c>
      <c r="AM1271" s="166">
        <v>0</v>
      </c>
      <c r="AN1271" s="166">
        <v>1</v>
      </c>
      <c r="AO1271" s="166">
        <v>0</v>
      </c>
      <c r="AP1271" s="166">
        <v>1</v>
      </c>
      <c r="AQ1271" s="166">
        <v>7</v>
      </c>
      <c r="AR1271" s="166">
        <v>1</v>
      </c>
      <c r="AS1271" s="166">
        <v>0</v>
      </c>
      <c r="AT1271" s="166">
        <v>0</v>
      </c>
      <c r="AU1271" s="166">
        <v>0</v>
      </c>
      <c r="AV1271" s="166">
        <v>0</v>
      </c>
      <c r="AW1271" s="166">
        <v>1</v>
      </c>
      <c r="AX1271" s="166">
        <v>7</v>
      </c>
      <c r="AY1271" s="166">
        <v>1</v>
      </c>
      <c r="AZ1271" s="166">
        <v>0</v>
      </c>
      <c r="BA1271" s="166">
        <v>0</v>
      </c>
      <c r="BB1271" s="166">
        <v>0</v>
      </c>
      <c r="BC1271" s="166">
        <v>0</v>
      </c>
      <c r="BD1271" s="166">
        <v>0</v>
      </c>
      <c r="BE1271" s="166">
        <v>0</v>
      </c>
      <c r="BF1271" s="166">
        <v>0</v>
      </c>
      <c r="BG1271" s="166">
        <v>0</v>
      </c>
      <c r="BH1271" s="166">
        <v>0</v>
      </c>
      <c r="BI1271" s="166">
        <v>0</v>
      </c>
      <c r="BJ1271" s="166">
        <v>0</v>
      </c>
      <c r="BK1271" s="166">
        <v>0</v>
      </c>
      <c r="BL1271" s="166">
        <v>0</v>
      </c>
      <c r="BM1271" s="166">
        <v>0</v>
      </c>
      <c r="BN1271" s="166">
        <v>0</v>
      </c>
      <c r="BO1271" s="166">
        <v>0</v>
      </c>
      <c r="BP1271" s="166">
        <v>0</v>
      </c>
      <c r="BQ1271" s="81" t="s">
        <v>1757</v>
      </c>
      <c r="BZ1271" s="81" t="s">
        <v>155</v>
      </c>
      <c r="CA1271" s="81">
        <v>6</v>
      </c>
      <c r="CC1271" s="167">
        <v>0</v>
      </c>
      <c r="CD1271" s="167">
        <v>0</v>
      </c>
      <c r="CE1271" s="167">
        <v>0</v>
      </c>
      <c r="CF1271" s="167">
        <v>0</v>
      </c>
      <c r="CG1271" s="167">
        <v>0</v>
      </c>
      <c r="CH1271" s="167">
        <f>$N1271/3</f>
        <v>3</v>
      </c>
      <c r="CI1271" s="167">
        <f>$N1271/3</f>
        <v>3</v>
      </c>
      <c r="CJ1271" s="167">
        <f>$N1271/3</f>
        <v>3</v>
      </c>
      <c r="CK1271" s="167">
        <v>0</v>
      </c>
      <c r="CL1271" s="167">
        <v>0</v>
      </c>
      <c r="CM1271" s="167">
        <v>0</v>
      </c>
      <c r="CN1271" s="167">
        <v>0</v>
      </c>
      <c r="CO1271" s="167">
        <v>0</v>
      </c>
      <c r="CP1271" s="167">
        <v>0</v>
      </c>
      <c r="CQ1271" s="167">
        <v>0</v>
      </c>
      <c r="CR1271" s="167">
        <v>0</v>
      </c>
      <c r="CS1271" s="167">
        <v>0</v>
      </c>
      <c r="CT1271" s="167">
        <v>0</v>
      </c>
      <c r="CU1271" s="167">
        <v>0</v>
      </c>
      <c r="CV1271" s="167">
        <v>0</v>
      </c>
      <c r="CW1271" s="167">
        <v>0</v>
      </c>
      <c r="CX1271" s="167">
        <f>SUM(CD1271:CH1271)</f>
        <v>3</v>
      </c>
      <c r="CY1271" s="167">
        <f>SUM(CD1271:CM1271)</f>
        <v>9</v>
      </c>
    </row>
    <row r="1272" spans="1:103" ht="12.75" customHeight="1" x14ac:dyDescent="0.2">
      <c r="A1272" s="81">
        <v>6641</v>
      </c>
      <c r="B1272" s="165" t="s">
        <v>1955</v>
      </c>
      <c r="C1272" s="165" t="s">
        <v>2194</v>
      </c>
      <c r="E1272" s="165" t="s">
        <v>2195</v>
      </c>
      <c r="G1272" s="81">
        <v>528463</v>
      </c>
      <c r="H1272" s="81">
        <v>173116</v>
      </c>
      <c r="I1272" s="165" t="s">
        <v>254</v>
      </c>
      <c r="L1272" s="166">
        <v>0</v>
      </c>
      <c r="M1272" s="166">
        <v>1</v>
      </c>
      <c r="N1272" s="166">
        <v>1</v>
      </c>
      <c r="O1272" s="166">
        <v>1</v>
      </c>
      <c r="P1272" s="166">
        <v>1</v>
      </c>
      <c r="R1272" s="165" t="s">
        <v>2196</v>
      </c>
      <c r="S1272" s="81" t="s">
        <v>296</v>
      </c>
      <c r="T1272" s="349">
        <v>42921</v>
      </c>
      <c r="U1272" s="349">
        <v>42977</v>
      </c>
      <c r="V1272" s="81" t="s">
        <v>155</v>
      </c>
      <c r="W1272" s="81" t="s">
        <v>365</v>
      </c>
      <c r="Y1272" s="81" t="s">
        <v>115</v>
      </c>
      <c r="Z1272" s="81" t="s">
        <v>219</v>
      </c>
      <c r="AA1272" s="81" t="s">
        <v>117</v>
      </c>
      <c r="AB1272" s="81" t="s">
        <v>3889</v>
      </c>
      <c r="AC1272" s="166">
        <v>4.9999998882412902E-3</v>
      </c>
      <c r="AG1272" s="81" t="s">
        <v>238</v>
      </c>
      <c r="AH1272" s="81" t="s">
        <v>118</v>
      </c>
      <c r="AK1272" s="166">
        <v>0</v>
      </c>
      <c r="AM1272" s="166">
        <v>0</v>
      </c>
      <c r="AO1272" s="166">
        <v>0</v>
      </c>
      <c r="AP1272" s="166">
        <v>1</v>
      </c>
      <c r="AQ1272" s="166">
        <v>0</v>
      </c>
      <c r="AR1272" s="166">
        <v>0</v>
      </c>
      <c r="AS1272" s="166">
        <v>0</v>
      </c>
      <c r="AT1272" s="166">
        <v>0</v>
      </c>
      <c r="AU1272" s="166">
        <v>0</v>
      </c>
      <c r="AV1272" s="166">
        <v>0</v>
      </c>
      <c r="AW1272" s="166">
        <v>1</v>
      </c>
      <c r="AX1272" s="166">
        <v>0</v>
      </c>
      <c r="AY1272" s="166">
        <v>0</v>
      </c>
      <c r="AZ1272" s="166">
        <v>0</v>
      </c>
      <c r="BA1272" s="166">
        <v>0</v>
      </c>
      <c r="BB1272" s="166">
        <v>0</v>
      </c>
      <c r="BC1272" s="166">
        <v>0</v>
      </c>
      <c r="BD1272" s="166">
        <v>0</v>
      </c>
      <c r="BE1272" s="166">
        <v>0</v>
      </c>
      <c r="BF1272" s="166">
        <v>0</v>
      </c>
      <c r="BG1272" s="166">
        <v>0</v>
      </c>
      <c r="BH1272" s="166">
        <v>0</v>
      </c>
      <c r="BI1272" s="166">
        <v>0</v>
      </c>
      <c r="BJ1272" s="166">
        <v>0</v>
      </c>
      <c r="BK1272" s="166">
        <v>0</v>
      </c>
      <c r="BL1272" s="166">
        <v>0</v>
      </c>
      <c r="BM1272" s="166">
        <v>0</v>
      </c>
      <c r="BN1272" s="166">
        <v>0</v>
      </c>
      <c r="BO1272" s="166">
        <v>0</v>
      </c>
      <c r="BP1272" s="166">
        <v>0</v>
      </c>
      <c r="BQ1272" s="81" t="s">
        <v>1757</v>
      </c>
      <c r="BZ1272" s="81" t="s">
        <v>155</v>
      </c>
      <c r="CA1272" s="81">
        <v>10</v>
      </c>
      <c r="CC1272" s="167">
        <v>0</v>
      </c>
      <c r="CD1272" s="167">
        <v>0</v>
      </c>
      <c r="CE1272" s="167">
        <v>0</v>
      </c>
      <c r="CF1272" s="167">
        <v>0</v>
      </c>
      <c r="CG1272" s="167">
        <v>0</v>
      </c>
      <c r="CH1272" s="167">
        <f>$N1272/3</f>
        <v>0.33333333333333331</v>
      </c>
      <c r="CI1272" s="167">
        <f>$N1272/3</f>
        <v>0.33333333333333331</v>
      </c>
      <c r="CJ1272" s="167">
        <f>$N1272/3</f>
        <v>0.33333333333333331</v>
      </c>
      <c r="CK1272" s="167">
        <v>0</v>
      </c>
      <c r="CL1272" s="167">
        <v>0</v>
      </c>
      <c r="CM1272" s="167">
        <v>0</v>
      </c>
      <c r="CN1272" s="167">
        <v>0</v>
      </c>
      <c r="CO1272" s="167">
        <v>0</v>
      </c>
      <c r="CP1272" s="167">
        <v>0</v>
      </c>
      <c r="CQ1272" s="167">
        <v>0</v>
      </c>
      <c r="CR1272" s="167">
        <v>0</v>
      </c>
      <c r="CS1272" s="167">
        <v>0</v>
      </c>
      <c r="CT1272" s="167">
        <v>0</v>
      </c>
      <c r="CU1272" s="167">
        <v>0</v>
      </c>
      <c r="CV1272" s="167">
        <v>0</v>
      </c>
      <c r="CW1272" s="167">
        <v>0</v>
      </c>
      <c r="CX1272" s="167">
        <f>SUM(CD1272:CH1272)</f>
        <v>0.33333333333333331</v>
      </c>
      <c r="CY1272" s="167">
        <f>SUM(CD1272:CM1272)</f>
        <v>1</v>
      </c>
    </row>
    <row r="1273" spans="1:103" ht="12.75" customHeight="1" x14ac:dyDescent="0.2">
      <c r="A1273" s="81">
        <v>6653</v>
      </c>
      <c r="B1273" s="165" t="s">
        <v>1955</v>
      </c>
      <c r="C1273" s="165" t="s">
        <v>2197</v>
      </c>
      <c r="E1273" s="165" t="s">
        <v>2198</v>
      </c>
      <c r="G1273" s="81">
        <v>527197</v>
      </c>
      <c r="H1273" s="81">
        <v>171575</v>
      </c>
      <c r="I1273" s="165" t="s">
        <v>242</v>
      </c>
      <c r="L1273" s="166">
        <v>1</v>
      </c>
      <c r="M1273" s="166">
        <v>4</v>
      </c>
      <c r="N1273" s="166">
        <v>3</v>
      </c>
      <c r="O1273" s="166">
        <v>4</v>
      </c>
      <c r="P1273" s="166">
        <v>3</v>
      </c>
      <c r="R1273" s="165" t="s">
        <v>2199</v>
      </c>
      <c r="S1273" s="81" t="s">
        <v>121</v>
      </c>
      <c r="T1273" s="349">
        <v>43118</v>
      </c>
      <c r="W1273" s="81" t="s">
        <v>114</v>
      </c>
      <c r="Y1273" s="81" t="s">
        <v>115</v>
      </c>
      <c r="Z1273" s="81" t="s">
        <v>119</v>
      </c>
      <c r="AA1273" s="81" t="s">
        <v>117</v>
      </c>
      <c r="AB1273" s="81" t="s">
        <v>120</v>
      </c>
      <c r="AC1273" s="166">
        <v>2.0999999716877899E-2</v>
      </c>
      <c r="AG1273" s="81" t="s">
        <v>238</v>
      </c>
      <c r="AH1273" s="81" t="s">
        <v>118</v>
      </c>
      <c r="AK1273" s="166">
        <v>0</v>
      </c>
      <c r="AM1273" s="166">
        <v>0</v>
      </c>
      <c r="AO1273" s="166">
        <v>0</v>
      </c>
      <c r="AP1273" s="166">
        <v>2</v>
      </c>
      <c r="AQ1273" s="166">
        <v>1</v>
      </c>
      <c r="AR1273" s="166">
        <v>1</v>
      </c>
      <c r="AS1273" s="166">
        <v>0</v>
      </c>
      <c r="AT1273" s="166">
        <v>-1</v>
      </c>
      <c r="AU1273" s="166">
        <v>0</v>
      </c>
      <c r="AV1273" s="166">
        <v>0</v>
      </c>
      <c r="AW1273" s="166">
        <v>2</v>
      </c>
      <c r="AX1273" s="166">
        <v>1</v>
      </c>
      <c r="AY1273" s="166">
        <v>1</v>
      </c>
      <c r="AZ1273" s="166">
        <v>0</v>
      </c>
      <c r="BA1273" s="166">
        <v>0</v>
      </c>
      <c r="BB1273" s="166">
        <v>0</v>
      </c>
      <c r="BC1273" s="166">
        <v>0</v>
      </c>
      <c r="BD1273" s="166">
        <v>0</v>
      </c>
      <c r="BE1273" s="166">
        <v>0</v>
      </c>
      <c r="BF1273" s="166">
        <v>0</v>
      </c>
      <c r="BG1273" s="166">
        <v>0</v>
      </c>
      <c r="BH1273" s="166">
        <v>-1</v>
      </c>
      <c r="BI1273" s="166">
        <v>0</v>
      </c>
      <c r="BJ1273" s="166">
        <v>0</v>
      </c>
      <c r="BK1273" s="166">
        <v>0</v>
      </c>
      <c r="BL1273" s="166">
        <v>0</v>
      </c>
      <c r="BM1273" s="166">
        <v>0</v>
      </c>
      <c r="BN1273" s="166">
        <v>0</v>
      </c>
      <c r="BO1273" s="166">
        <v>0</v>
      </c>
      <c r="BP1273" s="166">
        <v>0</v>
      </c>
      <c r="BQ1273" s="81" t="s">
        <v>1757</v>
      </c>
      <c r="BZ1273" s="81" t="s">
        <v>3991</v>
      </c>
      <c r="CA1273" s="81">
        <v>15</v>
      </c>
      <c r="CB1273" s="165" t="s">
        <v>4006</v>
      </c>
      <c r="CC1273" s="167">
        <v>0</v>
      </c>
      <c r="CD1273" s="167">
        <v>0</v>
      </c>
      <c r="CE1273" s="167">
        <v>0</v>
      </c>
      <c r="CF1273" s="167">
        <v>0</v>
      </c>
      <c r="CG1273" s="167">
        <v>0</v>
      </c>
      <c r="CH1273" s="167">
        <v>0</v>
      </c>
      <c r="CI1273" s="167">
        <v>0</v>
      </c>
      <c r="CJ1273" s="167">
        <v>0</v>
      </c>
      <c r="CK1273" s="167">
        <v>0</v>
      </c>
      <c r="CL1273" s="167">
        <v>0</v>
      </c>
      <c r="CM1273" s="167">
        <v>0</v>
      </c>
      <c r="CN1273" s="167">
        <v>0</v>
      </c>
      <c r="CO1273" s="167">
        <v>0</v>
      </c>
      <c r="CP1273" s="167">
        <v>0</v>
      </c>
      <c r="CQ1273" s="167">
        <v>0</v>
      </c>
      <c r="CR1273" s="167">
        <v>0</v>
      </c>
      <c r="CS1273" s="167">
        <v>0</v>
      </c>
      <c r="CT1273" s="167">
        <v>0</v>
      </c>
      <c r="CU1273" s="167">
        <v>0</v>
      </c>
      <c r="CV1273" s="167">
        <v>0</v>
      </c>
      <c r="CW1273" s="167">
        <v>0</v>
      </c>
      <c r="CX1273" s="167">
        <f>SUM(CD1273:CH1273)</f>
        <v>0</v>
      </c>
      <c r="CY1273" s="167">
        <f>SUM(CD1273:CM1273)</f>
        <v>0</v>
      </c>
    </row>
    <row r="1274" spans="1:103" ht="12.75" customHeight="1" x14ac:dyDescent="0.2">
      <c r="A1274" s="81">
        <v>6657</v>
      </c>
      <c r="B1274" s="165" t="s">
        <v>1955</v>
      </c>
      <c r="C1274" s="165" t="s">
        <v>2200</v>
      </c>
      <c r="D1274" s="165" t="s">
        <v>2201</v>
      </c>
      <c r="E1274" s="165" t="s">
        <v>2202</v>
      </c>
      <c r="G1274" s="81">
        <v>525999</v>
      </c>
      <c r="H1274" s="81">
        <v>173647</v>
      </c>
      <c r="I1274" s="165" t="s">
        <v>249</v>
      </c>
      <c r="L1274" s="166">
        <v>0</v>
      </c>
      <c r="M1274" s="166">
        <v>0</v>
      </c>
      <c r="N1274" s="166">
        <v>0</v>
      </c>
      <c r="O1274" s="166">
        <v>0</v>
      </c>
      <c r="P1274" s="166">
        <v>0</v>
      </c>
      <c r="R1274" s="165" t="s">
        <v>2203</v>
      </c>
      <c r="S1274" s="81" t="s">
        <v>121</v>
      </c>
      <c r="T1274" s="349">
        <v>42943</v>
      </c>
      <c r="W1274" s="81" t="s">
        <v>114</v>
      </c>
      <c r="Y1274" s="81" t="s">
        <v>115</v>
      </c>
      <c r="Z1274" s="81" t="s">
        <v>116</v>
      </c>
      <c r="AA1274" s="81" t="s">
        <v>116</v>
      </c>
      <c r="AB1274" s="81" t="s">
        <v>117</v>
      </c>
      <c r="AC1274" s="166">
        <v>0</v>
      </c>
      <c r="AG1274" s="81" t="s">
        <v>238</v>
      </c>
      <c r="AH1274" s="81" t="s">
        <v>118</v>
      </c>
      <c r="AK1274" s="166">
        <v>0</v>
      </c>
      <c r="AM1274" s="166">
        <v>0</v>
      </c>
      <c r="AO1274" s="166">
        <v>0</v>
      </c>
      <c r="AP1274" s="166">
        <v>0</v>
      </c>
      <c r="AQ1274" s="166">
        <v>0</v>
      </c>
      <c r="AR1274" s="166">
        <v>0</v>
      </c>
      <c r="AS1274" s="166">
        <v>0</v>
      </c>
      <c r="AT1274" s="166">
        <v>0</v>
      </c>
      <c r="AU1274" s="166">
        <v>0</v>
      </c>
      <c r="AV1274" s="166">
        <v>0</v>
      </c>
      <c r="AW1274" s="166">
        <v>0</v>
      </c>
      <c r="AX1274" s="166">
        <v>0</v>
      </c>
      <c r="AY1274" s="166">
        <v>0</v>
      </c>
      <c r="AZ1274" s="166">
        <v>0</v>
      </c>
      <c r="BA1274" s="166">
        <v>0</v>
      </c>
      <c r="BB1274" s="166">
        <v>0</v>
      </c>
      <c r="BC1274" s="166">
        <v>0</v>
      </c>
      <c r="BD1274" s="166">
        <v>0</v>
      </c>
      <c r="BE1274" s="166">
        <v>0</v>
      </c>
      <c r="BF1274" s="166">
        <v>0</v>
      </c>
      <c r="BG1274" s="166">
        <v>0</v>
      </c>
      <c r="BH1274" s="166">
        <v>0</v>
      </c>
      <c r="BI1274" s="166">
        <v>0</v>
      </c>
      <c r="BJ1274" s="166">
        <v>0</v>
      </c>
      <c r="BK1274" s="166">
        <v>0</v>
      </c>
      <c r="BL1274" s="166">
        <v>0</v>
      </c>
      <c r="BM1274" s="166">
        <v>0</v>
      </c>
      <c r="BN1274" s="166">
        <v>0</v>
      </c>
      <c r="BO1274" s="166">
        <v>0</v>
      </c>
      <c r="BP1274" s="166">
        <v>0</v>
      </c>
      <c r="BQ1274" s="81" t="s">
        <v>1758</v>
      </c>
      <c r="BZ1274" s="81" t="s">
        <v>155</v>
      </c>
      <c r="CA1274" s="81">
        <v>6</v>
      </c>
      <c r="CC1274" s="167">
        <v>0</v>
      </c>
      <c r="CD1274" s="167">
        <v>0</v>
      </c>
      <c r="CE1274" s="167">
        <v>0</v>
      </c>
      <c r="CF1274" s="167">
        <v>0</v>
      </c>
      <c r="CG1274" s="167">
        <v>0</v>
      </c>
      <c r="CH1274" s="167">
        <f>$N1274/3</f>
        <v>0</v>
      </c>
      <c r="CI1274" s="167">
        <f>$N1274/3</f>
        <v>0</v>
      </c>
      <c r="CJ1274" s="167">
        <f>$N1274/3</f>
        <v>0</v>
      </c>
      <c r="CK1274" s="167">
        <v>0</v>
      </c>
      <c r="CL1274" s="167">
        <v>0</v>
      </c>
      <c r="CM1274" s="167">
        <v>0</v>
      </c>
      <c r="CN1274" s="167">
        <v>0</v>
      </c>
      <c r="CO1274" s="167">
        <v>0</v>
      </c>
      <c r="CP1274" s="167">
        <v>0</v>
      </c>
      <c r="CQ1274" s="167">
        <v>0</v>
      </c>
      <c r="CR1274" s="167">
        <v>0</v>
      </c>
      <c r="CS1274" s="167">
        <v>0</v>
      </c>
      <c r="CT1274" s="167">
        <v>0</v>
      </c>
      <c r="CU1274" s="167">
        <v>0</v>
      </c>
      <c r="CV1274" s="167">
        <v>0</v>
      </c>
      <c r="CW1274" s="167">
        <v>0</v>
      </c>
      <c r="CX1274" s="167">
        <f>SUM(CD1274:CH1274)</f>
        <v>0</v>
      </c>
      <c r="CY1274" s="167">
        <f>SUM(CD1274:CM1274)</f>
        <v>0</v>
      </c>
    </row>
    <row r="1275" spans="1:103" ht="12.75" customHeight="1" x14ac:dyDescent="0.2">
      <c r="A1275" s="81">
        <v>6657</v>
      </c>
      <c r="B1275" s="165" t="s">
        <v>1955</v>
      </c>
      <c r="C1275" s="165" t="s">
        <v>2200</v>
      </c>
      <c r="D1275" s="165" t="s">
        <v>2201</v>
      </c>
      <c r="E1275" s="165" t="s">
        <v>2202</v>
      </c>
      <c r="G1275" s="81">
        <v>525999</v>
      </c>
      <c r="H1275" s="81">
        <v>173647</v>
      </c>
      <c r="I1275" s="165" t="s">
        <v>249</v>
      </c>
      <c r="L1275" s="166">
        <v>0</v>
      </c>
      <c r="M1275" s="166">
        <v>0</v>
      </c>
      <c r="N1275" s="166">
        <v>0</v>
      </c>
      <c r="O1275" s="166">
        <v>0</v>
      </c>
      <c r="P1275" s="166">
        <v>0</v>
      </c>
      <c r="R1275" s="165" t="s">
        <v>2203</v>
      </c>
      <c r="S1275" s="81" t="s">
        <v>121</v>
      </c>
      <c r="T1275" s="349">
        <v>42943</v>
      </c>
      <c r="W1275" s="81" t="s">
        <v>114</v>
      </c>
      <c r="Y1275" s="81" t="s">
        <v>115</v>
      </c>
      <c r="Z1275" s="81" t="s">
        <v>116</v>
      </c>
      <c r="AA1275" s="81" t="s">
        <v>116</v>
      </c>
      <c r="AB1275" s="81" t="s">
        <v>117</v>
      </c>
      <c r="AC1275" s="166">
        <v>0</v>
      </c>
      <c r="AG1275" s="81" t="s">
        <v>154</v>
      </c>
      <c r="AH1275" s="81" t="s">
        <v>276</v>
      </c>
      <c r="AK1275" s="166">
        <v>0</v>
      </c>
      <c r="AM1275" s="166">
        <v>0</v>
      </c>
      <c r="AO1275" s="166">
        <v>0</v>
      </c>
      <c r="AP1275" s="166">
        <v>0</v>
      </c>
      <c r="AQ1275" s="166">
        <v>0</v>
      </c>
      <c r="AR1275" s="166">
        <v>0</v>
      </c>
      <c r="AS1275" s="166">
        <v>0</v>
      </c>
      <c r="AT1275" s="166">
        <v>0</v>
      </c>
      <c r="AU1275" s="166">
        <v>0</v>
      </c>
      <c r="AV1275" s="166">
        <v>0</v>
      </c>
      <c r="AW1275" s="166">
        <v>0</v>
      </c>
      <c r="AX1275" s="166">
        <v>0</v>
      </c>
      <c r="AY1275" s="166">
        <v>0</v>
      </c>
      <c r="AZ1275" s="166">
        <v>0</v>
      </c>
      <c r="BA1275" s="166">
        <v>0</v>
      </c>
      <c r="BB1275" s="166">
        <v>0</v>
      </c>
      <c r="BC1275" s="166">
        <v>0</v>
      </c>
      <c r="BD1275" s="166">
        <v>0</v>
      </c>
      <c r="BE1275" s="166">
        <v>0</v>
      </c>
      <c r="BF1275" s="166">
        <v>0</v>
      </c>
      <c r="BG1275" s="166">
        <v>0</v>
      </c>
      <c r="BH1275" s="166">
        <v>0</v>
      </c>
      <c r="BI1275" s="166">
        <v>0</v>
      </c>
      <c r="BJ1275" s="166">
        <v>0</v>
      </c>
      <c r="BK1275" s="166">
        <v>0</v>
      </c>
      <c r="BL1275" s="166">
        <v>0</v>
      </c>
      <c r="BM1275" s="166">
        <v>0</v>
      </c>
      <c r="BN1275" s="166">
        <v>0</v>
      </c>
      <c r="BO1275" s="166">
        <v>0</v>
      </c>
      <c r="BP1275" s="166">
        <v>0</v>
      </c>
      <c r="BQ1275" s="81" t="s">
        <v>1758</v>
      </c>
      <c r="BZ1275" s="81" t="s">
        <v>155</v>
      </c>
      <c r="CA1275" s="81">
        <v>6</v>
      </c>
      <c r="CC1275" s="167">
        <v>0</v>
      </c>
      <c r="CD1275" s="167">
        <v>0</v>
      </c>
      <c r="CE1275" s="167">
        <v>0</v>
      </c>
      <c r="CF1275" s="167">
        <v>0</v>
      </c>
      <c r="CG1275" s="167">
        <v>0</v>
      </c>
      <c r="CH1275" s="167">
        <f>$N1275/3</f>
        <v>0</v>
      </c>
      <c r="CI1275" s="167">
        <f>$N1275/3</f>
        <v>0</v>
      </c>
      <c r="CJ1275" s="167">
        <f>$N1275/3</f>
        <v>0</v>
      </c>
      <c r="CK1275" s="167">
        <v>0</v>
      </c>
      <c r="CL1275" s="167">
        <v>0</v>
      </c>
      <c r="CM1275" s="167">
        <v>0</v>
      </c>
      <c r="CN1275" s="167">
        <v>0</v>
      </c>
      <c r="CO1275" s="167">
        <v>0</v>
      </c>
      <c r="CP1275" s="167">
        <v>0</v>
      </c>
      <c r="CQ1275" s="167">
        <v>0</v>
      </c>
      <c r="CR1275" s="167">
        <v>0</v>
      </c>
      <c r="CS1275" s="167">
        <v>0</v>
      </c>
      <c r="CT1275" s="167">
        <v>0</v>
      </c>
      <c r="CU1275" s="167">
        <v>0</v>
      </c>
      <c r="CV1275" s="167">
        <v>0</v>
      </c>
      <c r="CW1275" s="167">
        <v>0</v>
      </c>
      <c r="CX1275" s="167">
        <f>SUM(CD1275:CH1275)</f>
        <v>0</v>
      </c>
      <c r="CY1275" s="167">
        <f>SUM(CD1275:CM1275)</f>
        <v>0</v>
      </c>
    </row>
    <row r="1276" spans="1:103" ht="12.75" customHeight="1" x14ac:dyDescent="0.2">
      <c r="A1276" s="81">
        <v>6658</v>
      </c>
      <c r="B1276" s="165" t="s">
        <v>1955</v>
      </c>
      <c r="C1276" s="165" t="s">
        <v>2204</v>
      </c>
      <c r="E1276" s="165" t="s">
        <v>2205</v>
      </c>
      <c r="G1276" s="81">
        <v>528711</v>
      </c>
      <c r="H1276" s="81">
        <v>176946</v>
      </c>
      <c r="I1276" s="165" t="s">
        <v>240</v>
      </c>
      <c r="L1276" s="166">
        <v>6</v>
      </c>
      <c r="M1276" s="166">
        <v>8</v>
      </c>
      <c r="N1276" s="166">
        <v>2</v>
      </c>
      <c r="O1276" s="166">
        <v>8</v>
      </c>
      <c r="P1276" s="166">
        <v>2</v>
      </c>
      <c r="R1276" s="165" t="s">
        <v>2206</v>
      </c>
      <c r="S1276" s="81" t="s">
        <v>121</v>
      </c>
      <c r="T1276" s="349">
        <v>42942</v>
      </c>
      <c r="W1276" s="81" t="s">
        <v>114</v>
      </c>
      <c r="Y1276" s="81" t="s">
        <v>115</v>
      </c>
      <c r="Z1276" s="81" t="s">
        <v>398</v>
      </c>
      <c r="AA1276" s="81" t="s">
        <v>117</v>
      </c>
      <c r="AB1276" s="81" t="s">
        <v>220</v>
      </c>
      <c r="AC1276" s="166">
        <v>2.3000000044703501E-2</v>
      </c>
      <c r="AG1276" s="81" t="s">
        <v>238</v>
      </c>
      <c r="AH1276" s="81" t="s">
        <v>118</v>
      </c>
      <c r="AK1276" s="166">
        <v>0</v>
      </c>
      <c r="AM1276" s="166">
        <v>0</v>
      </c>
      <c r="AO1276" s="166">
        <v>1</v>
      </c>
      <c r="AP1276" s="166">
        <v>0</v>
      </c>
      <c r="AQ1276" s="166">
        <v>3</v>
      </c>
      <c r="AR1276" s="166">
        <v>-2</v>
      </c>
      <c r="AS1276" s="166">
        <v>0</v>
      </c>
      <c r="AT1276" s="166">
        <v>0</v>
      </c>
      <c r="AU1276" s="166">
        <v>0</v>
      </c>
      <c r="AV1276" s="166">
        <v>1</v>
      </c>
      <c r="AW1276" s="166">
        <v>0</v>
      </c>
      <c r="AX1276" s="166">
        <v>3</v>
      </c>
      <c r="AY1276" s="166">
        <v>-2</v>
      </c>
      <c r="AZ1276" s="166">
        <v>0</v>
      </c>
      <c r="BA1276" s="166">
        <v>0</v>
      </c>
      <c r="BB1276" s="166">
        <v>0</v>
      </c>
      <c r="BC1276" s="166">
        <v>0</v>
      </c>
      <c r="BD1276" s="166">
        <v>0</v>
      </c>
      <c r="BE1276" s="166">
        <v>0</v>
      </c>
      <c r="BF1276" s="166">
        <v>0</v>
      </c>
      <c r="BG1276" s="166">
        <v>0</v>
      </c>
      <c r="BH1276" s="166">
        <v>0</v>
      </c>
      <c r="BI1276" s="166">
        <v>0</v>
      </c>
      <c r="BJ1276" s="166">
        <v>0</v>
      </c>
      <c r="BK1276" s="166">
        <v>0</v>
      </c>
      <c r="BL1276" s="166">
        <v>0</v>
      </c>
      <c r="BM1276" s="166">
        <v>0</v>
      </c>
      <c r="BN1276" s="166">
        <v>0</v>
      </c>
      <c r="BO1276" s="166">
        <v>0</v>
      </c>
      <c r="BP1276" s="166">
        <v>0</v>
      </c>
      <c r="BQ1276" s="81" t="s">
        <v>1759</v>
      </c>
      <c r="BS1276" s="81" t="s">
        <v>155</v>
      </c>
      <c r="BZ1276" s="81" t="s">
        <v>155</v>
      </c>
      <c r="CA1276" s="81">
        <v>10</v>
      </c>
      <c r="CC1276" s="167">
        <v>0</v>
      </c>
      <c r="CD1276" s="167">
        <v>0</v>
      </c>
      <c r="CE1276" s="167">
        <v>0</v>
      </c>
      <c r="CF1276" s="167">
        <v>0</v>
      </c>
      <c r="CG1276" s="167">
        <v>0</v>
      </c>
      <c r="CH1276" s="167">
        <f>$N1276/3</f>
        <v>0.66666666666666663</v>
      </c>
      <c r="CI1276" s="167">
        <f>$N1276/3</f>
        <v>0.66666666666666663</v>
      </c>
      <c r="CJ1276" s="167">
        <f>$N1276/3</f>
        <v>0.66666666666666663</v>
      </c>
      <c r="CK1276" s="167">
        <v>0</v>
      </c>
      <c r="CL1276" s="167">
        <v>0</v>
      </c>
      <c r="CM1276" s="167">
        <v>0</v>
      </c>
      <c r="CN1276" s="167">
        <v>0</v>
      </c>
      <c r="CO1276" s="167">
        <v>0</v>
      </c>
      <c r="CP1276" s="167">
        <v>0</v>
      </c>
      <c r="CQ1276" s="167">
        <v>0</v>
      </c>
      <c r="CR1276" s="167">
        <v>0</v>
      </c>
      <c r="CS1276" s="167">
        <v>0</v>
      </c>
      <c r="CT1276" s="167">
        <v>0</v>
      </c>
      <c r="CU1276" s="167">
        <v>0</v>
      </c>
      <c r="CV1276" s="167">
        <v>0</v>
      </c>
      <c r="CW1276" s="167">
        <v>0</v>
      </c>
      <c r="CX1276" s="167">
        <f>SUM(CD1276:CH1276)</f>
        <v>0.66666666666666663</v>
      </c>
      <c r="CY1276" s="167">
        <f>SUM(CD1276:CM1276)</f>
        <v>2</v>
      </c>
    </row>
    <row r="1277" spans="1:103" ht="12.75" customHeight="1" x14ac:dyDescent="0.2">
      <c r="A1277" s="81">
        <v>6669</v>
      </c>
      <c r="B1277" s="165" t="s">
        <v>1955</v>
      </c>
      <c r="C1277" s="165" t="s">
        <v>2207</v>
      </c>
      <c r="E1277" s="165" t="s">
        <v>2208</v>
      </c>
      <c r="G1277" s="81">
        <v>527101</v>
      </c>
      <c r="H1277" s="81">
        <v>170989</v>
      </c>
      <c r="I1277" s="165" t="s">
        <v>242</v>
      </c>
      <c r="L1277" s="166">
        <v>0</v>
      </c>
      <c r="M1277" s="166">
        <v>1</v>
      </c>
      <c r="N1277" s="166">
        <v>1</v>
      </c>
      <c r="O1277" s="166">
        <v>1</v>
      </c>
      <c r="P1277" s="166">
        <v>1</v>
      </c>
      <c r="R1277" s="165" t="s">
        <v>2209</v>
      </c>
      <c r="S1277" s="81" t="s">
        <v>121</v>
      </c>
      <c r="T1277" s="349">
        <v>43174</v>
      </c>
      <c r="W1277" s="81" t="s">
        <v>114</v>
      </c>
      <c r="Y1277" s="81" t="s">
        <v>115</v>
      </c>
      <c r="Z1277" s="81" t="s">
        <v>116</v>
      </c>
      <c r="AA1277" s="81" t="s">
        <v>117</v>
      </c>
      <c r="AB1277" s="81" t="s">
        <v>218</v>
      </c>
      <c r="AC1277" s="166">
        <v>7.0000002160668399E-3</v>
      </c>
      <c r="AG1277" s="81" t="s">
        <v>238</v>
      </c>
      <c r="AH1277" s="81" t="s">
        <v>118</v>
      </c>
      <c r="AK1277" s="166">
        <v>0</v>
      </c>
      <c r="AM1277" s="166">
        <v>0</v>
      </c>
      <c r="AO1277" s="166">
        <v>0</v>
      </c>
      <c r="AP1277" s="166">
        <v>1</v>
      </c>
      <c r="AQ1277" s="166">
        <v>0</v>
      </c>
      <c r="AR1277" s="166">
        <v>0</v>
      </c>
      <c r="AS1277" s="166">
        <v>0</v>
      </c>
      <c r="AT1277" s="166">
        <v>0</v>
      </c>
      <c r="AU1277" s="166">
        <v>0</v>
      </c>
      <c r="AV1277" s="166">
        <v>0</v>
      </c>
      <c r="AW1277" s="166">
        <v>0</v>
      </c>
      <c r="AX1277" s="166">
        <v>0</v>
      </c>
      <c r="AY1277" s="166">
        <v>0</v>
      </c>
      <c r="AZ1277" s="166">
        <v>0</v>
      </c>
      <c r="BA1277" s="166">
        <v>0</v>
      </c>
      <c r="BB1277" s="166">
        <v>0</v>
      </c>
      <c r="BC1277" s="166">
        <v>0</v>
      </c>
      <c r="BD1277" s="166">
        <v>1</v>
      </c>
      <c r="BE1277" s="166">
        <v>0</v>
      </c>
      <c r="BF1277" s="166">
        <v>0</v>
      </c>
      <c r="BG1277" s="166">
        <v>0</v>
      </c>
      <c r="BH1277" s="166">
        <v>0</v>
      </c>
      <c r="BI1277" s="166">
        <v>0</v>
      </c>
      <c r="BJ1277" s="166">
        <v>0</v>
      </c>
      <c r="BK1277" s="166">
        <v>0</v>
      </c>
      <c r="BL1277" s="166">
        <v>0</v>
      </c>
      <c r="BM1277" s="166">
        <v>0</v>
      </c>
      <c r="BN1277" s="166">
        <v>0</v>
      </c>
      <c r="BO1277" s="166">
        <v>0</v>
      </c>
      <c r="BP1277" s="166">
        <v>0</v>
      </c>
      <c r="BQ1277" s="81" t="s">
        <v>1757</v>
      </c>
      <c r="BZ1277" s="81" t="s">
        <v>155</v>
      </c>
      <c r="CA1277" s="81">
        <v>6</v>
      </c>
      <c r="CC1277" s="167">
        <v>0</v>
      </c>
      <c r="CD1277" s="167">
        <v>0</v>
      </c>
      <c r="CE1277" s="167">
        <v>0</v>
      </c>
      <c r="CF1277" s="167">
        <v>0</v>
      </c>
      <c r="CG1277" s="167">
        <v>0</v>
      </c>
      <c r="CH1277" s="167">
        <f>$N1277/3</f>
        <v>0.33333333333333331</v>
      </c>
      <c r="CI1277" s="167">
        <f>$N1277/3</f>
        <v>0.33333333333333331</v>
      </c>
      <c r="CJ1277" s="167">
        <f>$N1277/3</f>
        <v>0.33333333333333331</v>
      </c>
      <c r="CK1277" s="167">
        <v>0</v>
      </c>
      <c r="CL1277" s="167">
        <v>0</v>
      </c>
      <c r="CM1277" s="167">
        <v>0</v>
      </c>
      <c r="CN1277" s="167">
        <v>0</v>
      </c>
      <c r="CO1277" s="167">
        <v>0</v>
      </c>
      <c r="CP1277" s="167">
        <v>0</v>
      </c>
      <c r="CQ1277" s="167">
        <v>0</v>
      </c>
      <c r="CR1277" s="167">
        <v>0</v>
      </c>
      <c r="CS1277" s="167">
        <v>0</v>
      </c>
      <c r="CT1277" s="167">
        <v>0</v>
      </c>
      <c r="CU1277" s="167">
        <v>0</v>
      </c>
      <c r="CV1277" s="167">
        <v>0</v>
      </c>
      <c r="CW1277" s="167">
        <v>0</v>
      </c>
      <c r="CX1277" s="167">
        <f>SUM(CD1277:CH1277)</f>
        <v>0.33333333333333331</v>
      </c>
      <c r="CY1277" s="167">
        <f>SUM(CD1277:CM1277)</f>
        <v>1</v>
      </c>
    </row>
    <row r="1278" spans="1:103" ht="12.75" customHeight="1" x14ac:dyDescent="0.2">
      <c r="A1278" s="81">
        <v>6694</v>
      </c>
      <c r="B1278" s="165" t="s">
        <v>1955</v>
      </c>
      <c r="C1278" s="165" t="s">
        <v>2210</v>
      </c>
      <c r="E1278" s="165" t="s">
        <v>2211</v>
      </c>
      <c r="G1278" s="81">
        <v>528424</v>
      </c>
      <c r="H1278" s="81">
        <v>173046</v>
      </c>
      <c r="I1278" s="165" t="s">
        <v>248</v>
      </c>
      <c r="L1278" s="166">
        <v>0</v>
      </c>
      <c r="M1278" s="166">
        <v>8</v>
      </c>
      <c r="N1278" s="166">
        <v>8</v>
      </c>
      <c r="O1278" s="166">
        <v>8</v>
      </c>
      <c r="P1278" s="166">
        <v>8</v>
      </c>
      <c r="R1278" s="165" t="s">
        <v>2212</v>
      </c>
      <c r="S1278" s="81" t="s">
        <v>296</v>
      </c>
      <c r="T1278" s="349">
        <v>42978</v>
      </c>
      <c r="U1278" s="349">
        <v>43063</v>
      </c>
      <c r="V1278" s="81" t="s">
        <v>155</v>
      </c>
      <c r="W1278" s="81" t="s">
        <v>365</v>
      </c>
      <c r="Y1278" s="81" t="s">
        <v>115</v>
      </c>
      <c r="Z1278" s="81" t="s">
        <v>116</v>
      </c>
      <c r="AA1278" s="81" t="s">
        <v>117</v>
      </c>
      <c r="AB1278" s="81" t="s">
        <v>218</v>
      </c>
      <c r="AC1278" s="166">
        <v>0.103000000119209</v>
      </c>
      <c r="AG1278" s="81" t="s">
        <v>238</v>
      </c>
      <c r="AH1278" s="81" t="s">
        <v>118</v>
      </c>
      <c r="AK1278" s="166">
        <v>0</v>
      </c>
      <c r="AM1278" s="166">
        <v>0</v>
      </c>
      <c r="AO1278" s="166">
        <v>0</v>
      </c>
      <c r="AP1278" s="166">
        <v>0</v>
      </c>
      <c r="AQ1278" s="166">
        <v>0</v>
      </c>
      <c r="AR1278" s="166">
        <v>8</v>
      </c>
      <c r="AS1278" s="166">
        <v>0</v>
      </c>
      <c r="AT1278" s="166">
        <v>0</v>
      </c>
      <c r="AU1278" s="166">
        <v>0</v>
      </c>
      <c r="AV1278" s="166">
        <v>0</v>
      </c>
      <c r="AW1278" s="166">
        <v>0</v>
      </c>
      <c r="AX1278" s="166">
        <v>0</v>
      </c>
      <c r="AY1278" s="166">
        <v>0</v>
      </c>
      <c r="AZ1278" s="166">
        <v>0</v>
      </c>
      <c r="BA1278" s="166">
        <v>0</v>
      </c>
      <c r="BB1278" s="166">
        <v>0</v>
      </c>
      <c r="BC1278" s="166">
        <v>0</v>
      </c>
      <c r="BD1278" s="166">
        <v>0</v>
      </c>
      <c r="BE1278" s="166">
        <v>0</v>
      </c>
      <c r="BF1278" s="166">
        <v>8</v>
      </c>
      <c r="BG1278" s="166">
        <v>0</v>
      </c>
      <c r="BH1278" s="166">
        <v>0</v>
      </c>
      <c r="BI1278" s="166">
        <v>0</v>
      </c>
      <c r="BJ1278" s="166">
        <v>0</v>
      </c>
      <c r="BK1278" s="166">
        <v>0</v>
      </c>
      <c r="BL1278" s="166">
        <v>0</v>
      </c>
      <c r="BM1278" s="166">
        <v>0</v>
      </c>
      <c r="BN1278" s="166">
        <v>0</v>
      </c>
      <c r="BO1278" s="166">
        <v>0</v>
      </c>
      <c r="BP1278" s="166">
        <v>0</v>
      </c>
      <c r="BQ1278" s="81" t="s">
        <v>1757</v>
      </c>
      <c r="BZ1278" s="81" t="s">
        <v>155</v>
      </c>
      <c r="CA1278" s="81">
        <v>6</v>
      </c>
      <c r="CC1278" s="167">
        <v>0</v>
      </c>
      <c r="CD1278" s="167">
        <v>0</v>
      </c>
      <c r="CE1278" s="167">
        <v>0</v>
      </c>
      <c r="CF1278" s="167">
        <v>0</v>
      </c>
      <c r="CG1278" s="167">
        <v>0</v>
      </c>
      <c r="CH1278" s="167">
        <f>$N1278/3</f>
        <v>2.6666666666666665</v>
      </c>
      <c r="CI1278" s="167">
        <f>$N1278/3</f>
        <v>2.6666666666666665</v>
      </c>
      <c r="CJ1278" s="167">
        <f>$N1278/3</f>
        <v>2.6666666666666665</v>
      </c>
      <c r="CK1278" s="167">
        <v>0</v>
      </c>
      <c r="CL1278" s="167">
        <v>0</v>
      </c>
      <c r="CM1278" s="167">
        <v>0</v>
      </c>
      <c r="CN1278" s="167">
        <v>0</v>
      </c>
      <c r="CO1278" s="167">
        <v>0</v>
      </c>
      <c r="CP1278" s="167">
        <v>0</v>
      </c>
      <c r="CQ1278" s="167">
        <v>0</v>
      </c>
      <c r="CR1278" s="167">
        <v>0</v>
      </c>
      <c r="CS1278" s="167">
        <v>0</v>
      </c>
      <c r="CT1278" s="167">
        <v>0</v>
      </c>
      <c r="CU1278" s="167">
        <v>0</v>
      </c>
      <c r="CV1278" s="167">
        <v>0</v>
      </c>
      <c r="CW1278" s="167">
        <v>0</v>
      </c>
      <c r="CX1278" s="167">
        <f>SUM(CD1278:CH1278)</f>
        <v>2.6666666666666665</v>
      </c>
      <c r="CY1278" s="167">
        <f>SUM(CD1278:CM1278)</f>
        <v>8</v>
      </c>
    </row>
    <row r="1279" spans="1:103" ht="12.75" customHeight="1" x14ac:dyDescent="0.2">
      <c r="A1279" s="81">
        <v>6702</v>
      </c>
      <c r="B1279" s="165" t="s">
        <v>1955</v>
      </c>
      <c r="C1279" s="165" t="s">
        <v>2213</v>
      </c>
      <c r="E1279" s="165" t="s">
        <v>2214</v>
      </c>
      <c r="G1279" s="81">
        <v>528318</v>
      </c>
      <c r="H1279" s="81">
        <v>175609</v>
      </c>
      <c r="I1279" s="165" t="s">
        <v>256</v>
      </c>
      <c r="L1279" s="166">
        <v>1</v>
      </c>
      <c r="M1279" s="166">
        <v>2</v>
      </c>
      <c r="N1279" s="166">
        <v>1</v>
      </c>
      <c r="O1279" s="166">
        <v>2</v>
      </c>
      <c r="P1279" s="166">
        <v>1</v>
      </c>
      <c r="R1279" s="165" t="s">
        <v>2215</v>
      </c>
      <c r="S1279" s="81" t="s">
        <v>121</v>
      </c>
      <c r="T1279" s="349">
        <v>43188</v>
      </c>
      <c r="W1279" s="81" t="s">
        <v>114</v>
      </c>
      <c r="Y1279" s="81" t="s">
        <v>115</v>
      </c>
      <c r="Z1279" s="81" t="s">
        <v>119</v>
      </c>
      <c r="AA1279" s="81" t="s">
        <v>117</v>
      </c>
      <c r="AB1279" s="81" t="s">
        <v>220</v>
      </c>
      <c r="AC1279" s="166">
        <v>2.19999998807907E-2</v>
      </c>
      <c r="AG1279" s="81" t="s">
        <v>238</v>
      </c>
      <c r="AH1279" s="81" t="s">
        <v>118</v>
      </c>
      <c r="AK1279" s="166">
        <v>0</v>
      </c>
      <c r="AM1279" s="166">
        <v>0</v>
      </c>
      <c r="AO1279" s="166">
        <v>0</v>
      </c>
      <c r="AP1279" s="166">
        <v>1</v>
      </c>
      <c r="AQ1279" s="166">
        <v>1</v>
      </c>
      <c r="AR1279" s="166">
        <v>-1</v>
      </c>
      <c r="AS1279" s="166">
        <v>0</v>
      </c>
      <c r="AT1279" s="166">
        <v>0</v>
      </c>
      <c r="AU1279" s="166">
        <v>0</v>
      </c>
      <c r="AV1279" s="166">
        <v>0</v>
      </c>
      <c r="AW1279" s="166">
        <v>1</v>
      </c>
      <c r="AX1279" s="166">
        <v>1</v>
      </c>
      <c r="AY1279" s="166">
        <v>-1</v>
      </c>
      <c r="AZ1279" s="166">
        <v>0</v>
      </c>
      <c r="BA1279" s="166">
        <v>0</v>
      </c>
      <c r="BB1279" s="166">
        <v>0</v>
      </c>
      <c r="BC1279" s="166">
        <v>0</v>
      </c>
      <c r="BD1279" s="166">
        <v>0</v>
      </c>
      <c r="BE1279" s="166">
        <v>0</v>
      </c>
      <c r="BF1279" s="166">
        <v>0</v>
      </c>
      <c r="BG1279" s="166">
        <v>0</v>
      </c>
      <c r="BH1279" s="166">
        <v>0</v>
      </c>
      <c r="BI1279" s="166">
        <v>0</v>
      </c>
      <c r="BJ1279" s="166">
        <v>0</v>
      </c>
      <c r="BK1279" s="166">
        <v>0</v>
      </c>
      <c r="BL1279" s="166">
        <v>0</v>
      </c>
      <c r="BM1279" s="166">
        <v>0</v>
      </c>
      <c r="BN1279" s="166">
        <v>0</v>
      </c>
      <c r="BO1279" s="166">
        <v>0</v>
      </c>
      <c r="BP1279" s="166">
        <v>0</v>
      </c>
      <c r="BQ1279" s="81" t="s">
        <v>1757</v>
      </c>
      <c r="BZ1279" s="81" t="s">
        <v>155</v>
      </c>
      <c r="CA1279" s="81">
        <v>10</v>
      </c>
      <c r="CC1279" s="167">
        <v>0</v>
      </c>
      <c r="CD1279" s="167">
        <v>0</v>
      </c>
      <c r="CE1279" s="167">
        <v>0</v>
      </c>
      <c r="CF1279" s="167">
        <v>0</v>
      </c>
      <c r="CG1279" s="167">
        <v>0</v>
      </c>
      <c r="CH1279" s="167">
        <f>$N1279/3</f>
        <v>0.33333333333333331</v>
      </c>
      <c r="CI1279" s="167">
        <f>$N1279/3</f>
        <v>0.33333333333333331</v>
      </c>
      <c r="CJ1279" s="167">
        <f>$N1279/3</f>
        <v>0.33333333333333331</v>
      </c>
      <c r="CK1279" s="167">
        <v>0</v>
      </c>
      <c r="CL1279" s="167">
        <v>0</v>
      </c>
      <c r="CM1279" s="167">
        <v>0</v>
      </c>
      <c r="CN1279" s="167">
        <v>0</v>
      </c>
      <c r="CO1279" s="167">
        <v>0</v>
      </c>
      <c r="CP1279" s="167">
        <v>0</v>
      </c>
      <c r="CQ1279" s="167">
        <v>0</v>
      </c>
      <c r="CR1279" s="167">
        <v>0</v>
      </c>
      <c r="CS1279" s="167">
        <v>0</v>
      </c>
      <c r="CT1279" s="167">
        <v>0</v>
      </c>
      <c r="CU1279" s="167">
        <v>0</v>
      </c>
      <c r="CV1279" s="167">
        <v>0</v>
      </c>
      <c r="CW1279" s="167">
        <v>0</v>
      </c>
      <c r="CX1279" s="167">
        <f>SUM(CD1279:CH1279)</f>
        <v>0.33333333333333331</v>
      </c>
      <c r="CY1279" s="167">
        <f>SUM(CD1279:CM1279)</f>
        <v>1</v>
      </c>
    </row>
    <row r="1280" spans="1:103" ht="12.75" customHeight="1" x14ac:dyDescent="0.2">
      <c r="A1280" s="81">
        <v>6706</v>
      </c>
      <c r="B1280" s="165" t="s">
        <v>1955</v>
      </c>
      <c r="C1280" s="165" t="s">
        <v>2216</v>
      </c>
      <c r="E1280" s="165" t="s">
        <v>2217</v>
      </c>
      <c r="G1280" s="81">
        <v>527445</v>
      </c>
      <c r="H1280" s="81">
        <v>171523</v>
      </c>
      <c r="I1280" s="165" t="s">
        <v>242</v>
      </c>
      <c r="L1280" s="166">
        <v>0</v>
      </c>
      <c r="M1280" s="166">
        <v>3</v>
      </c>
      <c r="N1280" s="166">
        <v>3</v>
      </c>
      <c r="O1280" s="166">
        <v>3</v>
      </c>
      <c r="P1280" s="166">
        <v>3</v>
      </c>
      <c r="R1280" s="165" t="s">
        <v>2218</v>
      </c>
      <c r="S1280" s="81" t="s">
        <v>121</v>
      </c>
      <c r="T1280" s="349">
        <v>43021</v>
      </c>
      <c r="W1280" s="81" t="s">
        <v>114</v>
      </c>
      <c r="Y1280" s="81" t="s">
        <v>115</v>
      </c>
      <c r="Z1280" s="81" t="s">
        <v>398</v>
      </c>
      <c r="AA1280" s="81" t="s">
        <v>117</v>
      </c>
      <c r="AB1280" s="81" t="s">
        <v>218</v>
      </c>
      <c r="AC1280" s="166">
        <v>1.2000000104308101E-2</v>
      </c>
      <c r="AG1280" s="81" t="s">
        <v>238</v>
      </c>
      <c r="AH1280" s="81" t="s">
        <v>118</v>
      </c>
      <c r="AK1280" s="166">
        <v>0</v>
      </c>
      <c r="AM1280" s="166">
        <v>0</v>
      </c>
      <c r="AO1280" s="166">
        <v>2</v>
      </c>
      <c r="AP1280" s="166">
        <v>1</v>
      </c>
      <c r="AQ1280" s="166">
        <v>0</v>
      </c>
      <c r="AR1280" s="166">
        <v>0</v>
      </c>
      <c r="AS1280" s="166">
        <v>0</v>
      </c>
      <c r="AT1280" s="166">
        <v>0</v>
      </c>
      <c r="AU1280" s="166">
        <v>0</v>
      </c>
      <c r="AV1280" s="166">
        <v>2</v>
      </c>
      <c r="AW1280" s="166">
        <v>1</v>
      </c>
      <c r="AX1280" s="166">
        <v>0</v>
      </c>
      <c r="AY1280" s="166">
        <v>0</v>
      </c>
      <c r="AZ1280" s="166">
        <v>0</v>
      </c>
      <c r="BA1280" s="166">
        <v>0</v>
      </c>
      <c r="BB1280" s="166">
        <v>0</v>
      </c>
      <c r="BC1280" s="166">
        <v>0</v>
      </c>
      <c r="BD1280" s="166">
        <v>0</v>
      </c>
      <c r="BE1280" s="166">
        <v>0</v>
      </c>
      <c r="BF1280" s="166">
        <v>0</v>
      </c>
      <c r="BG1280" s="166">
        <v>0</v>
      </c>
      <c r="BH1280" s="166">
        <v>0</v>
      </c>
      <c r="BI1280" s="166">
        <v>0</v>
      </c>
      <c r="BJ1280" s="166">
        <v>0</v>
      </c>
      <c r="BK1280" s="166">
        <v>0</v>
      </c>
      <c r="BL1280" s="166">
        <v>0</v>
      </c>
      <c r="BM1280" s="166">
        <v>0</v>
      </c>
      <c r="BN1280" s="166">
        <v>0</v>
      </c>
      <c r="BO1280" s="166">
        <v>0</v>
      </c>
      <c r="BP1280" s="166">
        <v>0</v>
      </c>
      <c r="BQ1280" s="81" t="s">
        <v>1757</v>
      </c>
      <c r="BR1280" s="81" t="s">
        <v>242</v>
      </c>
      <c r="BZ1280" s="81" t="s">
        <v>155</v>
      </c>
      <c r="CA1280" s="81">
        <v>10</v>
      </c>
      <c r="CC1280" s="167">
        <v>0</v>
      </c>
      <c r="CD1280" s="167">
        <v>0</v>
      </c>
      <c r="CE1280" s="167">
        <v>0</v>
      </c>
      <c r="CF1280" s="167">
        <v>0</v>
      </c>
      <c r="CG1280" s="167">
        <v>0</v>
      </c>
      <c r="CH1280" s="167">
        <f>$N1280/3</f>
        <v>1</v>
      </c>
      <c r="CI1280" s="167">
        <f>$N1280/3</f>
        <v>1</v>
      </c>
      <c r="CJ1280" s="167">
        <f>$N1280/3</f>
        <v>1</v>
      </c>
      <c r="CK1280" s="167">
        <v>0</v>
      </c>
      <c r="CL1280" s="167">
        <v>0</v>
      </c>
      <c r="CM1280" s="167">
        <v>0</v>
      </c>
      <c r="CN1280" s="167">
        <v>0</v>
      </c>
      <c r="CO1280" s="167">
        <v>0</v>
      </c>
      <c r="CP1280" s="167">
        <v>0</v>
      </c>
      <c r="CQ1280" s="167">
        <v>0</v>
      </c>
      <c r="CR1280" s="167">
        <v>0</v>
      </c>
      <c r="CS1280" s="167">
        <v>0</v>
      </c>
      <c r="CT1280" s="167">
        <v>0</v>
      </c>
      <c r="CU1280" s="167">
        <v>0</v>
      </c>
      <c r="CV1280" s="167">
        <v>0</v>
      </c>
      <c r="CW1280" s="167">
        <v>0</v>
      </c>
      <c r="CX1280" s="167">
        <f>SUM(CD1280:CH1280)</f>
        <v>1</v>
      </c>
      <c r="CY1280" s="167">
        <f>SUM(CD1280:CM1280)</f>
        <v>3</v>
      </c>
    </row>
    <row r="1281" spans="1:103" ht="12.75" customHeight="1" x14ac:dyDescent="0.2">
      <c r="A1281" s="81">
        <v>6708</v>
      </c>
      <c r="B1281" s="165" t="s">
        <v>1955</v>
      </c>
      <c r="C1281" s="165" t="s">
        <v>2219</v>
      </c>
      <c r="E1281" s="165" t="s">
        <v>2220</v>
      </c>
      <c r="G1281" s="81">
        <v>528037</v>
      </c>
      <c r="H1281" s="81">
        <v>172489</v>
      </c>
      <c r="I1281" s="165" t="s">
        <v>254</v>
      </c>
      <c r="L1281" s="166">
        <v>1</v>
      </c>
      <c r="M1281" s="166">
        <v>2</v>
      </c>
      <c r="N1281" s="166">
        <v>1</v>
      </c>
      <c r="O1281" s="166">
        <v>2</v>
      </c>
      <c r="P1281" s="166">
        <v>1</v>
      </c>
      <c r="R1281" s="165" t="s">
        <v>2221</v>
      </c>
      <c r="S1281" s="81" t="s">
        <v>126</v>
      </c>
      <c r="T1281" s="349">
        <v>43147</v>
      </c>
      <c r="W1281" s="81" t="s">
        <v>114</v>
      </c>
      <c r="Y1281" s="81" t="s">
        <v>115</v>
      </c>
      <c r="Z1281" s="81" t="s">
        <v>119</v>
      </c>
      <c r="AA1281" s="81" t="s">
        <v>117</v>
      </c>
      <c r="AB1281" s="81" t="s">
        <v>120</v>
      </c>
      <c r="AC1281" s="166">
        <v>1.4000000432133701E-2</v>
      </c>
      <c r="AG1281" s="81" t="s">
        <v>238</v>
      </c>
      <c r="AH1281" s="81" t="s">
        <v>118</v>
      </c>
      <c r="AK1281" s="166">
        <v>0</v>
      </c>
      <c r="AM1281" s="166">
        <v>0</v>
      </c>
      <c r="AO1281" s="166">
        <v>0</v>
      </c>
      <c r="AP1281" s="166">
        <v>2</v>
      </c>
      <c r="AQ1281" s="166">
        <v>0</v>
      </c>
      <c r="AR1281" s="166">
        <v>-1</v>
      </c>
      <c r="AS1281" s="166">
        <v>0</v>
      </c>
      <c r="AT1281" s="166">
        <v>0</v>
      </c>
      <c r="AU1281" s="166">
        <v>0</v>
      </c>
      <c r="AV1281" s="166">
        <v>0</v>
      </c>
      <c r="AW1281" s="166">
        <v>2</v>
      </c>
      <c r="AX1281" s="166">
        <v>0</v>
      </c>
      <c r="AY1281" s="166">
        <v>0</v>
      </c>
      <c r="AZ1281" s="166">
        <v>0</v>
      </c>
      <c r="BA1281" s="166">
        <v>0</v>
      </c>
      <c r="BB1281" s="166">
        <v>0</v>
      </c>
      <c r="BC1281" s="166">
        <v>0</v>
      </c>
      <c r="BD1281" s="166">
        <v>0</v>
      </c>
      <c r="BE1281" s="166">
        <v>0</v>
      </c>
      <c r="BF1281" s="166">
        <v>-1</v>
      </c>
      <c r="BG1281" s="166">
        <v>0</v>
      </c>
      <c r="BH1281" s="166">
        <v>0</v>
      </c>
      <c r="BI1281" s="166">
        <v>0</v>
      </c>
      <c r="BJ1281" s="166">
        <v>0</v>
      </c>
      <c r="BK1281" s="166">
        <v>0</v>
      </c>
      <c r="BL1281" s="166">
        <v>0</v>
      </c>
      <c r="BM1281" s="166">
        <v>0</v>
      </c>
      <c r="BN1281" s="166">
        <v>0</v>
      </c>
      <c r="BO1281" s="166">
        <v>0</v>
      </c>
      <c r="BP1281" s="166">
        <v>0</v>
      </c>
      <c r="BQ1281" s="81" t="s">
        <v>1757</v>
      </c>
      <c r="BZ1281" s="81" t="s">
        <v>155</v>
      </c>
      <c r="CA1281" s="81">
        <v>10</v>
      </c>
      <c r="CC1281" s="167">
        <v>0</v>
      </c>
      <c r="CD1281" s="167">
        <v>0</v>
      </c>
      <c r="CE1281" s="167">
        <v>0</v>
      </c>
      <c r="CF1281" s="167">
        <v>0</v>
      </c>
      <c r="CG1281" s="167">
        <v>0</v>
      </c>
      <c r="CH1281" s="167">
        <f>$N1281/3</f>
        <v>0.33333333333333331</v>
      </c>
      <c r="CI1281" s="167">
        <f>$N1281/3</f>
        <v>0.33333333333333331</v>
      </c>
      <c r="CJ1281" s="167">
        <f>$N1281/3</f>
        <v>0.33333333333333331</v>
      </c>
      <c r="CK1281" s="167">
        <v>0</v>
      </c>
      <c r="CL1281" s="167">
        <v>0</v>
      </c>
      <c r="CM1281" s="167">
        <v>0</v>
      </c>
      <c r="CN1281" s="167">
        <v>0</v>
      </c>
      <c r="CO1281" s="167">
        <v>0</v>
      </c>
      <c r="CP1281" s="167">
        <v>0</v>
      </c>
      <c r="CQ1281" s="167">
        <v>0</v>
      </c>
      <c r="CR1281" s="167">
        <v>0</v>
      </c>
      <c r="CS1281" s="167">
        <v>0</v>
      </c>
      <c r="CT1281" s="167">
        <v>0</v>
      </c>
      <c r="CU1281" s="167">
        <v>0</v>
      </c>
      <c r="CV1281" s="167">
        <v>0</v>
      </c>
      <c r="CW1281" s="167">
        <v>0</v>
      </c>
      <c r="CX1281" s="167">
        <f>SUM(CD1281:CH1281)</f>
        <v>0.33333333333333331</v>
      </c>
      <c r="CY1281" s="167">
        <f>SUM(CD1281:CM1281)</f>
        <v>1</v>
      </c>
    </row>
    <row r="1282" spans="1:103" ht="12.75" customHeight="1" x14ac:dyDescent="0.2">
      <c r="A1282" s="81">
        <v>6714</v>
      </c>
      <c r="B1282" s="165" t="s">
        <v>1955</v>
      </c>
      <c r="C1282" s="165" t="s">
        <v>2222</v>
      </c>
      <c r="E1282" s="165" t="s">
        <v>2223</v>
      </c>
      <c r="G1282" s="81">
        <v>527984</v>
      </c>
      <c r="H1282" s="81">
        <v>172301</v>
      </c>
      <c r="I1282" s="165" t="s">
        <v>248</v>
      </c>
      <c r="L1282" s="166">
        <v>1</v>
      </c>
      <c r="M1282" s="166">
        <v>4</v>
      </c>
      <c r="N1282" s="166">
        <v>3</v>
      </c>
      <c r="O1282" s="166">
        <v>4</v>
      </c>
      <c r="P1282" s="166">
        <v>3</v>
      </c>
      <c r="R1282" s="165" t="s">
        <v>2224</v>
      </c>
      <c r="S1282" s="81" t="s">
        <v>121</v>
      </c>
      <c r="T1282" s="349">
        <v>43006</v>
      </c>
      <c r="W1282" s="81" t="s">
        <v>114</v>
      </c>
      <c r="Y1282" s="81" t="s">
        <v>115</v>
      </c>
      <c r="Z1282" s="81" t="s">
        <v>398</v>
      </c>
      <c r="AA1282" s="81" t="s">
        <v>117</v>
      </c>
      <c r="AB1282" s="81" t="s">
        <v>220</v>
      </c>
      <c r="AC1282" s="166">
        <v>6.0000000521540598E-3</v>
      </c>
      <c r="AG1282" s="81" t="s">
        <v>238</v>
      </c>
      <c r="AH1282" s="81" t="s">
        <v>118</v>
      </c>
      <c r="AK1282" s="166">
        <v>0</v>
      </c>
      <c r="AM1282" s="166">
        <v>0</v>
      </c>
      <c r="AO1282" s="166">
        <v>1</v>
      </c>
      <c r="AP1282" s="166">
        <v>3</v>
      </c>
      <c r="AQ1282" s="166">
        <v>0</v>
      </c>
      <c r="AR1282" s="166">
        <v>-1</v>
      </c>
      <c r="AS1282" s="166">
        <v>0</v>
      </c>
      <c r="AT1282" s="166">
        <v>0</v>
      </c>
      <c r="AU1282" s="166">
        <v>0</v>
      </c>
      <c r="AV1282" s="166">
        <v>1</v>
      </c>
      <c r="AW1282" s="166">
        <v>3</v>
      </c>
      <c r="AX1282" s="166">
        <v>0</v>
      </c>
      <c r="AY1282" s="166">
        <v>-1</v>
      </c>
      <c r="AZ1282" s="166">
        <v>0</v>
      </c>
      <c r="BA1282" s="166">
        <v>0</v>
      </c>
      <c r="BB1282" s="166">
        <v>0</v>
      </c>
      <c r="BC1282" s="166">
        <v>0</v>
      </c>
      <c r="BD1282" s="166">
        <v>0</v>
      </c>
      <c r="BE1282" s="166">
        <v>0</v>
      </c>
      <c r="BF1282" s="166">
        <v>0</v>
      </c>
      <c r="BG1282" s="166">
        <v>0</v>
      </c>
      <c r="BH1282" s="166">
        <v>0</v>
      </c>
      <c r="BI1282" s="166">
        <v>0</v>
      </c>
      <c r="BJ1282" s="166">
        <v>0</v>
      </c>
      <c r="BK1282" s="166">
        <v>0</v>
      </c>
      <c r="BL1282" s="166">
        <v>0</v>
      </c>
      <c r="BM1282" s="166">
        <v>0</v>
      </c>
      <c r="BN1282" s="166">
        <v>0</v>
      </c>
      <c r="BO1282" s="166">
        <v>0</v>
      </c>
      <c r="BP1282" s="166">
        <v>0</v>
      </c>
      <c r="BQ1282" s="81" t="s">
        <v>1757</v>
      </c>
      <c r="BZ1282" s="81" t="s">
        <v>155</v>
      </c>
      <c r="CA1282" s="81">
        <v>10</v>
      </c>
      <c r="CC1282" s="167">
        <v>0</v>
      </c>
      <c r="CD1282" s="167">
        <v>0</v>
      </c>
      <c r="CE1282" s="167">
        <v>0</v>
      </c>
      <c r="CF1282" s="167">
        <v>0</v>
      </c>
      <c r="CG1282" s="167">
        <v>0</v>
      </c>
      <c r="CH1282" s="167">
        <f>$N1282/3</f>
        <v>1</v>
      </c>
      <c r="CI1282" s="167">
        <f>$N1282/3</f>
        <v>1</v>
      </c>
      <c r="CJ1282" s="167">
        <f>$N1282/3</f>
        <v>1</v>
      </c>
      <c r="CK1282" s="167">
        <v>0</v>
      </c>
      <c r="CL1282" s="167">
        <v>0</v>
      </c>
      <c r="CM1282" s="167">
        <v>0</v>
      </c>
      <c r="CN1282" s="167">
        <v>0</v>
      </c>
      <c r="CO1282" s="167">
        <v>0</v>
      </c>
      <c r="CP1282" s="167">
        <v>0</v>
      </c>
      <c r="CQ1282" s="167">
        <v>0</v>
      </c>
      <c r="CR1282" s="167">
        <v>0</v>
      </c>
      <c r="CS1282" s="167">
        <v>0</v>
      </c>
      <c r="CT1282" s="167">
        <v>0</v>
      </c>
      <c r="CU1282" s="167">
        <v>0</v>
      </c>
      <c r="CV1282" s="167">
        <v>0</v>
      </c>
      <c r="CW1282" s="167">
        <v>0</v>
      </c>
      <c r="CX1282" s="167">
        <f>SUM(CD1282:CH1282)</f>
        <v>1</v>
      </c>
      <c r="CY1282" s="167">
        <f>SUM(CD1282:CM1282)</f>
        <v>3</v>
      </c>
    </row>
    <row r="1283" spans="1:103" ht="12.75" customHeight="1" x14ac:dyDescent="0.2">
      <c r="A1283" s="81">
        <v>6715</v>
      </c>
      <c r="B1283" s="165" t="s">
        <v>1955</v>
      </c>
      <c r="C1283" s="165" t="s">
        <v>2225</v>
      </c>
      <c r="E1283" s="165" t="s">
        <v>2226</v>
      </c>
      <c r="G1283" s="81">
        <v>527859</v>
      </c>
      <c r="H1283" s="81">
        <v>174269</v>
      </c>
      <c r="I1283" s="165" t="s">
        <v>255</v>
      </c>
      <c r="L1283" s="166">
        <v>0</v>
      </c>
      <c r="M1283" s="166">
        <v>1</v>
      </c>
      <c r="N1283" s="166">
        <v>1</v>
      </c>
      <c r="O1283" s="166">
        <v>1</v>
      </c>
      <c r="P1283" s="166">
        <v>1</v>
      </c>
      <c r="R1283" s="165" t="s">
        <v>2227</v>
      </c>
      <c r="S1283" s="81" t="s">
        <v>296</v>
      </c>
      <c r="T1283" s="349">
        <v>43026</v>
      </c>
      <c r="U1283" s="349">
        <v>43158</v>
      </c>
      <c r="V1283" s="81" t="s">
        <v>155</v>
      </c>
      <c r="W1283" s="81" t="s">
        <v>365</v>
      </c>
      <c r="Y1283" s="81" t="s">
        <v>115</v>
      </c>
      <c r="Z1283" s="81" t="s">
        <v>398</v>
      </c>
      <c r="AA1283" s="81" t="s">
        <v>117</v>
      </c>
      <c r="AB1283" s="81" t="s">
        <v>218</v>
      </c>
      <c r="AC1283" s="166">
        <v>8.0000003799796104E-3</v>
      </c>
      <c r="AG1283" s="81" t="s">
        <v>238</v>
      </c>
      <c r="AH1283" s="81" t="s">
        <v>118</v>
      </c>
      <c r="AK1283" s="166">
        <v>0</v>
      </c>
      <c r="AM1283" s="166">
        <v>0</v>
      </c>
      <c r="AO1283" s="166">
        <v>0</v>
      </c>
      <c r="AP1283" s="166">
        <v>0</v>
      </c>
      <c r="AQ1283" s="166">
        <v>1</v>
      </c>
      <c r="AR1283" s="166">
        <v>0</v>
      </c>
      <c r="AS1283" s="166">
        <v>0</v>
      </c>
      <c r="AT1283" s="166">
        <v>0</v>
      </c>
      <c r="AU1283" s="166">
        <v>0</v>
      </c>
      <c r="AV1283" s="166">
        <v>0</v>
      </c>
      <c r="AW1283" s="166">
        <v>0</v>
      </c>
      <c r="AX1283" s="166">
        <v>1</v>
      </c>
      <c r="AY1283" s="166">
        <v>0</v>
      </c>
      <c r="AZ1283" s="166">
        <v>0</v>
      </c>
      <c r="BA1283" s="166">
        <v>0</v>
      </c>
      <c r="BB1283" s="166">
        <v>0</v>
      </c>
      <c r="BC1283" s="166">
        <v>0</v>
      </c>
      <c r="BD1283" s="166">
        <v>0</v>
      </c>
      <c r="BE1283" s="166">
        <v>0</v>
      </c>
      <c r="BF1283" s="166">
        <v>0</v>
      </c>
      <c r="BG1283" s="166">
        <v>0</v>
      </c>
      <c r="BH1283" s="166">
        <v>0</v>
      </c>
      <c r="BI1283" s="166">
        <v>0</v>
      </c>
      <c r="BJ1283" s="166">
        <v>0</v>
      </c>
      <c r="BK1283" s="166">
        <v>0</v>
      </c>
      <c r="BL1283" s="166">
        <v>0</v>
      </c>
      <c r="BM1283" s="166">
        <v>0</v>
      </c>
      <c r="BN1283" s="166">
        <v>0</v>
      </c>
      <c r="BO1283" s="166">
        <v>0</v>
      </c>
      <c r="BP1283" s="166">
        <v>0</v>
      </c>
      <c r="BQ1283" s="81" t="s">
        <v>1757</v>
      </c>
      <c r="BZ1283" s="81" t="s">
        <v>155</v>
      </c>
      <c r="CA1283" s="81">
        <v>10</v>
      </c>
      <c r="CC1283" s="167">
        <v>0</v>
      </c>
      <c r="CD1283" s="167">
        <v>0</v>
      </c>
      <c r="CE1283" s="167">
        <v>0</v>
      </c>
      <c r="CF1283" s="167">
        <v>0</v>
      </c>
      <c r="CG1283" s="167">
        <v>0</v>
      </c>
      <c r="CH1283" s="167">
        <f>$N1283/3</f>
        <v>0.33333333333333331</v>
      </c>
      <c r="CI1283" s="167">
        <f>$N1283/3</f>
        <v>0.33333333333333331</v>
      </c>
      <c r="CJ1283" s="167">
        <f>$N1283/3</f>
        <v>0.33333333333333331</v>
      </c>
      <c r="CK1283" s="167">
        <v>0</v>
      </c>
      <c r="CL1283" s="167">
        <v>0</v>
      </c>
      <c r="CM1283" s="167">
        <v>0</v>
      </c>
      <c r="CN1283" s="167">
        <v>0</v>
      </c>
      <c r="CO1283" s="167">
        <v>0</v>
      </c>
      <c r="CP1283" s="167">
        <v>0</v>
      </c>
      <c r="CQ1283" s="167">
        <v>0</v>
      </c>
      <c r="CR1283" s="167">
        <v>0</v>
      </c>
      <c r="CS1283" s="167">
        <v>0</v>
      </c>
      <c r="CT1283" s="167">
        <v>0</v>
      </c>
      <c r="CU1283" s="167">
        <v>0</v>
      </c>
      <c r="CV1283" s="167">
        <v>0</v>
      </c>
      <c r="CW1283" s="167">
        <v>0</v>
      </c>
      <c r="CX1283" s="167">
        <f>SUM(CD1283:CH1283)</f>
        <v>0.33333333333333331</v>
      </c>
      <c r="CY1283" s="167">
        <f>SUM(CD1283:CM1283)</f>
        <v>1</v>
      </c>
    </row>
    <row r="1284" spans="1:103" ht="12.75" customHeight="1" x14ac:dyDescent="0.2">
      <c r="A1284" s="81">
        <v>6726</v>
      </c>
      <c r="B1284" s="165" t="s">
        <v>1955</v>
      </c>
      <c r="C1284" s="165" t="s">
        <v>2228</v>
      </c>
      <c r="E1284" s="165" t="s">
        <v>2229</v>
      </c>
      <c r="G1284" s="81">
        <v>528680</v>
      </c>
      <c r="H1284" s="81">
        <v>173507</v>
      </c>
      <c r="I1284" s="165" t="s">
        <v>247</v>
      </c>
      <c r="L1284" s="166">
        <v>0</v>
      </c>
      <c r="M1284" s="166">
        <v>1</v>
      </c>
      <c r="N1284" s="166">
        <v>1</v>
      </c>
      <c r="O1284" s="166">
        <v>1</v>
      </c>
      <c r="P1284" s="166">
        <v>1</v>
      </c>
      <c r="R1284" s="165" t="s">
        <v>2230</v>
      </c>
      <c r="S1284" s="81" t="s">
        <v>121</v>
      </c>
      <c r="T1284" s="349">
        <v>43087</v>
      </c>
      <c r="W1284" s="81" t="s">
        <v>114</v>
      </c>
      <c r="Y1284" s="81" t="s">
        <v>115</v>
      </c>
      <c r="Z1284" s="81" t="s">
        <v>398</v>
      </c>
      <c r="AA1284" s="81" t="s">
        <v>117</v>
      </c>
      <c r="AB1284" s="81" t="s">
        <v>102</v>
      </c>
      <c r="AC1284" s="166">
        <v>8.0000003799796104E-3</v>
      </c>
      <c r="AG1284" s="81" t="s">
        <v>238</v>
      </c>
      <c r="AH1284" s="81" t="s">
        <v>118</v>
      </c>
      <c r="AK1284" s="166">
        <v>0</v>
      </c>
      <c r="AM1284" s="166">
        <v>0</v>
      </c>
      <c r="AO1284" s="166">
        <v>0</v>
      </c>
      <c r="AP1284" s="166">
        <v>0</v>
      </c>
      <c r="AQ1284" s="166">
        <v>0</v>
      </c>
      <c r="AR1284" s="166">
        <v>1</v>
      </c>
      <c r="AS1284" s="166">
        <v>0</v>
      </c>
      <c r="AT1284" s="166">
        <v>0</v>
      </c>
      <c r="AU1284" s="166">
        <v>0</v>
      </c>
      <c r="AV1284" s="166">
        <v>0</v>
      </c>
      <c r="AW1284" s="166">
        <v>0</v>
      </c>
      <c r="AX1284" s="166">
        <v>0</v>
      </c>
      <c r="AY1284" s="166">
        <v>1</v>
      </c>
      <c r="AZ1284" s="166">
        <v>0</v>
      </c>
      <c r="BA1284" s="166">
        <v>0</v>
      </c>
      <c r="BB1284" s="166">
        <v>0</v>
      </c>
      <c r="BC1284" s="166">
        <v>0</v>
      </c>
      <c r="BD1284" s="166">
        <v>0</v>
      </c>
      <c r="BE1284" s="166">
        <v>0</v>
      </c>
      <c r="BF1284" s="166">
        <v>0</v>
      </c>
      <c r="BG1284" s="166">
        <v>0</v>
      </c>
      <c r="BH1284" s="166">
        <v>0</v>
      </c>
      <c r="BI1284" s="166">
        <v>0</v>
      </c>
      <c r="BJ1284" s="166">
        <v>0</v>
      </c>
      <c r="BK1284" s="166">
        <v>0</v>
      </c>
      <c r="BL1284" s="166">
        <v>0</v>
      </c>
      <c r="BM1284" s="166">
        <v>0</v>
      </c>
      <c r="BN1284" s="166">
        <v>0</v>
      </c>
      <c r="BO1284" s="166">
        <v>0</v>
      </c>
      <c r="BP1284" s="166">
        <v>0</v>
      </c>
      <c r="BQ1284" s="81" t="s">
        <v>1757</v>
      </c>
      <c r="BR1284" s="81" t="s">
        <v>247</v>
      </c>
      <c r="BZ1284" s="81" t="s">
        <v>155</v>
      </c>
      <c r="CA1284" s="81">
        <v>10</v>
      </c>
      <c r="CC1284" s="167">
        <v>0</v>
      </c>
      <c r="CD1284" s="167">
        <v>0</v>
      </c>
      <c r="CE1284" s="167">
        <v>0</v>
      </c>
      <c r="CF1284" s="167">
        <v>0</v>
      </c>
      <c r="CG1284" s="167">
        <v>0</v>
      </c>
      <c r="CH1284" s="167">
        <f>$N1284/3</f>
        <v>0.33333333333333331</v>
      </c>
      <c r="CI1284" s="167">
        <f>$N1284/3</f>
        <v>0.33333333333333331</v>
      </c>
      <c r="CJ1284" s="167">
        <f>$N1284/3</f>
        <v>0.33333333333333331</v>
      </c>
      <c r="CK1284" s="167">
        <v>0</v>
      </c>
      <c r="CL1284" s="167">
        <v>0</v>
      </c>
      <c r="CM1284" s="167">
        <v>0</v>
      </c>
      <c r="CN1284" s="167">
        <v>0</v>
      </c>
      <c r="CO1284" s="167">
        <v>0</v>
      </c>
      <c r="CP1284" s="167">
        <v>0</v>
      </c>
      <c r="CQ1284" s="167">
        <v>0</v>
      </c>
      <c r="CR1284" s="167">
        <v>0</v>
      </c>
      <c r="CS1284" s="167">
        <v>0</v>
      </c>
      <c r="CT1284" s="167">
        <v>0</v>
      </c>
      <c r="CU1284" s="167">
        <v>0</v>
      </c>
      <c r="CV1284" s="167">
        <v>0</v>
      </c>
      <c r="CW1284" s="167">
        <v>0</v>
      </c>
      <c r="CX1284" s="167">
        <f>SUM(CD1284:CH1284)</f>
        <v>0.33333333333333331</v>
      </c>
      <c r="CY1284" s="167">
        <f>SUM(CD1284:CM1284)</f>
        <v>1</v>
      </c>
    </row>
    <row r="1285" spans="1:103" ht="12.75" customHeight="1" x14ac:dyDescent="0.2">
      <c r="A1285" s="81">
        <v>6727</v>
      </c>
      <c r="B1285" s="165" t="s">
        <v>1955</v>
      </c>
      <c r="C1285" s="165" t="s">
        <v>2231</v>
      </c>
      <c r="E1285" s="165" t="s">
        <v>2232</v>
      </c>
      <c r="G1285" s="81">
        <v>526449</v>
      </c>
      <c r="H1285" s="81">
        <v>173057</v>
      </c>
      <c r="I1285" s="165" t="s">
        <v>249</v>
      </c>
      <c r="L1285" s="166">
        <v>1</v>
      </c>
      <c r="M1285" s="166">
        <v>0</v>
      </c>
      <c r="N1285" s="166">
        <v>-1</v>
      </c>
      <c r="O1285" s="166">
        <v>0</v>
      </c>
      <c r="P1285" s="166">
        <v>-1</v>
      </c>
      <c r="R1285" s="165" t="s">
        <v>2233</v>
      </c>
      <c r="S1285" s="81" t="s">
        <v>296</v>
      </c>
      <c r="T1285" s="349">
        <v>43027</v>
      </c>
      <c r="U1285" s="349">
        <v>43083</v>
      </c>
      <c r="V1285" s="81" t="s">
        <v>155</v>
      </c>
      <c r="W1285" s="81" t="s">
        <v>365</v>
      </c>
      <c r="Y1285" s="81" t="s">
        <v>115</v>
      </c>
      <c r="Z1285" s="81" t="s">
        <v>310</v>
      </c>
      <c r="AA1285" s="81" t="s">
        <v>117</v>
      </c>
      <c r="AB1285" s="81" t="s">
        <v>105</v>
      </c>
      <c r="AC1285" s="166">
        <v>2.3000000044703501E-2</v>
      </c>
      <c r="AG1285" s="81" t="s">
        <v>238</v>
      </c>
      <c r="AH1285" s="81" t="s">
        <v>118</v>
      </c>
      <c r="AK1285" s="166">
        <v>0</v>
      </c>
      <c r="AM1285" s="166">
        <v>0</v>
      </c>
      <c r="AO1285" s="166">
        <v>0</v>
      </c>
      <c r="AP1285" s="166">
        <v>0</v>
      </c>
      <c r="AQ1285" s="166">
        <v>0</v>
      </c>
      <c r="AR1285" s="166">
        <v>-1</v>
      </c>
      <c r="AS1285" s="166">
        <v>0</v>
      </c>
      <c r="AT1285" s="166">
        <v>0</v>
      </c>
      <c r="AU1285" s="166">
        <v>0</v>
      </c>
      <c r="AV1285" s="166">
        <v>0</v>
      </c>
      <c r="AW1285" s="166">
        <v>0</v>
      </c>
      <c r="AX1285" s="166">
        <v>0</v>
      </c>
      <c r="AY1285" s="166">
        <v>0</v>
      </c>
      <c r="AZ1285" s="166">
        <v>0</v>
      </c>
      <c r="BA1285" s="166">
        <v>0</v>
      </c>
      <c r="BB1285" s="166">
        <v>0</v>
      </c>
      <c r="BC1285" s="166">
        <v>0</v>
      </c>
      <c r="BD1285" s="166">
        <v>0</v>
      </c>
      <c r="BE1285" s="166">
        <v>0</v>
      </c>
      <c r="BF1285" s="166">
        <v>-1</v>
      </c>
      <c r="BG1285" s="166">
        <v>0</v>
      </c>
      <c r="BH1285" s="166">
        <v>0</v>
      </c>
      <c r="BI1285" s="166">
        <v>0</v>
      </c>
      <c r="BJ1285" s="166">
        <v>0</v>
      </c>
      <c r="BK1285" s="166">
        <v>0</v>
      </c>
      <c r="BL1285" s="166">
        <v>0</v>
      </c>
      <c r="BM1285" s="166">
        <v>0</v>
      </c>
      <c r="BN1285" s="166">
        <v>0</v>
      </c>
      <c r="BO1285" s="166">
        <v>0</v>
      </c>
      <c r="BP1285" s="166">
        <v>0</v>
      </c>
      <c r="BQ1285" s="81" t="s">
        <v>1758</v>
      </c>
      <c r="BZ1285" s="81" t="s">
        <v>155</v>
      </c>
      <c r="CA1285" s="81">
        <v>10</v>
      </c>
      <c r="CC1285" s="167">
        <v>0</v>
      </c>
      <c r="CD1285" s="167">
        <v>0</v>
      </c>
      <c r="CE1285" s="167">
        <v>0</v>
      </c>
      <c r="CF1285" s="167">
        <v>0</v>
      </c>
      <c r="CG1285" s="167">
        <v>0</v>
      </c>
      <c r="CH1285" s="167">
        <f>$N1285/3</f>
        <v>-0.33333333333333331</v>
      </c>
      <c r="CI1285" s="167">
        <f>$N1285/3</f>
        <v>-0.33333333333333331</v>
      </c>
      <c r="CJ1285" s="167">
        <f>$N1285/3</f>
        <v>-0.33333333333333331</v>
      </c>
      <c r="CK1285" s="167">
        <v>0</v>
      </c>
      <c r="CL1285" s="167">
        <v>0</v>
      </c>
      <c r="CM1285" s="167">
        <v>0</v>
      </c>
      <c r="CN1285" s="167">
        <v>0</v>
      </c>
      <c r="CO1285" s="167">
        <v>0</v>
      </c>
      <c r="CP1285" s="167">
        <v>0</v>
      </c>
      <c r="CQ1285" s="167">
        <v>0</v>
      </c>
      <c r="CR1285" s="167">
        <v>0</v>
      </c>
      <c r="CS1285" s="167">
        <v>0</v>
      </c>
      <c r="CT1285" s="167">
        <v>0</v>
      </c>
      <c r="CU1285" s="167">
        <v>0</v>
      </c>
      <c r="CV1285" s="167">
        <v>0</v>
      </c>
      <c r="CW1285" s="167">
        <v>0</v>
      </c>
      <c r="CX1285" s="167">
        <f>SUM(CD1285:CH1285)</f>
        <v>-0.33333333333333331</v>
      </c>
      <c r="CY1285" s="167">
        <f>SUM(CD1285:CM1285)</f>
        <v>-1</v>
      </c>
    </row>
    <row r="1286" spans="1:103" ht="12.75" customHeight="1" x14ac:dyDescent="0.2">
      <c r="A1286" s="81">
        <v>6729</v>
      </c>
      <c r="B1286" s="165" t="s">
        <v>1955</v>
      </c>
      <c r="C1286" s="165" t="s">
        <v>2234</v>
      </c>
      <c r="E1286" s="165" t="s">
        <v>2235</v>
      </c>
      <c r="G1286" s="81">
        <v>527455</v>
      </c>
      <c r="H1286" s="81">
        <v>175008</v>
      </c>
      <c r="I1286" s="165" t="s">
        <v>255</v>
      </c>
      <c r="L1286" s="166">
        <v>1</v>
      </c>
      <c r="M1286" s="166">
        <v>1</v>
      </c>
      <c r="N1286" s="166">
        <v>0</v>
      </c>
      <c r="O1286" s="166">
        <v>2</v>
      </c>
      <c r="P1286" s="166">
        <v>1</v>
      </c>
      <c r="R1286" s="165" t="s">
        <v>2236</v>
      </c>
      <c r="S1286" s="81" t="s">
        <v>121</v>
      </c>
      <c r="T1286" s="349">
        <v>43165</v>
      </c>
      <c r="W1286" s="81" t="s">
        <v>114</v>
      </c>
      <c r="Y1286" s="81" t="s">
        <v>115</v>
      </c>
      <c r="Z1286" s="81" t="s">
        <v>398</v>
      </c>
      <c r="AA1286" s="81" t="s">
        <v>117</v>
      </c>
      <c r="AB1286" s="81" t="s">
        <v>220</v>
      </c>
      <c r="AC1286" s="166">
        <v>3.0000000260770299E-3</v>
      </c>
      <c r="AG1286" s="81" t="s">
        <v>238</v>
      </c>
      <c r="AH1286" s="81" t="s">
        <v>118</v>
      </c>
      <c r="AK1286" s="166">
        <v>0</v>
      </c>
      <c r="AM1286" s="166">
        <v>0</v>
      </c>
      <c r="AO1286" s="166">
        <v>0</v>
      </c>
      <c r="AP1286" s="166">
        <v>0</v>
      </c>
      <c r="AQ1286" s="166">
        <v>1</v>
      </c>
      <c r="AR1286" s="166">
        <v>-1</v>
      </c>
      <c r="AS1286" s="166">
        <v>0</v>
      </c>
      <c r="AT1286" s="166">
        <v>0</v>
      </c>
      <c r="AU1286" s="166">
        <v>0</v>
      </c>
      <c r="AV1286" s="166">
        <v>0</v>
      </c>
      <c r="AW1286" s="166">
        <v>0</v>
      </c>
      <c r="AX1286" s="166">
        <v>1</v>
      </c>
      <c r="AY1286" s="166">
        <v>-1</v>
      </c>
      <c r="AZ1286" s="166">
        <v>0</v>
      </c>
      <c r="BA1286" s="166">
        <v>0</v>
      </c>
      <c r="BB1286" s="166">
        <v>0</v>
      </c>
      <c r="BC1286" s="166">
        <v>0</v>
      </c>
      <c r="BD1286" s="166">
        <v>0</v>
      </c>
      <c r="BE1286" s="166">
        <v>0</v>
      </c>
      <c r="BF1286" s="166">
        <v>0</v>
      </c>
      <c r="BG1286" s="166">
        <v>0</v>
      </c>
      <c r="BH1286" s="166">
        <v>0</v>
      </c>
      <c r="BI1286" s="166">
        <v>0</v>
      </c>
      <c r="BJ1286" s="166">
        <v>0</v>
      </c>
      <c r="BK1286" s="166">
        <v>0</v>
      </c>
      <c r="BL1286" s="166">
        <v>0</v>
      </c>
      <c r="BM1286" s="166">
        <v>0</v>
      </c>
      <c r="BN1286" s="166">
        <v>0</v>
      </c>
      <c r="BO1286" s="166">
        <v>0</v>
      </c>
      <c r="BP1286" s="166">
        <v>0</v>
      </c>
      <c r="BQ1286" s="81" t="s">
        <v>1757</v>
      </c>
      <c r="BR1286" s="81" t="s">
        <v>160</v>
      </c>
      <c r="BZ1286" s="81" t="s">
        <v>3991</v>
      </c>
      <c r="CA1286" s="81">
        <v>15</v>
      </c>
      <c r="CB1286" s="165" t="s">
        <v>4007</v>
      </c>
      <c r="CC1286" s="167">
        <v>0</v>
      </c>
      <c r="CD1286" s="167">
        <v>0</v>
      </c>
      <c r="CE1286" s="167">
        <v>0</v>
      </c>
      <c r="CF1286" s="167">
        <v>0</v>
      </c>
      <c r="CG1286" s="167">
        <v>0</v>
      </c>
      <c r="CH1286" s="167">
        <v>0</v>
      </c>
      <c r="CI1286" s="167">
        <v>0</v>
      </c>
      <c r="CJ1286" s="167">
        <v>0</v>
      </c>
      <c r="CK1286" s="167">
        <v>0</v>
      </c>
      <c r="CL1286" s="167">
        <v>0</v>
      </c>
      <c r="CM1286" s="167">
        <v>0</v>
      </c>
      <c r="CN1286" s="167">
        <v>0</v>
      </c>
      <c r="CO1286" s="167">
        <v>0</v>
      </c>
      <c r="CP1286" s="167">
        <v>0</v>
      </c>
      <c r="CQ1286" s="167">
        <v>0</v>
      </c>
      <c r="CR1286" s="167">
        <v>0</v>
      </c>
      <c r="CS1286" s="167">
        <v>0</v>
      </c>
      <c r="CT1286" s="167">
        <v>0</v>
      </c>
      <c r="CU1286" s="167">
        <v>0</v>
      </c>
      <c r="CV1286" s="167">
        <v>0</v>
      </c>
      <c r="CW1286" s="167">
        <v>0</v>
      </c>
      <c r="CX1286" s="167">
        <f>SUM(CD1286:CH1286)</f>
        <v>0</v>
      </c>
      <c r="CY1286" s="167">
        <f>SUM(CD1286:CM1286)</f>
        <v>0</v>
      </c>
    </row>
    <row r="1287" spans="1:103" ht="12.75" customHeight="1" x14ac:dyDescent="0.2">
      <c r="A1287" s="81">
        <v>6729</v>
      </c>
      <c r="B1287" s="165" t="s">
        <v>1955</v>
      </c>
      <c r="C1287" s="165" t="s">
        <v>2234</v>
      </c>
      <c r="E1287" s="165" t="s">
        <v>2235</v>
      </c>
      <c r="G1287" s="81">
        <v>527455</v>
      </c>
      <c r="H1287" s="81">
        <v>175008</v>
      </c>
      <c r="I1287" s="165" t="s">
        <v>255</v>
      </c>
      <c r="L1287" s="166">
        <v>0</v>
      </c>
      <c r="M1287" s="166">
        <v>1</v>
      </c>
      <c r="N1287" s="166">
        <v>1</v>
      </c>
      <c r="O1287" s="166">
        <v>2</v>
      </c>
      <c r="P1287" s="166">
        <v>1</v>
      </c>
      <c r="R1287" s="165" t="s">
        <v>2236</v>
      </c>
      <c r="S1287" s="81" t="s">
        <v>121</v>
      </c>
      <c r="T1287" s="349">
        <v>43165</v>
      </c>
      <c r="W1287" s="81" t="s">
        <v>114</v>
      </c>
      <c r="Y1287" s="81" t="s">
        <v>115</v>
      </c>
      <c r="Z1287" s="81" t="s">
        <v>398</v>
      </c>
      <c r="AA1287" s="81" t="s">
        <v>117</v>
      </c>
      <c r="AB1287" s="81" t="s">
        <v>218</v>
      </c>
      <c r="AC1287" s="166">
        <v>4.0000001899898104E-3</v>
      </c>
      <c r="AG1287" s="81" t="s">
        <v>238</v>
      </c>
      <c r="AH1287" s="81" t="s">
        <v>118</v>
      </c>
      <c r="AK1287" s="166">
        <v>0</v>
      </c>
      <c r="AM1287" s="166">
        <v>0</v>
      </c>
      <c r="AO1287" s="166">
        <v>0</v>
      </c>
      <c r="AP1287" s="166">
        <v>0</v>
      </c>
      <c r="AQ1287" s="166">
        <v>1</v>
      </c>
      <c r="AR1287" s="166">
        <v>0</v>
      </c>
      <c r="AS1287" s="166">
        <v>0</v>
      </c>
      <c r="AT1287" s="166">
        <v>0</v>
      </c>
      <c r="AU1287" s="166">
        <v>0</v>
      </c>
      <c r="AV1287" s="166">
        <v>0</v>
      </c>
      <c r="AW1287" s="166">
        <v>0</v>
      </c>
      <c r="AX1287" s="166">
        <v>1</v>
      </c>
      <c r="AY1287" s="166">
        <v>0</v>
      </c>
      <c r="AZ1287" s="166">
        <v>0</v>
      </c>
      <c r="BA1287" s="166">
        <v>0</v>
      </c>
      <c r="BB1287" s="166">
        <v>0</v>
      </c>
      <c r="BC1287" s="166">
        <v>0</v>
      </c>
      <c r="BD1287" s="166">
        <v>0</v>
      </c>
      <c r="BE1287" s="166">
        <v>0</v>
      </c>
      <c r="BF1287" s="166">
        <v>0</v>
      </c>
      <c r="BG1287" s="166">
        <v>0</v>
      </c>
      <c r="BH1287" s="166">
        <v>0</v>
      </c>
      <c r="BI1287" s="166">
        <v>0</v>
      </c>
      <c r="BJ1287" s="166">
        <v>0</v>
      </c>
      <c r="BK1287" s="166">
        <v>0</v>
      </c>
      <c r="BL1287" s="166">
        <v>0</v>
      </c>
      <c r="BM1287" s="166">
        <v>0</v>
      </c>
      <c r="BN1287" s="166">
        <v>0</v>
      </c>
      <c r="BO1287" s="166">
        <v>0</v>
      </c>
      <c r="BP1287" s="166">
        <v>0</v>
      </c>
      <c r="BQ1287" s="81" t="s">
        <v>1757</v>
      </c>
      <c r="BR1287" s="81" t="s">
        <v>160</v>
      </c>
      <c r="BZ1287" s="81" t="s">
        <v>3991</v>
      </c>
      <c r="CA1287" s="81">
        <v>15</v>
      </c>
      <c r="CB1287" s="165" t="s">
        <v>4007</v>
      </c>
      <c r="CC1287" s="167">
        <v>0</v>
      </c>
      <c r="CD1287" s="167">
        <v>0</v>
      </c>
      <c r="CE1287" s="167">
        <v>0</v>
      </c>
      <c r="CF1287" s="167">
        <v>0</v>
      </c>
      <c r="CG1287" s="167">
        <v>0</v>
      </c>
      <c r="CH1287" s="167">
        <v>0</v>
      </c>
      <c r="CI1287" s="167">
        <v>0</v>
      </c>
      <c r="CJ1287" s="167">
        <v>0</v>
      </c>
      <c r="CK1287" s="167">
        <v>0</v>
      </c>
      <c r="CL1287" s="167">
        <v>0</v>
      </c>
      <c r="CM1287" s="167">
        <v>0</v>
      </c>
      <c r="CN1287" s="167">
        <v>0</v>
      </c>
      <c r="CO1287" s="167">
        <v>0</v>
      </c>
      <c r="CP1287" s="167">
        <v>0</v>
      </c>
      <c r="CQ1287" s="167">
        <v>0</v>
      </c>
      <c r="CR1287" s="167">
        <v>0</v>
      </c>
      <c r="CS1287" s="167">
        <v>0</v>
      </c>
      <c r="CT1287" s="167">
        <v>0</v>
      </c>
      <c r="CU1287" s="167">
        <v>0</v>
      </c>
      <c r="CV1287" s="167">
        <v>0</v>
      </c>
      <c r="CW1287" s="167">
        <v>0</v>
      </c>
      <c r="CX1287" s="167">
        <f>SUM(CD1287:CH1287)</f>
        <v>0</v>
      </c>
      <c r="CY1287" s="167">
        <f>SUM(CD1287:CM1287)</f>
        <v>0</v>
      </c>
    </row>
    <row r="1288" spans="1:103" ht="12.75" customHeight="1" x14ac:dyDescent="0.2">
      <c r="A1288" s="81">
        <v>6735</v>
      </c>
      <c r="B1288" s="165" t="s">
        <v>1955</v>
      </c>
      <c r="C1288" s="165" t="s">
        <v>2237</v>
      </c>
      <c r="E1288" s="165" t="s">
        <v>2238</v>
      </c>
      <c r="G1288" s="81">
        <v>529413</v>
      </c>
      <c r="H1288" s="81">
        <v>171159</v>
      </c>
      <c r="I1288" s="165" t="s">
        <v>252</v>
      </c>
      <c r="L1288" s="166">
        <v>0</v>
      </c>
      <c r="M1288" s="166">
        <v>1</v>
      </c>
      <c r="N1288" s="166">
        <v>1</v>
      </c>
      <c r="O1288" s="166">
        <v>2</v>
      </c>
      <c r="P1288" s="166">
        <v>0</v>
      </c>
      <c r="R1288" s="165" t="s">
        <v>2239</v>
      </c>
      <c r="S1288" s="81" t="s">
        <v>121</v>
      </c>
      <c r="T1288" s="349">
        <v>43026</v>
      </c>
      <c r="W1288" s="81" t="s">
        <v>114</v>
      </c>
      <c r="Y1288" s="81" t="s">
        <v>115</v>
      </c>
      <c r="Z1288" s="81" t="s">
        <v>398</v>
      </c>
      <c r="AA1288" s="81" t="s">
        <v>117</v>
      </c>
      <c r="AB1288" s="81" t="s">
        <v>218</v>
      </c>
      <c r="AC1288" s="166">
        <v>1.3000000035390299E-3</v>
      </c>
      <c r="AG1288" s="81" t="s">
        <v>238</v>
      </c>
      <c r="AH1288" s="81" t="s">
        <v>118</v>
      </c>
      <c r="AK1288" s="166">
        <v>0</v>
      </c>
      <c r="AM1288" s="166">
        <v>0</v>
      </c>
      <c r="AO1288" s="166">
        <v>0</v>
      </c>
      <c r="AP1288" s="166">
        <v>0</v>
      </c>
      <c r="AQ1288" s="166">
        <v>0</v>
      </c>
      <c r="AR1288" s="166">
        <v>1</v>
      </c>
      <c r="AS1288" s="166">
        <v>0</v>
      </c>
      <c r="AT1288" s="166">
        <v>0</v>
      </c>
      <c r="AU1288" s="166">
        <v>0</v>
      </c>
      <c r="AV1288" s="166">
        <v>0</v>
      </c>
      <c r="AW1288" s="166">
        <v>0</v>
      </c>
      <c r="AX1288" s="166">
        <v>0</v>
      </c>
      <c r="AY1288" s="166">
        <v>0</v>
      </c>
      <c r="AZ1288" s="166">
        <v>0</v>
      </c>
      <c r="BA1288" s="166">
        <v>0</v>
      </c>
      <c r="BB1288" s="166">
        <v>0</v>
      </c>
      <c r="BC1288" s="166">
        <v>0</v>
      </c>
      <c r="BD1288" s="166">
        <v>0</v>
      </c>
      <c r="BE1288" s="166">
        <v>0</v>
      </c>
      <c r="BF1288" s="166">
        <v>1</v>
      </c>
      <c r="BG1288" s="166">
        <v>0</v>
      </c>
      <c r="BH1288" s="166">
        <v>0</v>
      </c>
      <c r="BI1288" s="166">
        <v>0</v>
      </c>
      <c r="BJ1288" s="166">
        <v>0</v>
      </c>
      <c r="BK1288" s="166">
        <v>0</v>
      </c>
      <c r="BL1288" s="166">
        <v>0</v>
      </c>
      <c r="BM1288" s="166">
        <v>0</v>
      </c>
      <c r="BN1288" s="166">
        <v>0</v>
      </c>
      <c r="BO1288" s="166">
        <v>0</v>
      </c>
      <c r="BP1288" s="166">
        <v>0</v>
      </c>
      <c r="BQ1288" s="81" t="s">
        <v>1757</v>
      </c>
      <c r="BZ1288" s="81" t="s">
        <v>155</v>
      </c>
      <c r="CA1288" s="81">
        <v>10</v>
      </c>
      <c r="CC1288" s="167">
        <v>0</v>
      </c>
      <c r="CD1288" s="167">
        <v>0</v>
      </c>
      <c r="CE1288" s="167">
        <v>0</v>
      </c>
      <c r="CF1288" s="167">
        <v>0</v>
      </c>
      <c r="CG1288" s="167">
        <v>0</v>
      </c>
      <c r="CH1288" s="167">
        <f>$N1288/3</f>
        <v>0.33333333333333331</v>
      </c>
      <c r="CI1288" s="167">
        <f>$N1288/3</f>
        <v>0.33333333333333331</v>
      </c>
      <c r="CJ1288" s="167">
        <f>$N1288/3</f>
        <v>0.33333333333333331</v>
      </c>
      <c r="CK1288" s="167">
        <v>0</v>
      </c>
      <c r="CL1288" s="167">
        <v>0</v>
      </c>
      <c r="CM1288" s="167">
        <v>0</v>
      </c>
      <c r="CN1288" s="167">
        <v>0</v>
      </c>
      <c r="CO1288" s="167">
        <v>0</v>
      </c>
      <c r="CP1288" s="167">
        <v>0</v>
      </c>
      <c r="CQ1288" s="167">
        <v>0</v>
      </c>
      <c r="CR1288" s="167">
        <v>0</v>
      </c>
      <c r="CS1288" s="167">
        <v>0</v>
      </c>
      <c r="CT1288" s="167">
        <v>0</v>
      </c>
      <c r="CU1288" s="167">
        <v>0</v>
      </c>
      <c r="CV1288" s="167">
        <v>0</v>
      </c>
      <c r="CW1288" s="167">
        <v>0</v>
      </c>
      <c r="CX1288" s="167">
        <f>SUM(CD1288:CH1288)</f>
        <v>0.33333333333333331</v>
      </c>
      <c r="CY1288" s="167">
        <f>SUM(CD1288:CM1288)</f>
        <v>1</v>
      </c>
    </row>
    <row r="1289" spans="1:103" ht="12.75" customHeight="1" x14ac:dyDescent="0.2">
      <c r="A1289" s="81">
        <v>6735</v>
      </c>
      <c r="B1289" s="165" t="s">
        <v>1955</v>
      </c>
      <c r="C1289" s="165" t="s">
        <v>2237</v>
      </c>
      <c r="E1289" s="165" t="s">
        <v>2238</v>
      </c>
      <c r="G1289" s="81">
        <v>529413</v>
      </c>
      <c r="H1289" s="81">
        <v>171159</v>
      </c>
      <c r="I1289" s="165" t="s">
        <v>252</v>
      </c>
      <c r="L1289" s="166">
        <v>2</v>
      </c>
      <c r="M1289" s="166">
        <v>1</v>
      </c>
      <c r="N1289" s="166">
        <v>-1</v>
      </c>
      <c r="O1289" s="166">
        <v>2</v>
      </c>
      <c r="P1289" s="166">
        <v>0</v>
      </c>
      <c r="R1289" s="165" t="s">
        <v>2239</v>
      </c>
      <c r="S1289" s="81" t="s">
        <v>121</v>
      </c>
      <c r="T1289" s="349">
        <v>43026</v>
      </c>
      <c r="W1289" s="81" t="s">
        <v>114</v>
      </c>
      <c r="Y1289" s="81" t="s">
        <v>115</v>
      </c>
      <c r="Z1289" s="81" t="s">
        <v>398</v>
      </c>
      <c r="AA1289" s="81" t="s">
        <v>117</v>
      </c>
      <c r="AB1289" s="81" t="s">
        <v>300</v>
      </c>
      <c r="AC1289" s="166">
        <v>4.9999998882412902E-3</v>
      </c>
      <c r="AG1289" s="81" t="s">
        <v>238</v>
      </c>
      <c r="AH1289" s="81" t="s">
        <v>118</v>
      </c>
      <c r="AK1289" s="166">
        <v>0</v>
      </c>
      <c r="AM1289" s="166">
        <v>0</v>
      </c>
      <c r="AO1289" s="166">
        <v>0</v>
      </c>
      <c r="AP1289" s="166">
        <v>-1</v>
      </c>
      <c r="AQ1289" s="166">
        <v>0</v>
      </c>
      <c r="AR1289" s="166">
        <v>0</v>
      </c>
      <c r="AS1289" s="166">
        <v>0</v>
      </c>
      <c r="AT1289" s="166">
        <v>0</v>
      </c>
      <c r="AU1289" s="166">
        <v>0</v>
      </c>
      <c r="AV1289" s="166">
        <v>0</v>
      </c>
      <c r="AW1289" s="166">
        <v>-1</v>
      </c>
      <c r="AX1289" s="166">
        <v>0</v>
      </c>
      <c r="AY1289" s="166">
        <v>0</v>
      </c>
      <c r="AZ1289" s="166">
        <v>0</v>
      </c>
      <c r="BA1289" s="166">
        <v>0</v>
      </c>
      <c r="BB1289" s="166">
        <v>0</v>
      </c>
      <c r="BC1289" s="166">
        <v>0</v>
      </c>
      <c r="BD1289" s="166">
        <v>0</v>
      </c>
      <c r="BE1289" s="166">
        <v>0</v>
      </c>
      <c r="BF1289" s="166">
        <v>0</v>
      </c>
      <c r="BG1289" s="166">
        <v>0</v>
      </c>
      <c r="BH1289" s="166">
        <v>0</v>
      </c>
      <c r="BI1289" s="166">
        <v>0</v>
      </c>
      <c r="BJ1289" s="166">
        <v>0</v>
      </c>
      <c r="BK1289" s="166">
        <v>0</v>
      </c>
      <c r="BL1289" s="166">
        <v>0</v>
      </c>
      <c r="BM1289" s="166">
        <v>0</v>
      </c>
      <c r="BN1289" s="166">
        <v>0</v>
      </c>
      <c r="BO1289" s="166">
        <v>0</v>
      </c>
      <c r="BP1289" s="166">
        <v>0</v>
      </c>
      <c r="BQ1289" s="81" t="s">
        <v>1757</v>
      </c>
      <c r="BZ1289" s="81" t="s">
        <v>155</v>
      </c>
      <c r="CA1289" s="81">
        <v>10</v>
      </c>
      <c r="CC1289" s="167">
        <v>0</v>
      </c>
      <c r="CD1289" s="167">
        <v>0</v>
      </c>
      <c r="CE1289" s="167">
        <v>0</v>
      </c>
      <c r="CF1289" s="167">
        <v>0</v>
      </c>
      <c r="CG1289" s="167">
        <v>0</v>
      </c>
      <c r="CH1289" s="167">
        <f>$N1289/3</f>
        <v>-0.33333333333333331</v>
      </c>
      <c r="CI1289" s="167">
        <f>$N1289/3</f>
        <v>-0.33333333333333331</v>
      </c>
      <c r="CJ1289" s="167">
        <f>$N1289/3</f>
        <v>-0.33333333333333331</v>
      </c>
      <c r="CK1289" s="167">
        <v>0</v>
      </c>
      <c r="CL1289" s="167">
        <v>0</v>
      </c>
      <c r="CM1289" s="167">
        <v>0</v>
      </c>
      <c r="CN1289" s="167">
        <v>0</v>
      </c>
      <c r="CO1289" s="167">
        <v>0</v>
      </c>
      <c r="CP1289" s="167">
        <v>0</v>
      </c>
      <c r="CQ1289" s="167">
        <v>0</v>
      </c>
      <c r="CR1289" s="167">
        <v>0</v>
      </c>
      <c r="CS1289" s="167">
        <v>0</v>
      </c>
      <c r="CT1289" s="167">
        <v>0</v>
      </c>
      <c r="CU1289" s="167">
        <v>0</v>
      </c>
      <c r="CV1289" s="167">
        <v>0</v>
      </c>
      <c r="CW1289" s="167">
        <v>0</v>
      </c>
      <c r="CX1289" s="167">
        <f>SUM(CD1289:CH1289)</f>
        <v>-0.33333333333333331</v>
      </c>
      <c r="CY1289" s="167">
        <f>SUM(CD1289:CM1289)</f>
        <v>-1</v>
      </c>
    </row>
    <row r="1290" spans="1:103" ht="12.75" customHeight="1" x14ac:dyDescent="0.2">
      <c r="A1290" s="81">
        <v>6737</v>
      </c>
      <c r="B1290" s="165" t="s">
        <v>1955</v>
      </c>
      <c r="C1290" s="165" t="s">
        <v>2240</v>
      </c>
      <c r="E1290" s="165" t="s">
        <v>2241</v>
      </c>
      <c r="G1290" s="81">
        <v>527411</v>
      </c>
      <c r="H1290" s="81">
        <v>170747</v>
      </c>
      <c r="I1290" s="165" t="s">
        <v>253</v>
      </c>
      <c r="L1290" s="166">
        <v>0</v>
      </c>
      <c r="M1290" s="166">
        <v>1</v>
      </c>
      <c r="N1290" s="166">
        <v>1</v>
      </c>
      <c r="O1290" s="166">
        <v>1</v>
      </c>
      <c r="P1290" s="166">
        <v>1</v>
      </c>
      <c r="R1290" s="165" t="s">
        <v>2242</v>
      </c>
      <c r="S1290" s="81" t="s">
        <v>121</v>
      </c>
      <c r="T1290" s="349">
        <v>43047</v>
      </c>
      <c r="W1290" s="81" t="s">
        <v>114</v>
      </c>
      <c r="Y1290" s="81" t="s">
        <v>397</v>
      </c>
      <c r="Z1290" s="81" t="s">
        <v>116</v>
      </c>
      <c r="AA1290" s="81" t="s">
        <v>117</v>
      </c>
      <c r="AB1290" s="81" t="s">
        <v>218</v>
      </c>
      <c r="AC1290" s="166">
        <v>6.3000001013279003E-2</v>
      </c>
      <c r="AG1290" s="81" t="s">
        <v>238</v>
      </c>
      <c r="AH1290" s="81" t="s">
        <v>118</v>
      </c>
      <c r="AK1290" s="166">
        <v>0</v>
      </c>
      <c r="AM1290" s="166">
        <v>0</v>
      </c>
      <c r="AO1290" s="166">
        <v>0</v>
      </c>
      <c r="AP1290" s="166">
        <v>0</v>
      </c>
      <c r="AQ1290" s="166">
        <v>0</v>
      </c>
      <c r="AR1290" s="166">
        <v>1</v>
      </c>
      <c r="AS1290" s="166">
        <v>0</v>
      </c>
      <c r="AT1290" s="166">
        <v>0</v>
      </c>
      <c r="AU1290" s="166">
        <v>0</v>
      </c>
      <c r="AV1290" s="166">
        <v>0</v>
      </c>
      <c r="AW1290" s="166">
        <v>0</v>
      </c>
      <c r="AX1290" s="166">
        <v>0</v>
      </c>
      <c r="AY1290" s="166">
        <v>0</v>
      </c>
      <c r="AZ1290" s="166">
        <v>0</v>
      </c>
      <c r="BA1290" s="166">
        <v>0</v>
      </c>
      <c r="BB1290" s="166">
        <v>0</v>
      </c>
      <c r="BC1290" s="166">
        <v>0</v>
      </c>
      <c r="BD1290" s="166">
        <v>0</v>
      </c>
      <c r="BE1290" s="166">
        <v>0</v>
      </c>
      <c r="BF1290" s="166">
        <v>1</v>
      </c>
      <c r="BG1290" s="166">
        <v>0</v>
      </c>
      <c r="BH1290" s="166">
        <v>0</v>
      </c>
      <c r="BI1290" s="166">
        <v>0</v>
      </c>
      <c r="BJ1290" s="166">
        <v>0</v>
      </c>
      <c r="BK1290" s="166">
        <v>0</v>
      </c>
      <c r="BL1290" s="166">
        <v>0</v>
      </c>
      <c r="BM1290" s="166">
        <v>0</v>
      </c>
      <c r="BN1290" s="166">
        <v>0</v>
      </c>
      <c r="BO1290" s="166">
        <v>0</v>
      </c>
      <c r="BP1290" s="166">
        <v>0</v>
      </c>
      <c r="BQ1290" s="81" t="s">
        <v>1757</v>
      </c>
      <c r="BZ1290" s="81" t="s">
        <v>155</v>
      </c>
      <c r="CA1290" s="81">
        <v>6</v>
      </c>
      <c r="CC1290" s="167">
        <v>0</v>
      </c>
      <c r="CD1290" s="167">
        <v>0</v>
      </c>
      <c r="CE1290" s="167">
        <v>0</v>
      </c>
      <c r="CF1290" s="167">
        <v>0</v>
      </c>
      <c r="CG1290" s="167">
        <v>0</v>
      </c>
      <c r="CH1290" s="167">
        <f>$N1290/3</f>
        <v>0.33333333333333331</v>
      </c>
      <c r="CI1290" s="167">
        <f>$N1290/3</f>
        <v>0.33333333333333331</v>
      </c>
      <c r="CJ1290" s="167">
        <f>$N1290/3</f>
        <v>0.33333333333333331</v>
      </c>
      <c r="CK1290" s="167">
        <v>0</v>
      </c>
      <c r="CL1290" s="167">
        <v>0</v>
      </c>
      <c r="CM1290" s="167">
        <v>0</v>
      </c>
      <c r="CN1290" s="167">
        <v>0</v>
      </c>
      <c r="CO1290" s="167">
        <v>0</v>
      </c>
      <c r="CP1290" s="167">
        <v>0</v>
      </c>
      <c r="CQ1290" s="167">
        <v>0</v>
      </c>
      <c r="CR1290" s="167">
        <v>0</v>
      </c>
      <c r="CS1290" s="167">
        <v>0</v>
      </c>
      <c r="CT1290" s="167">
        <v>0</v>
      </c>
      <c r="CU1290" s="167">
        <v>0</v>
      </c>
      <c r="CV1290" s="167">
        <v>0</v>
      </c>
      <c r="CW1290" s="167">
        <v>0</v>
      </c>
      <c r="CX1290" s="167">
        <f>SUM(CD1290:CH1290)</f>
        <v>0.33333333333333331</v>
      </c>
      <c r="CY1290" s="167">
        <f>SUM(CD1290:CM1290)</f>
        <v>1</v>
      </c>
    </row>
    <row r="1291" spans="1:103" ht="12.75" customHeight="1" x14ac:dyDescent="0.2">
      <c r="A1291" s="81">
        <v>6739</v>
      </c>
      <c r="B1291" s="165" t="s">
        <v>1955</v>
      </c>
      <c r="C1291" s="165" t="s">
        <v>3457</v>
      </c>
      <c r="E1291" s="165" t="s">
        <v>3458</v>
      </c>
      <c r="G1291" s="81">
        <v>528376</v>
      </c>
      <c r="H1291" s="81">
        <v>173160</v>
      </c>
      <c r="I1291" s="165" t="s">
        <v>254</v>
      </c>
      <c r="L1291" s="166">
        <v>0</v>
      </c>
      <c r="M1291" s="166">
        <v>77</v>
      </c>
      <c r="N1291" s="166">
        <v>77</v>
      </c>
      <c r="O1291" s="166">
        <v>77</v>
      </c>
      <c r="P1291" s="166">
        <v>77</v>
      </c>
      <c r="Q1291" s="81" t="s">
        <v>155</v>
      </c>
      <c r="R1291" s="165" t="s">
        <v>3459</v>
      </c>
      <c r="S1291" s="81" t="s">
        <v>802</v>
      </c>
      <c r="T1291" s="349">
        <v>43188</v>
      </c>
      <c r="W1291" s="81" t="s">
        <v>114</v>
      </c>
      <c r="Y1291" s="81" t="s">
        <v>115</v>
      </c>
      <c r="Z1291" s="81" t="s">
        <v>310</v>
      </c>
      <c r="AA1291" s="81" t="s">
        <v>1764</v>
      </c>
      <c r="AB1291" s="81" t="s">
        <v>117</v>
      </c>
      <c r="AC1291" s="166">
        <v>0.25600001215934798</v>
      </c>
      <c r="AG1291" s="81" t="s">
        <v>238</v>
      </c>
      <c r="AH1291" s="81" t="s">
        <v>118</v>
      </c>
      <c r="AK1291" s="166">
        <v>0</v>
      </c>
      <c r="AM1291" s="166">
        <v>0</v>
      </c>
      <c r="AO1291" s="166">
        <v>58</v>
      </c>
      <c r="AP1291" s="166">
        <v>19</v>
      </c>
      <c r="AQ1291" s="166">
        <v>0</v>
      </c>
      <c r="AR1291" s="166">
        <v>0</v>
      </c>
      <c r="AS1291" s="166">
        <v>0</v>
      </c>
      <c r="AT1291" s="166">
        <v>0</v>
      </c>
      <c r="AU1291" s="166">
        <v>0</v>
      </c>
      <c r="AV1291" s="166">
        <v>58</v>
      </c>
      <c r="AW1291" s="166">
        <v>19</v>
      </c>
      <c r="AX1291" s="166">
        <v>0</v>
      </c>
      <c r="AY1291" s="166">
        <v>0</v>
      </c>
      <c r="AZ1291" s="166">
        <v>0</v>
      </c>
      <c r="BA1291" s="166">
        <v>0</v>
      </c>
      <c r="BB1291" s="166">
        <v>0</v>
      </c>
      <c r="BC1291" s="166">
        <v>0</v>
      </c>
      <c r="BD1291" s="166">
        <v>0</v>
      </c>
      <c r="BE1291" s="166">
        <v>0</v>
      </c>
      <c r="BF1291" s="166">
        <v>0</v>
      </c>
      <c r="BG1291" s="166">
        <v>0</v>
      </c>
      <c r="BH1291" s="166">
        <v>0</v>
      </c>
      <c r="BI1291" s="166">
        <v>0</v>
      </c>
      <c r="BJ1291" s="166">
        <v>0</v>
      </c>
      <c r="BK1291" s="166">
        <v>0</v>
      </c>
      <c r="BL1291" s="166">
        <v>0</v>
      </c>
      <c r="BM1291" s="166">
        <v>0</v>
      </c>
      <c r="BN1291" s="166">
        <v>0</v>
      </c>
      <c r="BO1291" s="166">
        <v>0</v>
      </c>
      <c r="BP1291" s="166">
        <v>0</v>
      </c>
      <c r="BQ1291" s="81" t="s">
        <v>1757</v>
      </c>
      <c r="BZ1291" s="81" t="s">
        <v>3991</v>
      </c>
      <c r="CA1291" s="81">
        <v>15</v>
      </c>
      <c r="CB1291" s="165" t="s">
        <v>4008</v>
      </c>
      <c r="CC1291" s="167">
        <v>0</v>
      </c>
      <c r="CD1291" s="167">
        <v>0</v>
      </c>
      <c r="CE1291" s="167">
        <v>0</v>
      </c>
      <c r="CF1291" s="167">
        <v>0</v>
      </c>
      <c r="CG1291" s="167">
        <v>0</v>
      </c>
      <c r="CH1291" s="167">
        <v>0</v>
      </c>
      <c r="CI1291" s="167">
        <v>0</v>
      </c>
      <c r="CJ1291" s="167">
        <v>0</v>
      </c>
      <c r="CK1291" s="167">
        <v>0</v>
      </c>
      <c r="CL1291" s="167">
        <v>0</v>
      </c>
      <c r="CM1291" s="167">
        <v>0</v>
      </c>
      <c r="CN1291" s="167">
        <v>0</v>
      </c>
      <c r="CO1291" s="167">
        <v>0</v>
      </c>
      <c r="CP1291" s="167">
        <v>0</v>
      </c>
      <c r="CQ1291" s="167">
        <v>0</v>
      </c>
      <c r="CR1291" s="167">
        <v>0</v>
      </c>
      <c r="CS1291" s="167">
        <v>0</v>
      </c>
      <c r="CT1291" s="167">
        <v>0</v>
      </c>
      <c r="CU1291" s="167">
        <v>0</v>
      </c>
      <c r="CV1291" s="167">
        <v>0</v>
      </c>
      <c r="CW1291" s="167">
        <v>0</v>
      </c>
      <c r="CX1291" s="167">
        <f>SUM(CD1291:CH1291)</f>
        <v>0</v>
      </c>
      <c r="CY1291" s="167">
        <f>SUM(CD1291:CM1291)</f>
        <v>0</v>
      </c>
    </row>
    <row r="1292" spans="1:103" ht="12.75" customHeight="1" x14ac:dyDescent="0.2">
      <c r="A1292" s="81">
        <v>6747</v>
      </c>
      <c r="B1292" s="165" t="s">
        <v>1955</v>
      </c>
      <c r="C1292" s="165" t="s">
        <v>2243</v>
      </c>
      <c r="E1292" s="165" t="s">
        <v>2244</v>
      </c>
      <c r="G1292" s="81">
        <v>524081</v>
      </c>
      <c r="H1292" s="81">
        <v>175494</v>
      </c>
      <c r="I1292" s="165" t="s">
        <v>259</v>
      </c>
      <c r="L1292" s="166">
        <v>1</v>
      </c>
      <c r="M1292" s="166">
        <v>3</v>
      </c>
      <c r="N1292" s="166">
        <v>2</v>
      </c>
      <c r="O1292" s="166">
        <v>3</v>
      </c>
      <c r="P1292" s="166">
        <v>2</v>
      </c>
      <c r="R1292" s="165" t="s">
        <v>2245</v>
      </c>
      <c r="S1292" s="81" t="s">
        <v>121</v>
      </c>
      <c r="T1292" s="349">
        <v>43048</v>
      </c>
      <c r="W1292" s="81" t="s">
        <v>114</v>
      </c>
      <c r="Y1292" s="81" t="s">
        <v>115</v>
      </c>
      <c r="Z1292" s="81" t="s">
        <v>398</v>
      </c>
      <c r="AA1292" s="81" t="s">
        <v>117</v>
      </c>
      <c r="AB1292" s="81" t="s">
        <v>220</v>
      </c>
      <c r="AC1292" s="166">
        <v>0</v>
      </c>
      <c r="AG1292" s="81" t="s">
        <v>238</v>
      </c>
      <c r="AH1292" s="81" t="s">
        <v>118</v>
      </c>
      <c r="AK1292" s="166">
        <v>0</v>
      </c>
      <c r="AM1292" s="166">
        <v>0</v>
      </c>
      <c r="AO1292" s="166">
        <v>0</v>
      </c>
      <c r="AP1292" s="166">
        <v>3</v>
      </c>
      <c r="AQ1292" s="166">
        <v>0</v>
      </c>
      <c r="AR1292" s="166">
        <v>0</v>
      </c>
      <c r="AS1292" s="166">
        <v>-1</v>
      </c>
      <c r="AT1292" s="166">
        <v>0</v>
      </c>
      <c r="AU1292" s="166">
        <v>0</v>
      </c>
      <c r="AV1292" s="166">
        <v>0</v>
      </c>
      <c r="AW1292" s="166">
        <v>3</v>
      </c>
      <c r="AX1292" s="166">
        <v>0</v>
      </c>
      <c r="AY1292" s="166">
        <v>0</v>
      </c>
      <c r="AZ1292" s="166">
        <v>-1</v>
      </c>
      <c r="BA1292" s="166">
        <v>0</v>
      </c>
      <c r="BB1292" s="166">
        <v>0</v>
      </c>
      <c r="BC1292" s="166">
        <v>0</v>
      </c>
      <c r="BD1292" s="166">
        <v>0</v>
      </c>
      <c r="BE1292" s="166">
        <v>0</v>
      </c>
      <c r="BF1292" s="166">
        <v>0</v>
      </c>
      <c r="BG1292" s="166">
        <v>0</v>
      </c>
      <c r="BH1292" s="166">
        <v>0</v>
      </c>
      <c r="BI1292" s="166">
        <v>0</v>
      </c>
      <c r="BJ1292" s="166">
        <v>0</v>
      </c>
      <c r="BK1292" s="166">
        <v>0</v>
      </c>
      <c r="BL1292" s="166">
        <v>0</v>
      </c>
      <c r="BM1292" s="166">
        <v>0</v>
      </c>
      <c r="BN1292" s="166">
        <v>0</v>
      </c>
      <c r="BO1292" s="166">
        <v>0</v>
      </c>
      <c r="BP1292" s="166">
        <v>0</v>
      </c>
      <c r="BQ1292" s="81" t="s">
        <v>1758</v>
      </c>
      <c r="BR1292" s="81" t="s">
        <v>161</v>
      </c>
      <c r="BZ1292" s="81" t="s">
        <v>155</v>
      </c>
      <c r="CA1292" s="81">
        <v>10</v>
      </c>
      <c r="CC1292" s="167">
        <v>0</v>
      </c>
      <c r="CD1292" s="167">
        <v>0</v>
      </c>
      <c r="CE1292" s="167">
        <v>0</v>
      </c>
      <c r="CF1292" s="167">
        <v>0</v>
      </c>
      <c r="CG1292" s="167">
        <v>0</v>
      </c>
      <c r="CH1292" s="167">
        <f>$N1292/3</f>
        <v>0.66666666666666663</v>
      </c>
      <c r="CI1292" s="167">
        <f>$N1292/3</f>
        <v>0.66666666666666663</v>
      </c>
      <c r="CJ1292" s="167">
        <f>$N1292/3</f>
        <v>0.66666666666666663</v>
      </c>
      <c r="CK1292" s="167">
        <v>0</v>
      </c>
      <c r="CL1292" s="167">
        <v>0</v>
      </c>
      <c r="CM1292" s="167">
        <v>0</v>
      </c>
      <c r="CN1292" s="167">
        <v>0</v>
      </c>
      <c r="CO1292" s="167">
        <v>0</v>
      </c>
      <c r="CP1292" s="167">
        <v>0</v>
      </c>
      <c r="CQ1292" s="167">
        <v>0</v>
      </c>
      <c r="CR1292" s="167">
        <v>0</v>
      </c>
      <c r="CS1292" s="167">
        <v>0</v>
      </c>
      <c r="CT1292" s="167">
        <v>0</v>
      </c>
      <c r="CU1292" s="167">
        <v>0</v>
      </c>
      <c r="CV1292" s="167">
        <v>0</v>
      </c>
      <c r="CW1292" s="167">
        <v>0</v>
      </c>
      <c r="CX1292" s="167">
        <f>SUM(CD1292:CH1292)</f>
        <v>0.66666666666666663</v>
      </c>
      <c r="CY1292" s="167">
        <f>SUM(CD1292:CM1292)</f>
        <v>2</v>
      </c>
    </row>
    <row r="1293" spans="1:103" ht="12.75" customHeight="1" x14ac:dyDescent="0.2">
      <c r="A1293" s="81">
        <v>6749</v>
      </c>
      <c r="B1293" s="165" t="s">
        <v>1955</v>
      </c>
      <c r="C1293" s="165" t="s">
        <v>2246</v>
      </c>
      <c r="E1293" s="165" t="s">
        <v>2247</v>
      </c>
      <c r="G1293" s="81">
        <v>527437</v>
      </c>
      <c r="H1293" s="81">
        <v>171695</v>
      </c>
      <c r="I1293" s="165" t="s">
        <v>242</v>
      </c>
      <c r="L1293" s="166">
        <v>1</v>
      </c>
      <c r="M1293" s="166">
        <v>2</v>
      </c>
      <c r="N1293" s="166">
        <v>1</v>
      </c>
      <c r="O1293" s="166">
        <v>2</v>
      </c>
      <c r="P1293" s="166">
        <v>1</v>
      </c>
      <c r="R1293" s="165" t="s">
        <v>2248</v>
      </c>
      <c r="S1293" s="81" t="s">
        <v>121</v>
      </c>
      <c r="T1293" s="349">
        <v>43166</v>
      </c>
      <c r="W1293" s="81" t="s">
        <v>114</v>
      </c>
      <c r="Y1293" s="81" t="s">
        <v>115</v>
      </c>
      <c r="Z1293" s="81" t="s">
        <v>398</v>
      </c>
      <c r="AA1293" s="81" t="s">
        <v>117</v>
      </c>
      <c r="AB1293" s="81" t="s">
        <v>120</v>
      </c>
      <c r="AC1293" s="166">
        <v>1.30000002682209E-2</v>
      </c>
      <c r="AG1293" s="81" t="s">
        <v>238</v>
      </c>
      <c r="AH1293" s="81" t="s">
        <v>118</v>
      </c>
      <c r="AK1293" s="166">
        <v>0</v>
      </c>
      <c r="AM1293" s="166">
        <v>0</v>
      </c>
      <c r="AO1293" s="166">
        <v>0</v>
      </c>
      <c r="AP1293" s="166">
        <v>2</v>
      </c>
      <c r="AQ1293" s="166">
        <v>0</v>
      </c>
      <c r="AR1293" s="166">
        <v>-1</v>
      </c>
      <c r="AS1293" s="166">
        <v>0</v>
      </c>
      <c r="AT1293" s="166">
        <v>0</v>
      </c>
      <c r="AU1293" s="166">
        <v>0</v>
      </c>
      <c r="AV1293" s="166">
        <v>0</v>
      </c>
      <c r="AW1293" s="166">
        <v>2</v>
      </c>
      <c r="AX1293" s="166">
        <v>0</v>
      </c>
      <c r="AY1293" s="166">
        <v>0</v>
      </c>
      <c r="AZ1293" s="166">
        <v>0</v>
      </c>
      <c r="BA1293" s="166">
        <v>0</v>
      </c>
      <c r="BB1293" s="166">
        <v>0</v>
      </c>
      <c r="BC1293" s="166">
        <v>0</v>
      </c>
      <c r="BD1293" s="166">
        <v>0</v>
      </c>
      <c r="BE1293" s="166">
        <v>0</v>
      </c>
      <c r="BF1293" s="166">
        <v>-1</v>
      </c>
      <c r="BG1293" s="166">
        <v>0</v>
      </c>
      <c r="BH1293" s="166">
        <v>0</v>
      </c>
      <c r="BI1293" s="166">
        <v>0</v>
      </c>
      <c r="BJ1293" s="166">
        <v>0</v>
      </c>
      <c r="BK1293" s="166">
        <v>0</v>
      </c>
      <c r="BL1293" s="166">
        <v>0</v>
      </c>
      <c r="BM1293" s="166">
        <v>0</v>
      </c>
      <c r="BN1293" s="166">
        <v>0</v>
      </c>
      <c r="BO1293" s="166">
        <v>0</v>
      </c>
      <c r="BP1293" s="166">
        <v>0</v>
      </c>
      <c r="BQ1293" s="81" t="s">
        <v>1757</v>
      </c>
      <c r="BZ1293" s="81" t="s">
        <v>155</v>
      </c>
      <c r="CA1293" s="81">
        <v>10</v>
      </c>
      <c r="CC1293" s="167">
        <v>0</v>
      </c>
      <c r="CD1293" s="167">
        <v>0</v>
      </c>
      <c r="CE1293" s="167">
        <v>0</v>
      </c>
      <c r="CF1293" s="167">
        <v>0</v>
      </c>
      <c r="CG1293" s="167">
        <v>0</v>
      </c>
      <c r="CH1293" s="167">
        <f>$N1293/3</f>
        <v>0.33333333333333331</v>
      </c>
      <c r="CI1293" s="167">
        <f>$N1293/3</f>
        <v>0.33333333333333331</v>
      </c>
      <c r="CJ1293" s="167">
        <f>$N1293/3</f>
        <v>0.33333333333333331</v>
      </c>
      <c r="CK1293" s="167">
        <v>0</v>
      </c>
      <c r="CL1293" s="167">
        <v>0</v>
      </c>
      <c r="CM1293" s="167">
        <v>0</v>
      </c>
      <c r="CN1293" s="167">
        <v>0</v>
      </c>
      <c r="CO1293" s="167">
        <v>0</v>
      </c>
      <c r="CP1293" s="167">
        <v>0</v>
      </c>
      <c r="CQ1293" s="167">
        <v>0</v>
      </c>
      <c r="CR1293" s="167">
        <v>0</v>
      </c>
      <c r="CS1293" s="167">
        <v>0</v>
      </c>
      <c r="CT1293" s="167">
        <v>0</v>
      </c>
      <c r="CU1293" s="167">
        <v>0</v>
      </c>
      <c r="CV1293" s="167">
        <v>0</v>
      </c>
      <c r="CW1293" s="167">
        <v>0</v>
      </c>
      <c r="CX1293" s="167">
        <f>SUM(CD1293:CH1293)</f>
        <v>0.33333333333333331</v>
      </c>
      <c r="CY1293" s="167">
        <f>SUM(CD1293:CM1293)</f>
        <v>1</v>
      </c>
    </row>
    <row r="1294" spans="1:103" ht="12.75" customHeight="1" x14ac:dyDescent="0.2">
      <c r="A1294" s="81">
        <v>6757</v>
      </c>
      <c r="B1294" s="165" t="s">
        <v>1955</v>
      </c>
      <c r="C1294" s="165" t="s">
        <v>2249</v>
      </c>
      <c r="E1294" s="165" t="s">
        <v>2250</v>
      </c>
      <c r="G1294" s="81">
        <v>525222</v>
      </c>
      <c r="H1294" s="81">
        <v>174998</v>
      </c>
      <c r="I1294" s="165" t="s">
        <v>251</v>
      </c>
      <c r="L1294" s="166">
        <v>0</v>
      </c>
      <c r="M1294" s="166">
        <v>9</v>
      </c>
      <c r="N1294" s="166">
        <v>9</v>
      </c>
      <c r="O1294" s="166">
        <v>9</v>
      </c>
      <c r="P1294" s="166">
        <v>9</v>
      </c>
      <c r="R1294" s="165" t="s">
        <v>2251</v>
      </c>
      <c r="S1294" s="81" t="s">
        <v>121</v>
      </c>
      <c r="T1294" s="349">
        <v>43074</v>
      </c>
      <c r="W1294" s="81" t="s">
        <v>114</v>
      </c>
      <c r="Y1294" s="81" t="s">
        <v>115</v>
      </c>
      <c r="Z1294" s="81" t="s">
        <v>116</v>
      </c>
      <c r="AA1294" s="81" t="s">
        <v>117</v>
      </c>
      <c r="AB1294" s="81" t="s">
        <v>218</v>
      </c>
      <c r="AC1294" s="166">
        <v>4.8999998718500103E-2</v>
      </c>
      <c r="AG1294" s="81" t="s">
        <v>238</v>
      </c>
      <c r="AH1294" s="81" t="s">
        <v>118</v>
      </c>
      <c r="AK1294" s="166">
        <v>0</v>
      </c>
      <c r="AL1294" s="166">
        <v>8</v>
      </c>
      <c r="AM1294" s="166">
        <v>0</v>
      </c>
      <c r="AN1294" s="166">
        <v>1</v>
      </c>
      <c r="AO1294" s="166">
        <v>0</v>
      </c>
      <c r="AP1294" s="166">
        <v>4</v>
      </c>
      <c r="AQ1294" s="166">
        <v>5</v>
      </c>
      <c r="AR1294" s="166">
        <v>0</v>
      </c>
      <c r="AS1294" s="166">
        <v>0</v>
      </c>
      <c r="AT1294" s="166">
        <v>0</v>
      </c>
      <c r="AU1294" s="166">
        <v>0</v>
      </c>
      <c r="AV1294" s="166">
        <v>0</v>
      </c>
      <c r="AW1294" s="166">
        <v>4</v>
      </c>
      <c r="AX1294" s="166">
        <v>5</v>
      </c>
      <c r="AY1294" s="166">
        <v>0</v>
      </c>
      <c r="AZ1294" s="166">
        <v>0</v>
      </c>
      <c r="BA1294" s="166">
        <v>0</v>
      </c>
      <c r="BB1294" s="166">
        <v>0</v>
      </c>
      <c r="BC1294" s="166">
        <v>0</v>
      </c>
      <c r="BD1294" s="166">
        <v>0</v>
      </c>
      <c r="BE1294" s="166">
        <v>0</v>
      </c>
      <c r="BF1294" s="166">
        <v>0</v>
      </c>
      <c r="BG1294" s="166">
        <v>0</v>
      </c>
      <c r="BH1294" s="166">
        <v>0</v>
      </c>
      <c r="BI1294" s="166">
        <v>0</v>
      </c>
      <c r="BJ1294" s="166">
        <v>0</v>
      </c>
      <c r="BK1294" s="166">
        <v>0</v>
      </c>
      <c r="BL1294" s="166">
        <v>0</v>
      </c>
      <c r="BM1294" s="166">
        <v>0</v>
      </c>
      <c r="BN1294" s="166">
        <v>0</v>
      </c>
      <c r="BO1294" s="166">
        <v>0</v>
      </c>
      <c r="BP1294" s="166">
        <v>0</v>
      </c>
      <c r="BQ1294" s="81" t="s">
        <v>1758</v>
      </c>
      <c r="BT1294" s="81" t="s">
        <v>155</v>
      </c>
      <c r="BZ1294" s="81" t="s">
        <v>155</v>
      </c>
      <c r="CA1294" s="81">
        <v>6</v>
      </c>
      <c r="CC1294" s="167">
        <v>0</v>
      </c>
      <c r="CD1294" s="167">
        <v>0</v>
      </c>
      <c r="CE1294" s="167">
        <v>0</v>
      </c>
      <c r="CF1294" s="167">
        <v>0</v>
      </c>
      <c r="CG1294" s="167">
        <v>0</v>
      </c>
      <c r="CH1294" s="167">
        <f>$N1294/3</f>
        <v>3</v>
      </c>
      <c r="CI1294" s="167">
        <f>$N1294/3</f>
        <v>3</v>
      </c>
      <c r="CJ1294" s="167">
        <f>$N1294/3</f>
        <v>3</v>
      </c>
      <c r="CK1294" s="167">
        <v>0</v>
      </c>
      <c r="CL1294" s="167">
        <v>0</v>
      </c>
      <c r="CM1294" s="167">
        <v>0</v>
      </c>
      <c r="CN1294" s="167">
        <v>0</v>
      </c>
      <c r="CO1294" s="167">
        <v>0</v>
      </c>
      <c r="CP1294" s="167">
        <v>0</v>
      </c>
      <c r="CQ1294" s="167">
        <v>0</v>
      </c>
      <c r="CR1294" s="167">
        <v>0</v>
      </c>
      <c r="CS1294" s="167">
        <v>0</v>
      </c>
      <c r="CT1294" s="167">
        <v>0</v>
      </c>
      <c r="CU1294" s="167">
        <v>0</v>
      </c>
      <c r="CV1294" s="167">
        <v>0</v>
      </c>
      <c r="CW1294" s="167">
        <v>0</v>
      </c>
      <c r="CX1294" s="167">
        <f>SUM(CD1294:CH1294)</f>
        <v>3</v>
      </c>
      <c r="CY1294" s="167">
        <f>SUM(CD1294:CM1294)</f>
        <v>9</v>
      </c>
    </row>
    <row r="1295" spans="1:103" ht="12.75" customHeight="1" x14ac:dyDescent="0.2">
      <c r="A1295" s="81">
        <v>6758</v>
      </c>
      <c r="B1295" s="165" t="s">
        <v>1955</v>
      </c>
      <c r="C1295" s="165" t="s">
        <v>3462</v>
      </c>
      <c r="E1295" s="165" t="s">
        <v>3463</v>
      </c>
      <c r="G1295" s="81">
        <v>527876</v>
      </c>
      <c r="H1295" s="81">
        <v>171066</v>
      </c>
      <c r="I1295" s="165" t="s">
        <v>253</v>
      </c>
      <c r="L1295" s="166">
        <v>0</v>
      </c>
      <c r="M1295" s="166">
        <v>10</v>
      </c>
      <c r="N1295" s="166">
        <v>10</v>
      </c>
      <c r="O1295" s="166">
        <v>10</v>
      </c>
      <c r="P1295" s="166">
        <v>10</v>
      </c>
      <c r="Q1295" s="81" t="s">
        <v>155</v>
      </c>
      <c r="R1295" s="165" t="s">
        <v>3464</v>
      </c>
      <c r="S1295" s="81" t="s">
        <v>121</v>
      </c>
      <c r="T1295" s="349">
        <v>43075</v>
      </c>
      <c r="W1295" s="81" t="s">
        <v>114</v>
      </c>
      <c r="Y1295" s="81" t="s">
        <v>115</v>
      </c>
      <c r="Z1295" s="81" t="s">
        <v>116</v>
      </c>
      <c r="AA1295" s="81" t="s">
        <v>116</v>
      </c>
      <c r="AB1295" s="81" t="s">
        <v>117</v>
      </c>
      <c r="AC1295" s="166">
        <v>0.10700000077485999</v>
      </c>
      <c r="AG1295" s="81" t="s">
        <v>238</v>
      </c>
      <c r="AH1295" s="81" t="s">
        <v>118</v>
      </c>
      <c r="AK1295" s="166">
        <v>0</v>
      </c>
      <c r="AM1295" s="166">
        <v>0</v>
      </c>
      <c r="AO1295" s="166">
        <v>0</v>
      </c>
      <c r="AP1295" s="166">
        <v>0</v>
      </c>
      <c r="AQ1295" s="166">
        <v>5</v>
      </c>
      <c r="AR1295" s="166">
        <v>5</v>
      </c>
      <c r="AS1295" s="166">
        <v>0</v>
      </c>
      <c r="AT1295" s="166">
        <v>0</v>
      </c>
      <c r="AU1295" s="166">
        <v>0</v>
      </c>
      <c r="AV1295" s="166">
        <v>0</v>
      </c>
      <c r="AW1295" s="166">
        <v>0</v>
      </c>
      <c r="AX1295" s="166">
        <v>5</v>
      </c>
      <c r="AY1295" s="166">
        <v>5</v>
      </c>
      <c r="AZ1295" s="166">
        <v>0</v>
      </c>
      <c r="BA1295" s="166">
        <v>0</v>
      </c>
      <c r="BB1295" s="166">
        <v>0</v>
      </c>
      <c r="BC1295" s="166">
        <v>0</v>
      </c>
      <c r="BD1295" s="166">
        <v>0</v>
      </c>
      <c r="BE1295" s="166">
        <v>0</v>
      </c>
      <c r="BF1295" s="166">
        <v>0</v>
      </c>
      <c r="BG1295" s="166">
        <v>0</v>
      </c>
      <c r="BH1295" s="166">
        <v>0</v>
      </c>
      <c r="BI1295" s="166">
        <v>0</v>
      </c>
      <c r="BJ1295" s="166">
        <v>0</v>
      </c>
      <c r="BK1295" s="166">
        <v>0</v>
      </c>
      <c r="BL1295" s="166">
        <v>0</v>
      </c>
      <c r="BM1295" s="166">
        <v>0</v>
      </c>
      <c r="BN1295" s="166">
        <v>0</v>
      </c>
      <c r="BO1295" s="166">
        <v>0</v>
      </c>
      <c r="BP1295" s="166">
        <v>0</v>
      </c>
      <c r="BQ1295" s="81" t="s">
        <v>1757</v>
      </c>
      <c r="BR1295" s="81" t="s">
        <v>242</v>
      </c>
      <c r="BZ1295" s="81" t="s">
        <v>155</v>
      </c>
      <c r="CA1295" s="81">
        <v>6</v>
      </c>
      <c r="CC1295" s="167">
        <v>0</v>
      </c>
      <c r="CD1295" s="167">
        <v>0</v>
      </c>
      <c r="CE1295" s="167">
        <v>0</v>
      </c>
      <c r="CF1295" s="167">
        <v>0</v>
      </c>
      <c r="CG1295" s="167">
        <v>0</v>
      </c>
      <c r="CH1295" s="167">
        <f>$N1295/3</f>
        <v>3.3333333333333335</v>
      </c>
      <c r="CI1295" s="167">
        <f>$N1295/3</f>
        <v>3.3333333333333335</v>
      </c>
      <c r="CJ1295" s="167">
        <f>$N1295/3</f>
        <v>3.3333333333333335</v>
      </c>
      <c r="CK1295" s="167">
        <v>0</v>
      </c>
      <c r="CL1295" s="167">
        <v>0</v>
      </c>
      <c r="CM1295" s="167">
        <v>0</v>
      </c>
      <c r="CN1295" s="167">
        <v>0</v>
      </c>
      <c r="CO1295" s="167">
        <v>0</v>
      </c>
      <c r="CP1295" s="167">
        <v>0</v>
      </c>
      <c r="CQ1295" s="167">
        <v>0</v>
      </c>
      <c r="CR1295" s="167">
        <v>0</v>
      </c>
      <c r="CS1295" s="167">
        <v>0</v>
      </c>
      <c r="CT1295" s="167">
        <v>0</v>
      </c>
      <c r="CU1295" s="167">
        <v>0</v>
      </c>
      <c r="CV1295" s="167">
        <v>0</v>
      </c>
      <c r="CW1295" s="167">
        <v>0</v>
      </c>
      <c r="CX1295" s="167">
        <f>SUM(CD1295:CH1295)</f>
        <v>3.3333333333333335</v>
      </c>
      <c r="CY1295" s="167">
        <f>SUM(CD1295:CM1295)</f>
        <v>10</v>
      </c>
    </row>
    <row r="1296" spans="1:103" ht="12.75" customHeight="1" x14ac:dyDescent="0.2">
      <c r="A1296" s="81">
        <v>6764</v>
      </c>
      <c r="B1296" s="165" t="s">
        <v>1955</v>
      </c>
      <c r="C1296" s="165" t="s">
        <v>2252</v>
      </c>
      <c r="E1296" s="165" t="s">
        <v>2253</v>
      </c>
      <c r="G1296" s="81">
        <v>524365</v>
      </c>
      <c r="H1296" s="81">
        <v>173954</v>
      </c>
      <c r="I1296" s="165" t="s">
        <v>111</v>
      </c>
      <c r="L1296" s="166">
        <v>0</v>
      </c>
      <c r="M1296" s="166">
        <v>4</v>
      </c>
      <c r="N1296" s="166">
        <v>4</v>
      </c>
      <c r="O1296" s="166">
        <v>4</v>
      </c>
      <c r="P1296" s="166">
        <v>4</v>
      </c>
      <c r="R1296" s="165" t="s">
        <v>2254</v>
      </c>
      <c r="S1296" s="81" t="s">
        <v>121</v>
      </c>
      <c r="T1296" s="349">
        <v>43097</v>
      </c>
      <c r="W1296" s="81" t="s">
        <v>114</v>
      </c>
      <c r="Y1296" s="81" t="s">
        <v>115</v>
      </c>
      <c r="Z1296" s="81" t="s">
        <v>116</v>
      </c>
      <c r="AA1296" s="81" t="s">
        <v>117</v>
      </c>
      <c r="AB1296" s="81" t="s">
        <v>218</v>
      </c>
      <c r="AC1296" s="166">
        <v>2.9999999329447701E-2</v>
      </c>
      <c r="AG1296" s="81" t="s">
        <v>154</v>
      </c>
      <c r="AH1296" s="81" t="s">
        <v>38</v>
      </c>
      <c r="AK1296" s="166">
        <v>0</v>
      </c>
      <c r="AM1296" s="166">
        <v>0</v>
      </c>
      <c r="AO1296" s="166">
        <v>0</v>
      </c>
      <c r="AP1296" s="166">
        <v>1</v>
      </c>
      <c r="AQ1296" s="166">
        <v>3</v>
      </c>
      <c r="AR1296" s="166">
        <v>0</v>
      </c>
      <c r="AS1296" s="166">
        <v>0</v>
      </c>
      <c r="AT1296" s="166">
        <v>0</v>
      </c>
      <c r="AU1296" s="166">
        <v>0</v>
      </c>
      <c r="AV1296" s="166">
        <v>0</v>
      </c>
      <c r="AW1296" s="166">
        <v>1</v>
      </c>
      <c r="AX1296" s="166">
        <v>3</v>
      </c>
      <c r="AY1296" s="166">
        <v>0</v>
      </c>
      <c r="AZ1296" s="166">
        <v>0</v>
      </c>
      <c r="BA1296" s="166">
        <v>0</v>
      </c>
      <c r="BB1296" s="166">
        <v>0</v>
      </c>
      <c r="BC1296" s="166">
        <v>0</v>
      </c>
      <c r="BD1296" s="166">
        <v>0</v>
      </c>
      <c r="BE1296" s="166">
        <v>0</v>
      </c>
      <c r="BF1296" s="166">
        <v>0</v>
      </c>
      <c r="BG1296" s="166">
        <v>0</v>
      </c>
      <c r="BH1296" s="166">
        <v>0</v>
      </c>
      <c r="BI1296" s="166">
        <v>0</v>
      </c>
      <c r="BJ1296" s="166">
        <v>0</v>
      </c>
      <c r="BK1296" s="166">
        <v>0</v>
      </c>
      <c r="BL1296" s="166">
        <v>0</v>
      </c>
      <c r="BM1296" s="166">
        <v>0</v>
      </c>
      <c r="BN1296" s="166">
        <v>0</v>
      </c>
      <c r="BO1296" s="166">
        <v>0</v>
      </c>
      <c r="BP1296" s="166">
        <v>0</v>
      </c>
      <c r="BQ1296" s="81" t="s">
        <v>1758</v>
      </c>
      <c r="BZ1296" s="81" t="s">
        <v>155</v>
      </c>
      <c r="CA1296" s="81">
        <v>6</v>
      </c>
      <c r="CC1296" s="167">
        <v>0</v>
      </c>
      <c r="CD1296" s="167">
        <v>0</v>
      </c>
      <c r="CE1296" s="167">
        <v>0</v>
      </c>
      <c r="CF1296" s="167">
        <v>0</v>
      </c>
      <c r="CG1296" s="167">
        <v>0</v>
      </c>
      <c r="CH1296" s="167">
        <f>$N1296/3</f>
        <v>1.3333333333333333</v>
      </c>
      <c r="CI1296" s="167">
        <f>$N1296/3</f>
        <v>1.3333333333333333</v>
      </c>
      <c r="CJ1296" s="167">
        <f>$N1296/3</f>
        <v>1.3333333333333333</v>
      </c>
      <c r="CK1296" s="167">
        <v>0</v>
      </c>
      <c r="CL1296" s="167">
        <v>0</v>
      </c>
      <c r="CM1296" s="167">
        <v>0</v>
      </c>
      <c r="CN1296" s="167">
        <v>0</v>
      </c>
      <c r="CO1296" s="167">
        <v>0</v>
      </c>
      <c r="CP1296" s="167">
        <v>0</v>
      </c>
      <c r="CQ1296" s="167">
        <v>0</v>
      </c>
      <c r="CR1296" s="167">
        <v>0</v>
      </c>
      <c r="CS1296" s="167">
        <v>0</v>
      </c>
      <c r="CT1296" s="167">
        <v>0</v>
      </c>
      <c r="CU1296" s="167">
        <v>0</v>
      </c>
      <c r="CV1296" s="167">
        <v>0</v>
      </c>
      <c r="CW1296" s="167">
        <v>0</v>
      </c>
      <c r="CX1296" s="167">
        <f>SUM(CD1296:CH1296)</f>
        <v>1.3333333333333333</v>
      </c>
      <c r="CY1296" s="167">
        <f>SUM(CD1296:CM1296)</f>
        <v>4</v>
      </c>
    </row>
    <row r="1297" spans="1:103" ht="12.75" customHeight="1" x14ac:dyDescent="0.2">
      <c r="A1297" s="81">
        <v>6765</v>
      </c>
      <c r="B1297" s="165" t="s">
        <v>1955</v>
      </c>
      <c r="C1297" s="165" t="s">
        <v>2255</v>
      </c>
      <c r="E1297" s="165" t="s">
        <v>3954</v>
      </c>
      <c r="G1297" s="81">
        <v>529291</v>
      </c>
      <c r="H1297" s="81">
        <v>171713</v>
      </c>
      <c r="I1297" s="165" t="s">
        <v>252</v>
      </c>
      <c r="L1297" s="166">
        <v>0</v>
      </c>
      <c r="M1297" s="166">
        <v>8</v>
      </c>
      <c r="N1297" s="166">
        <v>8</v>
      </c>
      <c r="O1297" s="166">
        <v>8</v>
      </c>
      <c r="P1297" s="166">
        <v>8</v>
      </c>
      <c r="R1297" s="165" t="s">
        <v>2256</v>
      </c>
      <c r="S1297" s="81" t="s">
        <v>121</v>
      </c>
      <c r="T1297" s="349">
        <v>43090</v>
      </c>
      <c r="W1297" s="81" t="s">
        <v>114</v>
      </c>
      <c r="Y1297" s="81" t="s">
        <v>115</v>
      </c>
      <c r="Z1297" s="81" t="s">
        <v>116</v>
      </c>
      <c r="AA1297" s="81" t="s">
        <v>117</v>
      </c>
      <c r="AB1297" s="81" t="s">
        <v>218</v>
      </c>
      <c r="AC1297" s="166">
        <v>3.70000004768372E-2</v>
      </c>
      <c r="AG1297" s="81" t="s">
        <v>154</v>
      </c>
      <c r="AH1297" s="81" t="s">
        <v>38</v>
      </c>
      <c r="AK1297" s="166">
        <v>0</v>
      </c>
      <c r="AM1297" s="166">
        <v>0</v>
      </c>
      <c r="AN1297" s="166">
        <v>2</v>
      </c>
      <c r="AO1297" s="166">
        <v>0</v>
      </c>
      <c r="AP1297" s="166">
        <v>8</v>
      </c>
      <c r="AQ1297" s="166">
        <v>0</v>
      </c>
      <c r="AR1297" s="166">
        <v>0</v>
      </c>
      <c r="AS1297" s="166">
        <v>0</v>
      </c>
      <c r="AT1297" s="166">
        <v>0</v>
      </c>
      <c r="AU1297" s="166">
        <v>0</v>
      </c>
      <c r="AV1297" s="166">
        <v>0</v>
      </c>
      <c r="AW1297" s="166">
        <v>8</v>
      </c>
      <c r="AX1297" s="166">
        <v>0</v>
      </c>
      <c r="AY1297" s="166">
        <v>0</v>
      </c>
      <c r="AZ1297" s="166">
        <v>0</v>
      </c>
      <c r="BA1297" s="166">
        <v>0</v>
      </c>
      <c r="BB1297" s="166">
        <v>0</v>
      </c>
      <c r="BC1297" s="166">
        <v>0</v>
      </c>
      <c r="BD1297" s="166">
        <v>0</v>
      </c>
      <c r="BE1297" s="166">
        <v>0</v>
      </c>
      <c r="BF1297" s="166">
        <v>0</v>
      </c>
      <c r="BG1297" s="166">
        <v>0</v>
      </c>
      <c r="BH1297" s="166">
        <v>0</v>
      </c>
      <c r="BI1297" s="166">
        <v>0</v>
      </c>
      <c r="BJ1297" s="166">
        <v>0</v>
      </c>
      <c r="BK1297" s="166">
        <v>0</v>
      </c>
      <c r="BL1297" s="166">
        <v>0</v>
      </c>
      <c r="BM1297" s="166">
        <v>0</v>
      </c>
      <c r="BN1297" s="166">
        <v>0</v>
      </c>
      <c r="BO1297" s="166">
        <v>0</v>
      </c>
      <c r="BP1297" s="166">
        <v>0</v>
      </c>
      <c r="BQ1297" s="81" t="s">
        <v>1757</v>
      </c>
      <c r="BZ1297" s="81" t="s">
        <v>155</v>
      </c>
      <c r="CA1297" s="81">
        <v>6</v>
      </c>
      <c r="CC1297" s="167">
        <v>0</v>
      </c>
      <c r="CD1297" s="167">
        <v>0</v>
      </c>
      <c r="CE1297" s="167">
        <v>0</v>
      </c>
      <c r="CF1297" s="167">
        <v>0</v>
      </c>
      <c r="CG1297" s="167">
        <v>0</v>
      </c>
      <c r="CH1297" s="167">
        <f>$N1297/3</f>
        <v>2.6666666666666665</v>
      </c>
      <c r="CI1297" s="167">
        <f>$N1297/3</f>
        <v>2.6666666666666665</v>
      </c>
      <c r="CJ1297" s="167">
        <f>$N1297/3</f>
        <v>2.6666666666666665</v>
      </c>
      <c r="CK1297" s="167">
        <v>0</v>
      </c>
      <c r="CL1297" s="167">
        <v>0</v>
      </c>
      <c r="CM1297" s="167">
        <v>0</v>
      </c>
      <c r="CN1297" s="167">
        <v>0</v>
      </c>
      <c r="CO1297" s="167">
        <v>0</v>
      </c>
      <c r="CP1297" s="167">
        <v>0</v>
      </c>
      <c r="CQ1297" s="167">
        <v>0</v>
      </c>
      <c r="CR1297" s="167">
        <v>0</v>
      </c>
      <c r="CS1297" s="167">
        <v>0</v>
      </c>
      <c r="CT1297" s="167">
        <v>0</v>
      </c>
      <c r="CU1297" s="167">
        <v>0</v>
      </c>
      <c r="CV1297" s="167">
        <v>0</v>
      </c>
      <c r="CW1297" s="167">
        <v>0</v>
      </c>
      <c r="CX1297" s="167">
        <f>SUM(CD1297:CH1297)</f>
        <v>2.6666666666666665</v>
      </c>
      <c r="CY1297" s="167">
        <f>SUM(CD1297:CM1297)</f>
        <v>8</v>
      </c>
    </row>
    <row r="1298" spans="1:103" ht="12.75" customHeight="1" x14ac:dyDescent="0.2">
      <c r="A1298" s="81">
        <v>6766</v>
      </c>
      <c r="B1298" s="165" t="s">
        <v>1955</v>
      </c>
      <c r="C1298" s="165" t="s">
        <v>3465</v>
      </c>
      <c r="E1298" s="165" t="s">
        <v>3466</v>
      </c>
      <c r="F1298" s="165" t="s">
        <v>3468</v>
      </c>
      <c r="G1298" s="81">
        <v>526808</v>
      </c>
      <c r="H1298" s="81">
        <v>175510</v>
      </c>
      <c r="I1298" s="165" t="s">
        <v>241</v>
      </c>
      <c r="L1298" s="166">
        <v>0</v>
      </c>
      <c r="M1298" s="166">
        <v>46</v>
      </c>
      <c r="N1298" s="166">
        <v>46</v>
      </c>
      <c r="O1298" s="166">
        <v>139</v>
      </c>
      <c r="P1298" s="166">
        <v>139</v>
      </c>
      <c r="Q1298" s="81" t="s">
        <v>155</v>
      </c>
      <c r="R1298" s="165" t="s">
        <v>3467</v>
      </c>
      <c r="S1298" s="81" t="s">
        <v>121</v>
      </c>
      <c r="T1298" s="349">
        <v>43087</v>
      </c>
      <c r="W1298" s="81" t="s">
        <v>114</v>
      </c>
      <c r="Y1298" s="81" t="s">
        <v>115</v>
      </c>
      <c r="Z1298" s="81" t="s">
        <v>116</v>
      </c>
      <c r="AA1298" s="81" t="s">
        <v>116</v>
      </c>
      <c r="AB1298" s="81" t="s">
        <v>117</v>
      </c>
      <c r="AC1298" s="166">
        <v>7.1000002324581105E-2</v>
      </c>
      <c r="AG1298" s="81" t="s">
        <v>154</v>
      </c>
      <c r="AH1298" s="81" t="s">
        <v>38</v>
      </c>
      <c r="AK1298" s="166">
        <v>0</v>
      </c>
      <c r="AL1298" s="166">
        <v>41</v>
      </c>
      <c r="AM1298" s="166">
        <v>0</v>
      </c>
      <c r="AN1298" s="166">
        <v>5</v>
      </c>
      <c r="AO1298" s="166">
        <v>0</v>
      </c>
      <c r="AP1298" s="166">
        <v>25</v>
      </c>
      <c r="AQ1298" s="166">
        <v>21</v>
      </c>
      <c r="AR1298" s="166">
        <v>0</v>
      </c>
      <c r="AS1298" s="166">
        <v>0</v>
      </c>
      <c r="AT1298" s="166">
        <v>0</v>
      </c>
      <c r="AU1298" s="166">
        <v>0</v>
      </c>
      <c r="AV1298" s="166">
        <v>0</v>
      </c>
      <c r="AW1298" s="166">
        <v>25</v>
      </c>
      <c r="AX1298" s="166">
        <v>21</v>
      </c>
      <c r="AY1298" s="166">
        <v>0</v>
      </c>
      <c r="AZ1298" s="166">
        <v>0</v>
      </c>
      <c r="BA1298" s="166">
        <v>0</v>
      </c>
      <c r="BB1298" s="166">
        <v>0</v>
      </c>
      <c r="BC1298" s="166">
        <v>0</v>
      </c>
      <c r="BD1298" s="166">
        <v>0</v>
      </c>
      <c r="BE1298" s="166">
        <v>0</v>
      </c>
      <c r="BF1298" s="166">
        <v>0</v>
      </c>
      <c r="BG1298" s="166">
        <v>0</v>
      </c>
      <c r="BH1298" s="166">
        <v>0</v>
      </c>
      <c r="BI1298" s="166">
        <v>0</v>
      </c>
      <c r="BJ1298" s="166">
        <v>0</v>
      </c>
      <c r="BK1298" s="166">
        <v>0</v>
      </c>
      <c r="BL1298" s="166">
        <v>0</v>
      </c>
      <c r="BM1298" s="166">
        <v>0</v>
      </c>
      <c r="BN1298" s="166">
        <v>0</v>
      </c>
      <c r="BO1298" s="166">
        <v>0</v>
      </c>
      <c r="BP1298" s="166">
        <v>0</v>
      </c>
      <c r="BQ1298" s="81" t="s">
        <v>1759</v>
      </c>
      <c r="BU1298" s="81" t="s">
        <v>155</v>
      </c>
      <c r="BZ1298" s="81" t="s">
        <v>3991</v>
      </c>
      <c r="CA1298" s="81">
        <v>15</v>
      </c>
      <c r="CB1298" s="165" t="s">
        <v>4009</v>
      </c>
      <c r="CC1298" s="167">
        <v>0</v>
      </c>
      <c r="CD1298" s="167">
        <v>0</v>
      </c>
      <c r="CE1298" s="167">
        <v>0</v>
      </c>
      <c r="CF1298" s="167">
        <v>0</v>
      </c>
      <c r="CG1298" s="167">
        <v>0</v>
      </c>
      <c r="CH1298" s="167">
        <v>0</v>
      </c>
      <c r="CI1298" s="167">
        <v>0</v>
      </c>
      <c r="CJ1298" s="167">
        <v>0</v>
      </c>
      <c r="CK1298" s="167">
        <v>0</v>
      </c>
      <c r="CL1298" s="167">
        <v>0</v>
      </c>
      <c r="CM1298" s="167">
        <v>0</v>
      </c>
      <c r="CN1298" s="167">
        <v>0</v>
      </c>
      <c r="CO1298" s="167">
        <v>0</v>
      </c>
      <c r="CP1298" s="167">
        <v>0</v>
      </c>
      <c r="CQ1298" s="167">
        <v>0</v>
      </c>
      <c r="CR1298" s="167">
        <v>0</v>
      </c>
      <c r="CS1298" s="167">
        <v>0</v>
      </c>
      <c r="CT1298" s="167">
        <v>0</v>
      </c>
      <c r="CU1298" s="167">
        <v>0</v>
      </c>
      <c r="CV1298" s="167">
        <v>0</v>
      </c>
      <c r="CW1298" s="167">
        <v>0</v>
      </c>
      <c r="CX1298" s="167">
        <f>SUM(CD1298:CH1298)</f>
        <v>0</v>
      </c>
      <c r="CY1298" s="167">
        <f>SUM(CD1298:CM1298)</f>
        <v>0</v>
      </c>
    </row>
    <row r="1299" spans="1:103" ht="12.75" customHeight="1" x14ac:dyDescent="0.2">
      <c r="A1299" s="81">
        <v>6766</v>
      </c>
      <c r="B1299" s="165" t="s">
        <v>1955</v>
      </c>
      <c r="C1299" s="165" t="s">
        <v>3465</v>
      </c>
      <c r="E1299" s="165" t="s">
        <v>3466</v>
      </c>
      <c r="G1299" s="81">
        <v>526808</v>
      </c>
      <c r="H1299" s="81">
        <v>175510</v>
      </c>
      <c r="I1299" s="165" t="s">
        <v>241</v>
      </c>
      <c r="L1299" s="166">
        <v>0</v>
      </c>
      <c r="M1299" s="166">
        <v>93</v>
      </c>
      <c r="N1299" s="166">
        <v>93</v>
      </c>
      <c r="O1299" s="166">
        <v>139</v>
      </c>
      <c r="P1299" s="166">
        <v>139</v>
      </c>
      <c r="Q1299" s="81" t="s">
        <v>155</v>
      </c>
      <c r="R1299" s="165" t="s">
        <v>3467</v>
      </c>
      <c r="S1299" s="81" t="s">
        <v>121</v>
      </c>
      <c r="T1299" s="349">
        <v>43087</v>
      </c>
      <c r="W1299" s="81" t="s">
        <v>114</v>
      </c>
      <c r="Y1299" s="81" t="s">
        <v>115</v>
      </c>
      <c r="Z1299" s="81" t="s">
        <v>116</v>
      </c>
      <c r="AA1299" s="81" t="s">
        <v>116</v>
      </c>
      <c r="AB1299" s="81" t="s">
        <v>117</v>
      </c>
      <c r="AC1299" s="166">
        <v>0.14300000667571999</v>
      </c>
      <c r="AG1299" s="81" t="s">
        <v>238</v>
      </c>
      <c r="AH1299" s="81" t="s">
        <v>118</v>
      </c>
      <c r="AK1299" s="166">
        <v>0</v>
      </c>
      <c r="AL1299" s="166">
        <v>84</v>
      </c>
      <c r="AM1299" s="166">
        <v>0</v>
      </c>
      <c r="AN1299" s="166">
        <v>9</v>
      </c>
      <c r="AO1299" s="166">
        <v>3</v>
      </c>
      <c r="AP1299" s="166">
        <v>30</v>
      </c>
      <c r="AQ1299" s="166">
        <v>52</v>
      </c>
      <c r="AR1299" s="166">
        <v>8</v>
      </c>
      <c r="AS1299" s="166">
        <v>0</v>
      </c>
      <c r="AT1299" s="166">
        <v>0</v>
      </c>
      <c r="AU1299" s="166">
        <v>0</v>
      </c>
      <c r="AV1299" s="166">
        <v>3</v>
      </c>
      <c r="AW1299" s="166">
        <v>30</v>
      </c>
      <c r="AX1299" s="166">
        <v>52</v>
      </c>
      <c r="AY1299" s="166">
        <v>8</v>
      </c>
      <c r="AZ1299" s="166">
        <v>0</v>
      </c>
      <c r="BA1299" s="166">
        <v>0</v>
      </c>
      <c r="BB1299" s="166">
        <v>0</v>
      </c>
      <c r="BC1299" s="166">
        <v>0</v>
      </c>
      <c r="BD1299" s="166">
        <v>0</v>
      </c>
      <c r="BE1299" s="166">
        <v>0</v>
      </c>
      <c r="BF1299" s="166">
        <v>0</v>
      </c>
      <c r="BG1299" s="166">
        <v>0</v>
      </c>
      <c r="BH1299" s="166">
        <v>0</v>
      </c>
      <c r="BI1299" s="166">
        <v>0</v>
      </c>
      <c r="BJ1299" s="166">
        <v>0</v>
      </c>
      <c r="BK1299" s="166">
        <v>0</v>
      </c>
      <c r="BL1299" s="166">
        <v>0</v>
      </c>
      <c r="BM1299" s="166">
        <v>0</v>
      </c>
      <c r="BN1299" s="166">
        <v>0</v>
      </c>
      <c r="BO1299" s="166">
        <v>0</v>
      </c>
      <c r="BP1299" s="166">
        <v>0</v>
      </c>
      <c r="BQ1299" s="81" t="s">
        <v>1759</v>
      </c>
      <c r="BU1299" s="81" t="s">
        <v>155</v>
      </c>
      <c r="BZ1299" s="81" t="s">
        <v>3991</v>
      </c>
      <c r="CA1299" s="81">
        <v>15</v>
      </c>
      <c r="CB1299" s="165" t="s">
        <v>4009</v>
      </c>
      <c r="CC1299" s="167">
        <v>0</v>
      </c>
      <c r="CD1299" s="167">
        <v>0</v>
      </c>
      <c r="CE1299" s="167">
        <v>0</v>
      </c>
      <c r="CF1299" s="167">
        <v>0</v>
      </c>
      <c r="CG1299" s="167">
        <v>0</v>
      </c>
      <c r="CH1299" s="167">
        <v>0</v>
      </c>
      <c r="CI1299" s="167">
        <v>0</v>
      </c>
      <c r="CJ1299" s="167">
        <v>0</v>
      </c>
      <c r="CK1299" s="167">
        <v>0</v>
      </c>
      <c r="CL1299" s="167">
        <v>0</v>
      </c>
      <c r="CM1299" s="167">
        <v>0</v>
      </c>
      <c r="CN1299" s="167">
        <v>0</v>
      </c>
      <c r="CO1299" s="167">
        <v>0</v>
      </c>
      <c r="CP1299" s="167">
        <v>0</v>
      </c>
      <c r="CQ1299" s="167">
        <v>0</v>
      </c>
      <c r="CR1299" s="167">
        <v>0</v>
      </c>
      <c r="CS1299" s="167">
        <v>0</v>
      </c>
      <c r="CT1299" s="167">
        <v>0</v>
      </c>
      <c r="CU1299" s="167">
        <v>0</v>
      </c>
      <c r="CV1299" s="167">
        <v>0</v>
      </c>
      <c r="CW1299" s="167">
        <v>0</v>
      </c>
      <c r="CX1299" s="167">
        <f>SUM(CD1299:CH1299)</f>
        <v>0</v>
      </c>
      <c r="CY1299" s="167">
        <f>SUM(CD1299:CM1299)</f>
        <v>0</v>
      </c>
    </row>
    <row r="1300" spans="1:103" ht="12.75" customHeight="1" x14ac:dyDescent="0.2">
      <c r="A1300" s="81">
        <v>6767</v>
      </c>
      <c r="B1300" s="165" t="s">
        <v>1955</v>
      </c>
      <c r="C1300" s="165" t="s">
        <v>2257</v>
      </c>
      <c r="E1300" s="165" t="s">
        <v>2258</v>
      </c>
      <c r="G1300" s="81">
        <v>527493</v>
      </c>
      <c r="H1300" s="81">
        <v>173327</v>
      </c>
      <c r="I1300" s="165" t="s">
        <v>254</v>
      </c>
      <c r="L1300" s="166">
        <v>1</v>
      </c>
      <c r="M1300" s="166">
        <v>4</v>
      </c>
      <c r="N1300" s="166">
        <v>3</v>
      </c>
      <c r="O1300" s="166">
        <v>4</v>
      </c>
      <c r="P1300" s="166">
        <v>3</v>
      </c>
      <c r="R1300" s="165" t="s">
        <v>2259</v>
      </c>
      <c r="S1300" s="81" t="s">
        <v>121</v>
      </c>
      <c r="T1300" s="349">
        <v>43083</v>
      </c>
      <c r="W1300" s="81" t="s">
        <v>114</v>
      </c>
      <c r="Y1300" s="81" t="s">
        <v>115</v>
      </c>
      <c r="Z1300" s="81" t="s">
        <v>398</v>
      </c>
      <c r="AA1300" s="81" t="s">
        <v>117</v>
      </c>
      <c r="AB1300" s="81" t="s">
        <v>120</v>
      </c>
      <c r="AC1300" s="166">
        <v>2.19999998807907E-2</v>
      </c>
      <c r="AG1300" s="81" t="s">
        <v>238</v>
      </c>
      <c r="AH1300" s="81" t="s">
        <v>118</v>
      </c>
      <c r="AK1300" s="166">
        <v>0</v>
      </c>
      <c r="AM1300" s="166">
        <v>0</v>
      </c>
      <c r="AO1300" s="166">
        <v>0</v>
      </c>
      <c r="AP1300" s="166">
        <v>1</v>
      </c>
      <c r="AQ1300" s="166">
        <v>1</v>
      </c>
      <c r="AR1300" s="166">
        <v>2</v>
      </c>
      <c r="AS1300" s="166">
        <v>-1</v>
      </c>
      <c r="AT1300" s="166">
        <v>0</v>
      </c>
      <c r="AU1300" s="166">
        <v>0</v>
      </c>
      <c r="AV1300" s="166">
        <v>0</v>
      </c>
      <c r="AW1300" s="166">
        <v>1</v>
      </c>
      <c r="AX1300" s="166">
        <v>1</v>
      </c>
      <c r="AY1300" s="166">
        <v>2</v>
      </c>
      <c r="AZ1300" s="166">
        <v>0</v>
      </c>
      <c r="BA1300" s="166">
        <v>0</v>
      </c>
      <c r="BB1300" s="166">
        <v>0</v>
      </c>
      <c r="BC1300" s="166">
        <v>0</v>
      </c>
      <c r="BD1300" s="166">
        <v>0</v>
      </c>
      <c r="BE1300" s="166">
        <v>0</v>
      </c>
      <c r="BF1300" s="166">
        <v>0</v>
      </c>
      <c r="BG1300" s="166">
        <v>-1</v>
      </c>
      <c r="BH1300" s="166">
        <v>0</v>
      </c>
      <c r="BI1300" s="166">
        <v>0</v>
      </c>
      <c r="BJ1300" s="166">
        <v>0</v>
      </c>
      <c r="BK1300" s="166">
        <v>0</v>
      </c>
      <c r="BL1300" s="166">
        <v>0</v>
      </c>
      <c r="BM1300" s="166">
        <v>0</v>
      </c>
      <c r="BN1300" s="166">
        <v>0</v>
      </c>
      <c r="BO1300" s="166">
        <v>0</v>
      </c>
      <c r="BP1300" s="166">
        <v>0</v>
      </c>
      <c r="BQ1300" s="81" t="s">
        <v>1757</v>
      </c>
      <c r="BZ1300" s="81" t="s">
        <v>155</v>
      </c>
      <c r="CA1300" s="81">
        <v>10</v>
      </c>
      <c r="CC1300" s="167">
        <v>0</v>
      </c>
      <c r="CD1300" s="167">
        <v>0</v>
      </c>
      <c r="CE1300" s="167">
        <v>0</v>
      </c>
      <c r="CF1300" s="167">
        <v>0</v>
      </c>
      <c r="CG1300" s="167">
        <v>0</v>
      </c>
      <c r="CH1300" s="167">
        <f>$N1300/3</f>
        <v>1</v>
      </c>
      <c r="CI1300" s="167">
        <f>$N1300/3</f>
        <v>1</v>
      </c>
      <c r="CJ1300" s="167">
        <f>$N1300/3</f>
        <v>1</v>
      </c>
      <c r="CK1300" s="167">
        <v>0</v>
      </c>
      <c r="CL1300" s="167">
        <v>0</v>
      </c>
      <c r="CM1300" s="167">
        <v>0</v>
      </c>
      <c r="CN1300" s="167">
        <v>0</v>
      </c>
      <c r="CO1300" s="167">
        <v>0</v>
      </c>
      <c r="CP1300" s="167">
        <v>0</v>
      </c>
      <c r="CQ1300" s="167">
        <v>0</v>
      </c>
      <c r="CR1300" s="167">
        <v>0</v>
      </c>
      <c r="CS1300" s="167">
        <v>0</v>
      </c>
      <c r="CT1300" s="167">
        <v>0</v>
      </c>
      <c r="CU1300" s="167">
        <v>0</v>
      </c>
      <c r="CV1300" s="167">
        <v>0</v>
      </c>
      <c r="CW1300" s="167">
        <v>0</v>
      </c>
      <c r="CX1300" s="167">
        <f>SUM(CD1300:CH1300)</f>
        <v>1</v>
      </c>
      <c r="CY1300" s="167">
        <f>SUM(CD1300:CM1300)</f>
        <v>3</v>
      </c>
    </row>
    <row r="1301" spans="1:103" ht="12.75" customHeight="1" x14ac:dyDescent="0.2">
      <c r="A1301" s="81">
        <v>6770</v>
      </c>
      <c r="B1301" s="165" t="s">
        <v>1955</v>
      </c>
      <c r="C1301" s="165" t="s">
        <v>2260</v>
      </c>
      <c r="E1301" s="165" t="s">
        <v>2261</v>
      </c>
      <c r="G1301" s="81">
        <v>526509</v>
      </c>
      <c r="H1301" s="81">
        <v>174129</v>
      </c>
      <c r="I1301" s="165" t="s">
        <v>260</v>
      </c>
      <c r="L1301" s="166">
        <v>1</v>
      </c>
      <c r="M1301" s="166">
        <v>2</v>
      </c>
      <c r="N1301" s="166">
        <v>1</v>
      </c>
      <c r="O1301" s="166">
        <v>2</v>
      </c>
      <c r="P1301" s="166">
        <v>1</v>
      </c>
      <c r="R1301" s="165" t="s">
        <v>2262</v>
      </c>
      <c r="S1301" s="81" t="s">
        <v>121</v>
      </c>
      <c r="T1301" s="349">
        <v>43083</v>
      </c>
      <c r="W1301" s="81" t="s">
        <v>114</v>
      </c>
      <c r="Y1301" s="81" t="s">
        <v>115</v>
      </c>
      <c r="Z1301" s="81" t="s">
        <v>398</v>
      </c>
      <c r="AA1301" s="81" t="s">
        <v>117</v>
      </c>
      <c r="AB1301" s="81" t="s">
        <v>120</v>
      </c>
      <c r="AC1301" s="166">
        <v>1.7999999225139601E-2</v>
      </c>
      <c r="AG1301" s="81" t="s">
        <v>238</v>
      </c>
      <c r="AH1301" s="81" t="s">
        <v>118</v>
      </c>
      <c r="AK1301" s="166">
        <v>0</v>
      </c>
      <c r="AM1301" s="166">
        <v>0</v>
      </c>
      <c r="AO1301" s="166">
        <v>0</v>
      </c>
      <c r="AP1301" s="166">
        <v>0</v>
      </c>
      <c r="AQ1301" s="166">
        <v>0</v>
      </c>
      <c r="AR1301" s="166">
        <v>1</v>
      </c>
      <c r="AS1301" s="166">
        <v>0</v>
      </c>
      <c r="AT1301" s="166">
        <v>0</v>
      </c>
      <c r="AU1301" s="166">
        <v>0</v>
      </c>
      <c r="AV1301" s="166">
        <v>0</v>
      </c>
      <c r="AW1301" s="166">
        <v>0</v>
      </c>
      <c r="AX1301" s="166">
        <v>0</v>
      </c>
      <c r="AY1301" s="166">
        <v>2</v>
      </c>
      <c r="AZ1301" s="166">
        <v>0</v>
      </c>
      <c r="BA1301" s="166">
        <v>0</v>
      </c>
      <c r="BB1301" s="166">
        <v>0</v>
      </c>
      <c r="BC1301" s="166">
        <v>0</v>
      </c>
      <c r="BD1301" s="166">
        <v>0</v>
      </c>
      <c r="BE1301" s="166">
        <v>0</v>
      </c>
      <c r="BF1301" s="166">
        <v>-1</v>
      </c>
      <c r="BG1301" s="166">
        <v>0</v>
      </c>
      <c r="BH1301" s="166">
        <v>0</v>
      </c>
      <c r="BI1301" s="166">
        <v>0</v>
      </c>
      <c r="BJ1301" s="166">
        <v>0</v>
      </c>
      <c r="BK1301" s="166">
        <v>0</v>
      </c>
      <c r="BL1301" s="166">
        <v>0</v>
      </c>
      <c r="BM1301" s="166">
        <v>0</v>
      </c>
      <c r="BN1301" s="166">
        <v>0</v>
      </c>
      <c r="BO1301" s="166">
        <v>0</v>
      </c>
      <c r="BP1301" s="166">
        <v>0</v>
      </c>
      <c r="BQ1301" s="81" t="s">
        <v>1758</v>
      </c>
      <c r="BZ1301" s="81" t="s">
        <v>155</v>
      </c>
      <c r="CA1301" s="81">
        <v>10</v>
      </c>
      <c r="CC1301" s="167">
        <v>0</v>
      </c>
      <c r="CD1301" s="167">
        <v>0</v>
      </c>
      <c r="CE1301" s="167">
        <v>0</v>
      </c>
      <c r="CF1301" s="167">
        <v>0</v>
      </c>
      <c r="CG1301" s="167">
        <v>0</v>
      </c>
      <c r="CH1301" s="167">
        <f>$N1301/3</f>
        <v>0.33333333333333331</v>
      </c>
      <c r="CI1301" s="167">
        <f>$N1301/3</f>
        <v>0.33333333333333331</v>
      </c>
      <c r="CJ1301" s="167">
        <f>$N1301/3</f>
        <v>0.33333333333333331</v>
      </c>
      <c r="CK1301" s="167">
        <v>0</v>
      </c>
      <c r="CL1301" s="167">
        <v>0</v>
      </c>
      <c r="CM1301" s="167">
        <v>0</v>
      </c>
      <c r="CN1301" s="167">
        <v>0</v>
      </c>
      <c r="CO1301" s="167">
        <v>0</v>
      </c>
      <c r="CP1301" s="167">
        <v>0</v>
      </c>
      <c r="CQ1301" s="167">
        <v>0</v>
      </c>
      <c r="CR1301" s="167">
        <v>0</v>
      </c>
      <c r="CS1301" s="167">
        <v>0</v>
      </c>
      <c r="CT1301" s="167">
        <v>0</v>
      </c>
      <c r="CU1301" s="167">
        <v>0</v>
      </c>
      <c r="CV1301" s="167">
        <v>0</v>
      </c>
      <c r="CW1301" s="167">
        <v>0</v>
      </c>
      <c r="CX1301" s="167">
        <f>SUM(CD1301:CH1301)</f>
        <v>0.33333333333333331</v>
      </c>
      <c r="CY1301" s="167">
        <f>SUM(CD1301:CM1301)</f>
        <v>1</v>
      </c>
    </row>
    <row r="1302" spans="1:103" ht="12.75" customHeight="1" x14ac:dyDescent="0.2">
      <c r="A1302" s="81">
        <v>6772</v>
      </c>
      <c r="B1302" s="165" t="s">
        <v>1955</v>
      </c>
      <c r="C1302" s="165" t="s">
        <v>2263</v>
      </c>
      <c r="E1302" s="165" t="s">
        <v>2264</v>
      </c>
      <c r="G1302" s="81">
        <v>522806</v>
      </c>
      <c r="H1302" s="81">
        <v>175115</v>
      </c>
      <c r="I1302" s="165" t="s">
        <v>59</v>
      </c>
      <c r="L1302" s="166">
        <v>1</v>
      </c>
      <c r="M1302" s="166">
        <v>1</v>
      </c>
      <c r="N1302" s="166">
        <v>0</v>
      </c>
      <c r="O1302" s="166">
        <v>1</v>
      </c>
      <c r="P1302" s="166">
        <v>0</v>
      </c>
      <c r="R1302" s="165" t="s">
        <v>2265</v>
      </c>
      <c r="S1302" s="81" t="s">
        <v>121</v>
      </c>
      <c r="T1302" s="349">
        <v>43088</v>
      </c>
      <c r="W1302" s="81" t="s">
        <v>114</v>
      </c>
      <c r="Y1302" s="81" t="s">
        <v>115</v>
      </c>
      <c r="Z1302" s="81" t="s">
        <v>116</v>
      </c>
      <c r="AA1302" s="81" t="s">
        <v>117</v>
      </c>
      <c r="AB1302" s="81" t="s">
        <v>218</v>
      </c>
      <c r="AC1302" s="166">
        <v>3.0999999493360499E-2</v>
      </c>
      <c r="AG1302" s="81" t="s">
        <v>238</v>
      </c>
      <c r="AH1302" s="81" t="s">
        <v>118</v>
      </c>
      <c r="AK1302" s="166">
        <v>0</v>
      </c>
      <c r="AM1302" s="166">
        <v>0</v>
      </c>
      <c r="AO1302" s="166">
        <v>0</v>
      </c>
      <c r="AP1302" s="166">
        <v>0</v>
      </c>
      <c r="AQ1302" s="166">
        <v>-1</v>
      </c>
      <c r="AR1302" s="166">
        <v>0</v>
      </c>
      <c r="AS1302" s="166">
        <v>0</v>
      </c>
      <c r="AT1302" s="166">
        <v>1</v>
      </c>
      <c r="AU1302" s="166">
        <v>0</v>
      </c>
      <c r="AV1302" s="166">
        <v>0</v>
      </c>
      <c r="AW1302" s="166">
        <v>0</v>
      </c>
      <c r="AX1302" s="166">
        <v>0</v>
      </c>
      <c r="AY1302" s="166">
        <v>0</v>
      </c>
      <c r="AZ1302" s="166">
        <v>0</v>
      </c>
      <c r="BA1302" s="166">
        <v>0</v>
      </c>
      <c r="BB1302" s="166">
        <v>0</v>
      </c>
      <c r="BC1302" s="166">
        <v>0</v>
      </c>
      <c r="BD1302" s="166">
        <v>0</v>
      </c>
      <c r="BE1302" s="166">
        <v>-1</v>
      </c>
      <c r="BF1302" s="166">
        <v>0</v>
      </c>
      <c r="BG1302" s="166">
        <v>0</v>
      </c>
      <c r="BH1302" s="166">
        <v>1</v>
      </c>
      <c r="BI1302" s="166">
        <v>0</v>
      </c>
      <c r="BJ1302" s="166">
        <v>0</v>
      </c>
      <c r="BK1302" s="166">
        <v>0</v>
      </c>
      <c r="BL1302" s="166">
        <v>0</v>
      </c>
      <c r="BM1302" s="166">
        <v>0</v>
      </c>
      <c r="BN1302" s="166">
        <v>0</v>
      </c>
      <c r="BO1302" s="166">
        <v>0</v>
      </c>
      <c r="BP1302" s="166">
        <v>0</v>
      </c>
      <c r="BQ1302" s="81" t="s">
        <v>1758</v>
      </c>
      <c r="BZ1302" s="81" t="s">
        <v>155</v>
      </c>
      <c r="CA1302" s="81">
        <v>6</v>
      </c>
      <c r="CC1302" s="167">
        <v>0</v>
      </c>
      <c r="CD1302" s="167">
        <v>0</v>
      </c>
      <c r="CE1302" s="167">
        <v>0</v>
      </c>
      <c r="CF1302" s="167">
        <v>0</v>
      </c>
      <c r="CG1302" s="167">
        <v>0</v>
      </c>
      <c r="CH1302" s="167">
        <f>$N1302/3</f>
        <v>0</v>
      </c>
      <c r="CI1302" s="167">
        <f>$N1302/3</f>
        <v>0</v>
      </c>
      <c r="CJ1302" s="167">
        <f>$N1302/3</f>
        <v>0</v>
      </c>
      <c r="CK1302" s="167">
        <v>0</v>
      </c>
      <c r="CL1302" s="167">
        <v>0</v>
      </c>
      <c r="CM1302" s="167">
        <v>0</v>
      </c>
      <c r="CN1302" s="167">
        <v>0</v>
      </c>
      <c r="CO1302" s="167">
        <v>0</v>
      </c>
      <c r="CP1302" s="167">
        <v>0</v>
      </c>
      <c r="CQ1302" s="167">
        <v>0</v>
      </c>
      <c r="CR1302" s="167">
        <v>0</v>
      </c>
      <c r="CS1302" s="167">
        <v>0</v>
      </c>
      <c r="CT1302" s="167">
        <v>0</v>
      </c>
      <c r="CU1302" s="167">
        <v>0</v>
      </c>
      <c r="CV1302" s="167">
        <v>0</v>
      </c>
      <c r="CW1302" s="167">
        <v>0</v>
      </c>
      <c r="CX1302" s="167">
        <f>SUM(CD1302:CH1302)</f>
        <v>0</v>
      </c>
      <c r="CY1302" s="167">
        <f>SUM(CD1302:CM1302)</f>
        <v>0</v>
      </c>
    </row>
    <row r="1303" spans="1:103" ht="12.75" customHeight="1" x14ac:dyDescent="0.2">
      <c r="A1303" s="81">
        <v>6774</v>
      </c>
      <c r="B1303" s="165" t="s">
        <v>1955</v>
      </c>
      <c r="C1303" s="165" t="s">
        <v>3469</v>
      </c>
      <c r="E1303" s="165" t="s">
        <v>3470</v>
      </c>
      <c r="G1303" s="81">
        <v>522514</v>
      </c>
      <c r="H1303" s="81">
        <v>173526</v>
      </c>
      <c r="I1303" s="165" t="s">
        <v>877</v>
      </c>
      <c r="L1303" s="166">
        <v>0</v>
      </c>
      <c r="M1303" s="166">
        <v>10</v>
      </c>
      <c r="N1303" s="166">
        <v>10</v>
      </c>
      <c r="O1303" s="166">
        <v>10</v>
      </c>
      <c r="P1303" s="166">
        <v>10</v>
      </c>
      <c r="Q1303" s="81" t="s">
        <v>155</v>
      </c>
      <c r="R1303" s="165" t="s">
        <v>3471</v>
      </c>
      <c r="S1303" s="81" t="s">
        <v>121</v>
      </c>
      <c r="T1303" s="349">
        <v>43105</v>
      </c>
      <c r="W1303" s="81" t="s">
        <v>114</v>
      </c>
      <c r="Y1303" s="81" t="s">
        <v>115</v>
      </c>
      <c r="Z1303" s="81" t="s">
        <v>116</v>
      </c>
      <c r="AA1303" s="81" t="s">
        <v>116</v>
      </c>
      <c r="AB1303" s="81" t="s">
        <v>117</v>
      </c>
      <c r="AC1303" s="166">
        <v>4.1000001132488299E-2</v>
      </c>
      <c r="AG1303" s="81" t="s">
        <v>154</v>
      </c>
      <c r="AH1303" s="81" t="s">
        <v>312</v>
      </c>
      <c r="AK1303" s="166">
        <v>0</v>
      </c>
      <c r="AL1303" s="166">
        <v>9</v>
      </c>
      <c r="AM1303" s="166">
        <v>0</v>
      </c>
      <c r="AN1303" s="166">
        <v>1</v>
      </c>
      <c r="AO1303" s="166">
        <v>0</v>
      </c>
      <c r="AP1303" s="166">
        <v>3</v>
      </c>
      <c r="AQ1303" s="166">
        <v>7</v>
      </c>
      <c r="AR1303" s="166">
        <v>0</v>
      </c>
      <c r="AS1303" s="166">
        <v>0</v>
      </c>
      <c r="AT1303" s="166">
        <v>0</v>
      </c>
      <c r="AU1303" s="166">
        <v>0</v>
      </c>
      <c r="AV1303" s="166">
        <v>0</v>
      </c>
      <c r="AW1303" s="166">
        <v>3</v>
      </c>
      <c r="AX1303" s="166">
        <v>7</v>
      </c>
      <c r="AY1303" s="166">
        <v>0</v>
      </c>
      <c r="AZ1303" s="166">
        <v>0</v>
      </c>
      <c r="BA1303" s="166">
        <v>0</v>
      </c>
      <c r="BB1303" s="166">
        <v>0</v>
      </c>
      <c r="BC1303" s="166">
        <v>0</v>
      </c>
      <c r="BD1303" s="166">
        <v>0</v>
      </c>
      <c r="BE1303" s="166">
        <v>0</v>
      </c>
      <c r="BF1303" s="166">
        <v>0</v>
      </c>
      <c r="BG1303" s="166">
        <v>0</v>
      </c>
      <c r="BH1303" s="166">
        <v>0</v>
      </c>
      <c r="BI1303" s="166">
        <v>0</v>
      </c>
      <c r="BJ1303" s="166">
        <v>0</v>
      </c>
      <c r="BK1303" s="166">
        <v>0</v>
      </c>
      <c r="BL1303" s="166">
        <v>0</v>
      </c>
      <c r="BM1303" s="166">
        <v>0</v>
      </c>
      <c r="BN1303" s="166">
        <v>0</v>
      </c>
      <c r="BO1303" s="166">
        <v>0</v>
      </c>
      <c r="BP1303" s="166">
        <v>0</v>
      </c>
      <c r="BQ1303" s="81" t="s">
        <v>1758</v>
      </c>
      <c r="BZ1303" s="81" t="s">
        <v>155</v>
      </c>
      <c r="CA1303" s="81">
        <v>6</v>
      </c>
      <c r="CC1303" s="167">
        <v>0</v>
      </c>
      <c r="CD1303" s="167">
        <v>0</v>
      </c>
      <c r="CE1303" s="167">
        <v>0</v>
      </c>
      <c r="CF1303" s="167">
        <v>0</v>
      </c>
      <c r="CG1303" s="167">
        <v>0</v>
      </c>
      <c r="CH1303" s="167">
        <f>$N1303/3</f>
        <v>3.3333333333333335</v>
      </c>
      <c r="CI1303" s="167">
        <f>$N1303/3</f>
        <v>3.3333333333333335</v>
      </c>
      <c r="CJ1303" s="167">
        <f>$N1303/3</f>
        <v>3.3333333333333335</v>
      </c>
      <c r="CK1303" s="167">
        <v>0</v>
      </c>
      <c r="CL1303" s="167">
        <v>0</v>
      </c>
      <c r="CM1303" s="167">
        <v>0</v>
      </c>
      <c r="CN1303" s="167">
        <v>0</v>
      </c>
      <c r="CO1303" s="167">
        <v>0</v>
      </c>
      <c r="CP1303" s="167">
        <v>0</v>
      </c>
      <c r="CQ1303" s="167">
        <v>0</v>
      </c>
      <c r="CR1303" s="167">
        <v>0</v>
      </c>
      <c r="CS1303" s="167">
        <v>0</v>
      </c>
      <c r="CT1303" s="167">
        <v>0</v>
      </c>
      <c r="CU1303" s="167">
        <v>0</v>
      </c>
      <c r="CV1303" s="167">
        <v>0</v>
      </c>
      <c r="CW1303" s="167">
        <v>0</v>
      </c>
      <c r="CX1303" s="167">
        <f>SUM(CD1303:CH1303)</f>
        <v>3.3333333333333335</v>
      </c>
      <c r="CY1303" s="167">
        <f>SUM(CD1303:CM1303)</f>
        <v>10</v>
      </c>
    </row>
    <row r="1304" spans="1:103" ht="12.75" customHeight="1" x14ac:dyDescent="0.2">
      <c r="A1304" s="81">
        <v>6786</v>
      </c>
      <c r="B1304" s="165" t="s">
        <v>1955</v>
      </c>
      <c r="C1304" s="165" t="s">
        <v>2266</v>
      </c>
      <c r="E1304" s="165" t="s">
        <v>2267</v>
      </c>
      <c r="G1304" s="81">
        <v>528170</v>
      </c>
      <c r="H1304" s="81">
        <v>172434</v>
      </c>
      <c r="I1304" s="165" t="s">
        <v>248</v>
      </c>
      <c r="L1304" s="166">
        <v>1</v>
      </c>
      <c r="M1304" s="166">
        <v>2</v>
      </c>
      <c r="N1304" s="166">
        <v>1</v>
      </c>
      <c r="O1304" s="166">
        <v>2</v>
      </c>
      <c r="P1304" s="166">
        <v>1</v>
      </c>
      <c r="R1304" s="165" t="s">
        <v>2268</v>
      </c>
      <c r="S1304" s="81" t="s">
        <v>121</v>
      </c>
      <c r="T1304" s="349">
        <v>43112</v>
      </c>
      <c r="W1304" s="81" t="s">
        <v>114</v>
      </c>
      <c r="Y1304" s="81" t="s">
        <v>115</v>
      </c>
      <c r="Z1304" s="81" t="s">
        <v>398</v>
      </c>
      <c r="AA1304" s="81" t="s">
        <v>117</v>
      </c>
      <c r="AB1304" s="81" t="s">
        <v>220</v>
      </c>
      <c r="AC1304" s="166">
        <v>1.60000007599592E-2</v>
      </c>
      <c r="AG1304" s="81" t="s">
        <v>238</v>
      </c>
      <c r="AH1304" s="81" t="s">
        <v>118</v>
      </c>
      <c r="AK1304" s="166">
        <v>0</v>
      </c>
      <c r="AM1304" s="166">
        <v>0</v>
      </c>
      <c r="AO1304" s="166">
        <v>0</v>
      </c>
      <c r="AP1304" s="166">
        <v>1</v>
      </c>
      <c r="AQ1304" s="166">
        <v>1</v>
      </c>
      <c r="AR1304" s="166">
        <v>-1</v>
      </c>
      <c r="AS1304" s="166">
        <v>0</v>
      </c>
      <c r="AT1304" s="166">
        <v>0</v>
      </c>
      <c r="AU1304" s="166">
        <v>0</v>
      </c>
      <c r="AV1304" s="166">
        <v>0</v>
      </c>
      <c r="AW1304" s="166">
        <v>1</v>
      </c>
      <c r="AX1304" s="166">
        <v>1</v>
      </c>
      <c r="AY1304" s="166">
        <v>-1</v>
      </c>
      <c r="AZ1304" s="166">
        <v>0</v>
      </c>
      <c r="BA1304" s="166">
        <v>0</v>
      </c>
      <c r="BB1304" s="166">
        <v>0</v>
      </c>
      <c r="BC1304" s="166">
        <v>0</v>
      </c>
      <c r="BD1304" s="166">
        <v>0</v>
      </c>
      <c r="BE1304" s="166">
        <v>0</v>
      </c>
      <c r="BF1304" s="166">
        <v>0</v>
      </c>
      <c r="BG1304" s="166">
        <v>0</v>
      </c>
      <c r="BH1304" s="166">
        <v>0</v>
      </c>
      <c r="BI1304" s="166">
        <v>0</v>
      </c>
      <c r="BJ1304" s="166">
        <v>0</v>
      </c>
      <c r="BK1304" s="166">
        <v>0</v>
      </c>
      <c r="BL1304" s="166">
        <v>0</v>
      </c>
      <c r="BM1304" s="166">
        <v>0</v>
      </c>
      <c r="BN1304" s="166">
        <v>0</v>
      </c>
      <c r="BO1304" s="166">
        <v>0</v>
      </c>
      <c r="BP1304" s="166">
        <v>0</v>
      </c>
      <c r="BQ1304" s="81" t="s">
        <v>1757</v>
      </c>
      <c r="BZ1304" s="81" t="s">
        <v>155</v>
      </c>
      <c r="CA1304" s="81">
        <v>10</v>
      </c>
      <c r="CC1304" s="167">
        <v>0</v>
      </c>
      <c r="CD1304" s="167">
        <v>0</v>
      </c>
      <c r="CE1304" s="167">
        <v>0</v>
      </c>
      <c r="CF1304" s="167">
        <v>0</v>
      </c>
      <c r="CG1304" s="167">
        <v>0</v>
      </c>
      <c r="CH1304" s="167">
        <f>$N1304/3</f>
        <v>0.33333333333333331</v>
      </c>
      <c r="CI1304" s="167">
        <f>$N1304/3</f>
        <v>0.33333333333333331</v>
      </c>
      <c r="CJ1304" s="167">
        <f>$N1304/3</f>
        <v>0.33333333333333331</v>
      </c>
      <c r="CK1304" s="167">
        <v>0</v>
      </c>
      <c r="CL1304" s="167">
        <v>0</v>
      </c>
      <c r="CM1304" s="167">
        <v>0</v>
      </c>
      <c r="CN1304" s="167">
        <v>0</v>
      </c>
      <c r="CO1304" s="167">
        <v>0</v>
      </c>
      <c r="CP1304" s="167">
        <v>0</v>
      </c>
      <c r="CQ1304" s="167">
        <v>0</v>
      </c>
      <c r="CR1304" s="167">
        <v>0</v>
      </c>
      <c r="CS1304" s="167">
        <v>0</v>
      </c>
      <c r="CT1304" s="167">
        <v>0</v>
      </c>
      <c r="CU1304" s="167">
        <v>0</v>
      </c>
      <c r="CV1304" s="167">
        <v>0</v>
      </c>
      <c r="CW1304" s="167">
        <v>0</v>
      </c>
      <c r="CX1304" s="167">
        <f>SUM(CD1304:CH1304)</f>
        <v>0.33333333333333331</v>
      </c>
      <c r="CY1304" s="167">
        <f>SUM(CD1304:CM1304)</f>
        <v>1</v>
      </c>
    </row>
    <row r="1305" spans="1:103" ht="12.75" customHeight="1" x14ac:dyDescent="0.2">
      <c r="A1305" s="81">
        <v>6789</v>
      </c>
      <c r="B1305" s="165" t="s">
        <v>1955</v>
      </c>
      <c r="C1305" s="165" t="s">
        <v>2269</v>
      </c>
      <c r="E1305" s="165" t="s">
        <v>2270</v>
      </c>
      <c r="G1305" s="81">
        <v>528385</v>
      </c>
      <c r="H1305" s="81">
        <v>175721</v>
      </c>
      <c r="I1305" s="165" t="s">
        <v>256</v>
      </c>
      <c r="L1305" s="166">
        <v>0</v>
      </c>
      <c r="M1305" s="166">
        <v>3</v>
      </c>
      <c r="N1305" s="166">
        <v>3</v>
      </c>
      <c r="O1305" s="166">
        <v>3</v>
      </c>
      <c r="P1305" s="166">
        <v>3</v>
      </c>
      <c r="R1305" s="165" t="s">
        <v>2271</v>
      </c>
      <c r="S1305" s="81" t="s">
        <v>121</v>
      </c>
      <c r="T1305" s="349">
        <v>43116</v>
      </c>
      <c r="W1305" s="81" t="s">
        <v>114</v>
      </c>
      <c r="Y1305" s="81" t="s">
        <v>115</v>
      </c>
      <c r="Z1305" s="81" t="s">
        <v>219</v>
      </c>
      <c r="AA1305" s="81" t="s">
        <v>117</v>
      </c>
      <c r="AB1305" s="81" t="s">
        <v>3889</v>
      </c>
      <c r="AC1305" s="166">
        <v>0</v>
      </c>
      <c r="AG1305" s="81" t="s">
        <v>238</v>
      </c>
      <c r="AH1305" s="81" t="s">
        <v>118</v>
      </c>
      <c r="AK1305" s="166">
        <v>0</v>
      </c>
      <c r="AM1305" s="166">
        <v>0</v>
      </c>
      <c r="AO1305" s="166">
        <v>0</v>
      </c>
      <c r="AP1305" s="166">
        <v>2</v>
      </c>
      <c r="AQ1305" s="166">
        <v>1</v>
      </c>
      <c r="AR1305" s="166">
        <v>0</v>
      </c>
      <c r="AS1305" s="166">
        <v>0</v>
      </c>
      <c r="AT1305" s="166">
        <v>0</v>
      </c>
      <c r="AU1305" s="166">
        <v>0</v>
      </c>
      <c r="AV1305" s="166">
        <v>0</v>
      </c>
      <c r="AW1305" s="166">
        <v>2</v>
      </c>
      <c r="AX1305" s="166">
        <v>1</v>
      </c>
      <c r="AY1305" s="166">
        <v>0</v>
      </c>
      <c r="AZ1305" s="166">
        <v>0</v>
      </c>
      <c r="BA1305" s="166">
        <v>0</v>
      </c>
      <c r="BB1305" s="166">
        <v>0</v>
      </c>
      <c r="BC1305" s="166">
        <v>0</v>
      </c>
      <c r="BD1305" s="166">
        <v>0</v>
      </c>
      <c r="BE1305" s="166">
        <v>0</v>
      </c>
      <c r="BF1305" s="166">
        <v>0</v>
      </c>
      <c r="BG1305" s="166">
        <v>0</v>
      </c>
      <c r="BH1305" s="166">
        <v>0</v>
      </c>
      <c r="BI1305" s="166">
        <v>0</v>
      </c>
      <c r="BJ1305" s="166">
        <v>0</v>
      </c>
      <c r="BK1305" s="166">
        <v>0</v>
      </c>
      <c r="BL1305" s="166">
        <v>0</v>
      </c>
      <c r="BM1305" s="166">
        <v>0</v>
      </c>
      <c r="BN1305" s="166">
        <v>0</v>
      </c>
      <c r="BO1305" s="166">
        <v>0</v>
      </c>
      <c r="BP1305" s="166">
        <v>0</v>
      </c>
      <c r="BQ1305" s="81" t="s">
        <v>1757</v>
      </c>
      <c r="BZ1305" s="81" t="s">
        <v>155</v>
      </c>
      <c r="CA1305" s="81">
        <v>10</v>
      </c>
      <c r="CC1305" s="167">
        <v>0</v>
      </c>
      <c r="CD1305" s="167">
        <v>0</v>
      </c>
      <c r="CE1305" s="167">
        <v>0</v>
      </c>
      <c r="CF1305" s="167">
        <v>0</v>
      </c>
      <c r="CG1305" s="167">
        <v>0</v>
      </c>
      <c r="CH1305" s="167">
        <f>$N1305/3</f>
        <v>1</v>
      </c>
      <c r="CI1305" s="167">
        <f>$N1305/3</f>
        <v>1</v>
      </c>
      <c r="CJ1305" s="167">
        <f>$N1305/3</f>
        <v>1</v>
      </c>
      <c r="CK1305" s="167">
        <v>0</v>
      </c>
      <c r="CL1305" s="167">
        <v>0</v>
      </c>
      <c r="CM1305" s="167">
        <v>0</v>
      </c>
      <c r="CN1305" s="167">
        <v>0</v>
      </c>
      <c r="CO1305" s="167">
        <v>0</v>
      </c>
      <c r="CP1305" s="167">
        <v>0</v>
      </c>
      <c r="CQ1305" s="167">
        <v>0</v>
      </c>
      <c r="CR1305" s="167">
        <v>0</v>
      </c>
      <c r="CS1305" s="167">
        <v>0</v>
      </c>
      <c r="CT1305" s="167">
        <v>0</v>
      </c>
      <c r="CU1305" s="167">
        <v>0</v>
      </c>
      <c r="CV1305" s="167">
        <v>0</v>
      </c>
      <c r="CW1305" s="167">
        <v>0</v>
      </c>
      <c r="CX1305" s="167">
        <f>SUM(CD1305:CH1305)</f>
        <v>1</v>
      </c>
      <c r="CY1305" s="167">
        <f>SUM(CD1305:CM1305)</f>
        <v>3</v>
      </c>
    </row>
    <row r="1306" spans="1:103" ht="12.75" customHeight="1" x14ac:dyDescent="0.2">
      <c r="A1306" s="81">
        <v>6796</v>
      </c>
      <c r="B1306" s="165" t="s">
        <v>1955</v>
      </c>
      <c r="C1306" s="165" t="s">
        <v>2272</v>
      </c>
      <c r="E1306" s="165" t="s">
        <v>2273</v>
      </c>
      <c r="G1306" s="81">
        <v>524850</v>
      </c>
      <c r="H1306" s="81">
        <v>172813</v>
      </c>
      <c r="I1306" s="165" t="s">
        <v>258</v>
      </c>
      <c r="L1306" s="166">
        <v>1</v>
      </c>
      <c r="M1306" s="166">
        <v>3</v>
      </c>
      <c r="N1306" s="166">
        <v>2</v>
      </c>
      <c r="O1306" s="166">
        <v>3</v>
      </c>
      <c r="P1306" s="166">
        <v>2</v>
      </c>
      <c r="R1306" s="165" t="s">
        <v>2274</v>
      </c>
      <c r="S1306" s="81" t="s">
        <v>121</v>
      </c>
      <c r="T1306" s="349">
        <v>43119</v>
      </c>
      <c r="W1306" s="81" t="s">
        <v>114</v>
      </c>
      <c r="Y1306" s="81" t="s">
        <v>115</v>
      </c>
      <c r="Z1306" s="81" t="s">
        <v>119</v>
      </c>
      <c r="AA1306" s="81" t="s">
        <v>117</v>
      </c>
      <c r="AB1306" s="81" t="s">
        <v>120</v>
      </c>
      <c r="AC1306" s="166">
        <v>2.4000000208616298E-2</v>
      </c>
      <c r="AG1306" s="81" t="s">
        <v>238</v>
      </c>
      <c r="AH1306" s="81" t="s">
        <v>118</v>
      </c>
      <c r="AK1306" s="166">
        <v>0</v>
      </c>
      <c r="AM1306" s="166">
        <v>0</v>
      </c>
      <c r="AO1306" s="166">
        <v>0</v>
      </c>
      <c r="AP1306" s="166">
        <v>0</v>
      </c>
      <c r="AQ1306" s="166">
        <v>2</v>
      </c>
      <c r="AR1306" s="166">
        <v>1</v>
      </c>
      <c r="AS1306" s="166">
        <v>-1</v>
      </c>
      <c r="AT1306" s="166">
        <v>0</v>
      </c>
      <c r="AU1306" s="166">
        <v>0</v>
      </c>
      <c r="AV1306" s="166">
        <v>0</v>
      </c>
      <c r="AW1306" s="166">
        <v>0</v>
      </c>
      <c r="AX1306" s="166">
        <v>2</v>
      </c>
      <c r="AY1306" s="166">
        <v>1</v>
      </c>
      <c r="AZ1306" s="166">
        <v>0</v>
      </c>
      <c r="BA1306" s="166">
        <v>0</v>
      </c>
      <c r="BB1306" s="166">
        <v>0</v>
      </c>
      <c r="BC1306" s="166">
        <v>0</v>
      </c>
      <c r="BD1306" s="166">
        <v>0</v>
      </c>
      <c r="BE1306" s="166">
        <v>0</v>
      </c>
      <c r="BF1306" s="166">
        <v>0</v>
      </c>
      <c r="BG1306" s="166">
        <v>-1</v>
      </c>
      <c r="BH1306" s="166">
        <v>0</v>
      </c>
      <c r="BI1306" s="166">
        <v>0</v>
      </c>
      <c r="BJ1306" s="166">
        <v>0</v>
      </c>
      <c r="BK1306" s="166">
        <v>0</v>
      </c>
      <c r="BL1306" s="166">
        <v>0</v>
      </c>
      <c r="BM1306" s="166">
        <v>0</v>
      </c>
      <c r="BN1306" s="166">
        <v>0</v>
      </c>
      <c r="BO1306" s="166">
        <v>0</v>
      </c>
      <c r="BP1306" s="166">
        <v>0</v>
      </c>
      <c r="BQ1306" s="81" t="s">
        <v>1758</v>
      </c>
      <c r="BZ1306" s="81" t="s">
        <v>155</v>
      </c>
      <c r="CA1306" s="81">
        <v>10</v>
      </c>
      <c r="CC1306" s="167">
        <v>0</v>
      </c>
      <c r="CD1306" s="167">
        <v>0</v>
      </c>
      <c r="CE1306" s="167">
        <v>0</v>
      </c>
      <c r="CF1306" s="167">
        <v>0</v>
      </c>
      <c r="CG1306" s="167">
        <v>0</v>
      </c>
      <c r="CH1306" s="167">
        <f>$N1306/3</f>
        <v>0.66666666666666663</v>
      </c>
      <c r="CI1306" s="167">
        <f>$N1306/3</f>
        <v>0.66666666666666663</v>
      </c>
      <c r="CJ1306" s="167">
        <f>$N1306/3</f>
        <v>0.66666666666666663</v>
      </c>
      <c r="CK1306" s="167">
        <v>0</v>
      </c>
      <c r="CL1306" s="167">
        <v>0</v>
      </c>
      <c r="CM1306" s="167">
        <v>0</v>
      </c>
      <c r="CN1306" s="167">
        <v>0</v>
      </c>
      <c r="CO1306" s="167">
        <v>0</v>
      </c>
      <c r="CP1306" s="167">
        <v>0</v>
      </c>
      <c r="CQ1306" s="167">
        <v>0</v>
      </c>
      <c r="CR1306" s="167">
        <v>0</v>
      </c>
      <c r="CS1306" s="167">
        <v>0</v>
      </c>
      <c r="CT1306" s="167">
        <v>0</v>
      </c>
      <c r="CU1306" s="167">
        <v>0</v>
      </c>
      <c r="CV1306" s="167">
        <v>0</v>
      </c>
      <c r="CW1306" s="167">
        <v>0</v>
      </c>
      <c r="CX1306" s="167">
        <f>SUM(CD1306:CH1306)</f>
        <v>0.66666666666666663</v>
      </c>
      <c r="CY1306" s="167">
        <f>SUM(CD1306:CM1306)</f>
        <v>2</v>
      </c>
    </row>
    <row r="1307" spans="1:103" ht="12.75" customHeight="1" x14ac:dyDescent="0.2">
      <c r="A1307" s="81">
        <v>6801</v>
      </c>
      <c r="B1307" s="165" t="s">
        <v>1955</v>
      </c>
      <c r="C1307" s="165" t="s">
        <v>2275</v>
      </c>
      <c r="E1307" s="165" t="s">
        <v>2276</v>
      </c>
      <c r="G1307" s="81">
        <v>527991</v>
      </c>
      <c r="H1307" s="81">
        <v>171264</v>
      </c>
      <c r="I1307" s="165" t="s">
        <v>253</v>
      </c>
      <c r="L1307" s="166">
        <v>1</v>
      </c>
      <c r="M1307" s="166">
        <v>2</v>
      </c>
      <c r="N1307" s="166">
        <v>1</v>
      </c>
      <c r="O1307" s="166">
        <v>2</v>
      </c>
      <c r="P1307" s="166">
        <v>1</v>
      </c>
      <c r="R1307" s="165" t="s">
        <v>2277</v>
      </c>
      <c r="S1307" s="81" t="s">
        <v>121</v>
      </c>
      <c r="T1307" s="349">
        <v>43136</v>
      </c>
      <c r="W1307" s="81" t="s">
        <v>114</v>
      </c>
      <c r="Y1307" s="81" t="s">
        <v>115</v>
      </c>
      <c r="Z1307" s="81" t="s">
        <v>119</v>
      </c>
      <c r="AA1307" s="81" t="s">
        <v>117</v>
      </c>
      <c r="AB1307" s="81" t="s">
        <v>120</v>
      </c>
      <c r="AC1307" s="166">
        <v>9.9999997764825804E-3</v>
      </c>
      <c r="AG1307" s="81" t="s">
        <v>238</v>
      </c>
      <c r="AH1307" s="81" t="s">
        <v>118</v>
      </c>
      <c r="AK1307" s="166">
        <v>0</v>
      </c>
      <c r="AM1307" s="166">
        <v>0</v>
      </c>
      <c r="AO1307" s="166">
        <v>0</v>
      </c>
      <c r="AP1307" s="166">
        <v>1</v>
      </c>
      <c r="AQ1307" s="166">
        <v>0</v>
      </c>
      <c r="AR1307" s="166">
        <v>0</v>
      </c>
      <c r="AS1307" s="166">
        <v>0</v>
      </c>
      <c r="AT1307" s="166">
        <v>0</v>
      </c>
      <c r="AU1307" s="166">
        <v>0</v>
      </c>
      <c r="AV1307" s="166">
        <v>0</v>
      </c>
      <c r="AW1307" s="166">
        <v>1</v>
      </c>
      <c r="AX1307" s="166">
        <v>0</v>
      </c>
      <c r="AY1307" s="166">
        <v>1</v>
      </c>
      <c r="AZ1307" s="166">
        <v>0</v>
      </c>
      <c r="BA1307" s="166">
        <v>0</v>
      </c>
      <c r="BB1307" s="166">
        <v>0</v>
      </c>
      <c r="BC1307" s="166">
        <v>0</v>
      </c>
      <c r="BD1307" s="166">
        <v>0</v>
      </c>
      <c r="BE1307" s="166">
        <v>0</v>
      </c>
      <c r="BF1307" s="166">
        <v>-1</v>
      </c>
      <c r="BG1307" s="166">
        <v>0</v>
      </c>
      <c r="BH1307" s="166">
        <v>0</v>
      </c>
      <c r="BI1307" s="166">
        <v>0</v>
      </c>
      <c r="BJ1307" s="166">
        <v>0</v>
      </c>
      <c r="BK1307" s="166">
        <v>0</v>
      </c>
      <c r="BL1307" s="166">
        <v>0</v>
      </c>
      <c r="BM1307" s="166">
        <v>0</v>
      </c>
      <c r="BN1307" s="166">
        <v>0</v>
      </c>
      <c r="BO1307" s="166">
        <v>0</v>
      </c>
      <c r="BP1307" s="166">
        <v>0</v>
      </c>
      <c r="BQ1307" s="81" t="s">
        <v>1757</v>
      </c>
      <c r="BZ1307" s="81" t="s">
        <v>155</v>
      </c>
      <c r="CA1307" s="81">
        <v>10</v>
      </c>
      <c r="CC1307" s="167">
        <v>0</v>
      </c>
      <c r="CD1307" s="167">
        <v>0</v>
      </c>
      <c r="CE1307" s="167">
        <v>0</v>
      </c>
      <c r="CF1307" s="167">
        <v>0</v>
      </c>
      <c r="CG1307" s="167">
        <v>0</v>
      </c>
      <c r="CH1307" s="167">
        <f>$N1307/3</f>
        <v>0.33333333333333331</v>
      </c>
      <c r="CI1307" s="167">
        <f>$N1307/3</f>
        <v>0.33333333333333331</v>
      </c>
      <c r="CJ1307" s="167">
        <f>$N1307/3</f>
        <v>0.33333333333333331</v>
      </c>
      <c r="CK1307" s="167">
        <v>0</v>
      </c>
      <c r="CL1307" s="167">
        <v>0</v>
      </c>
      <c r="CM1307" s="167">
        <v>0</v>
      </c>
      <c r="CN1307" s="167">
        <v>0</v>
      </c>
      <c r="CO1307" s="167">
        <v>0</v>
      </c>
      <c r="CP1307" s="167">
        <v>0</v>
      </c>
      <c r="CQ1307" s="167">
        <v>0</v>
      </c>
      <c r="CR1307" s="167">
        <v>0</v>
      </c>
      <c r="CS1307" s="167">
        <v>0</v>
      </c>
      <c r="CT1307" s="167">
        <v>0</v>
      </c>
      <c r="CU1307" s="167">
        <v>0</v>
      </c>
      <c r="CV1307" s="167">
        <v>0</v>
      </c>
      <c r="CW1307" s="167">
        <v>0</v>
      </c>
      <c r="CX1307" s="167">
        <f>SUM(CD1307:CH1307)</f>
        <v>0.33333333333333331</v>
      </c>
      <c r="CY1307" s="167">
        <f>SUM(CD1307:CM1307)</f>
        <v>1</v>
      </c>
    </row>
    <row r="1308" spans="1:103" ht="12.75" customHeight="1" x14ac:dyDescent="0.2">
      <c r="A1308" s="81">
        <v>6804</v>
      </c>
      <c r="B1308" s="165" t="s">
        <v>1955</v>
      </c>
      <c r="C1308" s="165" t="s">
        <v>2278</v>
      </c>
      <c r="E1308" s="165" t="s">
        <v>2279</v>
      </c>
      <c r="G1308" s="81">
        <v>523594</v>
      </c>
      <c r="H1308" s="81">
        <v>175801</v>
      </c>
      <c r="I1308" s="165" t="s">
        <v>259</v>
      </c>
      <c r="L1308" s="166">
        <v>2</v>
      </c>
      <c r="M1308" s="166">
        <v>2</v>
      </c>
      <c r="N1308" s="166">
        <v>0</v>
      </c>
      <c r="O1308" s="166">
        <v>3</v>
      </c>
      <c r="P1308" s="166">
        <v>1</v>
      </c>
      <c r="R1308" s="165" t="s">
        <v>2280</v>
      </c>
      <c r="S1308" s="81" t="s">
        <v>121</v>
      </c>
      <c r="T1308" s="349">
        <v>43123</v>
      </c>
      <c r="W1308" s="81" t="s">
        <v>114</v>
      </c>
      <c r="Y1308" s="81" t="s">
        <v>115</v>
      </c>
      <c r="Z1308" s="81" t="s">
        <v>398</v>
      </c>
      <c r="AA1308" s="81" t="s">
        <v>117</v>
      </c>
      <c r="AB1308" s="81" t="s">
        <v>298</v>
      </c>
      <c r="AC1308" s="166">
        <v>7.0000002160668399E-3</v>
      </c>
      <c r="AG1308" s="81" t="s">
        <v>238</v>
      </c>
      <c r="AH1308" s="81" t="s">
        <v>118</v>
      </c>
      <c r="AK1308" s="166">
        <v>0</v>
      </c>
      <c r="AM1308" s="166">
        <v>0</v>
      </c>
      <c r="AO1308" s="166">
        <v>0</v>
      </c>
      <c r="AP1308" s="166">
        <v>-2</v>
      </c>
      <c r="AQ1308" s="166">
        <v>2</v>
      </c>
      <c r="AR1308" s="166">
        <v>0</v>
      </c>
      <c r="AS1308" s="166">
        <v>0</v>
      </c>
      <c r="AT1308" s="166">
        <v>0</v>
      </c>
      <c r="AU1308" s="166">
        <v>0</v>
      </c>
      <c r="AV1308" s="166">
        <v>0</v>
      </c>
      <c r="AW1308" s="166">
        <v>-2</v>
      </c>
      <c r="AX1308" s="166">
        <v>2</v>
      </c>
      <c r="AY1308" s="166">
        <v>0</v>
      </c>
      <c r="AZ1308" s="166">
        <v>0</v>
      </c>
      <c r="BA1308" s="166">
        <v>0</v>
      </c>
      <c r="BB1308" s="166">
        <v>0</v>
      </c>
      <c r="BC1308" s="166">
        <v>0</v>
      </c>
      <c r="BD1308" s="166">
        <v>0</v>
      </c>
      <c r="BE1308" s="166">
        <v>0</v>
      </c>
      <c r="BF1308" s="166">
        <v>0</v>
      </c>
      <c r="BG1308" s="166">
        <v>0</v>
      </c>
      <c r="BH1308" s="166">
        <v>0</v>
      </c>
      <c r="BI1308" s="166">
        <v>0</v>
      </c>
      <c r="BJ1308" s="166">
        <v>0</v>
      </c>
      <c r="BK1308" s="166">
        <v>0</v>
      </c>
      <c r="BL1308" s="166">
        <v>0</v>
      </c>
      <c r="BM1308" s="166">
        <v>0</v>
      </c>
      <c r="BN1308" s="166">
        <v>0</v>
      </c>
      <c r="BO1308" s="166">
        <v>0</v>
      </c>
      <c r="BP1308" s="166">
        <v>0</v>
      </c>
      <c r="BQ1308" s="81" t="s">
        <v>1758</v>
      </c>
      <c r="BZ1308" s="81" t="s">
        <v>155</v>
      </c>
      <c r="CA1308" s="81">
        <v>10</v>
      </c>
      <c r="CC1308" s="167">
        <v>0</v>
      </c>
      <c r="CD1308" s="167">
        <v>0</v>
      </c>
      <c r="CE1308" s="167">
        <v>0</v>
      </c>
      <c r="CF1308" s="167">
        <v>0</v>
      </c>
      <c r="CG1308" s="167">
        <v>0</v>
      </c>
      <c r="CH1308" s="167">
        <f>$N1308/3</f>
        <v>0</v>
      </c>
      <c r="CI1308" s="167">
        <f>$N1308/3</f>
        <v>0</v>
      </c>
      <c r="CJ1308" s="167">
        <f>$N1308/3</f>
        <v>0</v>
      </c>
      <c r="CK1308" s="167">
        <v>0</v>
      </c>
      <c r="CL1308" s="167">
        <v>0</v>
      </c>
      <c r="CM1308" s="167">
        <v>0</v>
      </c>
      <c r="CN1308" s="167">
        <v>0</v>
      </c>
      <c r="CO1308" s="167">
        <v>0</v>
      </c>
      <c r="CP1308" s="167">
        <v>0</v>
      </c>
      <c r="CQ1308" s="167">
        <v>0</v>
      </c>
      <c r="CR1308" s="167">
        <v>0</v>
      </c>
      <c r="CS1308" s="167">
        <v>0</v>
      </c>
      <c r="CT1308" s="167">
        <v>0</v>
      </c>
      <c r="CU1308" s="167">
        <v>0</v>
      </c>
      <c r="CV1308" s="167">
        <v>0</v>
      </c>
      <c r="CW1308" s="167">
        <v>0</v>
      </c>
      <c r="CX1308" s="167">
        <f>SUM(CD1308:CH1308)</f>
        <v>0</v>
      </c>
      <c r="CY1308" s="167">
        <f>SUM(CD1308:CM1308)</f>
        <v>0</v>
      </c>
    </row>
    <row r="1309" spans="1:103" ht="12.75" customHeight="1" x14ac:dyDescent="0.2">
      <c r="A1309" s="81">
        <v>6804</v>
      </c>
      <c r="B1309" s="165" t="s">
        <v>1955</v>
      </c>
      <c r="C1309" s="165" t="s">
        <v>2278</v>
      </c>
      <c r="E1309" s="165" t="s">
        <v>2279</v>
      </c>
      <c r="G1309" s="81">
        <v>523594</v>
      </c>
      <c r="H1309" s="81">
        <v>175801</v>
      </c>
      <c r="I1309" s="165" t="s">
        <v>259</v>
      </c>
      <c r="L1309" s="166">
        <v>0</v>
      </c>
      <c r="M1309" s="166">
        <v>1</v>
      </c>
      <c r="N1309" s="166">
        <v>1</v>
      </c>
      <c r="O1309" s="166">
        <v>3</v>
      </c>
      <c r="P1309" s="166">
        <v>1</v>
      </c>
      <c r="R1309" s="165" t="s">
        <v>2280</v>
      </c>
      <c r="S1309" s="81" t="s">
        <v>121</v>
      </c>
      <c r="T1309" s="349">
        <v>43123</v>
      </c>
      <c r="W1309" s="81" t="s">
        <v>114</v>
      </c>
      <c r="Y1309" s="81" t="s">
        <v>115</v>
      </c>
      <c r="Z1309" s="81" t="s">
        <v>398</v>
      </c>
      <c r="AA1309" s="81" t="s">
        <v>117</v>
      </c>
      <c r="AB1309" s="81" t="s">
        <v>218</v>
      </c>
      <c r="AC1309" s="166">
        <v>4.0000001899898104E-3</v>
      </c>
      <c r="AG1309" s="81" t="s">
        <v>238</v>
      </c>
      <c r="AH1309" s="81" t="s">
        <v>118</v>
      </c>
      <c r="AK1309" s="166">
        <v>0</v>
      </c>
      <c r="AM1309" s="166">
        <v>0</v>
      </c>
      <c r="AO1309" s="166">
        <v>0</v>
      </c>
      <c r="AP1309" s="166">
        <v>1</v>
      </c>
      <c r="AQ1309" s="166">
        <v>0</v>
      </c>
      <c r="AR1309" s="166">
        <v>0</v>
      </c>
      <c r="AS1309" s="166">
        <v>0</v>
      </c>
      <c r="AT1309" s="166">
        <v>0</v>
      </c>
      <c r="AU1309" s="166">
        <v>0</v>
      </c>
      <c r="AV1309" s="166">
        <v>0</v>
      </c>
      <c r="AW1309" s="166">
        <v>1</v>
      </c>
      <c r="AX1309" s="166">
        <v>0</v>
      </c>
      <c r="AY1309" s="166">
        <v>0</v>
      </c>
      <c r="AZ1309" s="166">
        <v>0</v>
      </c>
      <c r="BA1309" s="166">
        <v>0</v>
      </c>
      <c r="BB1309" s="166">
        <v>0</v>
      </c>
      <c r="BC1309" s="166">
        <v>0</v>
      </c>
      <c r="BD1309" s="166">
        <v>0</v>
      </c>
      <c r="BE1309" s="166">
        <v>0</v>
      </c>
      <c r="BF1309" s="166">
        <v>0</v>
      </c>
      <c r="BG1309" s="166">
        <v>0</v>
      </c>
      <c r="BH1309" s="166">
        <v>0</v>
      </c>
      <c r="BI1309" s="166">
        <v>0</v>
      </c>
      <c r="BJ1309" s="166">
        <v>0</v>
      </c>
      <c r="BK1309" s="166">
        <v>0</v>
      </c>
      <c r="BL1309" s="166">
        <v>0</v>
      </c>
      <c r="BM1309" s="166">
        <v>0</v>
      </c>
      <c r="BN1309" s="166">
        <v>0</v>
      </c>
      <c r="BO1309" s="166">
        <v>0</v>
      </c>
      <c r="BP1309" s="166">
        <v>0</v>
      </c>
      <c r="BQ1309" s="81" t="s">
        <v>1758</v>
      </c>
      <c r="BZ1309" s="81" t="s">
        <v>155</v>
      </c>
      <c r="CA1309" s="81">
        <v>10</v>
      </c>
      <c r="CC1309" s="167">
        <v>0</v>
      </c>
      <c r="CD1309" s="167">
        <v>0</v>
      </c>
      <c r="CE1309" s="167">
        <v>0</v>
      </c>
      <c r="CF1309" s="167">
        <v>0</v>
      </c>
      <c r="CG1309" s="167">
        <v>0</v>
      </c>
      <c r="CH1309" s="167">
        <f>$N1309/3</f>
        <v>0.33333333333333331</v>
      </c>
      <c r="CI1309" s="167">
        <f>$N1309/3</f>
        <v>0.33333333333333331</v>
      </c>
      <c r="CJ1309" s="167">
        <f>$N1309/3</f>
        <v>0.33333333333333331</v>
      </c>
      <c r="CK1309" s="167">
        <v>0</v>
      </c>
      <c r="CL1309" s="167">
        <v>0</v>
      </c>
      <c r="CM1309" s="167">
        <v>0</v>
      </c>
      <c r="CN1309" s="167">
        <v>0</v>
      </c>
      <c r="CO1309" s="167">
        <v>0</v>
      </c>
      <c r="CP1309" s="167">
        <v>0</v>
      </c>
      <c r="CQ1309" s="167">
        <v>0</v>
      </c>
      <c r="CR1309" s="167">
        <v>0</v>
      </c>
      <c r="CS1309" s="167">
        <v>0</v>
      </c>
      <c r="CT1309" s="167">
        <v>0</v>
      </c>
      <c r="CU1309" s="167">
        <v>0</v>
      </c>
      <c r="CV1309" s="167">
        <v>0</v>
      </c>
      <c r="CW1309" s="167">
        <v>0</v>
      </c>
      <c r="CX1309" s="167">
        <f>SUM(CD1309:CH1309)</f>
        <v>0.33333333333333331</v>
      </c>
      <c r="CY1309" s="167">
        <f>SUM(CD1309:CM1309)</f>
        <v>1</v>
      </c>
    </row>
    <row r="1310" spans="1:103" ht="12.75" customHeight="1" x14ac:dyDescent="0.2">
      <c r="A1310" s="81">
        <v>6805</v>
      </c>
      <c r="B1310" s="165" t="s">
        <v>1955</v>
      </c>
      <c r="C1310" s="165" t="s">
        <v>2281</v>
      </c>
      <c r="E1310" s="165" t="s">
        <v>2282</v>
      </c>
      <c r="G1310" s="81">
        <v>524490</v>
      </c>
      <c r="H1310" s="81">
        <v>175266</v>
      </c>
      <c r="I1310" s="165" t="s">
        <v>259</v>
      </c>
      <c r="L1310" s="166">
        <v>0</v>
      </c>
      <c r="M1310" s="166">
        <v>5</v>
      </c>
      <c r="N1310" s="166">
        <v>5</v>
      </c>
      <c r="O1310" s="166">
        <v>6</v>
      </c>
      <c r="P1310" s="166">
        <v>6</v>
      </c>
      <c r="R1310" s="165" t="s">
        <v>2283</v>
      </c>
      <c r="S1310" s="81" t="s">
        <v>121</v>
      </c>
      <c r="T1310" s="349">
        <v>43136</v>
      </c>
      <c r="W1310" s="81" t="s">
        <v>114</v>
      </c>
      <c r="Y1310" s="81" t="s">
        <v>115</v>
      </c>
      <c r="Z1310" s="81" t="s">
        <v>398</v>
      </c>
      <c r="AA1310" s="81" t="s">
        <v>117</v>
      </c>
      <c r="AB1310" s="81" t="s">
        <v>311</v>
      </c>
      <c r="AC1310" s="166">
        <v>1.4000000432133701E-2</v>
      </c>
      <c r="AG1310" s="81" t="s">
        <v>238</v>
      </c>
      <c r="AH1310" s="81" t="s">
        <v>118</v>
      </c>
      <c r="AK1310" s="166">
        <v>0</v>
      </c>
      <c r="AM1310" s="166">
        <v>0</v>
      </c>
      <c r="AO1310" s="166">
        <v>0</v>
      </c>
      <c r="AP1310" s="166">
        <v>0</v>
      </c>
      <c r="AQ1310" s="166">
        <v>5</v>
      </c>
      <c r="AR1310" s="166">
        <v>0</v>
      </c>
      <c r="AS1310" s="166">
        <v>0</v>
      </c>
      <c r="AT1310" s="166">
        <v>0</v>
      </c>
      <c r="AU1310" s="166">
        <v>0</v>
      </c>
      <c r="AV1310" s="166">
        <v>0</v>
      </c>
      <c r="AW1310" s="166">
        <v>0</v>
      </c>
      <c r="AX1310" s="166">
        <v>5</v>
      </c>
      <c r="AY1310" s="166">
        <v>0</v>
      </c>
      <c r="AZ1310" s="166">
        <v>0</v>
      </c>
      <c r="BA1310" s="166">
        <v>0</v>
      </c>
      <c r="BB1310" s="166">
        <v>0</v>
      </c>
      <c r="BC1310" s="166">
        <v>0</v>
      </c>
      <c r="BD1310" s="166">
        <v>0</v>
      </c>
      <c r="BE1310" s="166">
        <v>0</v>
      </c>
      <c r="BF1310" s="166">
        <v>0</v>
      </c>
      <c r="BG1310" s="166">
        <v>0</v>
      </c>
      <c r="BH1310" s="166">
        <v>0</v>
      </c>
      <c r="BI1310" s="166">
        <v>0</v>
      </c>
      <c r="BJ1310" s="166">
        <v>0</v>
      </c>
      <c r="BK1310" s="166">
        <v>0</v>
      </c>
      <c r="BL1310" s="166">
        <v>0</v>
      </c>
      <c r="BM1310" s="166">
        <v>0</v>
      </c>
      <c r="BN1310" s="166">
        <v>0</v>
      </c>
      <c r="BO1310" s="166">
        <v>0</v>
      </c>
      <c r="BP1310" s="166">
        <v>0</v>
      </c>
      <c r="BQ1310" s="81" t="s">
        <v>1758</v>
      </c>
      <c r="BZ1310" s="81" t="s">
        <v>155</v>
      </c>
      <c r="CA1310" s="81">
        <v>10</v>
      </c>
      <c r="CC1310" s="167">
        <v>0</v>
      </c>
      <c r="CD1310" s="167">
        <v>0</v>
      </c>
      <c r="CE1310" s="167">
        <v>0</v>
      </c>
      <c r="CF1310" s="167">
        <v>0</v>
      </c>
      <c r="CG1310" s="167">
        <v>0</v>
      </c>
      <c r="CH1310" s="167">
        <f>$N1310/3</f>
        <v>1.6666666666666667</v>
      </c>
      <c r="CI1310" s="167">
        <f>$N1310/3</f>
        <v>1.6666666666666667</v>
      </c>
      <c r="CJ1310" s="167">
        <f>$N1310/3</f>
        <v>1.6666666666666667</v>
      </c>
      <c r="CK1310" s="167">
        <v>0</v>
      </c>
      <c r="CL1310" s="167">
        <v>0</v>
      </c>
      <c r="CM1310" s="167">
        <v>0</v>
      </c>
      <c r="CN1310" s="167">
        <v>0</v>
      </c>
      <c r="CO1310" s="167">
        <v>0</v>
      </c>
      <c r="CP1310" s="167">
        <v>0</v>
      </c>
      <c r="CQ1310" s="167">
        <v>0</v>
      </c>
      <c r="CR1310" s="167">
        <v>0</v>
      </c>
      <c r="CS1310" s="167">
        <v>0</v>
      </c>
      <c r="CT1310" s="167">
        <v>0</v>
      </c>
      <c r="CU1310" s="167">
        <v>0</v>
      </c>
      <c r="CV1310" s="167">
        <v>0</v>
      </c>
      <c r="CW1310" s="167">
        <v>0</v>
      </c>
      <c r="CX1310" s="167">
        <f>SUM(CD1310:CH1310)</f>
        <v>1.6666666666666667</v>
      </c>
      <c r="CY1310" s="167">
        <f>SUM(CD1310:CM1310)</f>
        <v>5</v>
      </c>
    </row>
    <row r="1311" spans="1:103" ht="12.75" customHeight="1" x14ac:dyDescent="0.2">
      <c r="A1311" s="81">
        <v>6805</v>
      </c>
      <c r="B1311" s="165" t="s">
        <v>1955</v>
      </c>
      <c r="C1311" s="165" t="s">
        <v>2281</v>
      </c>
      <c r="E1311" s="165" t="s">
        <v>2282</v>
      </c>
      <c r="G1311" s="81">
        <v>524490</v>
      </c>
      <c r="H1311" s="81">
        <v>175266</v>
      </c>
      <c r="I1311" s="165" t="s">
        <v>259</v>
      </c>
      <c r="L1311" s="166">
        <v>0</v>
      </c>
      <c r="M1311" s="166">
        <v>1</v>
      </c>
      <c r="N1311" s="166">
        <v>1</v>
      </c>
      <c r="O1311" s="166">
        <v>6</v>
      </c>
      <c r="P1311" s="166">
        <v>6</v>
      </c>
      <c r="R1311" s="165" t="s">
        <v>2283</v>
      </c>
      <c r="S1311" s="81" t="s">
        <v>121</v>
      </c>
      <c r="T1311" s="349">
        <v>43136</v>
      </c>
      <c r="W1311" s="81" t="s">
        <v>114</v>
      </c>
      <c r="Y1311" s="81" t="s">
        <v>115</v>
      </c>
      <c r="Z1311" s="81" t="s">
        <v>398</v>
      </c>
      <c r="AA1311" s="81" t="s">
        <v>117</v>
      </c>
      <c r="AB1311" s="81" t="s">
        <v>218</v>
      </c>
      <c r="AC1311" s="166">
        <v>3.0000000260770299E-3</v>
      </c>
      <c r="AG1311" s="81" t="s">
        <v>238</v>
      </c>
      <c r="AH1311" s="81" t="s">
        <v>118</v>
      </c>
      <c r="AK1311" s="166">
        <v>0</v>
      </c>
      <c r="AM1311" s="166">
        <v>0</v>
      </c>
      <c r="AO1311" s="166">
        <v>0</v>
      </c>
      <c r="AP1311" s="166">
        <v>1</v>
      </c>
      <c r="AQ1311" s="166">
        <v>0</v>
      </c>
      <c r="AR1311" s="166">
        <v>0</v>
      </c>
      <c r="AS1311" s="166">
        <v>0</v>
      </c>
      <c r="AT1311" s="166">
        <v>0</v>
      </c>
      <c r="AU1311" s="166">
        <v>0</v>
      </c>
      <c r="AV1311" s="166">
        <v>0</v>
      </c>
      <c r="AW1311" s="166">
        <v>1</v>
      </c>
      <c r="AX1311" s="166">
        <v>0</v>
      </c>
      <c r="AY1311" s="166">
        <v>0</v>
      </c>
      <c r="AZ1311" s="166">
        <v>0</v>
      </c>
      <c r="BA1311" s="166">
        <v>0</v>
      </c>
      <c r="BB1311" s="166">
        <v>0</v>
      </c>
      <c r="BC1311" s="166">
        <v>0</v>
      </c>
      <c r="BD1311" s="166">
        <v>0</v>
      </c>
      <c r="BE1311" s="166">
        <v>0</v>
      </c>
      <c r="BF1311" s="166">
        <v>0</v>
      </c>
      <c r="BG1311" s="166">
        <v>0</v>
      </c>
      <c r="BH1311" s="166">
        <v>0</v>
      </c>
      <c r="BI1311" s="166">
        <v>0</v>
      </c>
      <c r="BJ1311" s="166">
        <v>0</v>
      </c>
      <c r="BK1311" s="166">
        <v>0</v>
      </c>
      <c r="BL1311" s="166">
        <v>0</v>
      </c>
      <c r="BM1311" s="166">
        <v>0</v>
      </c>
      <c r="BN1311" s="166">
        <v>0</v>
      </c>
      <c r="BO1311" s="166">
        <v>0</v>
      </c>
      <c r="BP1311" s="166">
        <v>0</v>
      </c>
      <c r="BQ1311" s="81" t="s">
        <v>1758</v>
      </c>
      <c r="BZ1311" s="81" t="s">
        <v>155</v>
      </c>
      <c r="CA1311" s="81">
        <v>10</v>
      </c>
      <c r="CC1311" s="167">
        <v>0</v>
      </c>
      <c r="CD1311" s="167">
        <v>0</v>
      </c>
      <c r="CE1311" s="167">
        <v>0</v>
      </c>
      <c r="CF1311" s="167">
        <v>0</v>
      </c>
      <c r="CG1311" s="167">
        <v>0</v>
      </c>
      <c r="CH1311" s="167">
        <f>$N1311/3</f>
        <v>0.33333333333333331</v>
      </c>
      <c r="CI1311" s="167">
        <f>$N1311/3</f>
        <v>0.33333333333333331</v>
      </c>
      <c r="CJ1311" s="167">
        <f>$N1311/3</f>
        <v>0.33333333333333331</v>
      </c>
      <c r="CK1311" s="167">
        <v>0</v>
      </c>
      <c r="CL1311" s="167">
        <v>0</v>
      </c>
      <c r="CM1311" s="167">
        <v>0</v>
      </c>
      <c r="CN1311" s="167">
        <v>0</v>
      </c>
      <c r="CO1311" s="167">
        <v>0</v>
      </c>
      <c r="CP1311" s="167">
        <v>0</v>
      </c>
      <c r="CQ1311" s="167">
        <v>0</v>
      </c>
      <c r="CR1311" s="167">
        <v>0</v>
      </c>
      <c r="CS1311" s="167">
        <v>0</v>
      </c>
      <c r="CT1311" s="167">
        <v>0</v>
      </c>
      <c r="CU1311" s="167">
        <v>0</v>
      </c>
      <c r="CV1311" s="167">
        <v>0</v>
      </c>
      <c r="CW1311" s="167">
        <v>0</v>
      </c>
      <c r="CX1311" s="167">
        <f>SUM(CD1311:CH1311)</f>
        <v>0.33333333333333331</v>
      </c>
      <c r="CY1311" s="167">
        <f>SUM(CD1311:CM1311)</f>
        <v>1</v>
      </c>
    </row>
    <row r="1312" spans="1:103" ht="12.75" customHeight="1" x14ac:dyDescent="0.2">
      <c r="A1312" s="81">
        <v>6807</v>
      </c>
      <c r="B1312" s="165" t="s">
        <v>1955</v>
      </c>
      <c r="C1312" s="165" t="s">
        <v>2284</v>
      </c>
      <c r="E1312" s="165" t="s">
        <v>2285</v>
      </c>
      <c r="G1312" s="81">
        <v>528715</v>
      </c>
      <c r="H1312" s="81">
        <v>172412</v>
      </c>
      <c r="I1312" s="165" t="s">
        <v>248</v>
      </c>
      <c r="L1312" s="166">
        <v>2</v>
      </c>
      <c r="M1312" s="166">
        <v>1</v>
      </c>
      <c r="N1312" s="166">
        <v>-1</v>
      </c>
      <c r="O1312" s="166">
        <v>1</v>
      </c>
      <c r="P1312" s="166">
        <v>-1</v>
      </c>
      <c r="R1312" s="165" t="s">
        <v>2286</v>
      </c>
      <c r="S1312" s="81" t="s">
        <v>121</v>
      </c>
      <c r="T1312" s="349">
        <v>43146</v>
      </c>
      <c r="W1312" s="81" t="s">
        <v>114</v>
      </c>
      <c r="Y1312" s="81" t="s">
        <v>115</v>
      </c>
      <c r="Z1312" s="81" t="s">
        <v>119</v>
      </c>
      <c r="AA1312" s="81" t="s">
        <v>117</v>
      </c>
      <c r="AB1312" s="81" t="s">
        <v>336</v>
      </c>
      <c r="AC1312" s="166">
        <v>3.7999998778104803E-2</v>
      </c>
      <c r="AG1312" s="81" t="s">
        <v>238</v>
      </c>
      <c r="AH1312" s="81" t="s">
        <v>118</v>
      </c>
      <c r="AK1312" s="166">
        <v>0</v>
      </c>
      <c r="AM1312" s="166">
        <v>0</v>
      </c>
      <c r="AO1312" s="166">
        <v>0</v>
      </c>
      <c r="AP1312" s="166">
        <v>-1</v>
      </c>
      <c r="AQ1312" s="166">
        <v>0</v>
      </c>
      <c r="AR1312" s="166">
        <v>-1</v>
      </c>
      <c r="AS1312" s="166">
        <v>1</v>
      </c>
      <c r="AT1312" s="166">
        <v>0</v>
      </c>
      <c r="AU1312" s="166">
        <v>0</v>
      </c>
      <c r="AV1312" s="166">
        <v>0</v>
      </c>
      <c r="AW1312" s="166">
        <v>-1</v>
      </c>
      <c r="AX1312" s="166">
        <v>0</v>
      </c>
      <c r="AY1312" s="166">
        <v>-1</v>
      </c>
      <c r="AZ1312" s="166">
        <v>0</v>
      </c>
      <c r="BA1312" s="166">
        <v>0</v>
      </c>
      <c r="BB1312" s="166">
        <v>0</v>
      </c>
      <c r="BC1312" s="166">
        <v>0</v>
      </c>
      <c r="BD1312" s="166">
        <v>0</v>
      </c>
      <c r="BE1312" s="166">
        <v>0</v>
      </c>
      <c r="BF1312" s="166">
        <v>0</v>
      </c>
      <c r="BG1312" s="166">
        <v>1</v>
      </c>
      <c r="BH1312" s="166">
        <v>0</v>
      </c>
      <c r="BI1312" s="166">
        <v>0</v>
      </c>
      <c r="BJ1312" s="166">
        <v>0</v>
      </c>
      <c r="BK1312" s="166">
        <v>0</v>
      </c>
      <c r="BL1312" s="166">
        <v>0</v>
      </c>
      <c r="BM1312" s="166">
        <v>0</v>
      </c>
      <c r="BN1312" s="166">
        <v>0</v>
      </c>
      <c r="BO1312" s="166">
        <v>0</v>
      </c>
      <c r="BP1312" s="166">
        <v>0</v>
      </c>
      <c r="BQ1312" s="81" t="s">
        <v>1757</v>
      </c>
      <c r="BZ1312" s="81" t="s">
        <v>155</v>
      </c>
      <c r="CA1312" s="81">
        <v>10</v>
      </c>
      <c r="CC1312" s="167">
        <v>0</v>
      </c>
      <c r="CD1312" s="167">
        <v>0</v>
      </c>
      <c r="CE1312" s="167">
        <v>0</v>
      </c>
      <c r="CF1312" s="167">
        <v>0</v>
      </c>
      <c r="CG1312" s="167">
        <v>0</v>
      </c>
      <c r="CH1312" s="167">
        <f>$N1312/3</f>
        <v>-0.33333333333333331</v>
      </c>
      <c r="CI1312" s="167">
        <f>$N1312/3</f>
        <v>-0.33333333333333331</v>
      </c>
      <c r="CJ1312" s="167">
        <f>$N1312/3</f>
        <v>-0.33333333333333331</v>
      </c>
      <c r="CK1312" s="167">
        <v>0</v>
      </c>
      <c r="CL1312" s="167">
        <v>0</v>
      </c>
      <c r="CM1312" s="167">
        <v>0</v>
      </c>
      <c r="CN1312" s="167">
        <v>0</v>
      </c>
      <c r="CO1312" s="167">
        <v>0</v>
      </c>
      <c r="CP1312" s="167">
        <v>0</v>
      </c>
      <c r="CQ1312" s="167">
        <v>0</v>
      </c>
      <c r="CR1312" s="167">
        <v>0</v>
      </c>
      <c r="CS1312" s="167">
        <v>0</v>
      </c>
      <c r="CT1312" s="167">
        <v>0</v>
      </c>
      <c r="CU1312" s="167">
        <v>0</v>
      </c>
      <c r="CV1312" s="167">
        <v>0</v>
      </c>
      <c r="CW1312" s="167">
        <v>0</v>
      </c>
      <c r="CX1312" s="167">
        <f>SUM(CD1312:CH1312)</f>
        <v>-0.33333333333333331</v>
      </c>
      <c r="CY1312" s="167">
        <f>SUM(CD1312:CM1312)</f>
        <v>-1</v>
      </c>
    </row>
    <row r="1313" spans="1:103" ht="12.75" customHeight="1" x14ac:dyDescent="0.2">
      <c r="A1313" s="81">
        <v>6810</v>
      </c>
      <c r="B1313" s="165" t="s">
        <v>1955</v>
      </c>
      <c r="C1313" s="165" t="s">
        <v>2287</v>
      </c>
      <c r="E1313" s="165" t="s">
        <v>2288</v>
      </c>
      <c r="G1313" s="81">
        <v>521688</v>
      </c>
      <c r="H1313" s="81">
        <v>172441</v>
      </c>
      <c r="I1313" s="165" t="s">
        <v>877</v>
      </c>
      <c r="L1313" s="166">
        <v>1</v>
      </c>
      <c r="M1313" s="166">
        <v>4</v>
      </c>
      <c r="N1313" s="166">
        <v>3</v>
      </c>
      <c r="O1313" s="166">
        <v>4</v>
      </c>
      <c r="P1313" s="166">
        <v>3</v>
      </c>
      <c r="R1313" s="165" t="s">
        <v>2289</v>
      </c>
      <c r="S1313" s="81" t="s">
        <v>121</v>
      </c>
      <c r="T1313" s="349">
        <v>43147</v>
      </c>
      <c r="W1313" s="81" t="s">
        <v>114</v>
      </c>
      <c r="Y1313" s="81" t="s">
        <v>115</v>
      </c>
      <c r="Z1313" s="81" t="s">
        <v>398</v>
      </c>
      <c r="AA1313" s="81" t="s">
        <v>117</v>
      </c>
      <c r="AB1313" s="81" t="s">
        <v>120</v>
      </c>
      <c r="AC1313" s="166">
        <v>5.0000000745058101E-2</v>
      </c>
      <c r="AG1313" s="81" t="s">
        <v>238</v>
      </c>
      <c r="AH1313" s="81" t="s">
        <v>118</v>
      </c>
      <c r="AK1313" s="166">
        <v>0</v>
      </c>
      <c r="AM1313" s="166">
        <v>0</v>
      </c>
      <c r="AO1313" s="166">
        <v>0</v>
      </c>
      <c r="AP1313" s="166">
        <v>1</v>
      </c>
      <c r="AQ1313" s="166">
        <v>2</v>
      </c>
      <c r="AR1313" s="166">
        <v>1</v>
      </c>
      <c r="AS1313" s="166">
        <v>0</v>
      </c>
      <c r="AT1313" s="166">
        <v>-1</v>
      </c>
      <c r="AU1313" s="166">
        <v>0</v>
      </c>
      <c r="AV1313" s="166">
        <v>0</v>
      </c>
      <c r="AW1313" s="166">
        <v>1</v>
      </c>
      <c r="AX1313" s="166">
        <v>2</v>
      </c>
      <c r="AY1313" s="166">
        <v>1</v>
      </c>
      <c r="AZ1313" s="166">
        <v>0</v>
      </c>
      <c r="BA1313" s="166">
        <v>0</v>
      </c>
      <c r="BB1313" s="166">
        <v>0</v>
      </c>
      <c r="BC1313" s="166">
        <v>0</v>
      </c>
      <c r="BD1313" s="166">
        <v>0</v>
      </c>
      <c r="BE1313" s="166">
        <v>0</v>
      </c>
      <c r="BF1313" s="166">
        <v>0</v>
      </c>
      <c r="BG1313" s="166">
        <v>0</v>
      </c>
      <c r="BH1313" s="166">
        <v>-1</v>
      </c>
      <c r="BI1313" s="166">
        <v>0</v>
      </c>
      <c r="BJ1313" s="166">
        <v>0</v>
      </c>
      <c r="BK1313" s="166">
        <v>0</v>
      </c>
      <c r="BL1313" s="166">
        <v>0</v>
      </c>
      <c r="BM1313" s="166">
        <v>0</v>
      </c>
      <c r="BN1313" s="166">
        <v>0</v>
      </c>
      <c r="BO1313" s="166">
        <v>0</v>
      </c>
      <c r="BP1313" s="166">
        <v>0</v>
      </c>
      <c r="BQ1313" s="81" t="s">
        <v>1758</v>
      </c>
      <c r="BZ1313" s="81" t="s">
        <v>155</v>
      </c>
      <c r="CA1313" s="81">
        <v>10</v>
      </c>
      <c r="CC1313" s="167">
        <v>0</v>
      </c>
      <c r="CD1313" s="167">
        <v>0</v>
      </c>
      <c r="CE1313" s="167">
        <v>0</v>
      </c>
      <c r="CF1313" s="167">
        <v>0</v>
      </c>
      <c r="CG1313" s="167">
        <v>0</v>
      </c>
      <c r="CH1313" s="167">
        <f>$N1313/3</f>
        <v>1</v>
      </c>
      <c r="CI1313" s="167">
        <f>$N1313/3</f>
        <v>1</v>
      </c>
      <c r="CJ1313" s="167">
        <f>$N1313/3</f>
        <v>1</v>
      </c>
      <c r="CK1313" s="167">
        <v>0</v>
      </c>
      <c r="CL1313" s="167">
        <v>0</v>
      </c>
      <c r="CM1313" s="167">
        <v>0</v>
      </c>
      <c r="CN1313" s="167">
        <v>0</v>
      </c>
      <c r="CO1313" s="167">
        <v>0</v>
      </c>
      <c r="CP1313" s="167">
        <v>0</v>
      </c>
      <c r="CQ1313" s="167">
        <v>0</v>
      </c>
      <c r="CR1313" s="167">
        <v>0</v>
      </c>
      <c r="CS1313" s="167">
        <v>0</v>
      </c>
      <c r="CT1313" s="167">
        <v>0</v>
      </c>
      <c r="CU1313" s="167">
        <v>0</v>
      </c>
      <c r="CV1313" s="167">
        <v>0</v>
      </c>
      <c r="CW1313" s="167">
        <v>0</v>
      </c>
      <c r="CX1313" s="167">
        <f>SUM(CD1313:CH1313)</f>
        <v>1</v>
      </c>
      <c r="CY1313" s="167">
        <f>SUM(CD1313:CM1313)</f>
        <v>3</v>
      </c>
    </row>
    <row r="1314" spans="1:103" ht="12.75" customHeight="1" x14ac:dyDescent="0.2">
      <c r="A1314" s="81">
        <v>6811</v>
      </c>
      <c r="B1314" s="165" t="s">
        <v>1955</v>
      </c>
      <c r="C1314" s="165" t="s">
        <v>2290</v>
      </c>
      <c r="E1314" s="165" t="s">
        <v>2291</v>
      </c>
      <c r="G1314" s="81">
        <v>525229</v>
      </c>
      <c r="H1314" s="81">
        <v>173182</v>
      </c>
      <c r="I1314" s="165" t="s">
        <v>258</v>
      </c>
      <c r="L1314" s="166">
        <v>0</v>
      </c>
      <c r="M1314" s="166">
        <v>1</v>
      </c>
      <c r="N1314" s="166">
        <v>1</v>
      </c>
      <c r="O1314" s="166">
        <v>1</v>
      </c>
      <c r="P1314" s="166">
        <v>1</v>
      </c>
      <c r="R1314" s="165" t="s">
        <v>2292</v>
      </c>
      <c r="S1314" s="81" t="s">
        <v>121</v>
      </c>
      <c r="T1314" s="349">
        <v>43147</v>
      </c>
      <c r="W1314" s="81" t="s">
        <v>114</v>
      </c>
      <c r="Y1314" s="81" t="s">
        <v>115</v>
      </c>
      <c r="Z1314" s="81" t="s">
        <v>310</v>
      </c>
      <c r="AA1314" s="81" t="s">
        <v>117</v>
      </c>
      <c r="AB1314" s="81" t="s">
        <v>399</v>
      </c>
      <c r="AC1314" s="166">
        <v>9.9999997764825804E-3</v>
      </c>
      <c r="AG1314" s="81" t="s">
        <v>238</v>
      </c>
      <c r="AH1314" s="81" t="s">
        <v>118</v>
      </c>
      <c r="AK1314" s="166">
        <v>0</v>
      </c>
      <c r="AM1314" s="166">
        <v>0</v>
      </c>
      <c r="AO1314" s="166">
        <v>0</v>
      </c>
      <c r="AP1314" s="166">
        <v>1</v>
      </c>
      <c r="AQ1314" s="166">
        <v>0</v>
      </c>
      <c r="AR1314" s="166">
        <v>0</v>
      </c>
      <c r="AS1314" s="166">
        <v>0</v>
      </c>
      <c r="AT1314" s="166">
        <v>0</v>
      </c>
      <c r="AU1314" s="166">
        <v>0</v>
      </c>
      <c r="AV1314" s="166">
        <v>0</v>
      </c>
      <c r="AW1314" s="166">
        <v>1</v>
      </c>
      <c r="AX1314" s="166">
        <v>0</v>
      </c>
      <c r="AY1314" s="166">
        <v>0</v>
      </c>
      <c r="AZ1314" s="166">
        <v>0</v>
      </c>
      <c r="BA1314" s="166">
        <v>0</v>
      </c>
      <c r="BB1314" s="166">
        <v>0</v>
      </c>
      <c r="BC1314" s="166">
        <v>0</v>
      </c>
      <c r="BD1314" s="166">
        <v>0</v>
      </c>
      <c r="BE1314" s="166">
        <v>0</v>
      </c>
      <c r="BF1314" s="166">
        <v>0</v>
      </c>
      <c r="BG1314" s="166">
        <v>0</v>
      </c>
      <c r="BH1314" s="166">
        <v>0</v>
      </c>
      <c r="BI1314" s="166">
        <v>0</v>
      </c>
      <c r="BJ1314" s="166">
        <v>0</v>
      </c>
      <c r="BK1314" s="166">
        <v>0</v>
      </c>
      <c r="BL1314" s="166">
        <v>0</v>
      </c>
      <c r="BM1314" s="166">
        <v>0</v>
      </c>
      <c r="BN1314" s="166">
        <v>0</v>
      </c>
      <c r="BO1314" s="166">
        <v>0</v>
      </c>
      <c r="BP1314" s="166">
        <v>0</v>
      </c>
      <c r="BQ1314" s="81" t="s">
        <v>1758</v>
      </c>
      <c r="BZ1314" s="81" t="s">
        <v>155</v>
      </c>
      <c r="CA1314" s="81">
        <v>10</v>
      </c>
      <c r="CC1314" s="167">
        <v>0</v>
      </c>
      <c r="CD1314" s="167">
        <v>0</v>
      </c>
      <c r="CE1314" s="167">
        <v>0</v>
      </c>
      <c r="CF1314" s="167">
        <v>0</v>
      </c>
      <c r="CG1314" s="167">
        <v>0</v>
      </c>
      <c r="CH1314" s="167">
        <f>$N1314/3</f>
        <v>0.33333333333333331</v>
      </c>
      <c r="CI1314" s="167">
        <f>$N1314/3</f>
        <v>0.33333333333333331</v>
      </c>
      <c r="CJ1314" s="167">
        <f>$N1314/3</f>
        <v>0.33333333333333331</v>
      </c>
      <c r="CK1314" s="167">
        <v>0</v>
      </c>
      <c r="CL1314" s="167">
        <v>0</v>
      </c>
      <c r="CM1314" s="167">
        <v>0</v>
      </c>
      <c r="CN1314" s="167">
        <v>0</v>
      </c>
      <c r="CO1314" s="167">
        <v>0</v>
      </c>
      <c r="CP1314" s="167">
        <v>0</v>
      </c>
      <c r="CQ1314" s="167">
        <v>0</v>
      </c>
      <c r="CR1314" s="167">
        <v>0</v>
      </c>
      <c r="CS1314" s="167">
        <v>0</v>
      </c>
      <c r="CT1314" s="167">
        <v>0</v>
      </c>
      <c r="CU1314" s="167">
        <v>0</v>
      </c>
      <c r="CV1314" s="167">
        <v>0</v>
      </c>
      <c r="CW1314" s="167">
        <v>0</v>
      </c>
      <c r="CX1314" s="167">
        <f>SUM(CD1314:CH1314)</f>
        <v>0.33333333333333331</v>
      </c>
      <c r="CY1314" s="167">
        <f>SUM(CD1314:CM1314)</f>
        <v>1</v>
      </c>
    </row>
    <row r="1315" spans="1:103" ht="12.75" customHeight="1" x14ac:dyDescent="0.2">
      <c r="A1315" s="81">
        <v>6814</v>
      </c>
      <c r="B1315" s="165" t="s">
        <v>1955</v>
      </c>
      <c r="C1315" s="165" t="s">
        <v>2293</v>
      </c>
      <c r="E1315" s="165" t="s">
        <v>2294</v>
      </c>
      <c r="G1315" s="81">
        <v>524031</v>
      </c>
      <c r="H1315" s="81">
        <v>175248</v>
      </c>
      <c r="I1315" s="165" t="s">
        <v>259</v>
      </c>
      <c r="L1315" s="166">
        <v>0</v>
      </c>
      <c r="M1315" s="166">
        <v>3</v>
      </c>
      <c r="N1315" s="166">
        <v>3</v>
      </c>
      <c r="O1315" s="166">
        <v>3</v>
      </c>
      <c r="P1315" s="166">
        <v>3</v>
      </c>
      <c r="R1315" s="165" t="s">
        <v>2295</v>
      </c>
      <c r="S1315" s="81" t="s">
        <v>802</v>
      </c>
      <c r="T1315" s="349">
        <v>43146</v>
      </c>
      <c r="W1315" s="81" t="s">
        <v>114</v>
      </c>
      <c r="Y1315" s="81" t="s">
        <v>115</v>
      </c>
      <c r="Z1315" s="81" t="s">
        <v>310</v>
      </c>
      <c r="AA1315" s="81" t="s">
        <v>117</v>
      </c>
      <c r="AB1315" s="81" t="s">
        <v>399</v>
      </c>
      <c r="AC1315" s="166">
        <v>1.7999999225139601E-2</v>
      </c>
      <c r="AG1315" s="81" t="s">
        <v>238</v>
      </c>
      <c r="AH1315" s="81" t="s">
        <v>118</v>
      </c>
      <c r="AK1315" s="166">
        <v>0</v>
      </c>
      <c r="AM1315" s="166">
        <v>0</v>
      </c>
      <c r="AO1315" s="166">
        <v>0</v>
      </c>
      <c r="AP1315" s="166">
        <v>3</v>
      </c>
      <c r="AQ1315" s="166">
        <v>0</v>
      </c>
      <c r="AR1315" s="166">
        <v>0</v>
      </c>
      <c r="AS1315" s="166">
        <v>0</v>
      </c>
      <c r="AT1315" s="166">
        <v>0</v>
      </c>
      <c r="AU1315" s="166">
        <v>0</v>
      </c>
      <c r="AV1315" s="166">
        <v>0</v>
      </c>
      <c r="AW1315" s="166">
        <v>3</v>
      </c>
      <c r="AX1315" s="166">
        <v>0</v>
      </c>
      <c r="AY1315" s="166">
        <v>0</v>
      </c>
      <c r="AZ1315" s="166">
        <v>0</v>
      </c>
      <c r="BA1315" s="166">
        <v>0</v>
      </c>
      <c r="BB1315" s="166">
        <v>0</v>
      </c>
      <c r="BC1315" s="166">
        <v>0</v>
      </c>
      <c r="BD1315" s="166">
        <v>0</v>
      </c>
      <c r="BE1315" s="166">
        <v>0</v>
      </c>
      <c r="BF1315" s="166">
        <v>0</v>
      </c>
      <c r="BG1315" s="166">
        <v>0</v>
      </c>
      <c r="BH1315" s="166">
        <v>0</v>
      </c>
      <c r="BI1315" s="166">
        <v>0</v>
      </c>
      <c r="BJ1315" s="166">
        <v>0</v>
      </c>
      <c r="BK1315" s="166">
        <v>0</v>
      </c>
      <c r="BL1315" s="166">
        <v>0</v>
      </c>
      <c r="BM1315" s="166">
        <v>0</v>
      </c>
      <c r="BN1315" s="166">
        <v>0</v>
      </c>
      <c r="BO1315" s="166">
        <v>0</v>
      </c>
      <c r="BP1315" s="166">
        <v>0</v>
      </c>
      <c r="BQ1315" s="81" t="s">
        <v>1758</v>
      </c>
      <c r="BR1315" s="81" t="s">
        <v>161</v>
      </c>
      <c r="BZ1315" s="81" t="s">
        <v>155</v>
      </c>
      <c r="CA1315" s="81">
        <v>10</v>
      </c>
      <c r="CC1315" s="167">
        <v>0</v>
      </c>
      <c r="CD1315" s="167">
        <v>0</v>
      </c>
      <c r="CE1315" s="167">
        <v>0</v>
      </c>
      <c r="CF1315" s="167">
        <v>0</v>
      </c>
      <c r="CG1315" s="167">
        <v>0</v>
      </c>
      <c r="CH1315" s="167">
        <f>$N1315/3</f>
        <v>1</v>
      </c>
      <c r="CI1315" s="167">
        <f>$N1315/3</f>
        <v>1</v>
      </c>
      <c r="CJ1315" s="167">
        <f>$N1315/3</f>
        <v>1</v>
      </c>
      <c r="CK1315" s="167">
        <v>0</v>
      </c>
      <c r="CL1315" s="167">
        <v>0</v>
      </c>
      <c r="CM1315" s="167">
        <v>0</v>
      </c>
      <c r="CN1315" s="167">
        <v>0</v>
      </c>
      <c r="CO1315" s="167">
        <v>0</v>
      </c>
      <c r="CP1315" s="167">
        <v>0</v>
      </c>
      <c r="CQ1315" s="167">
        <v>0</v>
      </c>
      <c r="CR1315" s="167">
        <v>0</v>
      </c>
      <c r="CS1315" s="167">
        <v>0</v>
      </c>
      <c r="CT1315" s="167">
        <v>0</v>
      </c>
      <c r="CU1315" s="167">
        <v>0</v>
      </c>
      <c r="CV1315" s="167">
        <v>0</v>
      </c>
      <c r="CW1315" s="167">
        <v>0</v>
      </c>
      <c r="CX1315" s="167">
        <f>SUM(CD1315:CH1315)</f>
        <v>1</v>
      </c>
      <c r="CY1315" s="167">
        <f>SUM(CD1315:CM1315)</f>
        <v>3</v>
      </c>
    </row>
    <row r="1316" spans="1:103" ht="12.75" customHeight="1" x14ac:dyDescent="0.2">
      <c r="A1316" s="81">
        <v>6815</v>
      </c>
      <c r="B1316" s="165" t="s">
        <v>1955</v>
      </c>
      <c r="C1316" s="165" t="s">
        <v>2296</v>
      </c>
      <c r="E1316" s="165" t="s">
        <v>2297</v>
      </c>
      <c r="G1316" s="81">
        <v>524144</v>
      </c>
      <c r="H1316" s="81">
        <v>173132</v>
      </c>
      <c r="I1316" s="165" t="s">
        <v>111</v>
      </c>
      <c r="L1316" s="166">
        <v>0</v>
      </c>
      <c r="M1316" s="166">
        <v>1</v>
      </c>
      <c r="N1316" s="166">
        <v>1</v>
      </c>
      <c r="O1316" s="166">
        <v>1</v>
      </c>
      <c r="P1316" s="166">
        <v>1</v>
      </c>
      <c r="R1316" s="165" t="s">
        <v>2298</v>
      </c>
      <c r="S1316" s="81" t="s">
        <v>121</v>
      </c>
      <c r="T1316" s="349">
        <v>43146</v>
      </c>
      <c r="W1316" s="81" t="s">
        <v>114</v>
      </c>
      <c r="Y1316" s="81" t="s">
        <v>115</v>
      </c>
      <c r="Z1316" s="81" t="s">
        <v>116</v>
      </c>
      <c r="AA1316" s="81" t="s">
        <v>117</v>
      </c>
      <c r="AB1316" s="81" t="s">
        <v>218</v>
      </c>
      <c r="AC1316" s="166">
        <v>7.0000002160668399E-3</v>
      </c>
      <c r="AG1316" s="81" t="s">
        <v>238</v>
      </c>
      <c r="AH1316" s="81" t="s">
        <v>118</v>
      </c>
      <c r="AK1316" s="166">
        <v>0</v>
      </c>
      <c r="AM1316" s="166">
        <v>0</v>
      </c>
      <c r="AO1316" s="166">
        <v>0</v>
      </c>
      <c r="AP1316" s="166">
        <v>0</v>
      </c>
      <c r="AQ1316" s="166">
        <v>0</v>
      </c>
      <c r="AR1316" s="166">
        <v>1</v>
      </c>
      <c r="AS1316" s="166">
        <v>0</v>
      </c>
      <c r="AT1316" s="166">
        <v>0</v>
      </c>
      <c r="AU1316" s="166">
        <v>0</v>
      </c>
      <c r="AV1316" s="166">
        <v>0</v>
      </c>
      <c r="AW1316" s="166">
        <v>0</v>
      </c>
      <c r="AX1316" s="166">
        <v>0</v>
      </c>
      <c r="AY1316" s="166">
        <v>0</v>
      </c>
      <c r="AZ1316" s="166">
        <v>0</v>
      </c>
      <c r="BA1316" s="166">
        <v>0</v>
      </c>
      <c r="BB1316" s="166">
        <v>0</v>
      </c>
      <c r="BC1316" s="166">
        <v>0</v>
      </c>
      <c r="BD1316" s="166">
        <v>0</v>
      </c>
      <c r="BE1316" s="166">
        <v>0</v>
      </c>
      <c r="BF1316" s="166">
        <v>1</v>
      </c>
      <c r="BG1316" s="166">
        <v>0</v>
      </c>
      <c r="BH1316" s="166">
        <v>0</v>
      </c>
      <c r="BI1316" s="166">
        <v>0</v>
      </c>
      <c r="BJ1316" s="166">
        <v>0</v>
      </c>
      <c r="BK1316" s="166">
        <v>0</v>
      </c>
      <c r="BL1316" s="166">
        <v>0</v>
      </c>
      <c r="BM1316" s="166">
        <v>0</v>
      </c>
      <c r="BN1316" s="166">
        <v>0</v>
      </c>
      <c r="BO1316" s="166">
        <v>0</v>
      </c>
      <c r="BP1316" s="166">
        <v>0</v>
      </c>
      <c r="BQ1316" s="81" t="s">
        <v>1758</v>
      </c>
      <c r="BZ1316" s="81" t="s">
        <v>155</v>
      </c>
      <c r="CA1316" s="81">
        <v>6</v>
      </c>
      <c r="CC1316" s="167">
        <v>0</v>
      </c>
      <c r="CD1316" s="167">
        <v>0</v>
      </c>
      <c r="CE1316" s="167">
        <v>0</v>
      </c>
      <c r="CF1316" s="167">
        <v>0</v>
      </c>
      <c r="CG1316" s="167">
        <v>0</v>
      </c>
      <c r="CH1316" s="167">
        <f>$N1316/3</f>
        <v>0.33333333333333331</v>
      </c>
      <c r="CI1316" s="167">
        <f>$N1316/3</f>
        <v>0.33333333333333331</v>
      </c>
      <c r="CJ1316" s="167">
        <f>$N1316/3</f>
        <v>0.33333333333333331</v>
      </c>
      <c r="CK1316" s="167">
        <v>0</v>
      </c>
      <c r="CL1316" s="167">
        <v>0</v>
      </c>
      <c r="CM1316" s="167">
        <v>0</v>
      </c>
      <c r="CN1316" s="167">
        <v>0</v>
      </c>
      <c r="CO1316" s="167">
        <v>0</v>
      </c>
      <c r="CP1316" s="167">
        <v>0</v>
      </c>
      <c r="CQ1316" s="167">
        <v>0</v>
      </c>
      <c r="CR1316" s="167">
        <v>0</v>
      </c>
      <c r="CS1316" s="167">
        <v>0</v>
      </c>
      <c r="CT1316" s="167">
        <v>0</v>
      </c>
      <c r="CU1316" s="167">
        <v>0</v>
      </c>
      <c r="CV1316" s="167">
        <v>0</v>
      </c>
      <c r="CW1316" s="167">
        <v>0</v>
      </c>
      <c r="CX1316" s="167">
        <f>SUM(CD1316:CH1316)</f>
        <v>0.33333333333333331</v>
      </c>
      <c r="CY1316" s="167">
        <f>SUM(CD1316:CM1316)</f>
        <v>1</v>
      </c>
    </row>
    <row r="1317" spans="1:103" ht="12.75" customHeight="1" x14ac:dyDescent="0.2">
      <c r="A1317" s="81">
        <v>6817</v>
      </c>
      <c r="B1317" s="165" t="s">
        <v>1955</v>
      </c>
      <c r="C1317" s="165" t="s">
        <v>2299</v>
      </c>
      <c r="E1317" s="165" t="s">
        <v>2300</v>
      </c>
      <c r="G1317" s="81">
        <v>528402</v>
      </c>
      <c r="H1317" s="81">
        <v>172041</v>
      </c>
      <c r="I1317" s="165" t="s">
        <v>248</v>
      </c>
      <c r="L1317" s="166">
        <v>0</v>
      </c>
      <c r="M1317" s="166">
        <v>4</v>
      </c>
      <c r="N1317" s="166">
        <v>4</v>
      </c>
      <c r="O1317" s="166">
        <v>6</v>
      </c>
      <c r="P1317" s="166">
        <v>5</v>
      </c>
      <c r="R1317" s="165" t="s">
        <v>2301</v>
      </c>
      <c r="S1317" s="81" t="s">
        <v>121</v>
      </c>
      <c r="T1317" s="349">
        <v>43153</v>
      </c>
      <c r="W1317" s="81" t="s">
        <v>114</v>
      </c>
      <c r="Y1317" s="81" t="s">
        <v>115</v>
      </c>
      <c r="Z1317" s="81" t="s">
        <v>398</v>
      </c>
      <c r="AA1317" s="81" t="s">
        <v>117</v>
      </c>
      <c r="AB1317" s="81" t="s">
        <v>399</v>
      </c>
      <c r="AC1317" s="166">
        <v>1.7000000923872001E-2</v>
      </c>
      <c r="AG1317" s="81" t="s">
        <v>238</v>
      </c>
      <c r="AH1317" s="81" t="s">
        <v>118</v>
      </c>
      <c r="AK1317" s="166">
        <v>0</v>
      </c>
      <c r="AM1317" s="166">
        <v>0</v>
      </c>
      <c r="AO1317" s="166">
        <v>0</v>
      </c>
      <c r="AP1317" s="166">
        <v>4</v>
      </c>
      <c r="AQ1317" s="166">
        <v>0</v>
      </c>
      <c r="AR1317" s="166">
        <v>0</v>
      </c>
      <c r="AS1317" s="166">
        <v>0</v>
      </c>
      <c r="AT1317" s="166">
        <v>0</v>
      </c>
      <c r="AU1317" s="166">
        <v>0</v>
      </c>
      <c r="AV1317" s="166">
        <v>0</v>
      </c>
      <c r="AW1317" s="166">
        <v>4</v>
      </c>
      <c r="AX1317" s="166">
        <v>0</v>
      </c>
      <c r="AY1317" s="166">
        <v>0</v>
      </c>
      <c r="AZ1317" s="166">
        <v>0</v>
      </c>
      <c r="BA1317" s="166">
        <v>0</v>
      </c>
      <c r="BB1317" s="166">
        <v>0</v>
      </c>
      <c r="BC1317" s="166">
        <v>0</v>
      </c>
      <c r="BD1317" s="166">
        <v>0</v>
      </c>
      <c r="BE1317" s="166">
        <v>0</v>
      </c>
      <c r="BF1317" s="166">
        <v>0</v>
      </c>
      <c r="BG1317" s="166">
        <v>0</v>
      </c>
      <c r="BH1317" s="166">
        <v>0</v>
      </c>
      <c r="BI1317" s="166">
        <v>0</v>
      </c>
      <c r="BJ1317" s="166">
        <v>0</v>
      </c>
      <c r="BK1317" s="166">
        <v>0</v>
      </c>
      <c r="BL1317" s="166">
        <v>0</v>
      </c>
      <c r="BM1317" s="166">
        <v>0</v>
      </c>
      <c r="BN1317" s="166">
        <v>0</v>
      </c>
      <c r="BO1317" s="166">
        <v>0</v>
      </c>
      <c r="BP1317" s="166">
        <v>0</v>
      </c>
      <c r="BQ1317" s="81" t="s">
        <v>1757</v>
      </c>
      <c r="BZ1317" s="81" t="s">
        <v>155</v>
      </c>
      <c r="CA1317" s="81">
        <v>10</v>
      </c>
      <c r="CC1317" s="167">
        <v>0</v>
      </c>
      <c r="CD1317" s="167">
        <v>0</v>
      </c>
      <c r="CE1317" s="167">
        <v>0</v>
      </c>
      <c r="CF1317" s="167">
        <v>0</v>
      </c>
      <c r="CG1317" s="167">
        <v>0</v>
      </c>
      <c r="CH1317" s="167">
        <f>$N1317/3</f>
        <v>1.3333333333333333</v>
      </c>
      <c r="CI1317" s="167">
        <f>$N1317/3</f>
        <v>1.3333333333333333</v>
      </c>
      <c r="CJ1317" s="167">
        <f>$N1317/3</f>
        <v>1.3333333333333333</v>
      </c>
      <c r="CK1317" s="167">
        <v>0</v>
      </c>
      <c r="CL1317" s="167">
        <v>0</v>
      </c>
      <c r="CM1317" s="167">
        <v>0</v>
      </c>
      <c r="CN1317" s="167">
        <v>0</v>
      </c>
      <c r="CO1317" s="167">
        <v>0</v>
      </c>
      <c r="CP1317" s="167">
        <v>0</v>
      </c>
      <c r="CQ1317" s="167">
        <v>0</v>
      </c>
      <c r="CR1317" s="167">
        <v>0</v>
      </c>
      <c r="CS1317" s="167">
        <v>0</v>
      </c>
      <c r="CT1317" s="167">
        <v>0</v>
      </c>
      <c r="CU1317" s="167">
        <v>0</v>
      </c>
      <c r="CV1317" s="167">
        <v>0</v>
      </c>
      <c r="CW1317" s="167">
        <v>0</v>
      </c>
      <c r="CX1317" s="167">
        <f>SUM(CD1317:CH1317)</f>
        <v>1.3333333333333333</v>
      </c>
      <c r="CY1317" s="167">
        <f>SUM(CD1317:CM1317)</f>
        <v>4</v>
      </c>
    </row>
    <row r="1318" spans="1:103" ht="12.75" customHeight="1" x14ac:dyDescent="0.2">
      <c r="A1318" s="81">
        <v>6817</v>
      </c>
      <c r="B1318" s="165" t="s">
        <v>1955</v>
      </c>
      <c r="C1318" s="165" t="s">
        <v>2299</v>
      </c>
      <c r="E1318" s="165" t="s">
        <v>2300</v>
      </c>
      <c r="G1318" s="81">
        <v>528402</v>
      </c>
      <c r="H1318" s="81">
        <v>172041</v>
      </c>
      <c r="I1318" s="165" t="s">
        <v>248</v>
      </c>
      <c r="L1318" s="166">
        <v>0</v>
      </c>
      <c r="M1318" s="166">
        <v>1</v>
      </c>
      <c r="N1318" s="166">
        <v>1</v>
      </c>
      <c r="O1318" s="166">
        <v>6</v>
      </c>
      <c r="P1318" s="166">
        <v>5</v>
      </c>
      <c r="R1318" s="165" t="s">
        <v>2301</v>
      </c>
      <c r="S1318" s="81" t="s">
        <v>121</v>
      </c>
      <c r="T1318" s="349">
        <v>43153</v>
      </c>
      <c r="W1318" s="81" t="s">
        <v>114</v>
      </c>
      <c r="Y1318" s="81" t="s">
        <v>115</v>
      </c>
      <c r="Z1318" s="81" t="s">
        <v>398</v>
      </c>
      <c r="AA1318" s="81" t="s">
        <v>117</v>
      </c>
      <c r="AB1318" s="81" t="s">
        <v>218</v>
      </c>
      <c r="AC1318" s="166">
        <v>4.0000001899898104E-3</v>
      </c>
      <c r="AG1318" s="81" t="s">
        <v>238</v>
      </c>
      <c r="AH1318" s="81" t="s">
        <v>118</v>
      </c>
      <c r="AK1318" s="166">
        <v>0</v>
      </c>
      <c r="AM1318" s="166">
        <v>0</v>
      </c>
      <c r="AO1318" s="166">
        <v>0</v>
      </c>
      <c r="AP1318" s="166">
        <v>1</v>
      </c>
      <c r="AQ1318" s="166">
        <v>0</v>
      </c>
      <c r="AR1318" s="166">
        <v>0</v>
      </c>
      <c r="AS1318" s="166">
        <v>0</v>
      </c>
      <c r="AT1318" s="166">
        <v>0</v>
      </c>
      <c r="AU1318" s="166">
        <v>0</v>
      </c>
      <c r="AV1318" s="166">
        <v>0</v>
      </c>
      <c r="AW1318" s="166">
        <v>1</v>
      </c>
      <c r="AX1318" s="166">
        <v>0</v>
      </c>
      <c r="AY1318" s="166">
        <v>0</v>
      </c>
      <c r="AZ1318" s="166">
        <v>0</v>
      </c>
      <c r="BA1318" s="166">
        <v>0</v>
      </c>
      <c r="BB1318" s="166">
        <v>0</v>
      </c>
      <c r="BC1318" s="166">
        <v>0</v>
      </c>
      <c r="BD1318" s="166">
        <v>0</v>
      </c>
      <c r="BE1318" s="166">
        <v>0</v>
      </c>
      <c r="BF1318" s="166">
        <v>0</v>
      </c>
      <c r="BG1318" s="166">
        <v>0</v>
      </c>
      <c r="BH1318" s="166">
        <v>0</v>
      </c>
      <c r="BI1318" s="166">
        <v>0</v>
      </c>
      <c r="BJ1318" s="166">
        <v>0</v>
      </c>
      <c r="BK1318" s="166">
        <v>0</v>
      </c>
      <c r="BL1318" s="166">
        <v>0</v>
      </c>
      <c r="BM1318" s="166">
        <v>0</v>
      </c>
      <c r="BN1318" s="166">
        <v>0</v>
      </c>
      <c r="BO1318" s="166">
        <v>0</v>
      </c>
      <c r="BP1318" s="166">
        <v>0</v>
      </c>
      <c r="BQ1318" s="81" t="s">
        <v>1757</v>
      </c>
      <c r="BZ1318" s="81" t="s">
        <v>155</v>
      </c>
      <c r="CA1318" s="81">
        <v>10</v>
      </c>
      <c r="CC1318" s="167">
        <v>0</v>
      </c>
      <c r="CD1318" s="167">
        <v>0</v>
      </c>
      <c r="CE1318" s="167">
        <v>0</v>
      </c>
      <c r="CF1318" s="167">
        <v>0</v>
      </c>
      <c r="CG1318" s="167">
        <v>0</v>
      </c>
      <c r="CH1318" s="167">
        <f>$N1318/3</f>
        <v>0.33333333333333331</v>
      </c>
      <c r="CI1318" s="167">
        <f>$N1318/3</f>
        <v>0.33333333333333331</v>
      </c>
      <c r="CJ1318" s="167">
        <f>$N1318/3</f>
        <v>0.33333333333333331</v>
      </c>
      <c r="CK1318" s="167">
        <v>0</v>
      </c>
      <c r="CL1318" s="167">
        <v>0</v>
      </c>
      <c r="CM1318" s="167">
        <v>0</v>
      </c>
      <c r="CN1318" s="167">
        <v>0</v>
      </c>
      <c r="CO1318" s="167">
        <v>0</v>
      </c>
      <c r="CP1318" s="167">
        <v>0</v>
      </c>
      <c r="CQ1318" s="167">
        <v>0</v>
      </c>
      <c r="CR1318" s="167">
        <v>0</v>
      </c>
      <c r="CS1318" s="167">
        <v>0</v>
      </c>
      <c r="CT1318" s="167">
        <v>0</v>
      </c>
      <c r="CU1318" s="167">
        <v>0</v>
      </c>
      <c r="CV1318" s="167">
        <v>0</v>
      </c>
      <c r="CW1318" s="167">
        <v>0</v>
      </c>
      <c r="CX1318" s="167">
        <f>SUM(CD1318:CH1318)</f>
        <v>0.33333333333333331</v>
      </c>
      <c r="CY1318" s="167">
        <f>SUM(CD1318:CM1318)</f>
        <v>1</v>
      </c>
    </row>
    <row r="1319" spans="1:103" ht="12.75" customHeight="1" x14ac:dyDescent="0.2">
      <c r="A1319" s="81">
        <v>6817</v>
      </c>
      <c r="B1319" s="165" t="s">
        <v>1955</v>
      </c>
      <c r="C1319" s="165" t="s">
        <v>2299</v>
      </c>
      <c r="E1319" s="165" t="s">
        <v>2300</v>
      </c>
      <c r="G1319" s="81">
        <v>528402</v>
      </c>
      <c r="H1319" s="81">
        <v>172041</v>
      </c>
      <c r="I1319" s="165" t="s">
        <v>248</v>
      </c>
      <c r="L1319" s="166">
        <v>1</v>
      </c>
      <c r="M1319" s="166">
        <v>1</v>
      </c>
      <c r="N1319" s="166">
        <v>0</v>
      </c>
      <c r="O1319" s="166">
        <v>6</v>
      </c>
      <c r="P1319" s="166">
        <v>5</v>
      </c>
      <c r="R1319" s="165" t="s">
        <v>2301</v>
      </c>
      <c r="S1319" s="81" t="s">
        <v>121</v>
      </c>
      <c r="T1319" s="349">
        <v>43153</v>
      </c>
      <c r="W1319" s="81" t="s">
        <v>114</v>
      </c>
      <c r="Y1319" s="81" t="s">
        <v>115</v>
      </c>
      <c r="Z1319" s="81" t="s">
        <v>398</v>
      </c>
      <c r="AA1319" s="81" t="s">
        <v>117</v>
      </c>
      <c r="AB1319" s="81" t="s">
        <v>300</v>
      </c>
      <c r="AC1319" s="166">
        <v>4.0000001899898104E-3</v>
      </c>
      <c r="AG1319" s="81" t="s">
        <v>238</v>
      </c>
      <c r="AH1319" s="81" t="s">
        <v>118</v>
      </c>
      <c r="AK1319" s="166">
        <v>0</v>
      </c>
      <c r="AM1319" s="166">
        <v>0</v>
      </c>
      <c r="AO1319" s="166">
        <v>0</v>
      </c>
      <c r="AP1319" s="166">
        <v>1</v>
      </c>
      <c r="AQ1319" s="166">
        <v>-1</v>
      </c>
      <c r="AR1319" s="166">
        <v>0</v>
      </c>
      <c r="AS1319" s="166">
        <v>0</v>
      </c>
      <c r="AT1319" s="166">
        <v>0</v>
      </c>
      <c r="AU1319" s="166">
        <v>0</v>
      </c>
      <c r="AV1319" s="166">
        <v>0</v>
      </c>
      <c r="AW1319" s="166">
        <v>1</v>
      </c>
      <c r="AX1319" s="166">
        <v>-1</v>
      </c>
      <c r="AY1319" s="166">
        <v>0</v>
      </c>
      <c r="AZ1319" s="166">
        <v>0</v>
      </c>
      <c r="BA1319" s="166">
        <v>0</v>
      </c>
      <c r="BB1319" s="166">
        <v>0</v>
      </c>
      <c r="BC1319" s="166">
        <v>0</v>
      </c>
      <c r="BD1319" s="166">
        <v>0</v>
      </c>
      <c r="BE1319" s="166">
        <v>0</v>
      </c>
      <c r="BF1319" s="166">
        <v>0</v>
      </c>
      <c r="BG1319" s="166">
        <v>0</v>
      </c>
      <c r="BH1319" s="166">
        <v>0</v>
      </c>
      <c r="BI1319" s="166">
        <v>0</v>
      </c>
      <c r="BJ1319" s="166">
        <v>0</v>
      </c>
      <c r="BK1319" s="166">
        <v>0</v>
      </c>
      <c r="BL1319" s="166">
        <v>0</v>
      </c>
      <c r="BM1319" s="166">
        <v>0</v>
      </c>
      <c r="BN1319" s="166">
        <v>0</v>
      </c>
      <c r="BO1319" s="166">
        <v>0</v>
      </c>
      <c r="BP1319" s="166">
        <v>0</v>
      </c>
      <c r="BQ1319" s="81" t="s">
        <v>1757</v>
      </c>
      <c r="BZ1319" s="81" t="s">
        <v>155</v>
      </c>
      <c r="CA1319" s="81">
        <v>10</v>
      </c>
      <c r="CC1319" s="167">
        <v>0</v>
      </c>
      <c r="CD1319" s="167">
        <v>0</v>
      </c>
      <c r="CE1319" s="167">
        <v>0</v>
      </c>
      <c r="CF1319" s="167">
        <v>0</v>
      </c>
      <c r="CG1319" s="167">
        <v>0</v>
      </c>
      <c r="CH1319" s="167">
        <f>$N1319/3</f>
        <v>0</v>
      </c>
      <c r="CI1319" s="167">
        <f>$N1319/3</f>
        <v>0</v>
      </c>
      <c r="CJ1319" s="167">
        <f>$N1319/3</f>
        <v>0</v>
      </c>
      <c r="CK1319" s="167">
        <v>0</v>
      </c>
      <c r="CL1319" s="167">
        <v>0</v>
      </c>
      <c r="CM1319" s="167">
        <v>0</v>
      </c>
      <c r="CN1319" s="167">
        <v>0</v>
      </c>
      <c r="CO1319" s="167">
        <v>0</v>
      </c>
      <c r="CP1319" s="167">
        <v>0</v>
      </c>
      <c r="CQ1319" s="167">
        <v>0</v>
      </c>
      <c r="CR1319" s="167">
        <v>0</v>
      </c>
      <c r="CS1319" s="167">
        <v>0</v>
      </c>
      <c r="CT1319" s="167">
        <v>0</v>
      </c>
      <c r="CU1319" s="167">
        <v>0</v>
      </c>
      <c r="CV1319" s="167">
        <v>0</v>
      </c>
      <c r="CW1319" s="167">
        <v>0</v>
      </c>
      <c r="CX1319" s="167">
        <f>SUM(CD1319:CH1319)</f>
        <v>0</v>
      </c>
      <c r="CY1319" s="167">
        <f>SUM(CD1319:CM1319)</f>
        <v>0</v>
      </c>
    </row>
    <row r="1320" spans="1:103" ht="12.75" customHeight="1" x14ac:dyDescent="0.2">
      <c r="A1320" s="81">
        <v>6818</v>
      </c>
      <c r="B1320" s="165" t="s">
        <v>1955</v>
      </c>
      <c r="C1320" s="165" t="s">
        <v>2302</v>
      </c>
      <c r="E1320" s="165" t="s">
        <v>2303</v>
      </c>
      <c r="G1320" s="81">
        <v>527996</v>
      </c>
      <c r="H1320" s="81">
        <v>171537</v>
      </c>
      <c r="I1320" s="165" t="s">
        <v>253</v>
      </c>
      <c r="L1320" s="166">
        <v>1</v>
      </c>
      <c r="M1320" s="166">
        <v>2</v>
      </c>
      <c r="N1320" s="166">
        <v>1</v>
      </c>
      <c r="O1320" s="166">
        <v>2</v>
      </c>
      <c r="P1320" s="166">
        <v>1</v>
      </c>
      <c r="R1320" s="165" t="s">
        <v>2304</v>
      </c>
      <c r="S1320" s="81" t="s">
        <v>121</v>
      </c>
      <c r="T1320" s="349">
        <v>43150</v>
      </c>
      <c r="W1320" s="81" t="s">
        <v>114</v>
      </c>
      <c r="Y1320" s="81" t="s">
        <v>115</v>
      </c>
      <c r="Z1320" s="81" t="s">
        <v>119</v>
      </c>
      <c r="AA1320" s="81" t="s">
        <v>117</v>
      </c>
      <c r="AB1320" s="81" t="s">
        <v>120</v>
      </c>
      <c r="AC1320" s="166">
        <v>1.09999999403954E-2</v>
      </c>
      <c r="AG1320" s="81" t="s">
        <v>238</v>
      </c>
      <c r="AH1320" s="81" t="s">
        <v>118</v>
      </c>
      <c r="AK1320" s="166">
        <v>0</v>
      </c>
      <c r="AM1320" s="166">
        <v>0</v>
      </c>
      <c r="AO1320" s="166">
        <v>0</v>
      </c>
      <c r="AP1320" s="166">
        <v>1</v>
      </c>
      <c r="AQ1320" s="166">
        <v>1</v>
      </c>
      <c r="AR1320" s="166">
        <v>0</v>
      </c>
      <c r="AS1320" s="166">
        <v>-1</v>
      </c>
      <c r="AT1320" s="166">
        <v>0</v>
      </c>
      <c r="AU1320" s="166">
        <v>0</v>
      </c>
      <c r="AV1320" s="166">
        <v>0</v>
      </c>
      <c r="AW1320" s="166">
        <v>1</v>
      </c>
      <c r="AX1320" s="166">
        <v>1</v>
      </c>
      <c r="AY1320" s="166">
        <v>0</v>
      </c>
      <c r="AZ1320" s="166">
        <v>0</v>
      </c>
      <c r="BA1320" s="166">
        <v>0</v>
      </c>
      <c r="BB1320" s="166">
        <v>0</v>
      </c>
      <c r="BC1320" s="166">
        <v>0</v>
      </c>
      <c r="BD1320" s="166">
        <v>0</v>
      </c>
      <c r="BE1320" s="166">
        <v>0</v>
      </c>
      <c r="BF1320" s="166">
        <v>0</v>
      </c>
      <c r="BG1320" s="166">
        <v>-1</v>
      </c>
      <c r="BH1320" s="166">
        <v>0</v>
      </c>
      <c r="BI1320" s="166">
        <v>0</v>
      </c>
      <c r="BJ1320" s="166">
        <v>0</v>
      </c>
      <c r="BK1320" s="166">
        <v>0</v>
      </c>
      <c r="BL1320" s="166">
        <v>0</v>
      </c>
      <c r="BM1320" s="166">
        <v>0</v>
      </c>
      <c r="BN1320" s="166">
        <v>0</v>
      </c>
      <c r="BO1320" s="166">
        <v>0</v>
      </c>
      <c r="BP1320" s="166">
        <v>0</v>
      </c>
      <c r="BQ1320" s="81" t="s">
        <v>1757</v>
      </c>
      <c r="BZ1320" s="81" t="s">
        <v>155</v>
      </c>
      <c r="CA1320" s="81">
        <v>10</v>
      </c>
      <c r="CC1320" s="167">
        <v>0</v>
      </c>
      <c r="CD1320" s="167">
        <v>0</v>
      </c>
      <c r="CE1320" s="167">
        <v>0</v>
      </c>
      <c r="CF1320" s="167">
        <v>0</v>
      </c>
      <c r="CG1320" s="167">
        <v>0</v>
      </c>
      <c r="CH1320" s="167">
        <f>$N1320/3</f>
        <v>0.33333333333333331</v>
      </c>
      <c r="CI1320" s="167">
        <f>$N1320/3</f>
        <v>0.33333333333333331</v>
      </c>
      <c r="CJ1320" s="167">
        <f>$N1320/3</f>
        <v>0.33333333333333331</v>
      </c>
      <c r="CK1320" s="167">
        <v>0</v>
      </c>
      <c r="CL1320" s="167">
        <v>0</v>
      </c>
      <c r="CM1320" s="167">
        <v>0</v>
      </c>
      <c r="CN1320" s="167">
        <v>0</v>
      </c>
      <c r="CO1320" s="167">
        <v>0</v>
      </c>
      <c r="CP1320" s="167">
        <v>0</v>
      </c>
      <c r="CQ1320" s="167">
        <v>0</v>
      </c>
      <c r="CR1320" s="167">
        <v>0</v>
      </c>
      <c r="CS1320" s="167">
        <v>0</v>
      </c>
      <c r="CT1320" s="167">
        <v>0</v>
      </c>
      <c r="CU1320" s="167">
        <v>0</v>
      </c>
      <c r="CV1320" s="167">
        <v>0</v>
      </c>
      <c r="CW1320" s="167">
        <v>0</v>
      </c>
      <c r="CX1320" s="167">
        <f>SUM(CD1320:CH1320)</f>
        <v>0.33333333333333331</v>
      </c>
      <c r="CY1320" s="167">
        <f>SUM(CD1320:CM1320)</f>
        <v>1</v>
      </c>
    </row>
    <row r="1321" spans="1:103" ht="12.75" customHeight="1" x14ac:dyDescent="0.2">
      <c r="A1321" s="81">
        <v>6819</v>
      </c>
      <c r="B1321" s="165" t="s">
        <v>1955</v>
      </c>
      <c r="C1321" s="165" t="s">
        <v>3472</v>
      </c>
      <c r="E1321" s="165" t="s">
        <v>3473</v>
      </c>
      <c r="F1321" s="165" t="s">
        <v>3475</v>
      </c>
      <c r="G1321" s="81">
        <v>522285</v>
      </c>
      <c r="H1321" s="81">
        <v>173138</v>
      </c>
      <c r="I1321" s="165" t="s">
        <v>877</v>
      </c>
      <c r="L1321" s="166">
        <v>64</v>
      </c>
      <c r="M1321" s="166">
        <v>41</v>
      </c>
      <c r="N1321" s="166">
        <v>-23</v>
      </c>
      <c r="O1321" s="166">
        <v>95</v>
      </c>
      <c r="P1321" s="166">
        <v>31</v>
      </c>
      <c r="Q1321" s="81" t="s">
        <v>155</v>
      </c>
      <c r="R1321" s="165" t="s">
        <v>3474</v>
      </c>
      <c r="S1321" s="81" t="s">
        <v>121</v>
      </c>
      <c r="T1321" s="349">
        <v>43150</v>
      </c>
      <c r="W1321" s="81" t="s">
        <v>114</v>
      </c>
      <c r="Y1321" s="81" t="s">
        <v>115</v>
      </c>
      <c r="Z1321" s="81" t="s">
        <v>116</v>
      </c>
      <c r="AA1321" s="81" t="s">
        <v>116</v>
      </c>
      <c r="AB1321" s="81" t="s">
        <v>117</v>
      </c>
      <c r="AC1321" s="166">
        <v>0.20399999618530301</v>
      </c>
      <c r="AG1321" s="81" t="s">
        <v>154</v>
      </c>
      <c r="AH1321" s="81" t="s">
        <v>312</v>
      </c>
      <c r="AK1321" s="166">
        <v>0</v>
      </c>
      <c r="AM1321" s="166">
        <v>0</v>
      </c>
      <c r="AO1321" s="166">
        <v>-53</v>
      </c>
      <c r="AP1321" s="166">
        <v>30</v>
      </c>
      <c r="AQ1321" s="166">
        <v>0</v>
      </c>
      <c r="AR1321" s="166">
        <v>0</v>
      </c>
      <c r="AS1321" s="166">
        <v>0</v>
      </c>
      <c r="AT1321" s="166">
        <v>0</v>
      </c>
      <c r="AU1321" s="166">
        <v>0</v>
      </c>
      <c r="AV1321" s="166">
        <v>-53</v>
      </c>
      <c r="AW1321" s="166">
        <v>30</v>
      </c>
      <c r="AX1321" s="166">
        <v>0</v>
      </c>
      <c r="AY1321" s="166">
        <v>0</v>
      </c>
      <c r="AZ1321" s="166">
        <v>0</v>
      </c>
      <c r="BA1321" s="166">
        <v>0</v>
      </c>
      <c r="BB1321" s="166">
        <v>0</v>
      </c>
      <c r="BC1321" s="166">
        <v>0</v>
      </c>
      <c r="BD1321" s="166">
        <v>0</v>
      </c>
      <c r="BE1321" s="166">
        <v>0</v>
      </c>
      <c r="BF1321" s="166">
        <v>0</v>
      </c>
      <c r="BG1321" s="166">
        <v>0</v>
      </c>
      <c r="BH1321" s="166">
        <v>0</v>
      </c>
      <c r="BI1321" s="166">
        <v>0</v>
      </c>
      <c r="BJ1321" s="166">
        <v>0</v>
      </c>
      <c r="BK1321" s="166">
        <v>0</v>
      </c>
      <c r="BL1321" s="166">
        <v>0</v>
      </c>
      <c r="BM1321" s="166">
        <v>0</v>
      </c>
      <c r="BN1321" s="166">
        <v>0</v>
      </c>
      <c r="BO1321" s="166">
        <v>0</v>
      </c>
      <c r="BP1321" s="166">
        <v>0</v>
      </c>
      <c r="BQ1321" s="81" t="s">
        <v>1758</v>
      </c>
      <c r="BZ1321" s="81" t="s">
        <v>155</v>
      </c>
      <c r="CA1321" s="81">
        <v>6</v>
      </c>
      <c r="CC1321" s="167">
        <v>0</v>
      </c>
      <c r="CD1321" s="167">
        <v>0</v>
      </c>
      <c r="CE1321" s="167">
        <v>0</v>
      </c>
      <c r="CF1321" s="167">
        <v>0</v>
      </c>
      <c r="CG1321" s="167">
        <v>0</v>
      </c>
      <c r="CH1321" s="167">
        <f>$N1321/3</f>
        <v>-7.666666666666667</v>
      </c>
      <c r="CI1321" s="167">
        <f>$N1321/3</f>
        <v>-7.666666666666667</v>
      </c>
      <c r="CJ1321" s="167">
        <f>$N1321/3</f>
        <v>-7.666666666666667</v>
      </c>
      <c r="CK1321" s="167">
        <v>0</v>
      </c>
      <c r="CL1321" s="167">
        <v>0</v>
      </c>
      <c r="CM1321" s="167">
        <v>0</v>
      </c>
      <c r="CN1321" s="167">
        <v>0</v>
      </c>
      <c r="CO1321" s="167">
        <v>0</v>
      </c>
      <c r="CP1321" s="167">
        <v>0</v>
      </c>
      <c r="CQ1321" s="167">
        <v>0</v>
      </c>
      <c r="CR1321" s="167">
        <v>0</v>
      </c>
      <c r="CS1321" s="167">
        <v>0</v>
      </c>
      <c r="CT1321" s="167">
        <v>0</v>
      </c>
      <c r="CU1321" s="167">
        <v>0</v>
      </c>
      <c r="CV1321" s="167">
        <v>0</v>
      </c>
      <c r="CW1321" s="167">
        <v>0</v>
      </c>
      <c r="CX1321" s="167">
        <f>SUM(CD1321:CH1321)</f>
        <v>-7.666666666666667</v>
      </c>
      <c r="CY1321" s="167">
        <f>SUM(CD1321:CM1321)</f>
        <v>-23</v>
      </c>
    </row>
    <row r="1322" spans="1:103" ht="12.75" customHeight="1" x14ac:dyDescent="0.2">
      <c r="A1322" s="81">
        <v>6819</v>
      </c>
      <c r="B1322" s="165" t="s">
        <v>1955</v>
      </c>
      <c r="C1322" s="165" t="s">
        <v>3472</v>
      </c>
      <c r="E1322" s="165" t="s">
        <v>3473</v>
      </c>
      <c r="F1322" s="165" t="s">
        <v>3476</v>
      </c>
      <c r="G1322" s="81">
        <v>522285</v>
      </c>
      <c r="H1322" s="81">
        <v>173138</v>
      </c>
      <c r="I1322" s="165" t="s">
        <v>877</v>
      </c>
      <c r="L1322" s="166">
        <v>0</v>
      </c>
      <c r="M1322" s="166">
        <v>28</v>
      </c>
      <c r="N1322" s="166">
        <v>28</v>
      </c>
      <c r="O1322" s="166">
        <v>95</v>
      </c>
      <c r="P1322" s="166">
        <v>31</v>
      </c>
      <c r="Q1322" s="81" t="s">
        <v>155</v>
      </c>
      <c r="R1322" s="165" t="s">
        <v>3474</v>
      </c>
      <c r="S1322" s="81" t="s">
        <v>121</v>
      </c>
      <c r="T1322" s="349">
        <v>43150</v>
      </c>
      <c r="W1322" s="81" t="s">
        <v>114</v>
      </c>
      <c r="Y1322" s="81" t="s">
        <v>115</v>
      </c>
      <c r="Z1322" s="81" t="s">
        <v>116</v>
      </c>
      <c r="AA1322" s="81" t="s">
        <v>116</v>
      </c>
      <c r="AB1322" s="81" t="s">
        <v>117</v>
      </c>
      <c r="AC1322" s="166">
        <v>0.163000002503395</v>
      </c>
      <c r="AG1322" s="81" t="s">
        <v>74</v>
      </c>
      <c r="AH1322" s="81" t="s">
        <v>895</v>
      </c>
      <c r="AK1322" s="166">
        <v>0</v>
      </c>
      <c r="AM1322" s="166">
        <v>0</v>
      </c>
      <c r="AO1322" s="166">
        <v>0</v>
      </c>
      <c r="AP1322" s="166">
        <v>15</v>
      </c>
      <c r="AQ1322" s="166">
        <v>10</v>
      </c>
      <c r="AR1322" s="166">
        <v>3</v>
      </c>
      <c r="AS1322" s="166">
        <v>0</v>
      </c>
      <c r="AT1322" s="166">
        <v>0</v>
      </c>
      <c r="AU1322" s="166">
        <v>0</v>
      </c>
      <c r="AV1322" s="166">
        <v>0</v>
      </c>
      <c r="AW1322" s="166">
        <v>15</v>
      </c>
      <c r="AX1322" s="166">
        <v>10</v>
      </c>
      <c r="AY1322" s="166">
        <v>3</v>
      </c>
      <c r="AZ1322" s="166">
        <v>0</v>
      </c>
      <c r="BA1322" s="166">
        <v>0</v>
      </c>
      <c r="BB1322" s="166">
        <v>0</v>
      </c>
      <c r="BC1322" s="166">
        <v>0</v>
      </c>
      <c r="BD1322" s="166">
        <v>0</v>
      </c>
      <c r="BE1322" s="166">
        <v>0</v>
      </c>
      <c r="BF1322" s="166">
        <v>0</v>
      </c>
      <c r="BG1322" s="166">
        <v>0</v>
      </c>
      <c r="BH1322" s="166">
        <v>0</v>
      </c>
      <c r="BI1322" s="166">
        <v>0</v>
      </c>
      <c r="BJ1322" s="166">
        <v>0</v>
      </c>
      <c r="BK1322" s="166">
        <v>0</v>
      </c>
      <c r="BL1322" s="166">
        <v>0</v>
      </c>
      <c r="BM1322" s="166">
        <v>0</v>
      </c>
      <c r="BN1322" s="166">
        <v>0</v>
      </c>
      <c r="BO1322" s="166">
        <v>0</v>
      </c>
      <c r="BP1322" s="166">
        <v>0</v>
      </c>
      <c r="BQ1322" s="81" t="s">
        <v>1758</v>
      </c>
      <c r="BZ1322" s="81" t="s">
        <v>155</v>
      </c>
      <c r="CA1322" s="81">
        <v>6</v>
      </c>
      <c r="CC1322" s="167">
        <v>0</v>
      </c>
      <c r="CD1322" s="167">
        <v>0</v>
      </c>
      <c r="CE1322" s="167">
        <v>0</v>
      </c>
      <c r="CF1322" s="167">
        <v>0</v>
      </c>
      <c r="CG1322" s="167">
        <v>0</v>
      </c>
      <c r="CH1322" s="167">
        <f>$N1322/3</f>
        <v>9.3333333333333339</v>
      </c>
      <c r="CI1322" s="167">
        <f>$N1322/3</f>
        <v>9.3333333333333339</v>
      </c>
      <c r="CJ1322" s="167">
        <f>$N1322/3</f>
        <v>9.3333333333333339</v>
      </c>
      <c r="CK1322" s="167">
        <v>0</v>
      </c>
      <c r="CL1322" s="167">
        <v>0</v>
      </c>
      <c r="CM1322" s="167">
        <v>0</v>
      </c>
      <c r="CN1322" s="167">
        <v>0</v>
      </c>
      <c r="CO1322" s="167">
        <v>0</v>
      </c>
      <c r="CP1322" s="167">
        <v>0</v>
      </c>
      <c r="CQ1322" s="167">
        <v>0</v>
      </c>
      <c r="CR1322" s="167">
        <v>0</v>
      </c>
      <c r="CS1322" s="167">
        <v>0</v>
      </c>
      <c r="CT1322" s="167">
        <v>0</v>
      </c>
      <c r="CU1322" s="167">
        <v>0</v>
      </c>
      <c r="CV1322" s="167">
        <v>0</v>
      </c>
      <c r="CW1322" s="167">
        <v>0</v>
      </c>
      <c r="CX1322" s="167">
        <f>SUM(CD1322:CH1322)</f>
        <v>9.3333333333333339</v>
      </c>
      <c r="CY1322" s="167">
        <f>SUM(CD1322:CM1322)</f>
        <v>28</v>
      </c>
    </row>
    <row r="1323" spans="1:103" ht="12.75" customHeight="1" x14ac:dyDescent="0.2">
      <c r="A1323" s="81">
        <v>6819</v>
      </c>
      <c r="B1323" s="165" t="s">
        <v>1955</v>
      </c>
      <c r="C1323" s="165" t="s">
        <v>3472</v>
      </c>
      <c r="E1323" s="165" t="s">
        <v>3473</v>
      </c>
      <c r="G1323" s="81">
        <v>522285</v>
      </c>
      <c r="H1323" s="81">
        <v>173138</v>
      </c>
      <c r="I1323" s="165" t="s">
        <v>877</v>
      </c>
      <c r="L1323" s="166">
        <v>0</v>
      </c>
      <c r="M1323" s="166">
        <v>26</v>
      </c>
      <c r="N1323" s="166">
        <v>26</v>
      </c>
      <c r="O1323" s="166">
        <v>95</v>
      </c>
      <c r="P1323" s="166">
        <v>31</v>
      </c>
      <c r="Q1323" s="81" t="s">
        <v>155</v>
      </c>
      <c r="R1323" s="165" t="s">
        <v>3474</v>
      </c>
      <c r="S1323" s="81" t="s">
        <v>121</v>
      </c>
      <c r="T1323" s="349">
        <v>43150</v>
      </c>
      <c r="W1323" s="81" t="s">
        <v>114</v>
      </c>
      <c r="Y1323" s="81" t="s">
        <v>115</v>
      </c>
      <c r="Z1323" s="81" t="s">
        <v>116</v>
      </c>
      <c r="AA1323" s="81" t="s">
        <v>116</v>
      </c>
      <c r="AB1323" s="81" t="s">
        <v>117</v>
      </c>
      <c r="AC1323" s="166">
        <v>0.15600000321865101</v>
      </c>
      <c r="AG1323" s="81" t="s">
        <v>74</v>
      </c>
      <c r="AH1323" s="81" t="s">
        <v>895</v>
      </c>
      <c r="AK1323" s="166">
        <v>0</v>
      </c>
      <c r="AM1323" s="166">
        <v>0</v>
      </c>
      <c r="AO1323" s="166">
        <v>0</v>
      </c>
      <c r="AP1323" s="166">
        <v>9</v>
      </c>
      <c r="AQ1323" s="166">
        <v>14</v>
      </c>
      <c r="AR1323" s="166">
        <v>3</v>
      </c>
      <c r="AS1323" s="166">
        <v>0</v>
      </c>
      <c r="AT1323" s="166">
        <v>0</v>
      </c>
      <c r="AU1323" s="166">
        <v>0</v>
      </c>
      <c r="AV1323" s="166">
        <v>0</v>
      </c>
      <c r="AW1323" s="166">
        <v>9</v>
      </c>
      <c r="AX1323" s="166">
        <v>14</v>
      </c>
      <c r="AY1323" s="166">
        <v>3</v>
      </c>
      <c r="AZ1323" s="166">
        <v>0</v>
      </c>
      <c r="BA1323" s="166">
        <v>0</v>
      </c>
      <c r="BB1323" s="166">
        <v>0</v>
      </c>
      <c r="BC1323" s="166">
        <v>0</v>
      </c>
      <c r="BD1323" s="166">
        <v>0</v>
      </c>
      <c r="BE1323" s="166">
        <v>0</v>
      </c>
      <c r="BF1323" s="166">
        <v>0</v>
      </c>
      <c r="BG1323" s="166">
        <v>0</v>
      </c>
      <c r="BH1323" s="166">
        <v>0</v>
      </c>
      <c r="BI1323" s="166">
        <v>0</v>
      </c>
      <c r="BJ1323" s="166">
        <v>0</v>
      </c>
      <c r="BK1323" s="166">
        <v>0</v>
      </c>
      <c r="BL1323" s="166">
        <v>0</v>
      </c>
      <c r="BM1323" s="166">
        <v>0</v>
      </c>
      <c r="BN1323" s="166">
        <v>0</v>
      </c>
      <c r="BO1323" s="166">
        <v>0</v>
      </c>
      <c r="BP1323" s="166">
        <v>0</v>
      </c>
      <c r="BQ1323" s="81" t="s">
        <v>1758</v>
      </c>
      <c r="BZ1323" s="81" t="s">
        <v>155</v>
      </c>
      <c r="CA1323" s="81">
        <v>6</v>
      </c>
      <c r="CC1323" s="167">
        <v>0</v>
      </c>
      <c r="CD1323" s="167">
        <v>0</v>
      </c>
      <c r="CE1323" s="167">
        <v>0</v>
      </c>
      <c r="CF1323" s="167">
        <v>0</v>
      </c>
      <c r="CG1323" s="167">
        <v>0</v>
      </c>
      <c r="CH1323" s="167">
        <f>$N1323/3</f>
        <v>8.6666666666666661</v>
      </c>
      <c r="CI1323" s="167">
        <f>$N1323/3</f>
        <v>8.6666666666666661</v>
      </c>
      <c r="CJ1323" s="167">
        <f>$N1323/3</f>
        <v>8.6666666666666661</v>
      </c>
      <c r="CK1323" s="167">
        <v>0</v>
      </c>
      <c r="CL1323" s="167">
        <v>0</v>
      </c>
      <c r="CM1323" s="167">
        <v>0</v>
      </c>
      <c r="CN1323" s="167">
        <v>0</v>
      </c>
      <c r="CO1323" s="167">
        <v>0</v>
      </c>
      <c r="CP1323" s="167">
        <v>0</v>
      </c>
      <c r="CQ1323" s="167">
        <v>0</v>
      </c>
      <c r="CR1323" s="167">
        <v>0</v>
      </c>
      <c r="CS1323" s="167">
        <v>0</v>
      </c>
      <c r="CT1323" s="167">
        <v>0</v>
      </c>
      <c r="CU1323" s="167">
        <v>0</v>
      </c>
      <c r="CV1323" s="167">
        <v>0</v>
      </c>
      <c r="CW1323" s="167">
        <v>0</v>
      </c>
      <c r="CX1323" s="167">
        <f>SUM(CD1323:CH1323)</f>
        <v>8.6666666666666661</v>
      </c>
      <c r="CY1323" s="167">
        <f>SUM(CD1323:CM1323)</f>
        <v>26</v>
      </c>
    </row>
    <row r="1324" spans="1:103" ht="12.75" customHeight="1" x14ac:dyDescent="0.2">
      <c r="A1324" s="81">
        <v>6820</v>
      </c>
      <c r="B1324" s="165" t="s">
        <v>1955</v>
      </c>
      <c r="C1324" s="165" t="s">
        <v>2306</v>
      </c>
      <c r="E1324" s="165" t="s">
        <v>2307</v>
      </c>
      <c r="G1324" s="81">
        <v>522422</v>
      </c>
      <c r="H1324" s="81">
        <v>173974</v>
      </c>
      <c r="I1324" s="165" t="s">
        <v>877</v>
      </c>
      <c r="L1324" s="166">
        <v>2</v>
      </c>
      <c r="M1324" s="166">
        <v>1</v>
      </c>
      <c r="N1324" s="166">
        <v>-1</v>
      </c>
      <c r="O1324" s="166">
        <v>1</v>
      </c>
      <c r="P1324" s="166">
        <v>-1</v>
      </c>
      <c r="R1324" s="165" t="s">
        <v>2308</v>
      </c>
      <c r="S1324" s="81" t="s">
        <v>121</v>
      </c>
      <c r="T1324" s="349">
        <v>43153</v>
      </c>
      <c r="W1324" s="81" t="s">
        <v>114</v>
      </c>
      <c r="Y1324" s="81" t="s">
        <v>115</v>
      </c>
      <c r="Z1324" s="81" t="s">
        <v>398</v>
      </c>
      <c r="AA1324" s="81" t="s">
        <v>117</v>
      </c>
      <c r="AB1324" s="81" t="s">
        <v>336</v>
      </c>
      <c r="AC1324" s="166">
        <v>4.6000000089407002E-2</v>
      </c>
      <c r="AG1324" s="81" t="s">
        <v>238</v>
      </c>
      <c r="AH1324" s="81" t="s">
        <v>118</v>
      </c>
      <c r="AK1324" s="166">
        <v>0</v>
      </c>
      <c r="AM1324" s="166">
        <v>0</v>
      </c>
      <c r="AO1324" s="166">
        <v>0</v>
      </c>
      <c r="AP1324" s="166">
        <v>0</v>
      </c>
      <c r="AQ1324" s="166">
        <v>-1</v>
      </c>
      <c r="AR1324" s="166">
        <v>-1</v>
      </c>
      <c r="AS1324" s="166">
        <v>0</v>
      </c>
      <c r="AT1324" s="166">
        <v>1</v>
      </c>
      <c r="AU1324" s="166">
        <v>0</v>
      </c>
      <c r="AV1324" s="166">
        <v>0</v>
      </c>
      <c r="AW1324" s="166">
        <v>0</v>
      </c>
      <c r="AX1324" s="166">
        <v>-1</v>
      </c>
      <c r="AY1324" s="166">
        <v>-1</v>
      </c>
      <c r="AZ1324" s="166">
        <v>0</v>
      </c>
      <c r="BA1324" s="166">
        <v>0</v>
      </c>
      <c r="BB1324" s="166">
        <v>0</v>
      </c>
      <c r="BC1324" s="166">
        <v>0</v>
      </c>
      <c r="BD1324" s="166">
        <v>0</v>
      </c>
      <c r="BE1324" s="166">
        <v>0</v>
      </c>
      <c r="BF1324" s="166">
        <v>0</v>
      </c>
      <c r="BG1324" s="166">
        <v>0</v>
      </c>
      <c r="BH1324" s="166">
        <v>1</v>
      </c>
      <c r="BI1324" s="166">
        <v>0</v>
      </c>
      <c r="BJ1324" s="166">
        <v>0</v>
      </c>
      <c r="BK1324" s="166">
        <v>0</v>
      </c>
      <c r="BL1324" s="166">
        <v>0</v>
      </c>
      <c r="BM1324" s="166">
        <v>0</v>
      </c>
      <c r="BN1324" s="166">
        <v>0</v>
      </c>
      <c r="BO1324" s="166">
        <v>0</v>
      </c>
      <c r="BP1324" s="166">
        <v>0</v>
      </c>
      <c r="BQ1324" s="81" t="s">
        <v>1758</v>
      </c>
      <c r="BZ1324" s="81" t="s">
        <v>155</v>
      </c>
      <c r="CA1324" s="81">
        <v>10</v>
      </c>
      <c r="CC1324" s="167">
        <v>0</v>
      </c>
      <c r="CD1324" s="167">
        <v>0</v>
      </c>
      <c r="CE1324" s="167">
        <v>0</v>
      </c>
      <c r="CF1324" s="167">
        <v>0</v>
      </c>
      <c r="CG1324" s="167">
        <v>0</v>
      </c>
      <c r="CH1324" s="167">
        <f>$N1324/3</f>
        <v>-0.33333333333333331</v>
      </c>
      <c r="CI1324" s="167">
        <f>$N1324/3</f>
        <v>-0.33333333333333331</v>
      </c>
      <c r="CJ1324" s="167">
        <f>$N1324/3</f>
        <v>-0.33333333333333331</v>
      </c>
      <c r="CK1324" s="167">
        <v>0</v>
      </c>
      <c r="CL1324" s="167">
        <v>0</v>
      </c>
      <c r="CM1324" s="167">
        <v>0</v>
      </c>
      <c r="CN1324" s="167">
        <v>0</v>
      </c>
      <c r="CO1324" s="167">
        <v>0</v>
      </c>
      <c r="CP1324" s="167">
        <v>0</v>
      </c>
      <c r="CQ1324" s="167">
        <v>0</v>
      </c>
      <c r="CR1324" s="167">
        <v>0</v>
      </c>
      <c r="CS1324" s="167">
        <v>0</v>
      </c>
      <c r="CT1324" s="167">
        <v>0</v>
      </c>
      <c r="CU1324" s="167">
        <v>0</v>
      </c>
      <c r="CV1324" s="167">
        <v>0</v>
      </c>
      <c r="CW1324" s="167">
        <v>0</v>
      </c>
      <c r="CX1324" s="167">
        <f>SUM(CD1324:CH1324)</f>
        <v>-0.33333333333333331</v>
      </c>
      <c r="CY1324" s="167">
        <f>SUM(CD1324:CM1324)</f>
        <v>-1</v>
      </c>
    </row>
    <row r="1325" spans="1:103" ht="12.75" customHeight="1" x14ac:dyDescent="0.2">
      <c r="A1325" s="81">
        <v>6821</v>
      </c>
      <c r="B1325" s="165" t="s">
        <v>1955</v>
      </c>
      <c r="C1325" s="165" t="s">
        <v>2309</v>
      </c>
      <c r="D1325" s="165" t="s">
        <v>2107</v>
      </c>
      <c r="E1325" s="165" t="s">
        <v>2310</v>
      </c>
      <c r="G1325" s="81">
        <v>527311</v>
      </c>
      <c r="H1325" s="81">
        <v>177194</v>
      </c>
      <c r="I1325" s="165" t="s">
        <v>257</v>
      </c>
      <c r="L1325" s="166">
        <v>0</v>
      </c>
      <c r="M1325" s="166">
        <v>2</v>
      </c>
      <c r="N1325" s="166">
        <v>2</v>
      </c>
      <c r="O1325" s="166">
        <v>2</v>
      </c>
      <c r="P1325" s="166">
        <v>2</v>
      </c>
      <c r="R1325" s="165" t="s">
        <v>2311</v>
      </c>
      <c r="S1325" s="81" t="s">
        <v>802</v>
      </c>
      <c r="T1325" s="349">
        <v>43151</v>
      </c>
      <c r="W1325" s="81" t="s">
        <v>114</v>
      </c>
      <c r="Y1325" s="81" t="s">
        <v>115</v>
      </c>
      <c r="Z1325" s="81" t="s">
        <v>310</v>
      </c>
      <c r="AA1325" s="81" t="s">
        <v>117</v>
      </c>
      <c r="AB1325" s="81" t="s">
        <v>399</v>
      </c>
      <c r="AC1325" s="166">
        <v>0</v>
      </c>
      <c r="AG1325" s="81" t="s">
        <v>238</v>
      </c>
      <c r="AH1325" s="81" t="s">
        <v>118</v>
      </c>
      <c r="AK1325" s="166">
        <v>0</v>
      </c>
      <c r="AM1325" s="166">
        <v>0</v>
      </c>
      <c r="AO1325" s="166">
        <v>0</v>
      </c>
      <c r="AP1325" s="166">
        <v>1</v>
      </c>
      <c r="AQ1325" s="166">
        <v>1</v>
      </c>
      <c r="AR1325" s="166">
        <v>0</v>
      </c>
      <c r="AS1325" s="166">
        <v>0</v>
      </c>
      <c r="AT1325" s="166">
        <v>0</v>
      </c>
      <c r="AU1325" s="166">
        <v>0</v>
      </c>
      <c r="AV1325" s="166">
        <v>0</v>
      </c>
      <c r="AW1325" s="166">
        <v>1</v>
      </c>
      <c r="AX1325" s="166">
        <v>1</v>
      </c>
      <c r="AY1325" s="166">
        <v>0</v>
      </c>
      <c r="AZ1325" s="166">
        <v>0</v>
      </c>
      <c r="BA1325" s="166">
        <v>0</v>
      </c>
      <c r="BB1325" s="166">
        <v>0</v>
      </c>
      <c r="BC1325" s="166">
        <v>0</v>
      </c>
      <c r="BD1325" s="166">
        <v>0</v>
      </c>
      <c r="BE1325" s="166">
        <v>0</v>
      </c>
      <c r="BF1325" s="166">
        <v>0</v>
      </c>
      <c r="BG1325" s="166">
        <v>0</v>
      </c>
      <c r="BH1325" s="166">
        <v>0</v>
      </c>
      <c r="BI1325" s="166">
        <v>0</v>
      </c>
      <c r="BJ1325" s="166">
        <v>0</v>
      </c>
      <c r="BK1325" s="166">
        <v>0</v>
      </c>
      <c r="BL1325" s="166">
        <v>0</v>
      </c>
      <c r="BM1325" s="166">
        <v>0</v>
      </c>
      <c r="BN1325" s="166">
        <v>0</v>
      </c>
      <c r="BO1325" s="166">
        <v>0</v>
      </c>
      <c r="BP1325" s="166">
        <v>0</v>
      </c>
      <c r="BQ1325" s="81" t="s">
        <v>1757</v>
      </c>
      <c r="BX1325" s="81" t="s">
        <v>155</v>
      </c>
      <c r="BZ1325" s="81" t="s">
        <v>155</v>
      </c>
      <c r="CA1325" s="81">
        <v>10</v>
      </c>
      <c r="CC1325" s="167">
        <v>0</v>
      </c>
      <c r="CD1325" s="167">
        <v>0</v>
      </c>
      <c r="CE1325" s="167">
        <v>0</v>
      </c>
      <c r="CF1325" s="167">
        <v>0</v>
      </c>
      <c r="CG1325" s="167">
        <v>0</v>
      </c>
      <c r="CH1325" s="167">
        <f>$N1325/3</f>
        <v>0.66666666666666663</v>
      </c>
      <c r="CI1325" s="167">
        <f>$N1325/3</f>
        <v>0.66666666666666663</v>
      </c>
      <c r="CJ1325" s="167">
        <f>$N1325/3</f>
        <v>0.66666666666666663</v>
      </c>
      <c r="CK1325" s="167">
        <v>0</v>
      </c>
      <c r="CL1325" s="167">
        <v>0</v>
      </c>
      <c r="CM1325" s="167">
        <v>0</v>
      </c>
      <c r="CN1325" s="167">
        <v>0</v>
      </c>
      <c r="CO1325" s="167">
        <v>0</v>
      </c>
      <c r="CP1325" s="167">
        <v>0</v>
      </c>
      <c r="CQ1325" s="167">
        <v>0</v>
      </c>
      <c r="CR1325" s="167">
        <v>0</v>
      </c>
      <c r="CS1325" s="167">
        <v>0</v>
      </c>
      <c r="CT1325" s="167">
        <v>0</v>
      </c>
      <c r="CU1325" s="167">
        <v>0</v>
      </c>
      <c r="CV1325" s="167">
        <v>0</v>
      </c>
      <c r="CW1325" s="167">
        <v>0</v>
      </c>
      <c r="CX1325" s="167">
        <f>SUM(CD1325:CH1325)</f>
        <v>0.66666666666666663</v>
      </c>
      <c r="CY1325" s="167">
        <f>SUM(CD1325:CM1325)</f>
        <v>2</v>
      </c>
    </row>
    <row r="1326" spans="1:103" ht="12.75" customHeight="1" x14ac:dyDescent="0.2">
      <c r="A1326" s="81">
        <v>6821</v>
      </c>
      <c r="B1326" s="165" t="s">
        <v>1955</v>
      </c>
      <c r="C1326" s="165" t="s">
        <v>2312</v>
      </c>
      <c r="D1326" s="165" t="s">
        <v>2107</v>
      </c>
      <c r="E1326" s="165" t="s">
        <v>2310</v>
      </c>
      <c r="G1326" s="81">
        <v>527311</v>
      </c>
      <c r="H1326" s="81">
        <v>177194</v>
      </c>
      <c r="I1326" s="165" t="s">
        <v>257</v>
      </c>
      <c r="L1326" s="166">
        <v>0</v>
      </c>
      <c r="M1326" s="166">
        <v>2</v>
      </c>
      <c r="N1326" s="166">
        <v>2</v>
      </c>
      <c r="O1326" s="166">
        <v>2</v>
      </c>
      <c r="P1326" s="166">
        <v>2</v>
      </c>
      <c r="R1326" s="165" t="s">
        <v>2313</v>
      </c>
      <c r="S1326" s="81" t="s">
        <v>802</v>
      </c>
      <c r="T1326" s="349">
        <v>43188</v>
      </c>
      <c r="W1326" s="81" t="s">
        <v>114</v>
      </c>
      <c r="Y1326" s="81" t="s">
        <v>115</v>
      </c>
      <c r="Z1326" s="81" t="s">
        <v>310</v>
      </c>
      <c r="AA1326" s="81" t="s">
        <v>117</v>
      </c>
      <c r="AB1326" s="81" t="s">
        <v>399</v>
      </c>
      <c r="AC1326" s="166">
        <v>0</v>
      </c>
      <c r="AG1326" s="81" t="s">
        <v>238</v>
      </c>
      <c r="AH1326" s="81" t="s">
        <v>118</v>
      </c>
      <c r="AK1326" s="166">
        <v>0</v>
      </c>
      <c r="AM1326" s="166">
        <v>0</v>
      </c>
      <c r="AO1326" s="166">
        <v>0</v>
      </c>
      <c r="AP1326" s="166">
        <v>1</v>
      </c>
      <c r="AQ1326" s="166">
        <v>1</v>
      </c>
      <c r="AR1326" s="166">
        <v>0</v>
      </c>
      <c r="AS1326" s="166">
        <v>0</v>
      </c>
      <c r="AT1326" s="166">
        <v>0</v>
      </c>
      <c r="AU1326" s="166">
        <v>0</v>
      </c>
      <c r="AV1326" s="166">
        <v>0</v>
      </c>
      <c r="AW1326" s="166">
        <v>1</v>
      </c>
      <c r="AX1326" s="166">
        <v>1</v>
      </c>
      <c r="AY1326" s="166">
        <v>0</v>
      </c>
      <c r="AZ1326" s="166">
        <v>0</v>
      </c>
      <c r="BA1326" s="166">
        <v>0</v>
      </c>
      <c r="BB1326" s="166">
        <v>0</v>
      </c>
      <c r="BC1326" s="166">
        <v>0</v>
      </c>
      <c r="BD1326" s="166">
        <v>0</v>
      </c>
      <c r="BE1326" s="166">
        <v>0</v>
      </c>
      <c r="BF1326" s="166">
        <v>0</v>
      </c>
      <c r="BG1326" s="166">
        <v>0</v>
      </c>
      <c r="BH1326" s="166">
        <v>0</v>
      </c>
      <c r="BI1326" s="166">
        <v>0</v>
      </c>
      <c r="BJ1326" s="166">
        <v>0</v>
      </c>
      <c r="BK1326" s="166">
        <v>0</v>
      </c>
      <c r="BL1326" s="166">
        <v>0</v>
      </c>
      <c r="BM1326" s="166">
        <v>0</v>
      </c>
      <c r="BN1326" s="166">
        <v>0</v>
      </c>
      <c r="BO1326" s="166">
        <v>0</v>
      </c>
      <c r="BP1326" s="166">
        <v>0</v>
      </c>
      <c r="BQ1326" s="81" t="s">
        <v>1757</v>
      </c>
      <c r="BX1326" s="81" t="s">
        <v>155</v>
      </c>
      <c r="BZ1326" s="81" t="s">
        <v>155</v>
      </c>
      <c r="CA1326" s="81">
        <v>10</v>
      </c>
      <c r="CC1326" s="167">
        <v>0</v>
      </c>
      <c r="CD1326" s="167">
        <v>0</v>
      </c>
      <c r="CE1326" s="167">
        <v>0</v>
      </c>
      <c r="CF1326" s="167">
        <v>0</v>
      </c>
      <c r="CG1326" s="167">
        <v>0</v>
      </c>
      <c r="CH1326" s="167">
        <f>$N1326/3</f>
        <v>0.66666666666666663</v>
      </c>
      <c r="CI1326" s="167">
        <f>$N1326/3</f>
        <v>0.66666666666666663</v>
      </c>
      <c r="CJ1326" s="167">
        <f>$N1326/3</f>
        <v>0.66666666666666663</v>
      </c>
      <c r="CK1326" s="167">
        <v>0</v>
      </c>
      <c r="CL1326" s="167">
        <v>0</v>
      </c>
      <c r="CM1326" s="167">
        <v>0</v>
      </c>
      <c r="CN1326" s="167">
        <v>0</v>
      </c>
      <c r="CO1326" s="167">
        <v>0</v>
      </c>
      <c r="CP1326" s="167">
        <v>0</v>
      </c>
      <c r="CQ1326" s="167">
        <v>0</v>
      </c>
      <c r="CR1326" s="167">
        <v>0</v>
      </c>
      <c r="CS1326" s="167">
        <v>0</v>
      </c>
      <c r="CT1326" s="167">
        <v>0</v>
      </c>
      <c r="CU1326" s="167">
        <v>0</v>
      </c>
      <c r="CV1326" s="167">
        <v>0</v>
      </c>
      <c r="CW1326" s="167">
        <v>0</v>
      </c>
      <c r="CX1326" s="167">
        <f>SUM(CD1326:CH1326)</f>
        <v>0.66666666666666663</v>
      </c>
      <c r="CY1326" s="167">
        <f>SUM(CD1326:CM1326)</f>
        <v>2</v>
      </c>
    </row>
    <row r="1327" spans="1:103" ht="12.75" customHeight="1" x14ac:dyDescent="0.2">
      <c r="A1327" s="81">
        <v>6822</v>
      </c>
      <c r="B1327" s="165" t="s">
        <v>1955</v>
      </c>
      <c r="C1327" s="165" t="s">
        <v>2314</v>
      </c>
      <c r="D1327" s="165" t="s">
        <v>2107</v>
      </c>
      <c r="E1327" s="165" t="s">
        <v>2315</v>
      </c>
      <c r="G1327" s="81">
        <v>527295</v>
      </c>
      <c r="H1327" s="81">
        <v>177182</v>
      </c>
      <c r="I1327" s="165" t="s">
        <v>257</v>
      </c>
      <c r="L1327" s="166">
        <v>0</v>
      </c>
      <c r="M1327" s="166">
        <v>1</v>
      </c>
      <c r="N1327" s="166">
        <v>1</v>
      </c>
      <c r="O1327" s="166">
        <v>1</v>
      </c>
      <c r="P1327" s="166">
        <v>1</v>
      </c>
      <c r="R1327" s="165" t="s">
        <v>2316</v>
      </c>
      <c r="S1327" s="81" t="s">
        <v>802</v>
      </c>
      <c r="T1327" s="349">
        <v>43151</v>
      </c>
      <c r="W1327" s="81" t="s">
        <v>114</v>
      </c>
      <c r="Y1327" s="81" t="s">
        <v>115</v>
      </c>
      <c r="Z1327" s="81" t="s">
        <v>310</v>
      </c>
      <c r="AA1327" s="81" t="s">
        <v>117</v>
      </c>
      <c r="AB1327" s="81" t="s">
        <v>399</v>
      </c>
      <c r="AC1327" s="166">
        <v>0</v>
      </c>
      <c r="AG1327" s="81" t="s">
        <v>238</v>
      </c>
      <c r="AH1327" s="81" t="s">
        <v>118</v>
      </c>
      <c r="AK1327" s="166">
        <v>0</v>
      </c>
      <c r="AM1327" s="166">
        <v>0</v>
      </c>
      <c r="AO1327" s="166">
        <v>1</v>
      </c>
      <c r="AP1327" s="166">
        <v>0</v>
      </c>
      <c r="AQ1327" s="166">
        <v>0</v>
      </c>
      <c r="AR1327" s="166">
        <v>0</v>
      </c>
      <c r="AS1327" s="166">
        <v>0</v>
      </c>
      <c r="AT1327" s="166">
        <v>0</v>
      </c>
      <c r="AU1327" s="166">
        <v>0</v>
      </c>
      <c r="AV1327" s="166">
        <v>1</v>
      </c>
      <c r="AW1327" s="166">
        <v>0</v>
      </c>
      <c r="AX1327" s="166">
        <v>0</v>
      </c>
      <c r="AY1327" s="166">
        <v>0</v>
      </c>
      <c r="AZ1327" s="166">
        <v>0</v>
      </c>
      <c r="BA1327" s="166">
        <v>0</v>
      </c>
      <c r="BB1327" s="166">
        <v>0</v>
      </c>
      <c r="BC1327" s="166">
        <v>0</v>
      </c>
      <c r="BD1327" s="166">
        <v>0</v>
      </c>
      <c r="BE1327" s="166">
        <v>0</v>
      </c>
      <c r="BF1327" s="166">
        <v>0</v>
      </c>
      <c r="BG1327" s="166">
        <v>0</v>
      </c>
      <c r="BH1327" s="166">
        <v>0</v>
      </c>
      <c r="BI1327" s="166">
        <v>0</v>
      </c>
      <c r="BJ1327" s="166">
        <v>0</v>
      </c>
      <c r="BK1327" s="166">
        <v>0</v>
      </c>
      <c r="BL1327" s="166">
        <v>0</v>
      </c>
      <c r="BM1327" s="166">
        <v>0</v>
      </c>
      <c r="BN1327" s="166">
        <v>0</v>
      </c>
      <c r="BO1327" s="166">
        <v>0</v>
      </c>
      <c r="BP1327" s="166">
        <v>0</v>
      </c>
      <c r="BQ1327" s="81" t="s">
        <v>1757</v>
      </c>
      <c r="BX1327" s="81" t="s">
        <v>155</v>
      </c>
      <c r="BZ1327" s="81" t="s">
        <v>155</v>
      </c>
      <c r="CA1327" s="81">
        <v>10</v>
      </c>
      <c r="CC1327" s="167">
        <v>0</v>
      </c>
      <c r="CD1327" s="167">
        <v>0</v>
      </c>
      <c r="CE1327" s="167">
        <v>0</v>
      </c>
      <c r="CF1327" s="167">
        <v>0</v>
      </c>
      <c r="CG1327" s="167">
        <v>0</v>
      </c>
      <c r="CH1327" s="167">
        <f>$N1327/3</f>
        <v>0.33333333333333331</v>
      </c>
      <c r="CI1327" s="167">
        <f>$N1327/3</f>
        <v>0.33333333333333331</v>
      </c>
      <c r="CJ1327" s="167">
        <f>$N1327/3</f>
        <v>0.33333333333333331</v>
      </c>
      <c r="CK1327" s="167">
        <v>0</v>
      </c>
      <c r="CL1327" s="167">
        <v>0</v>
      </c>
      <c r="CM1327" s="167">
        <v>0</v>
      </c>
      <c r="CN1327" s="167">
        <v>0</v>
      </c>
      <c r="CO1327" s="167">
        <v>0</v>
      </c>
      <c r="CP1327" s="167">
        <v>0</v>
      </c>
      <c r="CQ1327" s="167">
        <v>0</v>
      </c>
      <c r="CR1327" s="167">
        <v>0</v>
      </c>
      <c r="CS1327" s="167">
        <v>0</v>
      </c>
      <c r="CT1327" s="167">
        <v>0</v>
      </c>
      <c r="CU1327" s="167">
        <v>0</v>
      </c>
      <c r="CV1327" s="167">
        <v>0</v>
      </c>
      <c r="CW1327" s="167">
        <v>0</v>
      </c>
      <c r="CX1327" s="167">
        <f>SUM(CD1327:CH1327)</f>
        <v>0.33333333333333331</v>
      </c>
      <c r="CY1327" s="167">
        <f>SUM(CD1327:CM1327)</f>
        <v>1</v>
      </c>
    </row>
    <row r="1328" spans="1:103" ht="12.75" customHeight="1" x14ac:dyDescent="0.2">
      <c r="A1328" s="81">
        <v>6823</v>
      </c>
      <c r="B1328" s="165" t="s">
        <v>1955</v>
      </c>
      <c r="C1328" s="165" t="s">
        <v>2317</v>
      </c>
      <c r="D1328" s="165" t="s">
        <v>2107</v>
      </c>
      <c r="E1328" s="165" t="s">
        <v>2318</v>
      </c>
      <c r="G1328" s="81">
        <v>527310</v>
      </c>
      <c r="H1328" s="81">
        <v>177159</v>
      </c>
      <c r="I1328" s="165" t="s">
        <v>257</v>
      </c>
      <c r="L1328" s="166">
        <v>0</v>
      </c>
      <c r="M1328" s="166">
        <v>2</v>
      </c>
      <c r="N1328" s="166">
        <v>2</v>
      </c>
      <c r="O1328" s="166">
        <v>2</v>
      </c>
      <c r="P1328" s="166">
        <v>2</v>
      </c>
      <c r="R1328" s="165" t="s">
        <v>2319</v>
      </c>
      <c r="S1328" s="81" t="s">
        <v>802</v>
      </c>
      <c r="T1328" s="349">
        <v>43151</v>
      </c>
      <c r="W1328" s="81" t="s">
        <v>114</v>
      </c>
      <c r="Y1328" s="81" t="s">
        <v>115</v>
      </c>
      <c r="Z1328" s="81" t="s">
        <v>310</v>
      </c>
      <c r="AA1328" s="81" t="s">
        <v>117</v>
      </c>
      <c r="AB1328" s="81" t="s">
        <v>399</v>
      </c>
      <c r="AC1328" s="166">
        <v>0</v>
      </c>
      <c r="AG1328" s="81" t="s">
        <v>238</v>
      </c>
      <c r="AH1328" s="81" t="s">
        <v>118</v>
      </c>
      <c r="AK1328" s="166">
        <v>0</v>
      </c>
      <c r="AM1328" s="166">
        <v>0</v>
      </c>
      <c r="AO1328" s="166">
        <v>0</v>
      </c>
      <c r="AP1328" s="166">
        <v>2</v>
      </c>
      <c r="AQ1328" s="166">
        <v>0</v>
      </c>
      <c r="AR1328" s="166">
        <v>0</v>
      </c>
      <c r="AS1328" s="166">
        <v>0</v>
      </c>
      <c r="AT1328" s="166">
        <v>0</v>
      </c>
      <c r="AU1328" s="166">
        <v>0</v>
      </c>
      <c r="AV1328" s="166">
        <v>0</v>
      </c>
      <c r="AW1328" s="166">
        <v>2</v>
      </c>
      <c r="AX1328" s="166">
        <v>0</v>
      </c>
      <c r="AY1328" s="166">
        <v>0</v>
      </c>
      <c r="AZ1328" s="166">
        <v>0</v>
      </c>
      <c r="BA1328" s="166">
        <v>0</v>
      </c>
      <c r="BB1328" s="166">
        <v>0</v>
      </c>
      <c r="BC1328" s="166">
        <v>0</v>
      </c>
      <c r="BD1328" s="166">
        <v>0</v>
      </c>
      <c r="BE1328" s="166">
        <v>0</v>
      </c>
      <c r="BF1328" s="166">
        <v>0</v>
      </c>
      <c r="BG1328" s="166">
        <v>0</v>
      </c>
      <c r="BH1328" s="166">
        <v>0</v>
      </c>
      <c r="BI1328" s="166">
        <v>0</v>
      </c>
      <c r="BJ1328" s="166">
        <v>0</v>
      </c>
      <c r="BK1328" s="166">
        <v>0</v>
      </c>
      <c r="BL1328" s="166">
        <v>0</v>
      </c>
      <c r="BM1328" s="166">
        <v>0</v>
      </c>
      <c r="BN1328" s="166">
        <v>0</v>
      </c>
      <c r="BO1328" s="166">
        <v>0</v>
      </c>
      <c r="BP1328" s="166">
        <v>0</v>
      </c>
      <c r="BQ1328" s="81" t="s">
        <v>1757</v>
      </c>
      <c r="BX1328" s="81" t="s">
        <v>155</v>
      </c>
      <c r="BZ1328" s="81" t="s">
        <v>155</v>
      </c>
      <c r="CA1328" s="81">
        <v>10</v>
      </c>
      <c r="CC1328" s="167">
        <v>0</v>
      </c>
      <c r="CD1328" s="167">
        <v>0</v>
      </c>
      <c r="CE1328" s="167">
        <v>0</v>
      </c>
      <c r="CF1328" s="167">
        <v>0</v>
      </c>
      <c r="CG1328" s="167">
        <v>0</v>
      </c>
      <c r="CH1328" s="167">
        <f>$N1328/3</f>
        <v>0.66666666666666663</v>
      </c>
      <c r="CI1328" s="167">
        <f>$N1328/3</f>
        <v>0.66666666666666663</v>
      </c>
      <c r="CJ1328" s="167">
        <f>$N1328/3</f>
        <v>0.66666666666666663</v>
      </c>
      <c r="CK1328" s="167">
        <v>0</v>
      </c>
      <c r="CL1328" s="167">
        <v>0</v>
      </c>
      <c r="CM1328" s="167">
        <v>0</v>
      </c>
      <c r="CN1328" s="167">
        <v>0</v>
      </c>
      <c r="CO1328" s="167">
        <v>0</v>
      </c>
      <c r="CP1328" s="167">
        <v>0</v>
      </c>
      <c r="CQ1328" s="167">
        <v>0</v>
      </c>
      <c r="CR1328" s="167">
        <v>0</v>
      </c>
      <c r="CS1328" s="167">
        <v>0</v>
      </c>
      <c r="CT1328" s="167">
        <v>0</v>
      </c>
      <c r="CU1328" s="167">
        <v>0</v>
      </c>
      <c r="CV1328" s="167">
        <v>0</v>
      </c>
      <c r="CW1328" s="167">
        <v>0</v>
      </c>
      <c r="CX1328" s="167">
        <f>SUM(CD1328:CH1328)</f>
        <v>0.66666666666666663</v>
      </c>
      <c r="CY1328" s="167">
        <f>SUM(CD1328:CM1328)</f>
        <v>2</v>
      </c>
    </row>
    <row r="1329" spans="1:103" ht="12.75" customHeight="1" x14ac:dyDescent="0.2">
      <c r="A1329" s="81">
        <v>6824</v>
      </c>
      <c r="B1329" s="165" t="s">
        <v>1955</v>
      </c>
      <c r="C1329" s="165" t="s">
        <v>2320</v>
      </c>
      <c r="D1329" s="165" t="s">
        <v>2107</v>
      </c>
      <c r="E1329" s="165" t="s">
        <v>2321</v>
      </c>
      <c r="G1329" s="81">
        <v>527310</v>
      </c>
      <c r="H1329" s="81">
        <v>177159</v>
      </c>
      <c r="I1329" s="165" t="s">
        <v>257</v>
      </c>
      <c r="L1329" s="166">
        <v>0</v>
      </c>
      <c r="M1329" s="166">
        <v>1</v>
      </c>
      <c r="N1329" s="166">
        <v>1</v>
      </c>
      <c r="O1329" s="166">
        <v>1</v>
      </c>
      <c r="P1329" s="166">
        <v>1</v>
      </c>
      <c r="R1329" s="165" t="s">
        <v>2322</v>
      </c>
      <c r="S1329" s="81" t="s">
        <v>802</v>
      </c>
      <c r="T1329" s="349">
        <v>43151</v>
      </c>
      <c r="W1329" s="81" t="s">
        <v>114</v>
      </c>
      <c r="Y1329" s="81" t="s">
        <v>115</v>
      </c>
      <c r="Z1329" s="81" t="s">
        <v>310</v>
      </c>
      <c r="AA1329" s="81" t="s">
        <v>117</v>
      </c>
      <c r="AB1329" s="81" t="s">
        <v>399</v>
      </c>
      <c r="AC1329" s="166">
        <v>0</v>
      </c>
      <c r="AG1329" s="81" t="s">
        <v>238</v>
      </c>
      <c r="AH1329" s="81" t="s">
        <v>118</v>
      </c>
      <c r="AK1329" s="166">
        <v>0</v>
      </c>
      <c r="AM1329" s="166">
        <v>0</v>
      </c>
      <c r="AO1329" s="166">
        <v>0</v>
      </c>
      <c r="AP1329" s="166">
        <v>0</v>
      </c>
      <c r="AQ1329" s="166">
        <v>1</v>
      </c>
      <c r="AR1329" s="166">
        <v>0</v>
      </c>
      <c r="AS1329" s="166">
        <v>0</v>
      </c>
      <c r="AT1329" s="166">
        <v>0</v>
      </c>
      <c r="AU1329" s="166">
        <v>0</v>
      </c>
      <c r="AV1329" s="166">
        <v>0</v>
      </c>
      <c r="AW1329" s="166">
        <v>0</v>
      </c>
      <c r="AX1329" s="166">
        <v>1</v>
      </c>
      <c r="AY1329" s="166">
        <v>0</v>
      </c>
      <c r="AZ1329" s="166">
        <v>0</v>
      </c>
      <c r="BA1329" s="166">
        <v>0</v>
      </c>
      <c r="BB1329" s="166">
        <v>0</v>
      </c>
      <c r="BC1329" s="166">
        <v>0</v>
      </c>
      <c r="BD1329" s="166">
        <v>0</v>
      </c>
      <c r="BE1329" s="166">
        <v>0</v>
      </c>
      <c r="BF1329" s="166">
        <v>0</v>
      </c>
      <c r="BG1329" s="166">
        <v>0</v>
      </c>
      <c r="BH1329" s="166">
        <v>0</v>
      </c>
      <c r="BI1329" s="166">
        <v>0</v>
      </c>
      <c r="BJ1329" s="166">
        <v>0</v>
      </c>
      <c r="BK1329" s="166">
        <v>0</v>
      </c>
      <c r="BL1329" s="166">
        <v>0</v>
      </c>
      <c r="BM1329" s="166">
        <v>0</v>
      </c>
      <c r="BN1329" s="166">
        <v>0</v>
      </c>
      <c r="BO1329" s="166">
        <v>0</v>
      </c>
      <c r="BP1329" s="166">
        <v>0</v>
      </c>
      <c r="BQ1329" s="81" t="s">
        <v>1757</v>
      </c>
      <c r="BX1329" s="81" t="s">
        <v>155</v>
      </c>
      <c r="BZ1329" s="81" t="s">
        <v>155</v>
      </c>
      <c r="CA1329" s="81">
        <v>10</v>
      </c>
      <c r="CC1329" s="167">
        <v>0</v>
      </c>
      <c r="CD1329" s="167">
        <v>0</v>
      </c>
      <c r="CE1329" s="167">
        <v>0</v>
      </c>
      <c r="CF1329" s="167">
        <v>0</v>
      </c>
      <c r="CG1329" s="167">
        <v>0</v>
      </c>
      <c r="CH1329" s="167">
        <f>$N1329/3</f>
        <v>0.33333333333333331</v>
      </c>
      <c r="CI1329" s="167">
        <f>$N1329/3</f>
        <v>0.33333333333333331</v>
      </c>
      <c r="CJ1329" s="167">
        <f>$N1329/3</f>
        <v>0.33333333333333331</v>
      </c>
      <c r="CK1329" s="167">
        <v>0</v>
      </c>
      <c r="CL1329" s="167">
        <v>0</v>
      </c>
      <c r="CM1329" s="167">
        <v>0</v>
      </c>
      <c r="CN1329" s="167">
        <v>0</v>
      </c>
      <c r="CO1329" s="167">
        <v>0</v>
      </c>
      <c r="CP1329" s="167">
        <v>0</v>
      </c>
      <c r="CQ1329" s="167">
        <v>0</v>
      </c>
      <c r="CR1329" s="167">
        <v>0</v>
      </c>
      <c r="CS1329" s="167">
        <v>0</v>
      </c>
      <c r="CT1329" s="167">
        <v>0</v>
      </c>
      <c r="CU1329" s="167">
        <v>0</v>
      </c>
      <c r="CV1329" s="167">
        <v>0</v>
      </c>
      <c r="CW1329" s="167">
        <v>0</v>
      </c>
      <c r="CX1329" s="167">
        <f>SUM(CD1329:CH1329)</f>
        <v>0.33333333333333331</v>
      </c>
      <c r="CY1329" s="167">
        <f>SUM(CD1329:CM1329)</f>
        <v>1</v>
      </c>
    </row>
    <row r="1330" spans="1:103" ht="12.75" customHeight="1" x14ac:dyDescent="0.2">
      <c r="A1330" s="81">
        <v>6825</v>
      </c>
      <c r="B1330" s="165" t="s">
        <v>1955</v>
      </c>
      <c r="C1330" s="165" t="s">
        <v>2323</v>
      </c>
      <c r="D1330" s="165" t="s">
        <v>2107</v>
      </c>
      <c r="E1330" s="165" t="s">
        <v>2324</v>
      </c>
      <c r="G1330" s="81">
        <v>527310</v>
      </c>
      <c r="H1330" s="81">
        <v>177159</v>
      </c>
      <c r="I1330" s="165" t="s">
        <v>257</v>
      </c>
      <c r="L1330" s="166">
        <v>0</v>
      </c>
      <c r="M1330" s="166">
        <v>1</v>
      </c>
      <c r="N1330" s="166">
        <v>1</v>
      </c>
      <c r="O1330" s="166">
        <v>1</v>
      </c>
      <c r="P1330" s="166">
        <v>1</v>
      </c>
      <c r="R1330" s="165" t="s">
        <v>2325</v>
      </c>
      <c r="S1330" s="81" t="s">
        <v>802</v>
      </c>
      <c r="T1330" s="349">
        <v>43151</v>
      </c>
      <c r="W1330" s="81" t="s">
        <v>114</v>
      </c>
      <c r="Y1330" s="81" t="s">
        <v>115</v>
      </c>
      <c r="Z1330" s="81" t="s">
        <v>310</v>
      </c>
      <c r="AA1330" s="81" t="s">
        <v>117</v>
      </c>
      <c r="AB1330" s="81" t="s">
        <v>399</v>
      </c>
      <c r="AC1330" s="166">
        <v>0</v>
      </c>
      <c r="AG1330" s="81" t="s">
        <v>238</v>
      </c>
      <c r="AH1330" s="81" t="s">
        <v>118</v>
      </c>
      <c r="AK1330" s="166">
        <v>0</v>
      </c>
      <c r="AM1330" s="166">
        <v>0</v>
      </c>
      <c r="AO1330" s="166">
        <v>0</v>
      </c>
      <c r="AP1330" s="166">
        <v>0</v>
      </c>
      <c r="AQ1330" s="166">
        <v>1</v>
      </c>
      <c r="AR1330" s="166">
        <v>0</v>
      </c>
      <c r="AS1330" s="166">
        <v>0</v>
      </c>
      <c r="AT1330" s="166">
        <v>0</v>
      </c>
      <c r="AU1330" s="166">
        <v>0</v>
      </c>
      <c r="AV1330" s="166">
        <v>0</v>
      </c>
      <c r="AW1330" s="166">
        <v>0</v>
      </c>
      <c r="AX1330" s="166">
        <v>1</v>
      </c>
      <c r="AY1330" s="166">
        <v>0</v>
      </c>
      <c r="AZ1330" s="166">
        <v>0</v>
      </c>
      <c r="BA1330" s="166">
        <v>0</v>
      </c>
      <c r="BB1330" s="166">
        <v>0</v>
      </c>
      <c r="BC1330" s="166">
        <v>0</v>
      </c>
      <c r="BD1330" s="166">
        <v>0</v>
      </c>
      <c r="BE1330" s="166">
        <v>0</v>
      </c>
      <c r="BF1330" s="166">
        <v>0</v>
      </c>
      <c r="BG1330" s="166">
        <v>0</v>
      </c>
      <c r="BH1330" s="166">
        <v>0</v>
      </c>
      <c r="BI1330" s="166">
        <v>0</v>
      </c>
      <c r="BJ1330" s="166">
        <v>0</v>
      </c>
      <c r="BK1330" s="166">
        <v>0</v>
      </c>
      <c r="BL1330" s="166">
        <v>0</v>
      </c>
      <c r="BM1330" s="166">
        <v>0</v>
      </c>
      <c r="BN1330" s="166">
        <v>0</v>
      </c>
      <c r="BO1330" s="166">
        <v>0</v>
      </c>
      <c r="BP1330" s="166">
        <v>0</v>
      </c>
      <c r="BQ1330" s="81" t="s">
        <v>1757</v>
      </c>
      <c r="BX1330" s="81" t="s">
        <v>155</v>
      </c>
      <c r="BZ1330" s="81" t="s">
        <v>155</v>
      </c>
      <c r="CA1330" s="81">
        <v>10</v>
      </c>
      <c r="CC1330" s="167">
        <v>0</v>
      </c>
      <c r="CD1330" s="167">
        <v>0</v>
      </c>
      <c r="CE1330" s="167">
        <v>0</v>
      </c>
      <c r="CF1330" s="167">
        <v>0</v>
      </c>
      <c r="CG1330" s="167">
        <v>0</v>
      </c>
      <c r="CH1330" s="167">
        <f>$N1330/3</f>
        <v>0.33333333333333331</v>
      </c>
      <c r="CI1330" s="167">
        <f>$N1330/3</f>
        <v>0.33333333333333331</v>
      </c>
      <c r="CJ1330" s="167">
        <f>$N1330/3</f>
        <v>0.33333333333333331</v>
      </c>
      <c r="CK1330" s="167">
        <v>0</v>
      </c>
      <c r="CL1330" s="167">
        <v>0</v>
      </c>
      <c r="CM1330" s="167">
        <v>0</v>
      </c>
      <c r="CN1330" s="167">
        <v>0</v>
      </c>
      <c r="CO1330" s="167">
        <v>0</v>
      </c>
      <c r="CP1330" s="167">
        <v>0</v>
      </c>
      <c r="CQ1330" s="167">
        <v>0</v>
      </c>
      <c r="CR1330" s="167">
        <v>0</v>
      </c>
      <c r="CS1330" s="167">
        <v>0</v>
      </c>
      <c r="CT1330" s="167">
        <v>0</v>
      </c>
      <c r="CU1330" s="167">
        <v>0</v>
      </c>
      <c r="CV1330" s="167">
        <v>0</v>
      </c>
      <c r="CW1330" s="167">
        <v>0</v>
      </c>
      <c r="CX1330" s="167">
        <f>SUM(CD1330:CH1330)</f>
        <v>0.33333333333333331</v>
      </c>
      <c r="CY1330" s="167">
        <f>SUM(CD1330:CM1330)</f>
        <v>1</v>
      </c>
    </row>
    <row r="1331" spans="1:103" ht="12.75" customHeight="1" x14ac:dyDescent="0.2">
      <c r="A1331" s="81">
        <v>6826</v>
      </c>
      <c r="B1331" s="165" t="s">
        <v>1955</v>
      </c>
      <c r="C1331" s="165" t="s">
        <v>2326</v>
      </c>
      <c r="D1331" s="165" t="s">
        <v>2107</v>
      </c>
      <c r="E1331" s="165" t="s">
        <v>2327</v>
      </c>
      <c r="G1331" s="81">
        <v>527310</v>
      </c>
      <c r="H1331" s="81">
        <v>177159</v>
      </c>
      <c r="I1331" s="165" t="s">
        <v>257</v>
      </c>
      <c r="L1331" s="166">
        <v>0</v>
      </c>
      <c r="M1331" s="166">
        <v>2</v>
      </c>
      <c r="N1331" s="166">
        <v>2</v>
      </c>
      <c r="O1331" s="166">
        <v>2</v>
      </c>
      <c r="P1331" s="166">
        <v>2</v>
      </c>
      <c r="R1331" s="165" t="s">
        <v>2328</v>
      </c>
      <c r="S1331" s="81" t="s">
        <v>802</v>
      </c>
      <c r="T1331" s="349">
        <v>43151</v>
      </c>
      <c r="W1331" s="81" t="s">
        <v>114</v>
      </c>
      <c r="Y1331" s="81" t="s">
        <v>115</v>
      </c>
      <c r="Z1331" s="81" t="s">
        <v>310</v>
      </c>
      <c r="AA1331" s="81" t="s">
        <v>117</v>
      </c>
      <c r="AB1331" s="81" t="s">
        <v>399</v>
      </c>
      <c r="AC1331" s="166">
        <v>0</v>
      </c>
      <c r="AG1331" s="81" t="s">
        <v>238</v>
      </c>
      <c r="AH1331" s="81" t="s">
        <v>118</v>
      </c>
      <c r="AK1331" s="166">
        <v>0</v>
      </c>
      <c r="AM1331" s="166">
        <v>0</v>
      </c>
      <c r="AO1331" s="166">
        <v>0</v>
      </c>
      <c r="AP1331" s="166">
        <v>1</v>
      </c>
      <c r="AQ1331" s="166">
        <v>1</v>
      </c>
      <c r="AR1331" s="166">
        <v>0</v>
      </c>
      <c r="AS1331" s="166">
        <v>0</v>
      </c>
      <c r="AT1331" s="166">
        <v>0</v>
      </c>
      <c r="AU1331" s="166">
        <v>0</v>
      </c>
      <c r="AV1331" s="166">
        <v>0</v>
      </c>
      <c r="AW1331" s="166">
        <v>1</v>
      </c>
      <c r="AX1331" s="166">
        <v>1</v>
      </c>
      <c r="AY1331" s="166">
        <v>0</v>
      </c>
      <c r="AZ1331" s="166">
        <v>0</v>
      </c>
      <c r="BA1331" s="166">
        <v>0</v>
      </c>
      <c r="BB1331" s="166">
        <v>0</v>
      </c>
      <c r="BC1331" s="166">
        <v>0</v>
      </c>
      <c r="BD1331" s="166">
        <v>0</v>
      </c>
      <c r="BE1331" s="166">
        <v>0</v>
      </c>
      <c r="BF1331" s="166">
        <v>0</v>
      </c>
      <c r="BG1331" s="166">
        <v>0</v>
      </c>
      <c r="BH1331" s="166">
        <v>0</v>
      </c>
      <c r="BI1331" s="166">
        <v>0</v>
      </c>
      <c r="BJ1331" s="166">
        <v>0</v>
      </c>
      <c r="BK1331" s="166">
        <v>0</v>
      </c>
      <c r="BL1331" s="166">
        <v>0</v>
      </c>
      <c r="BM1331" s="166">
        <v>0</v>
      </c>
      <c r="BN1331" s="166">
        <v>0</v>
      </c>
      <c r="BO1331" s="166">
        <v>0</v>
      </c>
      <c r="BP1331" s="166">
        <v>0</v>
      </c>
      <c r="BQ1331" s="81" t="s">
        <v>1757</v>
      </c>
      <c r="BX1331" s="81" t="s">
        <v>155</v>
      </c>
      <c r="BZ1331" s="81" t="s">
        <v>155</v>
      </c>
      <c r="CA1331" s="81">
        <v>10</v>
      </c>
      <c r="CC1331" s="167">
        <v>0</v>
      </c>
      <c r="CD1331" s="167">
        <v>0</v>
      </c>
      <c r="CE1331" s="167">
        <v>0</v>
      </c>
      <c r="CF1331" s="167">
        <v>0</v>
      </c>
      <c r="CG1331" s="167">
        <v>0</v>
      </c>
      <c r="CH1331" s="167">
        <f>$N1331/3</f>
        <v>0.66666666666666663</v>
      </c>
      <c r="CI1331" s="167">
        <f>$N1331/3</f>
        <v>0.66666666666666663</v>
      </c>
      <c r="CJ1331" s="167">
        <f>$N1331/3</f>
        <v>0.66666666666666663</v>
      </c>
      <c r="CK1331" s="167">
        <v>0</v>
      </c>
      <c r="CL1331" s="167">
        <v>0</v>
      </c>
      <c r="CM1331" s="167">
        <v>0</v>
      </c>
      <c r="CN1331" s="167">
        <v>0</v>
      </c>
      <c r="CO1331" s="167">
        <v>0</v>
      </c>
      <c r="CP1331" s="167">
        <v>0</v>
      </c>
      <c r="CQ1331" s="167">
        <v>0</v>
      </c>
      <c r="CR1331" s="167">
        <v>0</v>
      </c>
      <c r="CS1331" s="167">
        <v>0</v>
      </c>
      <c r="CT1331" s="167">
        <v>0</v>
      </c>
      <c r="CU1331" s="167">
        <v>0</v>
      </c>
      <c r="CV1331" s="167">
        <v>0</v>
      </c>
      <c r="CW1331" s="167">
        <v>0</v>
      </c>
      <c r="CX1331" s="167">
        <f>SUM(CD1331:CH1331)</f>
        <v>0.66666666666666663</v>
      </c>
      <c r="CY1331" s="167">
        <f>SUM(CD1331:CM1331)</f>
        <v>2</v>
      </c>
    </row>
    <row r="1332" spans="1:103" ht="12.75" customHeight="1" x14ac:dyDescent="0.2">
      <c r="A1332" s="81">
        <v>6828</v>
      </c>
      <c r="B1332" s="165" t="s">
        <v>1955</v>
      </c>
      <c r="C1332" s="165" t="s">
        <v>2329</v>
      </c>
      <c r="E1332" s="165" t="s">
        <v>2330</v>
      </c>
      <c r="G1332" s="81">
        <v>527983</v>
      </c>
      <c r="H1332" s="81">
        <v>171216</v>
      </c>
      <c r="I1332" s="165" t="s">
        <v>253</v>
      </c>
      <c r="L1332" s="166">
        <v>1</v>
      </c>
      <c r="M1332" s="166">
        <v>4</v>
      </c>
      <c r="N1332" s="166">
        <v>3</v>
      </c>
      <c r="O1332" s="166">
        <v>4</v>
      </c>
      <c r="P1332" s="166">
        <v>3</v>
      </c>
      <c r="R1332" s="165" t="s">
        <v>2331</v>
      </c>
      <c r="S1332" s="81" t="s">
        <v>121</v>
      </c>
      <c r="T1332" s="349">
        <v>43160</v>
      </c>
      <c r="W1332" s="81" t="s">
        <v>114</v>
      </c>
      <c r="Y1332" s="81" t="s">
        <v>115</v>
      </c>
      <c r="Z1332" s="81" t="s">
        <v>398</v>
      </c>
      <c r="AA1332" s="81" t="s">
        <v>117</v>
      </c>
      <c r="AB1332" s="81" t="s">
        <v>120</v>
      </c>
      <c r="AC1332" s="166">
        <v>3.29999998211861E-2</v>
      </c>
      <c r="AG1332" s="81" t="s">
        <v>238</v>
      </c>
      <c r="AH1332" s="81" t="s">
        <v>118</v>
      </c>
      <c r="AK1332" s="166">
        <v>0</v>
      </c>
      <c r="AM1332" s="166">
        <v>0</v>
      </c>
      <c r="AO1332" s="166">
        <v>1</v>
      </c>
      <c r="AP1332" s="166">
        <v>1</v>
      </c>
      <c r="AQ1332" s="166">
        <v>0</v>
      </c>
      <c r="AR1332" s="166">
        <v>2</v>
      </c>
      <c r="AS1332" s="166">
        <v>0</v>
      </c>
      <c r="AT1332" s="166">
        <v>-1</v>
      </c>
      <c r="AU1332" s="166">
        <v>0</v>
      </c>
      <c r="AV1332" s="166">
        <v>1</v>
      </c>
      <c r="AW1332" s="166">
        <v>1</v>
      </c>
      <c r="AX1332" s="166">
        <v>0</v>
      </c>
      <c r="AY1332" s="166">
        <v>2</v>
      </c>
      <c r="AZ1332" s="166">
        <v>0</v>
      </c>
      <c r="BA1332" s="166">
        <v>0</v>
      </c>
      <c r="BB1332" s="166">
        <v>0</v>
      </c>
      <c r="BC1332" s="166">
        <v>0</v>
      </c>
      <c r="BD1332" s="166">
        <v>0</v>
      </c>
      <c r="BE1332" s="166">
        <v>0</v>
      </c>
      <c r="BF1332" s="166">
        <v>0</v>
      </c>
      <c r="BG1332" s="166">
        <v>0</v>
      </c>
      <c r="BH1332" s="166">
        <v>-1</v>
      </c>
      <c r="BI1332" s="166">
        <v>0</v>
      </c>
      <c r="BJ1332" s="166">
        <v>0</v>
      </c>
      <c r="BK1332" s="166">
        <v>0</v>
      </c>
      <c r="BL1332" s="166">
        <v>0</v>
      </c>
      <c r="BM1332" s="166">
        <v>0</v>
      </c>
      <c r="BN1332" s="166">
        <v>0</v>
      </c>
      <c r="BO1332" s="166">
        <v>0</v>
      </c>
      <c r="BP1332" s="166">
        <v>0</v>
      </c>
      <c r="BQ1332" s="81" t="s">
        <v>1757</v>
      </c>
      <c r="BZ1332" s="81" t="s">
        <v>155</v>
      </c>
      <c r="CA1332" s="81">
        <v>10</v>
      </c>
      <c r="CC1332" s="167">
        <v>0</v>
      </c>
      <c r="CD1332" s="167">
        <v>0</v>
      </c>
      <c r="CE1332" s="167">
        <v>0</v>
      </c>
      <c r="CF1332" s="167">
        <v>0</v>
      </c>
      <c r="CG1332" s="167">
        <v>0</v>
      </c>
      <c r="CH1332" s="167">
        <f>$N1332/3</f>
        <v>1</v>
      </c>
      <c r="CI1332" s="167">
        <f>$N1332/3</f>
        <v>1</v>
      </c>
      <c r="CJ1332" s="167">
        <f>$N1332/3</f>
        <v>1</v>
      </c>
      <c r="CK1332" s="167">
        <v>0</v>
      </c>
      <c r="CL1332" s="167">
        <v>0</v>
      </c>
      <c r="CM1332" s="167">
        <v>0</v>
      </c>
      <c r="CN1332" s="167">
        <v>0</v>
      </c>
      <c r="CO1332" s="167">
        <v>0</v>
      </c>
      <c r="CP1332" s="167">
        <v>0</v>
      </c>
      <c r="CQ1332" s="167">
        <v>0</v>
      </c>
      <c r="CR1332" s="167">
        <v>0</v>
      </c>
      <c r="CS1332" s="167">
        <v>0</v>
      </c>
      <c r="CT1332" s="167">
        <v>0</v>
      </c>
      <c r="CU1332" s="167">
        <v>0</v>
      </c>
      <c r="CV1332" s="167">
        <v>0</v>
      </c>
      <c r="CW1332" s="167">
        <v>0</v>
      </c>
      <c r="CX1332" s="167">
        <f>SUM(CD1332:CH1332)</f>
        <v>1</v>
      </c>
      <c r="CY1332" s="167">
        <f>SUM(CD1332:CM1332)</f>
        <v>3</v>
      </c>
    </row>
    <row r="1333" spans="1:103" ht="12.75" customHeight="1" x14ac:dyDescent="0.2">
      <c r="A1333" s="81">
        <v>6830</v>
      </c>
      <c r="B1333" s="165" t="s">
        <v>1955</v>
      </c>
      <c r="C1333" s="165" t="s">
        <v>2332</v>
      </c>
      <c r="E1333" s="165" t="s">
        <v>2333</v>
      </c>
      <c r="G1333" s="81">
        <v>527581</v>
      </c>
      <c r="H1333" s="81">
        <v>174645</v>
      </c>
      <c r="I1333" s="165" t="s">
        <v>255</v>
      </c>
      <c r="L1333" s="166">
        <v>0</v>
      </c>
      <c r="M1333" s="166">
        <v>2</v>
      </c>
      <c r="N1333" s="166">
        <v>2</v>
      </c>
      <c r="O1333" s="166">
        <v>2</v>
      </c>
      <c r="P1333" s="166">
        <v>2</v>
      </c>
      <c r="R1333" s="165" t="s">
        <v>2334</v>
      </c>
      <c r="S1333" s="81" t="s">
        <v>121</v>
      </c>
      <c r="T1333" s="349">
        <v>43160</v>
      </c>
      <c r="W1333" s="81" t="s">
        <v>114</v>
      </c>
      <c r="Y1333" s="81" t="s">
        <v>115</v>
      </c>
      <c r="Z1333" s="81" t="s">
        <v>219</v>
      </c>
      <c r="AA1333" s="81" t="s">
        <v>117</v>
      </c>
      <c r="AB1333" s="81" t="s">
        <v>3889</v>
      </c>
      <c r="AC1333" s="166">
        <v>7.0000002160668399E-3</v>
      </c>
      <c r="AG1333" s="81" t="s">
        <v>238</v>
      </c>
      <c r="AH1333" s="81" t="s">
        <v>118</v>
      </c>
      <c r="AK1333" s="166">
        <v>0</v>
      </c>
      <c r="AM1333" s="166">
        <v>0</v>
      </c>
      <c r="AO1333" s="166">
        <v>0</v>
      </c>
      <c r="AP1333" s="166">
        <v>0</v>
      </c>
      <c r="AQ1333" s="166">
        <v>2</v>
      </c>
      <c r="AR1333" s="166">
        <v>0</v>
      </c>
      <c r="AS1333" s="166">
        <v>0</v>
      </c>
      <c r="AT1333" s="166">
        <v>0</v>
      </c>
      <c r="AU1333" s="166">
        <v>0</v>
      </c>
      <c r="AV1333" s="166">
        <v>0</v>
      </c>
      <c r="AW1333" s="166">
        <v>0</v>
      </c>
      <c r="AX1333" s="166">
        <v>2</v>
      </c>
      <c r="AY1333" s="166">
        <v>0</v>
      </c>
      <c r="AZ1333" s="166">
        <v>0</v>
      </c>
      <c r="BA1333" s="166">
        <v>0</v>
      </c>
      <c r="BB1333" s="166">
        <v>0</v>
      </c>
      <c r="BC1333" s="166">
        <v>0</v>
      </c>
      <c r="BD1333" s="166">
        <v>0</v>
      </c>
      <c r="BE1333" s="166">
        <v>0</v>
      </c>
      <c r="BF1333" s="166">
        <v>0</v>
      </c>
      <c r="BG1333" s="166">
        <v>0</v>
      </c>
      <c r="BH1333" s="166">
        <v>0</v>
      </c>
      <c r="BI1333" s="166">
        <v>0</v>
      </c>
      <c r="BJ1333" s="166">
        <v>0</v>
      </c>
      <c r="BK1333" s="166">
        <v>0</v>
      </c>
      <c r="BL1333" s="166">
        <v>0</v>
      </c>
      <c r="BM1333" s="166">
        <v>0</v>
      </c>
      <c r="BN1333" s="166">
        <v>0</v>
      </c>
      <c r="BO1333" s="166">
        <v>0</v>
      </c>
      <c r="BP1333" s="166">
        <v>0</v>
      </c>
      <c r="BQ1333" s="81" t="s">
        <v>1757</v>
      </c>
      <c r="BZ1333" s="81" t="s">
        <v>155</v>
      </c>
      <c r="CA1333" s="81">
        <v>10</v>
      </c>
      <c r="CC1333" s="167">
        <v>0</v>
      </c>
      <c r="CD1333" s="167">
        <v>0</v>
      </c>
      <c r="CE1333" s="167">
        <v>0</v>
      </c>
      <c r="CF1333" s="167">
        <v>0</v>
      </c>
      <c r="CG1333" s="167">
        <v>0</v>
      </c>
      <c r="CH1333" s="167">
        <f>$N1333/3</f>
        <v>0.66666666666666663</v>
      </c>
      <c r="CI1333" s="167">
        <f>$N1333/3</f>
        <v>0.66666666666666663</v>
      </c>
      <c r="CJ1333" s="167">
        <f>$N1333/3</f>
        <v>0.66666666666666663</v>
      </c>
      <c r="CK1333" s="167">
        <v>0</v>
      </c>
      <c r="CL1333" s="167">
        <v>0</v>
      </c>
      <c r="CM1333" s="167">
        <v>0</v>
      </c>
      <c r="CN1333" s="167">
        <v>0</v>
      </c>
      <c r="CO1333" s="167">
        <v>0</v>
      </c>
      <c r="CP1333" s="167">
        <v>0</v>
      </c>
      <c r="CQ1333" s="167">
        <v>0</v>
      </c>
      <c r="CR1333" s="167">
        <v>0</v>
      </c>
      <c r="CS1333" s="167">
        <v>0</v>
      </c>
      <c r="CT1333" s="167">
        <v>0</v>
      </c>
      <c r="CU1333" s="167">
        <v>0</v>
      </c>
      <c r="CV1333" s="167">
        <v>0</v>
      </c>
      <c r="CW1333" s="167">
        <v>0</v>
      </c>
      <c r="CX1333" s="167">
        <f>SUM(CD1333:CH1333)</f>
        <v>0.66666666666666663</v>
      </c>
      <c r="CY1333" s="167">
        <f>SUM(CD1333:CM1333)</f>
        <v>2</v>
      </c>
    </row>
    <row r="1334" spans="1:103" ht="12.75" customHeight="1" x14ac:dyDescent="0.2">
      <c r="A1334" s="81">
        <v>6833</v>
      </c>
      <c r="B1334" s="165" t="s">
        <v>1955</v>
      </c>
      <c r="C1334" s="165" t="s">
        <v>2335</v>
      </c>
      <c r="E1334" s="165" t="s">
        <v>2336</v>
      </c>
      <c r="G1334" s="81">
        <v>528973</v>
      </c>
      <c r="H1334" s="81">
        <v>174014</v>
      </c>
      <c r="I1334" s="165" t="s">
        <v>247</v>
      </c>
      <c r="L1334" s="166">
        <v>1</v>
      </c>
      <c r="M1334" s="166">
        <v>2</v>
      </c>
      <c r="N1334" s="166">
        <v>1</v>
      </c>
      <c r="O1334" s="166">
        <v>2</v>
      </c>
      <c r="P1334" s="166">
        <v>1</v>
      </c>
      <c r="R1334" s="165" t="s">
        <v>2337</v>
      </c>
      <c r="S1334" s="81" t="s">
        <v>121</v>
      </c>
      <c r="T1334" s="349">
        <v>43165</v>
      </c>
      <c r="W1334" s="81" t="s">
        <v>114</v>
      </c>
      <c r="Y1334" s="81" t="s">
        <v>115</v>
      </c>
      <c r="Z1334" s="81" t="s">
        <v>398</v>
      </c>
      <c r="AA1334" s="81" t="s">
        <v>117</v>
      </c>
      <c r="AB1334" s="81" t="s">
        <v>120</v>
      </c>
      <c r="AC1334" s="166">
        <v>1.09999999403954E-2</v>
      </c>
      <c r="AG1334" s="81" t="s">
        <v>238</v>
      </c>
      <c r="AH1334" s="81" t="s">
        <v>118</v>
      </c>
      <c r="AK1334" s="166">
        <v>0</v>
      </c>
      <c r="AM1334" s="166">
        <v>0</v>
      </c>
      <c r="AO1334" s="166">
        <v>0</v>
      </c>
      <c r="AP1334" s="166">
        <v>0</v>
      </c>
      <c r="AQ1334" s="166">
        <v>0</v>
      </c>
      <c r="AR1334" s="166">
        <v>1</v>
      </c>
      <c r="AS1334" s="166">
        <v>0</v>
      </c>
      <c r="AT1334" s="166">
        <v>0</v>
      </c>
      <c r="AU1334" s="166">
        <v>0</v>
      </c>
      <c r="AV1334" s="166">
        <v>0</v>
      </c>
      <c r="AW1334" s="166">
        <v>0</v>
      </c>
      <c r="AX1334" s="166">
        <v>0</v>
      </c>
      <c r="AY1334" s="166">
        <v>2</v>
      </c>
      <c r="AZ1334" s="166">
        <v>0</v>
      </c>
      <c r="BA1334" s="166">
        <v>0</v>
      </c>
      <c r="BB1334" s="166">
        <v>0</v>
      </c>
      <c r="BC1334" s="166">
        <v>0</v>
      </c>
      <c r="BD1334" s="166">
        <v>0</v>
      </c>
      <c r="BE1334" s="166">
        <v>0</v>
      </c>
      <c r="BF1334" s="166">
        <v>-1</v>
      </c>
      <c r="BG1334" s="166">
        <v>0</v>
      </c>
      <c r="BH1334" s="166">
        <v>0</v>
      </c>
      <c r="BI1334" s="166">
        <v>0</v>
      </c>
      <c r="BJ1334" s="166">
        <v>0</v>
      </c>
      <c r="BK1334" s="166">
        <v>0</v>
      </c>
      <c r="BL1334" s="166">
        <v>0</v>
      </c>
      <c r="BM1334" s="166">
        <v>0</v>
      </c>
      <c r="BN1334" s="166">
        <v>0</v>
      </c>
      <c r="BO1334" s="166">
        <v>0</v>
      </c>
      <c r="BP1334" s="166">
        <v>0</v>
      </c>
      <c r="BQ1334" s="81" t="s">
        <v>1757</v>
      </c>
      <c r="BZ1334" s="81" t="s">
        <v>155</v>
      </c>
      <c r="CA1334" s="81">
        <v>10</v>
      </c>
      <c r="CC1334" s="167">
        <v>0</v>
      </c>
      <c r="CD1334" s="167">
        <v>0</v>
      </c>
      <c r="CE1334" s="167">
        <v>0</v>
      </c>
      <c r="CF1334" s="167">
        <v>0</v>
      </c>
      <c r="CG1334" s="167">
        <v>0</v>
      </c>
      <c r="CH1334" s="167">
        <f>$N1334/3</f>
        <v>0.33333333333333331</v>
      </c>
      <c r="CI1334" s="167">
        <f>$N1334/3</f>
        <v>0.33333333333333331</v>
      </c>
      <c r="CJ1334" s="167">
        <f>$N1334/3</f>
        <v>0.33333333333333331</v>
      </c>
      <c r="CK1334" s="167">
        <v>0</v>
      </c>
      <c r="CL1334" s="167">
        <v>0</v>
      </c>
      <c r="CM1334" s="167">
        <v>0</v>
      </c>
      <c r="CN1334" s="167">
        <v>0</v>
      </c>
      <c r="CO1334" s="167">
        <v>0</v>
      </c>
      <c r="CP1334" s="167">
        <v>0</v>
      </c>
      <c r="CQ1334" s="167">
        <v>0</v>
      </c>
      <c r="CR1334" s="167">
        <v>0</v>
      </c>
      <c r="CS1334" s="167">
        <v>0</v>
      </c>
      <c r="CT1334" s="167">
        <v>0</v>
      </c>
      <c r="CU1334" s="167">
        <v>0</v>
      </c>
      <c r="CV1334" s="167">
        <v>0</v>
      </c>
      <c r="CW1334" s="167">
        <v>0</v>
      </c>
      <c r="CX1334" s="167">
        <f>SUM(CD1334:CH1334)</f>
        <v>0.33333333333333331</v>
      </c>
      <c r="CY1334" s="167">
        <f>SUM(CD1334:CM1334)</f>
        <v>1</v>
      </c>
    </row>
    <row r="1335" spans="1:103" ht="12.75" customHeight="1" x14ac:dyDescent="0.2">
      <c r="A1335" s="81">
        <v>6834</v>
      </c>
      <c r="B1335" s="165" t="s">
        <v>1955</v>
      </c>
      <c r="C1335" s="165" t="s">
        <v>2338</v>
      </c>
      <c r="E1335" s="165" t="s">
        <v>2339</v>
      </c>
      <c r="G1335" s="81">
        <v>529168</v>
      </c>
      <c r="H1335" s="81">
        <v>171180</v>
      </c>
      <c r="I1335" s="165" t="s">
        <v>252</v>
      </c>
      <c r="L1335" s="166">
        <v>2</v>
      </c>
      <c r="M1335" s="166">
        <v>1</v>
      </c>
      <c r="N1335" s="166">
        <v>-1</v>
      </c>
      <c r="O1335" s="166">
        <v>1</v>
      </c>
      <c r="P1335" s="166">
        <v>-1</v>
      </c>
      <c r="R1335" s="165" t="s">
        <v>2340</v>
      </c>
      <c r="S1335" s="81" t="s">
        <v>121</v>
      </c>
      <c r="T1335" s="349">
        <v>43166</v>
      </c>
      <c r="W1335" s="81" t="s">
        <v>114</v>
      </c>
      <c r="Y1335" s="81" t="s">
        <v>115</v>
      </c>
      <c r="Z1335" s="81" t="s">
        <v>119</v>
      </c>
      <c r="AA1335" s="81" t="s">
        <v>117</v>
      </c>
      <c r="AB1335" s="81" t="s">
        <v>336</v>
      </c>
      <c r="AC1335" s="166">
        <v>1.7000000923872001E-2</v>
      </c>
      <c r="AG1335" s="81" t="s">
        <v>238</v>
      </c>
      <c r="AH1335" s="81" t="s">
        <v>118</v>
      </c>
      <c r="AK1335" s="166">
        <v>0</v>
      </c>
      <c r="AM1335" s="166">
        <v>0</v>
      </c>
      <c r="AO1335" s="166">
        <v>0</v>
      </c>
      <c r="AP1335" s="166">
        <v>-1</v>
      </c>
      <c r="AQ1335" s="166">
        <v>-1</v>
      </c>
      <c r="AR1335" s="166">
        <v>0</v>
      </c>
      <c r="AS1335" s="166">
        <v>0</v>
      </c>
      <c r="AT1335" s="166">
        <v>1</v>
      </c>
      <c r="AU1335" s="166">
        <v>0</v>
      </c>
      <c r="AV1335" s="166">
        <v>0</v>
      </c>
      <c r="AW1335" s="166">
        <v>-1</v>
      </c>
      <c r="AX1335" s="166">
        <v>-1</v>
      </c>
      <c r="AY1335" s="166">
        <v>0</v>
      </c>
      <c r="AZ1335" s="166">
        <v>0</v>
      </c>
      <c r="BA1335" s="166">
        <v>0</v>
      </c>
      <c r="BB1335" s="166">
        <v>0</v>
      </c>
      <c r="BC1335" s="166">
        <v>0</v>
      </c>
      <c r="BD1335" s="166">
        <v>0</v>
      </c>
      <c r="BE1335" s="166">
        <v>0</v>
      </c>
      <c r="BF1335" s="166">
        <v>0</v>
      </c>
      <c r="BG1335" s="166">
        <v>0</v>
      </c>
      <c r="BH1335" s="166">
        <v>1</v>
      </c>
      <c r="BI1335" s="166">
        <v>0</v>
      </c>
      <c r="BJ1335" s="166">
        <v>0</v>
      </c>
      <c r="BK1335" s="166">
        <v>0</v>
      </c>
      <c r="BL1335" s="166">
        <v>0</v>
      </c>
      <c r="BM1335" s="166">
        <v>0</v>
      </c>
      <c r="BN1335" s="166">
        <v>0</v>
      </c>
      <c r="BO1335" s="166">
        <v>0</v>
      </c>
      <c r="BP1335" s="166">
        <v>0</v>
      </c>
      <c r="BQ1335" s="81" t="s">
        <v>1757</v>
      </c>
      <c r="BZ1335" s="81" t="s">
        <v>155</v>
      </c>
      <c r="CA1335" s="81">
        <v>10</v>
      </c>
      <c r="CC1335" s="167">
        <v>0</v>
      </c>
      <c r="CD1335" s="167">
        <v>0</v>
      </c>
      <c r="CE1335" s="167">
        <v>0</v>
      </c>
      <c r="CF1335" s="167">
        <v>0</v>
      </c>
      <c r="CG1335" s="167">
        <v>0</v>
      </c>
      <c r="CH1335" s="167">
        <f>$N1335/3</f>
        <v>-0.33333333333333331</v>
      </c>
      <c r="CI1335" s="167">
        <f>$N1335/3</f>
        <v>-0.33333333333333331</v>
      </c>
      <c r="CJ1335" s="167">
        <f>$N1335/3</f>
        <v>-0.33333333333333331</v>
      </c>
      <c r="CK1335" s="167">
        <v>0</v>
      </c>
      <c r="CL1335" s="167">
        <v>0</v>
      </c>
      <c r="CM1335" s="167">
        <v>0</v>
      </c>
      <c r="CN1335" s="167">
        <v>0</v>
      </c>
      <c r="CO1335" s="167">
        <v>0</v>
      </c>
      <c r="CP1335" s="167">
        <v>0</v>
      </c>
      <c r="CQ1335" s="167">
        <v>0</v>
      </c>
      <c r="CR1335" s="167">
        <v>0</v>
      </c>
      <c r="CS1335" s="167">
        <v>0</v>
      </c>
      <c r="CT1335" s="167">
        <v>0</v>
      </c>
      <c r="CU1335" s="167">
        <v>0</v>
      </c>
      <c r="CV1335" s="167">
        <v>0</v>
      </c>
      <c r="CW1335" s="167">
        <v>0</v>
      </c>
      <c r="CX1335" s="167">
        <f>SUM(CD1335:CH1335)</f>
        <v>-0.33333333333333331</v>
      </c>
      <c r="CY1335" s="167">
        <f>SUM(CD1335:CM1335)</f>
        <v>-1</v>
      </c>
    </row>
    <row r="1336" spans="1:103" ht="12.75" customHeight="1" x14ac:dyDescent="0.2">
      <c r="A1336" s="81">
        <v>6835</v>
      </c>
      <c r="B1336" s="165" t="s">
        <v>1955</v>
      </c>
      <c r="C1336" s="165" t="s">
        <v>2341</v>
      </c>
      <c r="E1336" s="165" t="s">
        <v>2342</v>
      </c>
      <c r="G1336" s="81">
        <v>528565</v>
      </c>
      <c r="H1336" s="81">
        <v>171318</v>
      </c>
      <c r="I1336" s="165" t="s">
        <v>252</v>
      </c>
      <c r="L1336" s="166">
        <v>0</v>
      </c>
      <c r="M1336" s="166">
        <v>1</v>
      </c>
      <c r="N1336" s="166">
        <v>1</v>
      </c>
      <c r="O1336" s="166">
        <v>1</v>
      </c>
      <c r="P1336" s="166">
        <v>1</v>
      </c>
      <c r="R1336" s="165" t="s">
        <v>2343</v>
      </c>
      <c r="S1336" s="81" t="s">
        <v>121</v>
      </c>
      <c r="T1336" s="349">
        <v>43166</v>
      </c>
      <c r="W1336" s="81" t="s">
        <v>114</v>
      </c>
      <c r="Y1336" s="81" t="s">
        <v>115</v>
      </c>
      <c r="Z1336" s="81" t="s">
        <v>116</v>
      </c>
      <c r="AA1336" s="81" t="s">
        <v>117</v>
      </c>
      <c r="AB1336" s="81" t="s">
        <v>218</v>
      </c>
      <c r="AC1336" s="166">
        <v>1.7000000923872001E-2</v>
      </c>
      <c r="AG1336" s="81" t="s">
        <v>238</v>
      </c>
      <c r="AH1336" s="81" t="s">
        <v>118</v>
      </c>
      <c r="AK1336" s="166">
        <v>0</v>
      </c>
      <c r="AM1336" s="166">
        <v>0</v>
      </c>
      <c r="AO1336" s="166">
        <v>0</v>
      </c>
      <c r="AP1336" s="166">
        <v>1</v>
      </c>
      <c r="AQ1336" s="166">
        <v>0</v>
      </c>
      <c r="AR1336" s="166">
        <v>0</v>
      </c>
      <c r="AS1336" s="166">
        <v>0</v>
      </c>
      <c r="AT1336" s="166">
        <v>0</v>
      </c>
      <c r="AU1336" s="166">
        <v>0</v>
      </c>
      <c r="AV1336" s="166">
        <v>0</v>
      </c>
      <c r="AW1336" s="166">
        <v>0</v>
      </c>
      <c r="AX1336" s="166">
        <v>0</v>
      </c>
      <c r="AY1336" s="166">
        <v>0</v>
      </c>
      <c r="AZ1336" s="166">
        <v>0</v>
      </c>
      <c r="BA1336" s="166">
        <v>0</v>
      </c>
      <c r="BB1336" s="166">
        <v>0</v>
      </c>
      <c r="BC1336" s="166">
        <v>0</v>
      </c>
      <c r="BD1336" s="166">
        <v>1</v>
      </c>
      <c r="BE1336" s="166">
        <v>0</v>
      </c>
      <c r="BF1336" s="166">
        <v>0</v>
      </c>
      <c r="BG1336" s="166">
        <v>0</v>
      </c>
      <c r="BH1336" s="166">
        <v>0</v>
      </c>
      <c r="BI1336" s="166">
        <v>0</v>
      </c>
      <c r="BJ1336" s="166">
        <v>0</v>
      </c>
      <c r="BK1336" s="166">
        <v>0</v>
      </c>
      <c r="BL1336" s="166">
        <v>0</v>
      </c>
      <c r="BM1336" s="166">
        <v>0</v>
      </c>
      <c r="BN1336" s="166">
        <v>0</v>
      </c>
      <c r="BO1336" s="166">
        <v>0</v>
      </c>
      <c r="BP1336" s="166">
        <v>0</v>
      </c>
      <c r="BQ1336" s="81" t="s">
        <v>1757</v>
      </c>
      <c r="BZ1336" s="81" t="s">
        <v>155</v>
      </c>
      <c r="CA1336" s="81">
        <v>6</v>
      </c>
      <c r="CC1336" s="167">
        <v>0</v>
      </c>
      <c r="CD1336" s="167">
        <v>0</v>
      </c>
      <c r="CE1336" s="167">
        <v>0</v>
      </c>
      <c r="CF1336" s="167">
        <v>0</v>
      </c>
      <c r="CG1336" s="167">
        <v>0</v>
      </c>
      <c r="CH1336" s="167">
        <f>$N1336/3</f>
        <v>0.33333333333333331</v>
      </c>
      <c r="CI1336" s="167">
        <f>$N1336/3</f>
        <v>0.33333333333333331</v>
      </c>
      <c r="CJ1336" s="167">
        <f>$N1336/3</f>
        <v>0.33333333333333331</v>
      </c>
      <c r="CK1336" s="167">
        <v>0</v>
      </c>
      <c r="CL1336" s="167">
        <v>0</v>
      </c>
      <c r="CM1336" s="167">
        <v>0</v>
      </c>
      <c r="CN1336" s="167">
        <v>0</v>
      </c>
      <c r="CO1336" s="167">
        <v>0</v>
      </c>
      <c r="CP1336" s="167">
        <v>0</v>
      </c>
      <c r="CQ1336" s="167">
        <v>0</v>
      </c>
      <c r="CR1336" s="167">
        <v>0</v>
      </c>
      <c r="CS1336" s="167">
        <v>0</v>
      </c>
      <c r="CT1336" s="167">
        <v>0</v>
      </c>
      <c r="CU1336" s="167">
        <v>0</v>
      </c>
      <c r="CV1336" s="167">
        <v>0</v>
      </c>
      <c r="CW1336" s="167">
        <v>0</v>
      </c>
      <c r="CX1336" s="167">
        <f>SUM(CD1336:CH1336)</f>
        <v>0.33333333333333331</v>
      </c>
      <c r="CY1336" s="167">
        <f>SUM(CD1336:CM1336)</f>
        <v>1</v>
      </c>
    </row>
    <row r="1337" spans="1:103" ht="12.75" customHeight="1" x14ac:dyDescent="0.2">
      <c r="A1337" s="81">
        <v>6836</v>
      </c>
      <c r="B1337" s="165" t="s">
        <v>1955</v>
      </c>
      <c r="C1337" s="165" t="s">
        <v>2344</v>
      </c>
      <c r="E1337" s="165" t="s">
        <v>2345</v>
      </c>
      <c r="G1337" s="81">
        <v>527432</v>
      </c>
      <c r="H1337" s="81">
        <v>171027</v>
      </c>
      <c r="I1337" s="165" t="s">
        <v>253</v>
      </c>
      <c r="L1337" s="166">
        <v>1</v>
      </c>
      <c r="M1337" s="166">
        <v>2</v>
      </c>
      <c r="N1337" s="166">
        <v>1</v>
      </c>
      <c r="O1337" s="166">
        <v>2</v>
      </c>
      <c r="P1337" s="166">
        <v>1</v>
      </c>
      <c r="R1337" s="165" t="s">
        <v>2346</v>
      </c>
      <c r="S1337" s="81" t="s">
        <v>121</v>
      </c>
      <c r="T1337" s="349">
        <v>43166</v>
      </c>
      <c r="W1337" s="81" t="s">
        <v>114</v>
      </c>
      <c r="Y1337" s="81" t="s">
        <v>115</v>
      </c>
      <c r="Z1337" s="81" t="s">
        <v>119</v>
      </c>
      <c r="AA1337" s="81" t="s">
        <v>117</v>
      </c>
      <c r="AB1337" s="81" t="s">
        <v>220</v>
      </c>
      <c r="AC1337" s="166">
        <v>1.2000000104308101E-2</v>
      </c>
      <c r="AG1337" s="81" t="s">
        <v>238</v>
      </c>
      <c r="AH1337" s="81" t="s">
        <v>118</v>
      </c>
      <c r="AK1337" s="166">
        <v>0</v>
      </c>
      <c r="AM1337" s="166">
        <v>0</v>
      </c>
      <c r="AO1337" s="166">
        <v>0</v>
      </c>
      <c r="AP1337" s="166">
        <v>1</v>
      </c>
      <c r="AQ1337" s="166">
        <v>1</v>
      </c>
      <c r="AR1337" s="166">
        <v>-1</v>
      </c>
      <c r="AS1337" s="166">
        <v>0</v>
      </c>
      <c r="AT1337" s="166">
        <v>0</v>
      </c>
      <c r="AU1337" s="166">
        <v>0</v>
      </c>
      <c r="AV1337" s="166">
        <v>0</v>
      </c>
      <c r="AW1337" s="166">
        <v>1</v>
      </c>
      <c r="AX1337" s="166">
        <v>1</v>
      </c>
      <c r="AY1337" s="166">
        <v>-1</v>
      </c>
      <c r="AZ1337" s="166">
        <v>0</v>
      </c>
      <c r="BA1337" s="166">
        <v>0</v>
      </c>
      <c r="BB1337" s="166">
        <v>0</v>
      </c>
      <c r="BC1337" s="166">
        <v>0</v>
      </c>
      <c r="BD1337" s="166">
        <v>0</v>
      </c>
      <c r="BE1337" s="166">
        <v>0</v>
      </c>
      <c r="BF1337" s="166">
        <v>0</v>
      </c>
      <c r="BG1337" s="166">
        <v>0</v>
      </c>
      <c r="BH1337" s="166">
        <v>0</v>
      </c>
      <c r="BI1337" s="166">
        <v>0</v>
      </c>
      <c r="BJ1337" s="166">
        <v>0</v>
      </c>
      <c r="BK1337" s="166">
        <v>0</v>
      </c>
      <c r="BL1337" s="166">
        <v>0</v>
      </c>
      <c r="BM1337" s="166">
        <v>0</v>
      </c>
      <c r="BN1337" s="166">
        <v>0</v>
      </c>
      <c r="BO1337" s="166">
        <v>0</v>
      </c>
      <c r="BP1337" s="166">
        <v>0</v>
      </c>
      <c r="BQ1337" s="81" t="s">
        <v>1757</v>
      </c>
      <c r="BZ1337" s="81" t="s">
        <v>155</v>
      </c>
      <c r="CA1337" s="81">
        <v>10</v>
      </c>
      <c r="CC1337" s="167">
        <v>0</v>
      </c>
      <c r="CD1337" s="167">
        <v>0</v>
      </c>
      <c r="CE1337" s="167">
        <v>0</v>
      </c>
      <c r="CF1337" s="167">
        <v>0</v>
      </c>
      <c r="CG1337" s="167">
        <v>0</v>
      </c>
      <c r="CH1337" s="167">
        <f>$N1337/3</f>
        <v>0.33333333333333331</v>
      </c>
      <c r="CI1337" s="167">
        <f>$N1337/3</f>
        <v>0.33333333333333331</v>
      </c>
      <c r="CJ1337" s="167">
        <f>$N1337/3</f>
        <v>0.33333333333333331</v>
      </c>
      <c r="CK1337" s="167">
        <v>0</v>
      </c>
      <c r="CL1337" s="167">
        <v>0</v>
      </c>
      <c r="CM1337" s="167">
        <v>0</v>
      </c>
      <c r="CN1337" s="167">
        <v>0</v>
      </c>
      <c r="CO1337" s="167">
        <v>0</v>
      </c>
      <c r="CP1337" s="167">
        <v>0</v>
      </c>
      <c r="CQ1337" s="167">
        <v>0</v>
      </c>
      <c r="CR1337" s="167">
        <v>0</v>
      </c>
      <c r="CS1337" s="167">
        <v>0</v>
      </c>
      <c r="CT1337" s="167">
        <v>0</v>
      </c>
      <c r="CU1337" s="167">
        <v>0</v>
      </c>
      <c r="CV1337" s="167">
        <v>0</v>
      </c>
      <c r="CW1337" s="167">
        <v>0</v>
      </c>
      <c r="CX1337" s="167">
        <f>SUM(CD1337:CH1337)</f>
        <v>0.33333333333333331</v>
      </c>
      <c r="CY1337" s="167">
        <f>SUM(CD1337:CM1337)</f>
        <v>1</v>
      </c>
    </row>
    <row r="1338" spans="1:103" ht="12.75" customHeight="1" x14ac:dyDescent="0.2">
      <c r="A1338" s="81">
        <v>6837</v>
      </c>
      <c r="B1338" s="165" t="s">
        <v>1955</v>
      </c>
      <c r="C1338" s="165" t="s">
        <v>2347</v>
      </c>
      <c r="E1338" s="165" t="s">
        <v>2348</v>
      </c>
      <c r="G1338" s="81">
        <v>527827</v>
      </c>
      <c r="H1338" s="81">
        <v>171162</v>
      </c>
      <c r="I1338" s="165" t="s">
        <v>253</v>
      </c>
      <c r="L1338" s="166">
        <v>0</v>
      </c>
      <c r="M1338" s="166">
        <v>1</v>
      </c>
      <c r="N1338" s="166">
        <v>1</v>
      </c>
      <c r="O1338" s="166">
        <v>1</v>
      </c>
      <c r="P1338" s="166">
        <v>1</v>
      </c>
      <c r="R1338" s="165" t="s">
        <v>2349</v>
      </c>
      <c r="S1338" s="81" t="s">
        <v>121</v>
      </c>
      <c r="T1338" s="349">
        <v>43168</v>
      </c>
      <c r="W1338" s="81" t="s">
        <v>114</v>
      </c>
      <c r="Y1338" s="81" t="s">
        <v>115</v>
      </c>
      <c r="Z1338" s="81" t="s">
        <v>219</v>
      </c>
      <c r="AA1338" s="81" t="s">
        <v>117</v>
      </c>
      <c r="AB1338" s="81" t="s">
        <v>3889</v>
      </c>
      <c r="AC1338" s="166">
        <v>6.0000000521540598E-3</v>
      </c>
      <c r="AG1338" s="81" t="s">
        <v>238</v>
      </c>
      <c r="AH1338" s="81" t="s">
        <v>118</v>
      </c>
      <c r="AK1338" s="166">
        <v>0</v>
      </c>
      <c r="AM1338" s="166">
        <v>0</v>
      </c>
      <c r="AO1338" s="166">
        <v>0</v>
      </c>
      <c r="AP1338" s="166">
        <v>0</v>
      </c>
      <c r="AQ1338" s="166">
        <v>1</v>
      </c>
      <c r="AR1338" s="166">
        <v>0</v>
      </c>
      <c r="AS1338" s="166">
        <v>0</v>
      </c>
      <c r="AT1338" s="166">
        <v>0</v>
      </c>
      <c r="AU1338" s="166">
        <v>0</v>
      </c>
      <c r="AV1338" s="166">
        <v>0</v>
      </c>
      <c r="AW1338" s="166">
        <v>0</v>
      </c>
      <c r="AX1338" s="166">
        <v>1</v>
      </c>
      <c r="AY1338" s="166">
        <v>0</v>
      </c>
      <c r="AZ1338" s="166">
        <v>0</v>
      </c>
      <c r="BA1338" s="166">
        <v>0</v>
      </c>
      <c r="BB1338" s="166">
        <v>0</v>
      </c>
      <c r="BC1338" s="166">
        <v>0</v>
      </c>
      <c r="BD1338" s="166">
        <v>0</v>
      </c>
      <c r="BE1338" s="166">
        <v>0</v>
      </c>
      <c r="BF1338" s="166">
        <v>0</v>
      </c>
      <c r="BG1338" s="166">
        <v>0</v>
      </c>
      <c r="BH1338" s="166">
        <v>0</v>
      </c>
      <c r="BI1338" s="166">
        <v>0</v>
      </c>
      <c r="BJ1338" s="166">
        <v>0</v>
      </c>
      <c r="BK1338" s="166">
        <v>0</v>
      </c>
      <c r="BL1338" s="166">
        <v>0</v>
      </c>
      <c r="BM1338" s="166">
        <v>0</v>
      </c>
      <c r="BN1338" s="166">
        <v>0</v>
      </c>
      <c r="BO1338" s="166">
        <v>0</v>
      </c>
      <c r="BP1338" s="166">
        <v>0</v>
      </c>
      <c r="BQ1338" s="81" t="s">
        <v>1757</v>
      </c>
      <c r="BZ1338" s="81" t="s">
        <v>155</v>
      </c>
      <c r="CA1338" s="81">
        <v>10</v>
      </c>
      <c r="CC1338" s="167">
        <v>0</v>
      </c>
      <c r="CD1338" s="167">
        <v>0</v>
      </c>
      <c r="CE1338" s="167">
        <v>0</v>
      </c>
      <c r="CF1338" s="167">
        <v>0</v>
      </c>
      <c r="CG1338" s="167">
        <v>0</v>
      </c>
      <c r="CH1338" s="167">
        <f>$N1338/3</f>
        <v>0.33333333333333331</v>
      </c>
      <c r="CI1338" s="167">
        <f>$N1338/3</f>
        <v>0.33333333333333331</v>
      </c>
      <c r="CJ1338" s="167">
        <f>$N1338/3</f>
        <v>0.33333333333333331</v>
      </c>
      <c r="CK1338" s="167">
        <v>0</v>
      </c>
      <c r="CL1338" s="167">
        <v>0</v>
      </c>
      <c r="CM1338" s="167">
        <v>0</v>
      </c>
      <c r="CN1338" s="167">
        <v>0</v>
      </c>
      <c r="CO1338" s="167">
        <v>0</v>
      </c>
      <c r="CP1338" s="167">
        <v>0</v>
      </c>
      <c r="CQ1338" s="167">
        <v>0</v>
      </c>
      <c r="CR1338" s="167">
        <v>0</v>
      </c>
      <c r="CS1338" s="167">
        <v>0</v>
      </c>
      <c r="CT1338" s="167">
        <v>0</v>
      </c>
      <c r="CU1338" s="167">
        <v>0</v>
      </c>
      <c r="CV1338" s="167">
        <v>0</v>
      </c>
      <c r="CW1338" s="167">
        <v>0</v>
      </c>
      <c r="CX1338" s="167">
        <f>SUM(CD1338:CH1338)</f>
        <v>0.33333333333333331</v>
      </c>
      <c r="CY1338" s="167">
        <f>SUM(CD1338:CM1338)</f>
        <v>1</v>
      </c>
    </row>
    <row r="1339" spans="1:103" ht="12.75" customHeight="1" x14ac:dyDescent="0.2">
      <c r="A1339" s="81">
        <v>6839</v>
      </c>
      <c r="B1339" s="165" t="s">
        <v>1955</v>
      </c>
      <c r="C1339" s="165" t="s">
        <v>2350</v>
      </c>
      <c r="E1339" s="165" t="s">
        <v>2351</v>
      </c>
      <c r="G1339" s="81">
        <v>525097</v>
      </c>
      <c r="H1339" s="81">
        <v>175034</v>
      </c>
      <c r="I1339" s="165" t="s">
        <v>259</v>
      </c>
      <c r="L1339" s="166">
        <v>0</v>
      </c>
      <c r="M1339" s="166">
        <v>5</v>
      </c>
      <c r="N1339" s="166">
        <v>5</v>
      </c>
      <c r="O1339" s="166">
        <v>5</v>
      </c>
      <c r="P1339" s="166">
        <v>5</v>
      </c>
      <c r="R1339" s="165" t="s">
        <v>2352</v>
      </c>
      <c r="S1339" s="81" t="s">
        <v>121</v>
      </c>
      <c r="T1339" s="349">
        <v>43168</v>
      </c>
      <c r="W1339" s="81" t="s">
        <v>114</v>
      </c>
      <c r="Y1339" s="81" t="s">
        <v>115</v>
      </c>
      <c r="Z1339" s="81" t="s">
        <v>116</v>
      </c>
      <c r="AA1339" s="81" t="s">
        <v>117</v>
      </c>
      <c r="AB1339" s="81" t="s">
        <v>218</v>
      </c>
      <c r="AC1339" s="166">
        <v>7.0000002160668399E-3</v>
      </c>
      <c r="AG1339" s="81" t="s">
        <v>238</v>
      </c>
      <c r="AH1339" s="81" t="s">
        <v>118</v>
      </c>
      <c r="AK1339" s="166">
        <v>0</v>
      </c>
      <c r="AL1339" s="166">
        <v>5</v>
      </c>
      <c r="AM1339" s="166">
        <v>0</v>
      </c>
      <c r="AO1339" s="166">
        <v>5</v>
      </c>
      <c r="AP1339" s="166">
        <v>0</v>
      </c>
      <c r="AQ1339" s="166">
        <v>0</v>
      </c>
      <c r="AR1339" s="166">
        <v>0</v>
      </c>
      <c r="AS1339" s="166">
        <v>0</v>
      </c>
      <c r="AT1339" s="166">
        <v>0</v>
      </c>
      <c r="AU1339" s="166">
        <v>0</v>
      </c>
      <c r="AV1339" s="166">
        <v>5</v>
      </c>
      <c r="AW1339" s="166">
        <v>0</v>
      </c>
      <c r="AX1339" s="166">
        <v>0</v>
      </c>
      <c r="AY1339" s="166">
        <v>0</v>
      </c>
      <c r="AZ1339" s="166">
        <v>0</v>
      </c>
      <c r="BA1339" s="166">
        <v>0</v>
      </c>
      <c r="BB1339" s="166">
        <v>0</v>
      </c>
      <c r="BC1339" s="166">
        <v>0</v>
      </c>
      <c r="BD1339" s="166">
        <v>0</v>
      </c>
      <c r="BE1339" s="166">
        <v>0</v>
      </c>
      <c r="BF1339" s="166">
        <v>0</v>
      </c>
      <c r="BG1339" s="166">
        <v>0</v>
      </c>
      <c r="BH1339" s="166">
        <v>0</v>
      </c>
      <c r="BI1339" s="166">
        <v>0</v>
      </c>
      <c r="BJ1339" s="166">
        <v>0</v>
      </c>
      <c r="BK1339" s="166">
        <v>0</v>
      </c>
      <c r="BL1339" s="166">
        <v>0</v>
      </c>
      <c r="BM1339" s="166">
        <v>0</v>
      </c>
      <c r="BN1339" s="166">
        <v>0</v>
      </c>
      <c r="BO1339" s="166">
        <v>0</v>
      </c>
      <c r="BP1339" s="166">
        <v>0</v>
      </c>
      <c r="BQ1339" s="81" t="s">
        <v>1758</v>
      </c>
      <c r="BZ1339" s="81" t="s">
        <v>155</v>
      </c>
      <c r="CA1339" s="81">
        <v>6</v>
      </c>
      <c r="CC1339" s="167">
        <v>0</v>
      </c>
      <c r="CD1339" s="167">
        <v>0</v>
      </c>
      <c r="CE1339" s="167">
        <v>0</v>
      </c>
      <c r="CF1339" s="167">
        <v>0</v>
      </c>
      <c r="CG1339" s="167">
        <v>0</v>
      </c>
      <c r="CH1339" s="167">
        <f>$N1339/3</f>
        <v>1.6666666666666667</v>
      </c>
      <c r="CI1339" s="167">
        <f>$N1339/3</f>
        <v>1.6666666666666667</v>
      </c>
      <c r="CJ1339" s="167">
        <f>$N1339/3</f>
        <v>1.6666666666666667</v>
      </c>
      <c r="CK1339" s="167">
        <v>0</v>
      </c>
      <c r="CL1339" s="167">
        <v>0</v>
      </c>
      <c r="CM1339" s="167">
        <v>0</v>
      </c>
      <c r="CN1339" s="167">
        <v>0</v>
      </c>
      <c r="CO1339" s="167">
        <v>0</v>
      </c>
      <c r="CP1339" s="167">
        <v>0</v>
      </c>
      <c r="CQ1339" s="167">
        <v>0</v>
      </c>
      <c r="CR1339" s="167">
        <v>0</v>
      </c>
      <c r="CS1339" s="167">
        <v>0</v>
      </c>
      <c r="CT1339" s="167">
        <v>0</v>
      </c>
      <c r="CU1339" s="167">
        <v>0</v>
      </c>
      <c r="CV1339" s="167">
        <v>0</v>
      </c>
      <c r="CW1339" s="167">
        <v>0</v>
      </c>
      <c r="CX1339" s="167">
        <f>SUM(CD1339:CH1339)</f>
        <v>1.6666666666666667</v>
      </c>
      <c r="CY1339" s="167">
        <f>SUM(CD1339:CM1339)</f>
        <v>5</v>
      </c>
    </row>
    <row r="1340" spans="1:103" ht="12.75" customHeight="1" x14ac:dyDescent="0.2">
      <c r="A1340" s="81">
        <v>6840</v>
      </c>
      <c r="B1340" s="165" t="s">
        <v>1955</v>
      </c>
      <c r="C1340" s="165" t="s">
        <v>2353</v>
      </c>
      <c r="E1340" s="165" t="s">
        <v>2354</v>
      </c>
      <c r="G1340" s="81">
        <v>527121</v>
      </c>
      <c r="H1340" s="81">
        <v>171520</v>
      </c>
      <c r="I1340" s="165" t="s">
        <v>242</v>
      </c>
      <c r="L1340" s="166">
        <v>1</v>
      </c>
      <c r="M1340" s="166">
        <v>2</v>
      </c>
      <c r="N1340" s="166">
        <v>1</v>
      </c>
      <c r="O1340" s="166">
        <v>2</v>
      </c>
      <c r="P1340" s="166">
        <v>1</v>
      </c>
      <c r="R1340" s="165" t="s">
        <v>2355</v>
      </c>
      <c r="S1340" s="81" t="s">
        <v>126</v>
      </c>
      <c r="T1340" s="349">
        <v>43166</v>
      </c>
      <c r="W1340" s="81" t="s">
        <v>114</v>
      </c>
      <c r="Y1340" s="81" t="s">
        <v>115</v>
      </c>
      <c r="Z1340" s="81" t="s">
        <v>119</v>
      </c>
      <c r="AA1340" s="81" t="s">
        <v>117</v>
      </c>
      <c r="AB1340" s="81" t="s">
        <v>220</v>
      </c>
      <c r="AC1340" s="166">
        <v>1.0999999940395401E-3</v>
      </c>
      <c r="AG1340" s="81" t="s">
        <v>238</v>
      </c>
      <c r="AH1340" s="81" t="s">
        <v>118</v>
      </c>
      <c r="AK1340" s="166">
        <v>0</v>
      </c>
      <c r="AM1340" s="166">
        <v>0</v>
      </c>
      <c r="AO1340" s="166">
        <v>1</v>
      </c>
      <c r="AP1340" s="166">
        <v>0</v>
      </c>
      <c r="AQ1340" s="166">
        <v>0</v>
      </c>
      <c r="AR1340" s="166">
        <v>0</v>
      </c>
      <c r="AS1340" s="166">
        <v>0</v>
      </c>
      <c r="AT1340" s="166">
        <v>0</v>
      </c>
      <c r="AU1340" s="166">
        <v>0</v>
      </c>
      <c r="AV1340" s="166">
        <v>1</v>
      </c>
      <c r="AW1340" s="166">
        <v>0</v>
      </c>
      <c r="AX1340" s="166">
        <v>0</v>
      </c>
      <c r="AY1340" s="166">
        <v>0</v>
      </c>
      <c r="AZ1340" s="166">
        <v>0</v>
      </c>
      <c r="BA1340" s="166">
        <v>0</v>
      </c>
      <c r="BB1340" s="166">
        <v>0</v>
      </c>
      <c r="BC1340" s="166">
        <v>0</v>
      </c>
      <c r="BD1340" s="166">
        <v>0</v>
      </c>
      <c r="BE1340" s="166">
        <v>0</v>
      </c>
      <c r="BF1340" s="166">
        <v>0</v>
      </c>
      <c r="BG1340" s="166">
        <v>0</v>
      </c>
      <c r="BH1340" s="166">
        <v>0</v>
      </c>
      <c r="BI1340" s="166">
        <v>0</v>
      </c>
      <c r="BJ1340" s="166">
        <v>0</v>
      </c>
      <c r="BK1340" s="166">
        <v>0</v>
      </c>
      <c r="BL1340" s="166">
        <v>0</v>
      </c>
      <c r="BM1340" s="166">
        <v>0</v>
      </c>
      <c r="BN1340" s="166">
        <v>0</v>
      </c>
      <c r="BO1340" s="166">
        <v>0</v>
      </c>
      <c r="BP1340" s="166">
        <v>0</v>
      </c>
      <c r="BQ1340" s="81" t="s">
        <v>1757</v>
      </c>
      <c r="BZ1340" s="81" t="s">
        <v>155</v>
      </c>
      <c r="CA1340" s="81">
        <v>10</v>
      </c>
      <c r="CC1340" s="167">
        <v>0</v>
      </c>
      <c r="CD1340" s="167">
        <v>0</v>
      </c>
      <c r="CE1340" s="167">
        <v>0</v>
      </c>
      <c r="CF1340" s="167">
        <v>0</v>
      </c>
      <c r="CG1340" s="167">
        <v>0</v>
      </c>
      <c r="CH1340" s="167">
        <f>$N1340/3</f>
        <v>0.33333333333333331</v>
      </c>
      <c r="CI1340" s="167">
        <f>$N1340/3</f>
        <v>0.33333333333333331</v>
      </c>
      <c r="CJ1340" s="167">
        <f>$N1340/3</f>
        <v>0.33333333333333331</v>
      </c>
      <c r="CK1340" s="167">
        <v>0</v>
      </c>
      <c r="CL1340" s="167">
        <v>0</v>
      </c>
      <c r="CM1340" s="167">
        <v>0</v>
      </c>
      <c r="CN1340" s="167">
        <v>0</v>
      </c>
      <c r="CO1340" s="167">
        <v>0</v>
      </c>
      <c r="CP1340" s="167">
        <v>0</v>
      </c>
      <c r="CQ1340" s="167">
        <v>0</v>
      </c>
      <c r="CR1340" s="167">
        <v>0</v>
      </c>
      <c r="CS1340" s="167">
        <v>0</v>
      </c>
      <c r="CT1340" s="167">
        <v>0</v>
      </c>
      <c r="CU1340" s="167">
        <v>0</v>
      </c>
      <c r="CV1340" s="167">
        <v>0</v>
      </c>
      <c r="CW1340" s="167">
        <v>0</v>
      </c>
      <c r="CX1340" s="167">
        <f>SUM(CD1340:CH1340)</f>
        <v>0.33333333333333331</v>
      </c>
      <c r="CY1340" s="167">
        <f>SUM(CD1340:CM1340)</f>
        <v>1</v>
      </c>
    </row>
    <row r="1341" spans="1:103" ht="12.75" customHeight="1" x14ac:dyDescent="0.2">
      <c r="A1341" s="81">
        <v>6841</v>
      </c>
      <c r="B1341" s="165" t="s">
        <v>1955</v>
      </c>
      <c r="C1341" s="165" t="s">
        <v>2356</v>
      </c>
      <c r="E1341" s="165" t="s">
        <v>2357</v>
      </c>
      <c r="G1341" s="81">
        <v>524290</v>
      </c>
      <c r="H1341" s="81">
        <v>173418</v>
      </c>
      <c r="I1341" s="165" t="s">
        <v>111</v>
      </c>
      <c r="L1341" s="166">
        <v>0</v>
      </c>
      <c r="M1341" s="166">
        <v>9</v>
      </c>
      <c r="N1341" s="166">
        <v>9</v>
      </c>
      <c r="O1341" s="166">
        <v>9</v>
      </c>
      <c r="P1341" s="166">
        <v>9</v>
      </c>
      <c r="R1341" s="165" t="s">
        <v>2358</v>
      </c>
      <c r="S1341" s="81" t="s">
        <v>121</v>
      </c>
      <c r="T1341" s="349">
        <v>43168</v>
      </c>
      <c r="W1341" s="81" t="s">
        <v>114</v>
      </c>
      <c r="Y1341" s="81" t="s">
        <v>115</v>
      </c>
      <c r="Z1341" s="81" t="s">
        <v>116</v>
      </c>
      <c r="AA1341" s="81" t="s">
        <v>117</v>
      </c>
      <c r="AB1341" s="81" t="s">
        <v>218</v>
      </c>
      <c r="AC1341" s="166">
        <v>7.5000002980232197E-2</v>
      </c>
      <c r="AG1341" s="81" t="s">
        <v>154</v>
      </c>
      <c r="AH1341" s="81" t="s">
        <v>38</v>
      </c>
      <c r="AK1341" s="166">
        <v>0</v>
      </c>
      <c r="AM1341" s="166">
        <v>0</v>
      </c>
      <c r="AO1341" s="166">
        <v>0</v>
      </c>
      <c r="AP1341" s="166">
        <v>0</v>
      </c>
      <c r="AQ1341" s="166">
        <v>9</v>
      </c>
      <c r="AR1341" s="166">
        <v>0</v>
      </c>
      <c r="AS1341" s="166">
        <v>0</v>
      </c>
      <c r="AT1341" s="166">
        <v>0</v>
      </c>
      <c r="AU1341" s="166">
        <v>0</v>
      </c>
      <c r="AV1341" s="166">
        <v>0</v>
      </c>
      <c r="AW1341" s="166">
        <v>0</v>
      </c>
      <c r="AX1341" s="166">
        <v>9</v>
      </c>
      <c r="AY1341" s="166">
        <v>0</v>
      </c>
      <c r="AZ1341" s="166">
        <v>0</v>
      </c>
      <c r="BA1341" s="166">
        <v>0</v>
      </c>
      <c r="BB1341" s="166">
        <v>0</v>
      </c>
      <c r="BC1341" s="166">
        <v>0</v>
      </c>
      <c r="BD1341" s="166">
        <v>0</v>
      </c>
      <c r="BE1341" s="166">
        <v>0</v>
      </c>
      <c r="BF1341" s="166">
        <v>0</v>
      </c>
      <c r="BG1341" s="166">
        <v>0</v>
      </c>
      <c r="BH1341" s="166">
        <v>0</v>
      </c>
      <c r="BI1341" s="166">
        <v>0</v>
      </c>
      <c r="BJ1341" s="166">
        <v>0</v>
      </c>
      <c r="BK1341" s="166">
        <v>0</v>
      </c>
      <c r="BL1341" s="166">
        <v>0</v>
      </c>
      <c r="BM1341" s="166">
        <v>0</v>
      </c>
      <c r="BN1341" s="166">
        <v>0</v>
      </c>
      <c r="BO1341" s="166">
        <v>0</v>
      </c>
      <c r="BP1341" s="166">
        <v>0</v>
      </c>
      <c r="BQ1341" s="81" t="s">
        <v>1758</v>
      </c>
      <c r="BZ1341" s="81" t="s">
        <v>155</v>
      </c>
      <c r="CA1341" s="81">
        <v>6</v>
      </c>
      <c r="CC1341" s="167">
        <v>0</v>
      </c>
      <c r="CD1341" s="167">
        <v>0</v>
      </c>
      <c r="CE1341" s="167">
        <v>0</v>
      </c>
      <c r="CF1341" s="167">
        <v>0</v>
      </c>
      <c r="CG1341" s="167">
        <v>0</v>
      </c>
      <c r="CH1341" s="167">
        <f>$N1341/3</f>
        <v>3</v>
      </c>
      <c r="CI1341" s="167">
        <f>$N1341/3</f>
        <v>3</v>
      </c>
      <c r="CJ1341" s="167">
        <f>$N1341/3</f>
        <v>3</v>
      </c>
      <c r="CK1341" s="167">
        <v>0</v>
      </c>
      <c r="CL1341" s="167">
        <v>0</v>
      </c>
      <c r="CM1341" s="167">
        <v>0</v>
      </c>
      <c r="CN1341" s="167">
        <v>0</v>
      </c>
      <c r="CO1341" s="167">
        <v>0</v>
      </c>
      <c r="CP1341" s="167">
        <v>0</v>
      </c>
      <c r="CQ1341" s="167">
        <v>0</v>
      </c>
      <c r="CR1341" s="167">
        <v>0</v>
      </c>
      <c r="CS1341" s="167">
        <v>0</v>
      </c>
      <c r="CT1341" s="167">
        <v>0</v>
      </c>
      <c r="CU1341" s="167">
        <v>0</v>
      </c>
      <c r="CV1341" s="167">
        <v>0</v>
      </c>
      <c r="CW1341" s="167">
        <v>0</v>
      </c>
      <c r="CX1341" s="167">
        <f>SUM(CD1341:CH1341)</f>
        <v>3</v>
      </c>
      <c r="CY1341" s="167">
        <f>SUM(CD1341:CM1341)</f>
        <v>9</v>
      </c>
    </row>
    <row r="1342" spans="1:103" ht="12.75" customHeight="1" x14ac:dyDescent="0.2">
      <c r="A1342" s="81">
        <v>6842</v>
      </c>
      <c r="B1342" s="165" t="s">
        <v>1955</v>
      </c>
      <c r="C1342" s="165" t="s">
        <v>2359</v>
      </c>
      <c r="E1342" s="165" t="s">
        <v>2360</v>
      </c>
      <c r="F1342" s="165" t="s">
        <v>1801</v>
      </c>
      <c r="G1342" s="81">
        <v>528521</v>
      </c>
      <c r="H1342" s="81">
        <v>172221</v>
      </c>
      <c r="I1342" s="165" t="s">
        <v>248</v>
      </c>
      <c r="L1342" s="166">
        <v>0</v>
      </c>
      <c r="M1342" s="166">
        <v>2</v>
      </c>
      <c r="N1342" s="166">
        <v>2</v>
      </c>
      <c r="O1342" s="166">
        <v>6</v>
      </c>
      <c r="P1342" s="166">
        <v>3</v>
      </c>
      <c r="R1342" s="165" t="s">
        <v>2361</v>
      </c>
      <c r="S1342" s="81" t="s">
        <v>121</v>
      </c>
      <c r="T1342" s="349">
        <v>43180</v>
      </c>
      <c r="W1342" s="81" t="s">
        <v>114</v>
      </c>
      <c r="Y1342" s="81" t="s">
        <v>115</v>
      </c>
      <c r="Z1342" s="81" t="s">
        <v>398</v>
      </c>
      <c r="AA1342" s="81" t="s">
        <v>117</v>
      </c>
      <c r="AB1342" s="81" t="s">
        <v>220</v>
      </c>
      <c r="AC1342" s="166">
        <v>9.9999997764825804E-3</v>
      </c>
      <c r="AG1342" s="81" t="s">
        <v>238</v>
      </c>
      <c r="AH1342" s="81" t="s">
        <v>118</v>
      </c>
      <c r="AK1342" s="166">
        <v>0</v>
      </c>
      <c r="AM1342" s="166">
        <v>0</v>
      </c>
      <c r="AO1342" s="166">
        <v>0</v>
      </c>
      <c r="AP1342" s="166">
        <v>0</v>
      </c>
      <c r="AQ1342" s="166">
        <v>2</v>
      </c>
      <c r="AR1342" s="166">
        <v>0</v>
      </c>
      <c r="AS1342" s="166">
        <v>0</v>
      </c>
      <c r="AT1342" s="166">
        <v>0</v>
      </c>
      <c r="AU1342" s="166">
        <v>0</v>
      </c>
      <c r="AV1342" s="166">
        <v>0</v>
      </c>
      <c r="AW1342" s="166">
        <v>0</v>
      </c>
      <c r="AX1342" s="166">
        <v>2</v>
      </c>
      <c r="AY1342" s="166">
        <v>0</v>
      </c>
      <c r="AZ1342" s="166">
        <v>0</v>
      </c>
      <c r="BA1342" s="166">
        <v>0</v>
      </c>
      <c r="BB1342" s="166">
        <v>0</v>
      </c>
      <c r="BC1342" s="166">
        <v>0</v>
      </c>
      <c r="BD1342" s="166">
        <v>0</v>
      </c>
      <c r="BE1342" s="166">
        <v>0</v>
      </c>
      <c r="BF1342" s="166">
        <v>0</v>
      </c>
      <c r="BG1342" s="166">
        <v>0</v>
      </c>
      <c r="BH1342" s="166">
        <v>0</v>
      </c>
      <c r="BI1342" s="166">
        <v>0</v>
      </c>
      <c r="BJ1342" s="166">
        <v>0</v>
      </c>
      <c r="BK1342" s="166">
        <v>0</v>
      </c>
      <c r="BL1342" s="166">
        <v>0</v>
      </c>
      <c r="BM1342" s="166">
        <v>0</v>
      </c>
      <c r="BN1342" s="166">
        <v>0</v>
      </c>
      <c r="BO1342" s="166">
        <v>0</v>
      </c>
      <c r="BP1342" s="166">
        <v>0</v>
      </c>
      <c r="BQ1342" s="81" t="s">
        <v>1757</v>
      </c>
      <c r="BZ1342" s="81" t="s">
        <v>3991</v>
      </c>
      <c r="CA1342" s="81">
        <v>15</v>
      </c>
      <c r="CB1342" s="165" t="s">
        <v>4010</v>
      </c>
      <c r="CC1342" s="167">
        <v>0</v>
      </c>
      <c r="CD1342" s="167">
        <v>0</v>
      </c>
      <c r="CE1342" s="167">
        <v>0</v>
      </c>
      <c r="CF1342" s="167">
        <v>0</v>
      </c>
      <c r="CG1342" s="167">
        <v>0</v>
      </c>
      <c r="CH1342" s="167">
        <v>0</v>
      </c>
      <c r="CI1342" s="167">
        <v>0</v>
      </c>
      <c r="CJ1342" s="167">
        <v>0</v>
      </c>
      <c r="CK1342" s="167">
        <v>0</v>
      </c>
      <c r="CL1342" s="167">
        <v>0</v>
      </c>
      <c r="CM1342" s="167">
        <v>0</v>
      </c>
      <c r="CN1342" s="167">
        <v>0</v>
      </c>
      <c r="CO1342" s="167">
        <v>0</v>
      </c>
      <c r="CP1342" s="167">
        <v>0</v>
      </c>
      <c r="CQ1342" s="167">
        <v>0</v>
      </c>
      <c r="CR1342" s="167">
        <v>0</v>
      </c>
      <c r="CS1342" s="167">
        <v>0</v>
      </c>
      <c r="CT1342" s="167">
        <v>0</v>
      </c>
      <c r="CU1342" s="167">
        <v>0</v>
      </c>
      <c r="CV1342" s="167">
        <v>0</v>
      </c>
      <c r="CW1342" s="167">
        <v>0</v>
      </c>
      <c r="CX1342" s="167">
        <f>SUM(CD1342:CH1342)</f>
        <v>0</v>
      </c>
      <c r="CY1342" s="167">
        <f>SUM(CD1342:CM1342)</f>
        <v>0</v>
      </c>
    </row>
    <row r="1343" spans="1:103" ht="12.75" customHeight="1" x14ac:dyDescent="0.2">
      <c r="A1343" s="81">
        <v>6842</v>
      </c>
      <c r="B1343" s="165" t="s">
        <v>1955</v>
      </c>
      <c r="C1343" s="165" t="s">
        <v>2359</v>
      </c>
      <c r="E1343" s="165" t="s">
        <v>2360</v>
      </c>
      <c r="F1343" s="165" t="s">
        <v>1219</v>
      </c>
      <c r="G1343" s="81">
        <v>528521</v>
      </c>
      <c r="H1343" s="81">
        <v>172221</v>
      </c>
      <c r="I1343" s="165" t="s">
        <v>248</v>
      </c>
      <c r="L1343" s="166">
        <v>3</v>
      </c>
      <c r="M1343" s="166">
        <v>4</v>
      </c>
      <c r="N1343" s="166">
        <v>1</v>
      </c>
      <c r="O1343" s="166">
        <v>6</v>
      </c>
      <c r="P1343" s="166">
        <v>3</v>
      </c>
      <c r="R1343" s="165" t="s">
        <v>2361</v>
      </c>
      <c r="S1343" s="81" t="s">
        <v>121</v>
      </c>
      <c r="T1343" s="349">
        <v>43180</v>
      </c>
      <c r="W1343" s="81" t="s">
        <v>114</v>
      </c>
      <c r="Y1343" s="81" t="s">
        <v>115</v>
      </c>
      <c r="Z1343" s="81" t="s">
        <v>398</v>
      </c>
      <c r="AA1343" s="81" t="s">
        <v>117</v>
      </c>
      <c r="AB1343" s="81" t="s">
        <v>218</v>
      </c>
      <c r="AC1343" s="166">
        <v>1.7999999225139601E-2</v>
      </c>
      <c r="AG1343" s="81" t="s">
        <v>238</v>
      </c>
      <c r="AH1343" s="81" t="s">
        <v>118</v>
      </c>
      <c r="AK1343" s="166">
        <v>0</v>
      </c>
      <c r="AM1343" s="166">
        <v>0</v>
      </c>
      <c r="AO1343" s="166">
        <v>0</v>
      </c>
      <c r="AP1343" s="166">
        <v>3</v>
      </c>
      <c r="AQ1343" s="166">
        <v>-3</v>
      </c>
      <c r="AR1343" s="166">
        <v>1</v>
      </c>
      <c r="AS1343" s="166">
        <v>0</v>
      </c>
      <c r="AT1343" s="166">
        <v>0</v>
      </c>
      <c r="AU1343" s="166">
        <v>0</v>
      </c>
      <c r="AV1343" s="166">
        <v>0</v>
      </c>
      <c r="AW1343" s="166">
        <v>3</v>
      </c>
      <c r="AX1343" s="166">
        <v>-3</v>
      </c>
      <c r="AY1343" s="166">
        <v>1</v>
      </c>
      <c r="AZ1343" s="166">
        <v>0</v>
      </c>
      <c r="BA1343" s="166">
        <v>0</v>
      </c>
      <c r="BB1343" s="166">
        <v>0</v>
      </c>
      <c r="BC1343" s="166">
        <v>0</v>
      </c>
      <c r="BD1343" s="166">
        <v>0</v>
      </c>
      <c r="BE1343" s="166">
        <v>0</v>
      </c>
      <c r="BF1343" s="166">
        <v>0</v>
      </c>
      <c r="BG1343" s="166">
        <v>0</v>
      </c>
      <c r="BH1343" s="166">
        <v>0</v>
      </c>
      <c r="BI1343" s="166">
        <v>0</v>
      </c>
      <c r="BJ1343" s="166">
        <v>0</v>
      </c>
      <c r="BK1343" s="166">
        <v>0</v>
      </c>
      <c r="BL1343" s="166">
        <v>0</v>
      </c>
      <c r="BM1343" s="166">
        <v>0</v>
      </c>
      <c r="BN1343" s="166">
        <v>0</v>
      </c>
      <c r="BO1343" s="166">
        <v>0</v>
      </c>
      <c r="BP1343" s="166">
        <v>0</v>
      </c>
      <c r="BQ1343" s="81" t="s">
        <v>1757</v>
      </c>
      <c r="BZ1343" s="81" t="s">
        <v>3991</v>
      </c>
      <c r="CA1343" s="81">
        <v>15</v>
      </c>
      <c r="CB1343" s="165" t="s">
        <v>4010</v>
      </c>
      <c r="CC1343" s="167">
        <v>0</v>
      </c>
      <c r="CD1343" s="167">
        <v>0</v>
      </c>
      <c r="CE1343" s="167">
        <v>0</v>
      </c>
      <c r="CF1343" s="167">
        <v>0</v>
      </c>
      <c r="CG1343" s="167">
        <v>0</v>
      </c>
      <c r="CH1343" s="167">
        <v>0</v>
      </c>
      <c r="CI1343" s="167">
        <v>0</v>
      </c>
      <c r="CJ1343" s="167">
        <v>0</v>
      </c>
      <c r="CK1343" s="167">
        <v>0</v>
      </c>
      <c r="CL1343" s="167">
        <v>0</v>
      </c>
      <c r="CM1343" s="167">
        <v>0</v>
      </c>
      <c r="CN1343" s="167">
        <v>0</v>
      </c>
      <c r="CO1343" s="167">
        <v>0</v>
      </c>
      <c r="CP1343" s="167">
        <v>0</v>
      </c>
      <c r="CQ1343" s="167">
        <v>0</v>
      </c>
      <c r="CR1343" s="167">
        <v>0</v>
      </c>
      <c r="CS1343" s="167">
        <v>0</v>
      </c>
      <c r="CT1343" s="167">
        <v>0</v>
      </c>
      <c r="CU1343" s="167">
        <v>0</v>
      </c>
      <c r="CV1343" s="167">
        <v>0</v>
      </c>
      <c r="CW1343" s="167">
        <v>0</v>
      </c>
      <c r="CX1343" s="167">
        <f>SUM(CD1343:CH1343)</f>
        <v>0</v>
      </c>
      <c r="CY1343" s="167">
        <f>SUM(CD1343:CM1343)</f>
        <v>0</v>
      </c>
    </row>
    <row r="1344" spans="1:103" ht="12.75" customHeight="1" x14ac:dyDescent="0.2">
      <c r="A1344" s="81">
        <v>6842</v>
      </c>
      <c r="B1344" s="165" t="s">
        <v>1955</v>
      </c>
      <c r="C1344" s="165" t="s">
        <v>2362</v>
      </c>
      <c r="E1344" s="165" t="s">
        <v>2360</v>
      </c>
      <c r="F1344" s="165" t="s">
        <v>2363</v>
      </c>
      <c r="G1344" s="81">
        <v>528521</v>
      </c>
      <c r="H1344" s="81">
        <v>172221</v>
      </c>
      <c r="I1344" s="165" t="s">
        <v>248</v>
      </c>
      <c r="L1344" s="166">
        <v>3</v>
      </c>
      <c r="M1344" s="166">
        <v>2</v>
      </c>
      <c r="N1344" s="166">
        <v>-1</v>
      </c>
      <c r="O1344" s="166">
        <v>6</v>
      </c>
      <c r="P1344" s="166">
        <v>3</v>
      </c>
      <c r="R1344" s="165" t="s">
        <v>2364</v>
      </c>
      <c r="S1344" s="81" t="s">
        <v>121</v>
      </c>
      <c r="T1344" s="349">
        <v>43174</v>
      </c>
      <c r="W1344" s="81" t="s">
        <v>114</v>
      </c>
      <c r="Y1344" s="81" t="s">
        <v>115</v>
      </c>
      <c r="Z1344" s="81" t="s">
        <v>398</v>
      </c>
      <c r="AA1344" s="81" t="s">
        <v>117</v>
      </c>
      <c r="AB1344" s="81" t="s">
        <v>220</v>
      </c>
      <c r="AC1344" s="166">
        <v>1.09999999403954E-2</v>
      </c>
      <c r="AG1344" s="81" t="s">
        <v>238</v>
      </c>
      <c r="AH1344" s="81" t="s">
        <v>118</v>
      </c>
      <c r="AK1344" s="166">
        <v>0</v>
      </c>
      <c r="AM1344" s="166">
        <v>0</v>
      </c>
      <c r="AO1344" s="166">
        <v>0</v>
      </c>
      <c r="AP1344" s="166">
        <v>0</v>
      </c>
      <c r="AQ1344" s="166">
        <v>-1</v>
      </c>
      <c r="AR1344" s="166">
        <v>0</v>
      </c>
      <c r="AS1344" s="166">
        <v>0</v>
      </c>
      <c r="AT1344" s="166">
        <v>0</v>
      </c>
      <c r="AU1344" s="166">
        <v>0</v>
      </c>
      <c r="AV1344" s="166">
        <v>0</v>
      </c>
      <c r="AW1344" s="166">
        <v>0</v>
      </c>
      <c r="AX1344" s="166">
        <v>-1</v>
      </c>
      <c r="AY1344" s="166">
        <v>0</v>
      </c>
      <c r="AZ1344" s="166">
        <v>0</v>
      </c>
      <c r="BA1344" s="166">
        <v>0</v>
      </c>
      <c r="BB1344" s="166">
        <v>0</v>
      </c>
      <c r="BC1344" s="166">
        <v>0</v>
      </c>
      <c r="BD1344" s="166">
        <v>0</v>
      </c>
      <c r="BE1344" s="166">
        <v>0</v>
      </c>
      <c r="BF1344" s="166">
        <v>0</v>
      </c>
      <c r="BG1344" s="166">
        <v>0</v>
      </c>
      <c r="BH1344" s="166">
        <v>0</v>
      </c>
      <c r="BI1344" s="166">
        <v>0</v>
      </c>
      <c r="BJ1344" s="166">
        <v>0</v>
      </c>
      <c r="BK1344" s="166">
        <v>0</v>
      </c>
      <c r="BL1344" s="166">
        <v>0</v>
      </c>
      <c r="BM1344" s="166">
        <v>0</v>
      </c>
      <c r="BN1344" s="166">
        <v>0</v>
      </c>
      <c r="BO1344" s="166">
        <v>0</v>
      </c>
      <c r="BP1344" s="166">
        <v>0</v>
      </c>
      <c r="BQ1344" s="81" t="s">
        <v>1757</v>
      </c>
      <c r="BZ1344" s="81" t="s">
        <v>155</v>
      </c>
      <c r="CA1344" s="81">
        <v>10</v>
      </c>
      <c r="CC1344" s="167">
        <v>0</v>
      </c>
      <c r="CD1344" s="167">
        <v>0</v>
      </c>
      <c r="CE1344" s="167">
        <v>0</v>
      </c>
      <c r="CF1344" s="167">
        <v>0</v>
      </c>
      <c r="CG1344" s="167">
        <v>0</v>
      </c>
      <c r="CH1344" s="167">
        <f>$N1344/3</f>
        <v>-0.33333333333333331</v>
      </c>
      <c r="CI1344" s="167">
        <f>$N1344/3</f>
        <v>-0.33333333333333331</v>
      </c>
      <c r="CJ1344" s="167">
        <f>$N1344/3</f>
        <v>-0.33333333333333331</v>
      </c>
      <c r="CK1344" s="167">
        <v>0</v>
      </c>
      <c r="CL1344" s="167">
        <v>0</v>
      </c>
      <c r="CM1344" s="167">
        <v>0</v>
      </c>
      <c r="CN1344" s="167">
        <v>0</v>
      </c>
      <c r="CO1344" s="167">
        <v>0</v>
      </c>
      <c r="CP1344" s="167">
        <v>0</v>
      </c>
      <c r="CQ1344" s="167">
        <v>0</v>
      </c>
      <c r="CR1344" s="167">
        <v>0</v>
      </c>
      <c r="CS1344" s="167">
        <v>0</v>
      </c>
      <c r="CT1344" s="167">
        <v>0</v>
      </c>
      <c r="CU1344" s="167">
        <v>0</v>
      </c>
      <c r="CV1344" s="167">
        <v>0</v>
      </c>
      <c r="CW1344" s="167">
        <v>0</v>
      </c>
      <c r="CX1344" s="167">
        <f>SUM(CD1344:CH1344)</f>
        <v>-0.33333333333333331</v>
      </c>
      <c r="CY1344" s="167">
        <f>SUM(CD1344:CM1344)</f>
        <v>-1</v>
      </c>
    </row>
    <row r="1345" spans="1:103" ht="12.75" customHeight="1" x14ac:dyDescent="0.2">
      <c r="A1345" s="81">
        <v>6842</v>
      </c>
      <c r="B1345" s="165" t="s">
        <v>1955</v>
      </c>
      <c r="C1345" s="165" t="s">
        <v>2362</v>
      </c>
      <c r="E1345" s="165" t="s">
        <v>2360</v>
      </c>
      <c r="F1345" s="165" t="s">
        <v>2365</v>
      </c>
      <c r="G1345" s="81">
        <v>528521</v>
      </c>
      <c r="H1345" s="81">
        <v>172221</v>
      </c>
      <c r="I1345" s="165" t="s">
        <v>248</v>
      </c>
      <c r="L1345" s="166">
        <v>0</v>
      </c>
      <c r="M1345" s="166">
        <v>4</v>
      </c>
      <c r="N1345" s="166">
        <v>4</v>
      </c>
      <c r="O1345" s="166">
        <v>6</v>
      </c>
      <c r="P1345" s="166">
        <v>3</v>
      </c>
      <c r="R1345" s="165" t="s">
        <v>2364</v>
      </c>
      <c r="S1345" s="81" t="s">
        <v>121</v>
      </c>
      <c r="T1345" s="349">
        <v>43174</v>
      </c>
      <c r="W1345" s="81" t="s">
        <v>114</v>
      </c>
      <c r="Y1345" s="81" t="s">
        <v>115</v>
      </c>
      <c r="Z1345" s="81" t="s">
        <v>398</v>
      </c>
      <c r="AA1345" s="81" t="s">
        <v>117</v>
      </c>
      <c r="AB1345" s="81" t="s">
        <v>218</v>
      </c>
      <c r="AC1345" s="166">
        <v>1.7000000923872001E-2</v>
      </c>
      <c r="AG1345" s="81" t="s">
        <v>238</v>
      </c>
      <c r="AH1345" s="81" t="s">
        <v>118</v>
      </c>
      <c r="AK1345" s="166">
        <v>0</v>
      </c>
      <c r="AM1345" s="166">
        <v>0</v>
      </c>
      <c r="AO1345" s="166">
        <v>0</v>
      </c>
      <c r="AP1345" s="166">
        <v>3</v>
      </c>
      <c r="AQ1345" s="166">
        <v>0</v>
      </c>
      <c r="AR1345" s="166">
        <v>1</v>
      </c>
      <c r="AS1345" s="166">
        <v>0</v>
      </c>
      <c r="AT1345" s="166">
        <v>0</v>
      </c>
      <c r="AU1345" s="166">
        <v>0</v>
      </c>
      <c r="AV1345" s="166">
        <v>0</v>
      </c>
      <c r="AW1345" s="166">
        <v>3</v>
      </c>
      <c r="AX1345" s="166">
        <v>0</v>
      </c>
      <c r="AY1345" s="166">
        <v>1</v>
      </c>
      <c r="AZ1345" s="166">
        <v>0</v>
      </c>
      <c r="BA1345" s="166">
        <v>0</v>
      </c>
      <c r="BB1345" s="166">
        <v>0</v>
      </c>
      <c r="BC1345" s="166">
        <v>0</v>
      </c>
      <c r="BD1345" s="166">
        <v>0</v>
      </c>
      <c r="BE1345" s="166">
        <v>0</v>
      </c>
      <c r="BF1345" s="166">
        <v>0</v>
      </c>
      <c r="BG1345" s="166">
        <v>0</v>
      </c>
      <c r="BH1345" s="166">
        <v>0</v>
      </c>
      <c r="BI1345" s="166">
        <v>0</v>
      </c>
      <c r="BJ1345" s="166">
        <v>0</v>
      </c>
      <c r="BK1345" s="166">
        <v>0</v>
      </c>
      <c r="BL1345" s="166">
        <v>0</v>
      </c>
      <c r="BM1345" s="166">
        <v>0</v>
      </c>
      <c r="BN1345" s="166">
        <v>0</v>
      </c>
      <c r="BO1345" s="166">
        <v>0</v>
      </c>
      <c r="BP1345" s="166">
        <v>0</v>
      </c>
      <c r="BQ1345" s="81" t="s">
        <v>1757</v>
      </c>
      <c r="BZ1345" s="81" t="s">
        <v>155</v>
      </c>
      <c r="CA1345" s="81">
        <v>10</v>
      </c>
      <c r="CC1345" s="167">
        <v>0</v>
      </c>
      <c r="CD1345" s="167">
        <v>0</v>
      </c>
      <c r="CE1345" s="167">
        <v>0</v>
      </c>
      <c r="CF1345" s="167">
        <v>0</v>
      </c>
      <c r="CG1345" s="167">
        <v>0</v>
      </c>
      <c r="CH1345" s="167">
        <f>$N1345/3</f>
        <v>1.3333333333333333</v>
      </c>
      <c r="CI1345" s="167">
        <f>$N1345/3</f>
        <v>1.3333333333333333</v>
      </c>
      <c r="CJ1345" s="167">
        <f>$N1345/3</f>
        <v>1.3333333333333333</v>
      </c>
      <c r="CK1345" s="167">
        <v>0</v>
      </c>
      <c r="CL1345" s="167">
        <v>0</v>
      </c>
      <c r="CM1345" s="167">
        <v>0</v>
      </c>
      <c r="CN1345" s="167">
        <v>0</v>
      </c>
      <c r="CO1345" s="167">
        <v>0</v>
      </c>
      <c r="CP1345" s="167">
        <v>0</v>
      </c>
      <c r="CQ1345" s="167">
        <v>0</v>
      </c>
      <c r="CR1345" s="167">
        <v>0</v>
      </c>
      <c r="CS1345" s="167">
        <v>0</v>
      </c>
      <c r="CT1345" s="167">
        <v>0</v>
      </c>
      <c r="CU1345" s="167">
        <v>0</v>
      </c>
      <c r="CV1345" s="167">
        <v>0</v>
      </c>
      <c r="CW1345" s="167">
        <v>0</v>
      </c>
      <c r="CX1345" s="167">
        <f>SUM(CD1345:CH1345)</f>
        <v>1.3333333333333333</v>
      </c>
      <c r="CY1345" s="167">
        <f>SUM(CD1345:CM1345)</f>
        <v>4</v>
      </c>
    </row>
    <row r="1346" spans="1:103" ht="12.75" customHeight="1" x14ac:dyDescent="0.2">
      <c r="A1346" s="81">
        <v>6844</v>
      </c>
      <c r="B1346" s="165" t="s">
        <v>1955</v>
      </c>
      <c r="C1346" s="165" t="s">
        <v>2366</v>
      </c>
      <c r="E1346" s="165" t="s">
        <v>2367</v>
      </c>
      <c r="G1346" s="81">
        <v>529391</v>
      </c>
      <c r="H1346" s="81">
        <v>170726</v>
      </c>
      <c r="I1346" s="165" t="s">
        <v>252</v>
      </c>
      <c r="L1346" s="166">
        <v>0</v>
      </c>
      <c r="M1346" s="166">
        <v>1</v>
      </c>
      <c r="N1346" s="166">
        <v>1</v>
      </c>
      <c r="O1346" s="166">
        <v>1</v>
      </c>
      <c r="P1346" s="166">
        <v>1</v>
      </c>
      <c r="R1346" s="165" t="s">
        <v>2368</v>
      </c>
      <c r="S1346" s="81" t="s">
        <v>121</v>
      </c>
      <c r="T1346" s="349">
        <v>43174</v>
      </c>
      <c r="W1346" s="81" t="s">
        <v>114</v>
      </c>
      <c r="Y1346" s="81" t="s">
        <v>115</v>
      </c>
      <c r="Z1346" s="81" t="s">
        <v>310</v>
      </c>
      <c r="AA1346" s="81" t="s">
        <v>117</v>
      </c>
      <c r="AB1346" s="81" t="s">
        <v>102</v>
      </c>
      <c r="AC1346" s="166">
        <v>4.9999998882412902E-3</v>
      </c>
      <c r="AG1346" s="81" t="s">
        <v>238</v>
      </c>
      <c r="AH1346" s="81" t="s">
        <v>118</v>
      </c>
      <c r="AK1346" s="166">
        <v>0</v>
      </c>
      <c r="AM1346" s="166">
        <v>0</v>
      </c>
      <c r="AO1346" s="166">
        <v>0</v>
      </c>
      <c r="AP1346" s="166">
        <v>1</v>
      </c>
      <c r="AQ1346" s="166">
        <v>0</v>
      </c>
      <c r="AR1346" s="166">
        <v>0</v>
      </c>
      <c r="AS1346" s="166">
        <v>0</v>
      </c>
      <c r="AT1346" s="166">
        <v>0</v>
      </c>
      <c r="AU1346" s="166">
        <v>0</v>
      </c>
      <c r="AV1346" s="166">
        <v>0</v>
      </c>
      <c r="AW1346" s="166">
        <v>1</v>
      </c>
      <c r="AX1346" s="166">
        <v>0</v>
      </c>
      <c r="AY1346" s="166">
        <v>0</v>
      </c>
      <c r="AZ1346" s="166">
        <v>0</v>
      </c>
      <c r="BA1346" s="166">
        <v>0</v>
      </c>
      <c r="BB1346" s="166">
        <v>0</v>
      </c>
      <c r="BC1346" s="166">
        <v>0</v>
      </c>
      <c r="BD1346" s="166">
        <v>0</v>
      </c>
      <c r="BE1346" s="166">
        <v>0</v>
      </c>
      <c r="BF1346" s="166">
        <v>0</v>
      </c>
      <c r="BG1346" s="166">
        <v>0</v>
      </c>
      <c r="BH1346" s="166">
        <v>0</v>
      </c>
      <c r="BI1346" s="166">
        <v>0</v>
      </c>
      <c r="BJ1346" s="166">
        <v>0</v>
      </c>
      <c r="BK1346" s="166">
        <v>0</v>
      </c>
      <c r="BL1346" s="166">
        <v>0</v>
      </c>
      <c r="BM1346" s="166">
        <v>0</v>
      </c>
      <c r="BN1346" s="166">
        <v>0</v>
      </c>
      <c r="BO1346" s="166">
        <v>0</v>
      </c>
      <c r="BP1346" s="166">
        <v>0</v>
      </c>
      <c r="BQ1346" s="81" t="s">
        <v>1757</v>
      </c>
      <c r="BZ1346" s="81" t="s">
        <v>155</v>
      </c>
      <c r="CA1346" s="81">
        <v>10</v>
      </c>
      <c r="CC1346" s="167">
        <v>0</v>
      </c>
      <c r="CD1346" s="167">
        <v>0</v>
      </c>
      <c r="CE1346" s="167">
        <v>0</v>
      </c>
      <c r="CF1346" s="167">
        <v>0</v>
      </c>
      <c r="CG1346" s="167">
        <v>0</v>
      </c>
      <c r="CH1346" s="167">
        <f>$N1346/3</f>
        <v>0.33333333333333331</v>
      </c>
      <c r="CI1346" s="167">
        <f>$N1346/3</f>
        <v>0.33333333333333331</v>
      </c>
      <c r="CJ1346" s="167">
        <f>$N1346/3</f>
        <v>0.33333333333333331</v>
      </c>
      <c r="CK1346" s="167">
        <v>0</v>
      </c>
      <c r="CL1346" s="167">
        <v>0</v>
      </c>
      <c r="CM1346" s="167">
        <v>0</v>
      </c>
      <c r="CN1346" s="167">
        <v>0</v>
      </c>
      <c r="CO1346" s="167">
        <v>0</v>
      </c>
      <c r="CP1346" s="167">
        <v>0</v>
      </c>
      <c r="CQ1346" s="167">
        <v>0</v>
      </c>
      <c r="CR1346" s="167">
        <v>0</v>
      </c>
      <c r="CS1346" s="167">
        <v>0</v>
      </c>
      <c r="CT1346" s="167">
        <v>0</v>
      </c>
      <c r="CU1346" s="167">
        <v>0</v>
      </c>
      <c r="CV1346" s="167">
        <v>0</v>
      </c>
      <c r="CW1346" s="167">
        <v>0</v>
      </c>
      <c r="CX1346" s="167">
        <f>SUM(CD1346:CH1346)</f>
        <v>0.33333333333333331</v>
      </c>
      <c r="CY1346" s="167">
        <f>SUM(CD1346:CM1346)</f>
        <v>1</v>
      </c>
    </row>
    <row r="1347" spans="1:103" ht="12.75" customHeight="1" x14ac:dyDescent="0.2">
      <c r="A1347" s="81">
        <v>6846</v>
      </c>
      <c r="B1347" s="165" t="s">
        <v>1955</v>
      </c>
      <c r="C1347" s="165" t="s">
        <v>2369</v>
      </c>
      <c r="E1347" s="165" t="s">
        <v>2370</v>
      </c>
      <c r="G1347" s="81">
        <v>527474</v>
      </c>
      <c r="H1347" s="81">
        <v>174921</v>
      </c>
      <c r="I1347" s="165" t="s">
        <v>255</v>
      </c>
      <c r="L1347" s="166">
        <v>0</v>
      </c>
      <c r="M1347" s="166">
        <v>1</v>
      </c>
      <c r="N1347" s="166">
        <v>1</v>
      </c>
      <c r="O1347" s="166">
        <v>1</v>
      </c>
      <c r="P1347" s="166">
        <v>1</v>
      </c>
      <c r="R1347" s="165" t="s">
        <v>2371</v>
      </c>
      <c r="S1347" s="81" t="s">
        <v>121</v>
      </c>
      <c r="T1347" s="349">
        <v>43174</v>
      </c>
      <c r="W1347" s="81" t="s">
        <v>114</v>
      </c>
      <c r="Y1347" s="81" t="s">
        <v>115</v>
      </c>
      <c r="Z1347" s="81" t="s">
        <v>219</v>
      </c>
      <c r="AA1347" s="81" t="s">
        <v>117</v>
      </c>
      <c r="AB1347" s="81" t="s">
        <v>3889</v>
      </c>
      <c r="AC1347" s="166">
        <v>4.0000001899898104E-3</v>
      </c>
      <c r="AG1347" s="81" t="s">
        <v>238</v>
      </c>
      <c r="AH1347" s="81" t="s">
        <v>118</v>
      </c>
      <c r="AK1347" s="166">
        <v>0</v>
      </c>
      <c r="AM1347" s="166">
        <v>0</v>
      </c>
      <c r="AO1347" s="166">
        <v>0</v>
      </c>
      <c r="AP1347" s="166">
        <v>0</v>
      </c>
      <c r="AQ1347" s="166">
        <v>1</v>
      </c>
      <c r="AR1347" s="166">
        <v>0</v>
      </c>
      <c r="AS1347" s="166">
        <v>0</v>
      </c>
      <c r="AT1347" s="166">
        <v>0</v>
      </c>
      <c r="AU1347" s="166">
        <v>0</v>
      </c>
      <c r="AV1347" s="166">
        <v>0</v>
      </c>
      <c r="AW1347" s="166">
        <v>0</v>
      </c>
      <c r="AX1347" s="166">
        <v>1</v>
      </c>
      <c r="AY1347" s="166">
        <v>0</v>
      </c>
      <c r="AZ1347" s="166">
        <v>0</v>
      </c>
      <c r="BA1347" s="166">
        <v>0</v>
      </c>
      <c r="BB1347" s="166">
        <v>0</v>
      </c>
      <c r="BC1347" s="166">
        <v>0</v>
      </c>
      <c r="BD1347" s="166">
        <v>0</v>
      </c>
      <c r="BE1347" s="166">
        <v>0</v>
      </c>
      <c r="BF1347" s="166">
        <v>0</v>
      </c>
      <c r="BG1347" s="166">
        <v>0</v>
      </c>
      <c r="BH1347" s="166">
        <v>0</v>
      </c>
      <c r="BI1347" s="166">
        <v>0</v>
      </c>
      <c r="BJ1347" s="166">
        <v>0</v>
      </c>
      <c r="BK1347" s="166">
        <v>0</v>
      </c>
      <c r="BL1347" s="166">
        <v>0</v>
      </c>
      <c r="BM1347" s="166">
        <v>0</v>
      </c>
      <c r="BN1347" s="166">
        <v>0</v>
      </c>
      <c r="BO1347" s="166">
        <v>0</v>
      </c>
      <c r="BP1347" s="166">
        <v>0</v>
      </c>
      <c r="BQ1347" s="81" t="s">
        <v>1757</v>
      </c>
      <c r="BR1347" s="81" t="s">
        <v>160</v>
      </c>
      <c r="BZ1347" s="81" t="s">
        <v>3991</v>
      </c>
      <c r="CA1347" s="81">
        <v>15</v>
      </c>
      <c r="CB1347" s="165" t="s">
        <v>4011</v>
      </c>
      <c r="CC1347" s="167">
        <v>0</v>
      </c>
      <c r="CD1347" s="167">
        <v>0</v>
      </c>
      <c r="CE1347" s="167">
        <v>0</v>
      </c>
      <c r="CF1347" s="167">
        <v>0</v>
      </c>
      <c r="CG1347" s="167">
        <v>0</v>
      </c>
      <c r="CH1347" s="167">
        <v>0</v>
      </c>
      <c r="CI1347" s="167">
        <v>0</v>
      </c>
      <c r="CJ1347" s="167">
        <v>0</v>
      </c>
      <c r="CK1347" s="167">
        <v>0</v>
      </c>
      <c r="CL1347" s="167">
        <v>0</v>
      </c>
      <c r="CM1347" s="167">
        <v>0</v>
      </c>
      <c r="CN1347" s="167">
        <v>0</v>
      </c>
      <c r="CO1347" s="167">
        <v>0</v>
      </c>
      <c r="CP1347" s="167">
        <v>0</v>
      </c>
      <c r="CQ1347" s="167">
        <v>0</v>
      </c>
      <c r="CR1347" s="167">
        <v>0</v>
      </c>
      <c r="CS1347" s="167">
        <v>0</v>
      </c>
      <c r="CT1347" s="167">
        <v>0</v>
      </c>
      <c r="CU1347" s="167">
        <v>0</v>
      </c>
      <c r="CV1347" s="167">
        <v>0</v>
      </c>
      <c r="CW1347" s="167">
        <v>0</v>
      </c>
      <c r="CX1347" s="167">
        <f>SUM(CD1347:CH1347)</f>
        <v>0</v>
      </c>
      <c r="CY1347" s="167">
        <f>SUM(CD1347:CM1347)</f>
        <v>0</v>
      </c>
    </row>
    <row r="1348" spans="1:103" ht="12.75" customHeight="1" x14ac:dyDescent="0.2">
      <c r="A1348" s="81">
        <v>6847</v>
      </c>
      <c r="B1348" s="165" t="s">
        <v>1955</v>
      </c>
      <c r="C1348" s="165" t="s">
        <v>3482</v>
      </c>
      <c r="E1348" s="165" t="s">
        <v>3483</v>
      </c>
      <c r="G1348" s="81">
        <v>527092</v>
      </c>
      <c r="H1348" s="81">
        <v>177253</v>
      </c>
      <c r="I1348" s="165" t="s">
        <v>257</v>
      </c>
      <c r="L1348" s="166">
        <v>0</v>
      </c>
      <c r="M1348" s="166">
        <v>27</v>
      </c>
      <c r="N1348" s="166">
        <v>27</v>
      </c>
      <c r="O1348" s="166">
        <v>27</v>
      </c>
      <c r="P1348" s="166">
        <v>27</v>
      </c>
      <c r="Q1348" s="81" t="s">
        <v>155</v>
      </c>
      <c r="R1348" s="165" t="s">
        <v>3484</v>
      </c>
      <c r="S1348" s="81" t="s">
        <v>802</v>
      </c>
      <c r="T1348" s="349">
        <v>43174</v>
      </c>
      <c r="W1348" s="81" t="s">
        <v>114</v>
      </c>
      <c r="Y1348" s="81" t="s">
        <v>115</v>
      </c>
      <c r="Z1348" s="81" t="s">
        <v>310</v>
      </c>
      <c r="AA1348" s="81" t="s">
        <v>1764</v>
      </c>
      <c r="AB1348" s="81" t="s">
        <v>117</v>
      </c>
      <c r="AC1348" s="166">
        <v>0.108999997377396</v>
      </c>
      <c r="AG1348" s="81" t="s">
        <v>238</v>
      </c>
      <c r="AH1348" s="81" t="s">
        <v>118</v>
      </c>
      <c r="AK1348" s="166">
        <v>0</v>
      </c>
      <c r="AM1348" s="166">
        <v>0</v>
      </c>
      <c r="AO1348" s="166">
        <v>0</v>
      </c>
      <c r="AP1348" s="166">
        <v>12</v>
      </c>
      <c r="AQ1348" s="166">
        <v>13</v>
      </c>
      <c r="AR1348" s="166">
        <v>1</v>
      </c>
      <c r="AS1348" s="166">
        <v>1</v>
      </c>
      <c r="AT1348" s="166">
        <v>0</v>
      </c>
      <c r="AU1348" s="166">
        <v>0</v>
      </c>
      <c r="AV1348" s="166">
        <v>0</v>
      </c>
      <c r="AW1348" s="166">
        <v>12</v>
      </c>
      <c r="AX1348" s="166">
        <v>13</v>
      </c>
      <c r="AY1348" s="166">
        <v>1</v>
      </c>
      <c r="AZ1348" s="166">
        <v>1</v>
      </c>
      <c r="BA1348" s="166">
        <v>0</v>
      </c>
      <c r="BB1348" s="166">
        <v>0</v>
      </c>
      <c r="BC1348" s="166">
        <v>0</v>
      </c>
      <c r="BD1348" s="166">
        <v>0</v>
      </c>
      <c r="BE1348" s="166">
        <v>0</v>
      </c>
      <c r="BF1348" s="166">
        <v>0</v>
      </c>
      <c r="BG1348" s="166">
        <v>0</v>
      </c>
      <c r="BH1348" s="166">
        <v>0</v>
      </c>
      <c r="BI1348" s="166">
        <v>0</v>
      </c>
      <c r="BJ1348" s="166">
        <v>0</v>
      </c>
      <c r="BK1348" s="166">
        <v>0</v>
      </c>
      <c r="BL1348" s="166">
        <v>0</v>
      </c>
      <c r="BM1348" s="166">
        <v>0</v>
      </c>
      <c r="BN1348" s="166">
        <v>0</v>
      </c>
      <c r="BO1348" s="166">
        <v>0</v>
      </c>
      <c r="BP1348" s="166">
        <v>0</v>
      </c>
      <c r="BQ1348" s="81" t="s">
        <v>1757</v>
      </c>
      <c r="BX1348" s="81" t="s">
        <v>155</v>
      </c>
      <c r="BZ1348" s="81" t="s">
        <v>3991</v>
      </c>
      <c r="CA1348" s="81">
        <v>15</v>
      </c>
      <c r="CB1348" s="165" t="s">
        <v>4012</v>
      </c>
      <c r="CC1348" s="167">
        <v>0</v>
      </c>
      <c r="CD1348" s="167">
        <v>0</v>
      </c>
      <c r="CE1348" s="167">
        <v>0</v>
      </c>
      <c r="CF1348" s="167">
        <v>0</v>
      </c>
      <c r="CG1348" s="167">
        <v>0</v>
      </c>
      <c r="CH1348" s="167">
        <v>0</v>
      </c>
      <c r="CI1348" s="167">
        <v>0</v>
      </c>
      <c r="CJ1348" s="167">
        <v>0</v>
      </c>
      <c r="CK1348" s="167">
        <v>0</v>
      </c>
      <c r="CL1348" s="167">
        <v>0</v>
      </c>
      <c r="CM1348" s="167">
        <v>0</v>
      </c>
      <c r="CN1348" s="167">
        <v>0</v>
      </c>
      <c r="CO1348" s="167">
        <v>0</v>
      </c>
      <c r="CP1348" s="167">
        <v>0</v>
      </c>
      <c r="CQ1348" s="167">
        <v>0</v>
      </c>
      <c r="CR1348" s="167">
        <v>0</v>
      </c>
      <c r="CS1348" s="167">
        <v>0</v>
      </c>
      <c r="CT1348" s="167">
        <v>0</v>
      </c>
      <c r="CU1348" s="167">
        <v>0</v>
      </c>
      <c r="CV1348" s="167">
        <v>0</v>
      </c>
      <c r="CW1348" s="167">
        <v>0</v>
      </c>
      <c r="CX1348" s="167">
        <f>SUM(CD1348:CH1348)</f>
        <v>0</v>
      </c>
      <c r="CY1348" s="167">
        <f>SUM(CD1348:CM1348)</f>
        <v>0</v>
      </c>
    </row>
    <row r="1349" spans="1:103" ht="12.75" customHeight="1" x14ac:dyDescent="0.2">
      <c r="A1349" s="81">
        <v>6847</v>
      </c>
      <c r="B1349" s="165" t="s">
        <v>1955</v>
      </c>
      <c r="C1349" s="165" t="s">
        <v>3485</v>
      </c>
      <c r="E1349" s="165" t="s">
        <v>3483</v>
      </c>
      <c r="G1349" s="81">
        <v>527092</v>
      </c>
      <c r="H1349" s="81">
        <v>177253</v>
      </c>
      <c r="I1349" s="165" t="s">
        <v>257</v>
      </c>
      <c r="L1349" s="166">
        <v>0</v>
      </c>
      <c r="M1349" s="166">
        <v>28</v>
      </c>
      <c r="N1349" s="166">
        <v>28</v>
      </c>
      <c r="O1349" s="166">
        <v>28</v>
      </c>
      <c r="P1349" s="166">
        <v>28</v>
      </c>
      <c r="Q1349" s="81" t="s">
        <v>155</v>
      </c>
      <c r="R1349" s="165" t="s">
        <v>3486</v>
      </c>
      <c r="S1349" s="81" t="s">
        <v>802</v>
      </c>
      <c r="T1349" s="349">
        <v>43180</v>
      </c>
      <c r="W1349" s="81" t="s">
        <v>114</v>
      </c>
      <c r="Y1349" s="81" t="s">
        <v>115</v>
      </c>
      <c r="Z1349" s="81" t="s">
        <v>310</v>
      </c>
      <c r="AA1349" s="81" t="s">
        <v>1764</v>
      </c>
      <c r="AB1349" s="81" t="s">
        <v>117</v>
      </c>
      <c r="AC1349" s="166">
        <v>0</v>
      </c>
      <c r="AG1349" s="81" t="s">
        <v>238</v>
      </c>
      <c r="AH1349" s="81" t="s">
        <v>118</v>
      </c>
      <c r="AK1349" s="166">
        <v>0</v>
      </c>
      <c r="AM1349" s="166">
        <v>0</v>
      </c>
      <c r="AO1349" s="166">
        <v>0</v>
      </c>
      <c r="AP1349" s="166">
        <v>13</v>
      </c>
      <c r="AQ1349" s="166">
        <v>14</v>
      </c>
      <c r="AR1349" s="166">
        <v>1</v>
      </c>
      <c r="AS1349" s="166">
        <v>0</v>
      </c>
      <c r="AT1349" s="166">
        <v>0</v>
      </c>
      <c r="AU1349" s="166">
        <v>0</v>
      </c>
      <c r="AV1349" s="166">
        <v>0</v>
      </c>
      <c r="AW1349" s="166">
        <v>13</v>
      </c>
      <c r="AX1349" s="166">
        <v>14</v>
      </c>
      <c r="AY1349" s="166">
        <v>1</v>
      </c>
      <c r="AZ1349" s="166">
        <v>0</v>
      </c>
      <c r="BA1349" s="166">
        <v>0</v>
      </c>
      <c r="BB1349" s="166">
        <v>0</v>
      </c>
      <c r="BC1349" s="166">
        <v>0</v>
      </c>
      <c r="BD1349" s="166">
        <v>0</v>
      </c>
      <c r="BE1349" s="166">
        <v>0</v>
      </c>
      <c r="BF1349" s="166">
        <v>0</v>
      </c>
      <c r="BG1349" s="166">
        <v>0</v>
      </c>
      <c r="BH1349" s="166">
        <v>0</v>
      </c>
      <c r="BI1349" s="166">
        <v>0</v>
      </c>
      <c r="BJ1349" s="166">
        <v>0</v>
      </c>
      <c r="BK1349" s="166">
        <v>0</v>
      </c>
      <c r="BL1349" s="166">
        <v>0</v>
      </c>
      <c r="BM1349" s="166">
        <v>0</v>
      </c>
      <c r="BN1349" s="166">
        <v>0</v>
      </c>
      <c r="BO1349" s="166">
        <v>0</v>
      </c>
      <c r="BP1349" s="166">
        <v>0</v>
      </c>
      <c r="BQ1349" s="81" t="s">
        <v>1757</v>
      </c>
      <c r="BX1349" s="81" t="s">
        <v>155</v>
      </c>
      <c r="BZ1349" s="81" t="s">
        <v>155</v>
      </c>
      <c r="CA1349" s="81">
        <v>10</v>
      </c>
      <c r="CC1349" s="167">
        <v>0</v>
      </c>
      <c r="CD1349" s="167">
        <v>0</v>
      </c>
      <c r="CE1349" s="167">
        <v>0</v>
      </c>
      <c r="CF1349" s="167">
        <v>0</v>
      </c>
      <c r="CG1349" s="167">
        <v>0</v>
      </c>
      <c r="CH1349" s="167">
        <f>$N1349/3</f>
        <v>9.3333333333333339</v>
      </c>
      <c r="CI1349" s="167">
        <f>$N1349/3</f>
        <v>9.3333333333333339</v>
      </c>
      <c r="CJ1349" s="167">
        <f>$N1349/3</f>
        <v>9.3333333333333339</v>
      </c>
      <c r="CK1349" s="167">
        <v>0</v>
      </c>
      <c r="CL1349" s="167">
        <v>0</v>
      </c>
      <c r="CM1349" s="167">
        <v>0</v>
      </c>
      <c r="CN1349" s="167">
        <v>0</v>
      </c>
      <c r="CO1349" s="167">
        <v>0</v>
      </c>
      <c r="CP1349" s="167">
        <v>0</v>
      </c>
      <c r="CQ1349" s="167">
        <v>0</v>
      </c>
      <c r="CR1349" s="167">
        <v>0</v>
      </c>
      <c r="CS1349" s="167">
        <v>0</v>
      </c>
      <c r="CT1349" s="167">
        <v>0</v>
      </c>
      <c r="CU1349" s="167">
        <v>0</v>
      </c>
      <c r="CV1349" s="167">
        <v>0</v>
      </c>
      <c r="CW1349" s="167">
        <v>0</v>
      </c>
      <c r="CX1349" s="167">
        <f>SUM(CD1349:CH1349)</f>
        <v>9.3333333333333339</v>
      </c>
      <c r="CY1349" s="167">
        <f>SUM(CD1349:CM1349)</f>
        <v>28</v>
      </c>
    </row>
    <row r="1350" spans="1:103" ht="12.75" customHeight="1" x14ac:dyDescent="0.2">
      <c r="A1350" s="81">
        <v>6858</v>
      </c>
      <c r="B1350" s="165" t="s">
        <v>1955</v>
      </c>
      <c r="C1350" s="165" t="s">
        <v>2374</v>
      </c>
      <c r="E1350" s="165" t="s">
        <v>2375</v>
      </c>
      <c r="G1350" s="81">
        <v>528202</v>
      </c>
      <c r="H1350" s="81">
        <v>172108</v>
      </c>
      <c r="I1350" s="165" t="s">
        <v>248</v>
      </c>
      <c r="L1350" s="166">
        <v>0</v>
      </c>
      <c r="M1350" s="166">
        <v>1</v>
      </c>
      <c r="N1350" s="166">
        <v>1</v>
      </c>
      <c r="O1350" s="166">
        <v>1</v>
      </c>
      <c r="P1350" s="166">
        <v>1</v>
      </c>
      <c r="R1350" s="165" t="s">
        <v>2376</v>
      </c>
      <c r="S1350" s="81" t="s">
        <v>121</v>
      </c>
      <c r="T1350" s="349">
        <v>43181</v>
      </c>
      <c r="W1350" s="81" t="s">
        <v>114</v>
      </c>
      <c r="Y1350" s="81" t="s">
        <v>115</v>
      </c>
      <c r="Z1350" s="81" t="s">
        <v>116</v>
      </c>
      <c r="AA1350" s="81" t="s">
        <v>117</v>
      </c>
      <c r="AB1350" s="81" t="s">
        <v>218</v>
      </c>
      <c r="AC1350" s="166">
        <v>8.0000003799796104E-3</v>
      </c>
      <c r="AG1350" s="81" t="s">
        <v>238</v>
      </c>
      <c r="AH1350" s="81" t="s">
        <v>118</v>
      </c>
      <c r="AK1350" s="166">
        <v>0</v>
      </c>
      <c r="AM1350" s="166">
        <v>0</v>
      </c>
      <c r="AO1350" s="166">
        <v>0</v>
      </c>
      <c r="AP1350" s="166">
        <v>0</v>
      </c>
      <c r="AQ1350" s="166">
        <v>1</v>
      </c>
      <c r="AR1350" s="166">
        <v>0</v>
      </c>
      <c r="AS1350" s="166">
        <v>0</v>
      </c>
      <c r="AT1350" s="166">
        <v>0</v>
      </c>
      <c r="AU1350" s="166">
        <v>0</v>
      </c>
      <c r="AV1350" s="166">
        <v>0</v>
      </c>
      <c r="AW1350" s="166">
        <v>0</v>
      </c>
      <c r="AX1350" s="166">
        <v>0</v>
      </c>
      <c r="AY1350" s="166">
        <v>0</v>
      </c>
      <c r="AZ1350" s="166">
        <v>0</v>
      </c>
      <c r="BA1350" s="166">
        <v>0</v>
      </c>
      <c r="BB1350" s="166">
        <v>0</v>
      </c>
      <c r="BC1350" s="166">
        <v>0</v>
      </c>
      <c r="BD1350" s="166">
        <v>0</v>
      </c>
      <c r="BE1350" s="166">
        <v>1</v>
      </c>
      <c r="BF1350" s="166">
        <v>0</v>
      </c>
      <c r="BG1350" s="166">
        <v>0</v>
      </c>
      <c r="BH1350" s="166">
        <v>0</v>
      </c>
      <c r="BI1350" s="166">
        <v>0</v>
      </c>
      <c r="BJ1350" s="166">
        <v>0</v>
      </c>
      <c r="BK1350" s="166">
        <v>0</v>
      </c>
      <c r="BL1350" s="166">
        <v>0</v>
      </c>
      <c r="BM1350" s="166">
        <v>0</v>
      </c>
      <c r="BN1350" s="166">
        <v>0</v>
      </c>
      <c r="BO1350" s="166">
        <v>0</v>
      </c>
      <c r="BP1350" s="166">
        <v>0</v>
      </c>
      <c r="BQ1350" s="81" t="s">
        <v>1757</v>
      </c>
      <c r="BZ1350" s="81" t="s">
        <v>155</v>
      </c>
      <c r="CA1350" s="81">
        <v>6</v>
      </c>
      <c r="CC1350" s="167">
        <v>0</v>
      </c>
      <c r="CD1350" s="167">
        <v>0</v>
      </c>
      <c r="CE1350" s="167">
        <v>0</v>
      </c>
      <c r="CF1350" s="167">
        <v>0</v>
      </c>
      <c r="CG1350" s="167">
        <v>0</v>
      </c>
      <c r="CH1350" s="167">
        <f>$N1350/3</f>
        <v>0.33333333333333331</v>
      </c>
      <c r="CI1350" s="167">
        <f>$N1350/3</f>
        <v>0.33333333333333331</v>
      </c>
      <c r="CJ1350" s="167">
        <f>$N1350/3</f>
        <v>0.33333333333333331</v>
      </c>
      <c r="CK1350" s="167">
        <v>0</v>
      </c>
      <c r="CL1350" s="167">
        <v>0</v>
      </c>
      <c r="CM1350" s="167">
        <v>0</v>
      </c>
      <c r="CN1350" s="167">
        <v>0</v>
      </c>
      <c r="CO1350" s="167">
        <v>0</v>
      </c>
      <c r="CP1350" s="167">
        <v>0</v>
      </c>
      <c r="CQ1350" s="167">
        <v>0</v>
      </c>
      <c r="CR1350" s="167">
        <v>0</v>
      </c>
      <c r="CS1350" s="167">
        <v>0</v>
      </c>
      <c r="CT1350" s="167">
        <v>0</v>
      </c>
      <c r="CU1350" s="167">
        <v>0</v>
      </c>
      <c r="CV1350" s="167">
        <v>0</v>
      </c>
      <c r="CW1350" s="167">
        <v>0</v>
      </c>
      <c r="CX1350" s="167">
        <f>SUM(CD1350:CH1350)</f>
        <v>0.33333333333333331</v>
      </c>
      <c r="CY1350" s="167">
        <f>SUM(CD1350:CM1350)</f>
        <v>1</v>
      </c>
    </row>
    <row r="1351" spans="1:103" ht="12.75" customHeight="1" x14ac:dyDescent="0.2">
      <c r="A1351" s="81">
        <v>6859</v>
      </c>
      <c r="B1351" s="165" t="s">
        <v>1955</v>
      </c>
      <c r="C1351" s="165" t="s">
        <v>2377</v>
      </c>
      <c r="E1351" s="165" t="s">
        <v>2378</v>
      </c>
      <c r="G1351" s="81">
        <v>523223</v>
      </c>
      <c r="H1351" s="81">
        <v>175846</v>
      </c>
      <c r="I1351" s="165" t="s">
        <v>259</v>
      </c>
      <c r="L1351" s="166">
        <v>1</v>
      </c>
      <c r="M1351" s="166">
        <v>3</v>
      </c>
      <c r="N1351" s="166">
        <v>2</v>
      </c>
      <c r="O1351" s="166">
        <v>3</v>
      </c>
      <c r="P1351" s="166">
        <v>2</v>
      </c>
      <c r="R1351" s="165" t="s">
        <v>2379</v>
      </c>
      <c r="S1351" s="81" t="s">
        <v>121</v>
      </c>
      <c r="T1351" s="349">
        <v>43181</v>
      </c>
      <c r="W1351" s="81" t="s">
        <v>114</v>
      </c>
      <c r="Y1351" s="81" t="s">
        <v>115</v>
      </c>
      <c r="Z1351" s="81" t="s">
        <v>119</v>
      </c>
      <c r="AA1351" s="81" t="s">
        <v>117</v>
      </c>
      <c r="AB1351" s="81" t="s">
        <v>120</v>
      </c>
      <c r="AC1351" s="166">
        <v>1.7999999225139601E-2</v>
      </c>
      <c r="AG1351" s="81" t="s">
        <v>238</v>
      </c>
      <c r="AH1351" s="81" t="s">
        <v>118</v>
      </c>
      <c r="AK1351" s="166">
        <v>0</v>
      </c>
      <c r="AM1351" s="166">
        <v>0</v>
      </c>
      <c r="AO1351" s="166">
        <v>0</v>
      </c>
      <c r="AP1351" s="166">
        <v>1</v>
      </c>
      <c r="AQ1351" s="166">
        <v>1</v>
      </c>
      <c r="AR1351" s="166">
        <v>1</v>
      </c>
      <c r="AS1351" s="166">
        <v>-1</v>
      </c>
      <c r="AT1351" s="166">
        <v>0</v>
      </c>
      <c r="AU1351" s="166">
        <v>0</v>
      </c>
      <c r="AV1351" s="166">
        <v>0</v>
      </c>
      <c r="AW1351" s="166">
        <v>1</v>
      </c>
      <c r="AX1351" s="166">
        <v>1</v>
      </c>
      <c r="AY1351" s="166">
        <v>1</v>
      </c>
      <c r="AZ1351" s="166">
        <v>0</v>
      </c>
      <c r="BA1351" s="166">
        <v>0</v>
      </c>
      <c r="BB1351" s="166">
        <v>0</v>
      </c>
      <c r="BC1351" s="166">
        <v>0</v>
      </c>
      <c r="BD1351" s="166">
        <v>0</v>
      </c>
      <c r="BE1351" s="166">
        <v>0</v>
      </c>
      <c r="BF1351" s="166">
        <v>0</v>
      </c>
      <c r="BG1351" s="166">
        <v>-1</v>
      </c>
      <c r="BH1351" s="166">
        <v>0</v>
      </c>
      <c r="BI1351" s="166">
        <v>0</v>
      </c>
      <c r="BJ1351" s="166">
        <v>0</v>
      </c>
      <c r="BK1351" s="166">
        <v>0</v>
      </c>
      <c r="BL1351" s="166">
        <v>0</v>
      </c>
      <c r="BM1351" s="166">
        <v>0</v>
      </c>
      <c r="BN1351" s="166">
        <v>0</v>
      </c>
      <c r="BO1351" s="166">
        <v>0</v>
      </c>
      <c r="BP1351" s="166">
        <v>0</v>
      </c>
      <c r="BQ1351" s="81" t="s">
        <v>1758</v>
      </c>
      <c r="BZ1351" s="81" t="s">
        <v>155</v>
      </c>
      <c r="CA1351" s="81">
        <v>10</v>
      </c>
      <c r="CC1351" s="167">
        <v>0</v>
      </c>
      <c r="CD1351" s="167">
        <v>0</v>
      </c>
      <c r="CE1351" s="167">
        <v>0</v>
      </c>
      <c r="CF1351" s="167">
        <v>0</v>
      </c>
      <c r="CG1351" s="167">
        <v>0</v>
      </c>
      <c r="CH1351" s="167">
        <f>$N1351/3</f>
        <v>0.66666666666666663</v>
      </c>
      <c r="CI1351" s="167">
        <f>$N1351/3</f>
        <v>0.66666666666666663</v>
      </c>
      <c r="CJ1351" s="167">
        <f>$N1351/3</f>
        <v>0.66666666666666663</v>
      </c>
      <c r="CK1351" s="167">
        <v>0</v>
      </c>
      <c r="CL1351" s="167">
        <v>0</v>
      </c>
      <c r="CM1351" s="167">
        <v>0</v>
      </c>
      <c r="CN1351" s="167">
        <v>0</v>
      </c>
      <c r="CO1351" s="167">
        <v>0</v>
      </c>
      <c r="CP1351" s="167">
        <v>0</v>
      </c>
      <c r="CQ1351" s="167">
        <v>0</v>
      </c>
      <c r="CR1351" s="167">
        <v>0</v>
      </c>
      <c r="CS1351" s="167">
        <v>0</v>
      </c>
      <c r="CT1351" s="167">
        <v>0</v>
      </c>
      <c r="CU1351" s="167">
        <v>0</v>
      </c>
      <c r="CV1351" s="167">
        <v>0</v>
      </c>
      <c r="CW1351" s="167">
        <v>0</v>
      </c>
      <c r="CX1351" s="167">
        <f>SUM(CD1351:CH1351)</f>
        <v>0.66666666666666663</v>
      </c>
      <c r="CY1351" s="167">
        <f>SUM(CD1351:CM1351)</f>
        <v>2</v>
      </c>
    </row>
    <row r="1352" spans="1:103" ht="12.75" customHeight="1" x14ac:dyDescent="0.2">
      <c r="A1352" s="81">
        <v>6860</v>
      </c>
      <c r="B1352" s="165" t="s">
        <v>1955</v>
      </c>
      <c r="C1352" s="165" t="s">
        <v>2380</v>
      </c>
      <c r="E1352" s="165" t="s">
        <v>2381</v>
      </c>
      <c r="G1352" s="81">
        <v>527312</v>
      </c>
      <c r="H1352" s="81">
        <v>171270</v>
      </c>
      <c r="I1352" s="165" t="s">
        <v>242</v>
      </c>
      <c r="L1352" s="166">
        <v>1</v>
      </c>
      <c r="M1352" s="166">
        <v>2</v>
      </c>
      <c r="N1352" s="166">
        <v>1</v>
      </c>
      <c r="O1352" s="166">
        <v>2</v>
      </c>
      <c r="P1352" s="166">
        <v>1</v>
      </c>
      <c r="R1352" s="165" t="s">
        <v>2382</v>
      </c>
      <c r="S1352" s="81" t="s">
        <v>121</v>
      </c>
      <c r="T1352" s="349">
        <v>43180</v>
      </c>
      <c r="W1352" s="81" t="s">
        <v>114</v>
      </c>
      <c r="Y1352" s="81" t="s">
        <v>115</v>
      </c>
      <c r="Z1352" s="81" t="s">
        <v>398</v>
      </c>
      <c r="AA1352" s="81" t="s">
        <v>117</v>
      </c>
      <c r="AB1352" s="81" t="s">
        <v>220</v>
      </c>
      <c r="AC1352" s="166">
        <v>1.30000002682209E-2</v>
      </c>
      <c r="AG1352" s="81" t="s">
        <v>238</v>
      </c>
      <c r="AH1352" s="81" t="s">
        <v>118</v>
      </c>
      <c r="AK1352" s="166">
        <v>0</v>
      </c>
      <c r="AM1352" s="166">
        <v>0</v>
      </c>
      <c r="AO1352" s="166">
        <v>0</v>
      </c>
      <c r="AP1352" s="166">
        <v>1</v>
      </c>
      <c r="AQ1352" s="166">
        <v>1</v>
      </c>
      <c r="AR1352" s="166">
        <v>-1</v>
      </c>
      <c r="AS1352" s="166">
        <v>0</v>
      </c>
      <c r="AT1352" s="166">
        <v>0</v>
      </c>
      <c r="AU1352" s="166">
        <v>0</v>
      </c>
      <c r="AV1352" s="166">
        <v>0</v>
      </c>
      <c r="AW1352" s="166">
        <v>1</v>
      </c>
      <c r="AX1352" s="166">
        <v>1</v>
      </c>
      <c r="AY1352" s="166">
        <v>-1</v>
      </c>
      <c r="AZ1352" s="166">
        <v>0</v>
      </c>
      <c r="BA1352" s="166">
        <v>0</v>
      </c>
      <c r="BB1352" s="166">
        <v>0</v>
      </c>
      <c r="BC1352" s="166">
        <v>0</v>
      </c>
      <c r="BD1352" s="166">
        <v>0</v>
      </c>
      <c r="BE1352" s="166">
        <v>0</v>
      </c>
      <c r="BF1352" s="166">
        <v>0</v>
      </c>
      <c r="BG1352" s="166">
        <v>0</v>
      </c>
      <c r="BH1352" s="166">
        <v>0</v>
      </c>
      <c r="BI1352" s="166">
        <v>0</v>
      </c>
      <c r="BJ1352" s="166">
        <v>0</v>
      </c>
      <c r="BK1352" s="166">
        <v>0</v>
      </c>
      <c r="BL1352" s="166">
        <v>0</v>
      </c>
      <c r="BM1352" s="166">
        <v>0</v>
      </c>
      <c r="BN1352" s="166">
        <v>0</v>
      </c>
      <c r="BO1352" s="166">
        <v>0</v>
      </c>
      <c r="BP1352" s="166">
        <v>0</v>
      </c>
      <c r="BQ1352" s="81" t="s">
        <v>1757</v>
      </c>
      <c r="BZ1352" s="81" t="s">
        <v>155</v>
      </c>
      <c r="CA1352" s="81">
        <v>10</v>
      </c>
      <c r="CC1352" s="167">
        <v>0</v>
      </c>
      <c r="CD1352" s="167">
        <v>0</v>
      </c>
      <c r="CE1352" s="167">
        <v>0</v>
      </c>
      <c r="CF1352" s="167">
        <v>0</v>
      </c>
      <c r="CG1352" s="167">
        <v>0</v>
      </c>
      <c r="CH1352" s="167">
        <f>$N1352/3</f>
        <v>0.33333333333333331</v>
      </c>
      <c r="CI1352" s="167">
        <f>$N1352/3</f>
        <v>0.33333333333333331</v>
      </c>
      <c r="CJ1352" s="167">
        <f>$N1352/3</f>
        <v>0.33333333333333331</v>
      </c>
      <c r="CK1352" s="167">
        <v>0</v>
      </c>
      <c r="CL1352" s="167">
        <v>0</v>
      </c>
      <c r="CM1352" s="167">
        <v>0</v>
      </c>
      <c r="CN1352" s="167">
        <v>0</v>
      </c>
      <c r="CO1352" s="167">
        <v>0</v>
      </c>
      <c r="CP1352" s="167">
        <v>0</v>
      </c>
      <c r="CQ1352" s="167">
        <v>0</v>
      </c>
      <c r="CR1352" s="167">
        <v>0</v>
      </c>
      <c r="CS1352" s="167">
        <v>0</v>
      </c>
      <c r="CT1352" s="167">
        <v>0</v>
      </c>
      <c r="CU1352" s="167">
        <v>0</v>
      </c>
      <c r="CV1352" s="167">
        <v>0</v>
      </c>
      <c r="CW1352" s="167">
        <v>0</v>
      </c>
      <c r="CX1352" s="167">
        <f>SUM(CD1352:CH1352)</f>
        <v>0.33333333333333331</v>
      </c>
      <c r="CY1352" s="167">
        <f>SUM(CD1352:CM1352)</f>
        <v>1</v>
      </c>
    </row>
    <row r="1353" spans="1:103" ht="12.75" customHeight="1" x14ac:dyDescent="0.2">
      <c r="A1353" s="81">
        <v>6862</v>
      </c>
      <c r="B1353" s="165" t="s">
        <v>1955</v>
      </c>
      <c r="C1353" s="165" t="s">
        <v>2383</v>
      </c>
      <c r="E1353" s="165" t="s">
        <v>2384</v>
      </c>
      <c r="G1353" s="81">
        <v>528095</v>
      </c>
      <c r="H1353" s="81">
        <v>171407</v>
      </c>
      <c r="I1353" s="165" t="s">
        <v>253</v>
      </c>
      <c r="L1353" s="166">
        <v>0</v>
      </c>
      <c r="M1353" s="166">
        <v>1</v>
      </c>
      <c r="N1353" s="166">
        <v>1</v>
      </c>
      <c r="O1353" s="166">
        <v>1</v>
      </c>
      <c r="P1353" s="166">
        <v>1</v>
      </c>
      <c r="R1353" s="165" t="s">
        <v>2385</v>
      </c>
      <c r="S1353" s="81" t="s">
        <v>121</v>
      </c>
      <c r="T1353" s="349">
        <v>43188</v>
      </c>
      <c r="W1353" s="81" t="s">
        <v>114</v>
      </c>
      <c r="Y1353" s="81" t="s">
        <v>115</v>
      </c>
      <c r="Z1353" s="81" t="s">
        <v>219</v>
      </c>
      <c r="AA1353" s="81" t="s">
        <v>117</v>
      </c>
      <c r="AB1353" s="81" t="s">
        <v>3889</v>
      </c>
      <c r="AC1353" s="166">
        <v>4.0000001899898104E-3</v>
      </c>
      <c r="AG1353" s="81" t="s">
        <v>238</v>
      </c>
      <c r="AH1353" s="81" t="s">
        <v>118</v>
      </c>
      <c r="AK1353" s="166">
        <v>0</v>
      </c>
      <c r="AM1353" s="166">
        <v>0</v>
      </c>
      <c r="AO1353" s="166">
        <v>0</v>
      </c>
      <c r="AP1353" s="166">
        <v>0</v>
      </c>
      <c r="AQ1353" s="166">
        <v>1</v>
      </c>
      <c r="AR1353" s="166">
        <v>0</v>
      </c>
      <c r="AS1353" s="166">
        <v>0</v>
      </c>
      <c r="AT1353" s="166">
        <v>0</v>
      </c>
      <c r="AU1353" s="166">
        <v>0</v>
      </c>
      <c r="AV1353" s="166">
        <v>0</v>
      </c>
      <c r="AW1353" s="166">
        <v>0</v>
      </c>
      <c r="AX1353" s="166">
        <v>1</v>
      </c>
      <c r="AY1353" s="166">
        <v>0</v>
      </c>
      <c r="AZ1353" s="166">
        <v>0</v>
      </c>
      <c r="BA1353" s="166">
        <v>0</v>
      </c>
      <c r="BB1353" s="166">
        <v>0</v>
      </c>
      <c r="BC1353" s="166">
        <v>0</v>
      </c>
      <c r="BD1353" s="166">
        <v>0</v>
      </c>
      <c r="BE1353" s="166">
        <v>0</v>
      </c>
      <c r="BF1353" s="166">
        <v>0</v>
      </c>
      <c r="BG1353" s="166">
        <v>0</v>
      </c>
      <c r="BH1353" s="166">
        <v>0</v>
      </c>
      <c r="BI1353" s="166">
        <v>0</v>
      </c>
      <c r="BJ1353" s="166">
        <v>0</v>
      </c>
      <c r="BK1353" s="166">
        <v>0</v>
      </c>
      <c r="BL1353" s="166">
        <v>0</v>
      </c>
      <c r="BM1353" s="166">
        <v>0</v>
      </c>
      <c r="BN1353" s="166">
        <v>0</v>
      </c>
      <c r="BO1353" s="166">
        <v>0</v>
      </c>
      <c r="BP1353" s="166">
        <v>0</v>
      </c>
      <c r="BQ1353" s="81" t="s">
        <v>1757</v>
      </c>
      <c r="BZ1353" s="81" t="s">
        <v>155</v>
      </c>
      <c r="CA1353" s="81">
        <v>10</v>
      </c>
      <c r="CC1353" s="167">
        <v>0</v>
      </c>
      <c r="CD1353" s="167">
        <v>0</v>
      </c>
      <c r="CE1353" s="167">
        <v>0</v>
      </c>
      <c r="CF1353" s="167">
        <v>0</v>
      </c>
      <c r="CG1353" s="167">
        <v>0</v>
      </c>
      <c r="CH1353" s="167">
        <f>$N1353/3</f>
        <v>0.33333333333333331</v>
      </c>
      <c r="CI1353" s="167">
        <f>$N1353/3</f>
        <v>0.33333333333333331</v>
      </c>
      <c r="CJ1353" s="167">
        <f>$N1353/3</f>
        <v>0.33333333333333331</v>
      </c>
      <c r="CK1353" s="167">
        <v>0</v>
      </c>
      <c r="CL1353" s="167">
        <v>0</v>
      </c>
      <c r="CM1353" s="167">
        <v>0</v>
      </c>
      <c r="CN1353" s="167">
        <v>0</v>
      </c>
      <c r="CO1353" s="167">
        <v>0</v>
      </c>
      <c r="CP1353" s="167">
        <v>0</v>
      </c>
      <c r="CQ1353" s="167">
        <v>0</v>
      </c>
      <c r="CR1353" s="167">
        <v>0</v>
      </c>
      <c r="CS1353" s="167">
        <v>0</v>
      </c>
      <c r="CT1353" s="167">
        <v>0</v>
      </c>
      <c r="CU1353" s="167">
        <v>0</v>
      </c>
      <c r="CV1353" s="167">
        <v>0</v>
      </c>
      <c r="CW1353" s="167">
        <v>0</v>
      </c>
      <c r="CX1353" s="167">
        <f>SUM(CD1353:CH1353)</f>
        <v>0.33333333333333331</v>
      </c>
      <c r="CY1353" s="167">
        <f>SUM(CD1353:CM1353)</f>
        <v>1</v>
      </c>
    </row>
    <row r="1354" spans="1:103" ht="12.75" customHeight="1" x14ac:dyDescent="0.2">
      <c r="A1354" s="81">
        <v>6863</v>
      </c>
      <c r="B1354" s="165" t="s">
        <v>1955</v>
      </c>
      <c r="C1354" s="165" t="s">
        <v>2386</v>
      </c>
      <c r="E1354" s="165" t="s">
        <v>2387</v>
      </c>
      <c r="G1354" s="81">
        <v>527223</v>
      </c>
      <c r="H1354" s="81">
        <v>171655</v>
      </c>
      <c r="I1354" s="165" t="s">
        <v>242</v>
      </c>
      <c r="L1354" s="166">
        <v>1</v>
      </c>
      <c r="M1354" s="166">
        <v>2</v>
      </c>
      <c r="N1354" s="166">
        <v>1</v>
      </c>
      <c r="O1354" s="166">
        <v>2</v>
      </c>
      <c r="P1354" s="166">
        <v>1</v>
      </c>
      <c r="R1354" s="165" t="s">
        <v>2388</v>
      </c>
      <c r="S1354" s="81" t="s">
        <v>121</v>
      </c>
      <c r="T1354" s="349">
        <v>43188</v>
      </c>
      <c r="W1354" s="81" t="s">
        <v>114</v>
      </c>
      <c r="Y1354" s="81" t="s">
        <v>115</v>
      </c>
      <c r="Z1354" s="81" t="s">
        <v>119</v>
      </c>
      <c r="AA1354" s="81" t="s">
        <v>117</v>
      </c>
      <c r="AB1354" s="81" t="s">
        <v>120</v>
      </c>
      <c r="AC1354" s="166">
        <v>2.0999999716877899E-2</v>
      </c>
      <c r="AG1354" s="81" t="s">
        <v>238</v>
      </c>
      <c r="AH1354" s="81" t="s">
        <v>118</v>
      </c>
      <c r="AK1354" s="166">
        <v>0</v>
      </c>
      <c r="AM1354" s="166">
        <v>0</v>
      </c>
      <c r="AO1354" s="166">
        <v>0</v>
      </c>
      <c r="AP1354" s="166">
        <v>0</v>
      </c>
      <c r="AQ1354" s="166">
        <v>0</v>
      </c>
      <c r="AR1354" s="166">
        <v>1</v>
      </c>
      <c r="AS1354" s="166">
        <v>0</v>
      </c>
      <c r="AT1354" s="166">
        <v>0</v>
      </c>
      <c r="AU1354" s="166">
        <v>0</v>
      </c>
      <c r="AV1354" s="166">
        <v>0</v>
      </c>
      <c r="AW1354" s="166">
        <v>0</v>
      </c>
      <c r="AX1354" s="166">
        <v>1</v>
      </c>
      <c r="AY1354" s="166">
        <v>1</v>
      </c>
      <c r="AZ1354" s="166">
        <v>0</v>
      </c>
      <c r="BA1354" s="166">
        <v>0</v>
      </c>
      <c r="BB1354" s="166">
        <v>0</v>
      </c>
      <c r="BC1354" s="166">
        <v>0</v>
      </c>
      <c r="BD1354" s="166">
        <v>0</v>
      </c>
      <c r="BE1354" s="166">
        <v>-1</v>
      </c>
      <c r="BF1354" s="166">
        <v>0</v>
      </c>
      <c r="BG1354" s="166">
        <v>0</v>
      </c>
      <c r="BH1354" s="166">
        <v>0</v>
      </c>
      <c r="BI1354" s="166">
        <v>0</v>
      </c>
      <c r="BJ1354" s="166">
        <v>0</v>
      </c>
      <c r="BK1354" s="166">
        <v>0</v>
      </c>
      <c r="BL1354" s="166">
        <v>0</v>
      </c>
      <c r="BM1354" s="166">
        <v>0</v>
      </c>
      <c r="BN1354" s="166">
        <v>0</v>
      </c>
      <c r="BO1354" s="166">
        <v>0</v>
      </c>
      <c r="BP1354" s="166">
        <v>0</v>
      </c>
      <c r="BQ1354" s="81" t="s">
        <v>1757</v>
      </c>
      <c r="BZ1354" s="81" t="s">
        <v>155</v>
      </c>
      <c r="CA1354" s="81">
        <v>10</v>
      </c>
      <c r="CC1354" s="167">
        <v>0</v>
      </c>
      <c r="CD1354" s="167">
        <v>0</v>
      </c>
      <c r="CE1354" s="167">
        <v>0</v>
      </c>
      <c r="CF1354" s="167">
        <v>0</v>
      </c>
      <c r="CG1354" s="167">
        <v>0</v>
      </c>
      <c r="CH1354" s="167">
        <f>$N1354/3</f>
        <v>0.33333333333333331</v>
      </c>
      <c r="CI1354" s="167">
        <f>$N1354/3</f>
        <v>0.33333333333333331</v>
      </c>
      <c r="CJ1354" s="167">
        <f>$N1354/3</f>
        <v>0.33333333333333331</v>
      </c>
      <c r="CK1354" s="167">
        <v>0</v>
      </c>
      <c r="CL1354" s="167">
        <v>0</v>
      </c>
      <c r="CM1354" s="167">
        <v>0</v>
      </c>
      <c r="CN1354" s="167">
        <v>0</v>
      </c>
      <c r="CO1354" s="167">
        <v>0</v>
      </c>
      <c r="CP1354" s="167">
        <v>0</v>
      </c>
      <c r="CQ1354" s="167">
        <v>0</v>
      </c>
      <c r="CR1354" s="167">
        <v>0</v>
      </c>
      <c r="CS1354" s="167">
        <v>0</v>
      </c>
      <c r="CT1354" s="167">
        <v>0</v>
      </c>
      <c r="CU1354" s="167">
        <v>0</v>
      </c>
      <c r="CV1354" s="167">
        <v>0</v>
      </c>
      <c r="CW1354" s="167">
        <v>0</v>
      </c>
      <c r="CX1354" s="167">
        <f>SUM(CD1354:CH1354)</f>
        <v>0.33333333333333331</v>
      </c>
      <c r="CY1354" s="167">
        <f>SUM(CD1354:CM1354)</f>
        <v>1</v>
      </c>
    </row>
    <row r="1355" spans="1:103" ht="12.75" customHeight="1" x14ac:dyDescent="0.2">
      <c r="A1355" s="81">
        <v>6881</v>
      </c>
      <c r="B1355" s="165" t="s">
        <v>1955</v>
      </c>
      <c r="C1355" s="165" t="s">
        <v>2389</v>
      </c>
      <c r="E1355" s="165" t="s">
        <v>2390</v>
      </c>
      <c r="G1355" s="81">
        <v>528629</v>
      </c>
      <c r="H1355" s="81">
        <v>177531</v>
      </c>
      <c r="I1355" s="165" t="s">
        <v>240</v>
      </c>
      <c r="L1355" s="166">
        <v>3</v>
      </c>
      <c r="M1355" s="166">
        <v>1</v>
      </c>
      <c r="N1355" s="166">
        <v>-2</v>
      </c>
      <c r="O1355" s="166">
        <v>1</v>
      </c>
      <c r="P1355" s="166">
        <v>-2</v>
      </c>
      <c r="R1355" s="165" t="s">
        <v>2391</v>
      </c>
      <c r="S1355" s="81" t="s">
        <v>126</v>
      </c>
      <c r="T1355" s="349">
        <v>43049</v>
      </c>
      <c r="W1355" s="81" t="s">
        <v>114</v>
      </c>
      <c r="Y1355" s="81" t="s">
        <v>115</v>
      </c>
      <c r="Z1355" s="81" t="s">
        <v>119</v>
      </c>
      <c r="AA1355" s="81" t="s">
        <v>117</v>
      </c>
      <c r="AB1355" s="81" t="s">
        <v>336</v>
      </c>
      <c r="AC1355" s="166">
        <v>0</v>
      </c>
      <c r="AG1355" s="81" t="s">
        <v>238</v>
      </c>
      <c r="AH1355" s="81" t="s">
        <v>118</v>
      </c>
      <c r="AK1355" s="166">
        <v>0</v>
      </c>
      <c r="AM1355" s="166">
        <v>0</v>
      </c>
      <c r="AO1355" s="166">
        <v>0</v>
      </c>
      <c r="AP1355" s="166">
        <v>0</v>
      </c>
      <c r="AQ1355" s="166">
        <v>-3</v>
      </c>
      <c r="AR1355" s="166">
        <v>0</v>
      </c>
      <c r="AS1355" s="166">
        <v>0</v>
      </c>
      <c r="AT1355" s="166">
        <v>1</v>
      </c>
      <c r="AU1355" s="166">
        <v>0</v>
      </c>
      <c r="AV1355" s="166">
        <v>0</v>
      </c>
      <c r="AW1355" s="166">
        <v>0</v>
      </c>
      <c r="AX1355" s="166">
        <v>-3</v>
      </c>
      <c r="AY1355" s="166">
        <v>0</v>
      </c>
      <c r="AZ1355" s="166">
        <v>0</v>
      </c>
      <c r="BA1355" s="166">
        <v>0</v>
      </c>
      <c r="BB1355" s="166">
        <v>0</v>
      </c>
      <c r="BC1355" s="166">
        <v>0</v>
      </c>
      <c r="BD1355" s="166">
        <v>0</v>
      </c>
      <c r="BE1355" s="166">
        <v>0</v>
      </c>
      <c r="BF1355" s="166">
        <v>0</v>
      </c>
      <c r="BG1355" s="166">
        <v>0</v>
      </c>
      <c r="BH1355" s="166">
        <v>1</v>
      </c>
      <c r="BI1355" s="166">
        <v>0</v>
      </c>
      <c r="BJ1355" s="166">
        <v>0</v>
      </c>
      <c r="BK1355" s="166">
        <v>0</v>
      </c>
      <c r="BL1355" s="166">
        <v>0</v>
      </c>
      <c r="BM1355" s="166">
        <v>0</v>
      </c>
      <c r="BN1355" s="166">
        <v>0</v>
      </c>
      <c r="BO1355" s="166">
        <v>0</v>
      </c>
      <c r="BP1355" s="166">
        <v>0</v>
      </c>
      <c r="BQ1355" s="81" t="s">
        <v>1759</v>
      </c>
      <c r="BS1355" s="81" t="s">
        <v>155</v>
      </c>
      <c r="BZ1355" s="81" t="s">
        <v>155</v>
      </c>
      <c r="CA1355" s="81">
        <v>10</v>
      </c>
      <c r="CC1355" s="167">
        <v>0</v>
      </c>
      <c r="CD1355" s="167">
        <v>0</v>
      </c>
      <c r="CE1355" s="167">
        <v>0</v>
      </c>
      <c r="CF1355" s="167">
        <v>0</v>
      </c>
      <c r="CG1355" s="167">
        <v>0</v>
      </c>
      <c r="CH1355" s="167">
        <f>$N1355/3</f>
        <v>-0.66666666666666663</v>
      </c>
      <c r="CI1355" s="167">
        <f>$N1355/3</f>
        <v>-0.66666666666666663</v>
      </c>
      <c r="CJ1355" s="167">
        <f>$N1355/3</f>
        <v>-0.66666666666666663</v>
      </c>
      <c r="CK1355" s="167">
        <v>0</v>
      </c>
      <c r="CL1355" s="167">
        <v>0</v>
      </c>
      <c r="CM1355" s="167">
        <v>0</v>
      </c>
      <c r="CN1355" s="167">
        <v>0</v>
      </c>
      <c r="CO1355" s="167">
        <v>0</v>
      </c>
      <c r="CP1355" s="167">
        <v>0</v>
      </c>
      <c r="CQ1355" s="167">
        <v>0</v>
      </c>
      <c r="CR1355" s="167">
        <v>0</v>
      </c>
      <c r="CS1355" s="167">
        <v>0</v>
      </c>
      <c r="CT1355" s="167">
        <v>0</v>
      </c>
      <c r="CU1355" s="167">
        <v>0</v>
      </c>
      <c r="CV1355" s="167">
        <v>0</v>
      </c>
      <c r="CW1355" s="167">
        <v>0</v>
      </c>
      <c r="CX1355" s="167">
        <f>SUM(CD1355:CH1355)</f>
        <v>-0.66666666666666663</v>
      </c>
      <c r="CY1355" s="167">
        <f>SUM(CD1355:CM1355)</f>
        <v>-2</v>
      </c>
    </row>
    <row r="1356" spans="1:103" ht="12.75" customHeight="1" x14ac:dyDescent="0.2">
      <c r="A1356" s="81">
        <v>6882</v>
      </c>
      <c r="B1356" s="165" t="s">
        <v>1955</v>
      </c>
      <c r="C1356" s="165" t="s">
        <v>2392</v>
      </c>
      <c r="E1356" s="165" t="s">
        <v>2393</v>
      </c>
      <c r="G1356" s="81">
        <v>526839</v>
      </c>
      <c r="H1356" s="81">
        <v>175995</v>
      </c>
      <c r="I1356" s="165" t="s">
        <v>241</v>
      </c>
      <c r="L1356" s="166">
        <v>0</v>
      </c>
      <c r="M1356" s="166">
        <v>5</v>
      </c>
      <c r="N1356" s="166">
        <v>5</v>
      </c>
      <c r="O1356" s="166">
        <v>5</v>
      </c>
      <c r="P1356" s="166">
        <v>5</v>
      </c>
      <c r="R1356" s="165" t="s">
        <v>2394</v>
      </c>
      <c r="S1356" s="81" t="s">
        <v>121</v>
      </c>
      <c r="T1356" s="349">
        <v>42852</v>
      </c>
      <c r="W1356" s="81" t="s">
        <v>114</v>
      </c>
      <c r="Y1356" s="81" t="s">
        <v>115</v>
      </c>
      <c r="Z1356" s="81" t="s">
        <v>116</v>
      </c>
      <c r="AA1356" s="81" t="s">
        <v>117</v>
      </c>
      <c r="AB1356" s="81" t="s">
        <v>218</v>
      </c>
      <c r="AC1356" s="166">
        <v>6.0000000521540598E-3</v>
      </c>
      <c r="AG1356" s="81" t="s">
        <v>154</v>
      </c>
      <c r="AH1356" s="81" t="s">
        <v>38</v>
      </c>
      <c r="AK1356" s="166">
        <v>0</v>
      </c>
      <c r="AL1356" s="166">
        <v>5</v>
      </c>
      <c r="AM1356" s="166">
        <v>0</v>
      </c>
      <c r="AO1356" s="166">
        <v>0</v>
      </c>
      <c r="AP1356" s="166">
        <v>0</v>
      </c>
      <c r="AQ1356" s="166">
        <v>4</v>
      </c>
      <c r="AR1356" s="166">
        <v>1</v>
      </c>
      <c r="AS1356" s="166">
        <v>0</v>
      </c>
      <c r="AT1356" s="166">
        <v>0</v>
      </c>
      <c r="AU1356" s="166">
        <v>0</v>
      </c>
      <c r="AV1356" s="166">
        <v>0</v>
      </c>
      <c r="AW1356" s="166">
        <v>0</v>
      </c>
      <c r="AX1356" s="166">
        <v>4</v>
      </c>
      <c r="AY1356" s="166">
        <v>1</v>
      </c>
      <c r="AZ1356" s="166">
        <v>0</v>
      </c>
      <c r="BA1356" s="166">
        <v>0</v>
      </c>
      <c r="BB1356" s="166">
        <v>0</v>
      </c>
      <c r="BC1356" s="166">
        <v>0</v>
      </c>
      <c r="BD1356" s="166">
        <v>0</v>
      </c>
      <c r="BE1356" s="166">
        <v>0</v>
      </c>
      <c r="BF1356" s="166">
        <v>0</v>
      </c>
      <c r="BG1356" s="166">
        <v>0</v>
      </c>
      <c r="BH1356" s="166">
        <v>0</v>
      </c>
      <c r="BI1356" s="166">
        <v>0</v>
      </c>
      <c r="BJ1356" s="166">
        <v>0</v>
      </c>
      <c r="BK1356" s="166">
        <v>0</v>
      </c>
      <c r="BL1356" s="166">
        <v>0</v>
      </c>
      <c r="BM1356" s="166">
        <v>0</v>
      </c>
      <c r="BN1356" s="166">
        <v>0</v>
      </c>
      <c r="BO1356" s="166">
        <v>0</v>
      </c>
      <c r="BP1356" s="166">
        <v>0</v>
      </c>
      <c r="BQ1356" s="81" t="s">
        <v>1759</v>
      </c>
      <c r="BU1356" s="81" t="s">
        <v>155</v>
      </c>
      <c r="BZ1356" s="81" t="s">
        <v>155</v>
      </c>
      <c r="CA1356" s="81">
        <v>6</v>
      </c>
      <c r="CC1356" s="167">
        <v>0</v>
      </c>
      <c r="CD1356" s="167">
        <v>0</v>
      </c>
      <c r="CE1356" s="167">
        <v>0</v>
      </c>
      <c r="CF1356" s="167">
        <v>0</v>
      </c>
      <c r="CG1356" s="167">
        <v>0</v>
      </c>
      <c r="CH1356" s="167">
        <f>$N1356/3</f>
        <v>1.6666666666666667</v>
      </c>
      <c r="CI1356" s="167">
        <f>$N1356/3</f>
        <v>1.6666666666666667</v>
      </c>
      <c r="CJ1356" s="167">
        <f>$N1356/3</f>
        <v>1.6666666666666667</v>
      </c>
      <c r="CK1356" s="167">
        <v>0</v>
      </c>
      <c r="CL1356" s="167">
        <v>0</v>
      </c>
      <c r="CM1356" s="167">
        <v>0</v>
      </c>
      <c r="CN1356" s="167">
        <v>0</v>
      </c>
      <c r="CO1356" s="167">
        <v>0</v>
      </c>
      <c r="CP1356" s="167">
        <v>0</v>
      </c>
      <c r="CQ1356" s="167">
        <v>0</v>
      </c>
      <c r="CR1356" s="167">
        <v>0</v>
      </c>
      <c r="CS1356" s="167">
        <v>0</v>
      </c>
      <c r="CT1356" s="167">
        <v>0</v>
      </c>
      <c r="CU1356" s="167">
        <v>0</v>
      </c>
      <c r="CV1356" s="167">
        <v>0</v>
      </c>
      <c r="CW1356" s="167">
        <v>0</v>
      </c>
      <c r="CX1356" s="167">
        <f>SUM(CD1356:CH1356)</f>
        <v>1.6666666666666667</v>
      </c>
      <c r="CY1356" s="167">
        <f>SUM(CD1356:CM1356)</f>
        <v>5</v>
      </c>
    </row>
    <row r="1357" spans="1:103" ht="12.75" customHeight="1" x14ac:dyDescent="0.2">
      <c r="A1357" s="81">
        <v>6883</v>
      </c>
      <c r="B1357" s="165" t="s">
        <v>1955</v>
      </c>
      <c r="C1357" s="165" t="s">
        <v>2395</v>
      </c>
      <c r="E1357" s="165" t="s">
        <v>2396</v>
      </c>
      <c r="G1357" s="81">
        <v>528003</v>
      </c>
      <c r="H1357" s="81">
        <v>174423</v>
      </c>
      <c r="I1357" s="165" t="s">
        <v>247</v>
      </c>
      <c r="L1357" s="166">
        <v>2</v>
      </c>
      <c r="M1357" s="166">
        <v>2</v>
      </c>
      <c r="N1357" s="166">
        <v>0</v>
      </c>
      <c r="O1357" s="166">
        <v>2</v>
      </c>
      <c r="P1357" s="166">
        <v>0</v>
      </c>
      <c r="R1357" s="165" t="s">
        <v>2397</v>
      </c>
      <c r="S1357" s="81" t="s">
        <v>121</v>
      </c>
      <c r="T1357" s="349">
        <v>43179</v>
      </c>
      <c r="W1357" s="81" t="s">
        <v>114</v>
      </c>
      <c r="Y1357" s="81" t="s">
        <v>115</v>
      </c>
      <c r="Z1357" s="81" t="s">
        <v>398</v>
      </c>
      <c r="AA1357" s="81" t="s">
        <v>117</v>
      </c>
      <c r="AB1357" s="81" t="s">
        <v>336</v>
      </c>
      <c r="AC1357" s="166">
        <v>0</v>
      </c>
      <c r="AG1357" s="81" t="s">
        <v>238</v>
      </c>
      <c r="AH1357" s="81" t="s">
        <v>118</v>
      </c>
      <c r="AK1357" s="166">
        <v>0</v>
      </c>
      <c r="AM1357" s="166">
        <v>0</v>
      </c>
      <c r="AO1357" s="166">
        <v>0</v>
      </c>
      <c r="AP1357" s="166">
        <v>0</v>
      </c>
      <c r="AQ1357" s="166">
        <v>-2</v>
      </c>
      <c r="AR1357" s="166">
        <v>0</v>
      </c>
      <c r="AS1357" s="166">
        <v>2</v>
      </c>
      <c r="AT1357" s="166">
        <v>0</v>
      </c>
      <c r="AU1357" s="166">
        <v>0</v>
      </c>
      <c r="AV1357" s="166">
        <v>0</v>
      </c>
      <c r="AW1357" s="166">
        <v>0</v>
      </c>
      <c r="AX1357" s="166">
        <v>-2</v>
      </c>
      <c r="AY1357" s="166">
        <v>0</v>
      </c>
      <c r="AZ1357" s="166">
        <v>0</v>
      </c>
      <c r="BA1357" s="166">
        <v>0</v>
      </c>
      <c r="BB1357" s="166">
        <v>0</v>
      </c>
      <c r="BC1357" s="166">
        <v>0</v>
      </c>
      <c r="BD1357" s="166">
        <v>0</v>
      </c>
      <c r="BE1357" s="166">
        <v>0</v>
      </c>
      <c r="BF1357" s="166">
        <v>0</v>
      </c>
      <c r="BG1357" s="166">
        <v>2</v>
      </c>
      <c r="BH1357" s="166">
        <v>0</v>
      </c>
      <c r="BI1357" s="166">
        <v>0</v>
      </c>
      <c r="BJ1357" s="166">
        <v>0</v>
      </c>
      <c r="BK1357" s="166">
        <v>0</v>
      </c>
      <c r="BL1357" s="166">
        <v>0</v>
      </c>
      <c r="BM1357" s="166">
        <v>0</v>
      </c>
      <c r="BN1357" s="166">
        <v>0</v>
      </c>
      <c r="BO1357" s="166">
        <v>0</v>
      </c>
      <c r="BP1357" s="166">
        <v>0</v>
      </c>
      <c r="BQ1357" s="81" t="s">
        <v>1757</v>
      </c>
      <c r="BZ1357" s="81" t="s">
        <v>155</v>
      </c>
      <c r="CA1357" s="81">
        <v>10</v>
      </c>
      <c r="CC1357" s="167">
        <v>0</v>
      </c>
      <c r="CD1357" s="167">
        <v>0</v>
      </c>
      <c r="CE1357" s="167">
        <v>0</v>
      </c>
      <c r="CF1357" s="167">
        <v>0</v>
      </c>
      <c r="CG1357" s="167">
        <v>0</v>
      </c>
      <c r="CH1357" s="167">
        <f>$N1357/3</f>
        <v>0</v>
      </c>
      <c r="CI1357" s="167">
        <f>$N1357/3</f>
        <v>0</v>
      </c>
      <c r="CJ1357" s="167">
        <f>$N1357/3</f>
        <v>0</v>
      </c>
      <c r="CK1357" s="167">
        <v>0</v>
      </c>
      <c r="CL1357" s="167">
        <v>0</v>
      </c>
      <c r="CM1357" s="167">
        <v>0</v>
      </c>
      <c r="CN1357" s="167">
        <v>0</v>
      </c>
      <c r="CO1357" s="167">
        <v>0</v>
      </c>
      <c r="CP1357" s="167">
        <v>0</v>
      </c>
      <c r="CQ1357" s="167">
        <v>0</v>
      </c>
      <c r="CR1357" s="167">
        <v>0</v>
      </c>
      <c r="CS1357" s="167">
        <v>0</v>
      </c>
      <c r="CT1357" s="167">
        <v>0</v>
      </c>
      <c r="CU1357" s="167">
        <v>0</v>
      </c>
      <c r="CV1357" s="167">
        <v>0</v>
      </c>
      <c r="CW1357" s="167">
        <v>0</v>
      </c>
      <c r="CX1357" s="167">
        <f>SUM(CD1357:CH1357)</f>
        <v>0</v>
      </c>
      <c r="CY1357" s="167">
        <f>SUM(CD1357:CM1357)</f>
        <v>0</v>
      </c>
    </row>
    <row r="1358" spans="1:103" ht="12.75" customHeight="1" x14ac:dyDescent="0.2">
      <c r="A1358" s="81">
        <v>6884</v>
      </c>
      <c r="B1358" s="165" t="s">
        <v>1955</v>
      </c>
      <c r="C1358" s="165" t="s">
        <v>2398</v>
      </c>
      <c r="E1358" s="165" t="s">
        <v>2399</v>
      </c>
      <c r="F1358" s="165" t="s">
        <v>2095</v>
      </c>
      <c r="G1358" s="81">
        <v>524096</v>
      </c>
      <c r="H1358" s="81">
        <v>175530</v>
      </c>
      <c r="I1358" s="165" t="s">
        <v>259</v>
      </c>
      <c r="L1358" s="166">
        <v>0</v>
      </c>
      <c r="M1358" s="166">
        <v>2</v>
      </c>
      <c r="N1358" s="166">
        <v>2</v>
      </c>
      <c r="O1358" s="166">
        <v>3</v>
      </c>
      <c r="P1358" s="166">
        <v>3</v>
      </c>
      <c r="R1358" s="165" t="s">
        <v>2400</v>
      </c>
      <c r="S1358" s="81" t="s">
        <v>121</v>
      </c>
      <c r="T1358" s="349">
        <v>43180</v>
      </c>
      <c r="W1358" s="81" t="s">
        <v>114</v>
      </c>
      <c r="Y1358" s="81" t="s">
        <v>115</v>
      </c>
      <c r="Z1358" s="81" t="s">
        <v>398</v>
      </c>
      <c r="AA1358" s="81" t="s">
        <v>117</v>
      </c>
      <c r="AB1358" s="81" t="s">
        <v>218</v>
      </c>
      <c r="AC1358" s="166">
        <v>8.0000003799796104E-3</v>
      </c>
      <c r="AG1358" s="81" t="s">
        <v>238</v>
      </c>
      <c r="AH1358" s="81" t="s">
        <v>118</v>
      </c>
      <c r="AK1358" s="166">
        <v>0</v>
      </c>
      <c r="AM1358" s="166">
        <v>0</v>
      </c>
      <c r="AO1358" s="166">
        <v>0</v>
      </c>
      <c r="AP1358" s="166">
        <v>0</v>
      </c>
      <c r="AQ1358" s="166">
        <v>2</v>
      </c>
      <c r="AR1358" s="166">
        <v>0</v>
      </c>
      <c r="AS1358" s="166">
        <v>0</v>
      </c>
      <c r="AT1358" s="166">
        <v>0</v>
      </c>
      <c r="AU1358" s="166">
        <v>0</v>
      </c>
      <c r="AV1358" s="166">
        <v>0</v>
      </c>
      <c r="AW1358" s="166">
        <v>0</v>
      </c>
      <c r="AX1358" s="166">
        <v>2</v>
      </c>
      <c r="AY1358" s="166">
        <v>0</v>
      </c>
      <c r="AZ1358" s="166">
        <v>0</v>
      </c>
      <c r="BA1358" s="166">
        <v>0</v>
      </c>
      <c r="BB1358" s="166">
        <v>0</v>
      </c>
      <c r="BC1358" s="166">
        <v>0</v>
      </c>
      <c r="BD1358" s="166">
        <v>0</v>
      </c>
      <c r="BE1358" s="166">
        <v>0</v>
      </c>
      <c r="BF1358" s="166">
        <v>0</v>
      </c>
      <c r="BG1358" s="166">
        <v>0</v>
      </c>
      <c r="BH1358" s="166">
        <v>0</v>
      </c>
      <c r="BI1358" s="166">
        <v>0</v>
      </c>
      <c r="BJ1358" s="166">
        <v>0</v>
      </c>
      <c r="BK1358" s="166">
        <v>0</v>
      </c>
      <c r="BL1358" s="166">
        <v>0</v>
      </c>
      <c r="BM1358" s="166">
        <v>0</v>
      </c>
      <c r="BN1358" s="166">
        <v>0</v>
      </c>
      <c r="BO1358" s="166">
        <v>0</v>
      </c>
      <c r="BP1358" s="166">
        <v>0</v>
      </c>
      <c r="BQ1358" s="81" t="s">
        <v>1758</v>
      </c>
      <c r="BR1358" s="81" t="s">
        <v>161</v>
      </c>
      <c r="BZ1358" s="81" t="s">
        <v>155</v>
      </c>
      <c r="CA1358" s="81">
        <v>10</v>
      </c>
      <c r="CC1358" s="167">
        <v>0</v>
      </c>
      <c r="CD1358" s="167">
        <v>0</v>
      </c>
      <c r="CE1358" s="167">
        <v>0</v>
      </c>
      <c r="CF1358" s="167">
        <v>0</v>
      </c>
      <c r="CG1358" s="167">
        <v>0</v>
      </c>
      <c r="CH1358" s="167">
        <f>$N1358/3</f>
        <v>0.66666666666666663</v>
      </c>
      <c r="CI1358" s="167">
        <f>$N1358/3</f>
        <v>0.66666666666666663</v>
      </c>
      <c r="CJ1358" s="167">
        <f>$N1358/3</f>
        <v>0.66666666666666663</v>
      </c>
      <c r="CK1358" s="167">
        <v>0</v>
      </c>
      <c r="CL1358" s="167">
        <v>0</v>
      </c>
      <c r="CM1358" s="167">
        <v>0</v>
      </c>
      <c r="CN1358" s="167">
        <v>0</v>
      </c>
      <c r="CO1358" s="167">
        <v>0</v>
      </c>
      <c r="CP1358" s="167">
        <v>0</v>
      </c>
      <c r="CQ1358" s="167">
        <v>0</v>
      </c>
      <c r="CR1358" s="167">
        <v>0</v>
      </c>
      <c r="CS1358" s="167">
        <v>0</v>
      </c>
      <c r="CT1358" s="167">
        <v>0</v>
      </c>
      <c r="CU1358" s="167">
        <v>0</v>
      </c>
      <c r="CV1358" s="167">
        <v>0</v>
      </c>
      <c r="CW1358" s="167">
        <v>0</v>
      </c>
      <c r="CX1358" s="167">
        <f>SUM(CD1358:CH1358)</f>
        <v>0.66666666666666663</v>
      </c>
      <c r="CY1358" s="167">
        <f>SUM(CD1358:CM1358)</f>
        <v>2</v>
      </c>
    </row>
    <row r="1359" spans="1:103" ht="12.75" customHeight="1" x14ac:dyDescent="0.2">
      <c r="A1359" s="81">
        <v>6884</v>
      </c>
      <c r="B1359" s="165" t="s">
        <v>1955</v>
      </c>
      <c r="C1359" s="165" t="s">
        <v>2398</v>
      </c>
      <c r="E1359" s="165" t="s">
        <v>2399</v>
      </c>
      <c r="G1359" s="81">
        <v>524096</v>
      </c>
      <c r="H1359" s="81">
        <v>175530</v>
      </c>
      <c r="I1359" s="165" t="s">
        <v>259</v>
      </c>
      <c r="L1359" s="166">
        <v>0</v>
      </c>
      <c r="M1359" s="166">
        <v>1</v>
      </c>
      <c r="N1359" s="166">
        <v>1</v>
      </c>
      <c r="O1359" s="166">
        <v>3</v>
      </c>
      <c r="P1359" s="166">
        <v>3</v>
      </c>
      <c r="R1359" s="165" t="s">
        <v>2400</v>
      </c>
      <c r="S1359" s="81" t="s">
        <v>121</v>
      </c>
      <c r="T1359" s="349">
        <v>43180</v>
      </c>
      <c r="W1359" s="81" t="s">
        <v>114</v>
      </c>
      <c r="Y1359" s="81" t="s">
        <v>115</v>
      </c>
      <c r="Z1359" s="81" t="s">
        <v>398</v>
      </c>
      <c r="AA1359" s="81" t="s">
        <v>117</v>
      </c>
      <c r="AB1359" s="81" t="s">
        <v>218</v>
      </c>
      <c r="AC1359" s="166">
        <v>2.0000000949949E-3</v>
      </c>
      <c r="AG1359" s="81" t="s">
        <v>238</v>
      </c>
      <c r="AH1359" s="81" t="s">
        <v>118</v>
      </c>
      <c r="AK1359" s="166">
        <v>0</v>
      </c>
      <c r="AM1359" s="166">
        <v>0</v>
      </c>
      <c r="AO1359" s="166">
        <v>0</v>
      </c>
      <c r="AP1359" s="166">
        <v>1</v>
      </c>
      <c r="AQ1359" s="166">
        <v>0</v>
      </c>
      <c r="AR1359" s="166">
        <v>0</v>
      </c>
      <c r="AS1359" s="166">
        <v>0</v>
      </c>
      <c r="AT1359" s="166">
        <v>0</v>
      </c>
      <c r="AU1359" s="166">
        <v>0</v>
      </c>
      <c r="AV1359" s="166">
        <v>0</v>
      </c>
      <c r="AW1359" s="166">
        <v>1</v>
      </c>
      <c r="AX1359" s="166">
        <v>0</v>
      </c>
      <c r="AY1359" s="166">
        <v>0</v>
      </c>
      <c r="AZ1359" s="166">
        <v>0</v>
      </c>
      <c r="BA1359" s="166">
        <v>0</v>
      </c>
      <c r="BB1359" s="166">
        <v>0</v>
      </c>
      <c r="BC1359" s="166">
        <v>0</v>
      </c>
      <c r="BD1359" s="166">
        <v>0</v>
      </c>
      <c r="BE1359" s="166">
        <v>0</v>
      </c>
      <c r="BF1359" s="166">
        <v>0</v>
      </c>
      <c r="BG1359" s="166">
        <v>0</v>
      </c>
      <c r="BH1359" s="166">
        <v>0</v>
      </c>
      <c r="BI1359" s="166">
        <v>0</v>
      </c>
      <c r="BJ1359" s="166">
        <v>0</v>
      </c>
      <c r="BK1359" s="166">
        <v>0</v>
      </c>
      <c r="BL1359" s="166">
        <v>0</v>
      </c>
      <c r="BM1359" s="166">
        <v>0</v>
      </c>
      <c r="BN1359" s="166">
        <v>0</v>
      </c>
      <c r="BO1359" s="166">
        <v>0</v>
      </c>
      <c r="BP1359" s="166">
        <v>0</v>
      </c>
      <c r="BQ1359" s="81" t="s">
        <v>1758</v>
      </c>
      <c r="BR1359" s="81" t="s">
        <v>161</v>
      </c>
      <c r="BZ1359" s="81" t="s">
        <v>155</v>
      </c>
      <c r="CA1359" s="81">
        <v>10</v>
      </c>
      <c r="CC1359" s="167">
        <v>0</v>
      </c>
      <c r="CD1359" s="167">
        <v>0</v>
      </c>
      <c r="CE1359" s="167">
        <v>0</v>
      </c>
      <c r="CF1359" s="167">
        <v>0</v>
      </c>
      <c r="CG1359" s="167">
        <v>0</v>
      </c>
      <c r="CH1359" s="167">
        <f>$N1359/3</f>
        <v>0.33333333333333331</v>
      </c>
      <c r="CI1359" s="167">
        <f>$N1359/3</f>
        <v>0.33333333333333331</v>
      </c>
      <c r="CJ1359" s="167">
        <f>$N1359/3</f>
        <v>0.33333333333333331</v>
      </c>
      <c r="CK1359" s="167">
        <v>0</v>
      </c>
      <c r="CL1359" s="167">
        <v>0</v>
      </c>
      <c r="CM1359" s="167">
        <v>0</v>
      </c>
      <c r="CN1359" s="167">
        <v>0</v>
      </c>
      <c r="CO1359" s="167">
        <v>0</v>
      </c>
      <c r="CP1359" s="167">
        <v>0</v>
      </c>
      <c r="CQ1359" s="167">
        <v>0</v>
      </c>
      <c r="CR1359" s="167">
        <v>0</v>
      </c>
      <c r="CS1359" s="167">
        <v>0</v>
      </c>
      <c r="CT1359" s="167">
        <v>0</v>
      </c>
      <c r="CU1359" s="167">
        <v>0</v>
      </c>
      <c r="CV1359" s="167">
        <v>0</v>
      </c>
      <c r="CW1359" s="167">
        <v>0</v>
      </c>
      <c r="CX1359" s="167">
        <f>SUM(CD1359:CH1359)</f>
        <v>0.33333333333333331</v>
      </c>
      <c r="CY1359" s="167">
        <f>SUM(CD1359:CM1359)</f>
        <v>1</v>
      </c>
    </row>
    <row r="1360" spans="1:103" ht="12.75" customHeight="1" x14ac:dyDescent="0.2">
      <c r="A1360" s="81">
        <v>6885</v>
      </c>
      <c r="B1360" s="165" t="s">
        <v>1955</v>
      </c>
      <c r="C1360" s="165" t="s">
        <v>2401</v>
      </c>
      <c r="E1360" s="165" t="s">
        <v>2402</v>
      </c>
      <c r="G1360" s="81">
        <v>525906</v>
      </c>
      <c r="H1360" s="81">
        <v>173856</v>
      </c>
      <c r="I1360" s="165" t="s">
        <v>249</v>
      </c>
      <c r="L1360" s="166">
        <v>2</v>
      </c>
      <c r="M1360" s="166">
        <v>3</v>
      </c>
      <c r="N1360" s="166">
        <v>1</v>
      </c>
      <c r="O1360" s="166">
        <v>3</v>
      </c>
      <c r="P1360" s="166">
        <v>1</v>
      </c>
      <c r="R1360" s="165" t="s">
        <v>2403</v>
      </c>
      <c r="S1360" s="81" t="s">
        <v>121</v>
      </c>
      <c r="T1360" s="349">
        <v>43186</v>
      </c>
      <c r="W1360" s="81" t="s">
        <v>114</v>
      </c>
      <c r="Y1360" s="81" t="s">
        <v>115</v>
      </c>
      <c r="Z1360" s="81" t="s">
        <v>398</v>
      </c>
      <c r="AA1360" s="81" t="s">
        <v>117</v>
      </c>
      <c r="AB1360" s="81" t="s">
        <v>220</v>
      </c>
      <c r="AC1360" s="166">
        <v>1.09999999403954E-2</v>
      </c>
      <c r="AG1360" s="81" t="s">
        <v>238</v>
      </c>
      <c r="AH1360" s="81" t="s">
        <v>118</v>
      </c>
      <c r="AK1360" s="166">
        <v>0</v>
      </c>
      <c r="AM1360" s="166">
        <v>0</v>
      </c>
      <c r="AO1360" s="166">
        <v>-1</v>
      </c>
      <c r="AP1360" s="166">
        <v>1</v>
      </c>
      <c r="AQ1360" s="166">
        <v>1</v>
      </c>
      <c r="AR1360" s="166">
        <v>0</v>
      </c>
      <c r="AS1360" s="166">
        <v>0</v>
      </c>
      <c r="AT1360" s="166">
        <v>0</v>
      </c>
      <c r="AU1360" s="166">
        <v>0</v>
      </c>
      <c r="AV1360" s="166">
        <v>-1</v>
      </c>
      <c r="AW1360" s="166">
        <v>1</v>
      </c>
      <c r="AX1360" s="166">
        <v>1</v>
      </c>
      <c r="AY1360" s="166">
        <v>0</v>
      </c>
      <c r="AZ1360" s="166">
        <v>0</v>
      </c>
      <c r="BA1360" s="166">
        <v>0</v>
      </c>
      <c r="BB1360" s="166">
        <v>0</v>
      </c>
      <c r="BC1360" s="166">
        <v>0</v>
      </c>
      <c r="BD1360" s="166">
        <v>0</v>
      </c>
      <c r="BE1360" s="166">
        <v>0</v>
      </c>
      <c r="BF1360" s="166">
        <v>0</v>
      </c>
      <c r="BG1360" s="166">
        <v>0</v>
      </c>
      <c r="BH1360" s="166">
        <v>0</v>
      </c>
      <c r="BI1360" s="166">
        <v>0</v>
      </c>
      <c r="BJ1360" s="166">
        <v>0</v>
      </c>
      <c r="BK1360" s="166">
        <v>0</v>
      </c>
      <c r="BL1360" s="166">
        <v>0</v>
      </c>
      <c r="BM1360" s="166">
        <v>0</v>
      </c>
      <c r="BN1360" s="166">
        <v>0</v>
      </c>
      <c r="BO1360" s="166">
        <v>0</v>
      </c>
      <c r="BP1360" s="166">
        <v>0</v>
      </c>
      <c r="BQ1360" s="81" t="s">
        <v>1758</v>
      </c>
      <c r="BZ1360" s="81" t="s">
        <v>155</v>
      </c>
      <c r="CA1360" s="81">
        <v>10</v>
      </c>
      <c r="CC1360" s="167">
        <v>0</v>
      </c>
      <c r="CD1360" s="167">
        <v>0</v>
      </c>
      <c r="CE1360" s="167">
        <v>0</v>
      </c>
      <c r="CF1360" s="167">
        <v>0</v>
      </c>
      <c r="CG1360" s="167">
        <v>0</v>
      </c>
      <c r="CH1360" s="167">
        <f>$N1360/3</f>
        <v>0.33333333333333331</v>
      </c>
      <c r="CI1360" s="167">
        <f>$N1360/3</f>
        <v>0.33333333333333331</v>
      </c>
      <c r="CJ1360" s="167">
        <f>$N1360/3</f>
        <v>0.33333333333333331</v>
      </c>
      <c r="CK1360" s="167">
        <v>0</v>
      </c>
      <c r="CL1360" s="167">
        <v>0</v>
      </c>
      <c r="CM1360" s="167">
        <v>0</v>
      </c>
      <c r="CN1360" s="167">
        <v>0</v>
      </c>
      <c r="CO1360" s="167">
        <v>0</v>
      </c>
      <c r="CP1360" s="167">
        <v>0</v>
      </c>
      <c r="CQ1360" s="167">
        <v>0</v>
      </c>
      <c r="CR1360" s="167">
        <v>0</v>
      </c>
      <c r="CS1360" s="167">
        <v>0</v>
      </c>
      <c r="CT1360" s="167">
        <v>0</v>
      </c>
      <c r="CU1360" s="167">
        <v>0</v>
      </c>
      <c r="CV1360" s="167">
        <v>0</v>
      </c>
      <c r="CW1360" s="167">
        <v>0</v>
      </c>
      <c r="CX1360" s="167">
        <f>SUM(CD1360:CH1360)</f>
        <v>0.33333333333333331</v>
      </c>
      <c r="CY1360" s="167">
        <f>SUM(CD1360:CM1360)</f>
        <v>1</v>
      </c>
    </row>
    <row r="1361" spans="1:103" ht="12.75" customHeight="1" x14ac:dyDescent="0.2">
      <c r="A1361" s="81">
        <v>6921</v>
      </c>
      <c r="B1361" s="165" t="s">
        <v>1955</v>
      </c>
      <c r="C1361" s="165" t="s">
        <v>2404</v>
      </c>
      <c r="E1361" s="165" t="s">
        <v>2405</v>
      </c>
      <c r="F1361" s="165" t="s">
        <v>1803</v>
      </c>
      <c r="G1361" s="81">
        <v>526971</v>
      </c>
      <c r="H1361" s="81">
        <v>176456</v>
      </c>
      <c r="I1361" s="165" t="s">
        <v>257</v>
      </c>
      <c r="L1361" s="166">
        <v>0</v>
      </c>
      <c r="M1361" s="166">
        <v>1</v>
      </c>
      <c r="N1361" s="166">
        <v>1</v>
      </c>
      <c r="O1361" s="166">
        <v>1</v>
      </c>
      <c r="P1361" s="166">
        <v>1</v>
      </c>
      <c r="R1361" s="165" t="s">
        <v>2406</v>
      </c>
      <c r="S1361" s="81" t="s">
        <v>121</v>
      </c>
      <c r="T1361" s="349">
        <v>43166</v>
      </c>
      <c r="W1361" s="81" t="s">
        <v>114</v>
      </c>
      <c r="Y1361" s="81" t="s">
        <v>115</v>
      </c>
      <c r="Z1361" s="81" t="s">
        <v>219</v>
      </c>
      <c r="AA1361" s="81" t="s">
        <v>117</v>
      </c>
      <c r="AB1361" s="81" t="s">
        <v>3889</v>
      </c>
      <c r="AC1361" s="166">
        <v>6.0000000521540598E-3</v>
      </c>
      <c r="AG1361" s="81" t="s">
        <v>238</v>
      </c>
      <c r="AH1361" s="81" t="s">
        <v>118</v>
      </c>
      <c r="AK1361" s="166">
        <v>0</v>
      </c>
      <c r="AM1361" s="166">
        <v>0</v>
      </c>
      <c r="AO1361" s="166">
        <v>0</v>
      </c>
      <c r="AP1361" s="166">
        <v>0</v>
      </c>
      <c r="AQ1361" s="166">
        <v>1</v>
      </c>
      <c r="AR1361" s="166">
        <v>0</v>
      </c>
      <c r="AS1361" s="166">
        <v>0</v>
      </c>
      <c r="AT1361" s="166">
        <v>0</v>
      </c>
      <c r="AU1361" s="166">
        <v>0</v>
      </c>
      <c r="AV1361" s="166">
        <v>0</v>
      </c>
      <c r="AW1361" s="166">
        <v>0</v>
      </c>
      <c r="AX1361" s="166">
        <v>1</v>
      </c>
      <c r="AY1361" s="166">
        <v>0</v>
      </c>
      <c r="AZ1361" s="166">
        <v>0</v>
      </c>
      <c r="BA1361" s="166">
        <v>0</v>
      </c>
      <c r="BB1361" s="166">
        <v>0</v>
      </c>
      <c r="BC1361" s="166">
        <v>0</v>
      </c>
      <c r="BD1361" s="166">
        <v>0</v>
      </c>
      <c r="BE1361" s="166">
        <v>0</v>
      </c>
      <c r="BF1361" s="166">
        <v>0</v>
      </c>
      <c r="BG1361" s="166">
        <v>0</v>
      </c>
      <c r="BH1361" s="166">
        <v>0</v>
      </c>
      <c r="BI1361" s="166">
        <v>0</v>
      </c>
      <c r="BJ1361" s="166">
        <v>0</v>
      </c>
      <c r="BK1361" s="166">
        <v>0</v>
      </c>
      <c r="BL1361" s="166">
        <v>0</v>
      </c>
      <c r="BM1361" s="166">
        <v>0</v>
      </c>
      <c r="BN1361" s="166">
        <v>0</v>
      </c>
      <c r="BO1361" s="166">
        <v>0</v>
      </c>
      <c r="BP1361" s="166">
        <v>0</v>
      </c>
      <c r="BQ1361" s="81" t="s">
        <v>1757</v>
      </c>
      <c r="BZ1361" s="81" t="s">
        <v>155</v>
      </c>
      <c r="CA1361" s="81">
        <v>10</v>
      </c>
      <c r="CC1361" s="167">
        <v>0</v>
      </c>
      <c r="CD1361" s="167">
        <v>0</v>
      </c>
      <c r="CE1361" s="167">
        <v>0</v>
      </c>
      <c r="CF1361" s="167">
        <v>0</v>
      </c>
      <c r="CG1361" s="167">
        <v>0</v>
      </c>
      <c r="CH1361" s="167">
        <f>$N1361/3</f>
        <v>0.33333333333333331</v>
      </c>
      <c r="CI1361" s="167">
        <f>$N1361/3</f>
        <v>0.33333333333333331</v>
      </c>
      <c r="CJ1361" s="167">
        <f>$N1361/3</f>
        <v>0.33333333333333331</v>
      </c>
      <c r="CK1361" s="167">
        <v>0</v>
      </c>
      <c r="CL1361" s="167">
        <v>0</v>
      </c>
      <c r="CM1361" s="167">
        <v>0</v>
      </c>
      <c r="CN1361" s="167">
        <v>0</v>
      </c>
      <c r="CO1361" s="167">
        <v>0</v>
      </c>
      <c r="CP1361" s="167">
        <v>0</v>
      </c>
      <c r="CQ1361" s="167">
        <v>0</v>
      </c>
      <c r="CR1361" s="167">
        <v>0</v>
      </c>
      <c r="CS1361" s="167">
        <v>0</v>
      </c>
      <c r="CT1361" s="167">
        <v>0</v>
      </c>
      <c r="CU1361" s="167">
        <v>0</v>
      </c>
      <c r="CV1361" s="167">
        <v>0</v>
      </c>
      <c r="CW1361" s="167">
        <v>0</v>
      </c>
      <c r="CX1361" s="167">
        <f>SUM(CD1361:CH1361)</f>
        <v>0.33333333333333331</v>
      </c>
      <c r="CY1361" s="167">
        <f>SUM(CD1361:CM1361)</f>
        <v>1</v>
      </c>
    </row>
    <row r="1362" spans="1:103" ht="12.75" customHeight="1" x14ac:dyDescent="0.2">
      <c r="A1362" s="81">
        <v>3523</v>
      </c>
      <c r="B1362" s="165" t="s">
        <v>1902</v>
      </c>
      <c r="C1362" s="165" t="s">
        <v>1903</v>
      </c>
      <c r="D1362" s="165" t="s">
        <v>1904</v>
      </c>
      <c r="E1362" s="165" t="s">
        <v>1752</v>
      </c>
      <c r="G1362" s="81">
        <v>526043</v>
      </c>
      <c r="H1362" s="81">
        <v>175254</v>
      </c>
      <c r="I1362" s="165" t="s">
        <v>251</v>
      </c>
      <c r="L1362" s="166">
        <v>0</v>
      </c>
      <c r="M1362" s="166">
        <v>3</v>
      </c>
      <c r="N1362" s="166">
        <v>3</v>
      </c>
      <c r="O1362" s="166">
        <v>3</v>
      </c>
      <c r="P1362" s="166">
        <v>3</v>
      </c>
      <c r="R1362" s="165" t="s">
        <v>1905</v>
      </c>
      <c r="S1362" s="81" t="s">
        <v>1906</v>
      </c>
      <c r="W1362" s="81" t="s">
        <v>114</v>
      </c>
      <c r="Y1362" s="81" t="s">
        <v>115</v>
      </c>
      <c r="Z1362" s="81" t="s">
        <v>116</v>
      </c>
      <c r="AA1362" s="81" t="s">
        <v>117</v>
      </c>
      <c r="AB1362" s="81" t="s">
        <v>218</v>
      </c>
      <c r="AC1362" s="166">
        <v>0</v>
      </c>
      <c r="AG1362" s="81" t="s">
        <v>238</v>
      </c>
      <c r="AH1362" s="81" t="s">
        <v>118</v>
      </c>
      <c r="AI1362" s="81" t="s">
        <v>1907</v>
      </c>
      <c r="AJ1362" s="81">
        <v>17320120</v>
      </c>
      <c r="AK1362" s="166">
        <v>0</v>
      </c>
      <c r="AM1362" s="166">
        <v>0</v>
      </c>
      <c r="AO1362" s="166">
        <v>0</v>
      </c>
      <c r="AP1362" s="166">
        <v>0</v>
      </c>
      <c r="AQ1362" s="166">
        <v>0</v>
      </c>
      <c r="AR1362" s="166">
        <v>0</v>
      </c>
      <c r="AS1362" s="166">
        <v>0</v>
      </c>
      <c r="AT1362" s="166">
        <v>0</v>
      </c>
      <c r="AU1362" s="166">
        <v>3</v>
      </c>
      <c r="AV1362" s="166">
        <v>0</v>
      </c>
      <c r="AW1362" s="166">
        <v>0</v>
      </c>
      <c r="AX1362" s="166">
        <v>0</v>
      </c>
      <c r="AY1362" s="166">
        <v>0</v>
      </c>
      <c r="AZ1362" s="166">
        <v>0</v>
      </c>
      <c r="BA1362" s="166">
        <v>0</v>
      </c>
      <c r="BB1362" s="166">
        <v>3</v>
      </c>
      <c r="BC1362" s="166">
        <v>0</v>
      </c>
      <c r="BD1362" s="166">
        <v>0</v>
      </c>
      <c r="BE1362" s="166">
        <v>0</v>
      </c>
      <c r="BF1362" s="166">
        <v>0</v>
      </c>
      <c r="BG1362" s="166">
        <v>0</v>
      </c>
      <c r="BH1362" s="166">
        <v>0</v>
      </c>
      <c r="BI1362" s="166">
        <v>0</v>
      </c>
      <c r="BJ1362" s="166">
        <v>0</v>
      </c>
      <c r="BK1362" s="166">
        <v>0</v>
      </c>
      <c r="BL1362" s="166">
        <v>0</v>
      </c>
      <c r="BM1362" s="166">
        <v>0</v>
      </c>
      <c r="BN1362" s="166">
        <v>0</v>
      </c>
      <c r="BO1362" s="166">
        <v>0</v>
      </c>
      <c r="BP1362" s="166">
        <v>0</v>
      </c>
      <c r="BQ1362" s="81" t="s">
        <v>1758</v>
      </c>
      <c r="BT1362" s="81" t="s">
        <v>155</v>
      </c>
      <c r="BZ1362" s="81" t="s">
        <v>155</v>
      </c>
      <c r="CA1362" s="81">
        <v>11</v>
      </c>
      <c r="CC1362" s="167">
        <v>0</v>
      </c>
      <c r="CD1362" s="167">
        <v>0</v>
      </c>
      <c r="CE1362" s="167">
        <v>0</v>
      </c>
      <c r="CF1362" s="167">
        <v>0</v>
      </c>
      <c r="CG1362" s="167">
        <v>0</v>
      </c>
      <c r="CH1362" s="167">
        <v>0</v>
      </c>
      <c r="CI1362" s="167">
        <v>0</v>
      </c>
      <c r="CJ1362" s="167">
        <v>0</v>
      </c>
      <c r="CK1362" s="167">
        <v>0</v>
      </c>
      <c r="CL1362" s="167">
        <v>0</v>
      </c>
      <c r="CM1362" s="167">
        <v>0</v>
      </c>
      <c r="CN1362" s="167">
        <v>0</v>
      </c>
      <c r="CO1362" s="167">
        <f>$N1362/12</f>
        <v>0.25</v>
      </c>
      <c r="CP1362" s="167">
        <f>$N1362/12</f>
        <v>0.25</v>
      </c>
      <c r="CQ1362" s="167">
        <f>$N1362/12</f>
        <v>0.25</v>
      </c>
      <c r="CR1362" s="167">
        <f>$N1362/12</f>
        <v>0.25</v>
      </c>
      <c r="CS1362" s="167">
        <f>$N1362/12</f>
        <v>0.25</v>
      </c>
      <c r="CT1362" s="167">
        <f>$N1362/12</f>
        <v>0.25</v>
      </c>
      <c r="CU1362" s="167">
        <f>$N1362/12</f>
        <v>0.25</v>
      </c>
      <c r="CV1362" s="167">
        <f>$N1362/12</f>
        <v>0.25</v>
      </c>
      <c r="CW1362" s="167">
        <f>$N1362/12</f>
        <v>0.25</v>
      </c>
      <c r="CX1362" s="167">
        <f>SUM(CD1362:CH1362)</f>
        <v>0</v>
      </c>
      <c r="CY1362" s="167">
        <f>SUM(CD1362:CM1362)</f>
        <v>0</v>
      </c>
    </row>
    <row r="1363" spans="1:103" ht="12.75" customHeight="1" x14ac:dyDescent="0.2">
      <c r="A1363" s="81">
        <v>3955</v>
      </c>
      <c r="B1363" s="165" t="s">
        <v>1902</v>
      </c>
      <c r="C1363" s="165" t="s">
        <v>3018</v>
      </c>
      <c r="E1363" s="165" t="s">
        <v>3019</v>
      </c>
      <c r="G1363" s="81">
        <v>526045</v>
      </c>
      <c r="H1363" s="81">
        <v>175348</v>
      </c>
      <c r="I1363" s="165" t="s">
        <v>251</v>
      </c>
      <c r="L1363" s="166">
        <v>0</v>
      </c>
      <c r="M1363" s="166">
        <v>42</v>
      </c>
      <c r="N1363" s="166">
        <v>42</v>
      </c>
      <c r="O1363" s="166">
        <v>62</v>
      </c>
      <c r="P1363" s="166">
        <v>62</v>
      </c>
      <c r="Q1363" s="81" t="s">
        <v>155</v>
      </c>
      <c r="R1363" s="165" t="s">
        <v>1905</v>
      </c>
      <c r="S1363" s="81" t="s">
        <v>1906</v>
      </c>
      <c r="W1363" s="81" t="s">
        <v>114</v>
      </c>
      <c r="Y1363" s="81" t="s">
        <v>115</v>
      </c>
      <c r="Z1363" s="81" t="s">
        <v>116</v>
      </c>
      <c r="AA1363" s="81" t="s">
        <v>116</v>
      </c>
      <c r="AB1363" s="81" t="s">
        <v>117</v>
      </c>
      <c r="AC1363" s="166">
        <v>0</v>
      </c>
      <c r="AG1363" s="81" t="s">
        <v>238</v>
      </c>
      <c r="AH1363" s="81" t="s">
        <v>118</v>
      </c>
      <c r="AI1363" s="81" t="s">
        <v>3020</v>
      </c>
      <c r="AK1363" s="166">
        <v>0</v>
      </c>
      <c r="AM1363" s="166">
        <v>0</v>
      </c>
      <c r="AO1363" s="166">
        <v>0</v>
      </c>
      <c r="AP1363" s="166">
        <v>0</v>
      </c>
      <c r="AQ1363" s="166">
        <v>0</v>
      </c>
      <c r="AR1363" s="166">
        <v>0</v>
      </c>
      <c r="AS1363" s="166">
        <v>0</v>
      </c>
      <c r="AT1363" s="166">
        <v>0</v>
      </c>
      <c r="AU1363" s="166">
        <v>42</v>
      </c>
      <c r="AV1363" s="166">
        <v>0</v>
      </c>
      <c r="AW1363" s="166">
        <v>0</v>
      </c>
      <c r="AX1363" s="166">
        <v>0</v>
      </c>
      <c r="AY1363" s="166">
        <v>0</v>
      </c>
      <c r="AZ1363" s="166">
        <v>0</v>
      </c>
      <c r="BA1363" s="166">
        <v>0</v>
      </c>
      <c r="BB1363" s="166">
        <v>42</v>
      </c>
      <c r="BC1363" s="166">
        <v>0</v>
      </c>
      <c r="BD1363" s="166">
        <v>0</v>
      </c>
      <c r="BE1363" s="166">
        <v>0</v>
      </c>
      <c r="BF1363" s="166">
        <v>0</v>
      </c>
      <c r="BG1363" s="166">
        <v>0</v>
      </c>
      <c r="BH1363" s="166">
        <v>0</v>
      </c>
      <c r="BI1363" s="166">
        <v>0</v>
      </c>
      <c r="BJ1363" s="166">
        <v>0</v>
      </c>
      <c r="BK1363" s="166">
        <v>0</v>
      </c>
      <c r="BL1363" s="166">
        <v>0</v>
      </c>
      <c r="BM1363" s="166">
        <v>0</v>
      </c>
      <c r="BN1363" s="166">
        <v>0</v>
      </c>
      <c r="BO1363" s="166">
        <v>0</v>
      </c>
      <c r="BP1363" s="166">
        <v>0</v>
      </c>
      <c r="BQ1363" s="81" t="s">
        <v>1758</v>
      </c>
      <c r="BT1363" s="81" t="s">
        <v>155</v>
      </c>
      <c r="BZ1363" s="81" t="s">
        <v>155</v>
      </c>
      <c r="CA1363" s="81">
        <v>11</v>
      </c>
      <c r="CC1363" s="167">
        <v>0</v>
      </c>
      <c r="CD1363" s="167">
        <v>0</v>
      </c>
      <c r="CE1363" s="167">
        <v>0</v>
      </c>
      <c r="CF1363" s="167">
        <v>0</v>
      </c>
      <c r="CG1363" s="167">
        <v>0</v>
      </c>
      <c r="CH1363" s="167">
        <v>0</v>
      </c>
      <c r="CI1363" s="167">
        <v>0</v>
      </c>
      <c r="CJ1363" s="167">
        <f>$N1363/17</f>
        <v>2.4705882352941178</v>
      </c>
      <c r="CK1363" s="167">
        <f>$N1363/17</f>
        <v>2.4705882352941178</v>
      </c>
      <c r="CL1363" s="167">
        <f>$N1363/17</f>
        <v>2.4705882352941178</v>
      </c>
      <c r="CM1363" s="167">
        <f>$N1363/17</f>
        <v>2.4705882352941178</v>
      </c>
      <c r="CN1363" s="167">
        <f>$N1363/17</f>
        <v>2.4705882352941178</v>
      </c>
      <c r="CO1363" s="167">
        <f>$N1363/17</f>
        <v>2.4705882352941178</v>
      </c>
      <c r="CP1363" s="167">
        <f>$N1363/17</f>
        <v>2.4705882352941178</v>
      </c>
      <c r="CQ1363" s="167">
        <f>$N1363/17</f>
        <v>2.4705882352941178</v>
      </c>
      <c r="CR1363" s="167">
        <f>$N1363/17</f>
        <v>2.4705882352941178</v>
      </c>
      <c r="CS1363" s="167">
        <f>$N1363/17</f>
        <v>2.4705882352941178</v>
      </c>
      <c r="CT1363" s="167">
        <f>$N1363/17</f>
        <v>2.4705882352941178</v>
      </c>
      <c r="CU1363" s="167">
        <f>$N1363/17</f>
        <v>2.4705882352941178</v>
      </c>
      <c r="CV1363" s="167">
        <f>$N1363/17</f>
        <v>2.4705882352941178</v>
      </c>
      <c r="CW1363" s="167">
        <f>$N1363/17</f>
        <v>2.4705882352941178</v>
      </c>
      <c r="CX1363" s="167">
        <f>SUM(CD1363:CH1363)</f>
        <v>0</v>
      </c>
      <c r="CY1363" s="167">
        <f>SUM(CD1363:CM1363)</f>
        <v>9.882352941176471</v>
      </c>
    </row>
    <row r="1364" spans="1:103" ht="12.75" customHeight="1" x14ac:dyDescent="0.2">
      <c r="A1364" s="81">
        <v>3955</v>
      </c>
      <c r="B1364" s="165" t="s">
        <v>1902</v>
      </c>
      <c r="C1364" s="165" t="s">
        <v>3018</v>
      </c>
      <c r="E1364" s="165" t="s">
        <v>3019</v>
      </c>
      <c r="G1364" s="81">
        <v>526045</v>
      </c>
      <c r="H1364" s="81">
        <v>175348</v>
      </c>
      <c r="I1364" s="165" t="s">
        <v>251</v>
      </c>
      <c r="L1364" s="166">
        <v>0</v>
      </c>
      <c r="M1364" s="166">
        <v>12</v>
      </c>
      <c r="N1364" s="166">
        <v>12</v>
      </c>
      <c r="O1364" s="166">
        <v>62</v>
      </c>
      <c r="P1364" s="166">
        <v>62</v>
      </c>
      <c r="Q1364" s="81" t="s">
        <v>155</v>
      </c>
      <c r="R1364" s="165" t="s">
        <v>1905</v>
      </c>
      <c r="S1364" s="81" t="s">
        <v>1906</v>
      </c>
      <c r="W1364" s="81" t="s">
        <v>114</v>
      </c>
      <c r="Y1364" s="81" t="s">
        <v>115</v>
      </c>
      <c r="Z1364" s="81" t="s">
        <v>116</v>
      </c>
      <c r="AA1364" s="81" t="s">
        <v>116</v>
      </c>
      <c r="AB1364" s="81" t="s">
        <v>117</v>
      </c>
      <c r="AC1364" s="166">
        <v>0</v>
      </c>
      <c r="AG1364" s="81" t="s">
        <v>154</v>
      </c>
      <c r="AH1364" s="81" t="s">
        <v>276</v>
      </c>
      <c r="AI1364" s="81" t="s">
        <v>3020</v>
      </c>
      <c r="AK1364" s="166">
        <v>0</v>
      </c>
      <c r="AM1364" s="166">
        <v>0</v>
      </c>
      <c r="AO1364" s="166">
        <v>0</v>
      </c>
      <c r="AP1364" s="166">
        <v>0</v>
      </c>
      <c r="AQ1364" s="166">
        <v>0</v>
      </c>
      <c r="AR1364" s="166">
        <v>0</v>
      </c>
      <c r="AS1364" s="166">
        <v>0</v>
      </c>
      <c r="AT1364" s="166">
        <v>0</v>
      </c>
      <c r="AU1364" s="166">
        <v>12</v>
      </c>
      <c r="AV1364" s="166">
        <v>0</v>
      </c>
      <c r="AW1364" s="166">
        <v>0</v>
      </c>
      <c r="AX1364" s="166">
        <v>0</v>
      </c>
      <c r="AY1364" s="166">
        <v>0</v>
      </c>
      <c r="AZ1364" s="166">
        <v>0</v>
      </c>
      <c r="BA1364" s="166">
        <v>0</v>
      </c>
      <c r="BB1364" s="166">
        <v>12</v>
      </c>
      <c r="BC1364" s="166">
        <v>0</v>
      </c>
      <c r="BD1364" s="166">
        <v>0</v>
      </c>
      <c r="BE1364" s="166">
        <v>0</v>
      </c>
      <c r="BF1364" s="166">
        <v>0</v>
      </c>
      <c r="BG1364" s="166">
        <v>0</v>
      </c>
      <c r="BH1364" s="166">
        <v>0</v>
      </c>
      <c r="BI1364" s="166">
        <v>0</v>
      </c>
      <c r="BJ1364" s="166">
        <v>0</v>
      </c>
      <c r="BK1364" s="166">
        <v>0</v>
      </c>
      <c r="BL1364" s="166">
        <v>0</v>
      </c>
      <c r="BM1364" s="166">
        <v>0</v>
      </c>
      <c r="BN1364" s="166">
        <v>0</v>
      </c>
      <c r="BO1364" s="166">
        <v>0</v>
      </c>
      <c r="BP1364" s="166">
        <v>0</v>
      </c>
      <c r="BQ1364" s="81" t="s">
        <v>1758</v>
      </c>
      <c r="BT1364" s="81" t="s">
        <v>155</v>
      </c>
      <c r="BZ1364" s="81" t="s">
        <v>155</v>
      </c>
      <c r="CA1364" s="81">
        <v>11</v>
      </c>
      <c r="CC1364" s="167">
        <v>0</v>
      </c>
      <c r="CD1364" s="167">
        <v>0</v>
      </c>
      <c r="CE1364" s="167">
        <v>0</v>
      </c>
      <c r="CF1364" s="167">
        <v>0</v>
      </c>
      <c r="CG1364" s="167">
        <v>0</v>
      </c>
      <c r="CH1364" s="167">
        <v>0</v>
      </c>
      <c r="CI1364" s="167">
        <v>0</v>
      </c>
      <c r="CJ1364" s="167">
        <f>$N1364/17</f>
        <v>0.70588235294117652</v>
      </c>
      <c r="CK1364" s="167">
        <f>$N1364/17</f>
        <v>0.70588235294117652</v>
      </c>
      <c r="CL1364" s="167">
        <f>$N1364/17</f>
        <v>0.70588235294117652</v>
      </c>
      <c r="CM1364" s="167">
        <f>$N1364/17</f>
        <v>0.70588235294117652</v>
      </c>
      <c r="CN1364" s="167">
        <f>$N1364/17</f>
        <v>0.70588235294117652</v>
      </c>
      <c r="CO1364" s="167">
        <f>$N1364/17</f>
        <v>0.70588235294117652</v>
      </c>
      <c r="CP1364" s="167">
        <f>$N1364/17</f>
        <v>0.70588235294117652</v>
      </c>
      <c r="CQ1364" s="167">
        <f>$N1364/17</f>
        <v>0.70588235294117652</v>
      </c>
      <c r="CR1364" s="167">
        <f>$N1364/17</f>
        <v>0.70588235294117652</v>
      </c>
      <c r="CS1364" s="167">
        <f>$N1364/17</f>
        <v>0.70588235294117652</v>
      </c>
      <c r="CT1364" s="167">
        <f>$N1364/17</f>
        <v>0.70588235294117652</v>
      </c>
      <c r="CU1364" s="167">
        <f>$N1364/17</f>
        <v>0.70588235294117652</v>
      </c>
      <c r="CV1364" s="167">
        <f>$N1364/17</f>
        <v>0.70588235294117652</v>
      </c>
      <c r="CW1364" s="167">
        <f>$N1364/17</f>
        <v>0.70588235294117652</v>
      </c>
      <c r="CX1364" s="167">
        <f>SUM(CD1364:CH1364)</f>
        <v>0</v>
      </c>
      <c r="CY1364" s="167">
        <f>SUM(CD1364:CM1364)</f>
        <v>2.8235294117647061</v>
      </c>
    </row>
    <row r="1365" spans="1:103" ht="12.75" customHeight="1" x14ac:dyDescent="0.2">
      <c r="A1365" s="81">
        <v>3955</v>
      </c>
      <c r="B1365" s="165" t="s">
        <v>1902</v>
      </c>
      <c r="C1365" s="165" t="s">
        <v>3018</v>
      </c>
      <c r="E1365" s="165" t="s">
        <v>3019</v>
      </c>
      <c r="G1365" s="81">
        <v>526045</v>
      </c>
      <c r="H1365" s="81">
        <v>175348</v>
      </c>
      <c r="I1365" s="165" t="s">
        <v>251</v>
      </c>
      <c r="L1365" s="166">
        <v>0</v>
      </c>
      <c r="M1365" s="166">
        <v>8</v>
      </c>
      <c r="N1365" s="166">
        <v>8</v>
      </c>
      <c r="O1365" s="166">
        <v>62</v>
      </c>
      <c r="P1365" s="166">
        <v>62</v>
      </c>
      <c r="Q1365" s="81" t="s">
        <v>155</v>
      </c>
      <c r="R1365" s="165" t="s">
        <v>1905</v>
      </c>
      <c r="S1365" s="81" t="s">
        <v>1906</v>
      </c>
      <c r="W1365" s="81" t="s">
        <v>114</v>
      </c>
      <c r="Y1365" s="81" t="s">
        <v>115</v>
      </c>
      <c r="Z1365" s="81" t="s">
        <v>116</v>
      </c>
      <c r="AA1365" s="81" t="s">
        <v>116</v>
      </c>
      <c r="AB1365" s="81" t="s">
        <v>117</v>
      </c>
      <c r="AC1365" s="166">
        <v>0</v>
      </c>
      <c r="AG1365" s="81" t="s">
        <v>74</v>
      </c>
      <c r="AH1365" s="81" t="s">
        <v>880</v>
      </c>
      <c r="AI1365" s="81" t="s">
        <v>3020</v>
      </c>
      <c r="AK1365" s="166">
        <v>0</v>
      </c>
      <c r="AM1365" s="166">
        <v>0</v>
      </c>
      <c r="AO1365" s="166">
        <v>0</v>
      </c>
      <c r="AP1365" s="166">
        <v>0</v>
      </c>
      <c r="AQ1365" s="166">
        <v>0</v>
      </c>
      <c r="AR1365" s="166">
        <v>0</v>
      </c>
      <c r="AS1365" s="166">
        <v>0</v>
      </c>
      <c r="AT1365" s="166">
        <v>0</v>
      </c>
      <c r="AU1365" s="166">
        <v>8</v>
      </c>
      <c r="AV1365" s="166">
        <v>0</v>
      </c>
      <c r="AW1365" s="166">
        <v>0</v>
      </c>
      <c r="AX1365" s="166">
        <v>0</v>
      </c>
      <c r="AY1365" s="166">
        <v>0</v>
      </c>
      <c r="AZ1365" s="166">
        <v>0</v>
      </c>
      <c r="BA1365" s="166">
        <v>0</v>
      </c>
      <c r="BB1365" s="166">
        <v>8</v>
      </c>
      <c r="BC1365" s="166">
        <v>0</v>
      </c>
      <c r="BD1365" s="166">
        <v>0</v>
      </c>
      <c r="BE1365" s="166">
        <v>0</v>
      </c>
      <c r="BF1365" s="166">
        <v>0</v>
      </c>
      <c r="BG1365" s="166">
        <v>0</v>
      </c>
      <c r="BH1365" s="166">
        <v>0</v>
      </c>
      <c r="BI1365" s="166">
        <v>0</v>
      </c>
      <c r="BJ1365" s="166">
        <v>0</v>
      </c>
      <c r="BK1365" s="166">
        <v>0</v>
      </c>
      <c r="BL1365" s="166">
        <v>0</v>
      </c>
      <c r="BM1365" s="166">
        <v>0</v>
      </c>
      <c r="BN1365" s="166">
        <v>0</v>
      </c>
      <c r="BO1365" s="166">
        <v>0</v>
      </c>
      <c r="BP1365" s="166">
        <v>0</v>
      </c>
      <c r="BQ1365" s="81" t="s">
        <v>1758</v>
      </c>
      <c r="BT1365" s="81" t="s">
        <v>155</v>
      </c>
      <c r="BZ1365" s="81" t="s">
        <v>155</v>
      </c>
      <c r="CA1365" s="81">
        <v>11</v>
      </c>
      <c r="CC1365" s="167">
        <v>0</v>
      </c>
      <c r="CD1365" s="167">
        <v>0</v>
      </c>
      <c r="CE1365" s="167">
        <v>0</v>
      </c>
      <c r="CF1365" s="167">
        <v>0</v>
      </c>
      <c r="CG1365" s="167">
        <v>0</v>
      </c>
      <c r="CH1365" s="167">
        <v>0</v>
      </c>
      <c r="CI1365" s="167">
        <v>0</v>
      </c>
      <c r="CJ1365" s="167">
        <f>$N1365/17</f>
        <v>0.47058823529411764</v>
      </c>
      <c r="CK1365" s="167">
        <f>$N1365/17</f>
        <v>0.47058823529411764</v>
      </c>
      <c r="CL1365" s="167">
        <f>$N1365/17</f>
        <v>0.47058823529411764</v>
      </c>
      <c r="CM1365" s="167">
        <f>$N1365/17</f>
        <v>0.47058823529411764</v>
      </c>
      <c r="CN1365" s="167">
        <f>$N1365/17</f>
        <v>0.47058823529411764</v>
      </c>
      <c r="CO1365" s="167">
        <f>$N1365/17</f>
        <v>0.47058823529411764</v>
      </c>
      <c r="CP1365" s="167">
        <f>$N1365/17</f>
        <v>0.47058823529411764</v>
      </c>
      <c r="CQ1365" s="167">
        <f>$N1365/17</f>
        <v>0.47058823529411764</v>
      </c>
      <c r="CR1365" s="167">
        <f>$N1365/17</f>
        <v>0.47058823529411764</v>
      </c>
      <c r="CS1365" s="167">
        <f>$N1365/17</f>
        <v>0.47058823529411764</v>
      </c>
      <c r="CT1365" s="167">
        <f>$N1365/17</f>
        <v>0.47058823529411764</v>
      </c>
      <c r="CU1365" s="167">
        <f>$N1365/17</f>
        <v>0.47058823529411764</v>
      </c>
      <c r="CV1365" s="167">
        <f>$N1365/17</f>
        <v>0.47058823529411764</v>
      </c>
      <c r="CW1365" s="167">
        <f>$N1365/17</f>
        <v>0.47058823529411764</v>
      </c>
      <c r="CX1365" s="167">
        <f>SUM(CD1365:CH1365)</f>
        <v>0</v>
      </c>
      <c r="CY1365" s="167">
        <f>SUM(CD1365:CM1365)</f>
        <v>1.8823529411764706</v>
      </c>
    </row>
    <row r="1366" spans="1:103" ht="12.75" customHeight="1" x14ac:dyDescent="0.2">
      <c r="A1366" s="81">
        <v>3956</v>
      </c>
      <c r="B1366" s="165" t="s">
        <v>1902</v>
      </c>
      <c r="C1366" s="165" t="s">
        <v>1917</v>
      </c>
      <c r="E1366" s="165" t="s">
        <v>1755</v>
      </c>
      <c r="G1366" s="81">
        <v>526150</v>
      </c>
      <c r="H1366" s="81">
        <v>175269</v>
      </c>
      <c r="I1366" s="165" t="s">
        <v>241</v>
      </c>
      <c r="L1366" s="166">
        <v>0</v>
      </c>
      <c r="M1366" s="166">
        <v>7</v>
      </c>
      <c r="N1366" s="166">
        <v>7</v>
      </c>
      <c r="O1366" s="166">
        <v>7</v>
      </c>
      <c r="P1366" s="166">
        <v>7</v>
      </c>
      <c r="R1366" s="165" t="s">
        <v>1905</v>
      </c>
      <c r="S1366" s="81" t="s">
        <v>1906</v>
      </c>
      <c r="W1366" s="81" t="s">
        <v>114</v>
      </c>
      <c r="Y1366" s="81" t="s">
        <v>115</v>
      </c>
      <c r="Z1366" s="81" t="s">
        <v>116</v>
      </c>
      <c r="AA1366" s="81" t="s">
        <v>116</v>
      </c>
      <c r="AB1366" s="81" t="s">
        <v>117</v>
      </c>
      <c r="AC1366" s="166">
        <v>0</v>
      </c>
      <c r="AG1366" s="81" t="s">
        <v>238</v>
      </c>
      <c r="AH1366" s="81" t="s">
        <v>118</v>
      </c>
      <c r="AI1366" s="81" t="s">
        <v>1744</v>
      </c>
      <c r="AJ1366" s="81">
        <v>17320282</v>
      </c>
      <c r="AK1366" s="166">
        <v>0</v>
      </c>
      <c r="AM1366" s="166">
        <v>0</v>
      </c>
      <c r="AO1366" s="166">
        <v>0</v>
      </c>
      <c r="AP1366" s="166">
        <v>0</v>
      </c>
      <c r="AQ1366" s="166">
        <v>0</v>
      </c>
      <c r="AR1366" s="166">
        <v>0</v>
      </c>
      <c r="AS1366" s="166">
        <v>0</v>
      </c>
      <c r="AT1366" s="166">
        <v>0</v>
      </c>
      <c r="AU1366" s="166">
        <v>7</v>
      </c>
      <c r="AV1366" s="166">
        <v>0</v>
      </c>
      <c r="AW1366" s="166">
        <v>0</v>
      </c>
      <c r="AX1366" s="166">
        <v>0</v>
      </c>
      <c r="AY1366" s="166">
        <v>0</v>
      </c>
      <c r="AZ1366" s="166">
        <v>0</v>
      </c>
      <c r="BA1366" s="166">
        <v>0</v>
      </c>
      <c r="BB1366" s="166">
        <v>7</v>
      </c>
      <c r="BC1366" s="166">
        <v>0</v>
      </c>
      <c r="BD1366" s="166">
        <v>0</v>
      </c>
      <c r="BE1366" s="166">
        <v>0</v>
      </c>
      <c r="BF1366" s="166">
        <v>0</v>
      </c>
      <c r="BG1366" s="166">
        <v>0</v>
      </c>
      <c r="BH1366" s="166">
        <v>0</v>
      </c>
      <c r="BI1366" s="166">
        <v>0</v>
      </c>
      <c r="BJ1366" s="166">
        <v>0</v>
      </c>
      <c r="BK1366" s="166">
        <v>0</v>
      </c>
      <c r="BL1366" s="166">
        <v>0</v>
      </c>
      <c r="BM1366" s="166">
        <v>0</v>
      </c>
      <c r="BN1366" s="166">
        <v>0</v>
      </c>
      <c r="BO1366" s="166">
        <v>0</v>
      </c>
      <c r="BP1366" s="166">
        <v>0</v>
      </c>
      <c r="BQ1366" s="81" t="s">
        <v>1757</v>
      </c>
      <c r="BT1366" s="81" t="s">
        <v>155</v>
      </c>
      <c r="BZ1366" s="81" t="s">
        <v>155</v>
      </c>
      <c r="CA1366" s="81">
        <v>11</v>
      </c>
      <c r="CC1366" s="167">
        <v>0</v>
      </c>
      <c r="CD1366" s="167">
        <v>0</v>
      </c>
      <c r="CE1366" s="167">
        <v>0</v>
      </c>
      <c r="CF1366" s="167">
        <v>0</v>
      </c>
      <c r="CG1366" s="167">
        <v>0</v>
      </c>
      <c r="CH1366" s="167">
        <v>0</v>
      </c>
      <c r="CI1366" s="167">
        <v>0</v>
      </c>
      <c r="CJ1366" s="167">
        <v>0</v>
      </c>
      <c r="CK1366" s="167">
        <v>0</v>
      </c>
      <c r="CL1366" s="167">
        <v>0</v>
      </c>
      <c r="CM1366" s="167">
        <v>0</v>
      </c>
      <c r="CN1366" s="167">
        <v>0</v>
      </c>
      <c r="CO1366" s="167">
        <f>$N1366/12</f>
        <v>0.58333333333333337</v>
      </c>
      <c r="CP1366" s="167">
        <f>$N1366/12</f>
        <v>0.58333333333333337</v>
      </c>
      <c r="CQ1366" s="167">
        <f>$N1366/12</f>
        <v>0.58333333333333337</v>
      </c>
      <c r="CR1366" s="167">
        <f>$N1366/12</f>
        <v>0.58333333333333337</v>
      </c>
      <c r="CS1366" s="167">
        <f>$N1366/12</f>
        <v>0.58333333333333337</v>
      </c>
      <c r="CT1366" s="167">
        <f>$N1366/12</f>
        <v>0.58333333333333337</v>
      </c>
      <c r="CU1366" s="167">
        <f>$N1366/12</f>
        <v>0.58333333333333337</v>
      </c>
      <c r="CV1366" s="167">
        <f>$N1366/12</f>
        <v>0.58333333333333337</v>
      </c>
      <c r="CW1366" s="167">
        <f>$N1366/12</f>
        <v>0.58333333333333337</v>
      </c>
      <c r="CX1366" s="167">
        <f>SUM(CD1366:CH1366)</f>
        <v>0</v>
      </c>
      <c r="CY1366" s="167">
        <f>SUM(CD1366:CM1366)</f>
        <v>0</v>
      </c>
    </row>
    <row r="1367" spans="1:103" ht="12.75" customHeight="1" x14ac:dyDescent="0.2">
      <c r="A1367" s="81">
        <v>3970</v>
      </c>
      <c r="B1367" s="165" t="s">
        <v>1902</v>
      </c>
      <c r="C1367" s="165" t="s">
        <v>1918</v>
      </c>
      <c r="E1367" s="165" t="s">
        <v>1919</v>
      </c>
      <c r="G1367" s="81">
        <v>524058</v>
      </c>
      <c r="H1367" s="81">
        <v>175199</v>
      </c>
      <c r="I1367" s="165" t="s">
        <v>259</v>
      </c>
      <c r="L1367" s="166">
        <v>0</v>
      </c>
      <c r="M1367" s="166">
        <v>3</v>
      </c>
      <c r="N1367" s="166">
        <v>3</v>
      </c>
      <c r="O1367" s="166">
        <v>3</v>
      </c>
      <c r="P1367" s="166">
        <v>3</v>
      </c>
      <c r="R1367" s="165" t="s">
        <v>1905</v>
      </c>
      <c r="S1367" s="81" t="s">
        <v>1906</v>
      </c>
      <c r="W1367" s="81" t="s">
        <v>114</v>
      </c>
      <c r="Y1367" s="81" t="s">
        <v>115</v>
      </c>
      <c r="Z1367" s="81" t="s">
        <v>116</v>
      </c>
      <c r="AA1367" s="81" t="s">
        <v>117</v>
      </c>
      <c r="AB1367" s="81" t="s">
        <v>218</v>
      </c>
      <c r="AC1367" s="166">
        <v>0</v>
      </c>
      <c r="AG1367" s="81" t="s">
        <v>238</v>
      </c>
      <c r="AH1367" s="81" t="s">
        <v>118</v>
      </c>
      <c r="AI1367" s="81" t="s">
        <v>1920</v>
      </c>
      <c r="AK1367" s="166">
        <v>0</v>
      </c>
      <c r="AM1367" s="166">
        <v>0</v>
      </c>
      <c r="AO1367" s="166">
        <v>0</v>
      </c>
      <c r="AP1367" s="166">
        <v>0</v>
      </c>
      <c r="AQ1367" s="166">
        <v>0</v>
      </c>
      <c r="AR1367" s="166">
        <v>0</v>
      </c>
      <c r="AS1367" s="166">
        <v>0</v>
      </c>
      <c r="AT1367" s="166">
        <v>0</v>
      </c>
      <c r="AU1367" s="166">
        <v>3</v>
      </c>
      <c r="AV1367" s="166">
        <v>0</v>
      </c>
      <c r="AW1367" s="166">
        <v>0</v>
      </c>
      <c r="AX1367" s="166">
        <v>0</v>
      </c>
      <c r="AY1367" s="166">
        <v>0</v>
      </c>
      <c r="AZ1367" s="166">
        <v>0</v>
      </c>
      <c r="BA1367" s="166">
        <v>0</v>
      </c>
      <c r="BB1367" s="166">
        <v>3</v>
      </c>
      <c r="BC1367" s="166">
        <v>0</v>
      </c>
      <c r="BD1367" s="166">
        <v>0</v>
      </c>
      <c r="BE1367" s="166">
        <v>0</v>
      </c>
      <c r="BF1367" s="166">
        <v>0</v>
      </c>
      <c r="BG1367" s="166">
        <v>0</v>
      </c>
      <c r="BH1367" s="166">
        <v>0</v>
      </c>
      <c r="BI1367" s="166">
        <v>0</v>
      </c>
      <c r="BJ1367" s="166">
        <v>0</v>
      </c>
      <c r="BK1367" s="166">
        <v>0</v>
      </c>
      <c r="BL1367" s="166">
        <v>0</v>
      </c>
      <c r="BM1367" s="166">
        <v>0</v>
      </c>
      <c r="BN1367" s="166">
        <v>0</v>
      </c>
      <c r="BO1367" s="166">
        <v>0</v>
      </c>
      <c r="BP1367" s="166">
        <v>0</v>
      </c>
      <c r="BQ1367" s="81" t="s">
        <v>1758</v>
      </c>
      <c r="BR1367" s="81" t="s">
        <v>161</v>
      </c>
      <c r="BZ1367" s="81" t="s">
        <v>155</v>
      </c>
      <c r="CA1367" s="81">
        <v>11</v>
      </c>
      <c r="CC1367" s="167">
        <v>0</v>
      </c>
      <c r="CD1367" s="167">
        <v>0</v>
      </c>
      <c r="CE1367" s="167">
        <v>0</v>
      </c>
      <c r="CF1367" s="167">
        <v>0</v>
      </c>
      <c r="CG1367" s="167">
        <v>0</v>
      </c>
      <c r="CH1367" s="167">
        <v>0</v>
      </c>
      <c r="CI1367" s="167">
        <v>0</v>
      </c>
      <c r="CJ1367" s="167">
        <v>0</v>
      </c>
      <c r="CK1367" s="167">
        <v>0</v>
      </c>
      <c r="CL1367" s="167">
        <v>0</v>
      </c>
      <c r="CM1367" s="167">
        <v>0</v>
      </c>
      <c r="CN1367" s="167">
        <v>0</v>
      </c>
      <c r="CO1367" s="167">
        <f>$N1367/12</f>
        <v>0.25</v>
      </c>
      <c r="CP1367" s="167">
        <f>$N1367/12</f>
        <v>0.25</v>
      </c>
      <c r="CQ1367" s="167">
        <f>$N1367/12</f>
        <v>0.25</v>
      </c>
      <c r="CR1367" s="167">
        <f>$N1367/12</f>
        <v>0.25</v>
      </c>
      <c r="CS1367" s="167">
        <f>$N1367/12</f>
        <v>0.25</v>
      </c>
      <c r="CT1367" s="167">
        <f>$N1367/12</f>
        <v>0.25</v>
      </c>
      <c r="CU1367" s="167">
        <f>$N1367/12</f>
        <v>0.25</v>
      </c>
      <c r="CV1367" s="167">
        <f>$N1367/12</f>
        <v>0.25</v>
      </c>
      <c r="CW1367" s="167">
        <f>$N1367/12</f>
        <v>0.25</v>
      </c>
      <c r="CX1367" s="167">
        <f>SUM(CD1367:CH1367)</f>
        <v>0</v>
      </c>
      <c r="CY1367" s="167">
        <f>SUM(CD1367:CM1367)</f>
        <v>0</v>
      </c>
    </row>
    <row r="1368" spans="1:103" ht="12.75" customHeight="1" x14ac:dyDescent="0.2">
      <c r="A1368" s="81">
        <v>4221</v>
      </c>
      <c r="B1368" s="165" t="s">
        <v>1902</v>
      </c>
      <c r="C1368" s="165" t="s">
        <v>3027</v>
      </c>
      <c r="E1368" s="165" t="s">
        <v>3028</v>
      </c>
      <c r="G1368" s="81">
        <v>521988</v>
      </c>
      <c r="H1368" s="81">
        <v>172610</v>
      </c>
      <c r="I1368" s="165" t="s">
        <v>877</v>
      </c>
      <c r="L1368" s="166">
        <v>0</v>
      </c>
      <c r="M1368" s="166">
        <v>229</v>
      </c>
      <c r="N1368" s="166">
        <v>229</v>
      </c>
      <c r="O1368" s="166">
        <v>342</v>
      </c>
      <c r="P1368" s="166">
        <v>342</v>
      </c>
      <c r="Q1368" s="81" t="s">
        <v>155</v>
      </c>
      <c r="R1368" s="165" t="s">
        <v>1905</v>
      </c>
      <c r="S1368" s="81" t="s">
        <v>1906</v>
      </c>
      <c r="W1368" s="81" t="s">
        <v>114</v>
      </c>
      <c r="Y1368" s="81" t="s">
        <v>115</v>
      </c>
      <c r="Z1368" s="81" t="s">
        <v>116</v>
      </c>
      <c r="AA1368" s="81" t="s">
        <v>116</v>
      </c>
      <c r="AB1368" s="81" t="s">
        <v>117</v>
      </c>
      <c r="AC1368" s="166">
        <v>0</v>
      </c>
      <c r="AG1368" s="81" t="s">
        <v>238</v>
      </c>
      <c r="AH1368" s="81" t="s">
        <v>118</v>
      </c>
      <c r="AI1368" s="81" t="s">
        <v>3029</v>
      </c>
      <c r="AJ1368" s="81">
        <v>17320018</v>
      </c>
      <c r="AK1368" s="166">
        <v>0</v>
      </c>
      <c r="AM1368" s="166">
        <v>0</v>
      </c>
      <c r="AO1368" s="166">
        <v>0</v>
      </c>
      <c r="AP1368" s="166">
        <v>0</v>
      </c>
      <c r="AQ1368" s="166">
        <v>0</v>
      </c>
      <c r="AR1368" s="166">
        <v>0</v>
      </c>
      <c r="AS1368" s="166">
        <v>0</v>
      </c>
      <c r="AT1368" s="166">
        <v>0</v>
      </c>
      <c r="AU1368" s="166">
        <v>229</v>
      </c>
      <c r="AV1368" s="166">
        <v>0</v>
      </c>
      <c r="AW1368" s="166">
        <v>0</v>
      </c>
      <c r="AX1368" s="166">
        <v>0</v>
      </c>
      <c r="AY1368" s="166">
        <v>0</v>
      </c>
      <c r="AZ1368" s="166">
        <v>0</v>
      </c>
      <c r="BA1368" s="166">
        <v>0</v>
      </c>
      <c r="BB1368" s="166">
        <v>229</v>
      </c>
      <c r="BC1368" s="166">
        <v>0</v>
      </c>
      <c r="BD1368" s="166">
        <v>0</v>
      </c>
      <c r="BE1368" s="166">
        <v>0</v>
      </c>
      <c r="BF1368" s="166">
        <v>0</v>
      </c>
      <c r="BG1368" s="166">
        <v>0</v>
      </c>
      <c r="BH1368" s="166">
        <v>0</v>
      </c>
      <c r="BI1368" s="166">
        <v>0</v>
      </c>
      <c r="BJ1368" s="166">
        <v>0</v>
      </c>
      <c r="BK1368" s="166">
        <v>0</v>
      </c>
      <c r="BL1368" s="166">
        <v>0</v>
      </c>
      <c r="BM1368" s="166">
        <v>0</v>
      </c>
      <c r="BN1368" s="166">
        <v>0</v>
      </c>
      <c r="BO1368" s="166">
        <v>0</v>
      </c>
      <c r="BP1368" s="166">
        <v>0</v>
      </c>
      <c r="BQ1368" s="81" t="s">
        <v>1758</v>
      </c>
      <c r="BZ1368" s="81" t="s">
        <v>155</v>
      </c>
      <c r="CA1368" s="81">
        <v>11</v>
      </c>
      <c r="CC1368" s="167">
        <v>0</v>
      </c>
      <c r="CD1368" s="167">
        <v>0</v>
      </c>
      <c r="CE1368" s="167">
        <v>0</v>
      </c>
      <c r="CF1368" s="167">
        <v>0</v>
      </c>
      <c r="CG1368" s="167">
        <v>0</v>
      </c>
      <c r="CH1368" s="167">
        <v>0</v>
      </c>
      <c r="CI1368" s="167">
        <v>0</v>
      </c>
      <c r="CJ1368" s="167">
        <f>$N1368/17</f>
        <v>13.470588235294118</v>
      </c>
      <c r="CK1368" s="167">
        <f>$N1368/17</f>
        <v>13.470588235294118</v>
      </c>
      <c r="CL1368" s="167">
        <f>$N1368/17</f>
        <v>13.470588235294118</v>
      </c>
      <c r="CM1368" s="167">
        <f>$N1368/17</f>
        <v>13.470588235294118</v>
      </c>
      <c r="CN1368" s="167">
        <f>$N1368/17</f>
        <v>13.470588235294118</v>
      </c>
      <c r="CO1368" s="167">
        <f>$N1368/17</f>
        <v>13.470588235294118</v>
      </c>
      <c r="CP1368" s="167">
        <f>$N1368/17</f>
        <v>13.470588235294118</v>
      </c>
      <c r="CQ1368" s="167">
        <f>$N1368/17</f>
        <v>13.470588235294118</v>
      </c>
      <c r="CR1368" s="167">
        <f>$N1368/17</f>
        <v>13.470588235294118</v>
      </c>
      <c r="CS1368" s="167">
        <f>$N1368/17</f>
        <v>13.470588235294118</v>
      </c>
      <c r="CT1368" s="167">
        <f>$N1368/17</f>
        <v>13.470588235294118</v>
      </c>
      <c r="CU1368" s="167">
        <f>$N1368/17</f>
        <v>13.470588235294118</v>
      </c>
      <c r="CV1368" s="167">
        <f>$N1368/17</f>
        <v>13.470588235294118</v>
      </c>
      <c r="CW1368" s="167">
        <f>$N1368/17</f>
        <v>13.470588235294118</v>
      </c>
      <c r="CX1368" s="167">
        <f>SUM(CD1368:CH1368)</f>
        <v>0</v>
      </c>
      <c r="CY1368" s="167">
        <f>SUM(CD1368:CM1368)</f>
        <v>53.882352941176471</v>
      </c>
    </row>
    <row r="1369" spans="1:103" ht="12.75" customHeight="1" x14ac:dyDescent="0.2">
      <c r="A1369" s="81">
        <v>4221</v>
      </c>
      <c r="B1369" s="165" t="s">
        <v>1902</v>
      </c>
      <c r="C1369" s="165" t="s">
        <v>3027</v>
      </c>
      <c r="E1369" s="165" t="s">
        <v>3028</v>
      </c>
      <c r="G1369" s="81">
        <v>521988</v>
      </c>
      <c r="H1369" s="81">
        <v>172610</v>
      </c>
      <c r="I1369" s="165" t="s">
        <v>877</v>
      </c>
      <c r="L1369" s="166">
        <v>0</v>
      </c>
      <c r="M1369" s="166">
        <v>68</v>
      </c>
      <c r="N1369" s="166">
        <v>68</v>
      </c>
      <c r="O1369" s="166">
        <v>342</v>
      </c>
      <c r="P1369" s="166">
        <v>342</v>
      </c>
      <c r="Q1369" s="81" t="s">
        <v>155</v>
      </c>
      <c r="R1369" s="165" t="s">
        <v>1905</v>
      </c>
      <c r="S1369" s="81" t="s">
        <v>1906</v>
      </c>
      <c r="W1369" s="81" t="s">
        <v>114</v>
      </c>
      <c r="Y1369" s="81" t="s">
        <v>115</v>
      </c>
      <c r="Z1369" s="81" t="s">
        <v>116</v>
      </c>
      <c r="AA1369" s="81" t="s">
        <v>116</v>
      </c>
      <c r="AB1369" s="81" t="s">
        <v>117</v>
      </c>
      <c r="AC1369" s="166">
        <v>0</v>
      </c>
      <c r="AG1369" s="81" t="s">
        <v>154</v>
      </c>
      <c r="AH1369" s="81" t="s">
        <v>276</v>
      </c>
      <c r="AI1369" s="81" t="s">
        <v>3029</v>
      </c>
      <c r="AJ1369" s="81">
        <v>17320018</v>
      </c>
      <c r="AK1369" s="166">
        <v>0</v>
      </c>
      <c r="AM1369" s="166">
        <v>0</v>
      </c>
      <c r="AO1369" s="166">
        <v>0</v>
      </c>
      <c r="AP1369" s="166">
        <v>0</v>
      </c>
      <c r="AQ1369" s="166">
        <v>0</v>
      </c>
      <c r="AR1369" s="166">
        <v>0</v>
      </c>
      <c r="AS1369" s="166">
        <v>0</v>
      </c>
      <c r="AT1369" s="166">
        <v>0</v>
      </c>
      <c r="AU1369" s="166">
        <v>68</v>
      </c>
      <c r="AV1369" s="166">
        <v>0</v>
      </c>
      <c r="AW1369" s="166">
        <v>0</v>
      </c>
      <c r="AX1369" s="166">
        <v>0</v>
      </c>
      <c r="AY1369" s="166">
        <v>0</v>
      </c>
      <c r="AZ1369" s="166">
        <v>0</v>
      </c>
      <c r="BA1369" s="166">
        <v>0</v>
      </c>
      <c r="BB1369" s="166">
        <v>68</v>
      </c>
      <c r="BC1369" s="166">
        <v>0</v>
      </c>
      <c r="BD1369" s="166">
        <v>0</v>
      </c>
      <c r="BE1369" s="166">
        <v>0</v>
      </c>
      <c r="BF1369" s="166">
        <v>0</v>
      </c>
      <c r="BG1369" s="166">
        <v>0</v>
      </c>
      <c r="BH1369" s="166">
        <v>0</v>
      </c>
      <c r="BI1369" s="166">
        <v>0</v>
      </c>
      <c r="BJ1369" s="166">
        <v>0</v>
      </c>
      <c r="BK1369" s="166">
        <v>0</v>
      </c>
      <c r="BL1369" s="166">
        <v>0</v>
      </c>
      <c r="BM1369" s="166">
        <v>0</v>
      </c>
      <c r="BN1369" s="166">
        <v>0</v>
      </c>
      <c r="BO1369" s="166">
        <v>0</v>
      </c>
      <c r="BP1369" s="166">
        <v>0</v>
      </c>
      <c r="BQ1369" s="81" t="s">
        <v>1758</v>
      </c>
      <c r="BZ1369" s="81" t="s">
        <v>155</v>
      </c>
      <c r="CA1369" s="81">
        <v>11</v>
      </c>
      <c r="CC1369" s="167">
        <v>0</v>
      </c>
      <c r="CD1369" s="167">
        <v>0</v>
      </c>
      <c r="CE1369" s="167">
        <v>0</v>
      </c>
      <c r="CF1369" s="167">
        <v>0</v>
      </c>
      <c r="CG1369" s="167">
        <v>0</v>
      </c>
      <c r="CH1369" s="167">
        <v>0</v>
      </c>
      <c r="CI1369" s="167">
        <v>0</v>
      </c>
      <c r="CJ1369" s="167">
        <f>$N1369/17</f>
        <v>4</v>
      </c>
      <c r="CK1369" s="167">
        <f>$N1369/17</f>
        <v>4</v>
      </c>
      <c r="CL1369" s="167">
        <f>$N1369/17</f>
        <v>4</v>
      </c>
      <c r="CM1369" s="167">
        <f>$N1369/17</f>
        <v>4</v>
      </c>
      <c r="CN1369" s="167">
        <f>$N1369/17</f>
        <v>4</v>
      </c>
      <c r="CO1369" s="167">
        <f>$N1369/17</f>
        <v>4</v>
      </c>
      <c r="CP1369" s="167">
        <f>$N1369/17</f>
        <v>4</v>
      </c>
      <c r="CQ1369" s="167">
        <f>$N1369/17</f>
        <v>4</v>
      </c>
      <c r="CR1369" s="167">
        <f>$N1369/17</f>
        <v>4</v>
      </c>
      <c r="CS1369" s="167">
        <f>$N1369/17</f>
        <v>4</v>
      </c>
      <c r="CT1369" s="167">
        <f>$N1369/17</f>
        <v>4</v>
      </c>
      <c r="CU1369" s="167">
        <f>$N1369/17</f>
        <v>4</v>
      </c>
      <c r="CV1369" s="167">
        <f>$N1369/17</f>
        <v>4</v>
      </c>
      <c r="CW1369" s="167">
        <f>$N1369/17</f>
        <v>4</v>
      </c>
      <c r="CX1369" s="167">
        <f>SUM(CD1369:CH1369)</f>
        <v>0</v>
      </c>
      <c r="CY1369" s="167">
        <f>SUM(CD1369:CM1369)</f>
        <v>16</v>
      </c>
    </row>
    <row r="1370" spans="1:103" ht="12.75" customHeight="1" x14ac:dyDescent="0.2">
      <c r="A1370" s="81">
        <v>4221</v>
      </c>
      <c r="B1370" s="165" t="s">
        <v>1902</v>
      </c>
      <c r="C1370" s="165" t="s">
        <v>3027</v>
      </c>
      <c r="E1370" s="165" t="s">
        <v>3028</v>
      </c>
      <c r="G1370" s="81">
        <v>521988</v>
      </c>
      <c r="H1370" s="81">
        <v>172610</v>
      </c>
      <c r="I1370" s="165" t="s">
        <v>877</v>
      </c>
      <c r="L1370" s="166">
        <v>0</v>
      </c>
      <c r="M1370" s="166">
        <v>45</v>
      </c>
      <c r="N1370" s="166">
        <v>45</v>
      </c>
      <c r="O1370" s="166">
        <v>342</v>
      </c>
      <c r="P1370" s="166">
        <v>342</v>
      </c>
      <c r="Q1370" s="81" t="s">
        <v>155</v>
      </c>
      <c r="R1370" s="165" t="s">
        <v>1905</v>
      </c>
      <c r="S1370" s="81" t="s">
        <v>1906</v>
      </c>
      <c r="W1370" s="81" t="s">
        <v>114</v>
      </c>
      <c r="Y1370" s="81" t="s">
        <v>115</v>
      </c>
      <c r="Z1370" s="81" t="s">
        <v>116</v>
      </c>
      <c r="AA1370" s="81" t="s">
        <v>116</v>
      </c>
      <c r="AB1370" s="81" t="s">
        <v>117</v>
      </c>
      <c r="AC1370" s="166">
        <v>0</v>
      </c>
      <c r="AG1370" s="81" t="s">
        <v>74</v>
      </c>
      <c r="AH1370" s="81" t="s">
        <v>990</v>
      </c>
      <c r="AI1370" s="81" t="s">
        <v>3029</v>
      </c>
      <c r="AJ1370" s="81">
        <v>17320018</v>
      </c>
      <c r="AK1370" s="166">
        <v>0</v>
      </c>
      <c r="AM1370" s="166">
        <v>0</v>
      </c>
      <c r="AO1370" s="166">
        <v>0</v>
      </c>
      <c r="AP1370" s="166">
        <v>0</v>
      </c>
      <c r="AQ1370" s="166">
        <v>0</v>
      </c>
      <c r="AR1370" s="166">
        <v>0</v>
      </c>
      <c r="AS1370" s="166">
        <v>0</v>
      </c>
      <c r="AT1370" s="166">
        <v>0</v>
      </c>
      <c r="AU1370" s="166">
        <v>45</v>
      </c>
      <c r="AV1370" s="166">
        <v>0</v>
      </c>
      <c r="AW1370" s="166">
        <v>0</v>
      </c>
      <c r="AX1370" s="166">
        <v>0</v>
      </c>
      <c r="AY1370" s="166">
        <v>0</v>
      </c>
      <c r="AZ1370" s="166">
        <v>0</v>
      </c>
      <c r="BA1370" s="166">
        <v>0</v>
      </c>
      <c r="BB1370" s="166">
        <v>45</v>
      </c>
      <c r="BC1370" s="166">
        <v>0</v>
      </c>
      <c r="BD1370" s="166">
        <v>0</v>
      </c>
      <c r="BE1370" s="166">
        <v>0</v>
      </c>
      <c r="BF1370" s="166">
        <v>0</v>
      </c>
      <c r="BG1370" s="166">
        <v>0</v>
      </c>
      <c r="BH1370" s="166">
        <v>0</v>
      </c>
      <c r="BI1370" s="166">
        <v>0</v>
      </c>
      <c r="BJ1370" s="166">
        <v>0</v>
      </c>
      <c r="BK1370" s="166">
        <v>0</v>
      </c>
      <c r="BL1370" s="166">
        <v>0</v>
      </c>
      <c r="BM1370" s="166">
        <v>0</v>
      </c>
      <c r="BN1370" s="166">
        <v>0</v>
      </c>
      <c r="BO1370" s="166">
        <v>0</v>
      </c>
      <c r="BP1370" s="166">
        <v>0</v>
      </c>
      <c r="BQ1370" s="81" t="s">
        <v>1758</v>
      </c>
      <c r="BZ1370" s="81" t="s">
        <v>155</v>
      </c>
      <c r="CA1370" s="81">
        <v>11</v>
      </c>
      <c r="CC1370" s="167">
        <v>0</v>
      </c>
      <c r="CD1370" s="167">
        <v>0</v>
      </c>
      <c r="CE1370" s="167">
        <v>0</v>
      </c>
      <c r="CF1370" s="167">
        <v>0</v>
      </c>
      <c r="CG1370" s="167">
        <v>0</v>
      </c>
      <c r="CH1370" s="167">
        <v>0</v>
      </c>
      <c r="CI1370" s="167">
        <v>0</v>
      </c>
      <c r="CJ1370" s="167">
        <f>$N1370/17</f>
        <v>2.6470588235294117</v>
      </c>
      <c r="CK1370" s="167">
        <f>$N1370/17</f>
        <v>2.6470588235294117</v>
      </c>
      <c r="CL1370" s="167">
        <f>$N1370/17</f>
        <v>2.6470588235294117</v>
      </c>
      <c r="CM1370" s="167">
        <f>$N1370/17</f>
        <v>2.6470588235294117</v>
      </c>
      <c r="CN1370" s="167">
        <f>$N1370/17</f>
        <v>2.6470588235294117</v>
      </c>
      <c r="CO1370" s="167">
        <f>$N1370/17</f>
        <v>2.6470588235294117</v>
      </c>
      <c r="CP1370" s="167">
        <f>$N1370/17</f>
        <v>2.6470588235294117</v>
      </c>
      <c r="CQ1370" s="167">
        <f>$N1370/17</f>
        <v>2.6470588235294117</v>
      </c>
      <c r="CR1370" s="167">
        <f>$N1370/17</f>
        <v>2.6470588235294117</v>
      </c>
      <c r="CS1370" s="167">
        <f>$N1370/17</f>
        <v>2.6470588235294117</v>
      </c>
      <c r="CT1370" s="167">
        <f>$N1370/17</f>
        <v>2.6470588235294117</v>
      </c>
      <c r="CU1370" s="167">
        <f>$N1370/17</f>
        <v>2.6470588235294117</v>
      </c>
      <c r="CV1370" s="167">
        <f>$N1370/17</f>
        <v>2.6470588235294117</v>
      </c>
      <c r="CW1370" s="167">
        <f>$N1370/17</f>
        <v>2.6470588235294117</v>
      </c>
      <c r="CX1370" s="167">
        <f>SUM(CD1370:CH1370)</f>
        <v>0</v>
      </c>
      <c r="CY1370" s="167">
        <f>SUM(CD1370:CM1370)</f>
        <v>10.588235294117647</v>
      </c>
    </row>
    <row r="1371" spans="1:103" ht="12.75" customHeight="1" x14ac:dyDescent="0.2">
      <c r="A1371" s="81">
        <v>4283</v>
      </c>
      <c r="B1371" s="165" t="s">
        <v>1902</v>
      </c>
      <c r="C1371" s="165" t="s">
        <v>1927</v>
      </c>
      <c r="E1371" s="165" t="s">
        <v>1928</v>
      </c>
      <c r="G1371" s="81">
        <v>525979</v>
      </c>
      <c r="H1371" s="81">
        <v>175334</v>
      </c>
      <c r="I1371" s="165" t="s">
        <v>251</v>
      </c>
      <c r="L1371" s="166">
        <v>0</v>
      </c>
      <c r="M1371" s="166">
        <v>3</v>
      </c>
      <c r="N1371" s="166">
        <v>3</v>
      </c>
      <c r="O1371" s="166">
        <v>3</v>
      </c>
      <c r="P1371" s="166">
        <v>3</v>
      </c>
      <c r="R1371" s="165" t="s">
        <v>1905</v>
      </c>
      <c r="S1371" s="81" t="s">
        <v>1906</v>
      </c>
      <c r="W1371" s="81" t="s">
        <v>114</v>
      </c>
      <c r="Y1371" s="81" t="s">
        <v>115</v>
      </c>
      <c r="Z1371" s="81" t="s">
        <v>398</v>
      </c>
      <c r="AA1371" s="81" t="s">
        <v>117</v>
      </c>
      <c r="AB1371" s="81" t="s">
        <v>218</v>
      </c>
      <c r="AC1371" s="166">
        <v>0</v>
      </c>
      <c r="AG1371" s="81" t="s">
        <v>238</v>
      </c>
      <c r="AH1371" s="81" t="s">
        <v>118</v>
      </c>
      <c r="AI1371" s="81" t="s">
        <v>1929</v>
      </c>
      <c r="AJ1371" s="81">
        <v>17320046</v>
      </c>
      <c r="AK1371" s="166">
        <v>0</v>
      </c>
      <c r="AM1371" s="166">
        <v>0</v>
      </c>
      <c r="AO1371" s="166">
        <v>0</v>
      </c>
      <c r="AP1371" s="166">
        <v>0</v>
      </c>
      <c r="AQ1371" s="166">
        <v>0</v>
      </c>
      <c r="AR1371" s="166">
        <v>0</v>
      </c>
      <c r="AS1371" s="166">
        <v>0</v>
      </c>
      <c r="AT1371" s="166">
        <v>0</v>
      </c>
      <c r="AU1371" s="166">
        <v>3</v>
      </c>
      <c r="AV1371" s="166">
        <v>0</v>
      </c>
      <c r="AW1371" s="166">
        <v>0</v>
      </c>
      <c r="AX1371" s="166">
        <v>0</v>
      </c>
      <c r="AY1371" s="166">
        <v>0</v>
      </c>
      <c r="AZ1371" s="166">
        <v>0</v>
      </c>
      <c r="BA1371" s="166">
        <v>0</v>
      </c>
      <c r="BB1371" s="166">
        <v>3</v>
      </c>
      <c r="BC1371" s="166">
        <v>0</v>
      </c>
      <c r="BD1371" s="166">
        <v>0</v>
      </c>
      <c r="BE1371" s="166">
        <v>0</v>
      </c>
      <c r="BF1371" s="166">
        <v>0</v>
      </c>
      <c r="BG1371" s="166">
        <v>0</v>
      </c>
      <c r="BH1371" s="166">
        <v>0</v>
      </c>
      <c r="BI1371" s="166">
        <v>0</v>
      </c>
      <c r="BJ1371" s="166">
        <v>0</v>
      </c>
      <c r="BK1371" s="166">
        <v>0</v>
      </c>
      <c r="BL1371" s="166">
        <v>0</v>
      </c>
      <c r="BM1371" s="166">
        <v>0</v>
      </c>
      <c r="BN1371" s="166">
        <v>0</v>
      </c>
      <c r="BO1371" s="166">
        <v>0</v>
      </c>
      <c r="BP1371" s="166">
        <v>0</v>
      </c>
      <c r="BQ1371" s="81" t="s">
        <v>1758</v>
      </c>
      <c r="BT1371" s="81" t="s">
        <v>155</v>
      </c>
      <c r="BZ1371" s="81" t="s">
        <v>155</v>
      </c>
      <c r="CA1371" s="81">
        <v>11</v>
      </c>
      <c r="CC1371" s="167">
        <v>0</v>
      </c>
      <c r="CD1371" s="167">
        <v>0</v>
      </c>
      <c r="CE1371" s="167">
        <v>0</v>
      </c>
      <c r="CF1371" s="167">
        <v>0</v>
      </c>
      <c r="CG1371" s="167">
        <v>0</v>
      </c>
      <c r="CH1371" s="167">
        <v>0</v>
      </c>
      <c r="CI1371" s="167">
        <v>0</v>
      </c>
      <c r="CJ1371" s="167">
        <v>0</v>
      </c>
      <c r="CK1371" s="167">
        <v>0</v>
      </c>
      <c r="CL1371" s="167">
        <v>0</v>
      </c>
      <c r="CM1371" s="167">
        <v>0</v>
      </c>
      <c r="CN1371" s="167">
        <v>0</v>
      </c>
      <c r="CO1371" s="167">
        <f>$N1371/12</f>
        <v>0.25</v>
      </c>
      <c r="CP1371" s="167">
        <f>$N1371/12</f>
        <v>0.25</v>
      </c>
      <c r="CQ1371" s="167">
        <f>$N1371/12</f>
        <v>0.25</v>
      </c>
      <c r="CR1371" s="167">
        <f>$N1371/12</f>
        <v>0.25</v>
      </c>
      <c r="CS1371" s="167">
        <f>$N1371/12</f>
        <v>0.25</v>
      </c>
      <c r="CT1371" s="167">
        <f>$N1371/12</f>
        <v>0.25</v>
      </c>
      <c r="CU1371" s="167">
        <f>$N1371/12</f>
        <v>0.25</v>
      </c>
      <c r="CV1371" s="167">
        <f>$N1371/12</f>
        <v>0.25</v>
      </c>
      <c r="CW1371" s="167">
        <f>$N1371/12</f>
        <v>0.25</v>
      </c>
      <c r="CX1371" s="167">
        <f>SUM(CD1371:CH1371)</f>
        <v>0</v>
      </c>
      <c r="CY1371" s="167">
        <f>SUM(CD1371:CM1371)</f>
        <v>0</v>
      </c>
    </row>
    <row r="1372" spans="1:103" ht="12.75" customHeight="1" x14ac:dyDescent="0.2">
      <c r="A1372" s="81">
        <v>4472</v>
      </c>
      <c r="B1372" s="165" t="s">
        <v>1902</v>
      </c>
      <c r="C1372" s="165" t="s">
        <v>3945</v>
      </c>
      <c r="D1372" s="165" t="s">
        <v>3942</v>
      </c>
      <c r="E1372" s="165" t="s">
        <v>3943</v>
      </c>
      <c r="G1372" s="81">
        <v>529267</v>
      </c>
      <c r="H1372" s="81">
        <v>177387</v>
      </c>
      <c r="I1372" s="165" t="s">
        <v>240</v>
      </c>
      <c r="J1372" s="349"/>
      <c r="L1372" s="166">
        <v>0</v>
      </c>
      <c r="M1372" s="166">
        <v>39</v>
      </c>
      <c r="N1372" s="166">
        <v>39</v>
      </c>
      <c r="O1372" s="166">
        <v>46</v>
      </c>
      <c r="P1372" s="166">
        <v>46</v>
      </c>
      <c r="Q1372" s="81" t="s">
        <v>155</v>
      </c>
      <c r="R1372" s="165" t="s">
        <v>1905</v>
      </c>
      <c r="S1372" s="81" t="s">
        <v>1906</v>
      </c>
      <c r="T1372" s="349"/>
      <c r="U1372" s="349"/>
      <c r="W1372" s="81" t="s">
        <v>114</v>
      </c>
      <c r="Y1372" s="81" t="s">
        <v>115</v>
      </c>
      <c r="Z1372" s="81" t="s">
        <v>116</v>
      </c>
      <c r="AA1372" s="81" t="s">
        <v>116</v>
      </c>
      <c r="AB1372" s="81" t="s">
        <v>117</v>
      </c>
      <c r="AC1372" s="166">
        <v>0</v>
      </c>
      <c r="AG1372" s="81" t="s">
        <v>238</v>
      </c>
      <c r="AH1372" s="81" t="s">
        <v>118</v>
      </c>
      <c r="AI1372" s="81" t="s">
        <v>3944</v>
      </c>
      <c r="AK1372" s="166">
        <v>0</v>
      </c>
      <c r="AM1372" s="166">
        <v>0</v>
      </c>
      <c r="AO1372" s="166">
        <v>0</v>
      </c>
      <c r="AP1372" s="166">
        <v>0</v>
      </c>
      <c r="AQ1372" s="166">
        <v>0</v>
      </c>
      <c r="AR1372" s="166">
        <v>0</v>
      </c>
      <c r="AS1372" s="166">
        <v>0</v>
      </c>
      <c r="AT1372" s="166">
        <v>0</v>
      </c>
      <c r="AU1372" s="166">
        <v>39</v>
      </c>
      <c r="AV1372" s="166">
        <v>0</v>
      </c>
      <c r="AW1372" s="166">
        <v>0</v>
      </c>
      <c r="AX1372" s="166">
        <v>0</v>
      </c>
      <c r="AY1372" s="166">
        <v>0</v>
      </c>
      <c r="AZ1372" s="166">
        <v>0</v>
      </c>
      <c r="BA1372" s="166">
        <v>0</v>
      </c>
      <c r="BB1372" s="166">
        <v>39</v>
      </c>
      <c r="BC1372" s="166">
        <v>0</v>
      </c>
      <c r="BD1372" s="166">
        <v>0</v>
      </c>
      <c r="BE1372" s="166">
        <v>0</v>
      </c>
      <c r="BF1372" s="166">
        <v>0</v>
      </c>
      <c r="BG1372" s="166">
        <v>0</v>
      </c>
      <c r="BH1372" s="166">
        <v>0</v>
      </c>
      <c r="BI1372" s="166">
        <v>0</v>
      </c>
      <c r="BJ1372" s="166">
        <v>0</v>
      </c>
      <c r="BK1372" s="166">
        <v>0</v>
      </c>
      <c r="BL1372" s="166">
        <v>0</v>
      </c>
      <c r="BM1372" s="166">
        <v>0</v>
      </c>
      <c r="BN1372" s="166">
        <v>0</v>
      </c>
      <c r="BO1372" s="166">
        <v>0</v>
      </c>
      <c r="BP1372" s="166">
        <v>0</v>
      </c>
      <c r="BQ1372" s="81" t="s">
        <v>1759</v>
      </c>
      <c r="BS1372" s="81" t="s">
        <v>155</v>
      </c>
      <c r="BZ1372" s="81" t="s">
        <v>155</v>
      </c>
      <c r="CA1372" s="81">
        <v>12</v>
      </c>
      <c r="CC1372" s="167">
        <v>0</v>
      </c>
      <c r="CD1372" s="167">
        <v>0</v>
      </c>
      <c r="CE1372" s="167">
        <v>0</v>
      </c>
      <c r="CF1372" s="167">
        <v>0</v>
      </c>
      <c r="CG1372" s="167">
        <v>0</v>
      </c>
      <c r="CH1372" s="167">
        <v>0</v>
      </c>
      <c r="CI1372" s="167">
        <v>0</v>
      </c>
      <c r="CJ1372" s="167">
        <v>0</v>
      </c>
      <c r="CK1372" s="167">
        <f>N1372</f>
        <v>39</v>
      </c>
      <c r="CL1372" s="167">
        <v>0</v>
      </c>
      <c r="CM1372" s="167">
        <v>0</v>
      </c>
      <c r="CN1372" s="167">
        <v>0</v>
      </c>
      <c r="CO1372" s="167">
        <v>0</v>
      </c>
      <c r="CP1372" s="167">
        <v>0</v>
      </c>
      <c r="CQ1372" s="167">
        <v>0</v>
      </c>
      <c r="CR1372" s="167">
        <v>0</v>
      </c>
      <c r="CS1372" s="167">
        <v>0</v>
      </c>
      <c r="CT1372" s="167">
        <v>0</v>
      </c>
      <c r="CU1372" s="167">
        <v>0</v>
      </c>
      <c r="CV1372" s="167">
        <v>0</v>
      </c>
      <c r="CW1372" s="167">
        <v>0</v>
      </c>
      <c r="CX1372" s="167">
        <f>SUM(CD1372:CH1372)</f>
        <v>0</v>
      </c>
      <c r="CY1372" s="167">
        <f>SUM(CD1372:CM1372)</f>
        <v>39</v>
      </c>
    </row>
    <row r="1373" spans="1:103" ht="12.75" customHeight="1" x14ac:dyDescent="0.2">
      <c r="A1373" s="81">
        <v>4472</v>
      </c>
      <c r="B1373" s="165" t="s">
        <v>1902</v>
      </c>
      <c r="C1373" s="165" t="s">
        <v>3945</v>
      </c>
      <c r="D1373" s="165" t="s">
        <v>3942</v>
      </c>
      <c r="E1373" s="165" t="s">
        <v>3943</v>
      </c>
      <c r="G1373" s="81">
        <v>529267</v>
      </c>
      <c r="H1373" s="81">
        <v>177387</v>
      </c>
      <c r="I1373" s="165" t="s">
        <v>240</v>
      </c>
      <c r="J1373" s="349"/>
      <c r="L1373" s="166">
        <v>0</v>
      </c>
      <c r="M1373" s="166">
        <v>4</v>
      </c>
      <c r="N1373" s="166">
        <v>4</v>
      </c>
      <c r="O1373" s="166">
        <v>46</v>
      </c>
      <c r="P1373" s="166">
        <v>46</v>
      </c>
      <c r="Q1373" s="81" t="s">
        <v>155</v>
      </c>
      <c r="R1373" s="165" t="s">
        <v>1905</v>
      </c>
      <c r="S1373" s="81" t="s">
        <v>1906</v>
      </c>
      <c r="T1373" s="349"/>
      <c r="U1373" s="349"/>
      <c r="W1373" s="81" t="s">
        <v>114</v>
      </c>
      <c r="Y1373" s="81" t="s">
        <v>115</v>
      </c>
      <c r="Z1373" s="81" t="s">
        <v>116</v>
      </c>
      <c r="AA1373" s="81" t="s">
        <v>116</v>
      </c>
      <c r="AB1373" s="81" t="s">
        <v>117</v>
      </c>
      <c r="AC1373" s="166">
        <v>0</v>
      </c>
      <c r="AG1373" s="81" t="s">
        <v>154</v>
      </c>
      <c r="AH1373" s="81" t="s">
        <v>276</v>
      </c>
      <c r="AI1373" s="81" t="s">
        <v>3944</v>
      </c>
      <c r="AK1373" s="166">
        <v>0</v>
      </c>
      <c r="AM1373" s="166">
        <v>0</v>
      </c>
      <c r="AO1373" s="166">
        <v>0</v>
      </c>
      <c r="AP1373" s="166">
        <v>0</v>
      </c>
      <c r="AQ1373" s="166">
        <v>0</v>
      </c>
      <c r="AR1373" s="166">
        <v>0</v>
      </c>
      <c r="AS1373" s="166">
        <v>0</v>
      </c>
      <c r="AT1373" s="166">
        <v>0</v>
      </c>
      <c r="AU1373" s="166">
        <v>4</v>
      </c>
      <c r="AV1373" s="166">
        <v>0</v>
      </c>
      <c r="AW1373" s="166">
        <v>0</v>
      </c>
      <c r="AX1373" s="166">
        <v>0</v>
      </c>
      <c r="AY1373" s="166">
        <v>0</v>
      </c>
      <c r="AZ1373" s="166">
        <v>0</v>
      </c>
      <c r="BA1373" s="166">
        <v>0</v>
      </c>
      <c r="BB1373" s="166">
        <v>4</v>
      </c>
      <c r="BC1373" s="166">
        <v>0</v>
      </c>
      <c r="BD1373" s="166">
        <v>0</v>
      </c>
      <c r="BE1373" s="166">
        <v>0</v>
      </c>
      <c r="BF1373" s="166">
        <v>0</v>
      </c>
      <c r="BG1373" s="166">
        <v>0</v>
      </c>
      <c r="BH1373" s="166">
        <v>0</v>
      </c>
      <c r="BI1373" s="166">
        <v>0</v>
      </c>
      <c r="BJ1373" s="166">
        <v>0</v>
      </c>
      <c r="BK1373" s="166">
        <v>0</v>
      </c>
      <c r="BL1373" s="166">
        <v>0</v>
      </c>
      <c r="BM1373" s="166">
        <v>0</v>
      </c>
      <c r="BN1373" s="166">
        <v>0</v>
      </c>
      <c r="BO1373" s="166">
        <v>0</v>
      </c>
      <c r="BP1373" s="166">
        <v>0</v>
      </c>
      <c r="BQ1373" s="81" t="s">
        <v>1759</v>
      </c>
      <c r="BS1373" s="81" t="s">
        <v>155</v>
      </c>
      <c r="BZ1373" s="81" t="s">
        <v>155</v>
      </c>
      <c r="CA1373" s="81">
        <v>12</v>
      </c>
      <c r="CC1373" s="167">
        <v>0</v>
      </c>
      <c r="CD1373" s="167">
        <v>0</v>
      </c>
      <c r="CE1373" s="167">
        <v>0</v>
      </c>
      <c r="CF1373" s="167">
        <v>0</v>
      </c>
      <c r="CG1373" s="167">
        <v>0</v>
      </c>
      <c r="CH1373" s="167">
        <v>0</v>
      </c>
      <c r="CI1373" s="167">
        <v>0</v>
      </c>
      <c r="CJ1373" s="167">
        <v>0</v>
      </c>
      <c r="CK1373" s="167">
        <f>N1373</f>
        <v>4</v>
      </c>
      <c r="CL1373" s="167">
        <v>0</v>
      </c>
      <c r="CM1373" s="167">
        <v>0</v>
      </c>
      <c r="CN1373" s="167">
        <v>0</v>
      </c>
      <c r="CO1373" s="167">
        <v>0</v>
      </c>
      <c r="CP1373" s="167">
        <v>0</v>
      </c>
      <c r="CQ1373" s="167">
        <v>0</v>
      </c>
      <c r="CR1373" s="167">
        <v>0</v>
      </c>
      <c r="CS1373" s="167">
        <v>0</v>
      </c>
      <c r="CT1373" s="167">
        <v>0</v>
      </c>
      <c r="CU1373" s="167">
        <v>0</v>
      </c>
      <c r="CV1373" s="167">
        <v>0</v>
      </c>
      <c r="CW1373" s="167">
        <v>0</v>
      </c>
      <c r="CX1373" s="167">
        <f>SUM(CD1373:CH1373)</f>
        <v>0</v>
      </c>
      <c r="CY1373" s="167">
        <f>SUM(CD1373:CM1373)</f>
        <v>4</v>
      </c>
    </row>
    <row r="1374" spans="1:103" ht="12.75" customHeight="1" x14ac:dyDescent="0.2">
      <c r="A1374" s="81">
        <v>4472</v>
      </c>
      <c r="B1374" s="165" t="s">
        <v>1902</v>
      </c>
      <c r="C1374" s="165" t="s">
        <v>3945</v>
      </c>
      <c r="D1374" s="165" t="s">
        <v>3942</v>
      </c>
      <c r="E1374" s="165" t="s">
        <v>3943</v>
      </c>
      <c r="G1374" s="81">
        <v>529267</v>
      </c>
      <c r="H1374" s="81">
        <v>177387</v>
      </c>
      <c r="I1374" s="165" t="s">
        <v>240</v>
      </c>
      <c r="J1374" s="349"/>
      <c r="L1374" s="166">
        <v>0</v>
      </c>
      <c r="M1374" s="166">
        <v>3</v>
      </c>
      <c r="N1374" s="166">
        <v>3</v>
      </c>
      <c r="O1374" s="166">
        <v>46</v>
      </c>
      <c r="P1374" s="166">
        <v>46</v>
      </c>
      <c r="Q1374" s="81" t="s">
        <v>155</v>
      </c>
      <c r="R1374" s="165" t="s">
        <v>1905</v>
      </c>
      <c r="S1374" s="81" t="s">
        <v>1906</v>
      </c>
      <c r="T1374" s="349"/>
      <c r="U1374" s="349"/>
      <c r="W1374" s="81" t="s">
        <v>114</v>
      </c>
      <c r="Y1374" s="81" t="s">
        <v>115</v>
      </c>
      <c r="Z1374" s="81" t="s">
        <v>116</v>
      </c>
      <c r="AA1374" s="81" t="s">
        <v>116</v>
      </c>
      <c r="AB1374" s="81" t="s">
        <v>117</v>
      </c>
      <c r="AC1374" s="166">
        <v>0</v>
      </c>
      <c r="AG1374" s="81" t="s">
        <v>74</v>
      </c>
      <c r="AH1374" s="81" t="s">
        <v>880</v>
      </c>
      <c r="AI1374" s="81" t="s">
        <v>3944</v>
      </c>
      <c r="AK1374" s="166">
        <v>0</v>
      </c>
      <c r="AM1374" s="166">
        <v>0</v>
      </c>
      <c r="AO1374" s="166">
        <v>0</v>
      </c>
      <c r="AP1374" s="166">
        <v>0</v>
      </c>
      <c r="AQ1374" s="166">
        <v>0</v>
      </c>
      <c r="AR1374" s="166">
        <v>0</v>
      </c>
      <c r="AS1374" s="166">
        <v>0</v>
      </c>
      <c r="AT1374" s="166">
        <v>0</v>
      </c>
      <c r="AU1374" s="166">
        <v>3</v>
      </c>
      <c r="AV1374" s="166">
        <v>0</v>
      </c>
      <c r="AW1374" s="166">
        <v>0</v>
      </c>
      <c r="AX1374" s="166">
        <v>0</v>
      </c>
      <c r="AY1374" s="166">
        <v>0</v>
      </c>
      <c r="AZ1374" s="166">
        <v>0</v>
      </c>
      <c r="BA1374" s="166">
        <v>0</v>
      </c>
      <c r="BB1374" s="166">
        <v>3</v>
      </c>
      <c r="BC1374" s="166">
        <v>0</v>
      </c>
      <c r="BD1374" s="166">
        <v>0</v>
      </c>
      <c r="BE1374" s="166">
        <v>0</v>
      </c>
      <c r="BF1374" s="166">
        <v>0</v>
      </c>
      <c r="BG1374" s="166">
        <v>0</v>
      </c>
      <c r="BH1374" s="166">
        <v>0</v>
      </c>
      <c r="BI1374" s="166">
        <v>0</v>
      </c>
      <c r="BJ1374" s="166">
        <v>0</v>
      </c>
      <c r="BK1374" s="166">
        <v>0</v>
      </c>
      <c r="BL1374" s="166">
        <v>0</v>
      </c>
      <c r="BM1374" s="166">
        <v>0</v>
      </c>
      <c r="BN1374" s="166">
        <v>0</v>
      </c>
      <c r="BO1374" s="166">
        <v>0</v>
      </c>
      <c r="BP1374" s="166">
        <v>0</v>
      </c>
      <c r="BQ1374" s="81" t="s">
        <v>1759</v>
      </c>
      <c r="BS1374" s="81" t="s">
        <v>155</v>
      </c>
      <c r="BZ1374" s="81" t="s">
        <v>155</v>
      </c>
      <c r="CA1374" s="81">
        <v>12</v>
      </c>
      <c r="CC1374" s="167">
        <v>0</v>
      </c>
      <c r="CD1374" s="167">
        <v>0</v>
      </c>
      <c r="CE1374" s="167">
        <v>0</v>
      </c>
      <c r="CF1374" s="167">
        <v>0</v>
      </c>
      <c r="CG1374" s="167">
        <v>0</v>
      </c>
      <c r="CH1374" s="167">
        <v>0</v>
      </c>
      <c r="CI1374" s="167">
        <v>0</v>
      </c>
      <c r="CJ1374" s="167">
        <v>0</v>
      </c>
      <c r="CK1374" s="167">
        <f>N1374</f>
        <v>3</v>
      </c>
      <c r="CL1374" s="167">
        <v>0</v>
      </c>
      <c r="CM1374" s="167">
        <v>0</v>
      </c>
      <c r="CN1374" s="167">
        <v>0</v>
      </c>
      <c r="CO1374" s="167">
        <v>0</v>
      </c>
      <c r="CP1374" s="167">
        <v>0</v>
      </c>
      <c r="CQ1374" s="167">
        <v>0</v>
      </c>
      <c r="CR1374" s="167">
        <v>0</v>
      </c>
      <c r="CS1374" s="167">
        <v>0</v>
      </c>
      <c r="CT1374" s="167">
        <v>0</v>
      </c>
      <c r="CU1374" s="167">
        <v>0</v>
      </c>
      <c r="CV1374" s="167">
        <v>0</v>
      </c>
      <c r="CW1374" s="167">
        <v>0</v>
      </c>
      <c r="CX1374" s="167">
        <f>SUM(CD1374:CH1374)</f>
        <v>0</v>
      </c>
      <c r="CY1374" s="167">
        <f>SUM(CD1374:CM1374)</f>
        <v>3</v>
      </c>
    </row>
    <row r="1375" spans="1:103" ht="12.75" customHeight="1" x14ac:dyDescent="0.2">
      <c r="A1375" s="81">
        <v>4510</v>
      </c>
      <c r="B1375" s="165" t="s">
        <v>1902</v>
      </c>
      <c r="C1375" s="165" t="s">
        <v>3946</v>
      </c>
      <c r="D1375" s="165" t="s">
        <v>3947</v>
      </c>
      <c r="E1375" s="165" t="s">
        <v>3948</v>
      </c>
      <c r="G1375" s="81">
        <v>529218</v>
      </c>
      <c r="H1375" s="81">
        <v>177561</v>
      </c>
      <c r="I1375" s="165" t="s">
        <v>240</v>
      </c>
      <c r="J1375" s="349"/>
      <c r="L1375" s="166">
        <v>0</v>
      </c>
      <c r="M1375" s="166">
        <v>70</v>
      </c>
      <c r="N1375" s="166">
        <v>70</v>
      </c>
      <c r="O1375" s="166">
        <v>82</v>
      </c>
      <c r="P1375" s="166">
        <v>82</v>
      </c>
      <c r="Q1375" s="81" t="s">
        <v>155</v>
      </c>
      <c r="R1375" s="165" t="s">
        <v>1905</v>
      </c>
      <c r="S1375" s="81" t="s">
        <v>1906</v>
      </c>
      <c r="T1375" s="349"/>
      <c r="U1375" s="349"/>
      <c r="W1375" s="81" t="s">
        <v>114</v>
      </c>
      <c r="Y1375" s="81" t="s">
        <v>115</v>
      </c>
      <c r="Z1375" s="81" t="s">
        <v>398</v>
      </c>
      <c r="AA1375" s="81" t="s">
        <v>116</v>
      </c>
      <c r="AB1375" s="81" t="s">
        <v>117</v>
      </c>
      <c r="AC1375" s="166">
        <v>0</v>
      </c>
      <c r="AD1375" s="349"/>
      <c r="AG1375" s="81" t="s">
        <v>238</v>
      </c>
      <c r="AH1375" s="81" t="s">
        <v>118</v>
      </c>
      <c r="AI1375" s="81" t="s">
        <v>3951</v>
      </c>
      <c r="AJ1375" s="81">
        <v>17320059</v>
      </c>
      <c r="AK1375" s="166">
        <v>0</v>
      </c>
      <c r="AL1375" s="166">
        <v>0</v>
      </c>
      <c r="AM1375" s="166">
        <v>0</v>
      </c>
      <c r="AN1375" s="166">
        <v>0</v>
      </c>
      <c r="AO1375" s="166">
        <v>0</v>
      </c>
      <c r="AP1375" s="166">
        <v>0</v>
      </c>
      <c r="AQ1375" s="166">
        <v>0</v>
      </c>
      <c r="AR1375" s="166">
        <v>0</v>
      </c>
      <c r="AS1375" s="166">
        <v>0</v>
      </c>
      <c r="AT1375" s="166">
        <v>0</v>
      </c>
      <c r="AU1375" s="166">
        <v>70</v>
      </c>
      <c r="AV1375" s="166">
        <v>0</v>
      </c>
      <c r="AW1375" s="166">
        <v>0</v>
      </c>
      <c r="AX1375" s="166">
        <v>0</v>
      </c>
      <c r="AY1375" s="166">
        <v>0</v>
      </c>
      <c r="AZ1375" s="166">
        <v>0</v>
      </c>
      <c r="BA1375" s="166">
        <v>0</v>
      </c>
      <c r="BB1375" s="166">
        <v>70</v>
      </c>
      <c r="BC1375" s="166">
        <v>0</v>
      </c>
      <c r="BD1375" s="166">
        <v>0</v>
      </c>
      <c r="BE1375" s="166">
        <v>0</v>
      </c>
      <c r="BF1375" s="166">
        <v>0</v>
      </c>
      <c r="BG1375" s="166">
        <v>0</v>
      </c>
      <c r="BH1375" s="166">
        <v>0</v>
      </c>
      <c r="BI1375" s="166">
        <v>0</v>
      </c>
      <c r="BJ1375" s="166">
        <v>0</v>
      </c>
      <c r="BK1375" s="166">
        <v>0</v>
      </c>
      <c r="BL1375" s="166">
        <v>0</v>
      </c>
      <c r="BM1375" s="166">
        <v>0</v>
      </c>
      <c r="BN1375" s="166">
        <v>0</v>
      </c>
      <c r="BO1375" s="166">
        <v>0</v>
      </c>
      <c r="BP1375" s="166">
        <v>0</v>
      </c>
      <c r="BQ1375" s="81" t="s">
        <v>1759</v>
      </c>
      <c r="BS1375" s="81" t="s">
        <v>155</v>
      </c>
      <c r="BZ1375" s="81" t="s">
        <v>155</v>
      </c>
      <c r="CA1375" s="81">
        <v>12</v>
      </c>
      <c r="CC1375" s="167">
        <v>0</v>
      </c>
      <c r="CD1375" s="167">
        <v>0</v>
      </c>
      <c r="CE1375" s="167">
        <v>0</v>
      </c>
      <c r="CF1375" s="167">
        <v>0</v>
      </c>
      <c r="CG1375" s="167">
        <v>0</v>
      </c>
      <c r="CH1375" s="167">
        <v>0</v>
      </c>
      <c r="CI1375" s="167">
        <v>0</v>
      </c>
      <c r="CJ1375" s="167">
        <v>0</v>
      </c>
      <c r="CK1375" s="167">
        <f>N1375</f>
        <v>70</v>
      </c>
      <c r="CL1375" s="167">
        <v>0</v>
      </c>
      <c r="CM1375" s="167">
        <v>0</v>
      </c>
      <c r="CN1375" s="167">
        <v>0</v>
      </c>
      <c r="CO1375" s="167">
        <v>0</v>
      </c>
      <c r="CP1375" s="167">
        <v>0</v>
      </c>
      <c r="CQ1375" s="167">
        <v>0</v>
      </c>
      <c r="CR1375" s="167">
        <v>0</v>
      </c>
      <c r="CS1375" s="167">
        <v>0</v>
      </c>
      <c r="CT1375" s="167">
        <v>0</v>
      </c>
      <c r="CU1375" s="167">
        <v>0</v>
      </c>
      <c r="CV1375" s="167">
        <v>0</v>
      </c>
      <c r="CW1375" s="167">
        <v>0</v>
      </c>
      <c r="CX1375" s="167">
        <f>SUM(CD1375:CH1375)</f>
        <v>0</v>
      </c>
      <c r="CY1375" s="167">
        <f>SUM(CD1375:CM1375)</f>
        <v>70</v>
      </c>
    </row>
    <row r="1376" spans="1:103" ht="12.75" customHeight="1" x14ac:dyDescent="0.2">
      <c r="A1376" s="81">
        <v>4510</v>
      </c>
      <c r="B1376" s="165" t="s">
        <v>1902</v>
      </c>
      <c r="C1376" s="165" t="s">
        <v>3949</v>
      </c>
      <c r="D1376" s="165" t="s">
        <v>3947</v>
      </c>
      <c r="E1376" s="165" t="s">
        <v>3948</v>
      </c>
      <c r="G1376" s="81">
        <v>529218</v>
      </c>
      <c r="H1376" s="81">
        <v>177561</v>
      </c>
      <c r="I1376" s="165" t="s">
        <v>240</v>
      </c>
      <c r="J1376" s="349"/>
      <c r="L1376" s="166">
        <v>0</v>
      </c>
      <c r="M1376" s="166">
        <v>7</v>
      </c>
      <c r="N1376" s="166">
        <v>7</v>
      </c>
      <c r="O1376" s="166">
        <v>82</v>
      </c>
      <c r="P1376" s="166">
        <v>82</v>
      </c>
      <c r="Q1376" s="81" t="s">
        <v>155</v>
      </c>
      <c r="R1376" s="165" t="s">
        <v>1905</v>
      </c>
      <c r="S1376" s="81" t="s">
        <v>1906</v>
      </c>
      <c r="T1376" s="349"/>
      <c r="U1376" s="349"/>
      <c r="W1376" s="81" t="s">
        <v>114</v>
      </c>
      <c r="Y1376" s="81" t="s">
        <v>115</v>
      </c>
      <c r="Z1376" s="81" t="s">
        <v>398</v>
      </c>
      <c r="AA1376" s="81" t="s">
        <v>116</v>
      </c>
      <c r="AB1376" s="81" t="s">
        <v>117</v>
      </c>
      <c r="AC1376" s="166">
        <v>0</v>
      </c>
      <c r="AD1376" s="349"/>
      <c r="AG1376" s="81" t="s">
        <v>154</v>
      </c>
      <c r="AH1376" s="81" t="s">
        <v>276</v>
      </c>
      <c r="AI1376" s="81" t="s">
        <v>3951</v>
      </c>
      <c r="AJ1376" s="81">
        <v>17320059</v>
      </c>
      <c r="AK1376" s="166">
        <v>0</v>
      </c>
      <c r="AL1376" s="166">
        <v>0</v>
      </c>
      <c r="AM1376" s="166">
        <v>0</v>
      </c>
      <c r="AN1376" s="166">
        <v>0</v>
      </c>
      <c r="AO1376" s="166">
        <v>0</v>
      </c>
      <c r="AP1376" s="166">
        <v>0</v>
      </c>
      <c r="AQ1376" s="166">
        <v>0</v>
      </c>
      <c r="AR1376" s="166">
        <v>0</v>
      </c>
      <c r="AS1376" s="166">
        <v>0</v>
      </c>
      <c r="AT1376" s="166">
        <v>0</v>
      </c>
      <c r="AU1376" s="166">
        <v>7</v>
      </c>
      <c r="AV1376" s="166">
        <v>0</v>
      </c>
      <c r="AW1376" s="166">
        <v>0</v>
      </c>
      <c r="AX1376" s="166">
        <v>0</v>
      </c>
      <c r="AY1376" s="166">
        <v>0</v>
      </c>
      <c r="AZ1376" s="166">
        <v>0</v>
      </c>
      <c r="BA1376" s="166">
        <v>0</v>
      </c>
      <c r="BB1376" s="166">
        <v>7</v>
      </c>
      <c r="BC1376" s="166">
        <v>0</v>
      </c>
      <c r="BD1376" s="166">
        <v>0</v>
      </c>
      <c r="BE1376" s="166">
        <v>0</v>
      </c>
      <c r="BF1376" s="166">
        <v>0</v>
      </c>
      <c r="BG1376" s="166">
        <v>0</v>
      </c>
      <c r="BH1376" s="166">
        <v>0</v>
      </c>
      <c r="BI1376" s="166">
        <v>0</v>
      </c>
      <c r="BJ1376" s="166">
        <v>0</v>
      </c>
      <c r="BK1376" s="166">
        <v>0</v>
      </c>
      <c r="BL1376" s="166">
        <v>0</v>
      </c>
      <c r="BM1376" s="166">
        <v>0</v>
      </c>
      <c r="BN1376" s="166">
        <v>0</v>
      </c>
      <c r="BO1376" s="166">
        <v>0</v>
      </c>
      <c r="BP1376" s="166">
        <v>0</v>
      </c>
      <c r="BQ1376" s="81" t="s">
        <v>1759</v>
      </c>
      <c r="BS1376" s="81" t="s">
        <v>155</v>
      </c>
      <c r="BZ1376" s="81" t="s">
        <v>155</v>
      </c>
      <c r="CA1376" s="81">
        <v>12</v>
      </c>
      <c r="CC1376" s="167">
        <v>0</v>
      </c>
      <c r="CD1376" s="167">
        <v>0</v>
      </c>
      <c r="CE1376" s="167">
        <v>0</v>
      </c>
      <c r="CF1376" s="167">
        <v>0</v>
      </c>
      <c r="CG1376" s="167">
        <v>0</v>
      </c>
      <c r="CH1376" s="167">
        <v>0</v>
      </c>
      <c r="CI1376" s="167">
        <v>0</v>
      </c>
      <c r="CJ1376" s="167">
        <v>0</v>
      </c>
      <c r="CK1376" s="167">
        <f>N1376</f>
        <v>7</v>
      </c>
      <c r="CL1376" s="167">
        <v>0</v>
      </c>
      <c r="CM1376" s="167">
        <v>0</v>
      </c>
      <c r="CN1376" s="167">
        <v>0</v>
      </c>
      <c r="CO1376" s="167">
        <v>0</v>
      </c>
      <c r="CP1376" s="167">
        <v>0</v>
      </c>
      <c r="CQ1376" s="167">
        <v>0</v>
      </c>
      <c r="CR1376" s="167">
        <v>0</v>
      </c>
      <c r="CS1376" s="167">
        <v>0</v>
      </c>
      <c r="CT1376" s="167">
        <v>0</v>
      </c>
      <c r="CU1376" s="167">
        <v>0</v>
      </c>
      <c r="CV1376" s="167">
        <v>0</v>
      </c>
      <c r="CW1376" s="167">
        <v>0</v>
      </c>
      <c r="CX1376" s="167">
        <f>SUM(CD1376:CH1376)</f>
        <v>0</v>
      </c>
      <c r="CY1376" s="167">
        <f>SUM(CD1376:CM1376)</f>
        <v>7</v>
      </c>
    </row>
    <row r="1377" spans="1:103" ht="12.75" customHeight="1" x14ac:dyDescent="0.2">
      <c r="A1377" s="81">
        <v>4510</v>
      </c>
      <c r="B1377" s="165" t="s">
        <v>1902</v>
      </c>
      <c r="C1377" s="165" t="s">
        <v>3950</v>
      </c>
      <c r="D1377" s="165" t="s">
        <v>3947</v>
      </c>
      <c r="E1377" s="165" t="s">
        <v>3948</v>
      </c>
      <c r="G1377" s="81">
        <v>529218</v>
      </c>
      <c r="H1377" s="81">
        <v>177561</v>
      </c>
      <c r="I1377" s="165" t="s">
        <v>240</v>
      </c>
      <c r="J1377" s="349"/>
      <c r="L1377" s="166">
        <v>0</v>
      </c>
      <c r="M1377" s="166">
        <v>5</v>
      </c>
      <c r="N1377" s="166">
        <v>5</v>
      </c>
      <c r="O1377" s="166">
        <v>82</v>
      </c>
      <c r="P1377" s="166">
        <v>82</v>
      </c>
      <c r="Q1377" s="81" t="s">
        <v>155</v>
      </c>
      <c r="R1377" s="165" t="s">
        <v>1905</v>
      </c>
      <c r="S1377" s="81" t="s">
        <v>1906</v>
      </c>
      <c r="T1377" s="349"/>
      <c r="U1377" s="349"/>
      <c r="W1377" s="81" t="s">
        <v>114</v>
      </c>
      <c r="Y1377" s="81" t="s">
        <v>115</v>
      </c>
      <c r="Z1377" s="81" t="s">
        <v>398</v>
      </c>
      <c r="AA1377" s="81" t="s">
        <v>116</v>
      </c>
      <c r="AB1377" s="81" t="s">
        <v>117</v>
      </c>
      <c r="AC1377" s="166">
        <v>0</v>
      </c>
      <c r="AD1377" s="349"/>
      <c r="AG1377" s="81" t="s">
        <v>74</v>
      </c>
      <c r="AH1377" s="81" t="s">
        <v>880</v>
      </c>
      <c r="AI1377" s="81" t="s">
        <v>3951</v>
      </c>
      <c r="AJ1377" s="81">
        <v>17320059</v>
      </c>
      <c r="AK1377" s="166">
        <v>0</v>
      </c>
      <c r="AL1377" s="166">
        <v>0</v>
      </c>
      <c r="AM1377" s="166">
        <v>0</v>
      </c>
      <c r="AN1377" s="166">
        <v>0</v>
      </c>
      <c r="AO1377" s="166">
        <v>0</v>
      </c>
      <c r="AP1377" s="166">
        <v>0</v>
      </c>
      <c r="AQ1377" s="166">
        <v>0</v>
      </c>
      <c r="AR1377" s="166">
        <v>0</v>
      </c>
      <c r="AS1377" s="166">
        <v>0</v>
      </c>
      <c r="AT1377" s="166">
        <v>0</v>
      </c>
      <c r="AU1377" s="166">
        <v>5</v>
      </c>
      <c r="AV1377" s="166">
        <v>0</v>
      </c>
      <c r="AW1377" s="166">
        <v>0</v>
      </c>
      <c r="AX1377" s="166">
        <v>0</v>
      </c>
      <c r="AY1377" s="166">
        <v>0</v>
      </c>
      <c r="AZ1377" s="166">
        <v>0</v>
      </c>
      <c r="BA1377" s="166">
        <v>0</v>
      </c>
      <c r="BB1377" s="166">
        <v>5</v>
      </c>
      <c r="BC1377" s="166">
        <v>0</v>
      </c>
      <c r="BD1377" s="166">
        <v>0</v>
      </c>
      <c r="BE1377" s="166">
        <v>0</v>
      </c>
      <c r="BF1377" s="166">
        <v>0</v>
      </c>
      <c r="BG1377" s="166">
        <v>0</v>
      </c>
      <c r="BH1377" s="166">
        <v>0</v>
      </c>
      <c r="BI1377" s="166">
        <v>0</v>
      </c>
      <c r="BJ1377" s="166">
        <v>0</v>
      </c>
      <c r="BK1377" s="166">
        <v>0</v>
      </c>
      <c r="BL1377" s="166">
        <v>0</v>
      </c>
      <c r="BM1377" s="166">
        <v>0</v>
      </c>
      <c r="BN1377" s="166">
        <v>0</v>
      </c>
      <c r="BO1377" s="166">
        <v>0</v>
      </c>
      <c r="BP1377" s="166">
        <v>0</v>
      </c>
      <c r="BQ1377" s="81" t="s">
        <v>1759</v>
      </c>
      <c r="BS1377" s="81" t="s">
        <v>155</v>
      </c>
      <c r="BZ1377" s="81" t="s">
        <v>155</v>
      </c>
      <c r="CA1377" s="81">
        <v>12</v>
      </c>
      <c r="CC1377" s="167">
        <v>0</v>
      </c>
      <c r="CD1377" s="167">
        <v>0</v>
      </c>
      <c r="CE1377" s="167">
        <v>0</v>
      </c>
      <c r="CF1377" s="167">
        <v>0</v>
      </c>
      <c r="CG1377" s="167">
        <v>0</v>
      </c>
      <c r="CH1377" s="167">
        <v>0</v>
      </c>
      <c r="CI1377" s="167">
        <v>0</v>
      </c>
      <c r="CJ1377" s="167">
        <v>0</v>
      </c>
      <c r="CK1377" s="167">
        <f>N1377</f>
        <v>5</v>
      </c>
      <c r="CL1377" s="167">
        <v>0</v>
      </c>
      <c r="CM1377" s="167">
        <v>0</v>
      </c>
      <c r="CN1377" s="167">
        <v>0</v>
      </c>
      <c r="CO1377" s="167">
        <v>0</v>
      </c>
      <c r="CP1377" s="167">
        <v>0</v>
      </c>
      <c r="CQ1377" s="167">
        <v>0</v>
      </c>
      <c r="CR1377" s="167">
        <v>0</v>
      </c>
      <c r="CS1377" s="167">
        <v>0</v>
      </c>
      <c r="CT1377" s="167">
        <v>0</v>
      </c>
      <c r="CU1377" s="167">
        <v>0</v>
      </c>
      <c r="CV1377" s="167">
        <v>0</v>
      </c>
      <c r="CW1377" s="167">
        <v>0</v>
      </c>
      <c r="CX1377" s="167">
        <f>SUM(CD1377:CH1377)</f>
        <v>0</v>
      </c>
      <c r="CY1377" s="167">
        <f>SUM(CD1377:CM1377)</f>
        <v>5</v>
      </c>
    </row>
    <row r="1378" spans="1:103" ht="12.75" customHeight="1" x14ac:dyDescent="0.2">
      <c r="A1378" s="81">
        <v>6856</v>
      </c>
      <c r="B1378" s="165" t="s">
        <v>1902</v>
      </c>
      <c r="C1378" s="165" t="s">
        <v>3487</v>
      </c>
      <c r="D1378" s="165" t="s">
        <v>3488</v>
      </c>
      <c r="E1378" s="165" t="s">
        <v>3489</v>
      </c>
      <c r="G1378" s="81">
        <v>527181</v>
      </c>
      <c r="H1378" s="81">
        <v>176864</v>
      </c>
      <c r="I1378" s="165" t="s">
        <v>257</v>
      </c>
      <c r="L1378" s="166">
        <v>0</v>
      </c>
      <c r="M1378" s="166">
        <v>40</v>
      </c>
      <c r="N1378" s="166">
        <v>40</v>
      </c>
      <c r="O1378" s="166">
        <v>57</v>
      </c>
      <c r="P1378" s="166">
        <v>57</v>
      </c>
      <c r="Q1378" s="81" t="s">
        <v>155</v>
      </c>
      <c r="R1378" s="165" t="s">
        <v>3490</v>
      </c>
      <c r="S1378" s="81" t="s">
        <v>1906</v>
      </c>
      <c r="W1378" s="81" t="s">
        <v>114</v>
      </c>
      <c r="Y1378" s="81" t="s">
        <v>115</v>
      </c>
      <c r="Z1378" s="81" t="s">
        <v>116</v>
      </c>
      <c r="AA1378" s="81" t="s">
        <v>116</v>
      </c>
      <c r="AB1378" s="81" t="s">
        <v>117</v>
      </c>
      <c r="AC1378" s="166">
        <v>0</v>
      </c>
      <c r="AG1378" s="81" t="s">
        <v>238</v>
      </c>
      <c r="AH1378" s="81" t="s">
        <v>1812</v>
      </c>
      <c r="AK1378" s="166">
        <v>0</v>
      </c>
      <c r="AM1378" s="166">
        <v>0</v>
      </c>
      <c r="AO1378" s="166">
        <v>0</v>
      </c>
      <c r="AP1378" s="166">
        <v>0</v>
      </c>
      <c r="AQ1378" s="166">
        <v>0</v>
      </c>
      <c r="AR1378" s="166">
        <v>0</v>
      </c>
      <c r="AS1378" s="166">
        <v>0</v>
      </c>
      <c r="AT1378" s="166">
        <v>0</v>
      </c>
      <c r="AU1378" s="166">
        <v>40</v>
      </c>
      <c r="AV1378" s="166">
        <v>0</v>
      </c>
      <c r="AW1378" s="166">
        <v>0</v>
      </c>
      <c r="AX1378" s="166">
        <v>0</v>
      </c>
      <c r="AY1378" s="166">
        <v>0</v>
      </c>
      <c r="AZ1378" s="166">
        <v>0</v>
      </c>
      <c r="BA1378" s="166">
        <v>0</v>
      </c>
      <c r="BB1378" s="166">
        <v>40</v>
      </c>
      <c r="BC1378" s="166">
        <v>0</v>
      </c>
      <c r="BD1378" s="166">
        <v>0</v>
      </c>
      <c r="BE1378" s="166">
        <v>0</v>
      </c>
      <c r="BF1378" s="166">
        <v>0</v>
      </c>
      <c r="BG1378" s="166">
        <v>0</v>
      </c>
      <c r="BH1378" s="166">
        <v>0</v>
      </c>
      <c r="BI1378" s="166">
        <v>0</v>
      </c>
      <c r="BJ1378" s="166">
        <v>0</v>
      </c>
      <c r="BK1378" s="166">
        <v>0</v>
      </c>
      <c r="BL1378" s="166">
        <v>0</v>
      </c>
      <c r="BM1378" s="166">
        <v>0</v>
      </c>
      <c r="BN1378" s="166">
        <v>0</v>
      </c>
      <c r="BO1378" s="166">
        <v>0</v>
      </c>
      <c r="BP1378" s="166">
        <v>0</v>
      </c>
      <c r="BQ1378" s="81" t="s">
        <v>1757</v>
      </c>
      <c r="BZ1378" s="81" t="s">
        <v>155</v>
      </c>
      <c r="CA1378" s="81">
        <v>11</v>
      </c>
      <c r="CC1378" s="167">
        <v>0</v>
      </c>
      <c r="CD1378" s="167">
        <v>0</v>
      </c>
      <c r="CE1378" s="167">
        <v>0</v>
      </c>
      <c r="CF1378" s="167">
        <v>0</v>
      </c>
      <c r="CG1378" s="167">
        <v>0</v>
      </c>
      <c r="CH1378" s="167">
        <v>0</v>
      </c>
      <c r="CI1378" s="167">
        <f>$N1378/3</f>
        <v>13.333333333333334</v>
      </c>
      <c r="CJ1378" s="167">
        <f>$N1378/3</f>
        <v>13.333333333333334</v>
      </c>
      <c r="CK1378" s="167">
        <f>$N1378/3</f>
        <v>13.333333333333334</v>
      </c>
      <c r="CL1378" s="167">
        <v>0</v>
      </c>
      <c r="CM1378" s="167">
        <v>0</v>
      </c>
      <c r="CN1378" s="167">
        <v>0</v>
      </c>
      <c r="CO1378" s="167">
        <v>0</v>
      </c>
      <c r="CP1378" s="167">
        <v>0</v>
      </c>
      <c r="CQ1378" s="167">
        <v>0</v>
      </c>
      <c r="CR1378" s="167">
        <v>0</v>
      </c>
      <c r="CS1378" s="167">
        <v>0</v>
      </c>
      <c r="CT1378" s="167">
        <v>0</v>
      </c>
      <c r="CU1378" s="167">
        <v>0</v>
      </c>
      <c r="CV1378" s="167">
        <v>0</v>
      </c>
      <c r="CW1378" s="167">
        <v>0</v>
      </c>
      <c r="CX1378" s="167">
        <f>SUM(CD1378:CH1378)</f>
        <v>0</v>
      </c>
      <c r="CY1378" s="167">
        <f>SUM(CD1378:CM1378)</f>
        <v>40</v>
      </c>
    </row>
    <row r="1379" spans="1:103" ht="12.75" customHeight="1" x14ac:dyDescent="0.2">
      <c r="A1379" s="81">
        <v>6856</v>
      </c>
      <c r="B1379" s="165" t="s">
        <v>1902</v>
      </c>
      <c r="C1379" s="165" t="s">
        <v>3487</v>
      </c>
      <c r="D1379" s="165" t="s">
        <v>3488</v>
      </c>
      <c r="E1379" s="165" t="s">
        <v>3489</v>
      </c>
      <c r="G1379" s="81">
        <v>527181</v>
      </c>
      <c r="H1379" s="81">
        <v>176864</v>
      </c>
      <c r="I1379" s="165" t="s">
        <v>257</v>
      </c>
      <c r="L1379" s="166">
        <v>0</v>
      </c>
      <c r="M1379" s="166">
        <v>17</v>
      </c>
      <c r="N1379" s="166">
        <v>17</v>
      </c>
      <c r="O1379" s="166">
        <v>57</v>
      </c>
      <c r="P1379" s="166">
        <v>57</v>
      </c>
      <c r="Q1379" s="81" t="s">
        <v>155</v>
      </c>
      <c r="R1379" s="165" t="s">
        <v>3490</v>
      </c>
      <c r="S1379" s="81" t="s">
        <v>1906</v>
      </c>
      <c r="W1379" s="81" t="s">
        <v>114</v>
      </c>
      <c r="Y1379" s="81" t="s">
        <v>115</v>
      </c>
      <c r="Z1379" s="81" t="s">
        <v>116</v>
      </c>
      <c r="AA1379" s="81" t="s">
        <v>116</v>
      </c>
      <c r="AB1379" s="81" t="s">
        <v>117</v>
      </c>
      <c r="AC1379" s="166">
        <v>0</v>
      </c>
      <c r="AG1379" s="81" t="s">
        <v>154</v>
      </c>
      <c r="AH1379" s="81" t="s">
        <v>38</v>
      </c>
      <c r="AK1379" s="166">
        <v>0</v>
      </c>
      <c r="AM1379" s="166">
        <v>0</v>
      </c>
      <c r="AO1379" s="166">
        <v>0</v>
      </c>
      <c r="AP1379" s="166">
        <v>0</v>
      </c>
      <c r="AQ1379" s="166">
        <v>0</v>
      </c>
      <c r="AR1379" s="166">
        <v>0</v>
      </c>
      <c r="AS1379" s="166">
        <v>0</v>
      </c>
      <c r="AT1379" s="166">
        <v>0</v>
      </c>
      <c r="AU1379" s="166">
        <v>17</v>
      </c>
      <c r="AV1379" s="166">
        <v>0</v>
      </c>
      <c r="AW1379" s="166">
        <v>0</v>
      </c>
      <c r="AX1379" s="166">
        <v>0</v>
      </c>
      <c r="AY1379" s="166">
        <v>0</v>
      </c>
      <c r="AZ1379" s="166">
        <v>0</v>
      </c>
      <c r="BA1379" s="166">
        <v>0</v>
      </c>
      <c r="BB1379" s="166">
        <v>17</v>
      </c>
      <c r="BC1379" s="166">
        <v>0</v>
      </c>
      <c r="BD1379" s="166">
        <v>0</v>
      </c>
      <c r="BE1379" s="166">
        <v>0</v>
      </c>
      <c r="BF1379" s="166">
        <v>0</v>
      </c>
      <c r="BG1379" s="166">
        <v>0</v>
      </c>
      <c r="BH1379" s="166">
        <v>0</v>
      </c>
      <c r="BI1379" s="166">
        <v>0</v>
      </c>
      <c r="BJ1379" s="166">
        <v>0</v>
      </c>
      <c r="BK1379" s="166">
        <v>0</v>
      </c>
      <c r="BL1379" s="166">
        <v>0</v>
      </c>
      <c r="BM1379" s="166">
        <v>0</v>
      </c>
      <c r="BN1379" s="166">
        <v>0</v>
      </c>
      <c r="BO1379" s="166">
        <v>0</v>
      </c>
      <c r="BP1379" s="166">
        <v>0</v>
      </c>
      <c r="BQ1379" s="81" t="s">
        <v>1757</v>
      </c>
      <c r="BZ1379" s="81" t="s">
        <v>155</v>
      </c>
      <c r="CA1379" s="81">
        <v>11</v>
      </c>
      <c r="CC1379" s="167">
        <v>0</v>
      </c>
      <c r="CD1379" s="167">
        <v>0</v>
      </c>
      <c r="CE1379" s="167">
        <v>0</v>
      </c>
      <c r="CF1379" s="167">
        <v>0</v>
      </c>
      <c r="CG1379" s="167">
        <v>0</v>
      </c>
      <c r="CH1379" s="167">
        <v>0</v>
      </c>
      <c r="CI1379" s="167">
        <f>$N1379/3</f>
        <v>5.666666666666667</v>
      </c>
      <c r="CJ1379" s="167">
        <f>$N1379/3</f>
        <v>5.666666666666667</v>
      </c>
      <c r="CK1379" s="167">
        <f>$N1379/3</f>
        <v>5.666666666666667</v>
      </c>
      <c r="CL1379" s="167">
        <v>0</v>
      </c>
      <c r="CM1379" s="167">
        <v>0</v>
      </c>
      <c r="CN1379" s="167">
        <v>0</v>
      </c>
      <c r="CO1379" s="167">
        <v>0</v>
      </c>
      <c r="CP1379" s="167">
        <v>0</v>
      </c>
      <c r="CQ1379" s="167">
        <v>0</v>
      </c>
      <c r="CR1379" s="167">
        <v>0</v>
      </c>
      <c r="CS1379" s="167">
        <v>0</v>
      </c>
      <c r="CT1379" s="167">
        <v>0</v>
      </c>
      <c r="CU1379" s="167">
        <v>0</v>
      </c>
      <c r="CV1379" s="167">
        <v>0</v>
      </c>
      <c r="CW1379" s="167">
        <v>0</v>
      </c>
      <c r="CX1379" s="167">
        <f>SUM(CD1379:CH1379)</f>
        <v>0</v>
      </c>
      <c r="CY1379" s="167">
        <f>SUM(CD1379:CM1379)</f>
        <v>17</v>
      </c>
    </row>
    <row r="1380" spans="1:103" ht="12.75" customHeight="1" x14ac:dyDescent="0.2">
      <c r="A1380" s="81">
        <v>6857</v>
      </c>
      <c r="B1380" s="165" t="s">
        <v>1902</v>
      </c>
      <c r="C1380" s="165" t="s">
        <v>3491</v>
      </c>
      <c r="E1380" s="165" t="s">
        <v>3492</v>
      </c>
      <c r="G1380" s="81">
        <v>527247</v>
      </c>
      <c r="H1380" s="81">
        <v>176890</v>
      </c>
      <c r="I1380" s="165" t="s">
        <v>257</v>
      </c>
      <c r="L1380" s="166">
        <v>0</v>
      </c>
      <c r="M1380" s="166">
        <v>32</v>
      </c>
      <c r="N1380" s="166">
        <v>32</v>
      </c>
      <c r="O1380" s="166">
        <v>40</v>
      </c>
      <c r="P1380" s="166">
        <v>40</v>
      </c>
      <c r="Q1380" s="81" t="s">
        <v>155</v>
      </c>
      <c r="R1380" s="165" t="s">
        <v>3493</v>
      </c>
      <c r="S1380" s="81" t="s">
        <v>1906</v>
      </c>
      <c r="W1380" s="81" t="s">
        <v>114</v>
      </c>
      <c r="Y1380" s="81" t="s">
        <v>115</v>
      </c>
      <c r="Z1380" s="81" t="s">
        <v>116</v>
      </c>
      <c r="AA1380" s="81" t="s">
        <v>116</v>
      </c>
      <c r="AB1380" s="81" t="s">
        <v>117</v>
      </c>
      <c r="AC1380" s="166">
        <v>0</v>
      </c>
      <c r="AG1380" s="81" t="s">
        <v>238</v>
      </c>
      <c r="AH1380" s="81" t="s">
        <v>1812</v>
      </c>
      <c r="AK1380" s="166">
        <v>0</v>
      </c>
      <c r="AM1380" s="166">
        <v>0</v>
      </c>
      <c r="AO1380" s="166">
        <v>0</v>
      </c>
      <c r="AP1380" s="166">
        <v>0</v>
      </c>
      <c r="AQ1380" s="166">
        <v>0</v>
      </c>
      <c r="AR1380" s="166">
        <v>0</v>
      </c>
      <c r="AS1380" s="166">
        <v>0</v>
      </c>
      <c r="AT1380" s="166">
        <v>0</v>
      </c>
      <c r="AU1380" s="166">
        <v>32</v>
      </c>
      <c r="AV1380" s="166">
        <v>0</v>
      </c>
      <c r="AW1380" s="166">
        <v>0</v>
      </c>
      <c r="AX1380" s="166">
        <v>0</v>
      </c>
      <c r="AY1380" s="166">
        <v>0</v>
      </c>
      <c r="AZ1380" s="166">
        <v>0</v>
      </c>
      <c r="BA1380" s="166">
        <v>0</v>
      </c>
      <c r="BB1380" s="166">
        <v>32</v>
      </c>
      <c r="BC1380" s="166">
        <v>0</v>
      </c>
      <c r="BD1380" s="166">
        <v>0</v>
      </c>
      <c r="BE1380" s="166">
        <v>0</v>
      </c>
      <c r="BF1380" s="166">
        <v>0</v>
      </c>
      <c r="BG1380" s="166">
        <v>0</v>
      </c>
      <c r="BH1380" s="166">
        <v>0</v>
      </c>
      <c r="BI1380" s="166">
        <v>0</v>
      </c>
      <c r="BJ1380" s="166">
        <v>0</v>
      </c>
      <c r="BK1380" s="166">
        <v>0</v>
      </c>
      <c r="BL1380" s="166">
        <v>0</v>
      </c>
      <c r="BM1380" s="166">
        <v>0</v>
      </c>
      <c r="BN1380" s="166">
        <v>0</v>
      </c>
      <c r="BO1380" s="166">
        <v>0</v>
      </c>
      <c r="BP1380" s="166">
        <v>0</v>
      </c>
      <c r="BQ1380" s="81" t="s">
        <v>1757</v>
      </c>
      <c r="BZ1380" s="81" t="s">
        <v>155</v>
      </c>
      <c r="CA1380" s="81">
        <v>11</v>
      </c>
      <c r="CC1380" s="167">
        <v>0</v>
      </c>
      <c r="CD1380" s="167">
        <v>0</v>
      </c>
      <c r="CE1380" s="167">
        <v>0</v>
      </c>
      <c r="CF1380" s="167">
        <v>0</v>
      </c>
      <c r="CG1380" s="167">
        <v>0</v>
      </c>
      <c r="CH1380" s="167">
        <v>0</v>
      </c>
      <c r="CI1380" s="167">
        <f>$N1380/3</f>
        <v>10.666666666666666</v>
      </c>
      <c r="CJ1380" s="167">
        <f>$N1380/3</f>
        <v>10.666666666666666</v>
      </c>
      <c r="CK1380" s="167">
        <f>$N1380/3</f>
        <v>10.666666666666666</v>
      </c>
      <c r="CL1380" s="167">
        <v>0</v>
      </c>
      <c r="CM1380" s="167">
        <v>0</v>
      </c>
      <c r="CN1380" s="167">
        <v>0</v>
      </c>
      <c r="CO1380" s="167">
        <v>0</v>
      </c>
      <c r="CP1380" s="167">
        <v>0</v>
      </c>
      <c r="CQ1380" s="167">
        <v>0</v>
      </c>
      <c r="CR1380" s="167">
        <v>0</v>
      </c>
      <c r="CS1380" s="167">
        <v>0</v>
      </c>
      <c r="CT1380" s="167">
        <v>0</v>
      </c>
      <c r="CU1380" s="167">
        <v>0</v>
      </c>
      <c r="CV1380" s="167">
        <v>0</v>
      </c>
      <c r="CW1380" s="167">
        <v>0</v>
      </c>
      <c r="CX1380" s="167">
        <f>SUM(CD1380:CH1380)</f>
        <v>0</v>
      </c>
      <c r="CY1380" s="167">
        <f>SUM(CD1380:CM1380)</f>
        <v>32</v>
      </c>
    </row>
    <row r="1381" spans="1:103" ht="12.75" customHeight="1" x14ac:dyDescent="0.2">
      <c r="A1381" s="81">
        <v>6857</v>
      </c>
      <c r="B1381" s="165" t="s">
        <v>1902</v>
      </c>
      <c r="C1381" s="165" t="s">
        <v>3491</v>
      </c>
      <c r="E1381" s="165" t="s">
        <v>3492</v>
      </c>
      <c r="G1381" s="81">
        <v>527247</v>
      </c>
      <c r="H1381" s="81">
        <v>176890</v>
      </c>
      <c r="I1381" s="165" t="s">
        <v>257</v>
      </c>
      <c r="L1381" s="166">
        <v>0</v>
      </c>
      <c r="M1381" s="166">
        <v>8</v>
      </c>
      <c r="N1381" s="166">
        <v>8</v>
      </c>
      <c r="O1381" s="166">
        <v>40</v>
      </c>
      <c r="P1381" s="166">
        <v>40</v>
      </c>
      <c r="Q1381" s="81" t="s">
        <v>155</v>
      </c>
      <c r="R1381" s="165" t="s">
        <v>3493</v>
      </c>
      <c r="S1381" s="81" t="s">
        <v>1906</v>
      </c>
      <c r="W1381" s="81" t="s">
        <v>114</v>
      </c>
      <c r="Y1381" s="81" t="s">
        <v>115</v>
      </c>
      <c r="Z1381" s="81" t="s">
        <v>116</v>
      </c>
      <c r="AA1381" s="81" t="s">
        <v>116</v>
      </c>
      <c r="AB1381" s="81" t="s">
        <v>117</v>
      </c>
      <c r="AC1381" s="166">
        <v>0</v>
      </c>
      <c r="AG1381" s="81" t="s">
        <v>154</v>
      </c>
      <c r="AH1381" s="81" t="s">
        <v>38</v>
      </c>
      <c r="AK1381" s="166">
        <v>0</v>
      </c>
      <c r="AM1381" s="166">
        <v>0</v>
      </c>
      <c r="AO1381" s="166">
        <v>0</v>
      </c>
      <c r="AP1381" s="166">
        <v>0</v>
      </c>
      <c r="AQ1381" s="166">
        <v>0</v>
      </c>
      <c r="AR1381" s="166">
        <v>0</v>
      </c>
      <c r="AS1381" s="166">
        <v>0</v>
      </c>
      <c r="AT1381" s="166">
        <v>0</v>
      </c>
      <c r="AU1381" s="166">
        <v>8</v>
      </c>
      <c r="AV1381" s="166">
        <v>0</v>
      </c>
      <c r="AW1381" s="166">
        <v>0</v>
      </c>
      <c r="AX1381" s="166">
        <v>0</v>
      </c>
      <c r="AY1381" s="166">
        <v>0</v>
      </c>
      <c r="AZ1381" s="166">
        <v>0</v>
      </c>
      <c r="BA1381" s="166">
        <v>0</v>
      </c>
      <c r="BB1381" s="166">
        <v>8</v>
      </c>
      <c r="BC1381" s="166">
        <v>0</v>
      </c>
      <c r="BD1381" s="166">
        <v>0</v>
      </c>
      <c r="BE1381" s="166">
        <v>0</v>
      </c>
      <c r="BF1381" s="166">
        <v>0</v>
      </c>
      <c r="BG1381" s="166">
        <v>0</v>
      </c>
      <c r="BH1381" s="166">
        <v>0</v>
      </c>
      <c r="BI1381" s="166">
        <v>0</v>
      </c>
      <c r="BJ1381" s="166">
        <v>0</v>
      </c>
      <c r="BK1381" s="166">
        <v>0</v>
      </c>
      <c r="BL1381" s="166">
        <v>0</v>
      </c>
      <c r="BM1381" s="166">
        <v>0</v>
      </c>
      <c r="BN1381" s="166">
        <v>0</v>
      </c>
      <c r="BO1381" s="166">
        <v>0</v>
      </c>
      <c r="BP1381" s="166">
        <v>0</v>
      </c>
      <c r="BQ1381" s="81" t="s">
        <v>1757</v>
      </c>
      <c r="BZ1381" s="81" t="s">
        <v>155</v>
      </c>
      <c r="CA1381" s="81">
        <v>11</v>
      </c>
      <c r="CC1381" s="167">
        <v>0</v>
      </c>
      <c r="CD1381" s="167">
        <v>0</v>
      </c>
      <c r="CE1381" s="167">
        <v>0</v>
      </c>
      <c r="CF1381" s="167">
        <v>0</v>
      </c>
      <c r="CG1381" s="167">
        <v>0</v>
      </c>
      <c r="CH1381" s="167">
        <v>0</v>
      </c>
      <c r="CI1381" s="167">
        <f>$N1381/3</f>
        <v>2.6666666666666665</v>
      </c>
      <c r="CJ1381" s="167">
        <f>$N1381/3</f>
        <v>2.6666666666666665</v>
      </c>
      <c r="CK1381" s="167">
        <f>$N1381/3</f>
        <v>2.6666666666666665</v>
      </c>
      <c r="CL1381" s="167">
        <v>0</v>
      </c>
      <c r="CM1381" s="167">
        <v>0</v>
      </c>
      <c r="CN1381" s="167">
        <v>0</v>
      </c>
      <c r="CO1381" s="167">
        <v>0</v>
      </c>
      <c r="CP1381" s="167">
        <v>0</v>
      </c>
      <c r="CQ1381" s="167">
        <v>0</v>
      </c>
      <c r="CR1381" s="167">
        <v>0</v>
      </c>
      <c r="CS1381" s="167">
        <v>0</v>
      </c>
      <c r="CT1381" s="167">
        <v>0</v>
      </c>
      <c r="CU1381" s="167">
        <v>0</v>
      </c>
      <c r="CV1381" s="167">
        <v>0</v>
      </c>
      <c r="CW1381" s="167">
        <v>0</v>
      </c>
      <c r="CX1381" s="167">
        <f>SUM(CD1381:CH1381)</f>
        <v>0</v>
      </c>
      <c r="CY1381" s="167">
        <f>SUM(CD1381:CM1381)</f>
        <v>8</v>
      </c>
    </row>
    <row r="1382" spans="1:103" ht="12.75" customHeight="1" x14ac:dyDescent="0.2">
      <c r="A1382" s="81">
        <v>6864</v>
      </c>
      <c r="B1382" s="165" t="s">
        <v>1902</v>
      </c>
      <c r="C1382" s="165" t="s">
        <v>3494</v>
      </c>
      <c r="E1382" s="165" t="s">
        <v>3495</v>
      </c>
      <c r="G1382" s="81">
        <v>527567</v>
      </c>
      <c r="H1382" s="81">
        <v>175349</v>
      </c>
      <c r="I1382" s="165" t="s">
        <v>253</v>
      </c>
      <c r="L1382" s="166">
        <v>0</v>
      </c>
      <c r="M1382" s="166">
        <v>211</v>
      </c>
      <c r="N1382" s="166">
        <v>211</v>
      </c>
      <c r="O1382" s="166">
        <v>315</v>
      </c>
      <c r="P1382" s="166">
        <v>315</v>
      </c>
      <c r="Q1382" s="81" t="s">
        <v>155</v>
      </c>
      <c r="R1382" s="165" t="s">
        <v>1905</v>
      </c>
      <c r="S1382" s="81" t="s">
        <v>1906</v>
      </c>
      <c r="W1382" s="81" t="s">
        <v>114</v>
      </c>
      <c r="Y1382" s="81" t="s">
        <v>115</v>
      </c>
      <c r="Z1382" s="81" t="s">
        <v>116</v>
      </c>
      <c r="AA1382" s="81" t="s">
        <v>116</v>
      </c>
      <c r="AB1382" s="81" t="s">
        <v>117</v>
      </c>
      <c r="AC1382" s="166">
        <v>0</v>
      </c>
      <c r="AG1382" s="81" t="s">
        <v>238</v>
      </c>
      <c r="AH1382" s="81" t="s">
        <v>118</v>
      </c>
      <c r="AI1382" s="81" t="s">
        <v>2448</v>
      </c>
      <c r="AJ1382" s="81">
        <v>17320280</v>
      </c>
      <c r="AK1382" s="166">
        <v>0</v>
      </c>
      <c r="AM1382" s="166">
        <v>0</v>
      </c>
      <c r="AO1382" s="166">
        <v>0</v>
      </c>
      <c r="AP1382" s="166">
        <v>0</v>
      </c>
      <c r="AQ1382" s="166">
        <v>0</v>
      </c>
      <c r="AR1382" s="166">
        <v>0</v>
      </c>
      <c r="AS1382" s="166">
        <v>0</v>
      </c>
      <c r="AT1382" s="166">
        <v>0</v>
      </c>
      <c r="AU1382" s="166">
        <v>211</v>
      </c>
      <c r="AV1382" s="166">
        <v>0</v>
      </c>
      <c r="AW1382" s="166">
        <v>0</v>
      </c>
      <c r="AX1382" s="166">
        <v>0</v>
      </c>
      <c r="AY1382" s="166">
        <v>0</v>
      </c>
      <c r="AZ1382" s="166">
        <v>0</v>
      </c>
      <c r="BA1382" s="166">
        <v>0</v>
      </c>
      <c r="BB1382" s="166">
        <v>211</v>
      </c>
      <c r="BC1382" s="166">
        <v>0</v>
      </c>
      <c r="BD1382" s="166">
        <v>0</v>
      </c>
      <c r="BE1382" s="166">
        <v>0</v>
      </c>
      <c r="BF1382" s="166">
        <v>0</v>
      </c>
      <c r="BG1382" s="166">
        <v>0</v>
      </c>
      <c r="BH1382" s="166">
        <v>0</v>
      </c>
      <c r="BI1382" s="166">
        <v>0</v>
      </c>
      <c r="BJ1382" s="166">
        <v>0</v>
      </c>
      <c r="BK1382" s="166">
        <v>0</v>
      </c>
      <c r="BL1382" s="166">
        <v>0</v>
      </c>
      <c r="BM1382" s="166">
        <v>0</v>
      </c>
      <c r="BN1382" s="166">
        <v>0</v>
      </c>
      <c r="BO1382" s="166">
        <v>0</v>
      </c>
      <c r="BP1382" s="166">
        <v>0</v>
      </c>
      <c r="BQ1382" s="81" t="s">
        <v>1757</v>
      </c>
      <c r="BZ1382" s="81" t="s">
        <v>155</v>
      </c>
      <c r="CA1382" s="81">
        <v>11</v>
      </c>
      <c r="CC1382" s="167">
        <v>0</v>
      </c>
      <c r="CD1382" s="167">
        <v>0</v>
      </c>
      <c r="CE1382" s="167">
        <v>0</v>
      </c>
      <c r="CF1382" s="167">
        <v>0</v>
      </c>
      <c r="CG1382" s="167">
        <v>0</v>
      </c>
      <c r="CH1382" s="167">
        <v>0</v>
      </c>
      <c r="CI1382" s="167">
        <v>0</v>
      </c>
      <c r="CJ1382" s="167">
        <v>0</v>
      </c>
      <c r="CK1382" s="167">
        <v>0</v>
      </c>
      <c r="CL1382" s="167">
        <v>0</v>
      </c>
      <c r="CM1382" s="167">
        <v>0</v>
      </c>
      <c r="CN1382" s="167">
        <v>0</v>
      </c>
      <c r="CO1382" s="167">
        <f>$N1382/12</f>
        <v>17.583333333333332</v>
      </c>
      <c r="CP1382" s="167">
        <f>$N1382/12</f>
        <v>17.583333333333332</v>
      </c>
      <c r="CQ1382" s="167">
        <f>$N1382/12</f>
        <v>17.583333333333332</v>
      </c>
      <c r="CR1382" s="167">
        <f>$N1382/12</f>
        <v>17.583333333333332</v>
      </c>
      <c r="CS1382" s="167">
        <f>$N1382/12</f>
        <v>17.583333333333332</v>
      </c>
      <c r="CT1382" s="167">
        <f>$N1382/12</f>
        <v>17.583333333333332</v>
      </c>
      <c r="CU1382" s="167">
        <f>$N1382/12</f>
        <v>17.583333333333332</v>
      </c>
      <c r="CV1382" s="167">
        <f>$N1382/12</f>
        <v>17.583333333333332</v>
      </c>
      <c r="CW1382" s="167">
        <f>$N1382/12</f>
        <v>17.583333333333332</v>
      </c>
      <c r="CX1382" s="167">
        <f>SUM(CD1382:CH1382)</f>
        <v>0</v>
      </c>
      <c r="CY1382" s="167">
        <f>SUM(CD1382:CM1382)</f>
        <v>0</v>
      </c>
    </row>
    <row r="1383" spans="1:103" ht="12.75" customHeight="1" x14ac:dyDescent="0.2">
      <c r="A1383" s="81">
        <v>6864</v>
      </c>
      <c r="B1383" s="165" t="s">
        <v>1902</v>
      </c>
      <c r="C1383" s="165" t="s">
        <v>3494</v>
      </c>
      <c r="E1383" s="165" t="s">
        <v>3495</v>
      </c>
      <c r="G1383" s="81">
        <v>527567</v>
      </c>
      <c r="H1383" s="81">
        <v>175349</v>
      </c>
      <c r="I1383" s="165" t="s">
        <v>253</v>
      </c>
      <c r="L1383" s="166">
        <v>0</v>
      </c>
      <c r="M1383" s="166">
        <v>62</v>
      </c>
      <c r="N1383" s="166">
        <v>62</v>
      </c>
      <c r="O1383" s="166">
        <v>315</v>
      </c>
      <c r="P1383" s="166">
        <v>315</v>
      </c>
      <c r="Q1383" s="81" t="s">
        <v>155</v>
      </c>
      <c r="R1383" s="165" t="s">
        <v>1905</v>
      </c>
      <c r="S1383" s="81" t="s">
        <v>1906</v>
      </c>
      <c r="W1383" s="81" t="s">
        <v>114</v>
      </c>
      <c r="Y1383" s="81" t="s">
        <v>115</v>
      </c>
      <c r="Z1383" s="81" t="s">
        <v>116</v>
      </c>
      <c r="AA1383" s="81" t="s">
        <v>116</v>
      </c>
      <c r="AB1383" s="81" t="s">
        <v>117</v>
      </c>
      <c r="AC1383" s="166">
        <v>0</v>
      </c>
      <c r="AG1383" s="81" t="s">
        <v>154</v>
      </c>
      <c r="AH1383" s="81" t="s">
        <v>276</v>
      </c>
      <c r="AI1383" s="81" t="s">
        <v>2448</v>
      </c>
      <c r="AJ1383" s="81">
        <v>17320280</v>
      </c>
      <c r="AK1383" s="166">
        <v>0</v>
      </c>
      <c r="AM1383" s="166">
        <v>0</v>
      </c>
      <c r="AO1383" s="166">
        <v>0</v>
      </c>
      <c r="AP1383" s="166">
        <v>0</v>
      </c>
      <c r="AQ1383" s="166">
        <v>0</v>
      </c>
      <c r="AR1383" s="166">
        <v>0</v>
      </c>
      <c r="AS1383" s="166">
        <v>0</v>
      </c>
      <c r="AT1383" s="166">
        <v>0</v>
      </c>
      <c r="AU1383" s="166">
        <v>62</v>
      </c>
      <c r="AV1383" s="166">
        <v>0</v>
      </c>
      <c r="AW1383" s="166">
        <v>0</v>
      </c>
      <c r="AX1383" s="166">
        <v>0</v>
      </c>
      <c r="AY1383" s="166">
        <v>0</v>
      </c>
      <c r="AZ1383" s="166">
        <v>0</v>
      </c>
      <c r="BA1383" s="166">
        <v>0</v>
      </c>
      <c r="BB1383" s="166">
        <v>62</v>
      </c>
      <c r="BC1383" s="166">
        <v>0</v>
      </c>
      <c r="BD1383" s="166">
        <v>0</v>
      </c>
      <c r="BE1383" s="166">
        <v>0</v>
      </c>
      <c r="BF1383" s="166">
        <v>0</v>
      </c>
      <c r="BG1383" s="166">
        <v>0</v>
      </c>
      <c r="BH1383" s="166">
        <v>0</v>
      </c>
      <c r="BI1383" s="166">
        <v>0</v>
      </c>
      <c r="BJ1383" s="166">
        <v>0</v>
      </c>
      <c r="BK1383" s="166">
        <v>0</v>
      </c>
      <c r="BL1383" s="166">
        <v>0</v>
      </c>
      <c r="BM1383" s="166">
        <v>0</v>
      </c>
      <c r="BN1383" s="166">
        <v>0</v>
      </c>
      <c r="BO1383" s="166">
        <v>0</v>
      </c>
      <c r="BP1383" s="166">
        <v>0</v>
      </c>
      <c r="BQ1383" s="81" t="s">
        <v>1757</v>
      </c>
      <c r="BZ1383" s="81" t="s">
        <v>155</v>
      </c>
      <c r="CA1383" s="81">
        <v>11</v>
      </c>
      <c r="CC1383" s="167">
        <v>0</v>
      </c>
      <c r="CD1383" s="167">
        <v>0</v>
      </c>
      <c r="CE1383" s="167">
        <v>0</v>
      </c>
      <c r="CF1383" s="167">
        <v>0</v>
      </c>
      <c r="CG1383" s="167">
        <v>0</v>
      </c>
      <c r="CH1383" s="167">
        <v>0</v>
      </c>
      <c r="CI1383" s="167">
        <v>0</v>
      </c>
      <c r="CJ1383" s="167">
        <v>0</v>
      </c>
      <c r="CK1383" s="167">
        <v>0</v>
      </c>
      <c r="CL1383" s="167">
        <v>0</v>
      </c>
      <c r="CM1383" s="167">
        <v>0</v>
      </c>
      <c r="CN1383" s="167">
        <v>0</v>
      </c>
      <c r="CO1383" s="167">
        <f>$N1383/12</f>
        <v>5.166666666666667</v>
      </c>
      <c r="CP1383" s="167">
        <f>$N1383/12</f>
        <v>5.166666666666667</v>
      </c>
      <c r="CQ1383" s="167">
        <f>$N1383/12</f>
        <v>5.166666666666667</v>
      </c>
      <c r="CR1383" s="167">
        <f>$N1383/12</f>
        <v>5.166666666666667</v>
      </c>
      <c r="CS1383" s="167">
        <f>$N1383/12</f>
        <v>5.166666666666667</v>
      </c>
      <c r="CT1383" s="167">
        <f>$N1383/12</f>
        <v>5.166666666666667</v>
      </c>
      <c r="CU1383" s="167">
        <f>$N1383/12</f>
        <v>5.166666666666667</v>
      </c>
      <c r="CV1383" s="167">
        <f>$N1383/12</f>
        <v>5.166666666666667</v>
      </c>
      <c r="CW1383" s="167">
        <f>$N1383/12</f>
        <v>5.166666666666667</v>
      </c>
      <c r="CX1383" s="167">
        <f>SUM(CD1383:CH1383)</f>
        <v>0</v>
      </c>
      <c r="CY1383" s="167">
        <f>SUM(CD1383:CM1383)</f>
        <v>0</v>
      </c>
    </row>
    <row r="1384" spans="1:103" ht="12.75" customHeight="1" x14ac:dyDescent="0.2">
      <c r="A1384" s="81">
        <v>6864</v>
      </c>
      <c r="B1384" s="165" t="s">
        <v>1902</v>
      </c>
      <c r="C1384" s="165" t="s">
        <v>3494</v>
      </c>
      <c r="E1384" s="165" t="s">
        <v>3495</v>
      </c>
      <c r="G1384" s="81">
        <v>527567</v>
      </c>
      <c r="H1384" s="81">
        <v>175349</v>
      </c>
      <c r="I1384" s="165" t="s">
        <v>253</v>
      </c>
      <c r="L1384" s="166">
        <v>0</v>
      </c>
      <c r="M1384" s="166">
        <v>42</v>
      </c>
      <c r="N1384" s="166">
        <v>42</v>
      </c>
      <c r="O1384" s="166">
        <v>315</v>
      </c>
      <c r="P1384" s="166">
        <v>315</v>
      </c>
      <c r="Q1384" s="81" t="s">
        <v>155</v>
      </c>
      <c r="R1384" s="165" t="s">
        <v>1905</v>
      </c>
      <c r="S1384" s="81" t="s">
        <v>1906</v>
      </c>
      <c r="W1384" s="81" t="s">
        <v>114</v>
      </c>
      <c r="Y1384" s="81" t="s">
        <v>115</v>
      </c>
      <c r="Z1384" s="81" t="s">
        <v>116</v>
      </c>
      <c r="AA1384" s="81" t="s">
        <v>116</v>
      </c>
      <c r="AB1384" s="81" t="s">
        <v>117</v>
      </c>
      <c r="AC1384" s="166">
        <v>0</v>
      </c>
      <c r="AG1384" s="81" t="s">
        <v>74</v>
      </c>
      <c r="AH1384" s="81" t="s">
        <v>990</v>
      </c>
      <c r="AI1384" s="81" t="s">
        <v>2448</v>
      </c>
      <c r="AJ1384" s="81">
        <v>17320280</v>
      </c>
      <c r="AK1384" s="166">
        <v>0</v>
      </c>
      <c r="AM1384" s="166">
        <v>0</v>
      </c>
      <c r="AO1384" s="166">
        <v>0</v>
      </c>
      <c r="AP1384" s="166">
        <v>0</v>
      </c>
      <c r="AQ1384" s="166">
        <v>0</v>
      </c>
      <c r="AR1384" s="166">
        <v>0</v>
      </c>
      <c r="AS1384" s="166">
        <v>0</v>
      </c>
      <c r="AT1384" s="166">
        <v>0</v>
      </c>
      <c r="AU1384" s="166">
        <v>42</v>
      </c>
      <c r="AV1384" s="166">
        <v>0</v>
      </c>
      <c r="AW1384" s="166">
        <v>0</v>
      </c>
      <c r="AX1384" s="166">
        <v>0</v>
      </c>
      <c r="AY1384" s="166">
        <v>0</v>
      </c>
      <c r="AZ1384" s="166">
        <v>0</v>
      </c>
      <c r="BA1384" s="166">
        <v>0</v>
      </c>
      <c r="BB1384" s="166">
        <v>42</v>
      </c>
      <c r="BC1384" s="166">
        <v>0</v>
      </c>
      <c r="BD1384" s="166">
        <v>0</v>
      </c>
      <c r="BE1384" s="166">
        <v>0</v>
      </c>
      <c r="BF1384" s="166">
        <v>0</v>
      </c>
      <c r="BG1384" s="166">
        <v>0</v>
      </c>
      <c r="BH1384" s="166">
        <v>0</v>
      </c>
      <c r="BI1384" s="166">
        <v>0</v>
      </c>
      <c r="BJ1384" s="166">
        <v>0</v>
      </c>
      <c r="BK1384" s="166">
        <v>0</v>
      </c>
      <c r="BL1384" s="166">
        <v>0</v>
      </c>
      <c r="BM1384" s="166">
        <v>0</v>
      </c>
      <c r="BN1384" s="166">
        <v>0</v>
      </c>
      <c r="BO1384" s="166">
        <v>0</v>
      </c>
      <c r="BP1384" s="166">
        <v>0</v>
      </c>
      <c r="BQ1384" s="81" t="s">
        <v>1757</v>
      </c>
      <c r="BZ1384" s="81" t="s">
        <v>155</v>
      </c>
      <c r="CA1384" s="81">
        <v>11</v>
      </c>
      <c r="CC1384" s="167">
        <v>0</v>
      </c>
      <c r="CD1384" s="167">
        <v>0</v>
      </c>
      <c r="CE1384" s="167">
        <v>0</v>
      </c>
      <c r="CF1384" s="167">
        <v>0</v>
      </c>
      <c r="CG1384" s="167">
        <v>0</v>
      </c>
      <c r="CH1384" s="167">
        <v>0</v>
      </c>
      <c r="CI1384" s="167">
        <v>0</v>
      </c>
      <c r="CJ1384" s="167">
        <v>0</v>
      </c>
      <c r="CK1384" s="167">
        <v>0</v>
      </c>
      <c r="CL1384" s="167">
        <v>0</v>
      </c>
      <c r="CM1384" s="167">
        <v>0</v>
      </c>
      <c r="CN1384" s="167">
        <v>0</v>
      </c>
      <c r="CO1384" s="167">
        <f>$N1384/12</f>
        <v>3.5</v>
      </c>
      <c r="CP1384" s="167">
        <f>$N1384/12</f>
        <v>3.5</v>
      </c>
      <c r="CQ1384" s="167">
        <f>$N1384/12</f>
        <v>3.5</v>
      </c>
      <c r="CR1384" s="167">
        <f>$N1384/12</f>
        <v>3.5</v>
      </c>
      <c r="CS1384" s="167">
        <f>$N1384/12</f>
        <v>3.5</v>
      </c>
      <c r="CT1384" s="167">
        <f>$N1384/12</f>
        <v>3.5</v>
      </c>
      <c r="CU1384" s="167">
        <f>$N1384/12</f>
        <v>3.5</v>
      </c>
      <c r="CV1384" s="167">
        <f>$N1384/12</f>
        <v>3.5</v>
      </c>
      <c r="CW1384" s="167">
        <f>$N1384/12</f>
        <v>3.5</v>
      </c>
      <c r="CX1384" s="167">
        <f>SUM(CD1384:CH1384)</f>
        <v>0</v>
      </c>
      <c r="CY1384" s="167">
        <f>SUM(CD1384:CM1384)</f>
        <v>0</v>
      </c>
    </row>
    <row r="1385" spans="1:103" ht="12.75" customHeight="1" x14ac:dyDescent="0.2">
      <c r="A1385" s="81">
        <v>6865</v>
      </c>
      <c r="B1385" s="165" t="s">
        <v>1902</v>
      </c>
      <c r="C1385" s="165" t="s">
        <v>3496</v>
      </c>
      <c r="E1385" s="165" t="s">
        <v>3497</v>
      </c>
      <c r="G1385" s="81">
        <v>527052</v>
      </c>
      <c r="H1385" s="81">
        <v>171137</v>
      </c>
      <c r="I1385" s="165" t="s">
        <v>242</v>
      </c>
      <c r="L1385" s="166">
        <v>0</v>
      </c>
      <c r="M1385" s="166">
        <v>103</v>
      </c>
      <c r="N1385" s="166">
        <v>103</v>
      </c>
      <c r="O1385" s="166">
        <v>153</v>
      </c>
      <c r="P1385" s="166">
        <v>153</v>
      </c>
      <c r="Q1385" s="81" t="s">
        <v>155</v>
      </c>
      <c r="R1385" s="165" t="s">
        <v>1905</v>
      </c>
      <c r="S1385" s="81" t="s">
        <v>1906</v>
      </c>
      <c r="W1385" s="81" t="s">
        <v>114</v>
      </c>
      <c r="Y1385" s="81" t="s">
        <v>115</v>
      </c>
      <c r="Z1385" s="81" t="s">
        <v>116</v>
      </c>
      <c r="AA1385" s="81" t="s">
        <v>116</v>
      </c>
      <c r="AB1385" s="81" t="s">
        <v>117</v>
      </c>
      <c r="AC1385" s="166">
        <v>0</v>
      </c>
      <c r="AG1385" s="81" t="s">
        <v>238</v>
      </c>
      <c r="AH1385" s="81" t="s">
        <v>118</v>
      </c>
      <c r="AI1385" s="81" t="s">
        <v>3498</v>
      </c>
      <c r="AJ1385" s="81">
        <v>17320189</v>
      </c>
      <c r="AK1385" s="166">
        <v>0</v>
      </c>
      <c r="AM1385" s="166">
        <v>0</v>
      </c>
      <c r="AO1385" s="166">
        <v>0</v>
      </c>
      <c r="AP1385" s="166">
        <v>0</v>
      </c>
      <c r="AQ1385" s="166">
        <v>0</v>
      </c>
      <c r="AR1385" s="166">
        <v>0</v>
      </c>
      <c r="AS1385" s="166">
        <v>0</v>
      </c>
      <c r="AT1385" s="166">
        <v>0</v>
      </c>
      <c r="AU1385" s="166">
        <v>103</v>
      </c>
      <c r="AV1385" s="166">
        <v>0</v>
      </c>
      <c r="AW1385" s="166">
        <v>0</v>
      </c>
      <c r="AX1385" s="166">
        <v>0</v>
      </c>
      <c r="AY1385" s="166">
        <v>0</v>
      </c>
      <c r="AZ1385" s="166">
        <v>0</v>
      </c>
      <c r="BA1385" s="166">
        <v>0</v>
      </c>
      <c r="BB1385" s="166">
        <v>103</v>
      </c>
      <c r="BC1385" s="166">
        <v>0</v>
      </c>
      <c r="BD1385" s="166">
        <v>0</v>
      </c>
      <c r="BE1385" s="166">
        <v>0</v>
      </c>
      <c r="BF1385" s="166">
        <v>0</v>
      </c>
      <c r="BG1385" s="166">
        <v>0</v>
      </c>
      <c r="BH1385" s="166">
        <v>0</v>
      </c>
      <c r="BI1385" s="166">
        <v>0</v>
      </c>
      <c r="BJ1385" s="166">
        <v>0</v>
      </c>
      <c r="BK1385" s="166">
        <v>0</v>
      </c>
      <c r="BL1385" s="166">
        <v>0</v>
      </c>
      <c r="BM1385" s="166">
        <v>0</v>
      </c>
      <c r="BN1385" s="166">
        <v>0</v>
      </c>
      <c r="BO1385" s="166">
        <v>0</v>
      </c>
      <c r="BP1385" s="166">
        <v>0</v>
      </c>
      <c r="BQ1385" s="81" t="s">
        <v>1757</v>
      </c>
      <c r="BZ1385" s="81" t="s">
        <v>155</v>
      </c>
      <c r="CA1385" s="81">
        <v>11</v>
      </c>
      <c r="CC1385" s="167">
        <v>0</v>
      </c>
      <c r="CD1385" s="167">
        <v>0</v>
      </c>
      <c r="CE1385" s="167">
        <v>0</v>
      </c>
      <c r="CF1385" s="167">
        <v>0</v>
      </c>
      <c r="CG1385" s="167">
        <v>0</v>
      </c>
      <c r="CH1385" s="167">
        <v>0</v>
      </c>
      <c r="CI1385" s="167">
        <v>0</v>
      </c>
      <c r="CJ1385" s="167">
        <f>$N1385/17</f>
        <v>6.0588235294117645</v>
      </c>
      <c r="CK1385" s="167">
        <f>$N1385/17</f>
        <v>6.0588235294117645</v>
      </c>
      <c r="CL1385" s="167">
        <f>$N1385/17</f>
        <v>6.0588235294117645</v>
      </c>
      <c r="CM1385" s="167">
        <f>$N1385/17</f>
        <v>6.0588235294117645</v>
      </c>
      <c r="CN1385" s="167">
        <f>$N1385/17</f>
        <v>6.0588235294117645</v>
      </c>
      <c r="CO1385" s="167">
        <f>$N1385/17</f>
        <v>6.0588235294117645</v>
      </c>
      <c r="CP1385" s="167">
        <f>$N1385/17</f>
        <v>6.0588235294117645</v>
      </c>
      <c r="CQ1385" s="167">
        <f>$N1385/17</f>
        <v>6.0588235294117645</v>
      </c>
      <c r="CR1385" s="167">
        <f>$N1385/17</f>
        <v>6.0588235294117645</v>
      </c>
      <c r="CS1385" s="167">
        <f>$N1385/17</f>
        <v>6.0588235294117645</v>
      </c>
      <c r="CT1385" s="167">
        <f>$N1385/17</f>
        <v>6.0588235294117645</v>
      </c>
      <c r="CU1385" s="167">
        <f>$N1385/17</f>
        <v>6.0588235294117645</v>
      </c>
      <c r="CV1385" s="167">
        <f>$N1385/17</f>
        <v>6.0588235294117645</v>
      </c>
      <c r="CW1385" s="167">
        <f>$N1385/17</f>
        <v>6.0588235294117645</v>
      </c>
      <c r="CX1385" s="167">
        <f>SUM(CD1385:CH1385)</f>
        <v>0</v>
      </c>
      <c r="CY1385" s="167">
        <f>SUM(CD1385:CM1385)</f>
        <v>24.235294117647058</v>
      </c>
    </row>
    <row r="1386" spans="1:103" ht="12.75" customHeight="1" x14ac:dyDescent="0.2">
      <c r="A1386" s="81">
        <v>6865</v>
      </c>
      <c r="B1386" s="165" t="s">
        <v>1902</v>
      </c>
      <c r="C1386" s="165" t="s">
        <v>3496</v>
      </c>
      <c r="E1386" s="165" t="s">
        <v>3497</v>
      </c>
      <c r="G1386" s="81">
        <v>527052</v>
      </c>
      <c r="H1386" s="81">
        <v>171137</v>
      </c>
      <c r="I1386" s="165" t="s">
        <v>242</v>
      </c>
      <c r="L1386" s="166">
        <v>0</v>
      </c>
      <c r="M1386" s="166">
        <v>30</v>
      </c>
      <c r="N1386" s="166">
        <v>30</v>
      </c>
      <c r="O1386" s="166">
        <v>153</v>
      </c>
      <c r="P1386" s="166">
        <v>153</v>
      </c>
      <c r="Q1386" s="81" t="s">
        <v>155</v>
      </c>
      <c r="R1386" s="165" t="s">
        <v>1905</v>
      </c>
      <c r="S1386" s="81" t="s">
        <v>1906</v>
      </c>
      <c r="W1386" s="81" t="s">
        <v>114</v>
      </c>
      <c r="Y1386" s="81" t="s">
        <v>115</v>
      </c>
      <c r="Z1386" s="81" t="s">
        <v>116</v>
      </c>
      <c r="AA1386" s="81" t="s">
        <v>116</v>
      </c>
      <c r="AB1386" s="81" t="s">
        <v>117</v>
      </c>
      <c r="AC1386" s="166">
        <v>0</v>
      </c>
      <c r="AG1386" s="81" t="s">
        <v>154</v>
      </c>
      <c r="AH1386" s="81" t="s">
        <v>276</v>
      </c>
      <c r="AI1386" s="81" t="s">
        <v>3498</v>
      </c>
      <c r="AJ1386" s="81">
        <v>17320189</v>
      </c>
      <c r="AK1386" s="166">
        <v>0</v>
      </c>
      <c r="AM1386" s="166">
        <v>0</v>
      </c>
      <c r="AO1386" s="166">
        <v>0</v>
      </c>
      <c r="AP1386" s="166">
        <v>0</v>
      </c>
      <c r="AQ1386" s="166">
        <v>0</v>
      </c>
      <c r="AR1386" s="166">
        <v>0</v>
      </c>
      <c r="AS1386" s="166">
        <v>0</v>
      </c>
      <c r="AT1386" s="166">
        <v>0</v>
      </c>
      <c r="AU1386" s="166">
        <v>30</v>
      </c>
      <c r="AV1386" s="166">
        <v>0</v>
      </c>
      <c r="AW1386" s="166">
        <v>0</v>
      </c>
      <c r="AX1386" s="166">
        <v>0</v>
      </c>
      <c r="AY1386" s="166">
        <v>0</v>
      </c>
      <c r="AZ1386" s="166">
        <v>0</v>
      </c>
      <c r="BA1386" s="166">
        <v>0</v>
      </c>
      <c r="BB1386" s="166">
        <v>30</v>
      </c>
      <c r="BC1386" s="166">
        <v>0</v>
      </c>
      <c r="BD1386" s="166">
        <v>0</v>
      </c>
      <c r="BE1386" s="166">
        <v>0</v>
      </c>
      <c r="BF1386" s="166">
        <v>0</v>
      </c>
      <c r="BG1386" s="166">
        <v>0</v>
      </c>
      <c r="BH1386" s="166">
        <v>0</v>
      </c>
      <c r="BI1386" s="166">
        <v>0</v>
      </c>
      <c r="BJ1386" s="166">
        <v>0</v>
      </c>
      <c r="BK1386" s="166">
        <v>0</v>
      </c>
      <c r="BL1386" s="166">
        <v>0</v>
      </c>
      <c r="BM1386" s="166">
        <v>0</v>
      </c>
      <c r="BN1386" s="166">
        <v>0</v>
      </c>
      <c r="BO1386" s="166">
        <v>0</v>
      </c>
      <c r="BP1386" s="166">
        <v>0</v>
      </c>
      <c r="BQ1386" s="81" t="s">
        <v>1757</v>
      </c>
      <c r="BZ1386" s="81" t="s">
        <v>155</v>
      </c>
      <c r="CA1386" s="81">
        <v>11</v>
      </c>
      <c r="CC1386" s="167">
        <v>0</v>
      </c>
      <c r="CD1386" s="167">
        <v>0</v>
      </c>
      <c r="CE1386" s="167">
        <v>0</v>
      </c>
      <c r="CF1386" s="167">
        <v>0</v>
      </c>
      <c r="CG1386" s="167">
        <v>0</v>
      </c>
      <c r="CH1386" s="167">
        <v>0</v>
      </c>
      <c r="CI1386" s="167">
        <v>0</v>
      </c>
      <c r="CJ1386" s="167">
        <f>$N1386/17</f>
        <v>1.7647058823529411</v>
      </c>
      <c r="CK1386" s="167">
        <f>$N1386/17</f>
        <v>1.7647058823529411</v>
      </c>
      <c r="CL1386" s="167">
        <f>$N1386/17</f>
        <v>1.7647058823529411</v>
      </c>
      <c r="CM1386" s="167">
        <f>$N1386/17</f>
        <v>1.7647058823529411</v>
      </c>
      <c r="CN1386" s="167">
        <f>$N1386/17</f>
        <v>1.7647058823529411</v>
      </c>
      <c r="CO1386" s="167">
        <f>$N1386/17</f>
        <v>1.7647058823529411</v>
      </c>
      <c r="CP1386" s="167">
        <f>$N1386/17</f>
        <v>1.7647058823529411</v>
      </c>
      <c r="CQ1386" s="167">
        <f>$N1386/17</f>
        <v>1.7647058823529411</v>
      </c>
      <c r="CR1386" s="167">
        <f>$N1386/17</f>
        <v>1.7647058823529411</v>
      </c>
      <c r="CS1386" s="167">
        <f>$N1386/17</f>
        <v>1.7647058823529411</v>
      </c>
      <c r="CT1386" s="167">
        <f>$N1386/17</f>
        <v>1.7647058823529411</v>
      </c>
      <c r="CU1386" s="167">
        <f>$N1386/17</f>
        <v>1.7647058823529411</v>
      </c>
      <c r="CV1386" s="167">
        <f>$N1386/17</f>
        <v>1.7647058823529411</v>
      </c>
      <c r="CW1386" s="167">
        <f>$N1386/17</f>
        <v>1.7647058823529411</v>
      </c>
      <c r="CX1386" s="167">
        <f>SUM(CD1386:CH1386)</f>
        <v>0</v>
      </c>
      <c r="CY1386" s="167">
        <f>SUM(CD1386:CM1386)</f>
        <v>7.0588235294117645</v>
      </c>
    </row>
    <row r="1387" spans="1:103" ht="12.75" customHeight="1" x14ac:dyDescent="0.2">
      <c r="A1387" s="81">
        <v>6865</v>
      </c>
      <c r="B1387" s="165" t="s">
        <v>1902</v>
      </c>
      <c r="C1387" s="165" t="s">
        <v>3496</v>
      </c>
      <c r="E1387" s="165" t="s">
        <v>3497</v>
      </c>
      <c r="G1387" s="81">
        <v>527052</v>
      </c>
      <c r="H1387" s="81">
        <v>171137</v>
      </c>
      <c r="I1387" s="165" t="s">
        <v>242</v>
      </c>
      <c r="L1387" s="166">
        <v>0</v>
      </c>
      <c r="M1387" s="166">
        <v>20</v>
      </c>
      <c r="N1387" s="166">
        <v>20</v>
      </c>
      <c r="O1387" s="166">
        <v>153</v>
      </c>
      <c r="P1387" s="166">
        <v>153</v>
      </c>
      <c r="Q1387" s="81" t="s">
        <v>155</v>
      </c>
      <c r="R1387" s="165" t="s">
        <v>1905</v>
      </c>
      <c r="S1387" s="81" t="s">
        <v>1906</v>
      </c>
      <c r="W1387" s="81" t="s">
        <v>114</v>
      </c>
      <c r="Y1387" s="81" t="s">
        <v>115</v>
      </c>
      <c r="Z1387" s="81" t="s">
        <v>116</v>
      </c>
      <c r="AA1387" s="81" t="s">
        <v>116</v>
      </c>
      <c r="AB1387" s="81" t="s">
        <v>117</v>
      </c>
      <c r="AC1387" s="166">
        <v>0</v>
      </c>
      <c r="AG1387" s="81" t="s">
        <v>74</v>
      </c>
      <c r="AH1387" s="81" t="s">
        <v>990</v>
      </c>
      <c r="AI1387" s="81" t="s">
        <v>3498</v>
      </c>
      <c r="AJ1387" s="81">
        <v>17320189</v>
      </c>
      <c r="AK1387" s="166">
        <v>0</v>
      </c>
      <c r="AM1387" s="166">
        <v>0</v>
      </c>
      <c r="AO1387" s="166">
        <v>0</v>
      </c>
      <c r="AP1387" s="166">
        <v>0</v>
      </c>
      <c r="AQ1387" s="166">
        <v>0</v>
      </c>
      <c r="AR1387" s="166">
        <v>0</v>
      </c>
      <c r="AS1387" s="166">
        <v>0</v>
      </c>
      <c r="AT1387" s="166">
        <v>0</v>
      </c>
      <c r="AU1387" s="166">
        <v>20</v>
      </c>
      <c r="AV1387" s="166">
        <v>0</v>
      </c>
      <c r="AW1387" s="166">
        <v>0</v>
      </c>
      <c r="AX1387" s="166">
        <v>0</v>
      </c>
      <c r="AY1387" s="166">
        <v>0</v>
      </c>
      <c r="AZ1387" s="166">
        <v>0</v>
      </c>
      <c r="BA1387" s="166">
        <v>0</v>
      </c>
      <c r="BB1387" s="166">
        <v>20</v>
      </c>
      <c r="BC1387" s="166">
        <v>0</v>
      </c>
      <c r="BD1387" s="166">
        <v>0</v>
      </c>
      <c r="BE1387" s="166">
        <v>0</v>
      </c>
      <c r="BF1387" s="166">
        <v>0</v>
      </c>
      <c r="BG1387" s="166">
        <v>0</v>
      </c>
      <c r="BH1387" s="166">
        <v>0</v>
      </c>
      <c r="BI1387" s="166">
        <v>0</v>
      </c>
      <c r="BJ1387" s="166">
        <v>0</v>
      </c>
      <c r="BK1387" s="166">
        <v>0</v>
      </c>
      <c r="BL1387" s="166">
        <v>0</v>
      </c>
      <c r="BM1387" s="166">
        <v>0</v>
      </c>
      <c r="BN1387" s="166">
        <v>0</v>
      </c>
      <c r="BO1387" s="166">
        <v>0</v>
      </c>
      <c r="BP1387" s="166">
        <v>0</v>
      </c>
      <c r="BQ1387" s="81" t="s">
        <v>1757</v>
      </c>
      <c r="BZ1387" s="81" t="s">
        <v>155</v>
      </c>
      <c r="CA1387" s="81">
        <v>11</v>
      </c>
      <c r="CC1387" s="167">
        <v>0</v>
      </c>
      <c r="CD1387" s="167">
        <v>0</v>
      </c>
      <c r="CE1387" s="167">
        <v>0</v>
      </c>
      <c r="CF1387" s="167">
        <v>0</v>
      </c>
      <c r="CG1387" s="167">
        <v>0</v>
      </c>
      <c r="CH1387" s="167">
        <v>0</v>
      </c>
      <c r="CI1387" s="167">
        <v>0</v>
      </c>
      <c r="CJ1387" s="167">
        <f>$N1387/17</f>
        <v>1.1764705882352942</v>
      </c>
      <c r="CK1387" s="167">
        <f>$N1387/17</f>
        <v>1.1764705882352942</v>
      </c>
      <c r="CL1387" s="167">
        <f>$N1387/17</f>
        <v>1.1764705882352942</v>
      </c>
      <c r="CM1387" s="167">
        <f>$N1387/17</f>
        <v>1.1764705882352942</v>
      </c>
      <c r="CN1387" s="167">
        <f>$N1387/17</f>
        <v>1.1764705882352942</v>
      </c>
      <c r="CO1387" s="167">
        <f>$N1387/17</f>
        <v>1.1764705882352942</v>
      </c>
      <c r="CP1387" s="167">
        <f>$N1387/17</f>
        <v>1.1764705882352942</v>
      </c>
      <c r="CQ1387" s="167">
        <f>$N1387/17</f>
        <v>1.1764705882352942</v>
      </c>
      <c r="CR1387" s="167">
        <f>$N1387/17</f>
        <v>1.1764705882352942</v>
      </c>
      <c r="CS1387" s="167">
        <f>$N1387/17</f>
        <v>1.1764705882352942</v>
      </c>
      <c r="CT1387" s="167">
        <f>$N1387/17</f>
        <v>1.1764705882352942</v>
      </c>
      <c r="CU1387" s="167">
        <f>$N1387/17</f>
        <v>1.1764705882352942</v>
      </c>
      <c r="CV1387" s="167">
        <f>$N1387/17</f>
        <v>1.1764705882352942</v>
      </c>
      <c r="CW1387" s="167">
        <f>$N1387/17</f>
        <v>1.1764705882352942</v>
      </c>
      <c r="CX1387" s="167">
        <f>SUM(CD1387:CH1387)</f>
        <v>0</v>
      </c>
      <c r="CY1387" s="167">
        <f>SUM(CD1387:CM1387)</f>
        <v>4.7058823529411766</v>
      </c>
    </row>
    <row r="1388" spans="1:103" ht="12.75" customHeight="1" x14ac:dyDescent="0.2">
      <c r="A1388" s="81">
        <v>6866</v>
      </c>
      <c r="B1388" s="165" t="s">
        <v>1902</v>
      </c>
      <c r="C1388" s="165" t="s">
        <v>3499</v>
      </c>
      <c r="E1388" s="165" t="s">
        <v>3500</v>
      </c>
      <c r="G1388" s="81">
        <v>528629</v>
      </c>
      <c r="H1388" s="81">
        <v>175199</v>
      </c>
      <c r="I1388" s="165" t="s">
        <v>247</v>
      </c>
      <c r="L1388" s="166">
        <v>0</v>
      </c>
      <c r="M1388" s="166">
        <v>54</v>
      </c>
      <c r="N1388" s="166">
        <v>54</v>
      </c>
      <c r="O1388" s="166">
        <v>81</v>
      </c>
      <c r="P1388" s="166">
        <v>81</v>
      </c>
      <c r="Q1388" s="81" t="s">
        <v>155</v>
      </c>
      <c r="R1388" s="165" t="s">
        <v>1905</v>
      </c>
      <c r="S1388" s="81" t="s">
        <v>1906</v>
      </c>
      <c r="W1388" s="81" t="s">
        <v>114</v>
      </c>
      <c r="Y1388" s="81" t="s">
        <v>115</v>
      </c>
      <c r="Z1388" s="81" t="s">
        <v>116</v>
      </c>
      <c r="AA1388" s="81" t="s">
        <v>116</v>
      </c>
      <c r="AB1388" s="81" t="s">
        <v>117</v>
      </c>
      <c r="AC1388" s="166">
        <v>0</v>
      </c>
      <c r="AG1388" s="81" t="s">
        <v>238</v>
      </c>
      <c r="AH1388" s="81" t="s">
        <v>118</v>
      </c>
      <c r="AI1388" s="81" t="s">
        <v>3501</v>
      </c>
      <c r="AJ1388" s="81">
        <v>17320339</v>
      </c>
      <c r="AK1388" s="166">
        <v>0</v>
      </c>
      <c r="AM1388" s="166">
        <v>0</v>
      </c>
      <c r="AO1388" s="166">
        <v>0</v>
      </c>
      <c r="AP1388" s="166">
        <v>0</v>
      </c>
      <c r="AQ1388" s="166">
        <v>0</v>
      </c>
      <c r="AR1388" s="166">
        <v>0</v>
      </c>
      <c r="AS1388" s="166">
        <v>0</v>
      </c>
      <c r="AT1388" s="166">
        <v>0</v>
      </c>
      <c r="AU1388" s="166">
        <v>54</v>
      </c>
      <c r="AV1388" s="166">
        <v>0</v>
      </c>
      <c r="AW1388" s="166">
        <v>0</v>
      </c>
      <c r="AX1388" s="166">
        <v>0</v>
      </c>
      <c r="AY1388" s="166">
        <v>0</v>
      </c>
      <c r="AZ1388" s="166">
        <v>0</v>
      </c>
      <c r="BA1388" s="166">
        <v>0</v>
      </c>
      <c r="BB1388" s="166">
        <v>54</v>
      </c>
      <c r="BC1388" s="166">
        <v>0</v>
      </c>
      <c r="BD1388" s="166">
        <v>0</v>
      </c>
      <c r="BE1388" s="166">
        <v>0</v>
      </c>
      <c r="BF1388" s="166">
        <v>0</v>
      </c>
      <c r="BG1388" s="166">
        <v>0</v>
      </c>
      <c r="BH1388" s="166">
        <v>0</v>
      </c>
      <c r="BI1388" s="166">
        <v>0</v>
      </c>
      <c r="BJ1388" s="166">
        <v>0</v>
      </c>
      <c r="BK1388" s="166">
        <v>0</v>
      </c>
      <c r="BL1388" s="166">
        <v>0</v>
      </c>
      <c r="BM1388" s="166">
        <v>0</v>
      </c>
      <c r="BN1388" s="166">
        <v>0</v>
      </c>
      <c r="BO1388" s="166">
        <v>0</v>
      </c>
      <c r="BP1388" s="166">
        <v>0</v>
      </c>
      <c r="BQ1388" s="81" t="s">
        <v>1757</v>
      </c>
      <c r="BZ1388" s="81" t="s">
        <v>155</v>
      </c>
      <c r="CA1388" s="81">
        <v>11</v>
      </c>
      <c r="CC1388" s="167">
        <v>0</v>
      </c>
      <c r="CD1388" s="167">
        <v>0</v>
      </c>
      <c r="CE1388" s="167">
        <v>0</v>
      </c>
      <c r="CF1388" s="167">
        <v>0</v>
      </c>
      <c r="CG1388" s="167">
        <v>0</v>
      </c>
      <c r="CH1388" s="167">
        <v>0</v>
      </c>
      <c r="CI1388" s="167">
        <v>0</v>
      </c>
      <c r="CJ1388" s="167">
        <v>0</v>
      </c>
      <c r="CK1388" s="167">
        <v>0</v>
      </c>
      <c r="CL1388" s="167">
        <v>0</v>
      </c>
      <c r="CM1388" s="167">
        <v>0</v>
      </c>
      <c r="CN1388" s="167">
        <v>0</v>
      </c>
      <c r="CO1388" s="167">
        <f>$N1388/12</f>
        <v>4.5</v>
      </c>
      <c r="CP1388" s="167">
        <f>$N1388/12</f>
        <v>4.5</v>
      </c>
      <c r="CQ1388" s="167">
        <f>$N1388/12</f>
        <v>4.5</v>
      </c>
      <c r="CR1388" s="167">
        <f>$N1388/12</f>
        <v>4.5</v>
      </c>
      <c r="CS1388" s="167">
        <f>$N1388/12</f>
        <v>4.5</v>
      </c>
      <c r="CT1388" s="167">
        <f>$N1388/12</f>
        <v>4.5</v>
      </c>
      <c r="CU1388" s="167">
        <f>$N1388/12</f>
        <v>4.5</v>
      </c>
      <c r="CV1388" s="167">
        <f>$N1388/12</f>
        <v>4.5</v>
      </c>
      <c r="CW1388" s="167">
        <f>$N1388/12</f>
        <v>4.5</v>
      </c>
      <c r="CX1388" s="167">
        <f>SUM(CD1388:CH1388)</f>
        <v>0</v>
      </c>
      <c r="CY1388" s="167">
        <f>SUM(CD1388:CM1388)</f>
        <v>0</v>
      </c>
    </row>
    <row r="1389" spans="1:103" ht="12.75" customHeight="1" x14ac:dyDescent="0.2">
      <c r="A1389" s="81">
        <v>6866</v>
      </c>
      <c r="B1389" s="165" t="s">
        <v>1902</v>
      </c>
      <c r="C1389" s="165" t="s">
        <v>3499</v>
      </c>
      <c r="E1389" s="165" t="s">
        <v>3500</v>
      </c>
      <c r="G1389" s="81">
        <v>528629</v>
      </c>
      <c r="H1389" s="81">
        <v>175199</v>
      </c>
      <c r="I1389" s="165" t="s">
        <v>247</v>
      </c>
      <c r="L1389" s="166">
        <v>0</v>
      </c>
      <c r="M1389" s="166">
        <v>16</v>
      </c>
      <c r="N1389" s="166">
        <v>16</v>
      </c>
      <c r="O1389" s="166">
        <v>81</v>
      </c>
      <c r="P1389" s="166">
        <v>81</v>
      </c>
      <c r="Q1389" s="81" t="s">
        <v>155</v>
      </c>
      <c r="R1389" s="165" t="s">
        <v>1905</v>
      </c>
      <c r="S1389" s="81" t="s">
        <v>1906</v>
      </c>
      <c r="W1389" s="81" t="s">
        <v>114</v>
      </c>
      <c r="Y1389" s="81" t="s">
        <v>115</v>
      </c>
      <c r="Z1389" s="81" t="s">
        <v>116</v>
      </c>
      <c r="AA1389" s="81" t="s">
        <v>116</v>
      </c>
      <c r="AB1389" s="81" t="s">
        <v>117</v>
      </c>
      <c r="AC1389" s="166">
        <v>0</v>
      </c>
      <c r="AG1389" s="81" t="s">
        <v>154</v>
      </c>
      <c r="AH1389" s="81" t="s">
        <v>276</v>
      </c>
      <c r="AI1389" s="81" t="s">
        <v>3501</v>
      </c>
      <c r="AJ1389" s="81">
        <v>17320339</v>
      </c>
      <c r="AK1389" s="166">
        <v>0</v>
      </c>
      <c r="AM1389" s="166">
        <v>0</v>
      </c>
      <c r="AO1389" s="166">
        <v>0</v>
      </c>
      <c r="AP1389" s="166">
        <v>0</v>
      </c>
      <c r="AQ1389" s="166">
        <v>0</v>
      </c>
      <c r="AR1389" s="166">
        <v>0</v>
      </c>
      <c r="AS1389" s="166">
        <v>0</v>
      </c>
      <c r="AT1389" s="166">
        <v>0</v>
      </c>
      <c r="AU1389" s="166">
        <v>16</v>
      </c>
      <c r="AV1389" s="166">
        <v>0</v>
      </c>
      <c r="AW1389" s="166">
        <v>0</v>
      </c>
      <c r="AX1389" s="166">
        <v>0</v>
      </c>
      <c r="AY1389" s="166">
        <v>0</v>
      </c>
      <c r="AZ1389" s="166">
        <v>0</v>
      </c>
      <c r="BA1389" s="166">
        <v>0</v>
      </c>
      <c r="BB1389" s="166">
        <v>16</v>
      </c>
      <c r="BC1389" s="166">
        <v>0</v>
      </c>
      <c r="BD1389" s="166">
        <v>0</v>
      </c>
      <c r="BE1389" s="166">
        <v>0</v>
      </c>
      <c r="BF1389" s="166">
        <v>0</v>
      </c>
      <c r="BG1389" s="166">
        <v>0</v>
      </c>
      <c r="BH1389" s="166">
        <v>0</v>
      </c>
      <c r="BI1389" s="166">
        <v>0</v>
      </c>
      <c r="BJ1389" s="166">
        <v>0</v>
      </c>
      <c r="BK1389" s="166">
        <v>0</v>
      </c>
      <c r="BL1389" s="166">
        <v>0</v>
      </c>
      <c r="BM1389" s="166">
        <v>0</v>
      </c>
      <c r="BN1389" s="166">
        <v>0</v>
      </c>
      <c r="BO1389" s="166">
        <v>0</v>
      </c>
      <c r="BP1389" s="166">
        <v>0</v>
      </c>
      <c r="BQ1389" s="81" t="s">
        <v>1757</v>
      </c>
      <c r="BZ1389" s="81" t="s">
        <v>155</v>
      </c>
      <c r="CA1389" s="81">
        <v>11</v>
      </c>
      <c r="CC1389" s="167">
        <v>0</v>
      </c>
      <c r="CD1389" s="167">
        <v>0</v>
      </c>
      <c r="CE1389" s="167">
        <v>0</v>
      </c>
      <c r="CF1389" s="167">
        <v>0</v>
      </c>
      <c r="CG1389" s="167">
        <v>0</v>
      </c>
      <c r="CH1389" s="167">
        <v>0</v>
      </c>
      <c r="CI1389" s="167">
        <v>0</v>
      </c>
      <c r="CJ1389" s="167">
        <v>0</v>
      </c>
      <c r="CK1389" s="167">
        <v>0</v>
      </c>
      <c r="CL1389" s="167">
        <v>0</v>
      </c>
      <c r="CM1389" s="167">
        <v>0</v>
      </c>
      <c r="CN1389" s="167">
        <v>0</v>
      </c>
      <c r="CO1389" s="167">
        <f>$N1389/12</f>
        <v>1.3333333333333333</v>
      </c>
      <c r="CP1389" s="167">
        <f>$N1389/12</f>
        <v>1.3333333333333333</v>
      </c>
      <c r="CQ1389" s="167">
        <f>$N1389/12</f>
        <v>1.3333333333333333</v>
      </c>
      <c r="CR1389" s="167">
        <f>$N1389/12</f>
        <v>1.3333333333333333</v>
      </c>
      <c r="CS1389" s="167">
        <f>$N1389/12</f>
        <v>1.3333333333333333</v>
      </c>
      <c r="CT1389" s="167">
        <f>$N1389/12</f>
        <v>1.3333333333333333</v>
      </c>
      <c r="CU1389" s="167">
        <f>$N1389/12</f>
        <v>1.3333333333333333</v>
      </c>
      <c r="CV1389" s="167">
        <f>$N1389/12</f>
        <v>1.3333333333333333</v>
      </c>
      <c r="CW1389" s="167">
        <f>$N1389/12</f>
        <v>1.3333333333333333</v>
      </c>
      <c r="CX1389" s="167">
        <f>SUM(CD1389:CH1389)</f>
        <v>0</v>
      </c>
      <c r="CY1389" s="167">
        <f>SUM(CD1389:CM1389)</f>
        <v>0</v>
      </c>
    </row>
    <row r="1390" spans="1:103" ht="12.75" customHeight="1" x14ac:dyDescent="0.2">
      <c r="A1390" s="81">
        <v>6866</v>
      </c>
      <c r="B1390" s="165" t="s">
        <v>1902</v>
      </c>
      <c r="C1390" s="165" t="s">
        <v>3499</v>
      </c>
      <c r="E1390" s="165" t="s">
        <v>3500</v>
      </c>
      <c r="G1390" s="81">
        <v>528629</v>
      </c>
      <c r="H1390" s="81">
        <v>175199</v>
      </c>
      <c r="I1390" s="165" t="s">
        <v>247</v>
      </c>
      <c r="L1390" s="166">
        <v>0</v>
      </c>
      <c r="M1390" s="166">
        <v>11</v>
      </c>
      <c r="N1390" s="166">
        <v>11</v>
      </c>
      <c r="O1390" s="166">
        <v>81</v>
      </c>
      <c r="P1390" s="166">
        <v>81</v>
      </c>
      <c r="Q1390" s="81" t="s">
        <v>155</v>
      </c>
      <c r="R1390" s="165" t="s">
        <v>1905</v>
      </c>
      <c r="S1390" s="81" t="s">
        <v>1906</v>
      </c>
      <c r="W1390" s="81" t="s">
        <v>114</v>
      </c>
      <c r="Y1390" s="81" t="s">
        <v>115</v>
      </c>
      <c r="Z1390" s="81" t="s">
        <v>116</v>
      </c>
      <c r="AA1390" s="81" t="s">
        <v>116</v>
      </c>
      <c r="AB1390" s="81" t="s">
        <v>117</v>
      </c>
      <c r="AC1390" s="166">
        <v>0</v>
      </c>
      <c r="AG1390" s="81" t="s">
        <v>74</v>
      </c>
      <c r="AH1390" s="81" t="s">
        <v>990</v>
      </c>
      <c r="AI1390" s="81" t="s">
        <v>3501</v>
      </c>
      <c r="AJ1390" s="81">
        <v>17320339</v>
      </c>
      <c r="AK1390" s="166">
        <v>0</v>
      </c>
      <c r="AM1390" s="166">
        <v>0</v>
      </c>
      <c r="AO1390" s="166">
        <v>0</v>
      </c>
      <c r="AP1390" s="166">
        <v>0</v>
      </c>
      <c r="AQ1390" s="166">
        <v>0</v>
      </c>
      <c r="AR1390" s="166">
        <v>0</v>
      </c>
      <c r="AS1390" s="166">
        <v>0</v>
      </c>
      <c r="AT1390" s="166">
        <v>0</v>
      </c>
      <c r="AU1390" s="166">
        <v>11</v>
      </c>
      <c r="AV1390" s="166">
        <v>0</v>
      </c>
      <c r="AW1390" s="166">
        <v>0</v>
      </c>
      <c r="AX1390" s="166">
        <v>0</v>
      </c>
      <c r="AY1390" s="166">
        <v>0</v>
      </c>
      <c r="AZ1390" s="166">
        <v>0</v>
      </c>
      <c r="BA1390" s="166">
        <v>0</v>
      </c>
      <c r="BB1390" s="166">
        <v>11</v>
      </c>
      <c r="BC1390" s="166">
        <v>0</v>
      </c>
      <c r="BD1390" s="166">
        <v>0</v>
      </c>
      <c r="BE1390" s="166">
        <v>0</v>
      </c>
      <c r="BF1390" s="166">
        <v>0</v>
      </c>
      <c r="BG1390" s="166">
        <v>0</v>
      </c>
      <c r="BH1390" s="166">
        <v>0</v>
      </c>
      <c r="BI1390" s="166">
        <v>0</v>
      </c>
      <c r="BJ1390" s="166">
        <v>0</v>
      </c>
      <c r="BK1390" s="166">
        <v>0</v>
      </c>
      <c r="BL1390" s="166">
        <v>0</v>
      </c>
      <c r="BM1390" s="166">
        <v>0</v>
      </c>
      <c r="BN1390" s="166">
        <v>0</v>
      </c>
      <c r="BO1390" s="166">
        <v>0</v>
      </c>
      <c r="BP1390" s="166">
        <v>0</v>
      </c>
      <c r="BQ1390" s="81" t="s">
        <v>1757</v>
      </c>
      <c r="BZ1390" s="81" t="s">
        <v>155</v>
      </c>
      <c r="CA1390" s="81">
        <v>11</v>
      </c>
      <c r="CC1390" s="167">
        <v>0</v>
      </c>
      <c r="CD1390" s="167">
        <v>0</v>
      </c>
      <c r="CE1390" s="167">
        <v>0</v>
      </c>
      <c r="CF1390" s="167">
        <v>0</v>
      </c>
      <c r="CG1390" s="167">
        <v>0</v>
      </c>
      <c r="CH1390" s="167">
        <v>0</v>
      </c>
      <c r="CI1390" s="167">
        <v>0</v>
      </c>
      <c r="CJ1390" s="167">
        <v>0</v>
      </c>
      <c r="CK1390" s="167">
        <v>0</v>
      </c>
      <c r="CL1390" s="167">
        <v>0</v>
      </c>
      <c r="CM1390" s="167">
        <v>0</v>
      </c>
      <c r="CN1390" s="167">
        <v>0</v>
      </c>
      <c r="CO1390" s="167">
        <f>$N1390/12</f>
        <v>0.91666666666666663</v>
      </c>
      <c r="CP1390" s="167">
        <f>$N1390/12</f>
        <v>0.91666666666666663</v>
      </c>
      <c r="CQ1390" s="167">
        <f>$N1390/12</f>
        <v>0.91666666666666663</v>
      </c>
      <c r="CR1390" s="167">
        <f>$N1390/12</f>
        <v>0.91666666666666663</v>
      </c>
      <c r="CS1390" s="167">
        <f>$N1390/12</f>
        <v>0.91666666666666663</v>
      </c>
      <c r="CT1390" s="167">
        <f>$N1390/12</f>
        <v>0.91666666666666663</v>
      </c>
      <c r="CU1390" s="167">
        <f>$N1390/12</f>
        <v>0.91666666666666663</v>
      </c>
      <c r="CV1390" s="167">
        <f>$N1390/12</f>
        <v>0.91666666666666663</v>
      </c>
      <c r="CW1390" s="167">
        <f>$N1390/12</f>
        <v>0.91666666666666663</v>
      </c>
      <c r="CX1390" s="167">
        <f>SUM(CD1390:CH1390)</f>
        <v>0</v>
      </c>
      <c r="CY1390" s="167">
        <f>SUM(CD1390:CM1390)</f>
        <v>0</v>
      </c>
    </row>
    <row r="1391" spans="1:103" ht="12.75" customHeight="1" x14ac:dyDescent="0.2">
      <c r="A1391" s="81">
        <v>6867</v>
      </c>
      <c r="B1391" s="165" t="s">
        <v>1902</v>
      </c>
      <c r="C1391" s="165" t="s">
        <v>1967</v>
      </c>
      <c r="E1391" s="165" t="s">
        <v>1968</v>
      </c>
      <c r="G1391" s="81">
        <v>528366</v>
      </c>
      <c r="H1391" s="81">
        <v>176677</v>
      </c>
      <c r="I1391" s="165" t="s">
        <v>240</v>
      </c>
      <c r="L1391" s="166">
        <v>0</v>
      </c>
      <c r="M1391" s="166">
        <v>8</v>
      </c>
      <c r="N1391" s="166">
        <v>8</v>
      </c>
      <c r="O1391" s="166">
        <v>8</v>
      </c>
      <c r="P1391" s="166">
        <v>8</v>
      </c>
      <c r="R1391" s="165" t="s">
        <v>1905</v>
      </c>
      <c r="S1391" s="81" t="s">
        <v>1906</v>
      </c>
      <c r="W1391" s="81" t="s">
        <v>114</v>
      </c>
      <c r="Y1391" s="81" t="s">
        <v>115</v>
      </c>
      <c r="Z1391" s="81" t="s">
        <v>116</v>
      </c>
      <c r="AA1391" s="81" t="s">
        <v>117</v>
      </c>
      <c r="AB1391" s="81" t="s">
        <v>218</v>
      </c>
      <c r="AC1391" s="166">
        <v>0</v>
      </c>
      <c r="AG1391" s="81" t="s">
        <v>238</v>
      </c>
      <c r="AH1391" s="81" t="s">
        <v>118</v>
      </c>
      <c r="AI1391" s="81" t="s">
        <v>1750</v>
      </c>
      <c r="AJ1391" s="81">
        <v>17320343</v>
      </c>
      <c r="AK1391" s="166">
        <v>0</v>
      </c>
      <c r="AM1391" s="166">
        <v>0</v>
      </c>
      <c r="AO1391" s="166">
        <v>0</v>
      </c>
      <c r="AP1391" s="166">
        <v>0</v>
      </c>
      <c r="AQ1391" s="166">
        <v>0</v>
      </c>
      <c r="AR1391" s="166">
        <v>0</v>
      </c>
      <c r="AS1391" s="166">
        <v>0</v>
      </c>
      <c r="AT1391" s="166">
        <v>0</v>
      </c>
      <c r="AU1391" s="166">
        <v>8</v>
      </c>
      <c r="AV1391" s="166">
        <v>0</v>
      </c>
      <c r="AW1391" s="166">
        <v>0</v>
      </c>
      <c r="AX1391" s="166">
        <v>0</v>
      </c>
      <c r="AY1391" s="166">
        <v>0</v>
      </c>
      <c r="AZ1391" s="166">
        <v>0</v>
      </c>
      <c r="BA1391" s="166">
        <v>0</v>
      </c>
      <c r="BB1391" s="166">
        <v>8</v>
      </c>
      <c r="BC1391" s="166">
        <v>0</v>
      </c>
      <c r="BD1391" s="166">
        <v>0</v>
      </c>
      <c r="BE1391" s="166">
        <v>0</v>
      </c>
      <c r="BF1391" s="166">
        <v>0</v>
      </c>
      <c r="BG1391" s="166">
        <v>0</v>
      </c>
      <c r="BH1391" s="166">
        <v>0</v>
      </c>
      <c r="BI1391" s="166">
        <v>0</v>
      </c>
      <c r="BJ1391" s="166">
        <v>0</v>
      </c>
      <c r="BK1391" s="166">
        <v>0</v>
      </c>
      <c r="BL1391" s="166">
        <v>0</v>
      </c>
      <c r="BM1391" s="166">
        <v>0</v>
      </c>
      <c r="BN1391" s="166">
        <v>0</v>
      </c>
      <c r="BO1391" s="166">
        <v>0</v>
      </c>
      <c r="BP1391" s="166">
        <v>0</v>
      </c>
      <c r="BQ1391" s="81" t="s">
        <v>1757</v>
      </c>
      <c r="BZ1391" s="81" t="s">
        <v>155</v>
      </c>
      <c r="CA1391" s="81">
        <v>11</v>
      </c>
      <c r="CC1391" s="167">
        <v>0</v>
      </c>
      <c r="CD1391" s="167">
        <v>0</v>
      </c>
      <c r="CE1391" s="167">
        <v>0</v>
      </c>
      <c r="CF1391" s="167">
        <v>0</v>
      </c>
      <c r="CG1391" s="167">
        <v>0</v>
      </c>
      <c r="CH1391" s="167">
        <v>0</v>
      </c>
      <c r="CI1391" s="167">
        <v>0</v>
      </c>
      <c r="CJ1391" s="167">
        <v>0</v>
      </c>
      <c r="CK1391" s="167">
        <v>0</v>
      </c>
      <c r="CL1391" s="167">
        <v>0</v>
      </c>
      <c r="CM1391" s="167">
        <v>0</v>
      </c>
      <c r="CN1391" s="167">
        <v>0</v>
      </c>
      <c r="CO1391" s="167">
        <f>$N1391/12</f>
        <v>0.66666666666666663</v>
      </c>
      <c r="CP1391" s="167">
        <f>$N1391/12</f>
        <v>0.66666666666666663</v>
      </c>
      <c r="CQ1391" s="167">
        <f>$N1391/12</f>
        <v>0.66666666666666663</v>
      </c>
      <c r="CR1391" s="167">
        <f>$N1391/12</f>
        <v>0.66666666666666663</v>
      </c>
      <c r="CS1391" s="167">
        <f>$N1391/12</f>
        <v>0.66666666666666663</v>
      </c>
      <c r="CT1391" s="167">
        <f>$N1391/12</f>
        <v>0.66666666666666663</v>
      </c>
      <c r="CU1391" s="167">
        <f>$N1391/12</f>
        <v>0.66666666666666663</v>
      </c>
      <c r="CV1391" s="167">
        <f>$N1391/12</f>
        <v>0.66666666666666663</v>
      </c>
      <c r="CW1391" s="167">
        <f>$N1391/12</f>
        <v>0.66666666666666663</v>
      </c>
      <c r="CX1391" s="167">
        <f>SUM(CD1391:CH1391)</f>
        <v>0</v>
      </c>
      <c r="CY1391" s="167">
        <f>SUM(CD1391:CM1391)</f>
        <v>0</v>
      </c>
    </row>
    <row r="1392" spans="1:103" ht="12.75" customHeight="1" x14ac:dyDescent="0.2">
      <c r="A1392" s="81">
        <v>6868</v>
      </c>
      <c r="B1392" s="165" t="s">
        <v>1902</v>
      </c>
      <c r="C1392" s="165" t="s">
        <v>3502</v>
      </c>
      <c r="E1392" s="165" t="s">
        <v>3503</v>
      </c>
      <c r="G1392" s="81">
        <v>526007</v>
      </c>
      <c r="H1392" s="81">
        <v>173636</v>
      </c>
      <c r="I1392" s="165" t="s">
        <v>249</v>
      </c>
      <c r="L1392" s="166">
        <v>0</v>
      </c>
      <c r="M1392" s="166">
        <v>90</v>
      </c>
      <c r="N1392" s="166">
        <v>90</v>
      </c>
      <c r="O1392" s="166">
        <v>135</v>
      </c>
      <c r="P1392" s="166">
        <v>135</v>
      </c>
      <c r="Q1392" s="81" t="s">
        <v>155</v>
      </c>
      <c r="R1392" s="165" t="s">
        <v>1905</v>
      </c>
      <c r="S1392" s="81" t="s">
        <v>1906</v>
      </c>
      <c r="W1392" s="81" t="s">
        <v>114</v>
      </c>
      <c r="Y1392" s="81" t="s">
        <v>115</v>
      </c>
      <c r="Z1392" s="81" t="s">
        <v>116</v>
      </c>
      <c r="AA1392" s="81" t="s">
        <v>116</v>
      </c>
      <c r="AB1392" s="81" t="s">
        <v>117</v>
      </c>
      <c r="AC1392" s="166">
        <v>0</v>
      </c>
      <c r="AG1392" s="81" t="s">
        <v>238</v>
      </c>
      <c r="AH1392" s="81" t="s">
        <v>118</v>
      </c>
      <c r="AI1392" s="81" t="s">
        <v>3504</v>
      </c>
      <c r="AJ1392" s="81">
        <v>17320135</v>
      </c>
      <c r="AK1392" s="166">
        <v>0</v>
      </c>
      <c r="AM1392" s="166">
        <v>0</v>
      </c>
      <c r="AO1392" s="166">
        <v>0</v>
      </c>
      <c r="AP1392" s="166">
        <v>0</v>
      </c>
      <c r="AQ1392" s="166">
        <v>0</v>
      </c>
      <c r="AR1392" s="166">
        <v>0</v>
      </c>
      <c r="AS1392" s="166">
        <v>0</v>
      </c>
      <c r="AT1392" s="166">
        <v>0</v>
      </c>
      <c r="AU1392" s="166">
        <v>90</v>
      </c>
      <c r="AV1392" s="166">
        <v>0</v>
      </c>
      <c r="AW1392" s="166">
        <v>0</v>
      </c>
      <c r="AX1392" s="166">
        <v>0</v>
      </c>
      <c r="AY1392" s="166">
        <v>0</v>
      </c>
      <c r="AZ1392" s="166">
        <v>0</v>
      </c>
      <c r="BA1392" s="166">
        <v>0</v>
      </c>
      <c r="BB1392" s="166">
        <v>90</v>
      </c>
      <c r="BC1392" s="166">
        <v>0</v>
      </c>
      <c r="BD1392" s="166">
        <v>0</v>
      </c>
      <c r="BE1392" s="166">
        <v>0</v>
      </c>
      <c r="BF1392" s="166">
        <v>0</v>
      </c>
      <c r="BG1392" s="166">
        <v>0</v>
      </c>
      <c r="BH1392" s="166">
        <v>0</v>
      </c>
      <c r="BI1392" s="166">
        <v>0</v>
      </c>
      <c r="BJ1392" s="166">
        <v>0</v>
      </c>
      <c r="BK1392" s="166">
        <v>0</v>
      </c>
      <c r="BL1392" s="166">
        <v>0</v>
      </c>
      <c r="BM1392" s="166">
        <v>0</v>
      </c>
      <c r="BN1392" s="166">
        <v>0</v>
      </c>
      <c r="BO1392" s="166">
        <v>0</v>
      </c>
      <c r="BP1392" s="166">
        <v>0</v>
      </c>
      <c r="BQ1392" s="81" t="s">
        <v>1758</v>
      </c>
      <c r="BZ1392" s="81" t="s">
        <v>155</v>
      </c>
      <c r="CA1392" s="81">
        <v>11</v>
      </c>
      <c r="CC1392" s="167">
        <v>0</v>
      </c>
      <c r="CD1392" s="167">
        <v>0</v>
      </c>
      <c r="CE1392" s="167">
        <f>$N1392/5</f>
        <v>18</v>
      </c>
      <c r="CF1392" s="167">
        <f>$N1392/5</f>
        <v>18</v>
      </c>
      <c r="CG1392" s="167">
        <f>$N1392/5</f>
        <v>18</v>
      </c>
      <c r="CH1392" s="167">
        <f>$N1392/5</f>
        <v>18</v>
      </c>
      <c r="CI1392" s="167">
        <f>$N1392/5</f>
        <v>18</v>
      </c>
      <c r="CJ1392" s="167">
        <v>0</v>
      </c>
      <c r="CK1392" s="167">
        <v>0</v>
      </c>
      <c r="CL1392" s="167">
        <v>0</v>
      </c>
      <c r="CM1392" s="167">
        <v>0</v>
      </c>
      <c r="CN1392" s="167">
        <v>0</v>
      </c>
      <c r="CO1392" s="167">
        <v>0</v>
      </c>
      <c r="CP1392" s="167">
        <v>0</v>
      </c>
      <c r="CQ1392" s="167">
        <v>0</v>
      </c>
      <c r="CR1392" s="167">
        <v>0</v>
      </c>
      <c r="CS1392" s="167">
        <v>0</v>
      </c>
      <c r="CT1392" s="167">
        <v>0</v>
      </c>
      <c r="CU1392" s="167">
        <v>0</v>
      </c>
      <c r="CV1392" s="167">
        <v>0</v>
      </c>
      <c r="CW1392" s="167">
        <v>0</v>
      </c>
      <c r="CX1392" s="167">
        <f>SUM(CD1392:CH1392)</f>
        <v>72</v>
      </c>
      <c r="CY1392" s="167">
        <f>SUM(CD1392:CM1392)</f>
        <v>90</v>
      </c>
    </row>
    <row r="1393" spans="1:103" ht="12.75" customHeight="1" x14ac:dyDescent="0.2">
      <c r="A1393" s="81">
        <v>6868</v>
      </c>
      <c r="B1393" s="165" t="s">
        <v>1902</v>
      </c>
      <c r="C1393" s="165" t="s">
        <v>3502</v>
      </c>
      <c r="E1393" s="165" t="s">
        <v>3503</v>
      </c>
      <c r="G1393" s="81">
        <v>526007</v>
      </c>
      <c r="H1393" s="81">
        <v>173636</v>
      </c>
      <c r="I1393" s="165" t="s">
        <v>249</v>
      </c>
      <c r="L1393" s="166">
        <v>0</v>
      </c>
      <c r="M1393" s="166">
        <v>27</v>
      </c>
      <c r="N1393" s="166">
        <v>27</v>
      </c>
      <c r="O1393" s="166">
        <v>135</v>
      </c>
      <c r="P1393" s="166">
        <v>135</v>
      </c>
      <c r="Q1393" s="81" t="s">
        <v>155</v>
      </c>
      <c r="R1393" s="165" t="s">
        <v>1905</v>
      </c>
      <c r="S1393" s="81" t="s">
        <v>1906</v>
      </c>
      <c r="W1393" s="81" t="s">
        <v>114</v>
      </c>
      <c r="Y1393" s="81" t="s">
        <v>115</v>
      </c>
      <c r="Z1393" s="81" t="s">
        <v>116</v>
      </c>
      <c r="AA1393" s="81" t="s">
        <v>116</v>
      </c>
      <c r="AB1393" s="81" t="s">
        <v>117</v>
      </c>
      <c r="AC1393" s="166">
        <v>0</v>
      </c>
      <c r="AG1393" s="81" t="s">
        <v>154</v>
      </c>
      <c r="AH1393" s="81" t="s">
        <v>276</v>
      </c>
      <c r="AI1393" s="81" t="s">
        <v>3504</v>
      </c>
      <c r="AJ1393" s="81">
        <v>17320135</v>
      </c>
      <c r="AK1393" s="166">
        <v>0</v>
      </c>
      <c r="AM1393" s="166">
        <v>0</v>
      </c>
      <c r="AO1393" s="166">
        <v>0</v>
      </c>
      <c r="AP1393" s="166">
        <v>0</v>
      </c>
      <c r="AQ1393" s="166">
        <v>0</v>
      </c>
      <c r="AR1393" s="166">
        <v>0</v>
      </c>
      <c r="AS1393" s="166">
        <v>0</v>
      </c>
      <c r="AT1393" s="166">
        <v>0</v>
      </c>
      <c r="AU1393" s="166">
        <v>27</v>
      </c>
      <c r="AV1393" s="166">
        <v>0</v>
      </c>
      <c r="AW1393" s="166">
        <v>0</v>
      </c>
      <c r="AX1393" s="166">
        <v>0</v>
      </c>
      <c r="AY1393" s="166">
        <v>0</v>
      </c>
      <c r="AZ1393" s="166">
        <v>0</v>
      </c>
      <c r="BA1393" s="166">
        <v>0</v>
      </c>
      <c r="BB1393" s="166">
        <v>27</v>
      </c>
      <c r="BC1393" s="166">
        <v>0</v>
      </c>
      <c r="BD1393" s="166">
        <v>0</v>
      </c>
      <c r="BE1393" s="166">
        <v>0</v>
      </c>
      <c r="BF1393" s="166">
        <v>0</v>
      </c>
      <c r="BG1393" s="166">
        <v>0</v>
      </c>
      <c r="BH1393" s="166">
        <v>0</v>
      </c>
      <c r="BI1393" s="166">
        <v>0</v>
      </c>
      <c r="BJ1393" s="166">
        <v>0</v>
      </c>
      <c r="BK1393" s="166">
        <v>0</v>
      </c>
      <c r="BL1393" s="166">
        <v>0</v>
      </c>
      <c r="BM1393" s="166">
        <v>0</v>
      </c>
      <c r="BN1393" s="166">
        <v>0</v>
      </c>
      <c r="BO1393" s="166">
        <v>0</v>
      </c>
      <c r="BP1393" s="166">
        <v>0</v>
      </c>
      <c r="BQ1393" s="81" t="s">
        <v>1758</v>
      </c>
      <c r="BZ1393" s="81" t="s">
        <v>155</v>
      </c>
      <c r="CA1393" s="81">
        <v>11</v>
      </c>
      <c r="CC1393" s="167">
        <v>0</v>
      </c>
      <c r="CD1393" s="167">
        <v>0</v>
      </c>
      <c r="CE1393" s="167">
        <f>$N1393/5</f>
        <v>5.4</v>
      </c>
      <c r="CF1393" s="167">
        <f>$N1393/5</f>
        <v>5.4</v>
      </c>
      <c r="CG1393" s="167">
        <f>$N1393/5</f>
        <v>5.4</v>
      </c>
      <c r="CH1393" s="167">
        <f>$N1393/5</f>
        <v>5.4</v>
      </c>
      <c r="CI1393" s="167">
        <f>$N1393/5</f>
        <v>5.4</v>
      </c>
      <c r="CJ1393" s="167">
        <v>0</v>
      </c>
      <c r="CK1393" s="167">
        <v>0</v>
      </c>
      <c r="CL1393" s="167">
        <v>0</v>
      </c>
      <c r="CM1393" s="167">
        <v>0</v>
      </c>
      <c r="CN1393" s="167">
        <v>0</v>
      </c>
      <c r="CO1393" s="167">
        <v>0</v>
      </c>
      <c r="CP1393" s="167">
        <v>0</v>
      </c>
      <c r="CQ1393" s="167">
        <v>0</v>
      </c>
      <c r="CR1393" s="167">
        <v>0</v>
      </c>
      <c r="CS1393" s="167">
        <v>0</v>
      </c>
      <c r="CT1393" s="167">
        <v>0</v>
      </c>
      <c r="CU1393" s="167">
        <v>0</v>
      </c>
      <c r="CV1393" s="167">
        <v>0</v>
      </c>
      <c r="CW1393" s="167">
        <v>0</v>
      </c>
      <c r="CX1393" s="167">
        <f>SUM(CD1393:CH1393)</f>
        <v>21.6</v>
      </c>
      <c r="CY1393" s="167">
        <f>SUM(CD1393:CM1393)</f>
        <v>27</v>
      </c>
    </row>
    <row r="1394" spans="1:103" ht="12.75" customHeight="1" x14ac:dyDescent="0.2">
      <c r="A1394" s="81">
        <v>6868</v>
      </c>
      <c r="B1394" s="165" t="s">
        <v>1902</v>
      </c>
      <c r="C1394" s="165" t="s">
        <v>3502</v>
      </c>
      <c r="E1394" s="165" t="s">
        <v>3503</v>
      </c>
      <c r="G1394" s="81">
        <v>526007</v>
      </c>
      <c r="H1394" s="81">
        <v>173636</v>
      </c>
      <c r="I1394" s="165" t="s">
        <v>249</v>
      </c>
      <c r="L1394" s="166">
        <v>0</v>
      </c>
      <c r="M1394" s="166">
        <v>18</v>
      </c>
      <c r="N1394" s="166">
        <v>18</v>
      </c>
      <c r="O1394" s="166">
        <v>135</v>
      </c>
      <c r="P1394" s="166">
        <v>135</v>
      </c>
      <c r="Q1394" s="81" t="s">
        <v>155</v>
      </c>
      <c r="R1394" s="165" t="s">
        <v>1905</v>
      </c>
      <c r="S1394" s="81" t="s">
        <v>1906</v>
      </c>
      <c r="W1394" s="81" t="s">
        <v>114</v>
      </c>
      <c r="Y1394" s="81" t="s">
        <v>115</v>
      </c>
      <c r="Z1394" s="81" t="s">
        <v>116</v>
      </c>
      <c r="AA1394" s="81" t="s">
        <v>116</v>
      </c>
      <c r="AB1394" s="81" t="s">
        <v>117</v>
      </c>
      <c r="AC1394" s="166">
        <v>0</v>
      </c>
      <c r="AG1394" s="81" t="s">
        <v>74</v>
      </c>
      <c r="AH1394" s="81" t="s">
        <v>990</v>
      </c>
      <c r="AI1394" s="81" t="s">
        <v>3504</v>
      </c>
      <c r="AJ1394" s="81">
        <v>17320135</v>
      </c>
      <c r="AK1394" s="166">
        <v>0</v>
      </c>
      <c r="AM1394" s="166">
        <v>0</v>
      </c>
      <c r="AO1394" s="166">
        <v>0</v>
      </c>
      <c r="AP1394" s="166">
        <v>0</v>
      </c>
      <c r="AQ1394" s="166">
        <v>0</v>
      </c>
      <c r="AR1394" s="166">
        <v>0</v>
      </c>
      <c r="AS1394" s="166">
        <v>0</v>
      </c>
      <c r="AT1394" s="166">
        <v>0</v>
      </c>
      <c r="AU1394" s="166">
        <v>18</v>
      </c>
      <c r="AV1394" s="166">
        <v>0</v>
      </c>
      <c r="AW1394" s="166">
        <v>0</v>
      </c>
      <c r="AX1394" s="166">
        <v>0</v>
      </c>
      <c r="AY1394" s="166">
        <v>0</v>
      </c>
      <c r="AZ1394" s="166">
        <v>0</v>
      </c>
      <c r="BA1394" s="166">
        <v>0</v>
      </c>
      <c r="BB1394" s="166">
        <v>18</v>
      </c>
      <c r="BC1394" s="166">
        <v>0</v>
      </c>
      <c r="BD1394" s="166">
        <v>0</v>
      </c>
      <c r="BE1394" s="166">
        <v>0</v>
      </c>
      <c r="BF1394" s="166">
        <v>0</v>
      </c>
      <c r="BG1394" s="166">
        <v>0</v>
      </c>
      <c r="BH1394" s="166">
        <v>0</v>
      </c>
      <c r="BI1394" s="166">
        <v>0</v>
      </c>
      <c r="BJ1394" s="166">
        <v>0</v>
      </c>
      <c r="BK1394" s="166">
        <v>0</v>
      </c>
      <c r="BL1394" s="166">
        <v>0</v>
      </c>
      <c r="BM1394" s="166">
        <v>0</v>
      </c>
      <c r="BN1394" s="166">
        <v>0</v>
      </c>
      <c r="BO1394" s="166">
        <v>0</v>
      </c>
      <c r="BP1394" s="166">
        <v>0</v>
      </c>
      <c r="BQ1394" s="81" t="s">
        <v>1758</v>
      </c>
      <c r="BZ1394" s="81" t="s">
        <v>155</v>
      </c>
      <c r="CA1394" s="81">
        <v>11</v>
      </c>
      <c r="CC1394" s="167">
        <v>0</v>
      </c>
      <c r="CD1394" s="167">
        <v>0</v>
      </c>
      <c r="CE1394" s="167">
        <f>$N1394/5</f>
        <v>3.6</v>
      </c>
      <c r="CF1394" s="167">
        <f>$N1394/5</f>
        <v>3.6</v>
      </c>
      <c r="CG1394" s="167">
        <f>$N1394/5</f>
        <v>3.6</v>
      </c>
      <c r="CH1394" s="167">
        <f>$N1394/5</f>
        <v>3.6</v>
      </c>
      <c r="CI1394" s="167">
        <f>$N1394/5</f>
        <v>3.6</v>
      </c>
      <c r="CJ1394" s="167">
        <v>0</v>
      </c>
      <c r="CK1394" s="167">
        <v>0</v>
      </c>
      <c r="CL1394" s="167">
        <v>0</v>
      </c>
      <c r="CM1394" s="167">
        <v>0</v>
      </c>
      <c r="CN1394" s="167">
        <v>0</v>
      </c>
      <c r="CO1394" s="167">
        <v>0</v>
      </c>
      <c r="CP1394" s="167">
        <v>0</v>
      </c>
      <c r="CQ1394" s="167">
        <v>0</v>
      </c>
      <c r="CR1394" s="167">
        <v>0</v>
      </c>
      <c r="CS1394" s="167">
        <v>0</v>
      </c>
      <c r="CT1394" s="167">
        <v>0</v>
      </c>
      <c r="CU1394" s="167">
        <v>0</v>
      </c>
      <c r="CV1394" s="167">
        <v>0</v>
      </c>
      <c r="CW1394" s="167">
        <v>0</v>
      </c>
      <c r="CX1394" s="167">
        <f>SUM(CD1394:CH1394)</f>
        <v>14.4</v>
      </c>
      <c r="CY1394" s="167">
        <f>SUM(CD1394:CM1394)</f>
        <v>18</v>
      </c>
    </row>
    <row r="1395" spans="1:103" ht="12.75" customHeight="1" x14ac:dyDescent="0.2">
      <c r="A1395" s="81">
        <v>6869</v>
      </c>
      <c r="B1395" s="165" t="s">
        <v>1902</v>
      </c>
      <c r="C1395" s="165" t="s">
        <v>3510</v>
      </c>
      <c r="E1395" s="165" t="s">
        <v>1753</v>
      </c>
      <c r="G1395" s="81">
        <v>526639</v>
      </c>
      <c r="H1395" s="81">
        <v>176128</v>
      </c>
      <c r="I1395" s="165" t="s">
        <v>257</v>
      </c>
      <c r="L1395" s="166">
        <v>0</v>
      </c>
      <c r="M1395" s="166">
        <v>47</v>
      </c>
      <c r="N1395" s="166">
        <v>47</v>
      </c>
      <c r="O1395" s="166">
        <v>70</v>
      </c>
      <c r="P1395" s="166">
        <v>70</v>
      </c>
      <c r="Q1395" s="81" t="s">
        <v>155</v>
      </c>
      <c r="R1395" s="165" t="s">
        <v>1905</v>
      </c>
      <c r="S1395" s="81" t="s">
        <v>1906</v>
      </c>
      <c r="W1395" s="81" t="s">
        <v>114</v>
      </c>
      <c r="Y1395" s="81" t="s">
        <v>115</v>
      </c>
      <c r="Z1395" s="81" t="s">
        <v>116</v>
      </c>
      <c r="AA1395" s="81" t="s">
        <v>116</v>
      </c>
      <c r="AB1395" s="81" t="s">
        <v>117</v>
      </c>
      <c r="AC1395" s="166">
        <v>0</v>
      </c>
      <c r="AG1395" s="81" t="s">
        <v>238</v>
      </c>
      <c r="AH1395" s="81" t="s">
        <v>118</v>
      </c>
      <c r="AI1395" s="81" t="s">
        <v>3511</v>
      </c>
      <c r="AJ1395" s="81">
        <v>17320212</v>
      </c>
      <c r="AK1395" s="166">
        <v>0</v>
      </c>
      <c r="AM1395" s="166">
        <v>0</v>
      </c>
      <c r="AO1395" s="166">
        <v>0</v>
      </c>
      <c r="AP1395" s="166">
        <v>0</v>
      </c>
      <c r="AQ1395" s="166">
        <v>0</v>
      </c>
      <c r="AR1395" s="166">
        <v>0</v>
      </c>
      <c r="AS1395" s="166">
        <v>0</v>
      </c>
      <c r="AT1395" s="166">
        <v>0</v>
      </c>
      <c r="AU1395" s="166">
        <v>47</v>
      </c>
      <c r="AV1395" s="166">
        <v>0</v>
      </c>
      <c r="AW1395" s="166">
        <v>0</v>
      </c>
      <c r="AX1395" s="166">
        <v>0</v>
      </c>
      <c r="AY1395" s="166">
        <v>0</v>
      </c>
      <c r="AZ1395" s="166">
        <v>0</v>
      </c>
      <c r="BA1395" s="166">
        <v>0</v>
      </c>
      <c r="BB1395" s="166">
        <v>47</v>
      </c>
      <c r="BC1395" s="166">
        <v>0</v>
      </c>
      <c r="BD1395" s="166">
        <v>0</v>
      </c>
      <c r="BE1395" s="166">
        <v>0</v>
      </c>
      <c r="BF1395" s="166">
        <v>0</v>
      </c>
      <c r="BG1395" s="166">
        <v>0</v>
      </c>
      <c r="BH1395" s="166">
        <v>0</v>
      </c>
      <c r="BI1395" s="166">
        <v>0</v>
      </c>
      <c r="BJ1395" s="166">
        <v>0</v>
      </c>
      <c r="BK1395" s="166">
        <v>0</v>
      </c>
      <c r="BL1395" s="166">
        <v>0</v>
      </c>
      <c r="BM1395" s="166">
        <v>0</v>
      </c>
      <c r="BN1395" s="166">
        <v>0</v>
      </c>
      <c r="BO1395" s="166">
        <v>0</v>
      </c>
      <c r="BP1395" s="166">
        <v>0</v>
      </c>
      <c r="BQ1395" s="81" t="s">
        <v>1757</v>
      </c>
      <c r="BX1395" s="81" t="s">
        <v>155</v>
      </c>
      <c r="BZ1395" s="81" t="s">
        <v>155</v>
      </c>
      <c r="CA1395" s="81">
        <v>11</v>
      </c>
      <c r="CC1395" s="167">
        <v>0</v>
      </c>
      <c r="CD1395" s="167">
        <v>0</v>
      </c>
      <c r="CE1395" s="167">
        <f>$N1395/15</f>
        <v>3.1333333333333333</v>
      </c>
      <c r="CF1395" s="167">
        <f>$N1395/15</f>
        <v>3.1333333333333333</v>
      </c>
      <c r="CG1395" s="167">
        <f>$N1395/15</f>
        <v>3.1333333333333333</v>
      </c>
      <c r="CH1395" s="167">
        <f>$N1395/15</f>
        <v>3.1333333333333333</v>
      </c>
      <c r="CI1395" s="167">
        <f>$N1395/15</f>
        <v>3.1333333333333333</v>
      </c>
      <c r="CJ1395" s="167">
        <f>$N1395/15</f>
        <v>3.1333333333333333</v>
      </c>
      <c r="CK1395" s="167">
        <f>$N1395/15</f>
        <v>3.1333333333333333</v>
      </c>
      <c r="CL1395" s="167">
        <f>$N1395/15</f>
        <v>3.1333333333333333</v>
      </c>
      <c r="CM1395" s="167">
        <f>$N1395/15</f>
        <v>3.1333333333333333</v>
      </c>
      <c r="CN1395" s="167">
        <f>$N1395/15</f>
        <v>3.1333333333333333</v>
      </c>
      <c r="CO1395" s="167">
        <f>$N1395/15</f>
        <v>3.1333333333333333</v>
      </c>
      <c r="CP1395" s="167">
        <f>$N1395/15</f>
        <v>3.1333333333333333</v>
      </c>
      <c r="CQ1395" s="167">
        <f>$N1395/15</f>
        <v>3.1333333333333333</v>
      </c>
      <c r="CR1395" s="167">
        <f>$N1395/15</f>
        <v>3.1333333333333333</v>
      </c>
      <c r="CS1395" s="167">
        <f>$N1395/15</f>
        <v>3.1333333333333333</v>
      </c>
      <c r="CT1395" s="167">
        <v>0</v>
      </c>
      <c r="CU1395" s="167">
        <v>0</v>
      </c>
      <c r="CV1395" s="167">
        <v>0</v>
      </c>
      <c r="CW1395" s="167">
        <v>0</v>
      </c>
      <c r="CX1395" s="167">
        <f>SUM(CD1395:CH1395)</f>
        <v>12.533333333333333</v>
      </c>
      <c r="CY1395" s="167">
        <f>SUM(CD1395:CM1395)</f>
        <v>28.2</v>
      </c>
    </row>
    <row r="1396" spans="1:103" ht="12.75" customHeight="1" x14ac:dyDescent="0.2">
      <c r="A1396" s="81">
        <v>6869</v>
      </c>
      <c r="B1396" s="165" t="s">
        <v>1902</v>
      </c>
      <c r="C1396" s="165" t="s">
        <v>3510</v>
      </c>
      <c r="E1396" s="165" t="s">
        <v>1753</v>
      </c>
      <c r="G1396" s="81">
        <v>526639</v>
      </c>
      <c r="H1396" s="81">
        <v>176128</v>
      </c>
      <c r="I1396" s="165" t="s">
        <v>257</v>
      </c>
      <c r="L1396" s="166">
        <v>0</v>
      </c>
      <c r="M1396" s="166">
        <v>14</v>
      </c>
      <c r="N1396" s="166">
        <v>14</v>
      </c>
      <c r="O1396" s="166">
        <v>70</v>
      </c>
      <c r="P1396" s="166">
        <v>70</v>
      </c>
      <c r="Q1396" s="81" t="s">
        <v>155</v>
      </c>
      <c r="R1396" s="165" t="s">
        <v>1905</v>
      </c>
      <c r="S1396" s="81" t="s">
        <v>1906</v>
      </c>
      <c r="W1396" s="81" t="s">
        <v>114</v>
      </c>
      <c r="Y1396" s="81" t="s">
        <v>115</v>
      </c>
      <c r="Z1396" s="81" t="s">
        <v>116</v>
      </c>
      <c r="AA1396" s="81" t="s">
        <v>116</v>
      </c>
      <c r="AB1396" s="81" t="s">
        <v>117</v>
      </c>
      <c r="AC1396" s="166">
        <v>0</v>
      </c>
      <c r="AG1396" s="81" t="s">
        <v>154</v>
      </c>
      <c r="AH1396" s="81" t="s">
        <v>276</v>
      </c>
      <c r="AI1396" s="81" t="s">
        <v>3511</v>
      </c>
      <c r="AJ1396" s="81">
        <v>17320212</v>
      </c>
      <c r="AK1396" s="166">
        <v>0</v>
      </c>
      <c r="AM1396" s="166">
        <v>0</v>
      </c>
      <c r="AO1396" s="166">
        <v>0</v>
      </c>
      <c r="AP1396" s="166">
        <v>0</v>
      </c>
      <c r="AQ1396" s="166">
        <v>0</v>
      </c>
      <c r="AR1396" s="166">
        <v>0</v>
      </c>
      <c r="AS1396" s="166">
        <v>0</v>
      </c>
      <c r="AT1396" s="166">
        <v>0</v>
      </c>
      <c r="AU1396" s="166">
        <v>14</v>
      </c>
      <c r="AV1396" s="166">
        <v>0</v>
      </c>
      <c r="AW1396" s="166">
        <v>0</v>
      </c>
      <c r="AX1396" s="166">
        <v>0</v>
      </c>
      <c r="AY1396" s="166">
        <v>0</v>
      </c>
      <c r="AZ1396" s="166">
        <v>0</v>
      </c>
      <c r="BA1396" s="166">
        <v>0</v>
      </c>
      <c r="BB1396" s="166">
        <v>14</v>
      </c>
      <c r="BC1396" s="166">
        <v>0</v>
      </c>
      <c r="BD1396" s="166">
        <v>0</v>
      </c>
      <c r="BE1396" s="166">
        <v>0</v>
      </c>
      <c r="BF1396" s="166">
        <v>0</v>
      </c>
      <c r="BG1396" s="166">
        <v>0</v>
      </c>
      <c r="BH1396" s="166">
        <v>0</v>
      </c>
      <c r="BI1396" s="166">
        <v>0</v>
      </c>
      <c r="BJ1396" s="166">
        <v>0</v>
      </c>
      <c r="BK1396" s="166">
        <v>0</v>
      </c>
      <c r="BL1396" s="166">
        <v>0</v>
      </c>
      <c r="BM1396" s="166">
        <v>0</v>
      </c>
      <c r="BN1396" s="166">
        <v>0</v>
      </c>
      <c r="BO1396" s="166">
        <v>0</v>
      </c>
      <c r="BP1396" s="166">
        <v>0</v>
      </c>
      <c r="BQ1396" s="81" t="s">
        <v>1757</v>
      </c>
      <c r="BX1396" s="81" t="s">
        <v>155</v>
      </c>
      <c r="BZ1396" s="81" t="s">
        <v>155</v>
      </c>
      <c r="CA1396" s="81">
        <v>11</v>
      </c>
      <c r="CC1396" s="167">
        <v>0</v>
      </c>
      <c r="CD1396" s="167">
        <v>0</v>
      </c>
      <c r="CE1396" s="167">
        <f>$N1396/15</f>
        <v>0.93333333333333335</v>
      </c>
      <c r="CF1396" s="167">
        <f>$N1396/15</f>
        <v>0.93333333333333335</v>
      </c>
      <c r="CG1396" s="167">
        <f>$N1396/15</f>
        <v>0.93333333333333335</v>
      </c>
      <c r="CH1396" s="167">
        <f>$N1396/15</f>
        <v>0.93333333333333335</v>
      </c>
      <c r="CI1396" s="167">
        <f>$N1396/15</f>
        <v>0.93333333333333335</v>
      </c>
      <c r="CJ1396" s="167">
        <f>$N1396/15</f>
        <v>0.93333333333333335</v>
      </c>
      <c r="CK1396" s="167">
        <f>$N1396/15</f>
        <v>0.93333333333333335</v>
      </c>
      <c r="CL1396" s="167">
        <f>$N1396/15</f>
        <v>0.93333333333333335</v>
      </c>
      <c r="CM1396" s="167">
        <f>$N1396/15</f>
        <v>0.93333333333333335</v>
      </c>
      <c r="CN1396" s="167">
        <f>$N1396/15</f>
        <v>0.93333333333333335</v>
      </c>
      <c r="CO1396" s="167">
        <f>$N1396/15</f>
        <v>0.93333333333333335</v>
      </c>
      <c r="CP1396" s="167">
        <f>$N1396/15</f>
        <v>0.93333333333333335</v>
      </c>
      <c r="CQ1396" s="167">
        <f>$N1396/15</f>
        <v>0.93333333333333335</v>
      </c>
      <c r="CR1396" s="167">
        <f>$N1396/15</f>
        <v>0.93333333333333335</v>
      </c>
      <c r="CS1396" s="167">
        <f>$N1396/15</f>
        <v>0.93333333333333335</v>
      </c>
      <c r="CT1396" s="167">
        <v>0</v>
      </c>
      <c r="CU1396" s="167">
        <v>0</v>
      </c>
      <c r="CV1396" s="167">
        <v>0</v>
      </c>
      <c r="CW1396" s="167">
        <v>0</v>
      </c>
      <c r="CX1396" s="167">
        <f>SUM(CD1396:CH1396)</f>
        <v>3.7333333333333334</v>
      </c>
      <c r="CY1396" s="167">
        <f>SUM(CD1396:CM1396)</f>
        <v>8.4</v>
      </c>
    </row>
    <row r="1397" spans="1:103" ht="12.75" customHeight="1" x14ac:dyDescent="0.2">
      <c r="A1397" s="81">
        <v>6869</v>
      </c>
      <c r="B1397" s="165" t="s">
        <v>1902</v>
      </c>
      <c r="C1397" s="165" t="s">
        <v>3510</v>
      </c>
      <c r="E1397" s="165" t="s">
        <v>1753</v>
      </c>
      <c r="G1397" s="81">
        <v>526639</v>
      </c>
      <c r="H1397" s="81">
        <v>176128</v>
      </c>
      <c r="I1397" s="165" t="s">
        <v>257</v>
      </c>
      <c r="L1397" s="166">
        <v>0</v>
      </c>
      <c r="M1397" s="166">
        <v>9</v>
      </c>
      <c r="N1397" s="166">
        <v>9</v>
      </c>
      <c r="O1397" s="166">
        <v>70</v>
      </c>
      <c r="P1397" s="166">
        <v>70</v>
      </c>
      <c r="Q1397" s="81" t="s">
        <v>155</v>
      </c>
      <c r="R1397" s="165" t="s">
        <v>1905</v>
      </c>
      <c r="S1397" s="81" t="s">
        <v>1906</v>
      </c>
      <c r="W1397" s="81" t="s">
        <v>114</v>
      </c>
      <c r="Y1397" s="81" t="s">
        <v>115</v>
      </c>
      <c r="Z1397" s="81" t="s">
        <v>116</v>
      </c>
      <c r="AA1397" s="81" t="s">
        <v>116</v>
      </c>
      <c r="AB1397" s="81" t="s">
        <v>117</v>
      </c>
      <c r="AC1397" s="166">
        <v>0</v>
      </c>
      <c r="AG1397" s="81" t="s">
        <v>74</v>
      </c>
      <c r="AH1397" s="81" t="s">
        <v>990</v>
      </c>
      <c r="AI1397" s="81" t="s">
        <v>3511</v>
      </c>
      <c r="AJ1397" s="81">
        <v>17320212</v>
      </c>
      <c r="AK1397" s="166">
        <v>0</v>
      </c>
      <c r="AM1397" s="166">
        <v>0</v>
      </c>
      <c r="AO1397" s="166">
        <v>0</v>
      </c>
      <c r="AP1397" s="166">
        <v>0</v>
      </c>
      <c r="AQ1397" s="166">
        <v>0</v>
      </c>
      <c r="AR1397" s="166">
        <v>0</v>
      </c>
      <c r="AS1397" s="166">
        <v>0</v>
      </c>
      <c r="AT1397" s="166">
        <v>0</v>
      </c>
      <c r="AU1397" s="166">
        <v>9</v>
      </c>
      <c r="AV1397" s="166">
        <v>0</v>
      </c>
      <c r="AW1397" s="166">
        <v>0</v>
      </c>
      <c r="AX1397" s="166">
        <v>0</v>
      </c>
      <c r="AY1397" s="166">
        <v>0</v>
      </c>
      <c r="AZ1397" s="166">
        <v>0</v>
      </c>
      <c r="BA1397" s="166">
        <v>0</v>
      </c>
      <c r="BB1397" s="166">
        <v>9</v>
      </c>
      <c r="BC1397" s="166">
        <v>0</v>
      </c>
      <c r="BD1397" s="166">
        <v>0</v>
      </c>
      <c r="BE1397" s="166">
        <v>0</v>
      </c>
      <c r="BF1397" s="166">
        <v>0</v>
      </c>
      <c r="BG1397" s="166">
        <v>0</v>
      </c>
      <c r="BH1397" s="166">
        <v>0</v>
      </c>
      <c r="BI1397" s="166">
        <v>0</v>
      </c>
      <c r="BJ1397" s="166">
        <v>0</v>
      </c>
      <c r="BK1397" s="166">
        <v>0</v>
      </c>
      <c r="BL1397" s="166">
        <v>0</v>
      </c>
      <c r="BM1397" s="166">
        <v>0</v>
      </c>
      <c r="BN1397" s="166">
        <v>0</v>
      </c>
      <c r="BO1397" s="166">
        <v>0</v>
      </c>
      <c r="BP1397" s="166">
        <v>0</v>
      </c>
      <c r="BQ1397" s="81" t="s">
        <v>1757</v>
      </c>
      <c r="BX1397" s="81" t="s">
        <v>155</v>
      </c>
      <c r="BZ1397" s="81" t="s">
        <v>155</v>
      </c>
      <c r="CA1397" s="81">
        <v>11</v>
      </c>
      <c r="CC1397" s="167">
        <v>0</v>
      </c>
      <c r="CD1397" s="167">
        <v>0</v>
      </c>
      <c r="CE1397" s="167">
        <f>$N1397/15</f>
        <v>0.6</v>
      </c>
      <c r="CF1397" s="167">
        <f>$N1397/15</f>
        <v>0.6</v>
      </c>
      <c r="CG1397" s="167">
        <f>$N1397/15</f>
        <v>0.6</v>
      </c>
      <c r="CH1397" s="167">
        <f>$N1397/15</f>
        <v>0.6</v>
      </c>
      <c r="CI1397" s="167">
        <f>$N1397/15</f>
        <v>0.6</v>
      </c>
      <c r="CJ1397" s="167">
        <f>$N1397/15</f>
        <v>0.6</v>
      </c>
      <c r="CK1397" s="167">
        <f>$N1397/15</f>
        <v>0.6</v>
      </c>
      <c r="CL1397" s="167">
        <f>$N1397/15</f>
        <v>0.6</v>
      </c>
      <c r="CM1397" s="167">
        <f>$N1397/15</f>
        <v>0.6</v>
      </c>
      <c r="CN1397" s="167">
        <f>$N1397/15</f>
        <v>0.6</v>
      </c>
      <c r="CO1397" s="167">
        <f>$N1397/15</f>
        <v>0.6</v>
      </c>
      <c r="CP1397" s="167">
        <f>$N1397/15</f>
        <v>0.6</v>
      </c>
      <c r="CQ1397" s="167">
        <f>$N1397/15</f>
        <v>0.6</v>
      </c>
      <c r="CR1397" s="167">
        <f>$N1397/15</f>
        <v>0.6</v>
      </c>
      <c r="CS1397" s="167">
        <f>$N1397/15</f>
        <v>0.6</v>
      </c>
      <c r="CT1397" s="167">
        <v>0</v>
      </c>
      <c r="CU1397" s="167">
        <v>0</v>
      </c>
      <c r="CV1397" s="167">
        <v>0</v>
      </c>
      <c r="CW1397" s="167">
        <v>0</v>
      </c>
      <c r="CX1397" s="167">
        <f>SUM(CD1397:CH1397)</f>
        <v>2.4</v>
      </c>
      <c r="CY1397" s="167">
        <f>SUM(CD1397:CM1397)</f>
        <v>5.3999999999999995</v>
      </c>
    </row>
    <row r="1398" spans="1:103" ht="12.75" customHeight="1" x14ac:dyDescent="0.2">
      <c r="A1398" s="81">
        <v>6870</v>
      </c>
      <c r="B1398" s="165" t="s">
        <v>1902</v>
      </c>
      <c r="C1398" s="165" t="s">
        <v>3512</v>
      </c>
      <c r="E1398" s="165" t="s">
        <v>3513</v>
      </c>
      <c r="G1398" s="81">
        <v>526722</v>
      </c>
      <c r="H1398" s="81">
        <v>176263</v>
      </c>
      <c r="I1398" s="165" t="s">
        <v>257</v>
      </c>
      <c r="L1398" s="166">
        <v>0</v>
      </c>
      <c r="M1398" s="166">
        <v>70</v>
      </c>
      <c r="N1398" s="166">
        <v>70</v>
      </c>
      <c r="O1398" s="166">
        <v>105</v>
      </c>
      <c r="P1398" s="166">
        <v>105</v>
      </c>
      <c r="Q1398" s="81" t="s">
        <v>155</v>
      </c>
      <c r="R1398" s="165" t="s">
        <v>1905</v>
      </c>
      <c r="S1398" s="81" t="s">
        <v>1906</v>
      </c>
      <c r="W1398" s="81" t="s">
        <v>114</v>
      </c>
      <c r="Y1398" s="81" t="s">
        <v>115</v>
      </c>
      <c r="Z1398" s="81" t="s">
        <v>116</v>
      </c>
      <c r="AA1398" s="81" t="s">
        <v>116</v>
      </c>
      <c r="AB1398" s="81" t="s">
        <v>117</v>
      </c>
      <c r="AC1398" s="166">
        <v>0</v>
      </c>
      <c r="AG1398" s="81" t="s">
        <v>238</v>
      </c>
      <c r="AH1398" s="81" t="s">
        <v>118</v>
      </c>
      <c r="AI1398" s="81" t="s">
        <v>3514</v>
      </c>
      <c r="AJ1398" s="81">
        <v>17320112</v>
      </c>
      <c r="AK1398" s="166">
        <v>0</v>
      </c>
      <c r="AM1398" s="166">
        <v>0</v>
      </c>
      <c r="AO1398" s="166">
        <v>0</v>
      </c>
      <c r="AP1398" s="166">
        <v>0</v>
      </c>
      <c r="AQ1398" s="166">
        <v>0</v>
      </c>
      <c r="AR1398" s="166">
        <v>0</v>
      </c>
      <c r="AS1398" s="166">
        <v>0</v>
      </c>
      <c r="AT1398" s="166">
        <v>0</v>
      </c>
      <c r="AU1398" s="166">
        <v>70</v>
      </c>
      <c r="AV1398" s="166">
        <v>0</v>
      </c>
      <c r="AW1398" s="166">
        <v>0</v>
      </c>
      <c r="AX1398" s="166">
        <v>0</v>
      </c>
      <c r="AY1398" s="166">
        <v>0</v>
      </c>
      <c r="AZ1398" s="166">
        <v>0</v>
      </c>
      <c r="BA1398" s="166">
        <v>0</v>
      </c>
      <c r="BB1398" s="166">
        <v>70</v>
      </c>
      <c r="BC1398" s="166">
        <v>0</v>
      </c>
      <c r="BD1398" s="166">
        <v>0</v>
      </c>
      <c r="BE1398" s="166">
        <v>0</v>
      </c>
      <c r="BF1398" s="166">
        <v>0</v>
      </c>
      <c r="BG1398" s="166">
        <v>0</v>
      </c>
      <c r="BH1398" s="166">
        <v>0</v>
      </c>
      <c r="BI1398" s="166">
        <v>0</v>
      </c>
      <c r="BJ1398" s="166">
        <v>0</v>
      </c>
      <c r="BK1398" s="166">
        <v>0</v>
      </c>
      <c r="BL1398" s="166">
        <v>0</v>
      </c>
      <c r="BM1398" s="166">
        <v>0</v>
      </c>
      <c r="BN1398" s="166">
        <v>0</v>
      </c>
      <c r="BO1398" s="166">
        <v>0</v>
      </c>
      <c r="BP1398" s="166">
        <v>0</v>
      </c>
      <c r="BQ1398" s="81" t="s">
        <v>1757</v>
      </c>
      <c r="BZ1398" s="81" t="s">
        <v>155</v>
      </c>
      <c r="CA1398" s="81">
        <v>11</v>
      </c>
      <c r="CC1398" s="167">
        <v>0</v>
      </c>
      <c r="CD1398" s="167">
        <v>0</v>
      </c>
      <c r="CE1398" s="167">
        <f>$N1398/15</f>
        <v>4.666666666666667</v>
      </c>
      <c r="CF1398" s="167">
        <f>$N1398/15</f>
        <v>4.666666666666667</v>
      </c>
      <c r="CG1398" s="167">
        <f>$N1398/15</f>
        <v>4.666666666666667</v>
      </c>
      <c r="CH1398" s="167">
        <f>$N1398/15</f>
        <v>4.666666666666667</v>
      </c>
      <c r="CI1398" s="167">
        <f>$N1398/15</f>
        <v>4.666666666666667</v>
      </c>
      <c r="CJ1398" s="167">
        <f>$N1398/15</f>
        <v>4.666666666666667</v>
      </c>
      <c r="CK1398" s="167">
        <f>$N1398/15</f>
        <v>4.666666666666667</v>
      </c>
      <c r="CL1398" s="167">
        <f>$N1398/15</f>
        <v>4.666666666666667</v>
      </c>
      <c r="CM1398" s="167">
        <f>$N1398/15</f>
        <v>4.666666666666667</v>
      </c>
      <c r="CN1398" s="167">
        <f>$N1398/15</f>
        <v>4.666666666666667</v>
      </c>
      <c r="CO1398" s="167">
        <f>$N1398/15</f>
        <v>4.666666666666667</v>
      </c>
      <c r="CP1398" s="167">
        <f>$N1398/15</f>
        <v>4.666666666666667</v>
      </c>
      <c r="CQ1398" s="167">
        <f>$N1398/15</f>
        <v>4.666666666666667</v>
      </c>
      <c r="CR1398" s="167">
        <f>$N1398/15</f>
        <v>4.666666666666667</v>
      </c>
      <c r="CS1398" s="167">
        <f>$N1398/15</f>
        <v>4.666666666666667</v>
      </c>
      <c r="CT1398" s="167">
        <v>0</v>
      </c>
      <c r="CU1398" s="167">
        <v>0</v>
      </c>
      <c r="CV1398" s="167">
        <v>0</v>
      </c>
      <c r="CW1398" s="167">
        <v>0</v>
      </c>
      <c r="CX1398" s="167">
        <f>SUM(CD1398:CH1398)</f>
        <v>18.666666666666668</v>
      </c>
      <c r="CY1398" s="167">
        <f>SUM(CD1398:CM1398)</f>
        <v>42</v>
      </c>
    </row>
    <row r="1399" spans="1:103" ht="12.75" customHeight="1" x14ac:dyDescent="0.2">
      <c r="A1399" s="81">
        <v>6870</v>
      </c>
      <c r="B1399" s="165" t="s">
        <v>1902</v>
      </c>
      <c r="C1399" s="165" t="s">
        <v>3512</v>
      </c>
      <c r="E1399" s="165" t="s">
        <v>3513</v>
      </c>
      <c r="G1399" s="81">
        <v>526722</v>
      </c>
      <c r="H1399" s="81">
        <v>176263</v>
      </c>
      <c r="I1399" s="165" t="s">
        <v>257</v>
      </c>
      <c r="L1399" s="166">
        <v>0</v>
      </c>
      <c r="M1399" s="166">
        <v>21</v>
      </c>
      <c r="N1399" s="166">
        <v>21</v>
      </c>
      <c r="O1399" s="166">
        <v>105</v>
      </c>
      <c r="P1399" s="166">
        <v>105</v>
      </c>
      <c r="Q1399" s="81" t="s">
        <v>155</v>
      </c>
      <c r="R1399" s="165" t="s">
        <v>1905</v>
      </c>
      <c r="S1399" s="81" t="s">
        <v>1906</v>
      </c>
      <c r="W1399" s="81" t="s">
        <v>114</v>
      </c>
      <c r="Y1399" s="81" t="s">
        <v>115</v>
      </c>
      <c r="Z1399" s="81" t="s">
        <v>116</v>
      </c>
      <c r="AA1399" s="81" t="s">
        <v>116</v>
      </c>
      <c r="AB1399" s="81" t="s">
        <v>117</v>
      </c>
      <c r="AC1399" s="166">
        <v>0</v>
      </c>
      <c r="AG1399" s="81" t="s">
        <v>154</v>
      </c>
      <c r="AH1399" s="81" t="s">
        <v>276</v>
      </c>
      <c r="AI1399" s="81" t="s">
        <v>3514</v>
      </c>
      <c r="AJ1399" s="81">
        <v>17320112</v>
      </c>
      <c r="AK1399" s="166">
        <v>0</v>
      </c>
      <c r="AM1399" s="166">
        <v>0</v>
      </c>
      <c r="AO1399" s="166">
        <v>0</v>
      </c>
      <c r="AP1399" s="166">
        <v>0</v>
      </c>
      <c r="AQ1399" s="166">
        <v>0</v>
      </c>
      <c r="AR1399" s="166">
        <v>0</v>
      </c>
      <c r="AS1399" s="166">
        <v>0</v>
      </c>
      <c r="AT1399" s="166">
        <v>0</v>
      </c>
      <c r="AU1399" s="166">
        <v>21</v>
      </c>
      <c r="AV1399" s="166">
        <v>0</v>
      </c>
      <c r="AW1399" s="166">
        <v>0</v>
      </c>
      <c r="AX1399" s="166">
        <v>0</v>
      </c>
      <c r="AY1399" s="166">
        <v>0</v>
      </c>
      <c r="AZ1399" s="166">
        <v>0</v>
      </c>
      <c r="BA1399" s="166">
        <v>0</v>
      </c>
      <c r="BB1399" s="166">
        <v>21</v>
      </c>
      <c r="BC1399" s="166">
        <v>0</v>
      </c>
      <c r="BD1399" s="166">
        <v>0</v>
      </c>
      <c r="BE1399" s="166">
        <v>0</v>
      </c>
      <c r="BF1399" s="166">
        <v>0</v>
      </c>
      <c r="BG1399" s="166">
        <v>0</v>
      </c>
      <c r="BH1399" s="166">
        <v>0</v>
      </c>
      <c r="BI1399" s="166">
        <v>0</v>
      </c>
      <c r="BJ1399" s="166">
        <v>0</v>
      </c>
      <c r="BK1399" s="166">
        <v>0</v>
      </c>
      <c r="BL1399" s="166">
        <v>0</v>
      </c>
      <c r="BM1399" s="166">
        <v>0</v>
      </c>
      <c r="BN1399" s="166">
        <v>0</v>
      </c>
      <c r="BO1399" s="166">
        <v>0</v>
      </c>
      <c r="BP1399" s="166">
        <v>0</v>
      </c>
      <c r="BQ1399" s="81" t="s">
        <v>1757</v>
      </c>
      <c r="BZ1399" s="81" t="s">
        <v>155</v>
      </c>
      <c r="CA1399" s="81">
        <v>11</v>
      </c>
      <c r="CC1399" s="167">
        <v>0</v>
      </c>
      <c r="CD1399" s="167">
        <v>0</v>
      </c>
      <c r="CE1399" s="167">
        <f>$N1399/15</f>
        <v>1.4</v>
      </c>
      <c r="CF1399" s="167">
        <f>$N1399/15</f>
        <v>1.4</v>
      </c>
      <c r="CG1399" s="167">
        <f>$N1399/15</f>
        <v>1.4</v>
      </c>
      <c r="CH1399" s="167">
        <f>$N1399/15</f>
        <v>1.4</v>
      </c>
      <c r="CI1399" s="167">
        <f>$N1399/15</f>
        <v>1.4</v>
      </c>
      <c r="CJ1399" s="167">
        <f>$N1399/15</f>
        <v>1.4</v>
      </c>
      <c r="CK1399" s="167">
        <f>$N1399/15</f>
        <v>1.4</v>
      </c>
      <c r="CL1399" s="167">
        <f>$N1399/15</f>
        <v>1.4</v>
      </c>
      <c r="CM1399" s="167">
        <f>$N1399/15</f>
        <v>1.4</v>
      </c>
      <c r="CN1399" s="167">
        <f>$N1399/15</f>
        <v>1.4</v>
      </c>
      <c r="CO1399" s="167">
        <f>$N1399/15</f>
        <v>1.4</v>
      </c>
      <c r="CP1399" s="167">
        <f>$N1399/15</f>
        <v>1.4</v>
      </c>
      <c r="CQ1399" s="167">
        <f>$N1399/15</f>
        <v>1.4</v>
      </c>
      <c r="CR1399" s="167">
        <f>$N1399/15</f>
        <v>1.4</v>
      </c>
      <c r="CS1399" s="167">
        <f>$N1399/15</f>
        <v>1.4</v>
      </c>
      <c r="CT1399" s="167">
        <v>0</v>
      </c>
      <c r="CU1399" s="167">
        <v>0</v>
      </c>
      <c r="CV1399" s="167">
        <v>0</v>
      </c>
      <c r="CW1399" s="167">
        <v>0</v>
      </c>
      <c r="CX1399" s="167">
        <f>SUM(CD1399:CH1399)</f>
        <v>5.6</v>
      </c>
      <c r="CY1399" s="167">
        <f>SUM(CD1399:CM1399)</f>
        <v>12.600000000000001</v>
      </c>
    </row>
    <row r="1400" spans="1:103" ht="12.75" customHeight="1" x14ac:dyDescent="0.2">
      <c r="A1400" s="81">
        <v>6870</v>
      </c>
      <c r="B1400" s="165" t="s">
        <v>1902</v>
      </c>
      <c r="C1400" s="165" t="s">
        <v>3512</v>
      </c>
      <c r="E1400" s="165" t="s">
        <v>3513</v>
      </c>
      <c r="G1400" s="81">
        <v>526722</v>
      </c>
      <c r="H1400" s="81">
        <v>176263</v>
      </c>
      <c r="I1400" s="165" t="s">
        <v>257</v>
      </c>
      <c r="L1400" s="166">
        <v>0</v>
      </c>
      <c r="M1400" s="166">
        <v>14</v>
      </c>
      <c r="N1400" s="166">
        <v>14</v>
      </c>
      <c r="O1400" s="166">
        <v>105</v>
      </c>
      <c r="P1400" s="166">
        <v>105</v>
      </c>
      <c r="Q1400" s="81" t="s">
        <v>155</v>
      </c>
      <c r="R1400" s="165" t="s">
        <v>1905</v>
      </c>
      <c r="S1400" s="81" t="s">
        <v>1906</v>
      </c>
      <c r="W1400" s="81" t="s">
        <v>114</v>
      </c>
      <c r="Y1400" s="81" t="s">
        <v>115</v>
      </c>
      <c r="Z1400" s="81" t="s">
        <v>116</v>
      </c>
      <c r="AA1400" s="81" t="s">
        <v>116</v>
      </c>
      <c r="AB1400" s="81" t="s">
        <v>117</v>
      </c>
      <c r="AC1400" s="166">
        <v>0</v>
      </c>
      <c r="AG1400" s="81" t="s">
        <v>74</v>
      </c>
      <c r="AH1400" s="81" t="s">
        <v>880</v>
      </c>
      <c r="AI1400" s="81" t="s">
        <v>3514</v>
      </c>
      <c r="AJ1400" s="81">
        <v>17320112</v>
      </c>
      <c r="AK1400" s="166">
        <v>0</v>
      </c>
      <c r="AM1400" s="166">
        <v>0</v>
      </c>
      <c r="AO1400" s="166">
        <v>0</v>
      </c>
      <c r="AP1400" s="166">
        <v>0</v>
      </c>
      <c r="AQ1400" s="166">
        <v>0</v>
      </c>
      <c r="AR1400" s="166">
        <v>0</v>
      </c>
      <c r="AS1400" s="166">
        <v>0</v>
      </c>
      <c r="AT1400" s="166">
        <v>0</v>
      </c>
      <c r="AU1400" s="166">
        <v>14</v>
      </c>
      <c r="AV1400" s="166">
        <v>0</v>
      </c>
      <c r="AW1400" s="166">
        <v>0</v>
      </c>
      <c r="AX1400" s="166">
        <v>0</v>
      </c>
      <c r="AY1400" s="166">
        <v>0</v>
      </c>
      <c r="AZ1400" s="166">
        <v>0</v>
      </c>
      <c r="BA1400" s="166">
        <v>0</v>
      </c>
      <c r="BB1400" s="166">
        <v>14</v>
      </c>
      <c r="BC1400" s="166">
        <v>0</v>
      </c>
      <c r="BD1400" s="166">
        <v>0</v>
      </c>
      <c r="BE1400" s="166">
        <v>0</v>
      </c>
      <c r="BF1400" s="166">
        <v>0</v>
      </c>
      <c r="BG1400" s="166">
        <v>0</v>
      </c>
      <c r="BH1400" s="166">
        <v>0</v>
      </c>
      <c r="BI1400" s="166">
        <v>0</v>
      </c>
      <c r="BJ1400" s="166">
        <v>0</v>
      </c>
      <c r="BK1400" s="166">
        <v>0</v>
      </c>
      <c r="BL1400" s="166">
        <v>0</v>
      </c>
      <c r="BM1400" s="166">
        <v>0</v>
      </c>
      <c r="BN1400" s="166">
        <v>0</v>
      </c>
      <c r="BO1400" s="166">
        <v>0</v>
      </c>
      <c r="BP1400" s="166">
        <v>0</v>
      </c>
      <c r="BQ1400" s="81" t="s">
        <v>1757</v>
      </c>
      <c r="BZ1400" s="81" t="s">
        <v>155</v>
      </c>
      <c r="CA1400" s="81">
        <v>11</v>
      </c>
      <c r="CC1400" s="167">
        <v>0</v>
      </c>
      <c r="CD1400" s="167">
        <v>0</v>
      </c>
      <c r="CE1400" s="167">
        <f>$N1400/15</f>
        <v>0.93333333333333335</v>
      </c>
      <c r="CF1400" s="167">
        <f>$N1400/15</f>
        <v>0.93333333333333335</v>
      </c>
      <c r="CG1400" s="167">
        <f>$N1400/15</f>
        <v>0.93333333333333335</v>
      </c>
      <c r="CH1400" s="167">
        <f>$N1400/15</f>
        <v>0.93333333333333335</v>
      </c>
      <c r="CI1400" s="167">
        <f>$N1400/15</f>
        <v>0.93333333333333335</v>
      </c>
      <c r="CJ1400" s="167">
        <f>$N1400/15</f>
        <v>0.93333333333333335</v>
      </c>
      <c r="CK1400" s="167">
        <f>$N1400/15</f>
        <v>0.93333333333333335</v>
      </c>
      <c r="CL1400" s="167">
        <f>$N1400/15</f>
        <v>0.93333333333333335</v>
      </c>
      <c r="CM1400" s="167">
        <f>$N1400/15</f>
        <v>0.93333333333333335</v>
      </c>
      <c r="CN1400" s="167">
        <f>$N1400/15</f>
        <v>0.93333333333333335</v>
      </c>
      <c r="CO1400" s="167">
        <f>$N1400/15</f>
        <v>0.93333333333333335</v>
      </c>
      <c r="CP1400" s="167">
        <f>$N1400/15</f>
        <v>0.93333333333333335</v>
      </c>
      <c r="CQ1400" s="167">
        <f>$N1400/15</f>
        <v>0.93333333333333335</v>
      </c>
      <c r="CR1400" s="167">
        <f>$N1400/15</f>
        <v>0.93333333333333335</v>
      </c>
      <c r="CS1400" s="167">
        <f>$N1400/15</f>
        <v>0.93333333333333335</v>
      </c>
      <c r="CT1400" s="167">
        <v>0</v>
      </c>
      <c r="CU1400" s="167">
        <v>0</v>
      </c>
      <c r="CV1400" s="167">
        <v>0</v>
      </c>
      <c r="CW1400" s="167">
        <v>0</v>
      </c>
      <c r="CX1400" s="167">
        <f>SUM(CD1400:CH1400)</f>
        <v>3.7333333333333334</v>
      </c>
      <c r="CY1400" s="167">
        <f>SUM(CD1400:CM1400)</f>
        <v>8.4</v>
      </c>
    </row>
    <row r="1401" spans="1:103" ht="12.75" customHeight="1" x14ac:dyDescent="0.2">
      <c r="A1401" s="81">
        <v>6871</v>
      </c>
      <c r="B1401" s="165" t="s">
        <v>1902</v>
      </c>
      <c r="C1401" s="165" t="s">
        <v>3518</v>
      </c>
      <c r="E1401" s="165" t="s">
        <v>3519</v>
      </c>
      <c r="G1401" s="81">
        <v>526746</v>
      </c>
      <c r="H1401" s="81">
        <v>176345</v>
      </c>
      <c r="I1401" s="165" t="s">
        <v>257</v>
      </c>
      <c r="L1401" s="166">
        <v>0</v>
      </c>
      <c r="M1401" s="166">
        <v>101</v>
      </c>
      <c r="N1401" s="166">
        <v>101</v>
      </c>
      <c r="O1401" s="166">
        <v>151</v>
      </c>
      <c r="P1401" s="166">
        <v>151</v>
      </c>
      <c r="Q1401" s="81" t="s">
        <v>155</v>
      </c>
      <c r="R1401" s="165" t="s">
        <v>1905</v>
      </c>
      <c r="S1401" s="81" t="s">
        <v>1906</v>
      </c>
      <c r="W1401" s="81" t="s">
        <v>114</v>
      </c>
      <c r="Y1401" s="81" t="s">
        <v>115</v>
      </c>
      <c r="Z1401" s="81" t="s">
        <v>116</v>
      </c>
      <c r="AA1401" s="81" t="s">
        <v>116</v>
      </c>
      <c r="AB1401" s="81" t="s">
        <v>117</v>
      </c>
      <c r="AC1401" s="166">
        <v>0</v>
      </c>
      <c r="AG1401" s="81" t="s">
        <v>238</v>
      </c>
      <c r="AH1401" s="81" t="s">
        <v>118</v>
      </c>
      <c r="AI1401" s="81" t="s">
        <v>3520</v>
      </c>
      <c r="AJ1401" s="81">
        <v>17320211</v>
      </c>
      <c r="AK1401" s="166">
        <v>0</v>
      </c>
      <c r="AM1401" s="166">
        <v>0</v>
      </c>
      <c r="AO1401" s="166">
        <v>0</v>
      </c>
      <c r="AP1401" s="166">
        <v>0</v>
      </c>
      <c r="AQ1401" s="166">
        <v>0</v>
      </c>
      <c r="AR1401" s="166">
        <v>0</v>
      </c>
      <c r="AS1401" s="166">
        <v>0</v>
      </c>
      <c r="AT1401" s="166">
        <v>0</v>
      </c>
      <c r="AU1401" s="166">
        <v>101</v>
      </c>
      <c r="AV1401" s="166">
        <v>0</v>
      </c>
      <c r="AW1401" s="166">
        <v>0</v>
      </c>
      <c r="AX1401" s="166">
        <v>0</v>
      </c>
      <c r="AY1401" s="166">
        <v>0</v>
      </c>
      <c r="AZ1401" s="166">
        <v>0</v>
      </c>
      <c r="BA1401" s="166">
        <v>0</v>
      </c>
      <c r="BB1401" s="166">
        <v>101</v>
      </c>
      <c r="BC1401" s="166">
        <v>0</v>
      </c>
      <c r="BD1401" s="166">
        <v>0</v>
      </c>
      <c r="BE1401" s="166">
        <v>0</v>
      </c>
      <c r="BF1401" s="166">
        <v>0</v>
      </c>
      <c r="BG1401" s="166">
        <v>0</v>
      </c>
      <c r="BH1401" s="166">
        <v>0</v>
      </c>
      <c r="BI1401" s="166">
        <v>0</v>
      </c>
      <c r="BJ1401" s="166">
        <v>0</v>
      </c>
      <c r="BK1401" s="166">
        <v>0</v>
      </c>
      <c r="BL1401" s="166">
        <v>0</v>
      </c>
      <c r="BM1401" s="166">
        <v>0</v>
      </c>
      <c r="BN1401" s="166">
        <v>0</v>
      </c>
      <c r="BO1401" s="166">
        <v>0</v>
      </c>
      <c r="BP1401" s="166">
        <v>0</v>
      </c>
      <c r="BQ1401" s="81" t="s">
        <v>1757</v>
      </c>
      <c r="BZ1401" s="81" t="s">
        <v>155</v>
      </c>
      <c r="CA1401" s="81">
        <v>11</v>
      </c>
      <c r="CC1401" s="167">
        <v>0</v>
      </c>
      <c r="CD1401" s="167">
        <v>0</v>
      </c>
      <c r="CE1401" s="167">
        <f>$N1401/15</f>
        <v>6.7333333333333334</v>
      </c>
      <c r="CF1401" s="167">
        <f>$N1401/15</f>
        <v>6.7333333333333334</v>
      </c>
      <c r="CG1401" s="167">
        <f>$N1401/15</f>
        <v>6.7333333333333334</v>
      </c>
      <c r="CH1401" s="167">
        <f>$N1401/15</f>
        <v>6.7333333333333334</v>
      </c>
      <c r="CI1401" s="167">
        <f>$N1401/15</f>
        <v>6.7333333333333334</v>
      </c>
      <c r="CJ1401" s="167">
        <f>$N1401/15</f>
        <v>6.7333333333333334</v>
      </c>
      <c r="CK1401" s="167">
        <f>$N1401/15</f>
        <v>6.7333333333333334</v>
      </c>
      <c r="CL1401" s="167">
        <f>$N1401/15</f>
        <v>6.7333333333333334</v>
      </c>
      <c r="CM1401" s="167">
        <f>$N1401/15</f>
        <v>6.7333333333333334</v>
      </c>
      <c r="CN1401" s="167">
        <f>$N1401/15</f>
        <v>6.7333333333333334</v>
      </c>
      <c r="CO1401" s="167">
        <f>$N1401/15</f>
        <v>6.7333333333333334</v>
      </c>
      <c r="CP1401" s="167">
        <f>$N1401/15</f>
        <v>6.7333333333333334</v>
      </c>
      <c r="CQ1401" s="167">
        <f>$N1401/15</f>
        <v>6.7333333333333334</v>
      </c>
      <c r="CR1401" s="167">
        <f>$N1401/15</f>
        <v>6.7333333333333334</v>
      </c>
      <c r="CS1401" s="167">
        <f>$N1401/15</f>
        <v>6.7333333333333334</v>
      </c>
      <c r="CT1401" s="167">
        <v>0</v>
      </c>
      <c r="CU1401" s="167">
        <v>0</v>
      </c>
      <c r="CV1401" s="167">
        <v>0</v>
      </c>
      <c r="CW1401" s="167">
        <v>0</v>
      </c>
      <c r="CX1401" s="167">
        <f>SUM(CD1401:CH1401)</f>
        <v>26.933333333333334</v>
      </c>
      <c r="CY1401" s="167">
        <f>SUM(CD1401:CM1401)</f>
        <v>60.6</v>
      </c>
    </row>
    <row r="1402" spans="1:103" ht="12.75" customHeight="1" x14ac:dyDescent="0.2">
      <c r="A1402" s="81">
        <v>6871</v>
      </c>
      <c r="B1402" s="165" t="s">
        <v>1902</v>
      </c>
      <c r="C1402" s="165" t="s">
        <v>3518</v>
      </c>
      <c r="E1402" s="165" t="s">
        <v>3519</v>
      </c>
      <c r="G1402" s="81">
        <v>526746</v>
      </c>
      <c r="H1402" s="81">
        <v>176345</v>
      </c>
      <c r="I1402" s="165" t="s">
        <v>257</v>
      </c>
      <c r="L1402" s="166">
        <v>0</v>
      </c>
      <c r="M1402" s="166">
        <v>30</v>
      </c>
      <c r="N1402" s="166">
        <v>30</v>
      </c>
      <c r="O1402" s="166">
        <v>151</v>
      </c>
      <c r="P1402" s="166">
        <v>151</v>
      </c>
      <c r="Q1402" s="81" t="s">
        <v>155</v>
      </c>
      <c r="R1402" s="165" t="s">
        <v>1905</v>
      </c>
      <c r="S1402" s="81" t="s">
        <v>1906</v>
      </c>
      <c r="W1402" s="81" t="s">
        <v>114</v>
      </c>
      <c r="Y1402" s="81" t="s">
        <v>115</v>
      </c>
      <c r="Z1402" s="81" t="s">
        <v>116</v>
      </c>
      <c r="AA1402" s="81" t="s">
        <v>116</v>
      </c>
      <c r="AB1402" s="81" t="s">
        <v>117</v>
      </c>
      <c r="AC1402" s="166">
        <v>0</v>
      </c>
      <c r="AG1402" s="81" t="s">
        <v>154</v>
      </c>
      <c r="AH1402" s="81" t="s">
        <v>276</v>
      </c>
      <c r="AI1402" s="81" t="s">
        <v>3520</v>
      </c>
      <c r="AJ1402" s="81">
        <v>17320211</v>
      </c>
      <c r="AK1402" s="166">
        <v>0</v>
      </c>
      <c r="AM1402" s="166">
        <v>0</v>
      </c>
      <c r="AO1402" s="166">
        <v>0</v>
      </c>
      <c r="AP1402" s="166">
        <v>0</v>
      </c>
      <c r="AQ1402" s="166">
        <v>0</v>
      </c>
      <c r="AR1402" s="166">
        <v>0</v>
      </c>
      <c r="AS1402" s="166">
        <v>0</v>
      </c>
      <c r="AT1402" s="166">
        <v>0</v>
      </c>
      <c r="AU1402" s="166">
        <v>30</v>
      </c>
      <c r="AV1402" s="166">
        <v>0</v>
      </c>
      <c r="AW1402" s="166">
        <v>0</v>
      </c>
      <c r="AX1402" s="166">
        <v>0</v>
      </c>
      <c r="AY1402" s="166">
        <v>0</v>
      </c>
      <c r="AZ1402" s="166">
        <v>0</v>
      </c>
      <c r="BA1402" s="166">
        <v>0</v>
      </c>
      <c r="BB1402" s="166">
        <v>30</v>
      </c>
      <c r="BC1402" s="166">
        <v>0</v>
      </c>
      <c r="BD1402" s="166">
        <v>0</v>
      </c>
      <c r="BE1402" s="166">
        <v>0</v>
      </c>
      <c r="BF1402" s="166">
        <v>0</v>
      </c>
      <c r="BG1402" s="166">
        <v>0</v>
      </c>
      <c r="BH1402" s="166">
        <v>0</v>
      </c>
      <c r="BI1402" s="166">
        <v>0</v>
      </c>
      <c r="BJ1402" s="166">
        <v>0</v>
      </c>
      <c r="BK1402" s="166">
        <v>0</v>
      </c>
      <c r="BL1402" s="166">
        <v>0</v>
      </c>
      <c r="BM1402" s="166">
        <v>0</v>
      </c>
      <c r="BN1402" s="166">
        <v>0</v>
      </c>
      <c r="BO1402" s="166">
        <v>0</v>
      </c>
      <c r="BP1402" s="166">
        <v>0</v>
      </c>
      <c r="BQ1402" s="81" t="s">
        <v>1757</v>
      </c>
      <c r="BZ1402" s="81" t="s">
        <v>155</v>
      </c>
      <c r="CA1402" s="81">
        <v>11</v>
      </c>
      <c r="CC1402" s="167">
        <v>0</v>
      </c>
      <c r="CD1402" s="167">
        <v>0</v>
      </c>
      <c r="CE1402" s="167">
        <f>$N1402/15</f>
        <v>2</v>
      </c>
      <c r="CF1402" s="167">
        <f>$N1402/15</f>
        <v>2</v>
      </c>
      <c r="CG1402" s="167">
        <f>$N1402/15</f>
        <v>2</v>
      </c>
      <c r="CH1402" s="167">
        <f>$N1402/15</f>
        <v>2</v>
      </c>
      <c r="CI1402" s="167">
        <f>$N1402/15</f>
        <v>2</v>
      </c>
      <c r="CJ1402" s="167">
        <f>$N1402/15</f>
        <v>2</v>
      </c>
      <c r="CK1402" s="167">
        <f>$N1402/15</f>
        <v>2</v>
      </c>
      <c r="CL1402" s="167">
        <f>$N1402/15</f>
        <v>2</v>
      </c>
      <c r="CM1402" s="167">
        <f>$N1402/15</f>
        <v>2</v>
      </c>
      <c r="CN1402" s="167">
        <f>$N1402/15</f>
        <v>2</v>
      </c>
      <c r="CO1402" s="167">
        <f>$N1402/15</f>
        <v>2</v>
      </c>
      <c r="CP1402" s="167">
        <f>$N1402/15</f>
        <v>2</v>
      </c>
      <c r="CQ1402" s="167">
        <f>$N1402/15</f>
        <v>2</v>
      </c>
      <c r="CR1402" s="167">
        <f>$N1402/15</f>
        <v>2</v>
      </c>
      <c r="CS1402" s="167">
        <f>$N1402/15</f>
        <v>2</v>
      </c>
      <c r="CT1402" s="167">
        <v>0</v>
      </c>
      <c r="CU1402" s="167">
        <v>0</v>
      </c>
      <c r="CV1402" s="167">
        <v>0</v>
      </c>
      <c r="CW1402" s="167">
        <v>0</v>
      </c>
      <c r="CX1402" s="167">
        <f>SUM(CD1402:CH1402)</f>
        <v>8</v>
      </c>
      <c r="CY1402" s="167">
        <f>SUM(CD1402:CM1402)</f>
        <v>18</v>
      </c>
    </row>
    <row r="1403" spans="1:103" ht="12.75" customHeight="1" x14ac:dyDescent="0.2">
      <c r="A1403" s="81">
        <v>6871</v>
      </c>
      <c r="B1403" s="165" t="s">
        <v>1902</v>
      </c>
      <c r="C1403" s="165" t="s">
        <v>3518</v>
      </c>
      <c r="E1403" s="165" t="s">
        <v>3519</v>
      </c>
      <c r="G1403" s="81">
        <v>526746</v>
      </c>
      <c r="H1403" s="81">
        <v>176345</v>
      </c>
      <c r="I1403" s="165" t="s">
        <v>257</v>
      </c>
      <c r="L1403" s="166">
        <v>0</v>
      </c>
      <c r="M1403" s="166">
        <v>20</v>
      </c>
      <c r="N1403" s="166">
        <v>20</v>
      </c>
      <c r="O1403" s="166">
        <v>151</v>
      </c>
      <c r="P1403" s="166">
        <v>151</v>
      </c>
      <c r="Q1403" s="81" t="s">
        <v>155</v>
      </c>
      <c r="R1403" s="165" t="s">
        <v>1905</v>
      </c>
      <c r="S1403" s="81" t="s">
        <v>1906</v>
      </c>
      <c r="W1403" s="81" t="s">
        <v>114</v>
      </c>
      <c r="Y1403" s="81" t="s">
        <v>115</v>
      </c>
      <c r="Z1403" s="81" t="s">
        <v>116</v>
      </c>
      <c r="AA1403" s="81" t="s">
        <v>116</v>
      </c>
      <c r="AB1403" s="81" t="s">
        <v>117</v>
      </c>
      <c r="AC1403" s="166">
        <v>0</v>
      </c>
      <c r="AG1403" s="81" t="s">
        <v>74</v>
      </c>
      <c r="AH1403" s="81" t="s">
        <v>990</v>
      </c>
      <c r="AI1403" s="81" t="s">
        <v>3520</v>
      </c>
      <c r="AJ1403" s="81">
        <v>17320211</v>
      </c>
      <c r="AK1403" s="166">
        <v>0</v>
      </c>
      <c r="AM1403" s="166">
        <v>0</v>
      </c>
      <c r="AO1403" s="166">
        <v>0</v>
      </c>
      <c r="AP1403" s="166">
        <v>0</v>
      </c>
      <c r="AQ1403" s="166">
        <v>0</v>
      </c>
      <c r="AR1403" s="166">
        <v>0</v>
      </c>
      <c r="AS1403" s="166">
        <v>0</v>
      </c>
      <c r="AT1403" s="166">
        <v>0</v>
      </c>
      <c r="AU1403" s="166">
        <v>20</v>
      </c>
      <c r="AV1403" s="166">
        <v>0</v>
      </c>
      <c r="AW1403" s="166">
        <v>0</v>
      </c>
      <c r="AX1403" s="166">
        <v>0</v>
      </c>
      <c r="AY1403" s="166">
        <v>0</v>
      </c>
      <c r="AZ1403" s="166">
        <v>0</v>
      </c>
      <c r="BA1403" s="166">
        <v>0</v>
      </c>
      <c r="BB1403" s="166">
        <v>20</v>
      </c>
      <c r="BC1403" s="166">
        <v>0</v>
      </c>
      <c r="BD1403" s="166">
        <v>0</v>
      </c>
      <c r="BE1403" s="166">
        <v>0</v>
      </c>
      <c r="BF1403" s="166">
        <v>0</v>
      </c>
      <c r="BG1403" s="166">
        <v>0</v>
      </c>
      <c r="BH1403" s="166">
        <v>0</v>
      </c>
      <c r="BI1403" s="166">
        <v>0</v>
      </c>
      <c r="BJ1403" s="166">
        <v>0</v>
      </c>
      <c r="BK1403" s="166">
        <v>0</v>
      </c>
      <c r="BL1403" s="166">
        <v>0</v>
      </c>
      <c r="BM1403" s="166">
        <v>0</v>
      </c>
      <c r="BN1403" s="166">
        <v>0</v>
      </c>
      <c r="BO1403" s="166">
        <v>0</v>
      </c>
      <c r="BP1403" s="166">
        <v>0</v>
      </c>
      <c r="BQ1403" s="81" t="s">
        <v>1757</v>
      </c>
      <c r="BZ1403" s="81" t="s">
        <v>155</v>
      </c>
      <c r="CA1403" s="81">
        <v>11</v>
      </c>
      <c r="CC1403" s="167">
        <v>0</v>
      </c>
      <c r="CD1403" s="167">
        <v>0</v>
      </c>
      <c r="CE1403" s="167">
        <f>$N1403/15</f>
        <v>1.3333333333333333</v>
      </c>
      <c r="CF1403" s="167">
        <f>$N1403/15</f>
        <v>1.3333333333333333</v>
      </c>
      <c r="CG1403" s="167">
        <f>$N1403/15</f>
        <v>1.3333333333333333</v>
      </c>
      <c r="CH1403" s="167">
        <f>$N1403/15</f>
        <v>1.3333333333333333</v>
      </c>
      <c r="CI1403" s="167">
        <f>$N1403/15</f>
        <v>1.3333333333333333</v>
      </c>
      <c r="CJ1403" s="167">
        <f>$N1403/15</f>
        <v>1.3333333333333333</v>
      </c>
      <c r="CK1403" s="167">
        <f>$N1403/15</f>
        <v>1.3333333333333333</v>
      </c>
      <c r="CL1403" s="167">
        <f>$N1403/15</f>
        <v>1.3333333333333333</v>
      </c>
      <c r="CM1403" s="167">
        <f>$N1403/15</f>
        <v>1.3333333333333333</v>
      </c>
      <c r="CN1403" s="167">
        <f>$N1403/15</f>
        <v>1.3333333333333333</v>
      </c>
      <c r="CO1403" s="167">
        <f>$N1403/15</f>
        <v>1.3333333333333333</v>
      </c>
      <c r="CP1403" s="167">
        <f>$N1403/15</f>
        <v>1.3333333333333333</v>
      </c>
      <c r="CQ1403" s="167">
        <f>$N1403/15</f>
        <v>1.3333333333333333</v>
      </c>
      <c r="CR1403" s="167">
        <f>$N1403/15</f>
        <v>1.3333333333333333</v>
      </c>
      <c r="CS1403" s="167">
        <f>$N1403/15</f>
        <v>1.3333333333333333</v>
      </c>
      <c r="CT1403" s="167">
        <v>0</v>
      </c>
      <c r="CU1403" s="167">
        <v>0</v>
      </c>
      <c r="CV1403" s="167">
        <v>0</v>
      </c>
      <c r="CW1403" s="167">
        <v>0</v>
      </c>
      <c r="CX1403" s="167">
        <f>SUM(CD1403:CH1403)</f>
        <v>5.333333333333333</v>
      </c>
      <c r="CY1403" s="167">
        <f>SUM(CD1403:CM1403)</f>
        <v>12</v>
      </c>
    </row>
    <row r="1404" spans="1:103" ht="12.75" customHeight="1" x14ac:dyDescent="0.2">
      <c r="A1404" s="81">
        <v>6872</v>
      </c>
      <c r="B1404" s="165" t="s">
        <v>1902</v>
      </c>
      <c r="C1404" s="165" t="s">
        <v>1984</v>
      </c>
      <c r="E1404" s="165" t="s">
        <v>1985</v>
      </c>
      <c r="G1404" s="81">
        <v>526497</v>
      </c>
      <c r="H1404" s="81">
        <v>175661</v>
      </c>
      <c r="I1404" s="165" t="s">
        <v>257</v>
      </c>
      <c r="L1404" s="166">
        <v>0</v>
      </c>
      <c r="M1404" s="166">
        <v>3</v>
      </c>
      <c r="N1404" s="166">
        <v>3</v>
      </c>
      <c r="O1404" s="166">
        <v>3</v>
      </c>
      <c r="P1404" s="166">
        <v>3</v>
      </c>
      <c r="R1404" s="165" t="s">
        <v>1905</v>
      </c>
      <c r="S1404" s="81" t="s">
        <v>1906</v>
      </c>
      <c r="W1404" s="81" t="s">
        <v>114</v>
      </c>
      <c r="Y1404" s="81" t="s">
        <v>115</v>
      </c>
      <c r="Z1404" s="81" t="s">
        <v>116</v>
      </c>
      <c r="AA1404" s="81" t="s">
        <v>117</v>
      </c>
      <c r="AB1404" s="81" t="s">
        <v>218</v>
      </c>
      <c r="AC1404" s="166">
        <v>0</v>
      </c>
      <c r="AG1404" s="81" t="s">
        <v>238</v>
      </c>
      <c r="AH1404" s="81" t="s">
        <v>118</v>
      </c>
      <c r="AI1404" s="81" t="s">
        <v>1986</v>
      </c>
      <c r="AJ1404" s="81">
        <v>17320342</v>
      </c>
      <c r="AK1404" s="166">
        <v>0</v>
      </c>
      <c r="AM1404" s="166">
        <v>0</v>
      </c>
      <c r="AO1404" s="166">
        <v>0</v>
      </c>
      <c r="AP1404" s="166">
        <v>0</v>
      </c>
      <c r="AQ1404" s="166">
        <v>0</v>
      </c>
      <c r="AR1404" s="166">
        <v>0</v>
      </c>
      <c r="AS1404" s="166">
        <v>0</v>
      </c>
      <c r="AT1404" s="166">
        <v>0</v>
      </c>
      <c r="AU1404" s="166">
        <v>3</v>
      </c>
      <c r="AV1404" s="166">
        <v>0</v>
      </c>
      <c r="AW1404" s="166">
        <v>0</v>
      </c>
      <c r="AX1404" s="166">
        <v>0</v>
      </c>
      <c r="AY1404" s="166">
        <v>0</v>
      </c>
      <c r="AZ1404" s="166">
        <v>0</v>
      </c>
      <c r="BA1404" s="166">
        <v>0</v>
      </c>
      <c r="BB1404" s="166">
        <v>3</v>
      </c>
      <c r="BC1404" s="166">
        <v>0</v>
      </c>
      <c r="BD1404" s="166">
        <v>0</v>
      </c>
      <c r="BE1404" s="166">
        <v>0</v>
      </c>
      <c r="BF1404" s="166">
        <v>0</v>
      </c>
      <c r="BG1404" s="166">
        <v>0</v>
      </c>
      <c r="BH1404" s="166">
        <v>0</v>
      </c>
      <c r="BI1404" s="166">
        <v>0</v>
      </c>
      <c r="BJ1404" s="166">
        <v>0</v>
      </c>
      <c r="BK1404" s="166">
        <v>0</v>
      </c>
      <c r="BL1404" s="166">
        <v>0</v>
      </c>
      <c r="BM1404" s="166">
        <v>0</v>
      </c>
      <c r="BN1404" s="166">
        <v>0</v>
      </c>
      <c r="BO1404" s="166">
        <v>0</v>
      </c>
      <c r="BP1404" s="166">
        <v>0</v>
      </c>
      <c r="BQ1404" s="81" t="s">
        <v>1757</v>
      </c>
      <c r="BX1404" s="81" t="s">
        <v>155</v>
      </c>
      <c r="BZ1404" s="81" t="s">
        <v>155</v>
      </c>
      <c r="CA1404" s="81">
        <v>11</v>
      </c>
      <c r="CC1404" s="167">
        <v>0</v>
      </c>
      <c r="CD1404" s="167">
        <v>0</v>
      </c>
      <c r="CE1404" s="167">
        <v>0</v>
      </c>
      <c r="CF1404" s="167">
        <v>0</v>
      </c>
      <c r="CG1404" s="167">
        <v>0</v>
      </c>
      <c r="CH1404" s="167">
        <v>0</v>
      </c>
      <c r="CI1404" s="167">
        <v>0</v>
      </c>
      <c r="CJ1404" s="167">
        <v>0</v>
      </c>
      <c r="CK1404" s="167">
        <v>0</v>
      </c>
      <c r="CL1404" s="167">
        <v>0</v>
      </c>
      <c r="CM1404" s="167">
        <v>0</v>
      </c>
      <c r="CN1404" s="167">
        <v>0</v>
      </c>
      <c r="CO1404" s="167">
        <f>$N1404/12</f>
        <v>0.25</v>
      </c>
      <c r="CP1404" s="167">
        <f>$N1404/12</f>
        <v>0.25</v>
      </c>
      <c r="CQ1404" s="167">
        <f>$N1404/12</f>
        <v>0.25</v>
      </c>
      <c r="CR1404" s="167">
        <f>$N1404/12</f>
        <v>0.25</v>
      </c>
      <c r="CS1404" s="167">
        <f>$N1404/12</f>
        <v>0.25</v>
      </c>
      <c r="CT1404" s="167">
        <f>$N1404/12</f>
        <v>0.25</v>
      </c>
      <c r="CU1404" s="167">
        <f>$N1404/12</f>
        <v>0.25</v>
      </c>
      <c r="CV1404" s="167">
        <f>$N1404/12</f>
        <v>0.25</v>
      </c>
      <c r="CW1404" s="167">
        <f>$N1404/12</f>
        <v>0.25</v>
      </c>
      <c r="CX1404" s="167">
        <f>SUM(CD1404:CH1404)</f>
        <v>0</v>
      </c>
      <c r="CY1404" s="167">
        <f>SUM(CD1404:CM1404)</f>
        <v>0</v>
      </c>
    </row>
    <row r="1405" spans="1:103" ht="12.75" customHeight="1" x14ac:dyDescent="0.2">
      <c r="A1405" s="81">
        <v>6873</v>
      </c>
      <c r="B1405" s="165" t="s">
        <v>1902</v>
      </c>
      <c r="C1405" s="165" t="s">
        <v>3521</v>
      </c>
      <c r="E1405" s="165" t="s">
        <v>1754</v>
      </c>
      <c r="G1405" s="81">
        <v>526409</v>
      </c>
      <c r="H1405" s="81">
        <v>175595</v>
      </c>
      <c r="I1405" s="165" t="s">
        <v>257</v>
      </c>
      <c r="L1405" s="166">
        <v>0</v>
      </c>
      <c r="M1405" s="166">
        <v>30</v>
      </c>
      <c r="N1405" s="166">
        <v>30</v>
      </c>
      <c r="O1405" s="166">
        <v>45</v>
      </c>
      <c r="P1405" s="166">
        <v>45</v>
      </c>
      <c r="Q1405" s="81" t="s">
        <v>155</v>
      </c>
      <c r="R1405" s="165" t="s">
        <v>1905</v>
      </c>
      <c r="S1405" s="81" t="s">
        <v>1906</v>
      </c>
      <c r="W1405" s="81" t="s">
        <v>114</v>
      </c>
      <c r="Y1405" s="81" t="s">
        <v>115</v>
      </c>
      <c r="Z1405" s="81" t="s">
        <v>116</v>
      </c>
      <c r="AA1405" s="81" t="s">
        <v>116</v>
      </c>
      <c r="AB1405" s="81" t="s">
        <v>117</v>
      </c>
      <c r="AC1405" s="166">
        <v>0</v>
      </c>
      <c r="AG1405" s="81" t="s">
        <v>238</v>
      </c>
      <c r="AH1405" s="81" t="s">
        <v>118</v>
      </c>
      <c r="AI1405" s="81" t="s">
        <v>2596</v>
      </c>
      <c r="AJ1405" s="81">
        <v>17320215</v>
      </c>
      <c r="AK1405" s="166">
        <v>0</v>
      </c>
      <c r="AM1405" s="166">
        <v>0</v>
      </c>
      <c r="AO1405" s="166">
        <v>0</v>
      </c>
      <c r="AP1405" s="166">
        <v>0</v>
      </c>
      <c r="AQ1405" s="166">
        <v>0</v>
      </c>
      <c r="AR1405" s="166">
        <v>0</v>
      </c>
      <c r="AS1405" s="166">
        <v>0</v>
      </c>
      <c r="AT1405" s="166">
        <v>0</v>
      </c>
      <c r="AU1405" s="166">
        <v>30</v>
      </c>
      <c r="AV1405" s="166">
        <v>0</v>
      </c>
      <c r="AW1405" s="166">
        <v>0</v>
      </c>
      <c r="AX1405" s="166">
        <v>0</v>
      </c>
      <c r="AY1405" s="166">
        <v>0</v>
      </c>
      <c r="AZ1405" s="166">
        <v>0</v>
      </c>
      <c r="BA1405" s="166">
        <v>0</v>
      </c>
      <c r="BB1405" s="166">
        <v>30</v>
      </c>
      <c r="BC1405" s="166">
        <v>0</v>
      </c>
      <c r="BD1405" s="166">
        <v>0</v>
      </c>
      <c r="BE1405" s="166">
        <v>0</v>
      </c>
      <c r="BF1405" s="166">
        <v>0</v>
      </c>
      <c r="BG1405" s="166">
        <v>0</v>
      </c>
      <c r="BH1405" s="166">
        <v>0</v>
      </c>
      <c r="BI1405" s="166">
        <v>0</v>
      </c>
      <c r="BJ1405" s="166">
        <v>0</v>
      </c>
      <c r="BK1405" s="166">
        <v>0</v>
      </c>
      <c r="BL1405" s="166">
        <v>0</v>
      </c>
      <c r="BM1405" s="166">
        <v>0</v>
      </c>
      <c r="BN1405" s="166">
        <v>0</v>
      </c>
      <c r="BO1405" s="166">
        <v>0</v>
      </c>
      <c r="BP1405" s="166">
        <v>0</v>
      </c>
      <c r="BQ1405" s="81" t="s">
        <v>1757</v>
      </c>
      <c r="BX1405" s="81" t="s">
        <v>155</v>
      </c>
      <c r="BZ1405" s="81" t="s">
        <v>155</v>
      </c>
      <c r="CA1405" s="81">
        <v>11</v>
      </c>
      <c r="CC1405" s="167">
        <v>0</v>
      </c>
      <c r="CD1405" s="167">
        <v>0</v>
      </c>
      <c r="CE1405" s="167">
        <v>0</v>
      </c>
      <c r="CF1405" s="167">
        <v>0</v>
      </c>
      <c r="CG1405" s="167">
        <v>0</v>
      </c>
      <c r="CH1405" s="167">
        <v>0</v>
      </c>
      <c r="CI1405" s="167">
        <v>0</v>
      </c>
      <c r="CJ1405" s="167">
        <f>$N1405/17</f>
        <v>1.7647058823529411</v>
      </c>
      <c r="CK1405" s="167">
        <f>$N1405/17</f>
        <v>1.7647058823529411</v>
      </c>
      <c r="CL1405" s="167">
        <f>$N1405/17</f>
        <v>1.7647058823529411</v>
      </c>
      <c r="CM1405" s="167">
        <f>$N1405/17</f>
        <v>1.7647058823529411</v>
      </c>
      <c r="CN1405" s="167">
        <f>$N1405/17</f>
        <v>1.7647058823529411</v>
      </c>
      <c r="CO1405" s="167">
        <f>$N1405/17</f>
        <v>1.7647058823529411</v>
      </c>
      <c r="CP1405" s="167">
        <f>$N1405/17</f>
        <v>1.7647058823529411</v>
      </c>
      <c r="CQ1405" s="167">
        <f>$N1405/17</f>
        <v>1.7647058823529411</v>
      </c>
      <c r="CR1405" s="167">
        <f>$N1405/17</f>
        <v>1.7647058823529411</v>
      </c>
      <c r="CS1405" s="167">
        <f>$N1405/17</f>
        <v>1.7647058823529411</v>
      </c>
      <c r="CT1405" s="167">
        <f>$N1405/17</f>
        <v>1.7647058823529411</v>
      </c>
      <c r="CU1405" s="167">
        <f>$N1405/17</f>
        <v>1.7647058823529411</v>
      </c>
      <c r="CV1405" s="167">
        <f>$N1405/17</f>
        <v>1.7647058823529411</v>
      </c>
      <c r="CW1405" s="167">
        <f>$N1405/17</f>
        <v>1.7647058823529411</v>
      </c>
      <c r="CX1405" s="167">
        <f>SUM(CD1405:CH1405)</f>
        <v>0</v>
      </c>
      <c r="CY1405" s="167">
        <f>SUM(CD1405:CM1405)</f>
        <v>7.0588235294117645</v>
      </c>
    </row>
    <row r="1406" spans="1:103" ht="12.75" customHeight="1" x14ac:dyDescent="0.2">
      <c r="A1406" s="81">
        <v>6873</v>
      </c>
      <c r="B1406" s="165" t="s">
        <v>1902</v>
      </c>
      <c r="C1406" s="165" t="s">
        <v>3521</v>
      </c>
      <c r="E1406" s="165" t="s">
        <v>1754</v>
      </c>
      <c r="G1406" s="81">
        <v>526409</v>
      </c>
      <c r="H1406" s="81">
        <v>175595</v>
      </c>
      <c r="I1406" s="165" t="s">
        <v>257</v>
      </c>
      <c r="L1406" s="166">
        <v>0</v>
      </c>
      <c r="M1406" s="166">
        <v>9</v>
      </c>
      <c r="N1406" s="166">
        <v>9</v>
      </c>
      <c r="O1406" s="166">
        <v>45</v>
      </c>
      <c r="P1406" s="166">
        <v>45</v>
      </c>
      <c r="Q1406" s="81" t="s">
        <v>155</v>
      </c>
      <c r="R1406" s="165" t="s">
        <v>1905</v>
      </c>
      <c r="S1406" s="81" t="s">
        <v>1906</v>
      </c>
      <c r="W1406" s="81" t="s">
        <v>114</v>
      </c>
      <c r="Y1406" s="81" t="s">
        <v>115</v>
      </c>
      <c r="Z1406" s="81" t="s">
        <v>116</v>
      </c>
      <c r="AA1406" s="81" t="s">
        <v>117</v>
      </c>
      <c r="AB1406" s="81" t="s">
        <v>218</v>
      </c>
      <c r="AC1406" s="166">
        <v>0</v>
      </c>
      <c r="AG1406" s="81" t="s">
        <v>154</v>
      </c>
      <c r="AH1406" s="81" t="s">
        <v>276</v>
      </c>
      <c r="AI1406" s="81" t="s">
        <v>2596</v>
      </c>
      <c r="AJ1406" s="81">
        <v>17320215</v>
      </c>
      <c r="AK1406" s="166">
        <v>0</v>
      </c>
      <c r="AM1406" s="166">
        <v>0</v>
      </c>
      <c r="AO1406" s="166">
        <v>0</v>
      </c>
      <c r="AP1406" s="166">
        <v>0</v>
      </c>
      <c r="AQ1406" s="166">
        <v>0</v>
      </c>
      <c r="AR1406" s="166">
        <v>0</v>
      </c>
      <c r="AS1406" s="166">
        <v>0</v>
      </c>
      <c r="AT1406" s="166">
        <v>0</v>
      </c>
      <c r="AU1406" s="166">
        <v>9</v>
      </c>
      <c r="AV1406" s="166">
        <v>0</v>
      </c>
      <c r="AW1406" s="166">
        <v>0</v>
      </c>
      <c r="AX1406" s="166">
        <v>0</v>
      </c>
      <c r="AY1406" s="166">
        <v>0</v>
      </c>
      <c r="AZ1406" s="166">
        <v>0</v>
      </c>
      <c r="BA1406" s="166">
        <v>0</v>
      </c>
      <c r="BB1406" s="166">
        <v>9</v>
      </c>
      <c r="BC1406" s="166">
        <v>0</v>
      </c>
      <c r="BD1406" s="166">
        <v>0</v>
      </c>
      <c r="BE1406" s="166">
        <v>0</v>
      </c>
      <c r="BF1406" s="166">
        <v>0</v>
      </c>
      <c r="BG1406" s="166">
        <v>0</v>
      </c>
      <c r="BH1406" s="166">
        <v>0</v>
      </c>
      <c r="BI1406" s="166">
        <v>0</v>
      </c>
      <c r="BJ1406" s="166">
        <v>0</v>
      </c>
      <c r="BK1406" s="166">
        <v>0</v>
      </c>
      <c r="BL1406" s="166">
        <v>0</v>
      </c>
      <c r="BM1406" s="166">
        <v>0</v>
      </c>
      <c r="BN1406" s="166">
        <v>0</v>
      </c>
      <c r="BO1406" s="166">
        <v>0</v>
      </c>
      <c r="BP1406" s="166">
        <v>0</v>
      </c>
      <c r="BQ1406" s="81" t="s">
        <v>1757</v>
      </c>
      <c r="BX1406" s="81" t="s">
        <v>155</v>
      </c>
      <c r="BZ1406" s="81" t="s">
        <v>155</v>
      </c>
      <c r="CA1406" s="81">
        <v>11</v>
      </c>
      <c r="CC1406" s="167">
        <v>0</v>
      </c>
      <c r="CD1406" s="167">
        <v>0</v>
      </c>
      <c r="CE1406" s="167">
        <v>0</v>
      </c>
      <c r="CF1406" s="167">
        <v>0</v>
      </c>
      <c r="CG1406" s="167">
        <v>0</v>
      </c>
      <c r="CH1406" s="167">
        <v>0</v>
      </c>
      <c r="CI1406" s="167">
        <v>0</v>
      </c>
      <c r="CJ1406" s="167">
        <f>$N1406/17</f>
        <v>0.52941176470588236</v>
      </c>
      <c r="CK1406" s="167">
        <f>$N1406/17</f>
        <v>0.52941176470588236</v>
      </c>
      <c r="CL1406" s="167">
        <f>$N1406/17</f>
        <v>0.52941176470588236</v>
      </c>
      <c r="CM1406" s="167">
        <f>$N1406/17</f>
        <v>0.52941176470588236</v>
      </c>
      <c r="CN1406" s="167">
        <f>$N1406/17</f>
        <v>0.52941176470588236</v>
      </c>
      <c r="CO1406" s="167">
        <f>$N1406/17</f>
        <v>0.52941176470588236</v>
      </c>
      <c r="CP1406" s="167">
        <f>$N1406/17</f>
        <v>0.52941176470588236</v>
      </c>
      <c r="CQ1406" s="167">
        <f>$N1406/17</f>
        <v>0.52941176470588236</v>
      </c>
      <c r="CR1406" s="167">
        <f>$N1406/17</f>
        <v>0.52941176470588236</v>
      </c>
      <c r="CS1406" s="167">
        <f>$N1406/17</f>
        <v>0.52941176470588236</v>
      </c>
      <c r="CT1406" s="167">
        <f>$N1406/17</f>
        <v>0.52941176470588236</v>
      </c>
      <c r="CU1406" s="167">
        <f>$N1406/17</f>
        <v>0.52941176470588236</v>
      </c>
      <c r="CV1406" s="167">
        <f>$N1406/17</f>
        <v>0.52941176470588236</v>
      </c>
      <c r="CW1406" s="167">
        <f>$N1406/17</f>
        <v>0.52941176470588236</v>
      </c>
      <c r="CX1406" s="167">
        <f>SUM(CD1406:CH1406)</f>
        <v>0</v>
      </c>
      <c r="CY1406" s="167">
        <f>SUM(CD1406:CM1406)</f>
        <v>2.1176470588235294</v>
      </c>
    </row>
    <row r="1407" spans="1:103" ht="12.75" customHeight="1" x14ac:dyDescent="0.2">
      <c r="A1407" s="81">
        <v>6873</v>
      </c>
      <c r="B1407" s="165" t="s">
        <v>1902</v>
      </c>
      <c r="C1407" s="165" t="s">
        <v>3521</v>
      </c>
      <c r="E1407" s="165" t="s">
        <v>1754</v>
      </c>
      <c r="G1407" s="81">
        <v>526409</v>
      </c>
      <c r="H1407" s="81">
        <v>175595</v>
      </c>
      <c r="I1407" s="165" t="s">
        <v>257</v>
      </c>
      <c r="L1407" s="166">
        <v>0</v>
      </c>
      <c r="M1407" s="166">
        <v>6</v>
      </c>
      <c r="N1407" s="166">
        <v>6</v>
      </c>
      <c r="O1407" s="166">
        <v>45</v>
      </c>
      <c r="P1407" s="166">
        <v>45</v>
      </c>
      <c r="Q1407" s="81" t="s">
        <v>155</v>
      </c>
      <c r="R1407" s="165" t="s">
        <v>1905</v>
      </c>
      <c r="S1407" s="81" t="s">
        <v>1906</v>
      </c>
      <c r="W1407" s="81" t="s">
        <v>114</v>
      </c>
      <c r="Y1407" s="81" t="s">
        <v>115</v>
      </c>
      <c r="Z1407" s="81" t="s">
        <v>116</v>
      </c>
      <c r="AA1407" s="81" t="s">
        <v>117</v>
      </c>
      <c r="AB1407" s="81" t="s">
        <v>218</v>
      </c>
      <c r="AC1407" s="166">
        <v>0</v>
      </c>
      <c r="AG1407" s="81" t="s">
        <v>74</v>
      </c>
      <c r="AH1407" s="81" t="s">
        <v>990</v>
      </c>
      <c r="AI1407" s="81" t="s">
        <v>2596</v>
      </c>
      <c r="AJ1407" s="81">
        <v>17320215</v>
      </c>
      <c r="AK1407" s="166">
        <v>0</v>
      </c>
      <c r="AM1407" s="166">
        <v>0</v>
      </c>
      <c r="AO1407" s="166">
        <v>0</v>
      </c>
      <c r="AP1407" s="166">
        <v>0</v>
      </c>
      <c r="AQ1407" s="166">
        <v>0</v>
      </c>
      <c r="AR1407" s="166">
        <v>0</v>
      </c>
      <c r="AS1407" s="166">
        <v>0</v>
      </c>
      <c r="AT1407" s="166">
        <v>0</v>
      </c>
      <c r="AU1407" s="166">
        <v>6</v>
      </c>
      <c r="AV1407" s="166">
        <v>0</v>
      </c>
      <c r="AW1407" s="166">
        <v>0</v>
      </c>
      <c r="AX1407" s="166">
        <v>0</v>
      </c>
      <c r="AY1407" s="166">
        <v>0</v>
      </c>
      <c r="AZ1407" s="166">
        <v>0</v>
      </c>
      <c r="BA1407" s="166">
        <v>0</v>
      </c>
      <c r="BB1407" s="166">
        <v>6</v>
      </c>
      <c r="BC1407" s="166">
        <v>0</v>
      </c>
      <c r="BD1407" s="166">
        <v>0</v>
      </c>
      <c r="BE1407" s="166">
        <v>0</v>
      </c>
      <c r="BF1407" s="166">
        <v>0</v>
      </c>
      <c r="BG1407" s="166">
        <v>0</v>
      </c>
      <c r="BH1407" s="166">
        <v>0</v>
      </c>
      <c r="BI1407" s="166">
        <v>0</v>
      </c>
      <c r="BJ1407" s="166">
        <v>0</v>
      </c>
      <c r="BK1407" s="166">
        <v>0</v>
      </c>
      <c r="BL1407" s="166">
        <v>0</v>
      </c>
      <c r="BM1407" s="166">
        <v>0</v>
      </c>
      <c r="BN1407" s="166">
        <v>0</v>
      </c>
      <c r="BO1407" s="166">
        <v>0</v>
      </c>
      <c r="BP1407" s="166">
        <v>0</v>
      </c>
      <c r="BQ1407" s="81" t="s">
        <v>1757</v>
      </c>
      <c r="BX1407" s="81" t="s">
        <v>155</v>
      </c>
      <c r="BZ1407" s="81" t="s">
        <v>155</v>
      </c>
      <c r="CA1407" s="81">
        <v>11</v>
      </c>
      <c r="CC1407" s="167">
        <v>0</v>
      </c>
      <c r="CD1407" s="167">
        <v>0</v>
      </c>
      <c r="CE1407" s="167">
        <v>0</v>
      </c>
      <c r="CF1407" s="167">
        <v>0</v>
      </c>
      <c r="CG1407" s="167">
        <v>0</v>
      </c>
      <c r="CH1407" s="167">
        <v>0</v>
      </c>
      <c r="CI1407" s="167">
        <v>0</v>
      </c>
      <c r="CJ1407" s="167">
        <f>$N1407/17</f>
        <v>0.35294117647058826</v>
      </c>
      <c r="CK1407" s="167">
        <f>$N1407/17</f>
        <v>0.35294117647058826</v>
      </c>
      <c r="CL1407" s="167">
        <f>$N1407/17</f>
        <v>0.35294117647058826</v>
      </c>
      <c r="CM1407" s="167">
        <f>$N1407/17</f>
        <v>0.35294117647058826</v>
      </c>
      <c r="CN1407" s="167">
        <f>$N1407/17</f>
        <v>0.35294117647058826</v>
      </c>
      <c r="CO1407" s="167">
        <f>$N1407/17</f>
        <v>0.35294117647058826</v>
      </c>
      <c r="CP1407" s="167">
        <f>$N1407/17</f>
        <v>0.35294117647058826</v>
      </c>
      <c r="CQ1407" s="167">
        <f>$N1407/17</f>
        <v>0.35294117647058826</v>
      </c>
      <c r="CR1407" s="167">
        <f>$N1407/17</f>
        <v>0.35294117647058826</v>
      </c>
      <c r="CS1407" s="167">
        <f>$N1407/17</f>
        <v>0.35294117647058826</v>
      </c>
      <c r="CT1407" s="167">
        <f>$N1407/17</f>
        <v>0.35294117647058826</v>
      </c>
      <c r="CU1407" s="167">
        <f>$N1407/17</f>
        <v>0.35294117647058826</v>
      </c>
      <c r="CV1407" s="167">
        <f>$N1407/17</f>
        <v>0.35294117647058826</v>
      </c>
      <c r="CW1407" s="167">
        <f>$N1407/17</f>
        <v>0.35294117647058826</v>
      </c>
      <c r="CX1407" s="167">
        <f>SUM(CD1407:CH1407)</f>
        <v>0</v>
      </c>
      <c r="CY1407" s="167">
        <f>SUM(CD1407:CM1407)</f>
        <v>1.411764705882353</v>
      </c>
    </row>
    <row r="1408" spans="1:103" ht="12.75" customHeight="1" x14ac:dyDescent="0.2">
      <c r="A1408" s="81">
        <v>6874</v>
      </c>
      <c r="B1408" s="165" t="s">
        <v>1902</v>
      </c>
      <c r="C1408" s="165" t="s">
        <v>3522</v>
      </c>
      <c r="E1408" s="165" t="s">
        <v>1756</v>
      </c>
      <c r="G1408" s="81">
        <v>526442</v>
      </c>
      <c r="H1408" s="81">
        <v>175680</v>
      </c>
      <c r="I1408" s="165" t="s">
        <v>257</v>
      </c>
      <c r="L1408" s="166">
        <v>0</v>
      </c>
      <c r="M1408" s="166">
        <v>35</v>
      </c>
      <c r="N1408" s="166">
        <v>35</v>
      </c>
      <c r="O1408" s="166">
        <v>52</v>
      </c>
      <c r="P1408" s="166">
        <v>52</v>
      </c>
      <c r="Q1408" s="81" t="s">
        <v>155</v>
      </c>
      <c r="R1408" s="165" t="s">
        <v>1905</v>
      </c>
      <c r="S1408" s="81" t="s">
        <v>1906</v>
      </c>
      <c r="W1408" s="81" t="s">
        <v>114</v>
      </c>
      <c r="Y1408" s="81" t="s">
        <v>115</v>
      </c>
      <c r="Z1408" s="81" t="s">
        <v>116</v>
      </c>
      <c r="AA1408" s="81" t="s">
        <v>116</v>
      </c>
      <c r="AB1408" s="81" t="s">
        <v>117</v>
      </c>
      <c r="AC1408" s="166">
        <v>0</v>
      </c>
      <c r="AG1408" s="81" t="s">
        <v>238</v>
      </c>
      <c r="AH1408" s="81" t="s">
        <v>118</v>
      </c>
      <c r="AI1408" s="81" t="s">
        <v>3523</v>
      </c>
      <c r="AJ1408" s="81">
        <v>17320341</v>
      </c>
      <c r="AK1408" s="166">
        <v>0</v>
      </c>
      <c r="AM1408" s="166">
        <v>0</v>
      </c>
      <c r="AO1408" s="166">
        <v>0</v>
      </c>
      <c r="AP1408" s="166">
        <v>0</v>
      </c>
      <c r="AQ1408" s="166">
        <v>0</v>
      </c>
      <c r="AR1408" s="166">
        <v>0</v>
      </c>
      <c r="AS1408" s="166">
        <v>0</v>
      </c>
      <c r="AT1408" s="166">
        <v>0</v>
      </c>
      <c r="AU1408" s="166">
        <v>35</v>
      </c>
      <c r="AV1408" s="166">
        <v>0</v>
      </c>
      <c r="AW1408" s="166">
        <v>0</v>
      </c>
      <c r="AX1408" s="166">
        <v>0</v>
      </c>
      <c r="AY1408" s="166">
        <v>0</v>
      </c>
      <c r="AZ1408" s="166">
        <v>0</v>
      </c>
      <c r="BA1408" s="166">
        <v>0</v>
      </c>
      <c r="BB1408" s="166">
        <v>35</v>
      </c>
      <c r="BC1408" s="166">
        <v>0</v>
      </c>
      <c r="BD1408" s="166">
        <v>0</v>
      </c>
      <c r="BE1408" s="166">
        <v>0</v>
      </c>
      <c r="BF1408" s="166">
        <v>0</v>
      </c>
      <c r="BG1408" s="166">
        <v>0</v>
      </c>
      <c r="BH1408" s="166">
        <v>0</v>
      </c>
      <c r="BI1408" s="166">
        <v>0</v>
      </c>
      <c r="BJ1408" s="166">
        <v>0</v>
      </c>
      <c r="BK1408" s="166">
        <v>0</v>
      </c>
      <c r="BL1408" s="166">
        <v>0</v>
      </c>
      <c r="BM1408" s="166">
        <v>0</v>
      </c>
      <c r="BN1408" s="166">
        <v>0</v>
      </c>
      <c r="BO1408" s="166">
        <v>0</v>
      </c>
      <c r="BP1408" s="166">
        <v>0</v>
      </c>
      <c r="BQ1408" s="81" t="s">
        <v>1757</v>
      </c>
      <c r="BX1408" s="81" t="s">
        <v>155</v>
      </c>
      <c r="BZ1408" s="81" t="s">
        <v>155</v>
      </c>
      <c r="CA1408" s="81">
        <v>11</v>
      </c>
      <c r="CC1408" s="167">
        <v>0</v>
      </c>
      <c r="CD1408" s="167">
        <v>0</v>
      </c>
      <c r="CE1408" s="167">
        <v>0</v>
      </c>
      <c r="CF1408" s="167">
        <v>0</v>
      </c>
      <c r="CG1408" s="167">
        <v>0</v>
      </c>
      <c r="CH1408" s="167">
        <v>0</v>
      </c>
      <c r="CI1408" s="167">
        <v>0</v>
      </c>
      <c r="CJ1408" s="167">
        <f>$N1408/17</f>
        <v>2.0588235294117645</v>
      </c>
      <c r="CK1408" s="167">
        <f>$N1408/17</f>
        <v>2.0588235294117645</v>
      </c>
      <c r="CL1408" s="167">
        <f>$N1408/17</f>
        <v>2.0588235294117645</v>
      </c>
      <c r="CM1408" s="167">
        <f>$N1408/17</f>
        <v>2.0588235294117645</v>
      </c>
      <c r="CN1408" s="167">
        <f>$N1408/17</f>
        <v>2.0588235294117645</v>
      </c>
      <c r="CO1408" s="167">
        <f>$N1408/17</f>
        <v>2.0588235294117645</v>
      </c>
      <c r="CP1408" s="167">
        <f>$N1408/17</f>
        <v>2.0588235294117645</v>
      </c>
      <c r="CQ1408" s="167">
        <f>$N1408/17</f>
        <v>2.0588235294117645</v>
      </c>
      <c r="CR1408" s="167">
        <f>$N1408/17</f>
        <v>2.0588235294117645</v>
      </c>
      <c r="CS1408" s="167">
        <f>$N1408/17</f>
        <v>2.0588235294117645</v>
      </c>
      <c r="CT1408" s="167">
        <f>$N1408/17</f>
        <v>2.0588235294117645</v>
      </c>
      <c r="CU1408" s="167">
        <f>$N1408/17</f>
        <v>2.0588235294117645</v>
      </c>
      <c r="CV1408" s="167">
        <f>$N1408/17</f>
        <v>2.0588235294117645</v>
      </c>
      <c r="CW1408" s="167">
        <f>$N1408/17</f>
        <v>2.0588235294117645</v>
      </c>
      <c r="CX1408" s="167">
        <f>SUM(CD1408:CH1408)</f>
        <v>0</v>
      </c>
      <c r="CY1408" s="167">
        <f>SUM(CD1408:CM1408)</f>
        <v>8.235294117647058</v>
      </c>
    </row>
    <row r="1409" spans="1:103" ht="12.75" customHeight="1" x14ac:dyDescent="0.2">
      <c r="A1409" s="81">
        <v>6874</v>
      </c>
      <c r="B1409" s="165" t="s">
        <v>1902</v>
      </c>
      <c r="C1409" s="165" t="s">
        <v>3522</v>
      </c>
      <c r="E1409" s="165" t="s">
        <v>1756</v>
      </c>
      <c r="G1409" s="81">
        <v>526442</v>
      </c>
      <c r="H1409" s="81">
        <v>175680</v>
      </c>
      <c r="I1409" s="165" t="s">
        <v>257</v>
      </c>
      <c r="L1409" s="166">
        <v>0</v>
      </c>
      <c r="M1409" s="166">
        <v>10</v>
      </c>
      <c r="N1409" s="166">
        <v>10</v>
      </c>
      <c r="O1409" s="166">
        <v>52</v>
      </c>
      <c r="P1409" s="166">
        <v>52</v>
      </c>
      <c r="Q1409" s="81" t="s">
        <v>155</v>
      </c>
      <c r="R1409" s="165" t="s">
        <v>1905</v>
      </c>
      <c r="S1409" s="81" t="s">
        <v>1906</v>
      </c>
      <c r="W1409" s="81" t="s">
        <v>114</v>
      </c>
      <c r="Y1409" s="81" t="s">
        <v>115</v>
      </c>
      <c r="Z1409" s="81" t="s">
        <v>116</v>
      </c>
      <c r="AA1409" s="81" t="s">
        <v>116</v>
      </c>
      <c r="AB1409" s="81" t="s">
        <v>117</v>
      </c>
      <c r="AC1409" s="166">
        <v>0</v>
      </c>
      <c r="AG1409" s="81" t="s">
        <v>154</v>
      </c>
      <c r="AH1409" s="81" t="s">
        <v>276</v>
      </c>
      <c r="AI1409" s="81" t="s">
        <v>3523</v>
      </c>
      <c r="AJ1409" s="81">
        <v>17320341</v>
      </c>
      <c r="AK1409" s="166">
        <v>0</v>
      </c>
      <c r="AM1409" s="166">
        <v>0</v>
      </c>
      <c r="AO1409" s="166">
        <v>0</v>
      </c>
      <c r="AP1409" s="166">
        <v>0</v>
      </c>
      <c r="AQ1409" s="166">
        <v>0</v>
      </c>
      <c r="AR1409" s="166">
        <v>0</v>
      </c>
      <c r="AS1409" s="166">
        <v>0</v>
      </c>
      <c r="AT1409" s="166">
        <v>0</v>
      </c>
      <c r="AU1409" s="166">
        <v>10</v>
      </c>
      <c r="AV1409" s="166">
        <v>0</v>
      </c>
      <c r="AW1409" s="166">
        <v>0</v>
      </c>
      <c r="AX1409" s="166">
        <v>0</v>
      </c>
      <c r="AY1409" s="166">
        <v>0</v>
      </c>
      <c r="AZ1409" s="166">
        <v>0</v>
      </c>
      <c r="BA1409" s="166">
        <v>0</v>
      </c>
      <c r="BB1409" s="166">
        <v>10</v>
      </c>
      <c r="BC1409" s="166">
        <v>0</v>
      </c>
      <c r="BD1409" s="166">
        <v>0</v>
      </c>
      <c r="BE1409" s="166">
        <v>0</v>
      </c>
      <c r="BF1409" s="166">
        <v>0</v>
      </c>
      <c r="BG1409" s="166">
        <v>0</v>
      </c>
      <c r="BH1409" s="166">
        <v>0</v>
      </c>
      <c r="BI1409" s="166">
        <v>0</v>
      </c>
      <c r="BJ1409" s="166">
        <v>0</v>
      </c>
      <c r="BK1409" s="166">
        <v>0</v>
      </c>
      <c r="BL1409" s="166">
        <v>0</v>
      </c>
      <c r="BM1409" s="166">
        <v>0</v>
      </c>
      <c r="BN1409" s="166">
        <v>0</v>
      </c>
      <c r="BO1409" s="166">
        <v>0</v>
      </c>
      <c r="BP1409" s="166">
        <v>0</v>
      </c>
      <c r="BQ1409" s="81" t="s">
        <v>1757</v>
      </c>
      <c r="BX1409" s="81" t="s">
        <v>155</v>
      </c>
      <c r="BZ1409" s="81" t="s">
        <v>155</v>
      </c>
      <c r="CA1409" s="81">
        <v>11</v>
      </c>
      <c r="CC1409" s="167">
        <v>0</v>
      </c>
      <c r="CD1409" s="167">
        <v>0</v>
      </c>
      <c r="CE1409" s="167">
        <v>0</v>
      </c>
      <c r="CF1409" s="167">
        <v>0</v>
      </c>
      <c r="CG1409" s="167">
        <v>0</v>
      </c>
      <c r="CH1409" s="167">
        <v>0</v>
      </c>
      <c r="CI1409" s="167">
        <v>0</v>
      </c>
      <c r="CJ1409" s="167">
        <f>$N1409/17</f>
        <v>0.58823529411764708</v>
      </c>
      <c r="CK1409" s="167">
        <f>$N1409/17</f>
        <v>0.58823529411764708</v>
      </c>
      <c r="CL1409" s="167">
        <f>$N1409/17</f>
        <v>0.58823529411764708</v>
      </c>
      <c r="CM1409" s="167">
        <f>$N1409/17</f>
        <v>0.58823529411764708</v>
      </c>
      <c r="CN1409" s="167">
        <f>$N1409/17</f>
        <v>0.58823529411764708</v>
      </c>
      <c r="CO1409" s="167">
        <f>$N1409/17</f>
        <v>0.58823529411764708</v>
      </c>
      <c r="CP1409" s="167">
        <f>$N1409/17</f>
        <v>0.58823529411764708</v>
      </c>
      <c r="CQ1409" s="167">
        <f>$N1409/17</f>
        <v>0.58823529411764708</v>
      </c>
      <c r="CR1409" s="167">
        <f>$N1409/17</f>
        <v>0.58823529411764708</v>
      </c>
      <c r="CS1409" s="167">
        <f>$N1409/17</f>
        <v>0.58823529411764708</v>
      </c>
      <c r="CT1409" s="167">
        <f>$N1409/17</f>
        <v>0.58823529411764708</v>
      </c>
      <c r="CU1409" s="167">
        <f>$N1409/17</f>
        <v>0.58823529411764708</v>
      </c>
      <c r="CV1409" s="167">
        <f>$N1409/17</f>
        <v>0.58823529411764708</v>
      </c>
      <c r="CW1409" s="167">
        <f>$N1409/17</f>
        <v>0.58823529411764708</v>
      </c>
      <c r="CX1409" s="167">
        <f>SUM(CD1409:CH1409)</f>
        <v>0</v>
      </c>
      <c r="CY1409" s="167">
        <f>SUM(CD1409:CM1409)</f>
        <v>2.3529411764705883</v>
      </c>
    </row>
    <row r="1410" spans="1:103" ht="12.75" customHeight="1" x14ac:dyDescent="0.2">
      <c r="A1410" s="81">
        <v>6874</v>
      </c>
      <c r="B1410" s="165" t="s">
        <v>1902</v>
      </c>
      <c r="C1410" s="165" t="s">
        <v>3522</v>
      </c>
      <c r="E1410" s="165" t="s">
        <v>1756</v>
      </c>
      <c r="G1410" s="81">
        <v>526442</v>
      </c>
      <c r="H1410" s="81">
        <v>175680</v>
      </c>
      <c r="I1410" s="165" t="s">
        <v>257</v>
      </c>
      <c r="L1410" s="166">
        <v>0</v>
      </c>
      <c r="M1410" s="166">
        <v>7</v>
      </c>
      <c r="N1410" s="166">
        <v>7</v>
      </c>
      <c r="O1410" s="166">
        <v>52</v>
      </c>
      <c r="P1410" s="166">
        <v>52</v>
      </c>
      <c r="Q1410" s="81" t="s">
        <v>155</v>
      </c>
      <c r="R1410" s="165" t="s">
        <v>1905</v>
      </c>
      <c r="S1410" s="81" t="s">
        <v>1906</v>
      </c>
      <c r="W1410" s="81" t="s">
        <v>114</v>
      </c>
      <c r="Y1410" s="81" t="s">
        <v>115</v>
      </c>
      <c r="Z1410" s="81" t="s">
        <v>116</v>
      </c>
      <c r="AA1410" s="81" t="s">
        <v>117</v>
      </c>
      <c r="AB1410" s="81" t="s">
        <v>218</v>
      </c>
      <c r="AC1410" s="166">
        <v>0</v>
      </c>
      <c r="AG1410" s="81" t="s">
        <v>74</v>
      </c>
      <c r="AH1410" s="81" t="s">
        <v>990</v>
      </c>
      <c r="AI1410" s="81" t="s">
        <v>3523</v>
      </c>
      <c r="AJ1410" s="81">
        <v>17320341</v>
      </c>
      <c r="AK1410" s="166">
        <v>0</v>
      </c>
      <c r="AM1410" s="166">
        <v>0</v>
      </c>
      <c r="AO1410" s="166">
        <v>0</v>
      </c>
      <c r="AP1410" s="166">
        <v>0</v>
      </c>
      <c r="AQ1410" s="166">
        <v>0</v>
      </c>
      <c r="AR1410" s="166">
        <v>0</v>
      </c>
      <c r="AS1410" s="166">
        <v>0</v>
      </c>
      <c r="AT1410" s="166">
        <v>0</v>
      </c>
      <c r="AU1410" s="166">
        <v>7</v>
      </c>
      <c r="AV1410" s="166">
        <v>0</v>
      </c>
      <c r="AW1410" s="166">
        <v>0</v>
      </c>
      <c r="AX1410" s="166">
        <v>0</v>
      </c>
      <c r="AY1410" s="166">
        <v>0</v>
      </c>
      <c r="AZ1410" s="166">
        <v>0</v>
      </c>
      <c r="BA1410" s="166">
        <v>0</v>
      </c>
      <c r="BB1410" s="166">
        <v>7</v>
      </c>
      <c r="BC1410" s="166">
        <v>0</v>
      </c>
      <c r="BD1410" s="166">
        <v>0</v>
      </c>
      <c r="BE1410" s="166">
        <v>0</v>
      </c>
      <c r="BF1410" s="166">
        <v>0</v>
      </c>
      <c r="BG1410" s="166">
        <v>0</v>
      </c>
      <c r="BH1410" s="166">
        <v>0</v>
      </c>
      <c r="BI1410" s="166">
        <v>0</v>
      </c>
      <c r="BJ1410" s="166">
        <v>0</v>
      </c>
      <c r="BK1410" s="166">
        <v>0</v>
      </c>
      <c r="BL1410" s="166">
        <v>0</v>
      </c>
      <c r="BM1410" s="166">
        <v>0</v>
      </c>
      <c r="BN1410" s="166">
        <v>0</v>
      </c>
      <c r="BO1410" s="166">
        <v>0</v>
      </c>
      <c r="BP1410" s="166">
        <v>0</v>
      </c>
      <c r="BQ1410" s="81" t="s">
        <v>1757</v>
      </c>
      <c r="BX1410" s="81" t="s">
        <v>155</v>
      </c>
      <c r="BZ1410" s="81" t="s">
        <v>155</v>
      </c>
      <c r="CA1410" s="81">
        <v>11</v>
      </c>
      <c r="CC1410" s="167">
        <v>0</v>
      </c>
      <c r="CD1410" s="167">
        <v>0</v>
      </c>
      <c r="CE1410" s="167">
        <v>0</v>
      </c>
      <c r="CF1410" s="167">
        <v>0</v>
      </c>
      <c r="CG1410" s="167">
        <v>0</v>
      </c>
      <c r="CH1410" s="167">
        <v>0</v>
      </c>
      <c r="CI1410" s="167">
        <v>0</v>
      </c>
      <c r="CJ1410" s="167">
        <f>$N1410/17</f>
        <v>0.41176470588235292</v>
      </c>
      <c r="CK1410" s="167">
        <f>$N1410/17</f>
        <v>0.41176470588235292</v>
      </c>
      <c r="CL1410" s="167">
        <f>$N1410/17</f>
        <v>0.41176470588235292</v>
      </c>
      <c r="CM1410" s="167">
        <f>$N1410/17</f>
        <v>0.41176470588235292</v>
      </c>
      <c r="CN1410" s="167">
        <f>$N1410/17</f>
        <v>0.41176470588235292</v>
      </c>
      <c r="CO1410" s="167">
        <f>$N1410/17</f>
        <v>0.41176470588235292</v>
      </c>
      <c r="CP1410" s="167">
        <f>$N1410/17</f>
        <v>0.41176470588235292</v>
      </c>
      <c r="CQ1410" s="167">
        <f>$N1410/17</f>
        <v>0.41176470588235292</v>
      </c>
      <c r="CR1410" s="167">
        <f>$N1410/17</f>
        <v>0.41176470588235292</v>
      </c>
      <c r="CS1410" s="167">
        <f>$N1410/17</f>
        <v>0.41176470588235292</v>
      </c>
      <c r="CT1410" s="167">
        <f>$N1410/17</f>
        <v>0.41176470588235292</v>
      </c>
      <c r="CU1410" s="167">
        <f>$N1410/17</f>
        <v>0.41176470588235292</v>
      </c>
      <c r="CV1410" s="167">
        <f>$N1410/17</f>
        <v>0.41176470588235292</v>
      </c>
      <c r="CW1410" s="167">
        <f>$N1410/17</f>
        <v>0.41176470588235292</v>
      </c>
      <c r="CX1410" s="167">
        <f>SUM(CD1410:CH1410)</f>
        <v>0</v>
      </c>
      <c r="CY1410" s="167">
        <f>SUM(CD1410:CM1410)</f>
        <v>1.6470588235294117</v>
      </c>
    </row>
    <row r="1411" spans="1:103" ht="12.75" customHeight="1" x14ac:dyDescent="0.2">
      <c r="A1411" s="81">
        <v>6875</v>
      </c>
      <c r="B1411" s="165" t="s">
        <v>1902</v>
      </c>
      <c r="C1411" s="165" t="s">
        <v>3524</v>
      </c>
      <c r="E1411" s="165" t="s">
        <v>3525</v>
      </c>
      <c r="G1411" s="81">
        <v>526741</v>
      </c>
      <c r="H1411" s="81">
        <v>176126</v>
      </c>
      <c r="I1411" s="165" t="s">
        <v>257</v>
      </c>
      <c r="L1411" s="166">
        <v>0</v>
      </c>
      <c r="M1411" s="166">
        <v>127</v>
      </c>
      <c r="N1411" s="166">
        <v>127</v>
      </c>
      <c r="O1411" s="166">
        <v>190</v>
      </c>
      <c r="P1411" s="166">
        <v>190</v>
      </c>
      <c r="Q1411" s="81" t="s">
        <v>155</v>
      </c>
      <c r="R1411" s="165" t="s">
        <v>1905</v>
      </c>
      <c r="S1411" s="81" t="s">
        <v>1906</v>
      </c>
      <c r="W1411" s="81" t="s">
        <v>114</v>
      </c>
      <c r="Y1411" s="81" t="s">
        <v>115</v>
      </c>
      <c r="Z1411" s="81" t="s">
        <v>116</v>
      </c>
      <c r="AA1411" s="81" t="s">
        <v>116</v>
      </c>
      <c r="AB1411" s="81" t="s">
        <v>117</v>
      </c>
      <c r="AC1411" s="166">
        <v>0</v>
      </c>
      <c r="AG1411" s="81" t="s">
        <v>238</v>
      </c>
      <c r="AH1411" s="81" t="s">
        <v>118</v>
      </c>
      <c r="AI1411" s="81" t="s">
        <v>3526</v>
      </c>
      <c r="AJ1411" s="81">
        <v>17320210</v>
      </c>
      <c r="AK1411" s="166">
        <v>0</v>
      </c>
      <c r="AM1411" s="166">
        <v>0</v>
      </c>
      <c r="AO1411" s="166">
        <v>0</v>
      </c>
      <c r="AP1411" s="166">
        <v>0</v>
      </c>
      <c r="AQ1411" s="166">
        <v>0</v>
      </c>
      <c r="AR1411" s="166">
        <v>0</v>
      </c>
      <c r="AS1411" s="166">
        <v>0</v>
      </c>
      <c r="AT1411" s="166">
        <v>0</v>
      </c>
      <c r="AU1411" s="166">
        <v>127</v>
      </c>
      <c r="AV1411" s="166">
        <v>0</v>
      </c>
      <c r="AW1411" s="166">
        <v>0</v>
      </c>
      <c r="AX1411" s="166">
        <v>0</v>
      </c>
      <c r="AY1411" s="166">
        <v>0</v>
      </c>
      <c r="AZ1411" s="166">
        <v>0</v>
      </c>
      <c r="BA1411" s="166">
        <v>0</v>
      </c>
      <c r="BB1411" s="166">
        <v>127</v>
      </c>
      <c r="BC1411" s="166">
        <v>0</v>
      </c>
      <c r="BD1411" s="166">
        <v>0</v>
      </c>
      <c r="BE1411" s="166">
        <v>0</v>
      </c>
      <c r="BF1411" s="166">
        <v>0</v>
      </c>
      <c r="BG1411" s="166">
        <v>0</v>
      </c>
      <c r="BH1411" s="166">
        <v>0</v>
      </c>
      <c r="BI1411" s="166">
        <v>0</v>
      </c>
      <c r="BJ1411" s="166">
        <v>0</v>
      </c>
      <c r="BK1411" s="166">
        <v>0</v>
      </c>
      <c r="BL1411" s="166">
        <v>0</v>
      </c>
      <c r="BM1411" s="166">
        <v>0</v>
      </c>
      <c r="BN1411" s="166">
        <v>0</v>
      </c>
      <c r="BO1411" s="166">
        <v>0</v>
      </c>
      <c r="BP1411" s="166">
        <v>0</v>
      </c>
      <c r="BQ1411" s="81" t="s">
        <v>1757</v>
      </c>
      <c r="BZ1411" s="81" t="s">
        <v>155</v>
      </c>
      <c r="CA1411" s="81">
        <v>11</v>
      </c>
      <c r="CC1411" s="167">
        <v>0</v>
      </c>
      <c r="CD1411" s="167">
        <v>0</v>
      </c>
      <c r="CE1411" s="167">
        <f>$N1411/10</f>
        <v>12.7</v>
      </c>
      <c r="CF1411" s="167">
        <f>$N1411/10</f>
        <v>12.7</v>
      </c>
      <c r="CG1411" s="167">
        <f>$N1411/10</f>
        <v>12.7</v>
      </c>
      <c r="CH1411" s="167">
        <f>$N1411/10</f>
        <v>12.7</v>
      </c>
      <c r="CI1411" s="167">
        <f>$N1411/10</f>
        <v>12.7</v>
      </c>
      <c r="CJ1411" s="167">
        <f>$N1411/10</f>
        <v>12.7</v>
      </c>
      <c r="CK1411" s="167">
        <f>$N1411/10</f>
        <v>12.7</v>
      </c>
      <c r="CL1411" s="167">
        <f>$N1411/10</f>
        <v>12.7</v>
      </c>
      <c r="CM1411" s="167">
        <f>$N1411/10</f>
        <v>12.7</v>
      </c>
      <c r="CN1411" s="167">
        <f>$N1411/10</f>
        <v>12.7</v>
      </c>
      <c r="CO1411" s="167">
        <v>0</v>
      </c>
      <c r="CP1411" s="167">
        <v>0</v>
      </c>
      <c r="CQ1411" s="167">
        <v>0</v>
      </c>
      <c r="CR1411" s="167">
        <v>0</v>
      </c>
      <c r="CS1411" s="167">
        <v>0</v>
      </c>
      <c r="CT1411" s="167">
        <v>0</v>
      </c>
      <c r="CU1411" s="167">
        <v>0</v>
      </c>
      <c r="CV1411" s="167">
        <v>0</v>
      </c>
      <c r="CW1411" s="167">
        <v>0</v>
      </c>
      <c r="CX1411" s="167">
        <f>SUM(CD1411:CH1411)</f>
        <v>50.8</v>
      </c>
      <c r="CY1411" s="167">
        <f>SUM(CD1411:CM1411)</f>
        <v>114.30000000000001</v>
      </c>
    </row>
    <row r="1412" spans="1:103" ht="12.75" customHeight="1" x14ac:dyDescent="0.2">
      <c r="A1412" s="81">
        <v>6875</v>
      </c>
      <c r="B1412" s="165" t="s">
        <v>1902</v>
      </c>
      <c r="C1412" s="165" t="s">
        <v>3524</v>
      </c>
      <c r="E1412" s="165" t="s">
        <v>3525</v>
      </c>
      <c r="G1412" s="81">
        <v>526741</v>
      </c>
      <c r="H1412" s="81">
        <v>176126</v>
      </c>
      <c r="I1412" s="165" t="s">
        <v>257</v>
      </c>
      <c r="L1412" s="166">
        <v>0</v>
      </c>
      <c r="M1412" s="166">
        <v>38</v>
      </c>
      <c r="N1412" s="166">
        <v>38</v>
      </c>
      <c r="O1412" s="166">
        <v>190</v>
      </c>
      <c r="P1412" s="166">
        <v>190</v>
      </c>
      <c r="Q1412" s="81" t="s">
        <v>155</v>
      </c>
      <c r="R1412" s="165" t="s">
        <v>1905</v>
      </c>
      <c r="S1412" s="81" t="s">
        <v>1906</v>
      </c>
      <c r="W1412" s="81" t="s">
        <v>114</v>
      </c>
      <c r="Y1412" s="81" t="s">
        <v>115</v>
      </c>
      <c r="Z1412" s="81" t="s">
        <v>116</v>
      </c>
      <c r="AA1412" s="81" t="s">
        <v>116</v>
      </c>
      <c r="AB1412" s="81" t="s">
        <v>117</v>
      </c>
      <c r="AC1412" s="166">
        <v>0</v>
      </c>
      <c r="AG1412" s="81" t="s">
        <v>154</v>
      </c>
      <c r="AH1412" s="81" t="s">
        <v>276</v>
      </c>
      <c r="AI1412" s="81" t="s">
        <v>3526</v>
      </c>
      <c r="AJ1412" s="81">
        <v>17320210</v>
      </c>
      <c r="AK1412" s="166">
        <v>0</v>
      </c>
      <c r="AM1412" s="166">
        <v>0</v>
      </c>
      <c r="AO1412" s="166">
        <v>0</v>
      </c>
      <c r="AP1412" s="166">
        <v>0</v>
      </c>
      <c r="AQ1412" s="166">
        <v>0</v>
      </c>
      <c r="AR1412" s="166">
        <v>0</v>
      </c>
      <c r="AS1412" s="166">
        <v>0</v>
      </c>
      <c r="AT1412" s="166">
        <v>0</v>
      </c>
      <c r="AU1412" s="166">
        <v>38</v>
      </c>
      <c r="AV1412" s="166">
        <v>0</v>
      </c>
      <c r="AW1412" s="166">
        <v>0</v>
      </c>
      <c r="AX1412" s="166">
        <v>0</v>
      </c>
      <c r="AY1412" s="166">
        <v>0</v>
      </c>
      <c r="AZ1412" s="166">
        <v>0</v>
      </c>
      <c r="BA1412" s="166">
        <v>0</v>
      </c>
      <c r="BB1412" s="166">
        <v>38</v>
      </c>
      <c r="BC1412" s="166">
        <v>0</v>
      </c>
      <c r="BD1412" s="166">
        <v>0</v>
      </c>
      <c r="BE1412" s="166">
        <v>0</v>
      </c>
      <c r="BF1412" s="166">
        <v>0</v>
      </c>
      <c r="BG1412" s="166">
        <v>0</v>
      </c>
      <c r="BH1412" s="166">
        <v>0</v>
      </c>
      <c r="BI1412" s="166">
        <v>0</v>
      </c>
      <c r="BJ1412" s="166">
        <v>0</v>
      </c>
      <c r="BK1412" s="166">
        <v>0</v>
      </c>
      <c r="BL1412" s="166">
        <v>0</v>
      </c>
      <c r="BM1412" s="166">
        <v>0</v>
      </c>
      <c r="BN1412" s="166">
        <v>0</v>
      </c>
      <c r="BO1412" s="166">
        <v>0</v>
      </c>
      <c r="BP1412" s="166">
        <v>0</v>
      </c>
      <c r="BQ1412" s="81" t="s">
        <v>1757</v>
      </c>
      <c r="BZ1412" s="81" t="s">
        <v>155</v>
      </c>
      <c r="CA1412" s="81">
        <v>11</v>
      </c>
      <c r="CC1412" s="167">
        <v>0</v>
      </c>
      <c r="CD1412" s="167">
        <v>0</v>
      </c>
      <c r="CE1412" s="167">
        <f>$N1412/10</f>
        <v>3.8</v>
      </c>
      <c r="CF1412" s="167">
        <f>$N1412/10</f>
        <v>3.8</v>
      </c>
      <c r="CG1412" s="167">
        <f>$N1412/10</f>
        <v>3.8</v>
      </c>
      <c r="CH1412" s="167">
        <f>$N1412/10</f>
        <v>3.8</v>
      </c>
      <c r="CI1412" s="167">
        <f>$N1412/10</f>
        <v>3.8</v>
      </c>
      <c r="CJ1412" s="167">
        <f>$N1412/10</f>
        <v>3.8</v>
      </c>
      <c r="CK1412" s="167">
        <f>$N1412/10</f>
        <v>3.8</v>
      </c>
      <c r="CL1412" s="167">
        <f>$N1412/10</f>
        <v>3.8</v>
      </c>
      <c r="CM1412" s="167">
        <f>$N1412/10</f>
        <v>3.8</v>
      </c>
      <c r="CN1412" s="167">
        <f>$N1412/10</f>
        <v>3.8</v>
      </c>
      <c r="CO1412" s="167">
        <v>0</v>
      </c>
      <c r="CP1412" s="167">
        <v>0</v>
      </c>
      <c r="CQ1412" s="167">
        <v>0</v>
      </c>
      <c r="CR1412" s="167">
        <v>0</v>
      </c>
      <c r="CS1412" s="167">
        <v>0</v>
      </c>
      <c r="CT1412" s="167">
        <v>0</v>
      </c>
      <c r="CU1412" s="167">
        <v>0</v>
      </c>
      <c r="CV1412" s="167">
        <v>0</v>
      </c>
      <c r="CW1412" s="167">
        <v>0</v>
      </c>
      <c r="CX1412" s="167">
        <f>SUM(CD1412:CH1412)</f>
        <v>15.2</v>
      </c>
      <c r="CY1412" s="167">
        <f>SUM(CD1412:CM1412)</f>
        <v>34.200000000000003</v>
      </c>
    </row>
    <row r="1413" spans="1:103" ht="12.75" customHeight="1" x14ac:dyDescent="0.2">
      <c r="A1413" s="81">
        <v>6875</v>
      </c>
      <c r="B1413" s="165" t="s">
        <v>1902</v>
      </c>
      <c r="C1413" s="165" t="s">
        <v>3524</v>
      </c>
      <c r="E1413" s="165" t="s">
        <v>3525</v>
      </c>
      <c r="G1413" s="81">
        <v>526741</v>
      </c>
      <c r="H1413" s="81">
        <v>176126</v>
      </c>
      <c r="I1413" s="165" t="s">
        <v>257</v>
      </c>
      <c r="L1413" s="166">
        <v>0</v>
      </c>
      <c r="M1413" s="166">
        <v>25</v>
      </c>
      <c r="N1413" s="166">
        <v>25</v>
      </c>
      <c r="O1413" s="166">
        <v>190</v>
      </c>
      <c r="P1413" s="166">
        <v>190</v>
      </c>
      <c r="Q1413" s="81" t="s">
        <v>155</v>
      </c>
      <c r="R1413" s="165" t="s">
        <v>1905</v>
      </c>
      <c r="S1413" s="81" t="s">
        <v>1906</v>
      </c>
      <c r="W1413" s="81" t="s">
        <v>114</v>
      </c>
      <c r="Y1413" s="81" t="s">
        <v>115</v>
      </c>
      <c r="Z1413" s="81" t="s">
        <v>116</v>
      </c>
      <c r="AA1413" s="81" t="s">
        <v>116</v>
      </c>
      <c r="AB1413" s="81" t="s">
        <v>117</v>
      </c>
      <c r="AC1413" s="166">
        <v>0</v>
      </c>
      <c r="AG1413" s="81" t="s">
        <v>74</v>
      </c>
      <c r="AH1413" s="81" t="s">
        <v>990</v>
      </c>
      <c r="AI1413" s="81" t="s">
        <v>3526</v>
      </c>
      <c r="AJ1413" s="81">
        <v>17320210</v>
      </c>
      <c r="AK1413" s="166">
        <v>0</v>
      </c>
      <c r="AM1413" s="166">
        <v>0</v>
      </c>
      <c r="AO1413" s="166">
        <v>0</v>
      </c>
      <c r="AP1413" s="166">
        <v>0</v>
      </c>
      <c r="AQ1413" s="166">
        <v>0</v>
      </c>
      <c r="AR1413" s="166">
        <v>0</v>
      </c>
      <c r="AS1413" s="166">
        <v>0</v>
      </c>
      <c r="AT1413" s="166">
        <v>0</v>
      </c>
      <c r="AU1413" s="166">
        <v>25</v>
      </c>
      <c r="AV1413" s="166">
        <v>0</v>
      </c>
      <c r="AW1413" s="166">
        <v>0</v>
      </c>
      <c r="AX1413" s="166">
        <v>0</v>
      </c>
      <c r="AY1413" s="166">
        <v>0</v>
      </c>
      <c r="AZ1413" s="166">
        <v>0</v>
      </c>
      <c r="BA1413" s="166">
        <v>0</v>
      </c>
      <c r="BB1413" s="166">
        <v>25</v>
      </c>
      <c r="BC1413" s="166">
        <v>0</v>
      </c>
      <c r="BD1413" s="166">
        <v>0</v>
      </c>
      <c r="BE1413" s="166">
        <v>0</v>
      </c>
      <c r="BF1413" s="166">
        <v>0</v>
      </c>
      <c r="BG1413" s="166">
        <v>0</v>
      </c>
      <c r="BH1413" s="166">
        <v>0</v>
      </c>
      <c r="BI1413" s="166">
        <v>0</v>
      </c>
      <c r="BJ1413" s="166">
        <v>0</v>
      </c>
      <c r="BK1413" s="166">
        <v>0</v>
      </c>
      <c r="BL1413" s="166">
        <v>0</v>
      </c>
      <c r="BM1413" s="166">
        <v>0</v>
      </c>
      <c r="BN1413" s="166">
        <v>0</v>
      </c>
      <c r="BO1413" s="166">
        <v>0</v>
      </c>
      <c r="BP1413" s="166">
        <v>0</v>
      </c>
      <c r="BQ1413" s="81" t="s">
        <v>1757</v>
      </c>
      <c r="BZ1413" s="81" t="s">
        <v>155</v>
      </c>
      <c r="CA1413" s="81">
        <v>11</v>
      </c>
      <c r="CC1413" s="167">
        <v>0</v>
      </c>
      <c r="CD1413" s="167">
        <v>0</v>
      </c>
      <c r="CE1413" s="167">
        <f>$N1413/10</f>
        <v>2.5</v>
      </c>
      <c r="CF1413" s="167">
        <f>$N1413/10</f>
        <v>2.5</v>
      </c>
      <c r="CG1413" s="167">
        <f>$N1413/10</f>
        <v>2.5</v>
      </c>
      <c r="CH1413" s="167">
        <f>$N1413/10</f>
        <v>2.5</v>
      </c>
      <c r="CI1413" s="167">
        <f>$N1413/10</f>
        <v>2.5</v>
      </c>
      <c r="CJ1413" s="167">
        <f>$N1413/10</f>
        <v>2.5</v>
      </c>
      <c r="CK1413" s="167">
        <f>$N1413/10</f>
        <v>2.5</v>
      </c>
      <c r="CL1413" s="167">
        <f>$N1413/10</f>
        <v>2.5</v>
      </c>
      <c r="CM1413" s="167">
        <f>$N1413/10</f>
        <v>2.5</v>
      </c>
      <c r="CN1413" s="167">
        <f>$N1413/10</f>
        <v>2.5</v>
      </c>
      <c r="CO1413" s="167">
        <v>0</v>
      </c>
      <c r="CP1413" s="167">
        <v>0</v>
      </c>
      <c r="CQ1413" s="167">
        <v>0</v>
      </c>
      <c r="CR1413" s="167">
        <v>0</v>
      </c>
      <c r="CS1413" s="167">
        <v>0</v>
      </c>
      <c r="CT1413" s="167">
        <v>0</v>
      </c>
      <c r="CU1413" s="167">
        <v>0</v>
      </c>
      <c r="CV1413" s="167">
        <v>0</v>
      </c>
      <c r="CW1413" s="167">
        <v>0</v>
      </c>
      <c r="CX1413" s="167">
        <f>SUM(CD1413:CH1413)</f>
        <v>10</v>
      </c>
      <c r="CY1413" s="167">
        <f>SUM(CD1413:CM1413)</f>
        <v>22.5</v>
      </c>
    </row>
    <row r="1414" spans="1:103" ht="12.75" customHeight="1" x14ac:dyDescent="0.2">
      <c r="A1414" s="81">
        <v>6876</v>
      </c>
      <c r="B1414" s="165" t="s">
        <v>1902</v>
      </c>
      <c r="C1414" s="165" t="s">
        <v>3527</v>
      </c>
      <c r="E1414" s="165" t="s">
        <v>3528</v>
      </c>
      <c r="G1414" s="81">
        <v>526665</v>
      </c>
      <c r="H1414" s="81">
        <v>176051</v>
      </c>
      <c r="I1414" s="165" t="s">
        <v>257</v>
      </c>
      <c r="L1414" s="166">
        <v>0</v>
      </c>
      <c r="M1414" s="166">
        <v>60</v>
      </c>
      <c r="N1414" s="166">
        <v>60</v>
      </c>
      <c r="O1414" s="166">
        <v>90</v>
      </c>
      <c r="P1414" s="166">
        <v>90</v>
      </c>
      <c r="Q1414" s="81" t="s">
        <v>155</v>
      </c>
      <c r="R1414" s="165" t="s">
        <v>1905</v>
      </c>
      <c r="S1414" s="81" t="s">
        <v>1906</v>
      </c>
      <c r="W1414" s="81" t="s">
        <v>114</v>
      </c>
      <c r="Y1414" s="81" t="s">
        <v>115</v>
      </c>
      <c r="Z1414" s="81" t="s">
        <v>116</v>
      </c>
      <c r="AA1414" s="81" t="s">
        <v>116</v>
      </c>
      <c r="AB1414" s="81" t="s">
        <v>117</v>
      </c>
      <c r="AC1414" s="166">
        <v>0</v>
      </c>
      <c r="AG1414" s="81" t="s">
        <v>238</v>
      </c>
      <c r="AH1414" s="81" t="s">
        <v>118</v>
      </c>
      <c r="AI1414" s="81" t="s">
        <v>2001</v>
      </c>
      <c r="AJ1414" s="81">
        <v>17320216</v>
      </c>
      <c r="AK1414" s="166">
        <v>0</v>
      </c>
      <c r="AM1414" s="166">
        <v>0</v>
      </c>
      <c r="AO1414" s="166">
        <v>0</v>
      </c>
      <c r="AP1414" s="166">
        <v>0</v>
      </c>
      <c r="AQ1414" s="166">
        <v>0</v>
      </c>
      <c r="AR1414" s="166">
        <v>0</v>
      </c>
      <c r="AS1414" s="166">
        <v>0</v>
      </c>
      <c r="AT1414" s="166">
        <v>0</v>
      </c>
      <c r="AU1414" s="166">
        <v>60</v>
      </c>
      <c r="AV1414" s="166">
        <v>0</v>
      </c>
      <c r="AW1414" s="166">
        <v>0</v>
      </c>
      <c r="AX1414" s="166">
        <v>0</v>
      </c>
      <c r="AY1414" s="166">
        <v>0</v>
      </c>
      <c r="AZ1414" s="166">
        <v>0</v>
      </c>
      <c r="BA1414" s="166">
        <v>0</v>
      </c>
      <c r="BB1414" s="166">
        <v>60</v>
      </c>
      <c r="BC1414" s="166">
        <v>0</v>
      </c>
      <c r="BD1414" s="166">
        <v>0</v>
      </c>
      <c r="BE1414" s="166">
        <v>0</v>
      </c>
      <c r="BF1414" s="166">
        <v>0</v>
      </c>
      <c r="BG1414" s="166">
        <v>0</v>
      </c>
      <c r="BH1414" s="166">
        <v>0</v>
      </c>
      <c r="BI1414" s="166">
        <v>0</v>
      </c>
      <c r="BJ1414" s="166">
        <v>0</v>
      </c>
      <c r="BK1414" s="166">
        <v>0</v>
      </c>
      <c r="BL1414" s="166">
        <v>0</v>
      </c>
      <c r="BM1414" s="166">
        <v>0</v>
      </c>
      <c r="BN1414" s="166">
        <v>0</v>
      </c>
      <c r="BO1414" s="166">
        <v>0</v>
      </c>
      <c r="BP1414" s="166">
        <v>0</v>
      </c>
      <c r="BQ1414" s="81" t="s">
        <v>1757</v>
      </c>
      <c r="BX1414" s="81" t="s">
        <v>155</v>
      </c>
      <c r="BZ1414" s="81" t="s">
        <v>155</v>
      </c>
      <c r="CA1414" s="81">
        <v>11</v>
      </c>
      <c r="CC1414" s="167">
        <v>0</v>
      </c>
      <c r="CD1414" s="167">
        <v>0</v>
      </c>
      <c r="CE1414" s="167">
        <v>0</v>
      </c>
      <c r="CF1414" s="167">
        <v>0</v>
      </c>
      <c r="CG1414" s="167">
        <v>0</v>
      </c>
      <c r="CH1414" s="167">
        <v>0</v>
      </c>
      <c r="CI1414" s="167">
        <v>0</v>
      </c>
      <c r="CJ1414" s="167">
        <f>$N1414/17</f>
        <v>3.5294117647058822</v>
      </c>
      <c r="CK1414" s="167">
        <f>$N1414/17</f>
        <v>3.5294117647058822</v>
      </c>
      <c r="CL1414" s="167">
        <f>$N1414/17</f>
        <v>3.5294117647058822</v>
      </c>
      <c r="CM1414" s="167">
        <f>$N1414/17</f>
        <v>3.5294117647058822</v>
      </c>
      <c r="CN1414" s="167">
        <f>$N1414/17</f>
        <v>3.5294117647058822</v>
      </c>
      <c r="CO1414" s="167">
        <f>$N1414/17</f>
        <v>3.5294117647058822</v>
      </c>
      <c r="CP1414" s="167">
        <f>$N1414/17</f>
        <v>3.5294117647058822</v>
      </c>
      <c r="CQ1414" s="167">
        <f>$N1414/17</f>
        <v>3.5294117647058822</v>
      </c>
      <c r="CR1414" s="167">
        <f>$N1414/17</f>
        <v>3.5294117647058822</v>
      </c>
      <c r="CS1414" s="167">
        <f>$N1414/17</f>
        <v>3.5294117647058822</v>
      </c>
      <c r="CT1414" s="167">
        <f>$N1414/17</f>
        <v>3.5294117647058822</v>
      </c>
      <c r="CU1414" s="167">
        <f>$N1414/17</f>
        <v>3.5294117647058822</v>
      </c>
      <c r="CV1414" s="167">
        <f>$N1414/17</f>
        <v>3.5294117647058822</v>
      </c>
      <c r="CW1414" s="167">
        <f>$N1414/17</f>
        <v>3.5294117647058822</v>
      </c>
      <c r="CX1414" s="167">
        <f>SUM(CD1414:CH1414)</f>
        <v>0</v>
      </c>
      <c r="CY1414" s="167">
        <f>SUM(CD1414:CM1414)</f>
        <v>14.117647058823529</v>
      </c>
    </row>
    <row r="1415" spans="1:103" ht="12.75" customHeight="1" x14ac:dyDescent="0.2">
      <c r="A1415" s="81">
        <v>6876</v>
      </c>
      <c r="B1415" s="165" t="s">
        <v>1902</v>
      </c>
      <c r="C1415" s="165" t="s">
        <v>3527</v>
      </c>
      <c r="E1415" s="165" t="s">
        <v>3528</v>
      </c>
      <c r="G1415" s="81">
        <v>526665</v>
      </c>
      <c r="H1415" s="81">
        <v>176051</v>
      </c>
      <c r="I1415" s="165" t="s">
        <v>257</v>
      </c>
      <c r="L1415" s="166">
        <v>0</v>
      </c>
      <c r="M1415" s="166">
        <v>18</v>
      </c>
      <c r="N1415" s="166">
        <v>18</v>
      </c>
      <c r="O1415" s="166">
        <v>90</v>
      </c>
      <c r="P1415" s="166">
        <v>90</v>
      </c>
      <c r="Q1415" s="81" t="s">
        <v>155</v>
      </c>
      <c r="R1415" s="165" t="s">
        <v>1905</v>
      </c>
      <c r="S1415" s="81" t="s">
        <v>1906</v>
      </c>
      <c r="W1415" s="81" t="s">
        <v>114</v>
      </c>
      <c r="Y1415" s="81" t="s">
        <v>115</v>
      </c>
      <c r="Z1415" s="81" t="s">
        <v>116</v>
      </c>
      <c r="AA1415" s="81" t="s">
        <v>116</v>
      </c>
      <c r="AB1415" s="81" t="s">
        <v>117</v>
      </c>
      <c r="AC1415" s="166">
        <v>0</v>
      </c>
      <c r="AG1415" s="81" t="s">
        <v>154</v>
      </c>
      <c r="AH1415" s="81" t="s">
        <v>276</v>
      </c>
      <c r="AI1415" s="81" t="s">
        <v>2001</v>
      </c>
      <c r="AJ1415" s="81">
        <v>17320216</v>
      </c>
      <c r="AK1415" s="166">
        <v>0</v>
      </c>
      <c r="AM1415" s="166">
        <v>0</v>
      </c>
      <c r="AO1415" s="166">
        <v>0</v>
      </c>
      <c r="AP1415" s="166">
        <v>0</v>
      </c>
      <c r="AQ1415" s="166">
        <v>0</v>
      </c>
      <c r="AR1415" s="166">
        <v>0</v>
      </c>
      <c r="AS1415" s="166">
        <v>0</v>
      </c>
      <c r="AT1415" s="166">
        <v>0</v>
      </c>
      <c r="AU1415" s="166">
        <v>18</v>
      </c>
      <c r="AV1415" s="166">
        <v>0</v>
      </c>
      <c r="AW1415" s="166">
        <v>0</v>
      </c>
      <c r="AX1415" s="166">
        <v>0</v>
      </c>
      <c r="AY1415" s="166">
        <v>0</v>
      </c>
      <c r="AZ1415" s="166">
        <v>0</v>
      </c>
      <c r="BA1415" s="166">
        <v>0</v>
      </c>
      <c r="BB1415" s="166">
        <v>18</v>
      </c>
      <c r="BC1415" s="166">
        <v>0</v>
      </c>
      <c r="BD1415" s="166">
        <v>0</v>
      </c>
      <c r="BE1415" s="166">
        <v>0</v>
      </c>
      <c r="BF1415" s="166">
        <v>0</v>
      </c>
      <c r="BG1415" s="166">
        <v>0</v>
      </c>
      <c r="BH1415" s="166">
        <v>0</v>
      </c>
      <c r="BI1415" s="166">
        <v>0</v>
      </c>
      <c r="BJ1415" s="166">
        <v>0</v>
      </c>
      <c r="BK1415" s="166">
        <v>0</v>
      </c>
      <c r="BL1415" s="166">
        <v>0</v>
      </c>
      <c r="BM1415" s="166">
        <v>0</v>
      </c>
      <c r="BN1415" s="166">
        <v>0</v>
      </c>
      <c r="BO1415" s="166">
        <v>0</v>
      </c>
      <c r="BP1415" s="166">
        <v>0</v>
      </c>
      <c r="BQ1415" s="81" t="s">
        <v>1757</v>
      </c>
      <c r="BX1415" s="81" t="s">
        <v>155</v>
      </c>
      <c r="BZ1415" s="81" t="s">
        <v>155</v>
      </c>
      <c r="CA1415" s="81">
        <v>11</v>
      </c>
      <c r="CC1415" s="167">
        <v>0</v>
      </c>
      <c r="CD1415" s="167">
        <v>0</v>
      </c>
      <c r="CE1415" s="167">
        <v>0</v>
      </c>
      <c r="CF1415" s="167">
        <v>0</v>
      </c>
      <c r="CG1415" s="167">
        <v>0</v>
      </c>
      <c r="CH1415" s="167">
        <v>0</v>
      </c>
      <c r="CI1415" s="167">
        <v>0</v>
      </c>
      <c r="CJ1415" s="167">
        <f>$N1415/17</f>
        <v>1.0588235294117647</v>
      </c>
      <c r="CK1415" s="167">
        <f>$N1415/17</f>
        <v>1.0588235294117647</v>
      </c>
      <c r="CL1415" s="167">
        <f>$N1415/17</f>
        <v>1.0588235294117647</v>
      </c>
      <c r="CM1415" s="167">
        <f>$N1415/17</f>
        <v>1.0588235294117647</v>
      </c>
      <c r="CN1415" s="167">
        <f>$N1415/17</f>
        <v>1.0588235294117647</v>
      </c>
      <c r="CO1415" s="167">
        <f>$N1415/17</f>
        <v>1.0588235294117647</v>
      </c>
      <c r="CP1415" s="167">
        <f>$N1415/17</f>
        <v>1.0588235294117647</v>
      </c>
      <c r="CQ1415" s="167">
        <f>$N1415/17</f>
        <v>1.0588235294117647</v>
      </c>
      <c r="CR1415" s="167">
        <f>$N1415/17</f>
        <v>1.0588235294117647</v>
      </c>
      <c r="CS1415" s="167">
        <f>$N1415/17</f>
        <v>1.0588235294117647</v>
      </c>
      <c r="CT1415" s="167">
        <f>$N1415/17</f>
        <v>1.0588235294117647</v>
      </c>
      <c r="CU1415" s="167">
        <f>$N1415/17</f>
        <v>1.0588235294117647</v>
      </c>
      <c r="CV1415" s="167">
        <f>$N1415/17</f>
        <v>1.0588235294117647</v>
      </c>
      <c r="CW1415" s="167">
        <f>$N1415/17</f>
        <v>1.0588235294117647</v>
      </c>
      <c r="CX1415" s="167">
        <f>SUM(CD1415:CH1415)</f>
        <v>0</v>
      </c>
      <c r="CY1415" s="167">
        <f>SUM(CD1415:CM1415)</f>
        <v>4.2352941176470589</v>
      </c>
    </row>
    <row r="1416" spans="1:103" ht="12.75" customHeight="1" x14ac:dyDescent="0.2">
      <c r="A1416" s="81">
        <v>6876</v>
      </c>
      <c r="B1416" s="165" t="s">
        <v>1902</v>
      </c>
      <c r="C1416" s="165" t="s">
        <v>3527</v>
      </c>
      <c r="E1416" s="165" t="s">
        <v>3528</v>
      </c>
      <c r="G1416" s="81">
        <v>526665</v>
      </c>
      <c r="H1416" s="81">
        <v>176051</v>
      </c>
      <c r="I1416" s="165" t="s">
        <v>257</v>
      </c>
      <c r="L1416" s="166">
        <v>0</v>
      </c>
      <c r="M1416" s="166">
        <v>12</v>
      </c>
      <c r="N1416" s="166">
        <v>12</v>
      </c>
      <c r="O1416" s="166">
        <v>90</v>
      </c>
      <c r="P1416" s="166">
        <v>90</v>
      </c>
      <c r="Q1416" s="81" t="s">
        <v>155</v>
      </c>
      <c r="R1416" s="165" t="s">
        <v>1905</v>
      </c>
      <c r="S1416" s="81" t="s">
        <v>1906</v>
      </c>
      <c r="W1416" s="81" t="s">
        <v>114</v>
      </c>
      <c r="Y1416" s="81" t="s">
        <v>115</v>
      </c>
      <c r="Z1416" s="81" t="s">
        <v>116</v>
      </c>
      <c r="AA1416" s="81" t="s">
        <v>116</v>
      </c>
      <c r="AB1416" s="81" t="s">
        <v>117</v>
      </c>
      <c r="AC1416" s="166">
        <v>0</v>
      </c>
      <c r="AG1416" s="81" t="s">
        <v>74</v>
      </c>
      <c r="AH1416" s="81" t="s">
        <v>990</v>
      </c>
      <c r="AI1416" s="81" t="s">
        <v>2001</v>
      </c>
      <c r="AJ1416" s="81">
        <v>17320216</v>
      </c>
      <c r="AK1416" s="166">
        <v>0</v>
      </c>
      <c r="AM1416" s="166">
        <v>0</v>
      </c>
      <c r="AO1416" s="166">
        <v>0</v>
      </c>
      <c r="AP1416" s="166">
        <v>0</v>
      </c>
      <c r="AQ1416" s="166">
        <v>0</v>
      </c>
      <c r="AR1416" s="166">
        <v>0</v>
      </c>
      <c r="AS1416" s="166">
        <v>0</v>
      </c>
      <c r="AT1416" s="166">
        <v>0</v>
      </c>
      <c r="AU1416" s="166">
        <v>12</v>
      </c>
      <c r="AV1416" s="166">
        <v>0</v>
      </c>
      <c r="AW1416" s="166">
        <v>0</v>
      </c>
      <c r="AX1416" s="166">
        <v>0</v>
      </c>
      <c r="AY1416" s="166">
        <v>0</v>
      </c>
      <c r="AZ1416" s="166">
        <v>0</v>
      </c>
      <c r="BA1416" s="166">
        <v>0</v>
      </c>
      <c r="BB1416" s="166">
        <v>12</v>
      </c>
      <c r="BC1416" s="166">
        <v>0</v>
      </c>
      <c r="BD1416" s="166">
        <v>0</v>
      </c>
      <c r="BE1416" s="166">
        <v>0</v>
      </c>
      <c r="BF1416" s="166">
        <v>0</v>
      </c>
      <c r="BG1416" s="166">
        <v>0</v>
      </c>
      <c r="BH1416" s="166">
        <v>0</v>
      </c>
      <c r="BI1416" s="166">
        <v>0</v>
      </c>
      <c r="BJ1416" s="166">
        <v>0</v>
      </c>
      <c r="BK1416" s="166">
        <v>0</v>
      </c>
      <c r="BL1416" s="166">
        <v>0</v>
      </c>
      <c r="BM1416" s="166">
        <v>0</v>
      </c>
      <c r="BN1416" s="166">
        <v>0</v>
      </c>
      <c r="BO1416" s="166">
        <v>0</v>
      </c>
      <c r="BP1416" s="166">
        <v>0</v>
      </c>
      <c r="BQ1416" s="81" t="s">
        <v>1757</v>
      </c>
      <c r="BX1416" s="81" t="s">
        <v>155</v>
      </c>
      <c r="BZ1416" s="81" t="s">
        <v>155</v>
      </c>
      <c r="CA1416" s="81">
        <v>11</v>
      </c>
      <c r="CC1416" s="167">
        <v>0</v>
      </c>
      <c r="CD1416" s="167">
        <v>0</v>
      </c>
      <c r="CE1416" s="167">
        <v>0</v>
      </c>
      <c r="CF1416" s="167">
        <v>0</v>
      </c>
      <c r="CG1416" s="167">
        <v>0</v>
      </c>
      <c r="CH1416" s="167">
        <v>0</v>
      </c>
      <c r="CI1416" s="167">
        <v>0</v>
      </c>
      <c r="CJ1416" s="167">
        <f>$N1416/17</f>
        <v>0.70588235294117652</v>
      </c>
      <c r="CK1416" s="167">
        <f>$N1416/17</f>
        <v>0.70588235294117652</v>
      </c>
      <c r="CL1416" s="167">
        <f>$N1416/17</f>
        <v>0.70588235294117652</v>
      </c>
      <c r="CM1416" s="167">
        <f>$N1416/17</f>
        <v>0.70588235294117652</v>
      </c>
      <c r="CN1416" s="167">
        <f>$N1416/17</f>
        <v>0.70588235294117652</v>
      </c>
      <c r="CO1416" s="167">
        <f>$N1416/17</f>
        <v>0.70588235294117652</v>
      </c>
      <c r="CP1416" s="167">
        <f>$N1416/17</f>
        <v>0.70588235294117652</v>
      </c>
      <c r="CQ1416" s="167">
        <f>$N1416/17</f>
        <v>0.70588235294117652</v>
      </c>
      <c r="CR1416" s="167">
        <f>$N1416/17</f>
        <v>0.70588235294117652</v>
      </c>
      <c r="CS1416" s="167">
        <f>$N1416/17</f>
        <v>0.70588235294117652</v>
      </c>
      <c r="CT1416" s="167">
        <f>$N1416/17</f>
        <v>0.70588235294117652</v>
      </c>
      <c r="CU1416" s="167">
        <f>$N1416/17</f>
        <v>0.70588235294117652</v>
      </c>
      <c r="CV1416" s="167">
        <f>$N1416/17</f>
        <v>0.70588235294117652</v>
      </c>
      <c r="CW1416" s="167">
        <f>$N1416/17</f>
        <v>0.70588235294117652</v>
      </c>
      <c r="CX1416" s="167">
        <f>SUM(CD1416:CH1416)</f>
        <v>0</v>
      </c>
      <c r="CY1416" s="167">
        <f>SUM(CD1416:CM1416)</f>
        <v>2.8235294117647061</v>
      </c>
    </row>
    <row r="1417" spans="1:103" ht="12.75" customHeight="1" x14ac:dyDescent="0.2">
      <c r="A1417" s="81">
        <v>6877</v>
      </c>
      <c r="B1417" s="165" t="s">
        <v>1902</v>
      </c>
      <c r="C1417" s="165" t="s">
        <v>3531</v>
      </c>
      <c r="E1417" s="165" t="s">
        <v>3532</v>
      </c>
      <c r="G1417" s="81">
        <v>529311</v>
      </c>
      <c r="H1417" s="81">
        <v>177427</v>
      </c>
      <c r="I1417" s="165" t="s">
        <v>240</v>
      </c>
      <c r="L1417" s="166">
        <v>0</v>
      </c>
      <c r="M1417" s="166">
        <v>59</v>
      </c>
      <c r="N1417" s="166">
        <v>59</v>
      </c>
      <c r="O1417" s="166">
        <v>69</v>
      </c>
      <c r="P1417" s="166">
        <v>69</v>
      </c>
      <c r="Q1417" s="81" t="s">
        <v>155</v>
      </c>
      <c r="R1417" s="165" t="s">
        <v>1905</v>
      </c>
      <c r="S1417" s="81" t="s">
        <v>1906</v>
      </c>
      <c r="W1417" s="81" t="s">
        <v>114</v>
      </c>
      <c r="Y1417" s="81" t="s">
        <v>115</v>
      </c>
      <c r="Z1417" s="81" t="s">
        <v>116</v>
      </c>
      <c r="AA1417" s="81" t="s">
        <v>116</v>
      </c>
      <c r="AB1417" s="81" t="s">
        <v>117</v>
      </c>
      <c r="AC1417" s="166">
        <v>0</v>
      </c>
      <c r="AG1417" s="81" t="s">
        <v>238</v>
      </c>
      <c r="AH1417" s="81" t="s">
        <v>118</v>
      </c>
      <c r="AI1417" s="81" t="s">
        <v>1751</v>
      </c>
      <c r="AJ1417" s="81">
        <v>17320349</v>
      </c>
      <c r="AK1417" s="166">
        <v>0</v>
      </c>
      <c r="AM1417" s="166">
        <v>0</v>
      </c>
      <c r="AO1417" s="166">
        <v>0</v>
      </c>
      <c r="AP1417" s="166">
        <v>0</v>
      </c>
      <c r="AQ1417" s="166">
        <v>0</v>
      </c>
      <c r="AR1417" s="166">
        <v>0</v>
      </c>
      <c r="AS1417" s="166">
        <v>0</v>
      </c>
      <c r="AT1417" s="166">
        <v>0</v>
      </c>
      <c r="AU1417" s="166">
        <v>59</v>
      </c>
      <c r="AV1417" s="166">
        <v>0</v>
      </c>
      <c r="AW1417" s="166">
        <v>0</v>
      </c>
      <c r="AX1417" s="166">
        <v>0</v>
      </c>
      <c r="AY1417" s="166">
        <v>0</v>
      </c>
      <c r="AZ1417" s="166">
        <v>0</v>
      </c>
      <c r="BA1417" s="166">
        <v>0</v>
      </c>
      <c r="BB1417" s="166">
        <v>59</v>
      </c>
      <c r="BC1417" s="166">
        <v>0</v>
      </c>
      <c r="BD1417" s="166">
        <v>0</v>
      </c>
      <c r="BE1417" s="166">
        <v>0</v>
      </c>
      <c r="BF1417" s="166">
        <v>0</v>
      </c>
      <c r="BG1417" s="166">
        <v>0</v>
      </c>
      <c r="BH1417" s="166">
        <v>0</v>
      </c>
      <c r="BI1417" s="166">
        <v>0</v>
      </c>
      <c r="BJ1417" s="166">
        <v>0</v>
      </c>
      <c r="BK1417" s="166">
        <v>0</v>
      </c>
      <c r="BL1417" s="166">
        <v>0</v>
      </c>
      <c r="BM1417" s="166">
        <v>0</v>
      </c>
      <c r="BN1417" s="166">
        <v>0</v>
      </c>
      <c r="BO1417" s="166">
        <v>0</v>
      </c>
      <c r="BP1417" s="166">
        <v>0</v>
      </c>
      <c r="BQ1417" s="81" t="s">
        <v>1759</v>
      </c>
      <c r="BS1417" s="81" t="s">
        <v>155</v>
      </c>
      <c r="BZ1417" s="81" t="s">
        <v>155</v>
      </c>
      <c r="CA1417" s="81">
        <v>12</v>
      </c>
      <c r="CC1417" s="167">
        <v>0</v>
      </c>
      <c r="CD1417" s="167">
        <v>0</v>
      </c>
      <c r="CE1417" s="167">
        <v>0</v>
      </c>
      <c r="CF1417" s="167">
        <v>0</v>
      </c>
      <c r="CG1417" s="167">
        <v>0</v>
      </c>
      <c r="CH1417" s="167">
        <v>0</v>
      </c>
      <c r="CI1417" s="167">
        <v>0</v>
      </c>
      <c r="CJ1417" s="167">
        <v>0</v>
      </c>
      <c r="CK1417" s="167">
        <f>N1417</f>
        <v>59</v>
      </c>
      <c r="CL1417" s="167">
        <v>0</v>
      </c>
      <c r="CM1417" s="167">
        <v>0</v>
      </c>
      <c r="CN1417" s="167">
        <v>0</v>
      </c>
      <c r="CO1417" s="167">
        <v>0</v>
      </c>
      <c r="CP1417" s="167">
        <v>0</v>
      </c>
      <c r="CQ1417" s="167">
        <v>0</v>
      </c>
      <c r="CR1417" s="167">
        <v>0</v>
      </c>
      <c r="CS1417" s="167">
        <v>0</v>
      </c>
      <c r="CT1417" s="167">
        <v>0</v>
      </c>
      <c r="CU1417" s="167">
        <v>0</v>
      </c>
      <c r="CV1417" s="167">
        <v>0</v>
      </c>
      <c r="CW1417" s="167">
        <v>0</v>
      </c>
      <c r="CX1417" s="167">
        <f>SUM(CD1417:CH1417)</f>
        <v>0</v>
      </c>
      <c r="CY1417" s="167">
        <f>SUM(CD1417:CM1417)</f>
        <v>59</v>
      </c>
    </row>
    <row r="1418" spans="1:103" ht="12.75" customHeight="1" x14ac:dyDescent="0.2">
      <c r="A1418" s="81">
        <v>6877</v>
      </c>
      <c r="B1418" s="165" t="s">
        <v>1902</v>
      </c>
      <c r="C1418" s="165" t="s">
        <v>3531</v>
      </c>
      <c r="E1418" s="165" t="s">
        <v>3532</v>
      </c>
      <c r="G1418" s="81">
        <v>529311</v>
      </c>
      <c r="H1418" s="81">
        <v>177427</v>
      </c>
      <c r="I1418" s="165" t="s">
        <v>240</v>
      </c>
      <c r="L1418" s="166">
        <v>0</v>
      </c>
      <c r="M1418" s="166">
        <v>6</v>
      </c>
      <c r="N1418" s="166">
        <v>6</v>
      </c>
      <c r="O1418" s="166">
        <v>69</v>
      </c>
      <c r="P1418" s="166">
        <v>69</v>
      </c>
      <c r="Q1418" s="81" t="s">
        <v>155</v>
      </c>
      <c r="R1418" s="165" t="s">
        <v>1905</v>
      </c>
      <c r="S1418" s="81" t="s">
        <v>1906</v>
      </c>
      <c r="W1418" s="81" t="s">
        <v>114</v>
      </c>
      <c r="Y1418" s="81" t="s">
        <v>115</v>
      </c>
      <c r="Z1418" s="81" t="s">
        <v>116</v>
      </c>
      <c r="AA1418" s="81" t="s">
        <v>117</v>
      </c>
      <c r="AB1418" s="81" t="s">
        <v>218</v>
      </c>
      <c r="AC1418" s="166">
        <v>0</v>
      </c>
      <c r="AG1418" s="81" t="s">
        <v>154</v>
      </c>
      <c r="AH1418" s="81" t="s">
        <v>276</v>
      </c>
      <c r="AI1418" s="81" t="s">
        <v>1751</v>
      </c>
      <c r="AJ1418" s="81">
        <v>17320349</v>
      </c>
      <c r="AK1418" s="166">
        <v>0</v>
      </c>
      <c r="AM1418" s="166">
        <v>0</v>
      </c>
      <c r="AO1418" s="166">
        <v>0</v>
      </c>
      <c r="AP1418" s="166">
        <v>0</v>
      </c>
      <c r="AQ1418" s="166">
        <v>0</v>
      </c>
      <c r="AR1418" s="166">
        <v>0</v>
      </c>
      <c r="AS1418" s="166">
        <v>0</v>
      </c>
      <c r="AT1418" s="166">
        <v>0</v>
      </c>
      <c r="AU1418" s="166">
        <v>6</v>
      </c>
      <c r="AV1418" s="166">
        <v>0</v>
      </c>
      <c r="AW1418" s="166">
        <v>0</v>
      </c>
      <c r="AX1418" s="166">
        <v>0</v>
      </c>
      <c r="AY1418" s="166">
        <v>0</v>
      </c>
      <c r="AZ1418" s="166">
        <v>0</v>
      </c>
      <c r="BA1418" s="166">
        <v>0</v>
      </c>
      <c r="BB1418" s="166">
        <v>6</v>
      </c>
      <c r="BC1418" s="166">
        <v>0</v>
      </c>
      <c r="BD1418" s="166">
        <v>0</v>
      </c>
      <c r="BE1418" s="166">
        <v>0</v>
      </c>
      <c r="BF1418" s="166">
        <v>0</v>
      </c>
      <c r="BG1418" s="166">
        <v>0</v>
      </c>
      <c r="BH1418" s="166">
        <v>0</v>
      </c>
      <c r="BI1418" s="166">
        <v>0</v>
      </c>
      <c r="BJ1418" s="166">
        <v>0</v>
      </c>
      <c r="BK1418" s="166">
        <v>0</v>
      </c>
      <c r="BL1418" s="166">
        <v>0</v>
      </c>
      <c r="BM1418" s="166">
        <v>0</v>
      </c>
      <c r="BN1418" s="166">
        <v>0</v>
      </c>
      <c r="BO1418" s="166">
        <v>0</v>
      </c>
      <c r="BP1418" s="166">
        <v>0</v>
      </c>
      <c r="BQ1418" s="81" t="s">
        <v>1759</v>
      </c>
      <c r="BS1418" s="81" t="s">
        <v>155</v>
      </c>
      <c r="BZ1418" s="81" t="s">
        <v>155</v>
      </c>
      <c r="CA1418" s="81">
        <v>12</v>
      </c>
      <c r="CC1418" s="167">
        <v>0</v>
      </c>
      <c r="CD1418" s="167">
        <v>0</v>
      </c>
      <c r="CE1418" s="167">
        <v>0</v>
      </c>
      <c r="CF1418" s="167">
        <v>0</v>
      </c>
      <c r="CG1418" s="167">
        <v>0</v>
      </c>
      <c r="CH1418" s="167">
        <v>0</v>
      </c>
      <c r="CI1418" s="167">
        <v>0</v>
      </c>
      <c r="CJ1418" s="167">
        <v>0</v>
      </c>
      <c r="CK1418" s="167">
        <f>N1418</f>
        <v>6</v>
      </c>
      <c r="CL1418" s="167">
        <v>0</v>
      </c>
      <c r="CM1418" s="167">
        <v>0</v>
      </c>
      <c r="CN1418" s="167">
        <v>0</v>
      </c>
      <c r="CO1418" s="167">
        <v>0</v>
      </c>
      <c r="CP1418" s="167">
        <v>0</v>
      </c>
      <c r="CQ1418" s="167">
        <v>0</v>
      </c>
      <c r="CR1418" s="167">
        <v>0</v>
      </c>
      <c r="CS1418" s="167">
        <v>0</v>
      </c>
      <c r="CT1418" s="167">
        <v>0</v>
      </c>
      <c r="CU1418" s="167">
        <v>0</v>
      </c>
      <c r="CV1418" s="167">
        <v>0</v>
      </c>
      <c r="CW1418" s="167">
        <v>0</v>
      </c>
      <c r="CX1418" s="167">
        <f>SUM(CD1418:CH1418)</f>
        <v>0</v>
      </c>
      <c r="CY1418" s="167">
        <f>SUM(CD1418:CM1418)</f>
        <v>6</v>
      </c>
    </row>
    <row r="1419" spans="1:103" ht="12.75" customHeight="1" x14ac:dyDescent="0.2">
      <c r="A1419" s="81">
        <v>6877</v>
      </c>
      <c r="B1419" s="165" t="s">
        <v>1902</v>
      </c>
      <c r="C1419" s="165" t="s">
        <v>3531</v>
      </c>
      <c r="E1419" s="165" t="s">
        <v>3532</v>
      </c>
      <c r="G1419" s="81">
        <v>529311</v>
      </c>
      <c r="H1419" s="81">
        <v>177427</v>
      </c>
      <c r="I1419" s="165" t="s">
        <v>240</v>
      </c>
      <c r="L1419" s="166">
        <v>0</v>
      </c>
      <c r="M1419" s="166">
        <v>4</v>
      </c>
      <c r="N1419" s="166">
        <v>4</v>
      </c>
      <c r="O1419" s="166">
        <v>69</v>
      </c>
      <c r="P1419" s="166">
        <v>69</v>
      </c>
      <c r="Q1419" s="81" t="s">
        <v>155</v>
      </c>
      <c r="R1419" s="165" t="s">
        <v>1905</v>
      </c>
      <c r="S1419" s="81" t="s">
        <v>1906</v>
      </c>
      <c r="W1419" s="81" t="s">
        <v>114</v>
      </c>
      <c r="Y1419" s="81" t="s">
        <v>115</v>
      </c>
      <c r="Z1419" s="81" t="s">
        <v>116</v>
      </c>
      <c r="AA1419" s="81" t="s">
        <v>117</v>
      </c>
      <c r="AB1419" s="81" t="s">
        <v>218</v>
      </c>
      <c r="AC1419" s="166">
        <v>0</v>
      </c>
      <c r="AG1419" s="81" t="s">
        <v>74</v>
      </c>
      <c r="AH1419" s="81" t="s">
        <v>990</v>
      </c>
      <c r="AI1419" s="81" t="s">
        <v>1751</v>
      </c>
      <c r="AJ1419" s="81">
        <v>17320349</v>
      </c>
      <c r="AK1419" s="166">
        <v>0</v>
      </c>
      <c r="AM1419" s="166">
        <v>0</v>
      </c>
      <c r="AO1419" s="166">
        <v>0</v>
      </c>
      <c r="AP1419" s="166">
        <v>0</v>
      </c>
      <c r="AQ1419" s="166">
        <v>0</v>
      </c>
      <c r="AR1419" s="166">
        <v>0</v>
      </c>
      <c r="AS1419" s="166">
        <v>0</v>
      </c>
      <c r="AT1419" s="166">
        <v>0</v>
      </c>
      <c r="AU1419" s="166">
        <v>4</v>
      </c>
      <c r="AV1419" s="166">
        <v>0</v>
      </c>
      <c r="AW1419" s="166">
        <v>0</v>
      </c>
      <c r="AX1419" s="166">
        <v>0</v>
      </c>
      <c r="AY1419" s="166">
        <v>0</v>
      </c>
      <c r="AZ1419" s="166">
        <v>0</v>
      </c>
      <c r="BA1419" s="166">
        <v>0</v>
      </c>
      <c r="BB1419" s="166">
        <v>4</v>
      </c>
      <c r="BC1419" s="166">
        <v>0</v>
      </c>
      <c r="BD1419" s="166">
        <v>0</v>
      </c>
      <c r="BE1419" s="166">
        <v>0</v>
      </c>
      <c r="BF1419" s="166">
        <v>0</v>
      </c>
      <c r="BG1419" s="166">
        <v>0</v>
      </c>
      <c r="BH1419" s="166">
        <v>0</v>
      </c>
      <c r="BI1419" s="166">
        <v>0</v>
      </c>
      <c r="BJ1419" s="166">
        <v>0</v>
      </c>
      <c r="BK1419" s="166">
        <v>0</v>
      </c>
      <c r="BL1419" s="166">
        <v>0</v>
      </c>
      <c r="BM1419" s="166">
        <v>0</v>
      </c>
      <c r="BN1419" s="166">
        <v>0</v>
      </c>
      <c r="BO1419" s="166">
        <v>0</v>
      </c>
      <c r="BP1419" s="166">
        <v>0</v>
      </c>
      <c r="BQ1419" s="81" t="s">
        <v>1759</v>
      </c>
      <c r="BS1419" s="81" t="s">
        <v>155</v>
      </c>
      <c r="BZ1419" s="81" t="s">
        <v>155</v>
      </c>
      <c r="CA1419" s="81">
        <v>12</v>
      </c>
      <c r="CC1419" s="167">
        <v>0</v>
      </c>
      <c r="CD1419" s="167">
        <v>0</v>
      </c>
      <c r="CE1419" s="167">
        <v>0</v>
      </c>
      <c r="CF1419" s="167">
        <v>0</v>
      </c>
      <c r="CG1419" s="167">
        <v>0</v>
      </c>
      <c r="CH1419" s="167">
        <v>0</v>
      </c>
      <c r="CI1419" s="167">
        <v>0</v>
      </c>
      <c r="CJ1419" s="167">
        <v>0</v>
      </c>
      <c r="CK1419" s="167">
        <f>N1419</f>
        <v>4</v>
      </c>
      <c r="CL1419" s="167">
        <v>0</v>
      </c>
      <c r="CM1419" s="167">
        <v>0</v>
      </c>
      <c r="CN1419" s="167">
        <v>0</v>
      </c>
      <c r="CO1419" s="167">
        <v>0</v>
      </c>
      <c r="CP1419" s="167">
        <v>0</v>
      </c>
      <c r="CQ1419" s="167">
        <v>0</v>
      </c>
      <c r="CR1419" s="167">
        <v>0</v>
      </c>
      <c r="CS1419" s="167">
        <v>0</v>
      </c>
      <c r="CT1419" s="167">
        <v>0</v>
      </c>
      <c r="CU1419" s="167">
        <v>0</v>
      </c>
      <c r="CV1419" s="167">
        <v>0</v>
      </c>
      <c r="CW1419" s="167">
        <v>0</v>
      </c>
      <c r="CX1419" s="167">
        <f>SUM(CD1419:CH1419)</f>
        <v>0</v>
      </c>
      <c r="CY1419" s="167">
        <f>SUM(CD1419:CM1419)</f>
        <v>4</v>
      </c>
    </row>
    <row r="1420" spans="1:103" ht="12.75" customHeight="1" x14ac:dyDescent="0.2">
      <c r="A1420" s="81">
        <v>6889</v>
      </c>
      <c r="B1420" s="165" t="s">
        <v>1902</v>
      </c>
      <c r="C1420" s="165" t="s">
        <v>3533</v>
      </c>
      <c r="E1420" s="165" t="s">
        <v>3534</v>
      </c>
      <c r="F1420" s="165" t="s">
        <v>3535</v>
      </c>
      <c r="G1420" s="81">
        <v>529292</v>
      </c>
      <c r="H1420" s="81">
        <v>177503</v>
      </c>
      <c r="I1420" s="165" t="s">
        <v>240</v>
      </c>
      <c r="L1420" s="166">
        <v>0</v>
      </c>
      <c r="M1420" s="166">
        <v>6</v>
      </c>
      <c r="N1420" s="166">
        <v>6</v>
      </c>
      <c r="O1420" s="166">
        <v>93</v>
      </c>
      <c r="P1420" s="166">
        <v>93</v>
      </c>
      <c r="Q1420" s="81" t="s">
        <v>155</v>
      </c>
      <c r="R1420" s="165" t="s">
        <v>1905</v>
      </c>
      <c r="S1420" s="81" t="s">
        <v>1906</v>
      </c>
      <c r="W1420" s="81" t="s">
        <v>114</v>
      </c>
      <c r="Y1420" s="81" t="s">
        <v>115</v>
      </c>
      <c r="Z1420" s="81" t="s">
        <v>116</v>
      </c>
      <c r="AA1420" s="81" t="s">
        <v>117</v>
      </c>
      <c r="AB1420" s="81" t="s">
        <v>218</v>
      </c>
      <c r="AC1420" s="166">
        <v>0</v>
      </c>
      <c r="AG1420" s="81" t="s">
        <v>74</v>
      </c>
      <c r="AH1420" s="81" t="s">
        <v>990</v>
      </c>
      <c r="AI1420" s="81" t="s">
        <v>1739</v>
      </c>
      <c r="AJ1420" s="81">
        <v>17320103</v>
      </c>
      <c r="AK1420" s="166">
        <v>0</v>
      </c>
      <c r="AM1420" s="166">
        <v>0</v>
      </c>
      <c r="AO1420" s="166">
        <v>0</v>
      </c>
      <c r="AP1420" s="166">
        <v>0</v>
      </c>
      <c r="AQ1420" s="166">
        <v>0</v>
      </c>
      <c r="AR1420" s="166">
        <v>0</v>
      </c>
      <c r="AS1420" s="166">
        <v>0</v>
      </c>
      <c r="AT1420" s="166">
        <v>0</v>
      </c>
      <c r="AU1420" s="166">
        <v>6</v>
      </c>
      <c r="AV1420" s="166">
        <v>0</v>
      </c>
      <c r="AW1420" s="166">
        <v>0</v>
      </c>
      <c r="AX1420" s="166">
        <v>0</v>
      </c>
      <c r="AY1420" s="166">
        <v>0</v>
      </c>
      <c r="AZ1420" s="166">
        <v>0</v>
      </c>
      <c r="BA1420" s="166">
        <v>0</v>
      </c>
      <c r="BB1420" s="166">
        <v>6</v>
      </c>
      <c r="BC1420" s="166">
        <v>0</v>
      </c>
      <c r="BD1420" s="166">
        <v>0</v>
      </c>
      <c r="BE1420" s="166">
        <v>0</v>
      </c>
      <c r="BF1420" s="166">
        <v>0</v>
      </c>
      <c r="BG1420" s="166">
        <v>0</v>
      </c>
      <c r="BH1420" s="166">
        <v>0</v>
      </c>
      <c r="BI1420" s="166">
        <v>0</v>
      </c>
      <c r="BJ1420" s="166">
        <v>0</v>
      </c>
      <c r="BK1420" s="166">
        <v>0</v>
      </c>
      <c r="BL1420" s="166">
        <v>0</v>
      </c>
      <c r="BM1420" s="166">
        <v>0</v>
      </c>
      <c r="BN1420" s="166">
        <v>0</v>
      </c>
      <c r="BO1420" s="166">
        <v>0</v>
      </c>
      <c r="BP1420" s="166">
        <v>0</v>
      </c>
      <c r="BQ1420" s="81" t="s">
        <v>1759</v>
      </c>
      <c r="BS1420" s="81" t="s">
        <v>155</v>
      </c>
      <c r="BZ1420" s="81" t="s">
        <v>155</v>
      </c>
      <c r="CA1420" s="81">
        <v>12</v>
      </c>
      <c r="CC1420" s="167">
        <v>0</v>
      </c>
      <c r="CD1420" s="167">
        <v>0</v>
      </c>
      <c r="CE1420" s="167">
        <v>0</v>
      </c>
      <c r="CF1420" s="167">
        <v>0</v>
      </c>
      <c r="CG1420" s="167">
        <v>0</v>
      </c>
      <c r="CH1420" s="167">
        <v>0</v>
      </c>
      <c r="CI1420" s="167">
        <v>0</v>
      </c>
      <c r="CJ1420" s="167">
        <v>0</v>
      </c>
      <c r="CK1420" s="167">
        <f>N1420</f>
        <v>6</v>
      </c>
      <c r="CL1420" s="167">
        <v>0</v>
      </c>
      <c r="CM1420" s="167">
        <v>0</v>
      </c>
      <c r="CN1420" s="167">
        <v>0</v>
      </c>
      <c r="CO1420" s="167">
        <v>0</v>
      </c>
      <c r="CP1420" s="167">
        <v>0</v>
      </c>
      <c r="CQ1420" s="167">
        <v>0</v>
      </c>
      <c r="CR1420" s="167">
        <v>0</v>
      </c>
      <c r="CS1420" s="167">
        <v>0</v>
      </c>
      <c r="CT1420" s="167">
        <v>0</v>
      </c>
      <c r="CU1420" s="167">
        <v>0</v>
      </c>
      <c r="CV1420" s="167">
        <v>0</v>
      </c>
      <c r="CW1420" s="167">
        <v>0</v>
      </c>
      <c r="CX1420" s="167">
        <f>SUM(CD1420:CH1420)</f>
        <v>0</v>
      </c>
      <c r="CY1420" s="167">
        <f>SUM(CD1420:CM1420)</f>
        <v>6</v>
      </c>
    </row>
    <row r="1421" spans="1:103" ht="12.75" customHeight="1" x14ac:dyDescent="0.2">
      <c r="A1421" s="81">
        <v>6889</v>
      </c>
      <c r="B1421" s="165" t="s">
        <v>1902</v>
      </c>
      <c r="C1421" s="165" t="s">
        <v>3533</v>
      </c>
      <c r="E1421" s="165" t="s">
        <v>3534</v>
      </c>
      <c r="F1421" s="165" t="s">
        <v>1556</v>
      </c>
      <c r="G1421" s="81">
        <v>529292</v>
      </c>
      <c r="H1421" s="81">
        <v>177503</v>
      </c>
      <c r="I1421" s="165" t="s">
        <v>240</v>
      </c>
      <c r="L1421" s="166">
        <v>0</v>
      </c>
      <c r="M1421" s="166">
        <v>79</v>
      </c>
      <c r="N1421" s="166">
        <v>79</v>
      </c>
      <c r="O1421" s="166">
        <v>93</v>
      </c>
      <c r="P1421" s="166">
        <v>93</v>
      </c>
      <c r="Q1421" s="81" t="s">
        <v>155</v>
      </c>
      <c r="R1421" s="165" t="s">
        <v>1905</v>
      </c>
      <c r="S1421" s="81" t="s">
        <v>1906</v>
      </c>
      <c r="W1421" s="81" t="s">
        <v>114</v>
      </c>
      <c r="Y1421" s="81" t="s">
        <v>115</v>
      </c>
      <c r="Z1421" s="81" t="s">
        <v>116</v>
      </c>
      <c r="AA1421" s="81" t="s">
        <v>116</v>
      </c>
      <c r="AB1421" s="81" t="s">
        <v>117</v>
      </c>
      <c r="AC1421" s="166">
        <v>0</v>
      </c>
      <c r="AG1421" s="81" t="s">
        <v>238</v>
      </c>
      <c r="AH1421" s="81" t="s">
        <v>118</v>
      </c>
      <c r="AI1421" s="81" t="s">
        <v>1739</v>
      </c>
      <c r="AJ1421" s="81">
        <v>17320103</v>
      </c>
      <c r="AK1421" s="166">
        <v>0</v>
      </c>
      <c r="AM1421" s="166">
        <v>0</v>
      </c>
      <c r="AO1421" s="166">
        <v>0</v>
      </c>
      <c r="AP1421" s="166">
        <v>0</v>
      </c>
      <c r="AQ1421" s="166">
        <v>0</v>
      </c>
      <c r="AR1421" s="166">
        <v>0</v>
      </c>
      <c r="AS1421" s="166">
        <v>0</v>
      </c>
      <c r="AT1421" s="166">
        <v>0</v>
      </c>
      <c r="AU1421" s="166">
        <v>79</v>
      </c>
      <c r="AV1421" s="166">
        <v>0</v>
      </c>
      <c r="AW1421" s="166">
        <v>0</v>
      </c>
      <c r="AX1421" s="166">
        <v>0</v>
      </c>
      <c r="AY1421" s="166">
        <v>0</v>
      </c>
      <c r="AZ1421" s="166">
        <v>0</v>
      </c>
      <c r="BA1421" s="166">
        <v>0</v>
      </c>
      <c r="BB1421" s="166">
        <v>79</v>
      </c>
      <c r="BC1421" s="166">
        <v>0</v>
      </c>
      <c r="BD1421" s="166">
        <v>0</v>
      </c>
      <c r="BE1421" s="166">
        <v>0</v>
      </c>
      <c r="BF1421" s="166">
        <v>0</v>
      </c>
      <c r="BG1421" s="166">
        <v>0</v>
      </c>
      <c r="BH1421" s="166">
        <v>0</v>
      </c>
      <c r="BI1421" s="166">
        <v>0</v>
      </c>
      <c r="BJ1421" s="166">
        <v>0</v>
      </c>
      <c r="BK1421" s="166">
        <v>0</v>
      </c>
      <c r="BL1421" s="166">
        <v>0</v>
      </c>
      <c r="BM1421" s="166">
        <v>0</v>
      </c>
      <c r="BN1421" s="166">
        <v>0</v>
      </c>
      <c r="BO1421" s="166">
        <v>0</v>
      </c>
      <c r="BP1421" s="166">
        <v>0</v>
      </c>
      <c r="BQ1421" s="81" t="s">
        <v>1759</v>
      </c>
      <c r="BS1421" s="81" t="s">
        <v>155</v>
      </c>
      <c r="BZ1421" s="81" t="s">
        <v>155</v>
      </c>
      <c r="CA1421" s="81">
        <v>12</v>
      </c>
      <c r="CC1421" s="167">
        <v>0</v>
      </c>
      <c r="CD1421" s="167">
        <v>0</v>
      </c>
      <c r="CE1421" s="167">
        <v>0</v>
      </c>
      <c r="CF1421" s="167">
        <v>0</v>
      </c>
      <c r="CG1421" s="167">
        <v>0</v>
      </c>
      <c r="CH1421" s="167">
        <v>0</v>
      </c>
      <c r="CI1421" s="167">
        <v>0</v>
      </c>
      <c r="CJ1421" s="167">
        <v>0</v>
      </c>
      <c r="CK1421" s="167">
        <f>N1421</f>
        <v>79</v>
      </c>
      <c r="CL1421" s="167">
        <v>0</v>
      </c>
      <c r="CM1421" s="167">
        <v>0</v>
      </c>
      <c r="CN1421" s="167">
        <v>0</v>
      </c>
      <c r="CO1421" s="167">
        <v>0</v>
      </c>
      <c r="CP1421" s="167">
        <v>0</v>
      </c>
      <c r="CQ1421" s="167">
        <v>0</v>
      </c>
      <c r="CR1421" s="167">
        <v>0</v>
      </c>
      <c r="CS1421" s="167">
        <v>0</v>
      </c>
      <c r="CT1421" s="167">
        <v>0</v>
      </c>
      <c r="CU1421" s="167">
        <v>0</v>
      </c>
      <c r="CV1421" s="167">
        <v>0</v>
      </c>
      <c r="CW1421" s="167">
        <v>0</v>
      </c>
      <c r="CX1421" s="167">
        <f>SUM(CD1421:CH1421)</f>
        <v>0</v>
      </c>
      <c r="CY1421" s="167">
        <f>SUM(CD1421:CM1421)</f>
        <v>79</v>
      </c>
    </row>
    <row r="1422" spans="1:103" ht="12.75" customHeight="1" x14ac:dyDescent="0.2">
      <c r="A1422" s="81">
        <v>6889</v>
      </c>
      <c r="B1422" s="165" t="s">
        <v>1902</v>
      </c>
      <c r="C1422" s="165" t="s">
        <v>3533</v>
      </c>
      <c r="E1422" s="165" t="s">
        <v>3534</v>
      </c>
      <c r="F1422" s="165" t="s">
        <v>3536</v>
      </c>
      <c r="G1422" s="81">
        <v>529292</v>
      </c>
      <c r="H1422" s="81">
        <v>177503</v>
      </c>
      <c r="I1422" s="165" t="s">
        <v>240</v>
      </c>
      <c r="L1422" s="166">
        <v>0</v>
      </c>
      <c r="M1422" s="166">
        <v>8</v>
      </c>
      <c r="N1422" s="166">
        <v>8</v>
      </c>
      <c r="O1422" s="166">
        <v>93</v>
      </c>
      <c r="P1422" s="166">
        <v>93</v>
      </c>
      <c r="Q1422" s="81" t="s">
        <v>155</v>
      </c>
      <c r="R1422" s="165" t="s">
        <v>1905</v>
      </c>
      <c r="S1422" s="81" t="s">
        <v>1906</v>
      </c>
      <c r="W1422" s="81" t="s">
        <v>114</v>
      </c>
      <c r="Y1422" s="81" t="s">
        <v>115</v>
      </c>
      <c r="Z1422" s="81" t="s">
        <v>116</v>
      </c>
      <c r="AA1422" s="81" t="s">
        <v>117</v>
      </c>
      <c r="AB1422" s="81" t="s">
        <v>218</v>
      </c>
      <c r="AC1422" s="166">
        <v>0</v>
      </c>
      <c r="AG1422" s="81" t="s">
        <v>154</v>
      </c>
      <c r="AH1422" s="81" t="s">
        <v>276</v>
      </c>
      <c r="AI1422" s="81" t="s">
        <v>1739</v>
      </c>
      <c r="AJ1422" s="81">
        <v>17320103</v>
      </c>
      <c r="AK1422" s="166">
        <v>0</v>
      </c>
      <c r="AM1422" s="166">
        <v>0</v>
      </c>
      <c r="AO1422" s="166">
        <v>0</v>
      </c>
      <c r="AP1422" s="166">
        <v>0</v>
      </c>
      <c r="AQ1422" s="166">
        <v>0</v>
      </c>
      <c r="AR1422" s="166">
        <v>0</v>
      </c>
      <c r="AS1422" s="166">
        <v>0</v>
      </c>
      <c r="AT1422" s="166">
        <v>0</v>
      </c>
      <c r="AU1422" s="166">
        <v>8</v>
      </c>
      <c r="AV1422" s="166">
        <v>0</v>
      </c>
      <c r="AW1422" s="166">
        <v>0</v>
      </c>
      <c r="AX1422" s="166">
        <v>0</v>
      </c>
      <c r="AY1422" s="166">
        <v>0</v>
      </c>
      <c r="AZ1422" s="166">
        <v>0</v>
      </c>
      <c r="BA1422" s="166">
        <v>0</v>
      </c>
      <c r="BB1422" s="166">
        <v>8</v>
      </c>
      <c r="BC1422" s="166">
        <v>0</v>
      </c>
      <c r="BD1422" s="166">
        <v>0</v>
      </c>
      <c r="BE1422" s="166">
        <v>0</v>
      </c>
      <c r="BF1422" s="166">
        <v>0</v>
      </c>
      <c r="BG1422" s="166">
        <v>0</v>
      </c>
      <c r="BH1422" s="166">
        <v>0</v>
      </c>
      <c r="BI1422" s="166">
        <v>0</v>
      </c>
      <c r="BJ1422" s="166">
        <v>0</v>
      </c>
      <c r="BK1422" s="166">
        <v>0</v>
      </c>
      <c r="BL1422" s="166">
        <v>0</v>
      </c>
      <c r="BM1422" s="166">
        <v>0</v>
      </c>
      <c r="BN1422" s="166">
        <v>0</v>
      </c>
      <c r="BO1422" s="166">
        <v>0</v>
      </c>
      <c r="BP1422" s="166">
        <v>0</v>
      </c>
      <c r="BQ1422" s="81" t="s">
        <v>1759</v>
      </c>
      <c r="BS1422" s="81" t="s">
        <v>155</v>
      </c>
      <c r="BZ1422" s="81" t="s">
        <v>155</v>
      </c>
      <c r="CA1422" s="81">
        <v>12</v>
      </c>
      <c r="CC1422" s="167">
        <v>0</v>
      </c>
      <c r="CD1422" s="167">
        <v>0</v>
      </c>
      <c r="CE1422" s="167">
        <v>0</v>
      </c>
      <c r="CF1422" s="167">
        <v>0</v>
      </c>
      <c r="CG1422" s="167">
        <v>0</v>
      </c>
      <c r="CH1422" s="167">
        <v>0</v>
      </c>
      <c r="CI1422" s="167">
        <v>0</v>
      </c>
      <c r="CJ1422" s="167">
        <v>0</v>
      </c>
      <c r="CK1422" s="167">
        <f>N1422</f>
        <v>8</v>
      </c>
      <c r="CL1422" s="167">
        <v>0</v>
      </c>
      <c r="CM1422" s="167">
        <v>0</v>
      </c>
      <c r="CN1422" s="167">
        <v>0</v>
      </c>
      <c r="CO1422" s="167">
        <v>0</v>
      </c>
      <c r="CP1422" s="167">
        <v>0</v>
      </c>
      <c r="CQ1422" s="167">
        <v>0</v>
      </c>
      <c r="CR1422" s="167">
        <v>0</v>
      </c>
      <c r="CS1422" s="167">
        <v>0</v>
      </c>
      <c r="CT1422" s="167">
        <v>0</v>
      </c>
      <c r="CU1422" s="167">
        <v>0</v>
      </c>
      <c r="CV1422" s="167">
        <v>0</v>
      </c>
      <c r="CW1422" s="167">
        <v>0</v>
      </c>
      <c r="CX1422" s="167">
        <f>SUM(CD1422:CH1422)</f>
        <v>0</v>
      </c>
      <c r="CY1422" s="167">
        <f>SUM(CD1422:CM1422)</f>
        <v>8</v>
      </c>
    </row>
    <row r="1423" spans="1:103" ht="12.75" customHeight="1" x14ac:dyDescent="0.2">
      <c r="A1423" s="81">
        <v>6890</v>
      </c>
      <c r="B1423" s="165" t="s">
        <v>1902</v>
      </c>
      <c r="C1423" s="165" t="s">
        <v>3537</v>
      </c>
      <c r="E1423" s="165" t="s">
        <v>3538</v>
      </c>
      <c r="F1423" s="165" t="s">
        <v>3535</v>
      </c>
      <c r="G1423" s="81">
        <v>529517</v>
      </c>
      <c r="H1423" s="81">
        <v>177263</v>
      </c>
      <c r="I1423" s="165" t="s">
        <v>240</v>
      </c>
      <c r="L1423" s="166">
        <v>0</v>
      </c>
      <c r="M1423" s="166">
        <v>3</v>
      </c>
      <c r="N1423" s="166">
        <v>3</v>
      </c>
      <c r="O1423" s="166">
        <v>51</v>
      </c>
      <c r="P1423" s="166">
        <v>51</v>
      </c>
      <c r="Q1423" s="81" t="s">
        <v>155</v>
      </c>
      <c r="R1423" s="165" t="s">
        <v>1905</v>
      </c>
      <c r="S1423" s="81" t="s">
        <v>1906</v>
      </c>
      <c r="W1423" s="81" t="s">
        <v>114</v>
      </c>
      <c r="Y1423" s="81" t="s">
        <v>115</v>
      </c>
      <c r="Z1423" s="81" t="s">
        <v>116</v>
      </c>
      <c r="AA1423" s="81" t="s">
        <v>117</v>
      </c>
      <c r="AB1423" s="81" t="s">
        <v>218</v>
      </c>
      <c r="AC1423" s="166">
        <v>0</v>
      </c>
      <c r="AG1423" s="81" t="s">
        <v>74</v>
      </c>
      <c r="AH1423" s="81" t="s">
        <v>990</v>
      </c>
      <c r="AI1423" s="81" t="s">
        <v>1743</v>
      </c>
      <c r="AJ1423" s="81">
        <v>17320133</v>
      </c>
      <c r="AK1423" s="166">
        <v>0</v>
      </c>
      <c r="AM1423" s="166">
        <v>0</v>
      </c>
      <c r="AO1423" s="166">
        <v>0</v>
      </c>
      <c r="AP1423" s="166">
        <v>0</v>
      </c>
      <c r="AQ1423" s="166">
        <v>0</v>
      </c>
      <c r="AR1423" s="166">
        <v>0</v>
      </c>
      <c r="AS1423" s="166">
        <v>0</v>
      </c>
      <c r="AT1423" s="166">
        <v>0</v>
      </c>
      <c r="AU1423" s="166">
        <v>3</v>
      </c>
      <c r="AV1423" s="166">
        <v>0</v>
      </c>
      <c r="AW1423" s="166">
        <v>0</v>
      </c>
      <c r="AX1423" s="166">
        <v>0</v>
      </c>
      <c r="AY1423" s="166">
        <v>0</v>
      </c>
      <c r="AZ1423" s="166">
        <v>0</v>
      </c>
      <c r="BA1423" s="166">
        <v>0</v>
      </c>
      <c r="BB1423" s="166">
        <v>3</v>
      </c>
      <c r="BC1423" s="166">
        <v>0</v>
      </c>
      <c r="BD1423" s="166">
        <v>0</v>
      </c>
      <c r="BE1423" s="166">
        <v>0</v>
      </c>
      <c r="BF1423" s="166">
        <v>0</v>
      </c>
      <c r="BG1423" s="166">
        <v>0</v>
      </c>
      <c r="BH1423" s="166">
        <v>0</v>
      </c>
      <c r="BI1423" s="166">
        <v>0</v>
      </c>
      <c r="BJ1423" s="166">
        <v>0</v>
      </c>
      <c r="BK1423" s="166">
        <v>0</v>
      </c>
      <c r="BL1423" s="166">
        <v>0</v>
      </c>
      <c r="BM1423" s="166">
        <v>0</v>
      </c>
      <c r="BN1423" s="166">
        <v>0</v>
      </c>
      <c r="BO1423" s="166">
        <v>0</v>
      </c>
      <c r="BP1423" s="166">
        <v>0</v>
      </c>
      <c r="BQ1423" s="81" t="s">
        <v>1759</v>
      </c>
      <c r="BS1423" s="81" t="s">
        <v>155</v>
      </c>
      <c r="BZ1423" s="81" t="s">
        <v>155</v>
      </c>
      <c r="CA1423" s="81">
        <v>12</v>
      </c>
      <c r="CC1423" s="167">
        <v>0</v>
      </c>
      <c r="CD1423" s="167">
        <v>0</v>
      </c>
      <c r="CE1423" s="167">
        <v>0</v>
      </c>
      <c r="CF1423" s="167">
        <v>0</v>
      </c>
      <c r="CG1423" s="167">
        <v>0</v>
      </c>
      <c r="CH1423" s="167">
        <f>N1423</f>
        <v>3</v>
      </c>
      <c r="CI1423" s="167">
        <v>0</v>
      </c>
      <c r="CJ1423" s="167">
        <v>0</v>
      </c>
      <c r="CK1423" s="167">
        <v>0</v>
      </c>
      <c r="CL1423" s="167">
        <v>0</v>
      </c>
      <c r="CM1423" s="167">
        <v>0</v>
      </c>
      <c r="CN1423" s="167">
        <v>0</v>
      </c>
      <c r="CO1423" s="167">
        <v>0</v>
      </c>
      <c r="CP1423" s="167">
        <v>0</v>
      </c>
      <c r="CQ1423" s="167">
        <v>0</v>
      </c>
      <c r="CR1423" s="167">
        <v>0</v>
      </c>
      <c r="CS1423" s="167">
        <v>0</v>
      </c>
      <c r="CT1423" s="167">
        <v>0</v>
      </c>
      <c r="CU1423" s="167">
        <v>0</v>
      </c>
      <c r="CV1423" s="167">
        <v>0</v>
      </c>
      <c r="CW1423" s="167">
        <v>0</v>
      </c>
      <c r="CX1423" s="167">
        <f>SUM(CD1423:CH1423)</f>
        <v>3</v>
      </c>
      <c r="CY1423" s="167">
        <f>SUM(CD1423:CM1423)</f>
        <v>3</v>
      </c>
    </row>
    <row r="1424" spans="1:103" ht="12.75" customHeight="1" x14ac:dyDescent="0.2">
      <c r="A1424" s="81">
        <v>6890</v>
      </c>
      <c r="B1424" s="165" t="s">
        <v>1902</v>
      </c>
      <c r="C1424" s="165" t="s">
        <v>3537</v>
      </c>
      <c r="E1424" s="165" t="s">
        <v>3538</v>
      </c>
      <c r="F1424" s="165" t="s">
        <v>1556</v>
      </c>
      <c r="G1424" s="81">
        <v>529517</v>
      </c>
      <c r="H1424" s="81">
        <v>177263</v>
      </c>
      <c r="I1424" s="165" t="s">
        <v>240</v>
      </c>
      <c r="L1424" s="166">
        <v>0</v>
      </c>
      <c r="M1424" s="166">
        <v>43</v>
      </c>
      <c r="N1424" s="166">
        <v>43</v>
      </c>
      <c r="O1424" s="166">
        <v>51</v>
      </c>
      <c r="P1424" s="166">
        <v>51</v>
      </c>
      <c r="Q1424" s="81" t="s">
        <v>155</v>
      </c>
      <c r="R1424" s="165" t="s">
        <v>1905</v>
      </c>
      <c r="S1424" s="81" t="s">
        <v>1906</v>
      </c>
      <c r="W1424" s="81" t="s">
        <v>114</v>
      </c>
      <c r="Y1424" s="81" t="s">
        <v>115</v>
      </c>
      <c r="Z1424" s="81" t="s">
        <v>116</v>
      </c>
      <c r="AA1424" s="81" t="s">
        <v>116</v>
      </c>
      <c r="AB1424" s="81" t="s">
        <v>117</v>
      </c>
      <c r="AC1424" s="166">
        <v>0</v>
      </c>
      <c r="AG1424" s="81" t="s">
        <v>238</v>
      </c>
      <c r="AH1424" s="81" t="s">
        <v>118</v>
      </c>
      <c r="AI1424" s="81" t="s">
        <v>1743</v>
      </c>
      <c r="AJ1424" s="81">
        <v>17320133</v>
      </c>
      <c r="AK1424" s="166">
        <v>0</v>
      </c>
      <c r="AM1424" s="166">
        <v>0</v>
      </c>
      <c r="AO1424" s="166">
        <v>0</v>
      </c>
      <c r="AP1424" s="166">
        <v>0</v>
      </c>
      <c r="AQ1424" s="166">
        <v>0</v>
      </c>
      <c r="AR1424" s="166">
        <v>0</v>
      </c>
      <c r="AS1424" s="166">
        <v>0</v>
      </c>
      <c r="AT1424" s="166">
        <v>0</v>
      </c>
      <c r="AU1424" s="166">
        <v>43</v>
      </c>
      <c r="AV1424" s="166">
        <v>0</v>
      </c>
      <c r="AW1424" s="166">
        <v>0</v>
      </c>
      <c r="AX1424" s="166">
        <v>0</v>
      </c>
      <c r="AY1424" s="166">
        <v>0</v>
      </c>
      <c r="AZ1424" s="166">
        <v>0</v>
      </c>
      <c r="BA1424" s="166">
        <v>0</v>
      </c>
      <c r="BB1424" s="166">
        <v>43</v>
      </c>
      <c r="BC1424" s="166">
        <v>0</v>
      </c>
      <c r="BD1424" s="166">
        <v>0</v>
      </c>
      <c r="BE1424" s="166">
        <v>0</v>
      </c>
      <c r="BF1424" s="166">
        <v>0</v>
      </c>
      <c r="BG1424" s="166">
        <v>0</v>
      </c>
      <c r="BH1424" s="166">
        <v>0</v>
      </c>
      <c r="BI1424" s="166">
        <v>0</v>
      </c>
      <c r="BJ1424" s="166">
        <v>0</v>
      </c>
      <c r="BK1424" s="166">
        <v>0</v>
      </c>
      <c r="BL1424" s="166">
        <v>0</v>
      </c>
      <c r="BM1424" s="166">
        <v>0</v>
      </c>
      <c r="BN1424" s="166">
        <v>0</v>
      </c>
      <c r="BO1424" s="166">
        <v>0</v>
      </c>
      <c r="BP1424" s="166">
        <v>0</v>
      </c>
      <c r="BQ1424" s="81" t="s">
        <v>1759</v>
      </c>
      <c r="BS1424" s="81" t="s">
        <v>155</v>
      </c>
      <c r="BZ1424" s="81" t="s">
        <v>155</v>
      </c>
      <c r="CA1424" s="81">
        <v>12</v>
      </c>
      <c r="CC1424" s="167">
        <v>0</v>
      </c>
      <c r="CD1424" s="167">
        <v>0</v>
      </c>
      <c r="CE1424" s="167">
        <v>0</v>
      </c>
      <c r="CF1424" s="167">
        <v>0</v>
      </c>
      <c r="CG1424" s="167">
        <v>0</v>
      </c>
      <c r="CH1424" s="167">
        <f>N1424</f>
        <v>43</v>
      </c>
      <c r="CI1424" s="167">
        <v>0</v>
      </c>
      <c r="CJ1424" s="167">
        <v>0</v>
      </c>
      <c r="CK1424" s="167">
        <v>0</v>
      </c>
      <c r="CL1424" s="167">
        <v>0</v>
      </c>
      <c r="CM1424" s="167">
        <v>0</v>
      </c>
      <c r="CN1424" s="167">
        <v>0</v>
      </c>
      <c r="CO1424" s="167">
        <v>0</v>
      </c>
      <c r="CP1424" s="167">
        <v>0</v>
      </c>
      <c r="CQ1424" s="167">
        <v>0</v>
      </c>
      <c r="CR1424" s="167">
        <v>0</v>
      </c>
      <c r="CS1424" s="167">
        <v>0</v>
      </c>
      <c r="CT1424" s="167">
        <v>0</v>
      </c>
      <c r="CU1424" s="167">
        <v>0</v>
      </c>
      <c r="CV1424" s="167">
        <v>0</v>
      </c>
      <c r="CW1424" s="167">
        <v>0</v>
      </c>
      <c r="CX1424" s="167">
        <f>SUM(CD1424:CH1424)</f>
        <v>43</v>
      </c>
      <c r="CY1424" s="167">
        <f>SUM(CD1424:CM1424)</f>
        <v>43</v>
      </c>
    </row>
    <row r="1425" spans="1:103" ht="12.75" customHeight="1" x14ac:dyDescent="0.2">
      <c r="A1425" s="81">
        <v>6890</v>
      </c>
      <c r="B1425" s="165" t="s">
        <v>1902</v>
      </c>
      <c r="C1425" s="165" t="s">
        <v>3537</v>
      </c>
      <c r="E1425" s="165" t="s">
        <v>3538</v>
      </c>
      <c r="F1425" s="165" t="s">
        <v>3539</v>
      </c>
      <c r="G1425" s="81">
        <v>529517</v>
      </c>
      <c r="H1425" s="81">
        <v>177263</v>
      </c>
      <c r="I1425" s="165" t="s">
        <v>240</v>
      </c>
      <c r="L1425" s="166">
        <v>0</v>
      </c>
      <c r="M1425" s="166">
        <v>5</v>
      </c>
      <c r="N1425" s="166">
        <v>5</v>
      </c>
      <c r="O1425" s="166">
        <v>51</v>
      </c>
      <c r="P1425" s="166">
        <v>51</v>
      </c>
      <c r="Q1425" s="81" t="s">
        <v>155</v>
      </c>
      <c r="R1425" s="165" t="s">
        <v>1905</v>
      </c>
      <c r="S1425" s="81" t="s">
        <v>1906</v>
      </c>
      <c r="W1425" s="81" t="s">
        <v>114</v>
      </c>
      <c r="Y1425" s="81" t="s">
        <v>115</v>
      </c>
      <c r="Z1425" s="81" t="s">
        <v>116</v>
      </c>
      <c r="AA1425" s="81" t="s">
        <v>117</v>
      </c>
      <c r="AB1425" s="81" t="s">
        <v>218</v>
      </c>
      <c r="AC1425" s="166">
        <v>0</v>
      </c>
      <c r="AG1425" s="81" t="s">
        <v>154</v>
      </c>
      <c r="AH1425" s="81" t="s">
        <v>276</v>
      </c>
      <c r="AI1425" s="81" t="s">
        <v>1743</v>
      </c>
      <c r="AJ1425" s="81">
        <v>17320133</v>
      </c>
      <c r="AK1425" s="166">
        <v>0</v>
      </c>
      <c r="AM1425" s="166">
        <v>0</v>
      </c>
      <c r="AO1425" s="166">
        <v>0</v>
      </c>
      <c r="AP1425" s="166">
        <v>0</v>
      </c>
      <c r="AQ1425" s="166">
        <v>0</v>
      </c>
      <c r="AR1425" s="166">
        <v>0</v>
      </c>
      <c r="AS1425" s="166">
        <v>0</v>
      </c>
      <c r="AT1425" s="166">
        <v>0</v>
      </c>
      <c r="AU1425" s="166">
        <v>5</v>
      </c>
      <c r="AV1425" s="166">
        <v>0</v>
      </c>
      <c r="AW1425" s="166">
        <v>0</v>
      </c>
      <c r="AX1425" s="166">
        <v>0</v>
      </c>
      <c r="AY1425" s="166">
        <v>0</v>
      </c>
      <c r="AZ1425" s="166">
        <v>0</v>
      </c>
      <c r="BA1425" s="166">
        <v>0</v>
      </c>
      <c r="BB1425" s="166">
        <v>5</v>
      </c>
      <c r="BC1425" s="166">
        <v>0</v>
      </c>
      <c r="BD1425" s="166">
        <v>0</v>
      </c>
      <c r="BE1425" s="166">
        <v>0</v>
      </c>
      <c r="BF1425" s="166">
        <v>0</v>
      </c>
      <c r="BG1425" s="166">
        <v>0</v>
      </c>
      <c r="BH1425" s="166">
        <v>0</v>
      </c>
      <c r="BI1425" s="166">
        <v>0</v>
      </c>
      <c r="BJ1425" s="166">
        <v>0</v>
      </c>
      <c r="BK1425" s="166">
        <v>0</v>
      </c>
      <c r="BL1425" s="166">
        <v>0</v>
      </c>
      <c r="BM1425" s="166">
        <v>0</v>
      </c>
      <c r="BN1425" s="166">
        <v>0</v>
      </c>
      <c r="BO1425" s="166">
        <v>0</v>
      </c>
      <c r="BP1425" s="166">
        <v>0</v>
      </c>
      <c r="BQ1425" s="81" t="s">
        <v>1759</v>
      </c>
      <c r="BS1425" s="81" t="s">
        <v>155</v>
      </c>
      <c r="BZ1425" s="81" t="s">
        <v>155</v>
      </c>
      <c r="CA1425" s="81">
        <v>12</v>
      </c>
      <c r="CC1425" s="167">
        <v>0</v>
      </c>
      <c r="CD1425" s="167">
        <v>0</v>
      </c>
      <c r="CE1425" s="167">
        <v>0</v>
      </c>
      <c r="CF1425" s="167">
        <v>0</v>
      </c>
      <c r="CG1425" s="167">
        <v>0</v>
      </c>
      <c r="CH1425" s="167">
        <f>N1425</f>
        <v>5</v>
      </c>
      <c r="CI1425" s="167">
        <v>0</v>
      </c>
      <c r="CJ1425" s="167">
        <v>0</v>
      </c>
      <c r="CK1425" s="167">
        <v>0</v>
      </c>
      <c r="CL1425" s="167">
        <v>0</v>
      </c>
      <c r="CM1425" s="167">
        <v>0</v>
      </c>
      <c r="CN1425" s="167">
        <v>0</v>
      </c>
      <c r="CO1425" s="167">
        <v>0</v>
      </c>
      <c r="CP1425" s="167">
        <v>0</v>
      </c>
      <c r="CQ1425" s="167">
        <v>0</v>
      </c>
      <c r="CR1425" s="167">
        <v>0</v>
      </c>
      <c r="CS1425" s="167">
        <v>0</v>
      </c>
      <c r="CT1425" s="167">
        <v>0</v>
      </c>
      <c r="CU1425" s="167">
        <v>0</v>
      </c>
      <c r="CV1425" s="167">
        <v>0</v>
      </c>
      <c r="CW1425" s="167">
        <v>0</v>
      </c>
      <c r="CX1425" s="167">
        <f>SUM(CD1425:CH1425)</f>
        <v>5</v>
      </c>
      <c r="CY1425" s="167">
        <f>SUM(CD1425:CM1425)</f>
        <v>5</v>
      </c>
    </row>
    <row r="1426" spans="1:103" ht="12.75" customHeight="1" x14ac:dyDescent="0.2">
      <c r="A1426" s="81">
        <v>6891</v>
      </c>
      <c r="B1426" s="165" t="s">
        <v>1902</v>
      </c>
      <c r="C1426" s="165" t="s">
        <v>3540</v>
      </c>
      <c r="E1426" s="165" t="s">
        <v>3541</v>
      </c>
      <c r="F1426" s="165" t="s">
        <v>3535</v>
      </c>
      <c r="G1426" s="81">
        <v>525542</v>
      </c>
      <c r="H1426" s="81">
        <v>175021</v>
      </c>
      <c r="I1426" s="165" t="s">
        <v>251</v>
      </c>
      <c r="L1426" s="166">
        <v>0</v>
      </c>
      <c r="M1426" s="166">
        <v>7</v>
      </c>
      <c r="N1426" s="166">
        <v>7</v>
      </c>
      <c r="O1426" s="166">
        <v>52</v>
      </c>
      <c r="P1426" s="166">
        <v>52</v>
      </c>
      <c r="Q1426" s="81" t="s">
        <v>155</v>
      </c>
      <c r="R1426" s="165" t="s">
        <v>1905</v>
      </c>
      <c r="S1426" s="81" t="s">
        <v>1906</v>
      </c>
      <c r="W1426" s="81" t="s">
        <v>114</v>
      </c>
      <c r="Y1426" s="81" t="s">
        <v>115</v>
      </c>
      <c r="Z1426" s="81" t="s">
        <v>116</v>
      </c>
      <c r="AA1426" s="81" t="s">
        <v>117</v>
      </c>
      <c r="AB1426" s="81" t="s">
        <v>218</v>
      </c>
      <c r="AC1426" s="166">
        <v>0</v>
      </c>
      <c r="AG1426" s="81" t="s">
        <v>74</v>
      </c>
      <c r="AH1426" s="81" t="s">
        <v>990</v>
      </c>
      <c r="AI1426" s="81" t="s">
        <v>1746</v>
      </c>
      <c r="AJ1426" s="81">
        <v>17320319</v>
      </c>
      <c r="AK1426" s="166">
        <v>0</v>
      </c>
      <c r="AM1426" s="166">
        <v>0</v>
      </c>
      <c r="AO1426" s="166">
        <v>0</v>
      </c>
      <c r="AP1426" s="166">
        <v>0</v>
      </c>
      <c r="AQ1426" s="166">
        <v>0</v>
      </c>
      <c r="AR1426" s="166">
        <v>0</v>
      </c>
      <c r="AS1426" s="166">
        <v>0</v>
      </c>
      <c r="AT1426" s="166">
        <v>0</v>
      </c>
      <c r="AU1426" s="166">
        <v>7</v>
      </c>
      <c r="AV1426" s="166">
        <v>0</v>
      </c>
      <c r="AW1426" s="166">
        <v>0</v>
      </c>
      <c r="AX1426" s="166">
        <v>0</v>
      </c>
      <c r="AY1426" s="166">
        <v>0</v>
      </c>
      <c r="AZ1426" s="166">
        <v>0</v>
      </c>
      <c r="BA1426" s="166">
        <v>0</v>
      </c>
      <c r="BB1426" s="166">
        <v>7</v>
      </c>
      <c r="BC1426" s="166">
        <v>0</v>
      </c>
      <c r="BD1426" s="166">
        <v>0</v>
      </c>
      <c r="BE1426" s="166">
        <v>0</v>
      </c>
      <c r="BF1426" s="166">
        <v>0</v>
      </c>
      <c r="BG1426" s="166">
        <v>0</v>
      </c>
      <c r="BH1426" s="166">
        <v>0</v>
      </c>
      <c r="BI1426" s="166">
        <v>0</v>
      </c>
      <c r="BJ1426" s="166">
        <v>0</v>
      </c>
      <c r="BK1426" s="166">
        <v>0</v>
      </c>
      <c r="BL1426" s="166">
        <v>0</v>
      </c>
      <c r="BM1426" s="166">
        <v>0</v>
      </c>
      <c r="BN1426" s="166">
        <v>0</v>
      </c>
      <c r="BO1426" s="166">
        <v>0</v>
      </c>
      <c r="BP1426" s="166">
        <v>0</v>
      </c>
      <c r="BQ1426" s="81" t="s">
        <v>1758</v>
      </c>
      <c r="BT1426" s="81" t="s">
        <v>155</v>
      </c>
      <c r="BZ1426" s="81" t="s">
        <v>155</v>
      </c>
      <c r="CA1426" s="81">
        <v>11</v>
      </c>
      <c r="CC1426" s="167">
        <v>0</v>
      </c>
      <c r="CD1426" s="167">
        <v>0</v>
      </c>
      <c r="CE1426" s="167">
        <v>0</v>
      </c>
      <c r="CF1426" s="167">
        <v>0</v>
      </c>
      <c r="CG1426" s="167">
        <v>0</v>
      </c>
      <c r="CH1426" s="167">
        <v>0</v>
      </c>
      <c r="CI1426" s="167">
        <v>0</v>
      </c>
      <c r="CJ1426" s="167">
        <f>$N1426/17</f>
        <v>0.41176470588235292</v>
      </c>
      <c r="CK1426" s="167">
        <f>$N1426/17</f>
        <v>0.41176470588235292</v>
      </c>
      <c r="CL1426" s="167">
        <f>$N1426/17</f>
        <v>0.41176470588235292</v>
      </c>
      <c r="CM1426" s="167">
        <f>$N1426/17</f>
        <v>0.41176470588235292</v>
      </c>
      <c r="CN1426" s="167">
        <f>$N1426/17</f>
        <v>0.41176470588235292</v>
      </c>
      <c r="CO1426" s="167">
        <f>$N1426/17</f>
        <v>0.41176470588235292</v>
      </c>
      <c r="CP1426" s="167">
        <f>$N1426/17</f>
        <v>0.41176470588235292</v>
      </c>
      <c r="CQ1426" s="167">
        <f>$N1426/17</f>
        <v>0.41176470588235292</v>
      </c>
      <c r="CR1426" s="167">
        <f>$N1426/17</f>
        <v>0.41176470588235292</v>
      </c>
      <c r="CS1426" s="167">
        <f>$N1426/17</f>
        <v>0.41176470588235292</v>
      </c>
      <c r="CT1426" s="167">
        <f>$N1426/17</f>
        <v>0.41176470588235292</v>
      </c>
      <c r="CU1426" s="167">
        <f>$N1426/17</f>
        <v>0.41176470588235292</v>
      </c>
      <c r="CV1426" s="167">
        <f>$N1426/17</f>
        <v>0.41176470588235292</v>
      </c>
      <c r="CW1426" s="167">
        <f>$N1426/17</f>
        <v>0.41176470588235292</v>
      </c>
      <c r="CX1426" s="167">
        <f>SUM(CD1426:CH1426)</f>
        <v>0</v>
      </c>
      <c r="CY1426" s="167">
        <f>SUM(CD1426:CM1426)</f>
        <v>1.6470588235294117</v>
      </c>
    </row>
    <row r="1427" spans="1:103" ht="12.75" customHeight="1" x14ac:dyDescent="0.2">
      <c r="A1427" s="81">
        <v>6891</v>
      </c>
      <c r="B1427" s="165" t="s">
        <v>1902</v>
      </c>
      <c r="C1427" s="165" t="s">
        <v>3540</v>
      </c>
      <c r="E1427" s="165" t="s">
        <v>3541</v>
      </c>
      <c r="F1427" s="165" t="s">
        <v>1556</v>
      </c>
      <c r="G1427" s="81">
        <v>525542</v>
      </c>
      <c r="H1427" s="81">
        <v>175021</v>
      </c>
      <c r="I1427" s="165" t="s">
        <v>251</v>
      </c>
      <c r="L1427" s="166">
        <v>0</v>
      </c>
      <c r="M1427" s="166">
        <v>35</v>
      </c>
      <c r="N1427" s="166">
        <v>35</v>
      </c>
      <c r="O1427" s="166">
        <v>52</v>
      </c>
      <c r="P1427" s="166">
        <v>52</v>
      </c>
      <c r="Q1427" s="81" t="s">
        <v>155</v>
      </c>
      <c r="R1427" s="165" t="s">
        <v>1905</v>
      </c>
      <c r="S1427" s="81" t="s">
        <v>1906</v>
      </c>
      <c r="W1427" s="81" t="s">
        <v>114</v>
      </c>
      <c r="Y1427" s="81" t="s">
        <v>115</v>
      </c>
      <c r="Z1427" s="81" t="s">
        <v>116</v>
      </c>
      <c r="AA1427" s="81" t="s">
        <v>116</v>
      </c>
      <c r="AB1427" s="81" t="s">
        <v>117</v>
      </c>
      <c r="AC1427" s="166">
        <v>0</v>
      </c>
      <c r="AG1427" s="81" t="s">
        <v>238</v>
      </c>
      <c r="AH1427" s="81" t="s">
        <v>118</v>
      </c>
      <c r="AI1427" s="81" t="s">
        <v>1746</v>
      </c>
      <c r="AJ1427" s="81">
        <v>17320319</v>
      </c>
      <c r="AK1427" s="166">
        <v>0</v>
      </c>
      <c r="AM1427" s="166">
        <v>0</v>
      </c>
      <c r="AO1427" s="166">
        <v>0</v>
      </c>
      <c r="AP1427" s="166">
        <v>0</v>
      </c>
      <c r="AQ1427" s="166">
        <v>0</v>
      </c>
      <c r="AR1427" s="166">
        <v>0</v>
      </c>
      <c r="AS1427" s="166">
        <v>0</v>
      </c>
      <c r="AT1427" s="166">
        <v>0</v>
      </c>
      <c r="AU1427" s="166">
        <v>35</v>
      </c>
      <c r="AV1427" s="166">
        <v>0</v>
      </c>
      <c r="AW1427" s="166">
        <v>0</v>
      </c>
      <c r="AX1427" s="166">
        <v>0</v>
      </c>
      <c r="AY1427" s="166">
        <v>0</v>
      </c>
      <c r="AZ1427" s="166">
        <v>0</v>
      </c>
      <c r="BA1427" s="166">
        <v>0</v>
      </c>
      <c r="BB1427" s="166">
        <v>35</v>
      </c>
      <c r="BC1427" s="166">
        <v>0</v>
      </c>
      <c r="BD1427" s="166">
        <v>0</v>
      </c>
      <c r="BE1427" s="166">
        <v>0</v>
      </c>
      <c r="BF1427" s="166">
        <v>0</v>
      </c>
      <c r="BG1427" s="166">
        <v>0</v>
      </c>
      <c r="BH1427" s="166">
        <v>0</v>
      </c>
      <c r="BI1427" s="166">
        <v>0</v>
      </c>
      <c r="BJ1427" s="166">
        <v>0</v>
      </c>
      <c r="BK1427" s="166">
        <v>0</v>
      </c>
      <c r="BL1427" s="166">
        <v>0</v>
      </c>
      <c r="BM1427" s="166">
        <v>0</v>
      </c>
      <c r="BN1427" s="166">
        <v>0</v>
      </c>
      <c r="BO1427" s="166">
        <v>0</v>
      </c>
      <c r="BP1427" s="166">
        <v>0</v>
      </c>
      <c r="BQ1427" s="81" t="s">
        <v>1758</v>
      </c>
      <c r="BT1427" s="81" t="s">
        <v>155</v>
      </c>
      <c r="BZ1427" s="81" t="s">
        <v>155</v>
      </c>
      <c r="CA1427" s="81">
        <v>11</v>
      </c>
      <c r="CC1427" s="167">
        <v>0</v>
      </c>
      <c r="CD1427" s="167">
        <v>0</v>
      </c>
      <c r="CE1427" s="167">
        <v>0</v>
      </c>
      <c r="CF1427" s="167">
        <v>0</v>
      </c>
      <c r="CG1427" s="167">
        <v>0</v>
      </c>
      <c r="CH1427" s="167">
        <v>0</v>
      </c>
      <c r="CI1427" s="167">
        <v>0</v>
      </c>
      <c r="CJ1427" s="167">
        <f>$N1427/17</f>
        <v>2.0588235294117645</v>
      </c>
      <c r="CK1427" s="167">
        <f>$N1427/17</f>
        <v>2.0588235294117645</v>
      </c>
      <c r="CL1427" s="167">
        <f>$N1427/17</f>
        <v>2.0588235294117645</v>
      </c>
      <c r="CM1427" s="167">
        <f>$N1427/17</f>
        <v>2.0588235294117645</v>
      </c>
      <c r="CN1427" s="167">
        <f>$N1427/17</f>
        <v>2.0588235294117645</v>
      </c>
      <c r="CO1427" s="167">
        <f>$N1427/17</f>
        <v>2.0588235294117645</v>
      </c>
      <c r="CP1427" s="167">
        <f>$N1427/17</f>
        <v>2.0588235294117645</v>
      </c>
      <c r="CQ1427" s="167">
        <f>$N1427/17</f>
        <v>2.0588235294117645</v>
      </c>
      <c r="CR1427" s="167">
        <f>$N1427/17</f>
        <v>2.0588235294117645</v>
      </c>
      <c r="CS1427" s="167">
        <f>$N1427/17</f>
        <v>2.0588235294117645</v>
      </c>
      <c r="CT1427" s="167">
        <f>$N1427/17</f>
        <v>2.0588235294117645</v>
      </c>
      <c r="CU1427" s="167">
        <f>$N1427/17</f>
        <v>2.0588235294117645</v>
      </c>
      <c r="CV1427" s="167">
        <f>$N1427/17</f>
        <v>2.0588235294117645</v>
      </c>
      <c r="CW1427" s="167">
        <f>$N1427/17</f>
        <v>2.0588235294117645</v>
      </c>
      <c r="CX1427" s="167">
        <f>SUM(CD1427:CH1427)</f>
        <v>0</v>
      </c>
      <c r="CY1427" s="167">
        <f>SUM(CD1427:CM1427)</f>
        <v>8.235294117647058</v>
      </c>
    </row>
    <row r="1428" spans="1:103" ht="12.75" customHeight="1" x14ac:dyDescent="0.2">
      <c r="A1428" s="81">
        <v>6891</v>
      </c>
      <c r="B1428" s="165" t="s">
        <v>1902</v>
      </c>
      <c r="C1428" s="165" t="s">
        <v>3540</v>
      </c>
      <c r="E1428" s="165" t="s">
        <v>3541</v>
      </c>
      <c r="F1428" s="165" t="s">
        <v>3536</v>
      </c>
      <c r="G1428" s="81">
        <v>525542</v>
      </c>
      <c r="H1428" s="81">
        <v>175021</v>
      </c>
      <c r="I1428" s="165" t="s">
        <v>251</v>
      </c>
      <c r="L1428" s="166">
        <v>0</v>
      </c>
      <c r="M1428" s="166">
        <v>10</v>
      </c>
      <c r="N1428" s="166">
        <v>10</v>
      </c>
      <c r="O1428" s="166">
        <v>52</v>
      </c>
      <c r="P1428" s="166">
        <v>52</v>
      </c>
      <c r="Q1428" s="81" t="s">
        <v>155</v>
      </c>
      <c r="R1428" s="165" t="s">
        <v>1905</v>
      </c>
      <c r="S1428" s="81" t="s">
        <v>1906</v>
      </c>
      <c r="W1428" s="81" t="s">
        <v>114</v>
      </c>
      <c r="Y1428" s="81" t="s">
        <v>115</v>
      </c>
      <c r="Z1428" s="81" t="s">
        <v>116</v>
      </c>
      <c r="AA1428" s="81" t="s">
        <v>116</v>
      </c>
      <c r="AB1428" s="81" t="s">
        <v>117</v>
      </c>
      <c r="AC1428" s="166">
        <v>0</v>
      </c>
      <c r="AG1428" s="81" t="s">
        <v>154</v>
      </c>
      <c r="AH1428" s="81" t="s">
        <v>276</v>
      </c>
      <c r="AI1428" s="81" t="s">
        <v>1746</v>
      </c>
      <c r="AJ1428" s="81">
        <v>17320319</v>
      </c>
      <c r="AK1428" s="166">
        <v>0</v>
      </c>
      <c r="AM1428" s="166">
        <v>0</v>
      </c>
      <c r="AO1428" s="166">
        <v>0</v>
      </c>
      <c r="AP1428" s="166">
        <v>0</v>
      </c>
      <c r="AQ1428" s="166">
        <v>0</v>
      </c>
      <c r="AR1428" s="166">
        <v>0</v>
      </c>
      <c r="AS1428" s="166">
        <v>0</v>
      </c>
      <c r="AT1428" s="166">
        <v>0</v>
      </c>
      <c r="AU1428" s="166">
        <v>10</v>
      </c>
      <c r="AV1428" s="166">
        <v>0</v>
      </c>
      <c r="AW1428" s="166">
        <v>0</v>
      </c>
      <c r="AX1428" s="166">
        <v>0</v>
      </c>
      <c r="AY1428" s="166">
        <v>0</v>
      </c>
      <c r="AZ1428" s="166">
        <v>0</v>
      </c>
      <c r="BA1428" s="166">
        <v>0</v>
      </c>
      <c r="BB1428" s="166">
        <v>10</v>
      </c>
      <c r="BC1428" s="166">
        <v>0</v>
      </c>
      <c r="BD1428" s="166">
        <v>0</v>
      </c>
      <c r="BE1428" s="166">
        <v>0</v>
      </c>
      <c r="BF1428" s="166">
        <v>0</v>
      </c>
      <c r="BG1428" s="166">
        <v>0</v>
      </c>
      <c r="BH1428" s="166">
        <v>0</v>
      </c>
      <c r="BI1428" s="166">
        <v>0</v>
      </c>
      <c r="BJ1428" s="166">
        <v>0</v>
      </c>
      <c r="BK1428" s="166">
        <v>0</v>
      </c>
      <c r="BL1428" s="166">
        <v>0</v>
      </c>
      <c r="BM1428" s="166">
        <v>0</v>
      </c>
      <c r="BN1428" s="166">
        <v>0</v>
      </c>
      <c r="BO1428" s="166">
        <v>0</v>
      </c>
      <c r="BP1428" s="166">
        <v>0</v>
      </c>
      <c r="BQ1428" s="81" t="s">
        <v>1758</v>
      </c>
      <c r="BT1428" s="81" t="s">
        <v>155</v>
      </c>
      <c r="BZ1428" s="81" t="s">
        <v>155</v>
      </c>
      <c r="CA1428" s="81">
        <v>11</v>
      </c>
      <c r="CC1428" s="167">
        <v>0</v>
      </c>
      <c r="CD1428" s="167">
        <v>0</v>
      </c>
      <c r="CE1428" s="167">
        <v>0</v>
      </c>
      <c r="CF1428" s="167">
        <v>0</v>
      </c>
      <c r="CG1428" s="167">
        <v>0</v>
      </c>
      <c r="CH1428" s="167">
        <v>0</v>
      </c>
      <c r="CI1428" s="167">
        <v>0</v>
      </c>
      <c r="CJ1428" s="167">
        <f>$N1428/17</f>
        <v>0.58823529411764708</v>
      </c>
      <c r="CK1428" s="167">
        <f>$N1428/17</f>
        <v>0.58823529411764708</v>
      </c>
      <c r="CL1428" s="167">
        <f>$N1428/17</f>
        <v>0.58823529411764708</v>
      </c>
      <c r="CM1428" s="167">
        <f>$N1428/17</f>
        <v>0.58823529411764708</v>
      </c>
      <c r="CN1428" s="167">
        <f>$N1428/17</f>
        <v>0.58823529411764708</v>
      </c>
      <c r="CO1428" s="167">
        <f>$N1428/17</f>
        <v>0.58823529411764708</v>
      </c>
      <c r="CP1428" s="167">
        <f>$N1428/17</f>
        <v>0.58823529411764708</v>
      </c>
      <c r="CQ1428" s="167">
        <f>$N1428/17</f>
        <v>0.58823529411764708</v>
      </c>
      <c r="CR1428" s="167">
        <f>$N1428/17</f>
        <v>0.58823529411764708</v>
      </c>
      <c r="CS1428" s="167">
        <f>$N1428/17</f>
        <v>0.58823529411764708</v>
      </c>
      <c r="CT1428" s="167">
        <f>$N1428/17</f>
        <v>0.58823529411764708</v>
      </c>
      <c r="CU1428" s="167">
        <f>$N1428/17</f>
        <v>0.58823529411764708</v>
      </c>
      <c r="CV1428" s="167">
        <f>$N1428/17</f>
        <v>0.58823529411764708</v>
      </c>
      <c r="CW1428" s="167">
        <f>$N1428/17</f>
        <v>0.58823529411764708</v>
      </c>
      <c r="CX1428" s="167">
        <f>SUM(CD1428:CH1428)</f>
        <v>0</v>
      </c>
      <c r="CY1428" s="167">
        <f>SUM(CD1428:CM1428)</f>
        <v>2.3529411764705883</v>
      </c>
    </row>
    <row r="1429" spans="1:103" ht="12.75" customHeight="1" x14ac:dyDescent="0.2">
      <c r="A1429" s="81">
        <v>6892</v>
      </c>
      <c r="B1429" s="165" t="s">
        <v>1902</v>
      </c>
      <c r="C1429" s="165" t="s">
        <v>3542</v>
      </c>
      <c r="E1429" s="165" t="s">
        <v>3543</v>
      </c>
      <c r="F1429" s="165" t="s">
        <v>3544</v>
      </c>
      <c r="G1429" s="81">
        <v>525690</v>
      </c>
      <c r="H1429" s="81">
        <v>174971</v>
      </c>
      <c r="I1429" s="165" t="s">
        <v>251</v>
      </c>
      <c r="L1429" s="166">
        <v>0</v>
      </c>
      <c r="M1429" s="166">
        <v>94</v>
      </c>
      <c r="N1429" s="166">
        <v>94</v>
      </c>
      <c r="O1429" s="166">
        <v>713</v>
      </c>
      <c r="P1429" s="166">
        <v>713</v>
      </c>
      <c r="Q1429" s="81" t="s">
        <v>155</v>
      </c>
      <c r="R1429" s="165" t="s">
        <v>1905</v>
      </c>
      <c r="S1429" s="81" t="s">
        <v>1906</v>
      </c>
      <c r="W1429" s="81" t="s">
        <v>114</v>
      </c>
      <c r="Y1429" s="81" t="s">
        <v>115</v>
      </c>
      <c r="Z1429" s="81" t="s">
        <v>116</v>
      </c>
      <c r="AA1429" s="81" t="s">
        <v>116</v>
      </c>
      <c r="AB1429" s="81" t="s">
        <v>117</v>
      </c>
      <c r="AC1429" s="166">
        <v>0</v>
      </c>
      <c r="AG1429" s="81" t="s">
        <v>74</v>
      </c>
      <c r="AH1429" s="81" t="s">
        <v>990</v>
      </c>
      <c r="AI1429" s="81" t="s">
        <v>1740</v>
      </c>
      <c r="AJ1429" s="81">
        <v>17320108</v>
      </c>
      <c r="AK1429" s="166">
        <v>0</v>
      </c>
      <c r="AM1429" s="166">
        <v>0</v>
      </c>
      <c r="AO1429" s="166">
        <v>0</v>
      </c>
      <c r="AP1429" s="166">
        <v>0</v>
      </c>
      <c r="AQ1429" s="166">
        <v>0</v>
      </c>
      <c r="AR1429" s="166">
        <v>0</v>
      </c>
      <c r="AS1429" s="166">
        <v>0</v>
      </c>
      <c r="AT1429" s="166">
        <v>0</v>
      </c>
      <c r="AU1429" s="166">
        <v>94</v>
      </c>
      <c r="AV1429" s="166">
        <v>0</v>
      </c>
      <c r="AW1429" s="166">
        <v>0</v>
      </c>
      <c r="AX1429" s="166">
        <v>0</v>
      </c>
      <c r="AY1429" s="166">
        <v>0</v>
      </c>
      <c r="AZ1429" s="166">
        <v>0</v>
      </c>
      <c r="BA1429" s="166">
        <v>0</v>
      </c>
      <c r="BB1429" s="166">
        <v>94</v>
      </c>
      <c r="BC1429" s="166">
        <v>0</v>
      </c>
      <c r="BD1429" s="166">
        <v>0</v>
      </c>
      <c r="BE1429" s="166">
        <v>0</v>
      </c>
      <c r="BF1429" s="166">
        <v>0</v>
      </c>
      <c r="BG1429" s="166">
        <v>0</v>
      </c>
      <c r="BH1429" s="166">
        <v>0</v>
      </c>
      <c r="BI1429" s="166">
        <v>0</v>
      </c>
      <c r="BJ1429" s="166">
        <v>0</v>
      </c>
      <c r="BK1429" s="166">
        <v>0</v>
      </c>
      <c r="BL1429" s="166">
        <v>0</v>
      </c>
      <c r="BM1429" s="166">
        <v>0</v>
      </c>
      <c r="BN1429" s="166">
        <v>0</v>
      </c>
      <c r="BO1429" s="166">
        <v>0</v>
      </c>
      <c r="BP1429" s="166">
        <v>0</v>
      </c>
      <c r="BQ1429" s="81" t="s">
        <v>1758</v>
      </c>
      <c r="BT1429" s="81" t="s">
        <v>155</v>
      </c>
      <c r="BZ1429" s="81" t="s">
        <v>155</v>
      </c>
      <c r="CA1429" s="81">
        <v>11</v>
      </c>
      <c r="CC1429" s="167">
        <v>0</v>
      </c>
      <c r="CD1429" s="167">
        <v>0</v>
      </c>
      <c r="CE1429" s="167">
        <f>$N1429/10</f>
        <v>9.4</v>
      </c>
      <c r="CF1429" s="167">
        <f>$N1429/10</f>
        <v>9.4</v>
      </c>
      <c r="CG1429" s="167">
        <f>$N1429/10</f>
        <v>9.4</v>
      </c>
      <c r="CH1429" s="167">
        <f>$N1429/10</f>
        <v>9.4</v>
      </c>
      <c r="CI1429" s="167">
        <f>$N1429/10</f>
        <v>9.4</v>
      </c>
      <c r="CJ1429" s="167">
        <f>$N1429/10</f>
        <v>9.4</v>
      </c>
      <c r="CK1429" s="167">
        <f>$N1429/10</f>
        <v>9.4</v>
      </c>
      <c r="CL1429" s="167">
        <f>$N1429/10</f>
        <v>9.4</v>
      </c>
      <c r="CM1429" s="167">
        <f>$N1429/10</f>
        <v>9.4</v>
      </c>
      <c r="CN1429" s="167">
        <f>$N1429/10</f>
        <v>9.4</v>
      </c>
      <c r="CO1429" s="167">
        <v>0</v>
      </c>
      <c r="CP1429" s="167">
        <v>0</v>
      </c>
      <c r="CQ1429" s="167">
        <v>0</v>
      </c>
      <c r="CR1429" s="167">
        <v>0</v>
      </c>
      <c r="CS1429" s="167">
        <v>0</v>
      </c>
      <c r="CT1429" s="167">
        <v>0</v>
      </c>
      <c r="CU1429" s="167">
        <v>0</v>
      </c>
      <c r="CV1429" s="167">
        <v>0</v>
      </c>
      <c r="CW1429" s="167">
        <v>0</v>
      </c>
      <c r="CX1429" s="167">
        <f>SUM(CD1429:CH1429)</f>
        <v>37.6</v>
      </c>
      <c r="CY1429" s="167">
        <f>SUM(CD1429:CM1429)</f>
        <v>84.600000000000009</v>
      </c>
    </row>
    <row r="1430" spans="1:103" ht="12.75" customHeight="1" x14ac:dyDescent="0.2">
      <c r="A1430" s="81">
        <v>6892</v>
      </c>
      <c r="B1430" s="165" t="s">
        <v>1902</v>
      </c>
      <c r="C1430" s="165" t="s">
        <v>3542</v>
      </c>
      <c r="E1430" s="165" t="s">
        <v>3543</v>
      </c>
      <c r="F1430" s="165" t="s">
        <v>1556</v>
      </c>
      <c r="G1430" s="81">
        <v>525690</v>
      </c>
      <c r="H1430" s="81">
        <v>174971</v>
      </c>
      <c r="I1430" s="165" t="s">
        <v>251</v>
      </c>
      <c r="L1430" s="166">
        <v>0</v>
      </c>
      <c r="M1430" s="166">
        <v>478</v>
      </c>
      <c r="N1430" s="166">
        <v>478</v>
      </c>
      <c r="O1430" s="166">
        <v>713</v>
      </c>
      <c r="P1430" s="166">
        <v>713</v>
      </c>
      <c r="Q1430" s="81" t="s">
        <v>155</v>
      </c>
      <c r="R1430" s="165" t="s">
        <v>1905</v>
      </c>
      <c r="S1430" s="81" t="s">
        <v>1906</v>
      </c>
      <c r="W1430" s="81" t="s">
        <v>114</v>
      </c>
      <c r="Y1430" s="81" t="s">
        <v>115</v>
      </c>
      <c r="Z1430" s="81" t="s">
        <v>116</v>
      </c>
      <c r="AA1430" s="81" t="s">
        <v>116</v>
      </c>
      <c r="AB1430" s="81" t="s">
        <v>117</v>
      </c>
      <c r="AC1430" s="166">
        <v>0</v>
      </c>
      <c r="AG1430" s="81" t="s">
        <v>238</v>
      </c>
      <c r="AH1430" s="81" t="s">
        <v>118</v>
      </c>
      <c r="AI1430" s="81" t="s">
        <v>1740</v>
      </c>
      <c r="AJ1430" s="81">
        <v>17320108</v>
      </c>
      <c r="AK1430" s="166">
        <v>0</v>
      </c>
      <c r="AM1430" s="166">
        <v>0</v>
      </c>
      <c r="AO1430" s="166">
        <v>0</v>
      </c>
      <c r="AP1430" s="166">
        <v>0</v>
      </c>
      <c r="AQ1430" s="166">
        <v>0</v>
      </c>
      <c r="AR1430" s="166">
        <v>0</v>
      </c>
      <c r="AS1430" s="166">
        <v>0</v>
      </c>
      <c r="AT1430" s="166">
        <v>0</v>
      </c>
      <c r="AU1430" s="166">
        <v>478</v>
      </c>
      <c r="AV1430" s="166">
        <v>0</v>
      </c>
      <c r="AW1430" s="166">
        <v>0</v>
      </c>
      <c r="AX1430" s="166">
        <v>0</v>
      </c>
      <c r="AY1430" s="166">
        <v>0</v>
      </c>
      <c r="AZ1430" s="166">
        <v>0</v>
      </c>
      <c r="BA1430" s="166">
        <v>0</v>
      </c>
      <c r="BB1430" s="166">
        <v>478</v>
      </c>
      <c r="BC1430" s="166">
        <v>0</v>
      </c>
      <c r="BD1430" s="166">
        <v>0</v>
      </c>
      <c r="BE1430" s="166">
        <v>0</v>
      </c>
      <c r="BF1430" s="166">
        <v>0</v>
      </c>
      <c r="BG1430" s="166">
        <v>0</v>
      </c>
      <c r="BH1430" s="166">
        <v>0</v>
      </c>
      <c r="BI1430" s="166">
        <v>0</v>
      </c>
      <c r="BJ1430" s="166">
        <v>0</v>
      </c>
      <c r="BK1430" s="166">
        <v>0</v>
      </c>
      <c r="BL1430" s="166">
        <v>0</v>
      </c>
      <c r="BM1430" s="166">
        <v>0</v>
      </c>
      <c r="BN1430" s="166">
        <v>0</v>
      </c>
      <c r="BO1430" s="166">
        <v>0</v>
      </c>
      <c r="BP1430" s="166">
        <v>0</v>
      </c>
      <c r="BQ1430" s="81" t="s">
        <v>1758</v>
      </c>
      <c r="BT1430" s="81" t="s">
        <v>155</v>
      </c>
      <c r="BZ1430" s="81" t="s">
        <v>155</v>
      </c>
      <c r="CA1430" s="81">
        <v>11</v>
      </c>
      <c r="CC1430" s="167">
        <v>0</v>
      </c>
      <c r="CD1430" s="167">
        <v>0</v>
      </c>
      <c r="CE1430" s="167">
        <f>$N1430/10</f>
        <v>47.8</v>
      </c>
      <c r="CF1430" s="167">
        <f>$N1430/10</f>
        <v>47.8</v>
      </c>
      <c r="CG1430" s="167">
        <f>$N1430/10</f>
        <v>47.8</v>
      </c>
      <c r="CH1430" s="167">
        <f>$N1430/10</f>
        <v>47.8</v>
      </c>
      <c r="CI1430" s="167">
        <f>$N1430/10</f>
        <v>47.8</v>
      </c>
      <c r="CJ1430" s="167">
        <f>$N1430/10</f>
        <v>47.8</v>
      </c>
      <c r="CK1430" s="167">
        <f>$N1430/10</f>
        <v>47.8</v>
      </c>
      <c r="CL1430" s="167">
        <f>$N1430/10</f>
        <v>47.8</v>
      </c>
      <c r="CM1430" s="167">
        <f>$N1430/10</f>
        <v>47.8</v>
      </c>
      <c r="CN1430" s="167">
        <f>$N1430/10</f>
        <v>47.8</v>
      </c>
      <c r="CO1430" s="167">
        <v>0</v>
      </c>
      <c r="CP1430" s="167">
        <v>0</v>
      </c>
      <c r="CQ1430" s="167">
        <v>0</v>
      </c>
      <c r="CR1430" s="167">
        <v>0</v>
      </c>
      <c r="CS1430" s="167">
        <v>0</v>
      </c>
      <c r="CT1430" s="167">
        <v>0</v>
      </c>
      <c r="CU1430" s="167">
        <v>0</v>
      </c>
      <c r="CV1430" s="167">
        <v>0</v>
      </c>
      <c r="CW1430" s="167">
        <v>0</v>
      </c>
      <c r="CX1430" s="167">
        <f>SUM(CD1430:CH1430)</f>
        <v>191.2</v>
      </c>
      <c r="CY1430" s="167">
        <f>SUM(CD1430:CM1430)</f>
        <v>430.20000000000005</v>
      </c>
    </row>
    <row r="1431" spans="1:103" ht="12.75" customHeight="1" x14ac:dyDescent="0.2">
      <c r="A1431" s="81">
        <v>6892</v>
      </c>
      <c r="B1431" s="165" t="s">
        <v>1902</v>
      </c>
      <c r="C1431" s="165" t="s">
        <v>3542</v>
      </c>
      <c r="E1431" s="165" t="s">
        <v>3543</v>
      </c>
      <c r="F1431" s="165" t="s">
        <v>3536</v>
      </c>
      <c r="G1431" s="81">
        <v>525690</v>
      </c>
      <c r="H1431" s="81">
        <v>174971</v>
      </c>
      <c r="I1431" s="165" t="s">
        <v>251</v>
      </c>
      <c r="L1431" s="166">
        <v>0</v>
      </c>
      <c r="M1431" s="166">
        <v>141</v>
      </c>
      <c r="N1431" s="166">
        <v>141</v>
      </c>
      <c r="O1431" s="166">
        <v>713</v>
      </c>
      <c r="P1431" s="166">
        <v>713</v>
      </c>
      <c r="Q1431" s="81" t="s">
        <v>155</v>
      </c>
      <c r="R1431" s="165" t="s">
        <v>1905</v>
      </c>
      <c r="S1431" s="81" t="s">
        <v>1906</v>
      </c>
      <c r="W1431" s="81" t="s">
        <v>114</v>
      </c>
      <c r="Y1431" s="81" t="s">
        <v>115</v>
      </c>
      <c r="Z1431" s="81" t="s">
        <v>116</v>
      </c>
      <c r="AA1431" s="81" t="s">
        <v>116</v>
      </c>
      <c r="AB1431" s="81" t="s">
        <v>117</v>
      </c>
      <c r="AC1431" s="166">
        <v>0</v>
      </c>
      <c r="AG1431" s="81" t="s">
        <v>154</v>
      </c>
      <c r="AH1431" s="81" t="s">
        <v>276</v>
      </c>
      <c r="AI1431" s="81" t="s">
        <v>1740</v>
      </c>
      <c r="AJ1431" s="81">
        <v>17320108</v>
      </c>
      <c r="AK1431" s="166">
        <v>0</v>
      </c>
      <c r="AM1431" s="166">
        <v>0</v>
      </c>
      <c r="AO1431" s="166">
        <v>0</v>
      </c>
      <c r="AP1431" s="166">
        <v>0</v>
      </c>
      <c r="AQ1431" s="166">
        <v>0</v>
      </c>
      <c r="AR1431" s="166">
        <v>0</v>
      </c>
      <c r="AS1431" s="166">
        <v>0</v>
      </c>
      <c r="AT1431" s="166">
        <v>0</v>
      </c>
      <c r="AU1431" s="166">
        <v>141</v>
      </c>
      <c r="AV1431" s="166">
        <v>0</v>
      </c>
      <c r="AW1431" s="166">
        <v>0</v>
      </c>
      <c r="AX1431" s="166">
        <v>0</v>
      </c>
      <c r="AY1431" s="166">
        <v>0</v>
      </c>
      <c r="AZ1431" s="166">
        <v>0</v>
      </c>
      <c r="BA1431" s="166">
        <v>0</v>
      </c>
      <c r="BB1431" s="166">
        <v>141</v>
      </c>
      <c r="BC1431" s="166">
        <v>0</v>
      </c>
      <c r="BD1431" s="166">
        <v>0</v>
      </c>
      <c r="BE1431" s="166">
        <v>0</v>
      </c>
      <c r="BF1431" s="166">
        <v>0</v>
      </c>
      <c r="BG1431" s="166">
        <v>0</v>
      </c>
      <c r="BH1431" s="166">
        <v>0</v>
      </c>
      <c r="BI1431" s="166">
        <v>0</v>
      </c>
      <c r="BJ1431" s="166">
        <v>0</v>
      </c>
      <c r="BK1431" s="166">
        <v>0</v>
      </c>
      <c r="BL1431" s="166">
        <v>0</v>
      </c>
      <c r="BM1431" s="166">
        <v>0</v>
      </c>
      <c r="BN1431" s="166">
        <v>0</v>
      </c>
      <c r="BO1431" s="166">
        <v>0</v>
      </c>
      <c r="BP1431" s="166">
        <v>0</v>
      </c>
      <c r="BQ1431" s="81" t="s">
        <v>1758</v>
      </c>
      <c r="BT1431" s="81" t="s">
        <v>155</v>
      </c>
      <c r="BZ1431" s="81" t="s">
        <v>155</v>
      </c>
      <c r="CA1431" s="81">
        <v>11</v>
      </c>
      <c r="CC1431" s="167">
        <v>0</v>
      </c>
      <c r="CD1431" s="167">
        <v>0</v>
      </c>
      <c r="CE1431" s="167">
        <f>$N1431/10</f>
        <v>14.1</v>
      </c>
      <c r="CF1431" s="167">
        <f>$N1431/10</f>
        <v>14.1</v>
      </c>
      <c r="CG1431" s="167">
        <f>$N1431/10</f>
        <v>14.1</v>
      </c>
      <c r="CH1431" s="167">
        <f>$N1431/10</f>
        <v>14.1</v>
      </c>
      <c r="CI1431" s="167">
        <f>$N1431/10</f>
        <v>14.1</v>
      </c>
      <c r="CJ1431" s="167">
        <f>$N1431/10</f>
        <v>14.1</v>
      </c>
      <c r="CK1431" s="167">
        <f>$N1431/10</f>
        <v>14.1</v>
      </c>
      <c r="CL1431" s="167">
        <f>$N1431/10</f>
        <v>14.1</v>
      </c>
      <c r="CM1431" s="167">
        <f>$N1431/10</f>
        <v>14.1</v>
      </c>
      <c r="CN1431" s="167">
        <f>$N1431/10</f>
        <v>14.1</v>
      </c>
      <c r="CO1431" s="167">
        <v>0</v>
      </c>
      <c r="CP1431" s="167">
        <v>0</v>
      </c>
      <c r="CQ1431" s="167">
        <v>0</v>
      </c>
      <c r="CR1431" s="167">
        <v>0</v>
      </c>
      <c r="CS1431" s="167">
        <v>0</v>
      </c>
      <c r="CT1431" s="167">
        <v>0</v>
      </c>
      <c r="CU1431" s="167">
        <v>0</v>
      </c>
      <c r="CV1431" s="167">
        <v>0</v>
      </c>
      <c r="CW1431" s="167">
        <v>0</v>
      </c>
      <c r="CX1431" s="167">
        <f>SUM(CD1431:CH1431)</f>
        <v>56.4</v>
      </c>
      <c r="CY1431" s="167">
        <f>SUM(CD1431:CM1431)</f>
        <v>126.89999999999998</v>
      </c>
    </row>
    <row r="1432" spans="1:103" ht="12.75" customHeight="1" x14ac:dyDescent="0.2">
      <c r="A1432" s="81">
        <v>6893</v>
      </c>
      <c r="B1432" s="165" t="s">
        <v>1902</v>
      </c>
      <c r="C1432" s="165" t="s">
        <v>3545</v>
      </c>
      <c r="E1432" s="165" t="s">
        <v>3546</v>
      </c>
      <c r="F1432" s="165" t="s">
        <v>3535</v>
      </c>
      <c r="G1432" s="81">
        <v>525561</v>
      </c>
      <c r="H1432" s="81">
        <v>174936</v>
      </c>
      <c r="I1432" s="165" t="s">
        <v>251</v>
      </c>
      <c r="L1432" s="166">
        <v>0</v>
      </c>
      <c r="M1432" s="166">
        <v>10</v>
      </c>
      <c r="N1432" s="166">
        <v>10</v>
      </c>
      <c r="O1432" s="166">
        <v>73</v>
      </c>
      <c r="P1432" s="166">
        <v>73</v>
      </c>
      <c r="Q1432" s="81" t="s">
        <v>155</v>
      </c>
      <c r="R1432" s="165" t="s">
        <v>1905</v>
      </c>
      <c r="S1432" s="81" t="s">
        <v>1906</v>
      </c>
      <c r="W1432" s="81" t="s">
        <v>114</v>
      </c>
      <c r="Y1432" s="81" t="s">
        <v>115</v>
      </c>
      <c r="Z1432" s="81" t="s">
        <v>116</v>
      </c>
      <c r="AA1432" s="81" t="s">
        <v>116</v>
      </c>
      <c r="AB1432" s="81" t="s">
        <v>117</v>
      </c>
      <c r="AC1432" s="166">
        <v>0</v>
      </c>
      <c r="AG1432" s="81" t="s">
        <v>74</v>
      </c>
      <c r="AH1432" s="81" t="s">
        <v>990</v>
      </c>
      <c r="AI1432" s="81" t="s">
        <v>1747</v>
      </c>
      <c r="AJ1432" s="81">
        <v>17320320</v>
      </c>
      <c r="AK1432" s="166">
        <v>0</v>
      </c>
      <c r="AM1432" s="166">
        <v>0</v>
      </c>
      <c r="AO1432" s="166">
        <v>0</v>
      </c>
      <c r="AP1432" s="166">
        <v>0</v>
      </c>
      <c r="AQ1432" s="166">
        <v>0</v>
      </c>
      <c r="AR1432" s="166">
        <v>0</v>
      </c>
      <c r="AS1432" s="166">
        <v>0</v>
      </c>
      <c r="AT1432" s="166">
        <v>0</v>
      </c>
      <c r="AU1432" s="166">
        <v>10</v>
      </c>
      <c r="AV1432" s="166">
        <v>0</v>
      </c>
      <c r="AW1432" s="166">
        <v>0</v>
      </c>
      <c r="AX1432" s="166">
        <v>0</v>
      </c>
      <c r="AY1432" s="166">
        <v>0</v>
      </c>
      <c r="AZ1432" s="166">
        <v>0</v>
      </c>
      <c r="BA1432" s="166">
        <v>0</v>
      </c>
      <c r="BB1432" s="166">
        <v>10</v>
      </c>
      <c r="BC1432" s="166">
        <v>0</v>
      </c>
      <c r="BD1432" s="166">
        <v>0</v>
      </c>
      <c r="BE1432" s="166">
        <v>0</v>
      </c>
      <c r="BF1432" s="166">
        <v>0</v>
      </c>
      <c r="BG1432" s="166">
        <v>0</v>
      </c>
      <c r="BH1432" s="166">
        <v>0</v>
      </c>
      <c r="BI1432" s="166">
        <v>0</v>
      </c>
      <c r="BJ1432" s="166">
        <v>0</v>
      </c>
      <c r="BK1432" s="166">
        <v>0</v>
      </c>
      <c r="BL1432" s="166">
        <v>0</v>
      </c>
      <c r="BM1432" s="166">
        <v>0</v>
      </c>
      <c r="BN1432" s="166">
        <v>0</v>
      </c>
      <c r="BO1432" s="166">
        <v>0</v>
      </c>
      <c r="BP1432" s="166">
        <v>0</v>
      </c>
      <c r="BQ1432" s="81" t="s">
        <v>1758</v>
      </c>
      <c r="BT1432" s="81" t="s">
        <v>155</v>
      </c>
      <c r="BZ1432" s="81" t="s">
        <v>155</v>
      </c>
      <c r="CA1432" s="81">
        <v>11</v>
      </c>
      <c r="CC1432" s="167">
        <v>0</v>
      </c>
      <c r="CD1432" s="167">
        <v>0</v>
      </c>
      <c r="CE1432" s="167">
        <v>0</v>
      </c>
      <c r="CF1432" s="167">
        <v>0</v>
      </c>
      <c r="CG1432" s="167">
        <v>0</v>
      </c>
      <c r="CH1432" s="167">
        <v>0</v>
      </c>
      <c r="CI1432" s="167">
        <v>0</v>
      </c>
      <c r="CJ1432" s="167">
        <f>$N1432/17</f>
        <v>0.58823529411764708</v>
      </c>
      <c r="CK1432" s="167">
        <f>$N1432/17</f>
        <v>0.58823529411764708</v>
      </c>
      <c r="CL1432" s="167">
        <f>$N1432/17</f>
        <v>0.58823529411764708</v>
      </c>
      <c r="CM1432" s="167">
        <f>$N1432/17</f>
        <v>0.58823529411764708</v>
      </c>
      <c r="CN1432" s="167">
        <f>$N1432/17</f>
        <v>0.58823529411764708</v>
      </c>
      <c r="CO1432" s="167">
        <f>$N1432/17</f>
        <v>0.58823529411764708</v>
      </c>
      <c r="CP1432" s="167">
        <f>$N1432/17</f>
        <v>0.58823529411764708</v>
      </c>
      <c r="CQ1432" s="167">
        <f>$N1432/17</f>
        <v>0.58823529411764708</v>
      </c>
      <c r="CR1432" s="167">
        <f>$N1432/17</f>
        <v>0.58823529411764708</v>
      </c>
      <c r="CS1432" s="167">
        <f>$N1432/17</f>
        <v>0.58823529411764708</v>
      </c>
      <c r="CT1432" s="167">
        <f>$N1432/17</f>
        <v>0.58823529411764708</v>
      </c>
      <c r="CU1432" s="167">
        <f>$N1432/17</f>
        <v>0.58823529411764708</v>
      </c>
      <c r="CV1432" s="167">
        <f>$N1432/17</f>
        <v>0.58823529411764708</v>
      </c>
      <c r="CW1432" s="167">
        <f>$N1432/17</f>
        <v>0.58823529411764708</v>
      </c>
      <c r="CX1432" s="167">
        <f>SUM(CD1432:CH1432)</f>
        <v>0</v>
      </c>
      <c r="CY1432" s="167">
        <f>SUM(CD1432:CM1432)</f>
        <v>2.3529411764705883</v>
      </c>
    </row>
    <row r="1433" spans="1:103" ht="12.75" customHeight="1" x14ac:dyDescent="0.2">
      <c r="A1433" s="81">
        <v>6893</v>
      </c>
      <c r="B1433" s="165" t="s">
        <v>1902</v>
      </c>
      <c r="C1433" s="165" t="s">
        <v>3545</v>
      </c>
      <c r="E1433" s="165" t="s">
        <v>3546</v>
      </c>
      <c r="F1433" s="165" t="s">
        <v>1556</v>
      </c>
      <c r="G1433" s="81">
        <v>525561</v>
      </c>
      <c r="H1433" s="81">
        <v>174936</v>
      </c>
      <c r="I1433" s="165" t="s">
        <v>251</v>
      </c>
      <c r="L1433" s="166">
        <v>0</v>
      </c>
      <c r="M1433" s="166">
        <v>49</v>
      </c>
      <c r="N1433" s="166">
        <v>49</v>
      </c>
      <c r="O1433" s="166">
        <v>73</v>
      </c>
      <c r="P1433" s="166">
        <v>73</v>
      </c>
      <c r="Q1433" s="81" t="s">
        <v>155</v>
      </c>
      <c r="R1433" s="165" t="s">
        <v>1905</v>
      </c>
      <c r="S1433" s="81" t="s">
        <v>1906</v>
      </c>
      <c r="W1433" s="81" t="s">
        <v>114</v>
      </c>
      <c r="Y1433" s="81" t="s">
        <v>115</v>
      </c>
      <c r="Z1433" s="81" t="s">
        <v>116</v>
      </c>
      <c r="AA1433" s="81" t="s">
        <v>116</v>
      </c>
      <c r="AB1433" s="81" t="s">
        <v>117</v>
      </c>
      <c r="AC1433" s="166">
        <v>0</v>
      </c>
      <c r="AG1433" s="81" t="s">
        <v>238</v>
      </c>
      <c r="AH1433" s="81" t="s">
        <v>118</v>
      </c>
      <c r="AI1433" s="81" t="s">
        <v>1747</v>
      </c>
      <c r="AJ1433" s="81">
        <v>17320320</v>
      </c>
      <c r="AK1433" s="166">
        <v>0</v>
      </c>
      <c r="AM1433" s="166">
        <v>0</v>
      </c>
      <c r="AO1433" s="166">
        <v>0</v>
      </c>
      <c r="AP1433" s="166">
        <v>0</v>
      </c>
      <c r="AQ1433" s="166">
        <v>0</v>
      </c>
      <c r="AR1433" s="166">
        <v>0</v>
      </c>
      <c r="AS1433" s="166">
        <v>0</v>
      </c>
      <c r="AT1433" s="166">
        <v>0</v>
      </c>
      <c r="AU1433" s="166">
        <v>49</v>
      </c>
      <c r="AV1433" s="166">
        <v>0</v>
      </c>
      <c r="AW1433" s="166">
        <v>0</v>
      </c>
      <c r="AX1433" s="166">
        <v>0</v>
      </c>
      <c r="AY1433" s="166">
        <v>0</v>
      </c>
      <c r="AZ1433" s="166">
        <v>0</v>
      </c>
      <c r="BA1433" s="166">
        <v>0</v>
      </c>
      <c r="BB1433" s="166">
        <v>49</v>
      </c>
      <c r="BC1433" s="166">
        <v>0</v>
      </c>
      <c r="BD1433" s="166">
        <v>0</v>
      </c>
      <c r="BE1433" s="166">
        <v>0</v>
      </c>
      <c r="BF1433" s="166">
        <v>0</v>
      </c>
      <c r="BG1433" s="166">
        <v>0</v>
      </c>
      <c r="BH1433" s="166">
        <v>0</v>
      </c>
      <c r="BI1433" s="166">
        <v>0</v>
      </c>
      <c r="BJ1433" s="166">
        <v>0</v>
      </c>
      <c r="BK1433" s="166">
        <v>0</v>
      </c>
      <c r="BL1433" s="166">
        <v>0</v>
      </c>
      <c r="BM1433" s="166">
        <v>0</v>
      </c>
      <c r="BN1433" s="166">
        <v>0</v>
      </c>
      <c r="BO1433" s="166">
        <v>0</v>
      </c>
      <c r="BP1433" s="166">
        <v>0</v>
      </c>
      <c r="BQ1433" s="81" t="s">
        <v>1758</v>
      </c>
      <c r="BT1433" s="81" t="s">
        <v>155</v>
      </c>
      <c r="BZ1433" s="81" t="s">
        <v>155</v>
      </c>
      <c r="CA1433" s="81">
        <v>11</v>
      </c>
      <c r="CC1433" s="167">
        <v>0</v>
      </c>
      <c r="CD1433" s="167">
        <v>0</v>
      </c>
      <c r="CE1433" s="167">
        <v>0</v>
      </c>
      <c r="CF1433" s="167">
        <v>0</v>
      </c>
      <c r="CG1433" s="167">
        <v>0</v>
      </c>
      <c r="CH1433" s="167">
        <v>0</v>
      </c>
      <c r="CI1433" s="167">
        <v>0</v>
      </c>
      <c r="CJ1433" s="167">
        <f>$N1433/17</f>
        <v>2.8823529411764706</v>
      </c>
      <c r="CK1433" s="167">
        <f>$N1433/17</f>
        <v>2.8823529411764706</v>
      </c>
      <c r="CL1433" s="167">
        <f>$N1433/17</f>
        <v>2.8823529411764706</v>
      </c>
      <c r="CM1433" s="167">
        <f>$N1433/17</f>
        <v>2.8823529411764706</v>
      </c>
      <c r="CN1433" s="167">
        <f>$N1433/17</f>
        <v>2.8823529411764706</v>
      </c>
      <c r="CO1433" s="167">
        <f>$N1433/17</f>
        <v>2.8823529411764706</v>
      </c>
      <c r="CP1433" s="167">
        <f>$N1433/17</f>
        <v>2.8823529411764706</v>
      </c>
      <c r="CQ1433" s="167">
        <f>$N1433/17</f>
        <v>2.8823529411764706</v>
      </c>
      <c r="CR1433" s="167">
        <f>$N1433/17</f>
        <v>2.8823529411764706</v>
      </c>
      <c r="CS1433" s="167">
        <f>$N1433/17</f>
        <v>2.8823529411764706</v>
      </c>
      <c r="CT1433" s="167">
        <f>$N1433/17</f>
        <v>2.8823529411764706</v>
      </c>
      <c r="CU1433" s="167">
        <f>$N1433/17</f>
        <v>2.8823529411764706</v>
      </c>
      <c r="CV1433" s="167">
        <f>$N1433/17</f>
        <v>2.8823529411764706</v>
      </c>
      <c r="CW1433" s="167">
        <f>$N1433/17</f>
        <v>2.8823529411764706</v>
      </c>
      <c r="CX1433" s="167">
        <f>SUM(CD1433:CH1433)</f>
        <v>0</v>
      </c>
      <c r="CY1433" s="167">
        <f>SUM(CD1433:CM1433)</f>
        <v>11.529411764705882</v>
      </c>
    </row>
    <row r="1434" spans="1:103" ht="12.75" customHeight="1" x14ac:dyDescent="0.2">
      <c r="A1434" s="81">
        <v>6893</v>
      </c>
      <c r="B1434" s="165" t="s">
        <v>1902</v>
      </c>
      <c r="C1434" s="165" t="s">
        <v>3545</v>
      </c>
      <c r="E1434" s="165" t="s">
        <v>3546</v>
      </c>
      <c r="F1434" s="165" t="s">
        <v>3536</v>
      </c>
      <c r="G1434" s="81">
        <v>525561</v>
      </c>
      <c r="H1434" s="81">
        <v>174936</v>
      </c>
      <c r="I1434" s="165" t="s">
        <v>251</v>
      </c>
      <c r="L1434" s="166">
        <v>0</v>
      </c>
      <c r="M1434" s="166">
        <v>14</v>
      </c>
      <c r="N1434" s="166">
        <v>14</v>
      </c>
      <c r="O1434" s="166">
        <v>73</v>
      </c>
      <c r="P1434" s="166">
        <v>73</v>
      </c>
      <c r="Q1434" s="81" t="s">
        <v>155</v>
      </c>
      <c r="R1434" s="165" t="s">
        <v>1905</v>
      </c>
      <c r="S1434" s="81" t="s">
        <v>1906</v>
      </c>
      <c r="W1434" s="81" t="s">
        <v>114</v>
      </c>
      <c r="Y1434" s="81" t="s">
        <v>115</v>
      </c>
      <c r="Z1434" s="81" t="s">
        <v>116</v>
      </c>
      <c r="AA1434" s="81" t="s">
        <v>116</v>
      </c>
      <c r="AB1434" s="81" t="s">
        <v>117</v>
      </c>
      <c r="AC1434" s="166">
        <v>0</v>
      </c>
      <c r="AG1434" s="81" t="s">
        <v>154</v>
      </c>
      <c r="AH1434" s="81" t="s">
        <v>276</v>
      </c>
      <c r="AI1434" s="81" t="s">
        <v>1747</v>
      </c>
      <c r="AJ1434" s="81">
        <v>17320320</v>
      </c>
      <c r="AK1434" s="166">
        <v>0</v>
      </c>
      <c r="AM1434" s="166">
        <v>0</v>
      </c>
      <c r="AO1434" s="166">
        <v>0</v>
      </c>
      <c r="AP1434" s="166">
        <v>0</v>
      </c>
      <c r="AQ1434" s="166">
        <v>0</v>
      </c>
      <c r="AR1434" s="166">
        <v>0</v>
      </c>
      <c r="AS1434" s="166">
        <v>0</v>
      </c>
      <c r="AT1434" s="166">
        <v>0</v>
      </c>
      <c r="AU1434" s="166">
        <v>14</v>
      </c>
      <c r="AV1434" s="166">
        <v>0</v>
      </c>
      <c r="AW1434" s="166">
        <v>0</v>
      </c>
      <c r="AX1434" s="166">
        <v>0</v>
      </c>
      <c r="AY1434" s="166">
        <v>0</v>
      </c>
      <c r="AZ1434" s="166">
        <v>0</v>
      </c>
      <c r="BA1434" s="166">
        <v>0</v>
      </c>
      <c r="BB1434" s="166">
        <v>14</v>
      </c>
      <c r="BC1434" s="166">
        <v>0</v>
      </c>
      <c r="BD1434" s="166">
        <v>0</v>
      </c>
      <c r="BE1434" s="166">
        <v>0</v>
      </c>
      <c r="BF1434" s="166">
        <v>0</v>
      </c>
      <c r="BG1434" s="166">
        <v>0</v>
      </c>
      <c r="BH1434" s="166">
        <v>0</v>
      </c>
      <c r="BI1434" s="166">
        <v>0</v>
      </c>
      <c r="BJ1434" s="166">
        <v>0</v>
      </c>
      <c r="BK1434" s="166">
        <v>0</v>
      </c>
      <c r="BL1434" s="166">
        <v>0</v>
      </c>
      <c r="BM1434" s="166">
        <v>0</v>
      </c>
      <c r="BN1434" s="166">
        <v>0</v>
      </c>
      <c r="BO1434" s="166">
        <v>0</v>
      </c>
      <c r="BP1434" s="166">
        <v>0</v>
      </c>
      <c r="BQ1434" s="81" t="s">
        <v>1758</v>
      </c>
      <c r="BT1434" s="81" t="s">
        <v>155</v>
      </c>
      <c r="BZ1434" s="81" t="s">
        <v>155</v>
      </c>
      <c r="CA1434" s="81">
        <v>11</v>
      </c>
      <c r="CC1434" s="167">
        <v>0</v>
      </c>
      <c r="CD1434" s="167">
        <v>0</v>
      </c>
      <c r="CE1434" s="167">
        <v>0</v>
      </c>
      <c r="CF1434" s="167">
        <v>0</v>
      </c>
      <c r="CG1434" s="167">
        <v>0</v>
      </c>
      <c r="CH1434" s="167">
        <v>0</v>
      </c>
      <c r="CI1434" s="167">
        <v>0</v>
      </c>
      <c r="CJ1434" s="167">
        <f>$N1434/17</f>
        <v>0.82352941176470584</v>
      </c>
      <c r="CK1434" s="167">
        <f>$N1434/17</f>
        <v>0.82352941176470584</v>
      </c>
      <c r="CL1434" s="167">
        <f>$N1434/17</f>
        <v>0.82352941176470584</v>
      </c>
      <c r="CM1434" s="167">
        <f>$N1434/17</f>
        <v>0.82352941176470584</v>
      </c>
      <c r="CN1434" s="167">
        <f>$N1434/17</f>
        <v>0.82352941176470584</v>
      </c>
      <c r="CO1434" s="167">
        <f>$N1434/17</f>
        <v>0.82352941176470584</v>
      </c>
      <c r="CP1434" s="167">
        <f>$N1434/17</f>
        <v>0.82352941176470584</v>
      </c>
      <c r="CQ1434" s="167">
        <f>$N1434/17</f>
        <v>0.82352941176470584</v>
      </c>
      <c r="CR1434" s="167">
        <f>$N1434/17</f>
        <v>0.82352941176470584</v>
      </c>
      <c r="CS1434" s="167">
        <f>$N1434/17</f>
        <v>0.82352941176470584</v>
      </c>
      <c r="CT1434" s="167">
        <f>$N1434/17</f>
        <v>0.82352941176470584</v>
      </c>
      <c r="CU1434" s="167">
        <f>$N1434/17</f>
        <v>0.82352941176470584</v>
      </c>
      <c r="CV1434" s="167">
        <f>$N1434/17</f>
        <v>0.82352941176470584</v>
      </c>
      <c r="CW1434" s="167">
        <f>$N1434/17</f>
        <v>0.82352941176470584</v>
      </c>
      <c r="CX1434" s="167">
        <f>SUM(CD1434:CH1434)</f>
        <v>0</v>
      </c>
      <c r="CY1434" s="167">
        <f>SUM(CD1434:CM1434)</f>
        <v>3.2941176470588234</v>
      </c>
    </row>
    <row r="1435" spans="1:103" ht="12.75" customHeight="1" x14ac:dyDescent="0.2">
      <c r="A1435" s="81">
        <v>6894</v>
      </c>
      <c r="B1435" s="165" t="s">
        <v>1902</v>
      </c>
      <c r="C1435" s="165" t="s">
        <v>3559</v>
      </c>
      <c r="E1435" s="165" t="s">
        <v>3560</v>
      </c>
      <c r="F1435" s="165" t="s">
        <v>3535</v>
      </c>
      <c r="G1435" s="81">
        <v>525337</v>
      </c>
      <c r="H1435" s="81">
        <v>175127</v>
      </c>
      <c r="I1435" s="165" t="s">
        <v>259</v>
      </c>
      <c r="L1435" s="166">
        <v>0</v>
      </c>
      <c r="M1435" s="166">
        <v>9</v>
      </c>
      <c r="N1435" s="166">
        <v>9</v>
      </c>
      <c r="O1435" s="166">
        <v>66</v>
      </c>
      <c r="P1435" s="166">
        <v>66</v>
      </c>
      <c r="Q1435" s="81" t="s">
        <v>155</v>
      </c>
      <c r="R1435" s="165" t="s">
        <v>1905</v>
      </c>
      <c r="S1435" s="81" t="s">
        <v>1906</v>
      </c>
      <c r="W1435" s="81" t="s">
        <v>114</v>
      </c>
      <c r="Y1435" s="81" t="s">
        <v>115</v>
      </c>
      <c r="Z1435" s="81" t="s">
        <v>116</v>
      </c>
      <c r="AA1435" s="81" t="s">
        <v>117</v>
      </c>
      <c r="AB1435" s="81" t="s">
        <v>218</v>
      </c>
      <c r="AC1435" s="166">
        <v>0</v>
      </c>
      <c r="AG1435" s="81" t="s">
        <v>74</v>
      </c>
      <c r="AH1435" s="81" t="s">
        <v>990</v>
      </c>
      <c r="AI1435" s="81" t="s">
        <v>1745</v>
      </c>
      <c r="AJ1435" s="81">
        <v>17320283</v>
      </c>
      <c r="AK1435" s="166">
        <v>0</v>
      </c>
      <c r="AM1435" s="166">
        <v>0</v>
      </c>
      <c r="AO1435" s="166">
        <v>0</v>
      </c>
      <c r="AP1435" s="166">
        <v>0</v>
      </c>
      <c r="AQ1435" s="166">
        <v>0</v>
      </c>
      <c r="AR1435" s="166">
        <v>0</v>
      </c>
      <c r="AS1435" s="166">
        <v>0</v>
      </c>
      <c r="AT1435" s="166">
        <v>0</v>
      </c>
      <c r="AU1435" s="166">
        <v>9</v>
      </c>
      <c r="AV1435" s="166">
        <v>0</v>
      </c>
      <c r="AW1435" s="166">
        <v>0</v>
      </c>
      <c r="AX1435" s="166">
        <v>0</v>
      </c>
      <c r="AY1435" s="166">
        <v>0</v>
      </c>
      <c r="AZ1435" s="166">
        <v>0</v>
      </c>
      <c r="BA1435" s="166">
        <v>0</v>
      </c>
      <c r="BB1435" s="166">
        <v>9</v>
      </c>
      <c r="BC1435" s="166">
        <v>0</v>
      </c>
      <c r="BD1435" s="166">
        <v>0</v>
      </c>
      <c r="BE1435" s="166">
        <v>0</v>
      </c>
      <c r="BF1435" s="166">
        <v>0</v>
      </c>
      <c r="BG1435" s="166">
        <v>0</v>
      </c>
      <c r="BH1435" s="166">
        <v>0</v>
      </c>
      <c r="BI1435" s="166">
        <v>0</v>
      </c>
      <c r="BJ1435" s="166">
        <v>0</v>
      </c>
      <c r="BK1435" s="166">
        <v>0</v>
      </c>
      <c r="BL1435" s="166">
        <v>0</v>
      </c>
      <c r="BM1435" s="166">
        <v>0</v>
      </c>
      <c r="BN1435" s="166">
        <v>0</v>
      </c>
      <c r="BO1435" s="166">
        <v>0</v>
      </c>
      <c r="BP1435" s="166">
        <v>0</v>
      </c>
      <c r="BQ1435" s="81" t="s">
        <v>1758</v>
      </c>
      <c r="BT1435" s="81" t="s">
        <v>155</v>
      </c>
      <c r="BZ1435" s="81" t="s">
        <v>155</v>
      </c>
      <c r="CA1435" s="81">
        <v>11</v>
      </c>
      <c r="CC1435" s="167">
        <v>0</v>
      </c>
      <c r="CD1435" s="167">
        <v>0</v>
      </c>
      <c r="CE1435" s="167">
        <f>$N1435/15</f>
        <v>0.6</v>
      </c>
      <c r="CF1435" s="167">
        <f>$N1435/15</f>
        <v>0.6</v>
      </c>
      <c r="CG1435" s="167">
        <f>$N1435/15</f>
        <v>0.6</v>
      </c>
      <c r="CH1435" s="167">
        <f>$N1435/15</f>
        <v>0.6</v>
      </c>
      <c r="CI1435" s="167">
        <f>$N1435/15</f>
        <v>0.6</v>
      </c>
      <c r="CJ1435" s="167">
        <f>$N1435/15</f>
        <v>0.6</v>
      </c>
      <c r="CK1435" s="167">
        <f>$N1435/15</f>
        <v>0.6</v>
      </c>
      <c r="CL1435" s="167">
        <f>$N1435/15</f>
        <v>0.6</v>
      </c>
      <c r="CM1435" s="167">
        <f>$N1435/15</f>
        <v>0.6</v>
      </c>
      <c r="CN1435" s="167">
        <f>$N1435/15</f>
        <v>0.6</v>
      </c>
      <c r="CO1435" s="167">
        <f>$N1435/15</f>
        <v>0.6</v>
      </c>
      <c r="CP1435" s="167">
        <f>$N1435/15</f>
        <v>0.6</v>
      </c>
      <c r="CQ1435" s="167">
        <f>$N1435/15</f>
        <v>0.6</v>
      </c>
      <c r="CR1435" s="167">
        <f>$N1435/15</f>
        <v>0.6</v>
      </c>
      <c r="CS1435" s="167">
        <f>$N1435/15</f>
        <v>0.6</v>
      </c>
      <c r="CT1435" s="167">
        <v>0</v>
      </c>
      <c r="CU1435" s="167">
        <v>0</v>
      </c>
      <c r="CV1435" s="167">
        <v>0</v>
      </c>
      <c r="CW1435" s="167">
        <v>0</v>
      </c>
      <c r="CX1435" s="167">
        <f>SUM(CD1435:CH1435)</f>
        <v>2.4</v>
      </c>
      <c r="CY1435" s="167">
        <f>SUM(CD1435:CM1435)</f>
        <v>5.3999999999999995</v>
      </c>
    </row>
    <row r="1436" spans="1:103" ht="12.75" customHeight="1" x14ac:dyDescent="0.2">
      <c r="A1436" s="81">
        <v>6894</v>
      </c>
      <c r="B1436" s="165" t="s">
        <v>1902</v>
      </c>
      <c r="C1436" s="165" t="s">
        <v>3559</v>
      </c>
      <c r="E1436" s="165" t="s">
        <v>3560</v>
      </c>
      <c r="F1436" s="165" t="s">
        <v>1556</v>
      </c>
      <c r="G1436" s="81">
        <v>525337</v>
      </c>
      <c r="H1436" s="81">
        <v>175127</v>
      </c>
      <c r="I1436" s="165" t="s">
        <v>259</v>
      </c>
      <c r="L1436" s="166">
        <v>0</v>
      </c>
      <c r="M1436" s="166">
        <v>44</v>
      </c>
      <c r="N1436" s="166">
        <v>44</v>
      </c>
      <c r="O1436" s="166">
        <v>66</v>
      </c>
      <c r="P1436" s="166">
        <v>66</v>
      </c>
      <c r="Q1436" s="81" t="s">
        <v>155</v>
      </c>
      <c r="R1436" s="165" t="s">
        <v>1905</v>
      </c>
      <c r="S1436" s="81" t="s">
        <v>1906</v>
      </c>
      <c r="W1436" s="81" t="s">
        <v>114</v>
      </c>
      <c r="Y1436" s="81" t="s">
        <v>115</v>
      </c>
      <c r="Z1436" s="81" t="s">
        <v>116</v>
      </c>
      <c r="AA1436" s="81" t="s">
        <v>116</v>
      </c>
      <c r="AB1436" s="81" t="s">
        <v>117</v>
      </c>
      <c r="AC1436" s="166">
        <v>0</v>
      </c>
      <c r="AG1436" s="81" t="s">
        <v>238</v>
      </c>
      <c r="AH1436" s="81" t="s">
        <v>118</v>
      </c>
      <c r="AI1436" s="81" t="s">
        <v>1745</v>
      </c>
      <c r="AJ1436" s="81">
        <v>17320283</v>
      </c>
      <c r="AK1436" s="166">
        <v>0</v>
      </c>
      <c r="AM1436" s="166">
        <v>0</v>
      </c>
      <c r="AO1436" s="166">
        <v>0</v>
      </c>
      <c r="AP1436" s="166">
        <v>0</v>
      </c>
      <c r="AQ1436" s="166">
        <v>0</v>
      </c>
      <c r="AR1436" s="166">
        <v>0</v>
      </c>
      <c r="AS1436" s="166">
        <v>0</v>
      </c>
      <c r="AT1436" s="166">
        <v>0</v>
      </c>
      <c r="AU1436" s="166">
        <v>44</v>
      </c>
      <c r="AV1436" s="166">
        <v>0</v>
      </c>
      <c r="AW1436" s="166">
        <v>0</v>
      </c>
      <c r="AX1436" s="166">
        <v>0</v>
      </c>
      <c r="AY1436" s="166">
        <v>0</v>
      </c>
      <c r="AZ1436" s="166">
        <v>0</v>
      </c>
      <c r="BA1436" s="166">
        <v>0</v>
      </c>
      <c r="BB1436" s="166">
        <v>44</v>
      </c>
      <c r="BC1436" s="166">
        <v>0</v>
      </c>
      <c r="BD1436" s="166">
        <v>0</v>
      </c>
      <c r="BE1436" s="166">
        <v>0</v>
      </c>
      <c r="BF1436" s="166">
        <v>0</v>
      </c>
      <c r="BG1436" s="166">
        <v>0</v>
      </c>
      <c r="BH1436" s="166">
        <v>0</v>
      </c>
      <c r="BI1436" s="166">
        <v>0</v>
      </c>
      <c r="BJ1436" s="166">
        <v>0</v>
      </c>
      <c r="BK1436" s="166">
        <v>0</v>
      </c>
      <c r="BL1436" s="166">
        <v>0</v>
      </c>
      <c r="BM1436" s="166">
        <v>0</v>
      </c>
      <c r="BN1436" s="166">
        <v>0</v>
      </c>
      <c r="BO1436" s="166">
        <v>0</v>
      </c>
      <c r="BP1436" s="166">
        <v>0</v>
      </c>
      <c r="BQ1436" s="81" t="s">
        <v>1758</v>
      </c>
      <c r="BT1436" s="81" t="s">
        <v>155</v>
      </c>
      <c r="BZ1436" s="81" t="s">
        <v>155</v>
      </c>
      <c r="CA1436" s="81">
        <v>11</v>
      </c>
      <c r="CC1436" s="167">
        <v>0</v>
      </c>
      <c r="CD1436" s="167">
        <v>0</v>
      </c>
      <c r="CE1436" s="167">
        <f>$N1436/15</f>
        <v>2.9333333333333331</v>
      </c>
      <c r="CF1436" s="167">
        <f>$N1436/15</f>
        <v>2.9333333333333331</v>
      </c>
      <c r="CG1436" s="167">
        <f>$N1436/15</f>
        <v>2.9333333333333331</v>
      </c>
      <c r="CH1436" s="167">
        <f>$N1436/15</f>
        <v>2.9333333333333331</v>
      </c>
      <c r="CI1436" s="167">
        <f>$N1436/15</f>
        <v>2.9333333333333331</v>
      </c>
      <c r="CJ1436" s="167">
        <f>$N1436/15</f>
        <v>2.9333333333333331</v>
      </c>
      <c r="CK1436" s="167">
        <f>$N1436/15</f>
        <v>2.9333333333333331</v>
      </c>
      <c r="CL1436" s="167">
        <f>$N1436/15</f>
        <v>2.9333333333333331</v>
      </c>
      <c r="CM1436" s="167">
        <f>$N1436/15</f>
        <v>2.9333333333333331</v>
      </c>
      <c r="CN1436" s="167">
        <f>$N1436/15</f>
        <v>2.9333333333333331</v>
      </c>
      <c r="CO1436" s="167">
        <f>$N1436/15</f>
        <v>2.9333333333333331</v>
      </c>
      <c r="CP1436" s="167">
        <f>$N1436/15</f>
        <v>2.9333333333333331</v>
      </c>
      <c r="CQ1436" s="167">
        <f>$N1436/15</f>
        <v>2.9333333333333331</v>
      </c>
      <c r="CR1436" s="167">
        <f>$N1436/15</f>
        <v>2.9333333333333331</v>
      </c>
      <c r="CS1436" s="167">
        <f>$N1436/15</f>
        <v>2.9333333333333331</v>
      </c>
      <c r="CT1436" s="167">
        <v>0</v>
      </c>
      <c r="CU1436" s="167">
        <v>0</v>
      </c>
      <c r="CV1436" s="167">
        <v>0</v>
      </c>
      <c r="CW1436" s="167">
        <v>0</v>
      </c>
      <c r="CX1436" s="167">
        <f>SUM(CD1436:CH1436)</f>
        <v>11.733333333333333</v>
      </c>
      <c r="CY1436" s="167">
        <f>SUM(CD1436:CM1436)</f>
        <v>26.4</v>
      </c>
    </row>
    <row r="1437" spans="1:103" ht="12.75" customHeight="1" x14ac:dyDescent="0.2">
      <c r="A1437" s="81">
        <v>6894</v>
      </c>
      <c r="B1437" s="165" t="s">
        <v>1902</v>
      </c>
      <c r="C1437" s="165" t="s">
        <v>3559</v>
      </c>
      <c r="E1437" s="165" t="s">
        <v>3560</v>
      </c>
      <c r="F1437" s="165" t="s">
        <v>3536</v>
      </c>
      <c r="G1437" s="81">
        <v>525337</v>
      </c>
      <c r="H1437" s="81">
        <v>175127</v>
      </c>
      <c r="I1437" s="165" t="s">
        <v>259</v>
      </c>
      <c r="L1437" s="166">
        <v>0</v>
      </c>
      <c r="M1437" s="166">
        <v>13</v>
      </c>
      <c r="N1437" s="166">
        <v>13</v>
      </c>
      <c r="O1437" s="166">
        <v>66</v>
      </c>
      <c r="P1437" s="166">
        <v>66</v>
      </c>
      <c r="Q1437" s="81" t="s">
        <v>155</v>
      </c>
      <c r="R1437" s="165" t="s">
        <v>1905</v>
      </c>
      <c r="S1437" s="81" t="s">
        <v>1906</v>
      </c>
      <c r="W1437" s="81" t="s">
        <v>114</v>
      </c>
      <c r="Y1437" s="81" t="s">
        <v>115</v>
      </c>
      <c r="Z1437" s="81" t="s">
        <v>116</v>
      </c>
      <c r="AA1437" s="81" t="s">
        <v>116</v>
      </c>
      <c r="AB1437" s="81" t="s">
        <v>117</v>
      </c>
      <c r="AC1437" s="166">
        <v>0</v>
      </c>
      <c r="AG1437" s="81" t="s">
        <v>154</v>
      </c>
      <c r="AH1437" s="81" t="s">
        <v>276</v>
      </c>
      <c r="AI1437" s="81" t="s">
        <v>1745</v>
      </c>
      <c r="AJ1437" s="81">
        <v>17320283</v>
      </c>
      <c r="AK1437" s="166">
        <v>0</v>
      </c>
      <c r="AM1437" s="166">
        <v>0</v>
      </c>
      <c r="AO1437" s="166">
        <v>0</v>
      </c>
      <c r="AP1437" s="166">
        <v>0</v>
      </c>
      <c r="AQ1437" s="166">
        <v>0</v>
      </c>
      <c r="AR1437" s="166">
        <v>0</v>
      </c>
      <c r="AS1437" s="166">
        <v>0</v>
      </c>
      <c r="AT1437" s="166">
        <v>0</v>
      </c>
      <c r="AU1437" s="166">
        <v>13</v>
      </c>
      <c r="AV1437" s="166">
        <v>0</v>
      </c>
      <c r="AW1437" s="166">
        <v>0</v>
      </c>
      <c r="AX1437" s="166">
        <v>0</v>
      </c>
      <c r="AY1437" s="166">
        <v>0</v>
      </c>
      <c r="AZ1437" s="166">
        <v>0</v>
      </c>
      <c r="BA1437" s="166">
        <v>0</v>
      </c>
      <c r="BB1437" s="166">
        <v>13</v>
      </c>
      <c r="BC1437" s="166">
        <v>0</v>
      </c>
      <c r="BD1437" s="166">
        <v>0</v>
      </c>
      <c r="BE1437" s="166">
        <v>0</v>
      </c>
      <c r="BF1437" s="166">
        <v>0</v>
      </c>
      <c r="BG1437" s="166">
        <v>0</v>
      </c>
      <c r="BH1437" s="166">
        <v>0</v>
      </c>
      <c r="BI1437" s="166">
        <v>0</v>
      </c>
      <c r="BJ1437" s="166">
        <v>0</v>
      </c>
      <c r="BK1437" s="166">
        <v>0</v>
      </c>
      <c r="BL1437" s="166">
        <v>0</v>
      </c>
      <c r="BM1437" s="166">
        <v>0</v>
      </c>
      <c r="BN1437" s="166">
        <v>0</v>
      </c>
      <c r="BO1437" s="166">
        <v>0</v>
      </c>
      <c r="BP1437" s="166">
        <v>0</v>
      </c>
      <c r="BQ1437" s="81" t="s">
        <v>1758</v>
      </c>
      <c r="BT1437" s="81" t="s">
        <v>155</v>
      </c>
      <c r="BZ1437" s="81" t="s">
        <v>155</v>
      </c>
      <c r="CA1437" s="81">
        <v>11</v>
      </c>
      <c r="CC1437" s="167">
        <v>0</v>
      </c>
      <c r="CD1437" s="167">
        <v>0</v>
      </c>
      <c r="CE1437" s="167">
        <f>$N1437/15</f>
        <v>0.8666666666666667</v>
      </c>
      <c r="CF1437" s="167">
        <f>$N1437/15</f>
        <v>0.8666666666666667</v>
      </c>
      <c r="CG1437" s="167">
        <f>$N1437/15</f>
        <v>0.8666666666666667</v>
      </c>
      <c r="CH1437" s="167">
        <f>$N1437/15</f>
        <v>0.8666666666666667</v>
      </c>
      <c r="CI1437" s="167">
        <f>$N1437/15</f>
        <v>0.8666666666666667</v>
      </c>
      <c r="CJ1437" s="167">
        <f>$N1437/15</f>
        <v>0.8666666666666667</v>
      </c>
      <c r="CK1437" s="167">
        <f>$N1437/15</f>
        <v>0.8666666666666667</v>
      </c>
      <c r="CL1437" s="167">
        <f>$N1437/15</f>
        <v>0.8666666666666667</v>
      </c>
      <c r="CM1437" s="167">
        <f>$N1437/15</f>
        <v>0.8666666666666667</v>
      </c>
      <c r="CN1437" s="167">
        <f>$N1437/15</f>
        <v>0.8666666666666667</v>
      </c>
      <c r="CO1437" s="167">
        <f>$N1437/15</f>
        <v>0.8666666666666667</v>
      </c>
      <c r="CP1437" s="167">
        <f>$N1437/15</f>
        <v>0.8666666666666667</v>
      </c>
      <c r="CQ1437" s="167">
        <f>$N1437/15</f>
        <v>0.8666666666666667</v>
      </c>
      <c r="CR1437" s="167">
        <f>$N1437/15</f>
        <v>0.8666666666666667</v>
      </c>
      <c r="CS1437" s="167">
        <f>$N1437/15</f>
        <v>0.8666666666666667</v>
      </c>
      <c r="CT1437" s="167">
        <v>0</v>
      </c>
      <c r="CU1437" s="167">
        <v>0</v>
      </c>
      <c r="CV1437" s="167">
        <v>0</v>
      </c>
      <c r="CW1437" s="167">
        <v>0</v>
      </c>
      <c r="CX1437" s="167">
        <f>SUM(CD1437:CH1437)</f>
        <v>3.4666666666666668</v>
      </c>
      <c r="CY1437" s="167">
        <f>SUM(CD1437:CM1437)</f>
        <v>7.8000000000000025</v>
      </c>
    </row>
    <row r="1438" spans="1:103" ht="12.75" customHeight="1" x14ac:dyDescent="0.2">
      <c r="A1438" s="81">
        <v>6895</v>
      </c>
      <c r="B1438" s="165" t="s">
        <v>1902</v>
      </c>
      <c r="C1438" s="165" t="s">
        <v>3574</v>
      </c>
      <c r="E1438" s="165" t="s">
        <v>3575</v>
      </c>
      <c r="F1438" s="165" t="s">
        <v>3535</v>
      </c>
      <c r="G1438" s="81">
        <v>525545</v>
      </c>
      <c r="H1438" s="81">
        <v>175231</v>
      </c>
      <c r="I1438" s="165" t="s">
        <v>251</v>
      </c>
      <c r="L1438" s="166">
        <v>0</v>
      </c>
      <c r="M1438" s="166">
        <v>2</v>
      </c>
      <c r="N1438" s="166">
        <v>2</v>
      </c>
      <c r="O1438" s="166">
        <v>16</v>
      </c>
      <c r="P1438" s="166">
        <v>16</v>
      </c>
      <c r="Q1438" s="81" t="s">
        <v>155</v>
      </c>
      <c r="R1438" s="165" t="s">
        <v>1905</v>
      </c>
      <c r="S1438" s="81" t="s">
        <v>1906</v>
      </c>
      <c r="W1438" s="81" t="s">
        <v>114</v>
      </c>
      <c r="Y1438" s="81" t="s">
        <v>115</v>
      </c>
      <c r="Z1438" s="81" t="s">
        <v>116</v>
      </c>
      <c r="AA1438" s="81" t="s">
        <v>117</v>
      </c>
      <c r="AB1438" s="81" t="s">
        <v>218</v>
      </c>
      <c r="AC1438" s="166">
        <v>0</v>
      </c>
      <c r="AG1438" s="81" t="s">
        <v>74</v>
      </c>
      <c r="AH1438" s="81" t="s">
        <v>990</v>
      </c>
      <c r="AI1438" s="81" t="s">
        <v>1738</v>
      </c>
      <c r="AJ1438" s="81">
        <v>17320067</v>
      </c>
      <c r="AK1438" s="166">
        <v>0</v>
      </c>
      <c r="AM1438" s="166">
        <v>0</v>
      </c>
      <c r="AO1438" s="166">
        <v>0</v>
      </c>
      <c r="AP1438" s="166">
        <v>0</v>
      </c>
      <c r="AQ1438" s="166">
        <v>0</v>
      </c>
      <c r="AR1438" s="166">
        <v>0</v>
      </c>
      <c r="AS1438" s="166">
        <v>0</v>
      </c>
      <c r="AT1438" s="166">
        <v>0</v>
      </c>
      <c r="AU1438" s="166">
        <v>2</v>
      </c>
      <c r="AV1438" s="166">
        <v>0</v>
      </c>
      <c r="AW1438" s="166">
        <v>0</v>
      </c>
      <c r="AX1438" s="166">
        <v>0</v>
      </c>
      <c r="AY1438" s="166">
        <v>0</v>
      </c>
      <c r="AZ1438" s="166">
        <v>0</v>
      </c>
      <c r="BA1438" s="166">
        <v>0</v>
      </c>
      <c r="BB1438" s="166">
        <v>2</v>
      </c>
      <c r="BC1438" s="166">
        <v>0</v>
      </c>
      <c r="BD1438" s="166">
        <v>0</v>
      </c>
      <c r="BE1438" s="166">
        <v>0</v>
      </c>
      <c r="BF1438" s="166">
        <v>0</v>
      </c>
      <c r="BG1438" s="166">
        <v>0</v>
      </c>
      <c r="BH1438" s="166">
        <v>0</v>
      </c>
      <c r="BI1438" s="166">
        <v>0</v>
      </c>
      <c r="BJ1438" s="166">
        <v>0</v>
      </c>
      <c r="BK1438" s="166">
        <v>0</v>
      </c>
      <c r="BL1438" s="166">
        <v>0</v>
      </c>
      <c r="BM1438" s="166">
        <v>0</v>
      </c>
      <c r="BN1438" s="166">
        <v>0</v>
      </c>
      <c r="BO1438" s="166">
        <v>0</v>
      </c>
      <c r="BP1438" s="166">
        <v>0</v>
      </c>
      <c r="BQ1438" s="81" t="s">
        <v>1758</v>
      </c>
      <c r="BT1438" s="81" t="s">
        <v>155</v>
      </c>
      <c r="BZ1438" s="81" t="s">
        <v>155</v>
      </c>
      <c r="CA1438" s="81">
        <v>11</v>
      </c>
      <c r="CC1438" s="167">
        <v>0</v>
      </c>
      <c r="CD1438" s="167">
        <v>0</v>
      </c>
      <c r="CE1438" s="167">
        <v>0</v>
      </c>
      <c r="CF1438" s="167">
        <v>0</v>
      </c>
      <c r="CG1438" s="167">
        <v>0</v>
      </c>
      <c r="CH1438" s="167">
        <v>0</v>
      </c>
      <c r="CI1438" s="167">
        <v>0</v>
      </c>
      <c r="CJ1438" s="167">
        <v>0</v>
      </c>
      <c r="CK1438" s="167">
        <v>0</v>
      </c>
      <c r="CL1438" s="167">
        <v>0</v>
      </c>
      <c r="CM1438" s="167">
        <v>0</v>
      </c>
      <c r="CN1438" s="167">
        <v>0</v>
      </c>
      <c r="CO1438" s="167">
        <f>$N1438/12</f>
        <v>0.16666666666666666</v>
      </c>
      <c r="CP1438" s="167">
        <f>$N1438/12</f>
        <v>0.16666666666666666</v>
      </c>
      <c r="CQ1438" s="167">
        <f>$N1438/12</f>
        <v>0.16666666666666666</v>
      </c>
      <c r="CR1438" s="167">
        <f>$N1438/12</f>
        <v>0.16666666666666666</v>
      </c>
      <c r="CS1438" s="167">
        <f>$N1438/12</f>
        <v>0.16666666666666666</v>
      </c>
      <c r="CT1438" s="167">
        <f>$N1438/12</f>
        <v>0.16666666666666666</v>
      </c>
      <c r="CU1438" s="167">
        <f>$N1438/12</f>
        <v>0.16666666666666666</v>
      </c>
      <c r="CV1438" s="167">
        <f>$N1438/12</f>
        <v>0.16666666666666666</v>
      </c>
      <c r="CW1438" s="167">
        <f>$N1438/12</f>
        <v>0.16666666666666666</v>
      </c>
      <c r="CX1438" s="167">
        <f>SUM(CD1438:CH1438)</f>
        <v>0</v>
      </c>
      <c r="CY1438" s="167">
        <f>SUM(CD1438:CM1438)</f>
        <v>0</v>
      </c>
    </row>
    <row r="1439" spans="1:103" ht="12.75" customHeight="1" x14ac:dyDescent="0.2">
      <c r="A1439" s="81">
        <v>6895</v>
      </c>
      <c r="B1439" s="165" t="s">
        <v>1902</v>
      </c>
      <c r="C1439" s="165" t="s">
        <v>3574</v>
      </c>
      <c r="E1439" s="165" t="s">
        <v>3575</v>
      </c>
      <c r="F1439" s="165" t="s">
        <v>1556</v>
      </c>
      <c r="G1439" s="81">
        <v>525545</v>
      </c>
      <c r="H1439" s="81">
        <v>175231</v>
      </c>
      <c r="I1439" s="165" t="s">
        <v>251</v>
      </c>
      <c r="L1439" s="166">
        <v>0</v>
      </c>
      <c r="M1439" s="166">
        <v>11</v>
      </c>
      <c r="N1439" s="166">
        <v>11</v>
      </c>
      <c r="O1439" s="166">
        <v>16</v>
      </c>
      <c r="P1439" s="166">
        <v>16</v>
      </c>
      <c r="Q1439" s="81" t="s">
        <v>155</v>
      </c>
      <c r="R1439" s="165" t="s">
        <v>1905</v>
      </c>
      <c r="S1439" s="81" t="s">
        <v>1906</v>
      </c>
      <c r="W1439" s="81" t="s">
        <v>114</v>
      </c>
      <c r="Y1439" s="81" t="s">
        <v>115</v>
      </c>
      <c r="Z1439" s="81" t="s">
        <v>116</v>
      </c>
      <c r="AA1439" s="81" t="s">
        <v>116</v>
      </c>
      <c r="AB1439" s="81" t="s">
        <v>117</v>
      </c>
      <c r="AC1439" s="166">
        <v>0</v>
      </c>
      <c r="AG1439" s="81" t="s">
        <v>238</v>
      </c>
      <c r="AH1439" s="81" t="s">
        <v>118</v>
      </c>
      <c r="AI1439" s="81" t="s">
        <v>1738</v>
      </c>
      <c r="AJ1439" s="81">
        <v>17320067</v>
      </c>
      <c r="AK1439" s="166">
        <v>0</v>
      </c>
      <c r="AM1439" s="166">
        <v>0</v>
      </c>
      <c r="AO1439" s="166">
        <v>0</v>
      </c>
      <c r="AP1439" s="166">
        <v>0</v>
      </c>
      <c r="AQ1439" s="166">
        <v>0</v>
      </c>
      <c r="AR1439" s="166">
        <v>0</v>
      </c>
      <c r="AS1439" s="166">
        <v>0</v>
      </c>
      <c r="AT1439" s="166">
        <v>0</v>
      </c>
      <c r="AU1439" s="166">
        <v>11</v>
      </c>
      <c r="AV1439" s="166">
        <v>0</v>
      </c>
      <c r="AW1439" s="166">
        <v>0</v>
      </c>
      <c r="AX1439" s="166">
        <v>0</v>
      </c>
      <c r="AY1439" s="166">
        <v>0</v>
      </c>
      <c r="AZ1439" s="166">
        <v>0</v>
      </c>
      <c r="BA1439" s="166">
        <v>0</v>
      </c>
      <c r="BB1439" s="166">
        <v>11</v>
      </c>
      <c r="BC1439" s="166">
        <v>0</v>
      </c>
      <c r="BD1439" s="166">
        <v>0</v>
      </c>
      <c r="BE1439" s="166">
        <v>0</v>
      </c>
      <c r="BF1439" s="166">
        <v>0</v>
      </c>
      <c r="BG1439" s="166">
        <v>0</v>
      </c>
      <c r="BH1439" s="166">
        <v>0</v>
      </c>
      <c r="BI1439" s="166">
        <v>0</v>
      </c>
      <c r="BJ1439" s="166">
        <v>0</v>
      </c>
      <c r="BK1439" s="166">
        <v>0</v>
      </c>
      <c r="BL1439" s="166">
        <v>0</v>
      </c>
      <c r="BM1439" s="166">
        <v>0</v>
      </c>
      <c r="BN1439" s="166">
        <v>0</v>
      </c>
      <c r="BO1439" s="166">
        <v>0</v>
      </c>
      <c r="BP1439" s="166">
        <v>0</v>
      </c>
      <c r="BQ1439" s="81" t="s">
        <v>1758</v>
      </c>
      <c r="BT1439" s="81" t="s">
        <v>155</v>
      </c>
      <c r="BZ1439" s="81" t="s">
        <v>155</v>
      </c>
      <c r="CA1439" s="81">
        <v>11</v>
      </c>
      <c r="CC1439" s="167">
        <v>0</v>
      </c>
      <c r="CD1439" s="167">
        <v>0</v>
      </c>
      <c r="CE1439" s="167">
        <v>0</v>
      </c>
      <c r="CF1439" s="167">
        <v>0</v>
      </c>
      <c r="CG1439" s="167">
        <v>0</v>
      </c>
      <c r="CH1439" s="167">
        <v>0</v>
      </c>
      <c r="CI1439" s="167">
        <v>0</v>
      </c>
      <c r="CJ1439" s="167">
        <v>0</v>
      </c>
      <c r="CK1439" s="167">
        <v>0</v>
      </c>
      <c r="CL1439" s="167">
        <v>0</v>
      </c>
      <c r="CM1439" s="167">
        <v>0</v>
      </c>
      <c r="CN1439" s="167">
        <v>0</v>
      </c>
      <c r="CO1439" s="167">
        <f>$N1439/12</f>
        <v>0.91666666666666663</v>
      </c>
      <c r="CP1439" s="167">
        <f>$N1439/12</f>
        <v>0.91666666666666663</v>
      </c>
      <c r="CQ1439" s="167">
        <f>$N1439/12</f>
        <v>0.91666666666666663</v>
      </c>
      <c r="CR1439" s="167">
        <f>$N1439/12</f>
        <v>0.91666666666666663</v>
      </c>
      <c r="CS1439" s="167">
        <f>$N1439/12</f>
        <v>0.91666666666666663</v>
      </c>
      <c r="CT1439" s="167">
        <f>$N1439/12</f>
        <v>0.91666666666666663</v>
      </c>
      <c r="CU1439" s="167">
        <f>$N1439/12</f>
        <v>0.91666666666666663</v>
      </c>
      <c r="CV1439" s="167">
        <f>$N1439/12</f>
        <v>0.91666666666666663</v>
      </c>
      <c r="CW1439" s="167">
        <f>$N1439/12</f>
        <v>0.91666666666666663</v>
      </c>
      <c r="CX1439" s="167">
        <f>SUM(CD1439:CH1439)</f>
        <v>0</v>
      </c>
      <c r="CY1439" s="167">
        <f>SUM(CD1439:CM1439)</f>
        <v>0</v>
      </c>
    </row>
    <row r="1440" spans="1:103" ht="12.75" customHeight="1" x14ac:dyDescent="0.2">
      <c r="A1440" s="81">
        <v>6895</v>
      </c>
      <c r="B1440" s="165" t="s">
        <v>1902</v>
      </c>
      <c r="C1440" s="165" t="s">
        <v>3574</v>
      </c>
      <c r="E1440" s="165" t="s">
        <v>3575</v>
      </c>
      <c r="F1440" s="165" t="s">
        <v>3536</v>
      </c>
      <c r="G1440" s="81">
        <v>525545</v>
      </c>
      <c r="H1440" s="81">
        <v>175231</v>
      </c>
      <c r="I1440" s="165" t="s">
        <v>251</v>
      </c>
      <c r="L1440" s="166">
        <v>0</v>
      </c>
      <c r="M1440" s="166">
        <v>3</v>
      </c>
      <c r="N1440" s="166">
        <v>3</v>
      </c>
      <c r="O1440" s="166">
        <v>16</v>
      </c>
      <c r="P1440" s="166">
        <v>16</v>
      </c>
      <c r="Q1440" s="81" t="s">
        <v>155</v>
      </c>
      <c r="R1440" s="165" t="s">
        <v>1905</v>
      </c>
      <c r="S1440" s="81" t="s">
        <v>1906</v>
      </c>
      <c r="W1440" s="81" t="s">
        <v>114</v>
      </c>
      <c r="Y1440" s="81" t="s">
        <v>115</v>
      </c>
      <c r="Z1440" s="81" t="s">
        <v>116</v>
      </c>
      <c r="AA1440" s="81" t="s">
        <v>117</v>
      </c>
      <c r="AB1440" s="81" t="s">
        <v>218</v>
      </c>
      <c r="AC1440" s="166">
        <v>0</v>
      </c>
      <c r="AG1440" s="81" t="s">
        <v>154</v>
      </c>
      <c r="AH1440" s="81" t="s">
        <v>276</v>
      </c>
      <c r="AI1440" s="81" t="s">
        <v>1738</v>
      </c>
      <c r="AJ1440" s="81">
        <v>17320067</v>
      </c>
      <c r="AK1440" s="166">
        <v>0</v>
      </c>
      <c r="AM1440" s="166">
        <v>0</v>
      </c>
      <c r="AO1440" s="166">
        <v>0</v>
      </c>
      <c r="AP1440" s="166">
        <v>0</v>
      </c>
      <c r="AQ1440" s="166">
        <v>0</v>
      </c>
      <c r="AR1440" s="166">
        <v>0</v>
      </c>
      <c r="AS1440" s="166">
        <v>0</v>
      </c>
      <c r="AT1440" s="166">
        <v>0</v>
      </c>
      <c r="AU1440" s="166">
        <v>3</v>
      </c>
      <c r="AV1440" s="166">
        <v>0</v>
      </c>
      <c r="AW1440" s="166">
        <v>0</v>
      </c>
      <c r="AX1440" s="166">
        <v>0</v>
      </c>
      <c r="AY1440" s="166">
        <v>0</v>
      </c>
      <c r="AZ1440" s="166">
        <v>0</v>
      </c>
      <c r="BA1440" s="166">
        <v>0</v>
      </c>
      <c r="BB1440" s="166">
        <v>3</v>
      </c>
      <c r="BC1440" s="166">
        <v>0</v>
      </c>
      <c r="BD1440" s="166">
        <v>0</v>
      </c>
      <c r="BE1440" s="166">
        <v>0</v>
      </c>
      <c r="BF1440" s="166">
        <v>0</v>
      </c>
      <c r="BG1440" s="166">
        <v>0</v>
      </c>
      <c r="BH1440" s="166">
        <v>0</v>
      </c>
      <c r="BI1440" s="166">
        <v>0</v>
      </c>
      <c r="BJ1440" s="166">
        <v>0</v>
      </c>
      <c r="BK1440" s="166">
        <v>0</v>
      </c>
      <c r="BL1440" s="166">
        <v>0</v>
      </c>
      <c r="BM1440" s="166">
        <v>0</v>
      </c>
      <c r="BN1440" s="166">
        <v>0</v>
      </c>
      <c r="BO1440" s="166">
        <v>0</v>
      </c>
      <c r="BP1440" s="166">
        <v>0</v>
      </c>
      <c r="BQ1440" s="81" t="s">
        <v>1758</v>
      </c>
      <c r="BT1440" s="81" t="s">
        <v>155</v>
      </c>
      <c r="BZ1440" s="81" t="s">
        <v>155</v>
      </c>
      <c r="CA1440" s="81">
        <v>11</v>
      </c>
      <c r="CC1440" s="167">
        <v>0</v>
      </c>
      <c r="CD1440" s="167">
        <v>0</v>
      </c>
      <c r="CE1440" s="167">
        <v>0</v>
      </c>
      <c r="CF1440" s="167">
        <v>0</v>
      </c>
      <c r="CG1440" s="167">
        <v>0</v>
      </c>
      <c r="CH1440" s="167">
        <v>0</v>
      </c>
      <c r="CI1440" s="167">
        <v>0</v>
      </c>
      <c r="CJ1440" s="167">
        <v>0</v>
      </c>
      <c r="CK1440" s="167">
        <v>0</v>
      </c>
      <c r="CL1440" s="167">
        <v>0</v>
      </c>
      <c r="CM1440" s="167">
        <v>0</v>
      </c>
      <c r="CN1440" s="167">
        <v>0</v>
      </c>
      <c r="CO1440" s="167">
        <f>$N1440/12</f>
        <v>0.25</v>
      </c>
      <c r="CP1440" s="167">
        <f>$N1440/12</f>
        <v>0.25</v>
      </c>
      <c r="CQ1440" s="167">
        <f>$N1440/12</f>
        <v>0.25</v>
      </c>
      <c r="CR1440" s="167">
        <f>$N1440/12</f>
        <v>0.25</v>
      </c>
      <c r="CS1440" s="167">
        <f>$N1440/12</f>
        <v>0.25</v>
      </c>
      <c r="CT1440" s="167">
        <f>$N1440/12</f>
        <v>0.25</v>
      </c>
      <c r="CU1440" s="167">
        <f>$N1440/12</f>
        <v>0.25</v>
      </c>
      <c r="CV1440" s="167">
        <f>$N1440/12</f>
        <v>0.25</v>
      </c>
      <c r="CW1440" s="167">
        <f>$N1440/12</f>
        <v>0.25</v>
      </c>
      <c r="CX1440" s="167">
        <f>SUM(CD1440:CH1440)</f>
        <v>0</v>
      </c>
      <c r="CY1440" s="167">
        <f>SUM(CD1440:CM1440)</f>
        <v>0</v>
      </c>
    </row>
    <row r="1441" spans="1:103" ht="12.75" customHeight="1" x14ac:dyDescent="0.2">
      <c r="A1441" s="81">
        <v>6896</v>
      </c>
      <c r="B1441" s="165" t="s">
        <v>1902</v>
      </c>
      <c r="C1441" s="165" t="s">
        <v>2002</v>
      </c>
      <c r="E1441" s="165" t="s">
        <v>2003</v>
      </c>
      <c r="F1441" s="165" t="s">
        <v>1556</v>
      </c>
      <c r="G1441" s="81">
        <v>525597</v>
      </c>
      <c r="H1441" s="81">
        <v>175113</v>
      </c>
      <c r="I1441" s="165" t="s">
        <v>251</v>
      </c>
      <c r="L1441" s="166">
        <v>0</v>
      </c>
      <c r="M1441" s="166">
        <v>4</v>
      </c>
      <c r="N1441" s="166">
        <v>4</v>
      </c>
      <c r="O1441" s="166">
        <v>4</v>
      </c>
      <c r="P1441" s="166">
        <v>4</v>
      </c>
      <c r="R1441" s="165" t="s">
        <v>1905</v>
      </c>
      <c r="S1441" s="81" t="s">
        <v>1906</v>
      </c>
      <c r="W1441" s="81" t="s">
        <v>114</v>
      </c>
      <c r="Y1441" s="81" t="s">
        <v>115</v>
      </c>
      <c r="Z1441" s="81" t="s">
        <v>116</v>
      </c>
      <c r="AA1441" s="81" t="s">
        <v>117</v>
      </c>
      <c r="AB1441" s="81" t="s">
        <v>218</v>
      </c>
      <c r="AC1441" s="166">
        <v>0</v>
      </c>
      <c r="AG1441" s="81" t="s">
        <v>238</v>
      </c>
      <c r="AH1441" s="81" t="s">
        <v>118</v>
      </c>
      <c r="AI1441" s="81" t="s">
        <v>1742</v>
      </c>
      <c r="AJ1441" s="81">
        <v>17320113</v>
      </c>
      <c r="AK1441" s="166">
        <v>0</v>
      </c>
      <c r="AM1441" s="166">
        <v>0</v>
      </c>
      <c r="AO1441" s="166">
        <v>0</v>
      </c>
      <c r="AP1441" s="166">
        <v>0</v>
      </c>
      <c r="AQ1441" s="166">
        <v>0</v>
      </c>
      <c r="AR1441" s="166">
        <v>0</v>
      </c>
      <c r="AS1441" s="166">
        <v>0</v>
      </c>
      <c r="AT1441" s="166">
        <v>0</v>
      </c>
      <c r="AU1441" s="166">
        <v>4</v>
      </c>
      <c r="AV1441" s="166">
        <v>0</v>
      </c>
      <c r="AW1441" s="166">
        <v>0</v>
      </c>
      <c r="AX1441" s="166">
        <v>0</v>
      </c>
      <c r="AY1441" s="166">
        <v>0</v>
      </c>
      <c r="AZ1441" s="166">
        <v>0</v>
      </c>
      <c r="BA1441" s="166">
        <v>0</v>
      </c>
      <c r="BB1441" s="166">
        <v>4</v>
      </c>
      <c r="BC1441" s="166">
        <v>0</v>
      </c>
      <c r="BD1441" s="166">
        <v>0</v>
      </c>
      <c r="BE1441" s="166">
        <v>0</v>
      </c>
      <c r="BF1441" s="166">
        <v>0</v>
      </c>
      <c r="BG1441" s="166">
        <v>0</v>
      </c>
      <c r="BH1441" s="166">
        <v>0</v>
      </c>
      <c r="BI1441" s="166">
        <v>0</v>
      </c>
      <c r="BJ1441" s="166">
        <v>0</v>
      </c>
      <c r="BK1441" s="166">
        <v>0</v>
      </c>
      <c r="BL1441" s="166">
        <v>0</v>
      </c>
      <c r="BM1441" s="166">
        <v>0</v>
      </c>
      <c r="BN1441" s="166">
        <v>0</v>
      </c>
      <c r="BO1441" s="166">
        <v>0</v>
      </c>
      <c r="BP1441" s="166">
        <v>0</v>
      </c>
      <c r="BQ1441" s="81" t="s">
        <v>1758</v>
      </c>
      <c r="BT1441" s="81" t="s">
        <v>155</v>
      </c>
      <c r="BZ1441" s="81" t="s">
        <v>155</v>
      </c>
      <c r="CA1441" s="81">
        <v>11</v>
      </c>
      <c r="CC1441" s="167">
        <v>0</v>
      </c>
      <c r="CD1441" s="167">
        <v>0</v>
      </c>
      <c r="CE1441" s="167">
        <v>0</v>
      </c>
      <c r="CF1441" s="167">
        <v>0</v>
      </c>
      <c r="CG1441" s="167">
        <v>0</v>
      </c>
      <c r="CH1441" s="167">
        <v>0</v>
      </c>
      <c r="CI1441" s="167">
        <v>0</v>
      </c>
      <c r="CJ1441" s="167">
        <v>0</v>
      </c>
      <c r="CK1441" s="167">
        <v>0</v>
      </c>
      <c r="CL1441" s="167">
        <v>0</v>
      </c>
      <c r="CM1441" s="167">
        <v>0</v>
      </c>
      <c r="CN1441" s="167">
        <v>0</v>
      </c>
      <c r="CO1441" s="167">
        <v>0</v>
      </c>
      <c r="CP1441" s="167">
        <v>0</v>
      </c>
      <c r="CQ1441" s="167">
        <v>0</v>
      </c>
      <c r="CR1441" s="167">
        <v>0</v>
      </c>
      <c r="CS1441" s="167">
        <v>0</v>
      </c>
      <c r="CT1441" s="167">
        <f>$N1441/7</f>
        <v>0.5714285714285714</v>
      </c>
      <c r="CU1441" s="167">
        <f>$N1441/7</f>
        <v>0.5714285714285714</v>
      </c>
      <c r="CV1441" s="167">
        <f>$N1441/7</f>
        <v>0.5714285714285714</v>
      </c>
      <c r="CW1441" s="167">
        <f>$N1441/7</f>
        <v>0.5714285714285714</v>
      </c>
      <c r="CX1441" s="167">
        <f>SUM(CD1441:CH1441)</f>
        <v>0</v>
      </c>
      <c r="CY1441" s="167">
        <f>SUM(CD1441:CM1441)</f>
        <v>0</v>
      </c>
    </row>
    <row r="1442" spans="1:103" ht="12.75" customHeight="1" x14ac:dyDescent="0.2">
      <c r="A1442" s="81">
        <v>6897</v>
      </c>
      <c r="B1442" s="165" t="s">
        <v>1902</v>
      </c>
      <c r="C1442" s="165" t="s">
        <v>3578</v>
      </c>
      <c r="E1442" s="165" t="s">
        <v>3579</v>
      </c>
      <c r="F1442" s="165" t="s">
        <v>3535</v>
      </c>
      <c r="G1442" s="81">
        <v>527569</v>
      </c>
      <c r="H1442" s="81">
        <v>175602</v>
      </c>
      <c r="I1442" s="165" t="s">
        <v>256</v>
      </c>
      <c r="L1442" s="166">
        <v>0</v>
      </c>
      <c r="M1442" s="166">
        <v>3</v>
      </c>
      <c r="N1442" s="166">
        <v>3</v>
      </c>
      <c r="O1442" s="166">
        <v>20</v>
      </c>
      <c r="P1442" s="166">
        <v>20</v>
      </c>
      <c r="Q1442" s="81" t="s">
        <v>155</v>
      </c>
      <c r="R1442" s="165" t="s">
        <v>1905</v>
      </c>
      <c r="S1442" s="81" t="s">
        <v>1906</v>
      </c>
      <c r="W1442" s="81" t="s">
        <v>114</v>
      </c>
      <c r="Y1442" s="81" t="s">
        <v>115</v>
      </c>
      <c r="Z1442" s="81" t="s">
        <v>116</v>
      </c>
      <c r="AA1442" s="81" t="s">
        <v>117</v>
      </c>
      <c r="AB1442" s="81" t="s">
        <v>218</v>
      </c>
      <c r="AC1442" s="166">
        <v>0</v>
      </c>
      <c r="AG1442" s="81" t="s">
        <v>74</v>
      </c>
      <c r="AH1442" s="81" t="s">
        <v>990</v>
      </c>
      <c r="AI1442" s="81" t="s">
        <v>3580</v>
      </c>
      <c r="AJ1442" s="81">
        <v>17320204</v>
      </c>
      <c r="AK1442" s="166">
        <v>0</v>
      </c>
      <c r="AM1442" s="166">
        <v>0</v>
      </c>
      <c r="AO1442" s="166">
        <v>0</v>
      </c>
      <c r="AP1442" s="166">
        <v>0</v>
      </c>
      <c r="AQ1442" s="166">
        <v>0</v>
      </c>
      <c r="AR1442" s="166">
        <v>0</v>
      </c>
      <c r="AS1442" s="166">
        <v>0</v>
      </c>
      <c r="AT1442" s="166">
        <v>0</v>
      </c>
      <c r="AU1442" s="166">
        <v>3</v>
      </c>
      <c r="AV1442" s="166">
        <v>0</v>
      </c>
      <c r="AW1442" s="166">
        <v>0</v>
      </c>
      <c r="AX1442" s="166">
        <v>0</v>
      </c>
      <c r="AY1442" s="166">
        <v>0</v>
      </c>
      <c r="AZ1442" s="166">
        <v>0</v>
      </c>
      <c r="BA1442" s="166">
        <v>0</v>
      </c>
      <c r="BB1442" s="166">
        <v>3</v>
      </c>
      <c r="BC1442" s="166">
        <v>0</v>
      </c>
      <c r="BD1442" s="166">
        <v>0</v>
      </c>
      <c r="BE1442" s="166">
        <v>0</v>
      </c>
      <c r="BF1442" s="166">
        <v>0</v>
      </c>
      <c r="BG1442" s="166">
        <v>0</v>
      </c>
      <c r="BH1442" s="166">
        <v>0</v>
      </c>
      <c r="BI1442" s="166">
        <v>0</v>
      </c>
      <c r="BJ1442" s="166">
        <v>0</v>
      </c>
      <c r="BK1442" s="166">
        <v>0</v>
      </c>
      <c r="BL1442" s="166">
        <v>0</v>
      </c>
      <c r="BM1442" s="166">
        <v>0</v>
      </c>
      <c r="BN1442" s="166">
        <v>0</v>
      </c>
      <c r="BO1442" s="166">
        <v>0</v>
      </c>
      <c r="BP1442" s="166">
        <v>0</v>
      </c>
      <c r="BQ1442" s="81" t="s">
        <v>1757</v>
      </c>
      <c r="BR1442" s="81" t="s">
        <v>160</v>
      </c>
      <c r="BU1442" s="81" t="s">
        <v>155</v>
      </c>
      <c r="BZ1442" s="81" t="s">
        <v>155</v>
      </c>
      <c r="CA1442" s="81">
        <v>11</v>
      </c>
      <c r="CC1442" s="167">
        <v>0</v>
      </c>
      <c r="CD1442" s="167">
        <v>0</v>
      </c>
      <c r="CE1442" s="167">
        <v>0</v>
      </c>
      <c r="CF1442" s="167">
        <v>0</v>
      </c>
      <c r="CG1442" s="167">
        <v>0</v>
      </c>
      <c r="CH1442" s="167">
        <v>0</v>
      </c>
      <c r="CI1442" s="167">
        <v>0</v>
      </c>
      <c r="CJ1442" s="167">
        <v>0</v>
      </c>
      <c r="CK1442" s="167">
        <v>0</v>
      </c>
      <c r="CL1442" s="167">
        <v>0</v>
      </c>
      <c r="CM1442" s="167">
        <v>0</v>
      </c>
      <c r="CN1442" s="167">
        <v>0</v>
      </c>
      <c r="CO1442" s="167">
        <f>$N1442/12</f>
        <v>0.25</v>
      </c>
      <c r="CP1442" s="167">
        <f>$N1442/12</f>
        <v>0.25</v>
      </c>
      <c r="CQ1442" s="167">
        <f>$N1442/12</f>
        <v>0.25</v>
      </c>
      <c r="CR1442" s="167">
        <f>$N1442/12</f>
        <v>0.25</v>
      </c>
      <c r="CS1442" s="167">
        <f>$N1442/12</f>
        <v>0.25</v>
      </c>
      <c r="CT1442" s="167">
        <f>$N1442/12</f>
        <v>0.25</v>
      </c>
      <c r="CU1442" s="167">
        <f>$N1442/12</f>
        <v>0.25</v>
      </c>
      <c r="CV1442" s="167">
        <f>$N1442/12</f>
        <v>0.25</v>
      </c>
      <c r="CW1442" s="167">
        <f>$N1442/12</f>
        <v>0.25</v>
      </c>
      <c r="CX1442" s="167">
        <f>SUM(CD1442:CH1442)</f>
        <v>0</v>
      </c>
      <c r="CY1442" s="167">
        <f>SUM(CD1442:CM1442)</f>
        <v>0</v>
      </c>
    </row>
    <row r="1443" spans="1:103" ht="12.75" customHeight="1" x14ac:dyDescent="0.2">
      <c r="A1443" s="81">
        <v>6897</v>
      </c>
      <c r="B1443" s="165" t="s">
        <v>1902</v>
      </c>
      <c r="C1443" s="165" t="s">
        <v>3578</v>
      </c>
      <c r="E1443" s="165" t="s">
        <v>3579</v>
      </c>
      <c r="F1443" s="165" t="s">
        <v>1556</v>
      </c>
      <c r="G1443" s="81">
        <v>527569</v>
      </c>
      <c r="H1443" s="81">
        <v>175602</v>
      </c>
      <c r="I1443" s="165" t="s">
        <v>256</v>
      </c>
      <c r="L1443" s="166">
        <v>0</v>
      </c>
      <c r="M1443" s="166">
        <v>13</v>
      </c>
      <c r="N1443" s="166">
        <v>13</v>
      </c>
      <c r="O1443" s="166">
        <v>20</v>
      </c>
      <c r="P1443" s="166">
        <v>20</v>
      </c>
      <c r="Q1443" s="81" t="s">
        <v>155</v>
      </c>
      <c r="R1443" s="165" t="s">
        <v>1905</v>
      </c>
      <c r="S1443" s="81" t="s">
        <v>1906</v>
      </c>
      <c r="W1443" s="81" t="s">
        <v>114</v>
      </c>
      <c r="Y1443" s="81" t="s">
        <v>115</v>
      </c>
      <c r="Z1443" s="81" t="s">
        <v>116</v>
      </c>
      <c r="AA1443" s="81" t="s">
        <v>116</v>
      </c>
      <c r="AB1443" s="81" t="s">
        <v>117</v>
      </c>
      <c r="AC1443" s="166">
        <v>0</v>
      </c>
      <c r="AG1443" s="81" t="s">
        <v>238</v>
      </c>
      <c r="AH1443" s="81" t="s">
        <v>118</v>
      </c>
      <c r="AI1443" s="81" t="s">
        <v>3580</v>
      </c>
      <c r="AJ1443" s="81">
        <v>17320204</v>
      </c>
      <c r="AK1443" s="166">
        <v>0</v>
      </c>
      <c r="AM1443" s="166">
        <v>0</v>
      </c>
      <c r="AO1443" s="166">
        <v>0</v>
      </c>
      <c r="AP1443" s="166">
        <v>0</v>
      </c>
      <c r="AQ1443" s="166">
        <v>0</v>
      </c>
      <c r="AR1443" s="166">
        <v>0</v>
      </c>
      <c r="AS1443" s="166">
        <v>0</v>
      </c>
      <c r="AT1443" s="166">
        <v>0</v>
      </c>
      <c r="AU1443" s="166">
        <v>13</v>
      </c>
      <c r="AV1443" s="166">
        <v>0</v>
      </c>
      <c r="AW1443" s="166">
        <v>0</v>
      </c>
      <c r="AX1443" s="166">
        <v>0</v>
      </c>
      <c r="AY1443" s="166">
        <v>0</v>
      </c>
      <c r="AZ1443" s="166">
        <v>0</v>
      </c>
      <c r="BA1443" s="166">
        <v>0</v>
      </c>
      <c r="BB1443" s="166">
        <v>13</v>
      </c>
      <c r="BC1443" s="166">
        <v>0</v>
      </c>
      <c r="BD1443" s="166">
        <v>0</v>
      </c>
      <c r="BE1443" s="166">
        <v>0</v>
      </c>
      <c r="BF1443" s="166">
        <v>0</v>
      </c>
      <c r="BG1443" s="166">
        <v>0</v>
      </c>
      <c r="BH1443" s="166">
        <v>0</v>
      </c>
      <c r="BI1443" s="166">
        <v>0</v>
      </c>
      <c r="BJ1443" s="166">
        <v>0</v>
      </c>
      <c r="BK1443" s="166">
        <v>0</v>
      </c>
      <c r="BL1443" s="166">
        <v>0</v>
      </c>
      <c r="BM1443" s="166">
        <v>0</v>
      </c>
      <c r="BN1443" s="166">
        <v>0</v>
      </c>
      <c r="BO1443" s="166">
        <v>0</v>
      </c>
      <c r="BP1443" s="166">
        <v>0</v>
      </c>
      <c r="BQ1443" s="81" t="s">
        <v>1757</v>
      </c>
      <c r="BR1443" s="81" t="s">
        <v>160</v>
      </c>
      <c r="BU1443" s="81" t="s">
        <v>155</v>
      </c>
      <c r="BZ1443" s="81" t="s">
        <v>155</v>
      </c>
      <c r="CA1443" s="81">
        <v>11</v>
      </c>
      <c r="CC1443" s="167">
        <v>0</v>
      </c>
      <c r="CD1443" s="167">
        <v>0</v>
      </c>
      <c r="CE1443" s="167">
        <v>0</v>
      </c>
      <c r="CF1443" s="167">
        <v>0</v>
      </c>
      <c r="CG1443" s="167">
        <v>0</v>
      </c>
      <c r="CH1443" s="167">
        <v>0</v>
      </c>
      <c r="CI1443" s="167">
        <v>0</v>
      </c>
      <c r="CJ1443" s="167">
        <v>0</v>
      </c>
      <c r="CK1443" s="167">
        <v>0</v>
      </c>
      <c r="CL1443" s="167">
        <v>0</v>
      </c>
      <c r="CM1443" s="167">
        <v>0</v>
      </c>
      <c r="CN1443" s="167">
        <v>0</v>
      </c>
      <c r="CO1443" s="167">
        <f>$N1443/12</f>
        <v>1.0833333333333333</v>
      </c>
      <c r="CP1443" s="167">
        <f>$N1443/12</f>
        <v>1.0833333333333333</v>
      </c>
      <c r="CQ1443" s="167">
        <f>$N1443/12</f>
        <v>1.0833333333333333</v>
      </c>
      <c r="CR1443" s="167">
        <f>$N1443/12</f>
        <v>1.0833333333333333</v>
      </c>
      <c r="CS1443" s="167">
        <f>$N1443/12</f>
        <v>1.0833333333333333</v>
      </c>
      <c r="CT1443" s="167">
        <f>$N1443/12</f>
        <v>1.0833333333333333</v>
      </c>
      <c r="CU1443" s="167">
        <f>$N1443/12</f>
        <v>1.0833333333333333</v>
      </c>
      <c r="CV1443" s="167">
        <f>$N1443/12</f>
        <v>1.0833333333333333</v>
      </c>
      <c r="CW1443" s="167">
        <f>$N1443/12</f>
        <v>1.0833333333333333</v>
      </c>
      <c r="CX1443" s="167">
        <f>SUM(CD1443:CH1443)</f>
        <v>0</v>
      </c>
      <c r="CY1443" s="167">
        <f>SUM(CD1443:CM1443)</f>
        <v>0</v>
      </c>
    </row>
    <row r="1444" spans="1:103" ht="12.75" customHeight="1" x14ac:dyDescent="0.2">
      <c r="A1444" s="81">
        <v>6897</v>
      </c>
      <c r="B1444" s="165" t="s">
        <v>1902</v>
      </c>
      <c r="C1444" s="165" t="s">
        <v>3578</v>
      </c>
      <c r="E1444" s="165" t="s">
        <v>3579</v>
      </c>
      <c r="F1444" s="165" t="s">
        <v>3536</v>
      </c>
      <c r="G1444" s="81">
        <v>527569</v>
      </c>
      <c r="H1444" s="81">
        <v>175602</v>
      </c>
      <c r="I1444" s="165" t="s">
        <v>256</v>
      </c>
      <c r="L1444" s="166">
        <v>0</v>
      </c>
      <c r="M1444" s="166">
        <v>4</v>
      </c>
      <c r="N1444" s="166">
        <v>4</v>
      </c>
      <c r="O1444" s="166">
        <v>20</v>
      </c>
      <c r="P1444" s="166">
        <v>20</v>
      </c>
      <c r="Q1444" s="81" t="s">
        <v>155</v>
      </c>
      <c r="R1444" s="165" t="s">
        <v>1905</v>
      </c>
      <c r="S1444" s="81" t="s">
        <v>1906</v>
      </c>
      <c r="W1444" s="81" t="s">
        <v>114</v>
      </c>
      <c r="Y1444" s="81" t="s">
        <v>115</v>
      </c>
      <c r="Z1444" s="81" t="s">
        <v>116</v>
      </c>
      <c r="AA1444" s="81" t="s">
        <v>117</v>
      </c>
      <c r="AB1444" s="81" t="s">
        <v>218</v>
      </c>
      <c r="AC1444" s="166">
        <v>0</v>
      </c>
      <c r="AG1444" s="81" t="s">
        <v>154</v>
      </c>
      <c r="AH1444" s="81" t="s">
        <v>276</v>
      </c>
      <c r="AI1444" s="81" t="s">
        <v>3580</v>
      </c>
      <c r="AJ1444" s="81">
        <v>17320204</v>
      </c>
      <c r="AK1444" s="166">
        <v>0</v>
      </c>
      <c r="AM1444" s="166">
        <v>0</v>
      </c>
      <c r="AO1444" s="166">
        <v>0</v>
      </c>
      <c r="AP1444" s="166">
        <v>0</v>
      </c>
      <c r="AQ1444" s="166">
        <v>0</v>
      </c>
      <c r="AR1444" s="166">
        <v>0</v>
      </c>
      <c r="AS1444" s="166">
        <v>0</v>
      </c>
      <c r="AT1444" s="166">
        <v>0</v>
      </c>
      <c r="AU1444" s="166">
        <v>4</v>
      </c>
      <c r="AV1444" s="166">
        <v>0</v>
      </c>
      <c r="AW1444" s="166">
        <v>0</v>
      </c>
      <c r="AX1444" s="166">
        <v>0</v>
      </c>
      <c r="AY1444" s="166">
        <v>0</v>
      </c>
      <c r="AZ1444" s="166">
        <v>0</v>
      </c>
      <c r="BA1444" s="166">
        <v>0</v>
      </c>
      <c r="BB1444" s="166">
        <v>4</v>
      </c>
      <c r="BC1444" s="166">
        <v>0</v>
      </c>
      <c r="BD1444" s="166">
        <v>0</v>
      </c>
      <c r="BE1444" s="166">
        <v>0</v>
      </c>
      <c r="BF1444" s="166">
        <v>0</v>
      </c>
      <c r="BG1444" s="166">
        <v>0</v>
      </c>
      <c r="BH1444" s="166">
        <v>0</v>
      </c>
      <c r="BI1444" s="166">
        <v>0</v>
      </c>
      <c r="BJ1444" s="166">
        <v>0</v>
      </c>
      <c r="BK1444" s="166">
        <v>0</v>
      </c>
      <c r="BL1444" s="166">
        <v>0</v>
      </c>
      <c r="BM1444" s="166">
        <v>0</v>
      </c>
      <c r="BN1444" s="166">
        <v>0</v>
      </c>
      <c r="BO1444" s="166">
        <v>0</v>
      </c>
      <c r="BP1444" s="166">
        <v>0</v>
      </c>
      <c r="BQ1444" s="81" t="s">
        <v>1757</v>
      </c>
      <c r="BR1444" s="81" t="s">
        <v>160</v>
      </c>
      <c r="BU1444" s="81" t="s">
        <v>155</v>
      </c>
      <c r="BZ1444" s="81" t="s">
        <v>155</v>
      </c>
      <c r="CA1444" s="81">
        <v>11</v>
      </c>
      <c r="CC1444" s="167">
        <v>0</v>
      </c>
      <c r="CD1444" s="167">
        <v>0</v>
      </c>
      <c r="CE1444" s="167">
        <v>0</v>
      </c>
      <c r="CF1444" s="167">
        <v>0</v>
      </c>
      <c r="CG1444" s="167">
        <v>0</v>
      </c>
      <c r="CH1444" s="167">
        <v>0</v>
      </c>
      <c r="CI1444" s="167">
        <v>0</v>
      </c>
      <c r="CJ1444" s="167">
        <v>0</v>
      </c>
      <c r="CK1444" s="167">
        <v>0</v>
      </c>
      <c r="CL1444" s="167">
        <v>0</v>
      </c>
      <c r="CM1444" s="167">
        <v>0</v>
      </c>
      <c r="CN1444" s="167">
        <v>0</v>
      </c>
      <c r="CO1444" s="167">
        <f>$N1444/12</f>
        <v>0.33333333333333331</v>
      </c>
      <c r="CP1444" s="167">
        <f>$N1444/12</f>
        <v>0.33333333333333331</v>
      </c>
      <c r="CQ1444" s="167">
        <f>$N1444/12</f>
        <v>0.33333333333333331</v>
      </c>
      <c r="CR1444" s="167">
        <f>$N1444/12</f>
        <v>0.33333333333333331</v>
      </c>
      <c r="CS1444" s="167">
        <f>$N1444/12</f>
        <v>0.33333333333333331</v>
      </c>
      <c r="CT1444" s="167">
        <f>$N1444/12</f>
        <v>0.33333333333333331</v>
      </c>
      <c r="CU1444" s="167">
        <f>$N1444/12</f>
        <v>0.33333333333333331</v>
      </c>
      <c r="CV1444" s="167">
        <f>$N1444/12</f>
        <v>0.33333333333333331</v>
      </c>
      <c r="CW1444" s="167">
        <f>$N1444/12</f>
        <v>0.33333333333333331</v>
      </c>
      <c r="CX1444" s="167">
        <f>SUM(CD1444:CH1444)</f>
        <v>0</v>
      </c>
      <c r="CY1444" s="167">
        <f>SUM(CD1444:CM1444)</f>
        <v>0</v>
      </c>
    </row>
    <row r="1445" spans="1:103" ht="12.75" customHeight="1" x14ac:dyDescent="0.2">
      <c r="A1445" s="81">
        <v>6898</v>
      </c>
      <c r="B1445" s="165" t="s">
        <v>1902</v>
      </c>
      <c r="C1445" s="165" t="s">
        <v>3581</v>
      </c>
      <c r="E1445" s="165" t="s">
        <v>3582</v>
      </c>
      <c r="F1445" s="165" t="s">
        <v>3535</v>
      </c>
      <c r="G1445" s="81">
        <v>527216</v>
      </c>
      <c r="H1445" s="81">
        <v>175541</v>
      </c>
      <c r="I1445" s="165" t="s">
        <v>255</v>
      </c>
      <c r="L1445" s="166">
        <v>0</v>
      </c>
      <c r="M1445" s="166">
        <v>21</v>
      </c>
      <c r="N1445" s="166">
        <v>21</v>
      </c>
      <c r="O1445" s="166">
        <v>157</v>
      </c>
      <c r="P1445" s="166">
        <v>157</v>
      </c>
      <c r="Q1445" s="81" t="s">
        <v>155</v>
      </c>
      <c r="R1445" s="165" t="s">
        <v>1905</v>
      </c>
      <c r="S1445" s="81" t="s">
        <v>1906</v>
      </c>
      <c r="W1445" s="81" t="s">
        <v>114</v>
      </c>
      <c r="Y1445" s="81" t="s">
        <v>115</v>
      </c>
      <c r="Z1445" s="81" t="s">
        <v>116</v>
      </c>
      <c r="AA1445" s="81" t="s">
        <v>116</v>
      </c>
      <c r="AB1445" s="81" t="s">
        <v>117</v>
      </c>
      <c r="AC1445" s="166">
        <v>0</v>
      </c>
      <c r="AG1445" s="81" t="s">
        <v>74</v>
      </c>
      <c r="AH1445" s="81" t="s">
        <v>990</v>
      </c>
      <c r="AI1445" s="81" t="s">
        <v>3583</v>
      </c>
      <c r="AJ1445" s="81">
        <v>17320350</v>
      </c>
      <c r="AK1445" s="166">
        <v>0</v>
      </c>
      <c r="AM1445" s="166">
        <v>0</v>
      </c>
      <c r="AO1445" s="166">
        <v>0</v>
      </c>
      <c r="AP1445" s="166">
        <v>0</v>
      </c>
      <c r="AQ1445" s="166">
        <v>0</v>
      </c>
      <c r="AR1445" s="166">
        <v>0</v>
      </c>
      <c r="AS1445" s="166">
        <v>0</v>
      </c>
      <c r="AT1445" s="166">
        <v>0</v>
      </c>
      <c r="AU1445" s="166">
        <v>21</v>
      </c>
      <c r="AV1445" s="166">
        <v>0</v>
      </c>
      <c r="AW1445" s="166">
        <v>0</v>
      </c>
      <c r="AX1445" s="166">
        <v>0</v>
      </c>
      <c r="AY1445" s="166">
        <v>0</v>
      </c>
      <c r="AZ1445" s="166">
        <v>0</v>
      </c>
      <c r="BA1445" s="166">
        <v>0</v>
      </c>
      <c r="BB1445" s="166">
        <v>21</v>
      </c>
      <c r="BC1445" s="166">
        <v>0</v>
      </c>
      <c r="BD1445" s="166">
        <v>0</v>
      </c>
      <c r="BE1445" s="166">
        <v>0</v>
      </c>
      <c r="BF1445" s="166">
        <v>0</v>
      </c>
      <c r="BG1445" s="166">
        <v>0</v>
      </c>
      <c r="BH1445" s="166">
        <v>0</v>
      </c>
      <c r="BI1445" s="166">
        <v>0</v>
      </c>
      <c r="BJ1445" s="166">
        <v>0</v>
      </c>
      <c r="BK1445" s="166">
        <v>0</v>
      </c>
      <c r="BL1445" s="166">
        <v>0</v>
      </c>
      <c r="BM1445" s="166">
        <v>0</v>
      </c>
      <c r="BN1445" s="166">
        <v>0</v>
      </c>
      <c r="BO1445" s="166">
        <v>0</v>
      </c>
      <c r="BP1445" s="166">
        <v>0</v>
      </c>
      <c r="BQ1445" s="81" t="s">
        <v>1757</v>
      </c>
      <c r="BR1445" s="81" t="s">
        <v>160</v>
      </c>
      <c r="BU1445" s="81" t="s">
        <v>155</v>
      </c>
      <c r="BZ1445" s="81" t="s">
        <v>155</v>
      </c>
      <c r="CA1445" s="81">
        <v>11</v>
      </c>
      <c r="CC1445" s="167">
        <v>0</v>
      </c>
      <c r="CD1445" s="167">
        <v>0</v>
      </c>
      <c r="CE1445" s="167">
        <v>0</v>
      </c>
      <c r="CF1445" s="167">
        <v>0</v>
      </c>
      <c r="CG1445" s="167">
        <v>0</v>
      </c>
      <c r="CH1445" s="167">
        <v>0</v>
      </c>
      <c r="CI1445" s="167">
        <v>0</v>
      </c>
      <c r="CJ1445" s="167">
        <v>0</v>
      </c>
      <c r="CK1445" s="167">
        <v>0</v>
      </c>
      <c r="CL1445" s="167">
        <v>0</v>
      </c>
      <c r="CM1445" s="167">
        <v>0</v>
      </c>
      <c r="CN1445" s="167">
        <v>0</v>
      </c>
      <c r="CO1445" s="167">
        <f>$N1445/12</f>
        <v>1.75</v>
      </c>
      <c r="CP1445" s="167">
        <f>$N1445/12</f>
        <v>1.75</v>
      </c>
      <c r="CQ1445" s="167">
        <f>$N1445/12</f>
        <v>1.75</v>
      </c>
      <c r="CR1445" s="167">
        <f>$N1445/12</f>
        <v>1.75</v>
      </c>
      <c r="CS1445" s="167">
        <f>$N1445/12</f>
        <v>1.75</v>
      </c>
      <c r="CT1445" s="167">
        <f>$N1445/12</f>
        <v>1.75</v>
      </c>
      <c r="CU1445" s="167">
        <f>$N1445/12</f>
        <v>1.75</v>
      </c>
      <c r="CV1445" s="167">
        <f>$N1445/12</f>
        <v>1.75</v>
      </c>
      <c r="CW1445" s="167">
        <f>$N1445/12</f>
        <v>1.75</v>
      </c>
      <c r="CX1445" s="167">
        <f>SUM(CD1445:CH1445)</f>
        <v>0</v>
      </c>
      <c r="CY1445" s="167">
        <f>SUM(CD1445:CM1445)</f>
        <v>0</v>
      </c>
    </row>
    <row r="1446" spans="1:103" ht="12.75" customHeight="1" x14ac:dyDescent="0.2">
      <c r="A1446" s="81">
        <v>6898</v>
      </c>
      <c r="B1446" s="165" t="s">
        <v>1902</v>
      </c>
      <c r="C1446" s="165" t="s">
        <v>3581</v>
      </c>
      <c r="E1446" s="165" t="s">
        <v>3582</v>
      </c>
      <c r="F1446" s="165" t="s">
        <v>1556</v>
      </c>
      <c r="G1446" s="81">
        <v>527216</v>
      </c>
      <c r="H1446" s="81">
        <v>175541</v>
      </c>
      <c r="I1446" s="165" t="s">
        <v>255</v>
      </c>
      <c r="L1446" s="166">
        <v>0</v>
      </c>
      <c r="M1446" s="166">
        <v>105</v>
      </c>
      <c r="N1446" s="166">
        <v>105</v>
      </c>
      <c r="O1446" s="166">
        <v>157</v>
      </c>
      <c r="P1446" s="166">
        <v>157</v>
      </c>
      <c r="Q1446" s="81" t="s">
        <v>155</v>
      </c>
      <c r="R1446" s="165" t="s">
        <v>1905</v>
      </c>
      <c r="S1446" s="81" t="s">
        <v>1906</v>
      </c>
      <c r="W1446" s="81" t="s">
        <v>114</v>
      </c>
      <c r="Y1446" s="81" t="s">
        <v>115</v>
      </c>
      <c r="Z1446" s="81" t="s">
        <v>116</v>
      </c>
      <c r="AA1446" s="81" t="s">
        <v>116</v>
      </c>
      <c r="AB1446" s="81" t="s">
        <v>117</v>
      </c>
      <c r="AC1446" s="166">
        <v>0</v>
      </c>
      <c r="AG1446" s="81" t="s">
        <v>238</v>
      </c>
      <c r="AH1446" s="81" t="s">
        <v>118</v>
      </c>
      <c r="AI1446" s="81" t="s">
        <v>3583</v>
      </c>
      <c r="AJ1446" s="81">
        <v>17320350</v>
      </c>
      <c r="AK1446" s="166">
        <v>0</v>
      </c>
      <c r="AM1446" s="166">
        <v>0</v>
      </c>
      <c r="AO1446" s="166">
        <v>0</v>
      </c>
      <c r="AP1446" s="166">
        <v>0</v>
      </c>
      <c r="AQ1446" s="166">
        <v>0</v>
      </c>
      <c r="AR1446" s="166">
        <v>0</v>
      </c>
      <c r="AS1446" s="166">
        <v>0</v>
      </c>
      <c r="AT1446" s="166">
        <v>0</v>
      </c>
      <c r="AU1446" s="166">
        <v>105</v>
      </c>
      <c r="AV1446" s="166">
        <v>0</v>
      </c>
      <c r="AW1446" s="166">
        <v>0</v>
      </c>
      <c r="AX1446" s="166">
        <v>0</v>
      </c>
      <c r="AY1446" s="166">
        <v>0</v>
      </c>
      <c r="AZ1446" s="166">
        <v>0</v>
      </c>
      <c r="BA1446" s="166">
        <v>0</v>
      </c>
      <c r="BB1446" s="166">
        <v>105</v>
      </c>
      <c r="BC1446" s="166">
        <v>0</v>
      </c>
      <c r="BD1446" s="166">
        <v>0</v>
      </c>
      <c r="BE1446" s="166">
        <v>0</v>
      </c>
      <c r="BF1446" s="166">
        <v>0</v>
      </c>
      <c r="BG1446" s="166">
        <v>0</v>
      </c>
      <c r="BH1446" s="166">
        <v>0</v>
      </c>
      <c r="BI1446" s="166">
        <v>0</v>
      </c>
      <c r="BJ1446" s="166">
        <v>0</v>
      </c>
      <c r="BK1446" s="166">
        <v>0</v>
      </c>
      <c r="BL1446" s="166">
        <v>0</v>
      </c>
      <c r="BM1446" s="166">
        <v>0</v>
      </c>
      <c r="BN1446" s="166">
        <v>0</v>
      </c>
      <c r="BO1446" s="166">
        <v>0</v>
      </c>
      <c r="BP1446" s="166">
        <v>0</v>
      </c>
      <c r="BQ1446" s="81" t="s">
        <v>1757</v>
      </c>
      <c r="BR1446" s="81" t="s">
        <v>160</v>
      </c>
      <c r="BU1446" s="81" t="s">
        <v>155</v>
      </c>
      <c r="BZ1446" s="81" t="s">
        <v>155</v>
      </c>
      <c r="CA1446" s="81">
        <v>11</v>
      </c>
      <c r="CC1446" s="167">
        <v>0</v>
      </c>
      <c r="CD1446" s="167">
        <v>0</v>
      </c>
      <c r="CE1446" s="167">
        <v>0</v>
      </c>
      <c r="CF1446" s="167">
        <v>0</v>
      </c>
      <c r="CG1446" s="167">
        <v>0</v>
      </c>
      <c r="CH1446" s="167">
        <v>0</v>
      </c>
      <c r="CI1446" s="167">
        <v>0</v>
      </c>
      <c r="CJ1446" s="167">
        <v>0</v>
      </c>
      <c r="CK1446" s="167">
        <v>0</v>
      </c>
      <c r="CL1446" s="167">
        <v>0</v>
      </c>
      <c r="CM1446" s="167">
        <v>0</v>
      </c>
      <c r="CN1446" s="167">
        <v>0</v>
      </c>
      <c r="CO1446" s="167">
        <f>$N1446/12</f>
        <v>8.75</v>
      </c>
      <c r="CP1446" s="167">
        <f>$N1446/12</f>
        <v>8.75</v>
      </c>
      <c r="CQ1446" s="167">
        <f>$N1446/12</f>
        <v>8.75</v>
      </c>
      <c r="CR1446" s="167">
        <f>$N1446/12</f>
        <v>8.75</v>
      </c>
      <c r="CS1446" s="167">
        <f>$N1446/12</f>
        <v>8.75</v>
      </c>
      <c r="CT1446" s="167">
        <f>$N1446/12</f>
        <v>8.75</v>
      </c>
      <c r="CU1446" s="167">
        <f>$N1446/12</f>
        <v>8.75</v>
      </c>
      <c r="CV1446" s="167">
        <f>$N1446/12</f>
        <v>8.75</v>
      </c>
      <c r="CW1446" s="167">
        <f>$N1446/12</f>
        <v>8.75</v>
      </c>
      <c r="CX1446" s="167">
        <f>SUM(CD1446:CH1446)</f>
        <v>0</v>
      </c>
      <c r="CY1446" s="167">
        <f>SUM(CD1446:CM1446)</f>
        <v>0</v>
      </c>
    </row>
    <row r="1447" spans="1:103" ht="12.75" customHeight="1" x14ac:dyDescent="0.2">
      <c r="A1447" s="81">
        <v>6898</v>
      </c>
      <c r="B1447" s="165" t="s">
        <v>1902</v>
      </c>
      <c r="C1447" s="165" t="s">
        <v>3581</v>
      </c>
      <c r="E1447" s="165" t="s">
        <v>3582</v>
      </c>
      <c r="F1447" s="165" t="s">
        <v>3536</v>
      </c>
      <c r="G1447" s="81">
        <v>527216</v>
      </c>
      <c r="H1447" s="81">
        <v>175541</v>
      </c>
      <c r="I1447" s="165" t="s">
        <v>255</v>
      </c>
      <c r="L1447" s="166">
        <v>0</v>
      </c>
      <c r="M1447" s="166">
        <v>31</v>
      </c>
      <c r="N1447" s="166">
        <v>31</v>
      </c>
      <c r="O1447" s="166">
        <v>157</v>
      </c>
      <c r="P1447" s="166">
        <v>157</v>
      </c>
      <c r="Q1447" s="81" t="s">
        <v>155</v>
      </c>
      <c r="R1447" s="165" t="s">
        <v>1905</v>
      </c>
      <c r="S1447" s="81" t="s">
        <v>1906</v>
      </c>
      <c r="W1447" s="81" t="s">
        <v>114</v>
      </c>
      <c r="Y1447" s="81" t="s">
        <v>115</v>
      </c>
      <c r="Z1447" s="81" t="s">
        <v>116</v>
      </c>
      <c r="AA1447" s="81" t="s">
        <v>116</v>
      </c>
      <c r="AB1447" s="81" t="s">
        <v>117</v>
      </c>
      <c r="AC1447" s="166">
        <v>0</v>
      </c>
      <c r="AG1447" s="81" t="s">
        <v>154</v>
      </c>
      <c r="AH1447" s="81" t="s">
        <v>276</v>
      </c>
      <c r="AI1447" s="81" t="s">
        <v>3583</v>
      </c>
      <c r="AJ1447" s="81">
        <v>17320350</v>
      </c>
      <c r="AK1447" s="166">
        <v>0</v>
      </c>
      <c r="AM1447" s="166">
        <v>0</v>
      </c>
      <c r="AO1447" s="166">
        <v>0</v>
      </c>
      <c r="AP1447" s="166">
        <v>0</v>
      </c>
      <c r="AQ1447" s="166">
        <v>0</v>
      </c>
      <c r="AR1447" s="166">
        <v>0</v>
      </c>
      <c r="AS1447" s="166">
        <v>0</v>
      </c>
      <c r="AT1447" s="166">
        <v>0</v>
      </c>
      <c r="AU1447" s="166">
        <v>31</v>
      </c>
      <c r="AV1447" s="166">
        <v>0</v>
      </c>
      <c r="AW1447" s="166">
        <v>0</v>
      </c>
      <c r="AX1447" s="166">
        <v>0</v>
      </c>
      <c r="AY1447" s="166">
        <v>0</v>
      </c>
      <c r="AZ1447" s="166">
        <v>0</v>
      </c>
      <c r="BA1447" s="166">
        <v>0</v>
      </c>
      <c r="BB1447" s="166">
        <v>31</v>
      </c>
      <c r="BC1447" s="166">
        <v>0</v>
      </c>
      <c r="BD1447" s="166">
        <v>0</v>
      </c>
      <c r="BE1447" s="166">
        <v>0</v>
      </c>
      <c r="BF1447" s="166">
        <v>0</v>
      </c>
      <c r="BG1447" s="166">
        <v>0</v>
      </c>
      <c r="BH1447" s="166">
        <v>0</v>
      </c>
      <c r="BI1447" s="166">
        <v>0</v>
      </c>
      <c r="BJ1447" s="166">
        <v>0</v>
      </c>
      <c r="BK1447" s="166">
        <v>0</v>
      </c>
      <c r="BL1447" s="166">
        <v>0</v>
      </c>
      <c r="BM1447" s="166">
        <v>0</v>
      </c>
      <c r="BN1447" s="166">
        <v>0</v>
      </c>
      <c r="BO1447" s="166">
        <v>0</v>
      </c>
      <c r="BP1447" s="166">
        <v>0</v>
      </c>
      <c r="BQ1447" s="81" t="s">
        <v>1757</v>
      </c>
      <c r="BR1447" s="81" t="s">
        <v>160</v>
      </c>
      <c r="BU1447" s="81" t="s">
        <v>155</v>
      </c>
      <c r="BZ1447" s="81" t="s">
        <v>155</v>
      </c>
      <c r="CA1447" s="81">
        <v>11</v>
      </c>
      <c r="CC1447" s="167">
        <v>0</v>
      </c>
      <c r="CD1447" s="167">
        <v>0</v>
      </c>
      <c r="CE1447" s="167">
        <v>0</v>
      </c>
      <c r="CF1447" s="167">
        <v>0</v>
      </c>
      <c r="CG1447" s="167">
        <v>0</v>
      </c>
      <c r="CH1447" s="167">
        <v>0</v>
      </c>
      <c r="CI1447" s="167">
        <v>0</v>
      </c>
      <c r="CJ1447" s="167">
        <v>0</v>
      </c>
      <c r="CK1447" s="167">
        <v>0</v>
      </c>
      <c r="CL1447" s="167">
        <v>0</v>
      </c>
      <c r="CM1447" s="167">
        <v>0</v>
      </c>
      <c r="CN1447" s="167">
        <v>0</v>
      </c>
      <c r="CO1447" s="167">
        <f>$N1447/12</f>
        <v>2.5833333333333335</v>
      </c>
      <c r="CP1447" s="167">
        <f>$N1447/12</f>
        <v>2.5833333333333335</v>
      </c>
      <c r="CQ1447" s="167">
        <f>$N1447/12</f>
        <v>2.5833333333333335</v>
      </c>
      <c r="CR1447" s="167">
        <f>$N1447/12</f>
        <v>2.5833333333333335</v>
      </c>
      <c r="CS1447" s="167">
        <f>$N1447/12</f>
        <v>2.5833333333333335</v>
      </c>
      <c r="CT1447" s="167">
        <f>$N1447/12</f>
        <v>2.5833333333333335</v>
      </c>
      <c r="CU1447" s="167">
        <f>$N1447/12</f>
        <v>2.5833333333333335</v>
      </c>
      <c r="CV1447" s="167">
        <f>$N1447/12</f>
        <v>2.5833333333333335</v>
      </c>
      <c r="CW1447" s="167">
        <f>$N1447/12</f>
        <v>2.5833333333333335</v>
      </c>
      <c r="CX1447" s="167">
        <f>SUM(CD1447:CH1447)</f>
        <v>0</v>
      </c>
      <c r="CY1447" s="167">
        <f>SUM(CD1447:CM1447)</f>
        <v>0</v>
      </c>
    </row>
    <row r="1448" spans="1:103" ht="12.75" customHeight="1" x14ac:dyDescent="0.2">
      <c r="A1448" s="81">
        <v>6899</v>
      </c>
      <c r="B1448" s="165" t="s">
        <v>1902</v>
      </c>
      <c r="C1448" s="165" t="s">
        <v>3584</v>
      </c>
      <c r="E1448" s="165" t="s">
        <v>3585</v>
      </c>
      <c r="F1448" s="165" t="s">
        <v>3535</v>
      </c>
      <c r="G1448" s="81">
        <v>527207</v>
      </c>
      <c r="H1448" s="81">
        <v>175690</v>
      </c>
      <c r="I1448" s="165" t="s">
        <v>241</v>
      </c>
      <c r="L1448" s="166">
        <v>0</v>
      </c>
      <c r="M1448" s="166">
        <v>28</v>
      </c>
      <c r="N1448" s="166">
        <v>28</v>
      </c>
      <c r="O1448" s="166">
        <v>209</v>
      </c>
      <c r="P1448" s="166">
        <v>209</v>
      </c>
      <c r="Q1448" s="81" t="s">
        <v>155</v>
      </c>
      <c r="R1448" s="165" t="s">
        <v>1905</v>
      </c>
      <c r="S1448" s="81" t="s">
        <v>1906</v>
      </c>
      <c r="W1448" s="81" t="s">
        <v>114</v>
      </c>
      <c r="Y1448" s="81" t="s">
        <v>115</v>
      </c>
      <c r="Z1448" s="81" t="s">
        <v>116</v>
      </c>
      <c r="AA1448" s="81" t="s">
        <v>116</v>
      </c>
      <c r="AB1448" s="81" t="s">
        <v>117</v>
      </c>
      <c r="AC1448" s="166">
        <v>0</v>
      </c>
      <c r="AG1448" s="81" t="s">
        <v>74</v>
      </c>
      <c r="AH1448" s="81" t="s">
        <v>990</v>
      </c>
      <c r="AI1448" s="81" t="s">
        <v>1748</v>
      </c>
      <c r="AJ1448" s="81">
        <v>17320338</v>
      </c>
      <c r="AK1448" s="166">
        <v>0</v>
      </c>
      <c r="AM1448" s="166">
        <v>0</v>
      </c>
      <c r="AO1448" s="166">
        <v>0</v>
      </c>
      <c r="AP1448" s="166">
        <v>0</v>
      </c>
      <c r="AQ1448" s="166">
        <v>0</v>
      </c>
      <c r="AR1448" s="166">
        <v>0</v>
      </c>
      <c r="AS1448" s="166">
        <v>0</v>
      </c>
      <c r="AT1448" s="166">
        <v>0</v>
      </c>
      <c r="AU1448" s="166">
        <v>28</v>
      </c>
      <c r="AV1448" s="166">
        <v>0</v>
      </c>
      <c r="AW1448" s="166">
        <v>0</v>
      </c>
      <c r="AX1448" s="166">
        <v>0</v>
      </c>
      <c r="AY1448" s="166">
        <v>0</v>
      </c>
      <c r="AZ1448" s="166">
        <v>0</v>
      </c>
      <c r="BA1448" s="166">
        <v>0</v>
      </c>
      <c r="BB1448" s="166">
        <v>28</v>
      </c>
      <c r="BC1448" s="166">
        <v>0</v>
      </c>
      <c r="BD1448" s="166">
        <v>0</v>
      </c>
      <c r="BE1448" s="166">
        <v>0</v>
      </c>
      <c r="BF1448" s="166">
        <v>0</v>
      </c>
      <c r="BG1448" s="166">
        <v>0</v>
      </c>
      <c r="BH1448" s="166">
        <v>0</v>
      </c>
      <c r="BI1448" s="166">
        <v>0</v>
      </c>
      <c r="BJ1448" s="166">
        <v>0</v>
      </c>
      <c r="BK1448" s="166">
        <v>0</v>
      </c>
      <c r="BL1448" s="166">
        <v>0</v>
      </c>
      <c r="BM1448" s="166">
        <v>0</v>
      </c>
      <c r="BN1448" s="166">
        <v>0</v>
      </c>
      <c r="BO1448" s="166">
        <v>0</v>
      </c>
      <c r="BP1448" s="166">
        <v>0</v>
      </c>
      <c r="BQ1448" s="81" t="s">
        <v>1759</v>
      </c>
      <c r="BR1448" s="81" t="s">
        <v>160</v>
      </c>
      <c r="BU1448" s="81" t="s">
        <v>155</v>
      </c>
      <c r="BZ1448" s="81" t="s">
        <v>155</v>
      </c>
      <c r="CA1448" s="81">
        <v>11</v>
      </c>
      <c r="CC1448" s="167">
        <v>0</v>
      </c>
      <c r="CD1448" s="167">
        <v>0</v>
      </c>
      <c r="CE1448" s="167">
        <v>0</v>
      </c>
      <c r="CF1448" s="167">
        <v>0</v>
      </c>
      <c r="CG1448" s="167">
        <v>0</v>
      </c>
      <c r="CH1448" s="167">
        <v>0</v>
      </c>
      <c r="CI1448" s="167">
        <v>0</v>
      </c>
      <c r="CJ1448" s="167">
        <v>0</v>
      </c>
      <c r="CK1448" s="167">
        <v>0</v>
      </c>
      <c r="CL1448" s="167">
        <v>0</v>
      </c>
      <c r="CM1448" s="167">
        <v>0</v>
      </c>
      <c r="CN1448" s="167">
        <v>0</v>
      </c>
      <c r="CO1448" s="167">
        <v>0</v>
      </c>
      <c r="CP1448" s="167">
        <v>0</v>
      </c>
      <c r="CQ1448" s="167">
        <v>0</v>
      </c>
      <c r="CR1448" s="167">
        <v>0</v>
      </c>
      <c r="CS1448" s="167">
        <v>0</v>
      </c>
      <c r="CT1448" s="167">
        <f>$N1448/7</f>
        <v>4</v>
      </c>
      <c r="CU1448" s="167">
        <f>$N1448/7</f>
        <v>4</v>
      </c>
      <c r="CV1448" s="167">
        <f>$N1448/7</f>
        <v>4</v>
      </c>
      <c r="CW1448" s="167">
        <f>$N1448/7</f>
        <v>4</v>
      </c>
      <c r="CX1448" s="167">
        <f>SUM(CD1448:CH1448)</f>
        <v>0</v>
      </c>
      <c r="CY1448" s="167">
        <f>SUM(CD1448:CM1448)</f>
        <v>0</v>
      </c>
    </row>
    <row r="1449" spans="1:103" ht="12.75" customHeight="1" x14ac:dyDescent="0.2">
      <c r="A1449" s="81">
        <v>6899</v>
      </c>
      <c r="B1449" s="165" t="s">
        <v>1902</v>
      </c>
      <c r="C1449" s="165" t="s">
        <v>3584</v>
      </c>
      <c r="E1449" s="165" t="s">
        <v>3585</v>
      </c>
      <c r="F1449" s="165" t="s">
        <v>1556</v>
      </c>
      <c r="G1449" s="81">
        <v>527207</v>
      </c>
      <c r="H1449" s="81">
        <v>175690</v>
      </c>
      <c r="I1449" s="165" t="s">
        <v>241</v>
      </c>
      <c r="L1449" s="166">
        <v>0</v>
      </c>
      <c r="M1449" s="166">
        <v>140</v>
      </c>
      <c r="N1449" s="166">
        <v>140</v>
      </c>
      <c r="O1449" s="166">
        <v>209</v>
      </c>
      <c r="P1449" s="166">
        <v>209</v>
      </c>
      <c r="Q1449" s="81" t="s">
        <v>155</v>
      </c>
      <c r="R1449" s="165" t="s">
        <v>1905</v>
      </c>
      <c r="S1449" s="81" t="s">
        <v>1906</v>
      </c>
      <c r="W1449" s="81" t="s">
        <v>114</v>
      </c>
      <c r="Y1449" s="81" t="s">
        <v>115</v>
      </c>
      <c r="Z1449" s="81" t="s">
        <v>116</v>
      </c>
      <c r="AA1449" s="81" t="s">
        <v>116</v>
      </c>
      <c r="AB1449" s="81" t="s">
        <v>117</v>
      </c>
      <c r="AC1449" s="166">
        <v>0</v>
      </c>
      <c r="AG1449" s="81" t="s">
        <v>238</v>
      </c>
      <c r="AH1449" s="81" t="s">
        <v>118</v>
      </c>
      <c r="AI1449" s="81" t="s">
        <v>1748</v>
      </c>
      <c r="AJ1449" s="81">
        <v>17320338</v>
      </c>
      <c r="AK1449" s="166">
        <v>0</v>
      </c>
      <c r="AM1449" s="166">
        <v>0</v>
      </c>
      <c r="AO1449" s="166">
        <v>0</v>
      </c>
      <c r="AP1449" s="166">
        <v>0</v>
      </c>
      <c r="AQ1449" s="166">
        <v>0</v>
      </c>
      <c r="AR1449" s="166">
        <v>0</v>
      </c>
      <c r="AS1449" s="166">
        <v>0</v>
      </c>
      <c r="AT1449" s="166">
        <v>0</v>
      </c>
      <c r="AU1449" s="166">
        <v>140</v>
      </c>
      <c r="AV1449" s="166">
        <v>0</v>
      </c>
      <c r="AW1449" s="166">
        <v>0</v>
      </c>
      <c r="AX1449" s="166">
        <v>0</v>
      </c>
      <c r="AY1449" s="166">
        <v>0</v>
      </c>
      <c r="AZ1449" s="166">
        <v>0</v>
      </c>
      <c r="BA1449" s="166">
        <v>0</v>
      </c>
      <c r="BB1449" s="166">
        <v>140</v>
      </c>
      <c r="BC1449" s="166">
        <v>0</v>
      </c>
      <c r="BD1449" s="166">
        <v>0</v>
      </c>
      <c r="BE1449" s="166">
        <v>0</v>
      </c>
      <c r="BF1449" s="166">
        <v>0</v>
      </c>
      <c r="BG1449" s="166">
        <v>0</v>
      </c>
      <c r="BH1449" s="166">
        <v>0</v>
      </c>
      <c r="BI1449" s="166">
        <v>0</v>
      </c>
      <c r="BJ1449" s="166">
        <v>0</v>
      </c>
      <c r="BK1449" s="166">
        <v>0</v>
      </c>
      <c r="BL1449" s="166">
        <v>0</v>
      </c>
      <c r="BM1449" s="166">
        <v>0</v>
      </c>
      <c r="BN1449" s="166">
        <v>0</v>
      </c>
      <c r="BO1449" s="166">
        <v>0</v>
      </c>
      <c r="BP1449" s="166">
        <v>0</v>
      </c>
      <c r="BQ1449" s="81" t="s">
        <v>1759</v>
      </c>
      <c r="BR1449" s="81" t="s">
        <v>160</v>
      </c>
      <c r="BU1449" s="81" t="s">
        <v>155</v>
      </c>
      <c r="BZ1449" s="81" t="s">
        <v>155</v>
      </c>
      <c r="CA1449" s="81">
        <v>11</v>
      </c>
      <c r="CC1449" s="167">
        <v>0</v>
      </c>
      <c r="CD1449" s="167">
        <v>0</v>
      </c>
      <c r="CE1449" s="167">
        <v>0</v>
      </c>
      <c r="CF1449" s="167">
        <v>0</v>
      </c>
      <c r="CG1449" s="167">
        <v>0</v>
      </c>
      <c r="CH1449" s="167">
        <v>0</v>
      </c>
      <c r="CI1449" s="167">
        <v>0</v>
      </c>
      <c r="CJ1449" s="167">
        <v>0</v>
      </c>
      <c r="CK1449" s="167">
        <v>0</v>
      </c>
      <c r="CL1449" s="167">
        <v>0</v>
      </c>
      <c r="CM1449" s="167">
        <v>0</v>
      </c>
      <c r="CN1449" s="167">
        <v>0</v>
      </c>
      <c r="CO1449" s="167">
        <v>0</v>
      </c>
      <c r="CP1449" s="167">
        <v>0</v>
      </c>
      <c r="CQ1449" s="167">
        <v>0</v>
      </c>
      <c r="CR1449" s="167">
        <v>0</v>
      </c>
      <c r="CS1449" s="167">
        <v>0</v>
      </c>
      <c r="CT1449" s="167">
        <f>$N1449/7</f>
        <v>20</v>
      </c>
      <c r="CU1449" s="167">
        <f>$N1449/7</f>
        <v>20</v>
      </c>
      <c r="CV1449" s="167">
        <f>$N1449/7</f>
        <v>20</v>
      </c>
      <c r="CW1449" s="167">
        <f>$N1449/7</f>
        <v>20</v>
      </c>
      <c r="CX1449" s="167">
        <f>SUM(CD1449:CH1449)</f>
        <v>0</v>
      </c>
      <c r="CY1449" s="167">
        <f>SUM(CD1449:CM1449)</f>
        <v>0</v>
      </c>
    </row>
    <row r="1450" spans="1:103" ht="12.75" customHeight="1" x14ac:dyDescent="0.2">
      <c r="A1450" s="81">
        <v>6899</v>
      </c>
      <c r="B1450" s="165" t="s">
        <v>1902</v>
      </c>
      <c r="C1450" s="165" t="s">
        <v>3584</v>
      </c>
      <c r="E1450" s="165" t="s">
        <v>3585</v>
      </c>
      <c r="F1450" s="165" t="s">
        <v>3536</v>
      </c>
      <c r="G1450" s="81">
        <v>527207</v>
      </c>
      <c r="H1450" s="81">
        <v>175690</v>
      </c>
      <c r="I1450" s="165" t="s">
        <v>241</v>
      </c>
      <c r="L1450" s="166">
        <v>0</v>
      </c>
      <c r="M1450" s="166">
        <v>41</v>
      </c>
      <c r="N1450" s="166">
        <v>41</v>
      </c>
      <c r="O1450" s="166">
        <v>209</v>
      </c>
      <c r="P1450" s="166">
        <v>209</v>
      </c>
      <c r="Q1450" s="81" t="s">
        <v>155</v>
      </c>
      <c r="R1450" s="165" t="s">
        <v>1905</v>
      </c>
      <c r="S1450" s="81" t="s">
        <v>1906</v>
      </c>
      <c r="W1450" s="81" t="s">
        <v>114</v>
      </c>
      <c r="Y1450" s="81" t="s">
        <v>115</v>
      </c>
      <c r="Z1450" s="81" t="s">
        <v>116</v>
      </c>
      <c r="AA1450" s="81" t="s">
        <v>116</v>
      </c>
      <c r="AB1450" s="81" t="s">
        <v>117</v>
      </c>
      <c r="AC1450" s="166">
        <v>0</v>
      </c>
      <c r="AG1450" s="81" t="s">
        <v>154</v>
      </c>
      <c r="AH1450" s="81" t="s">
        <v>276</v>
      </c>
      <c r="AI1450" s="81" t="s">
        <v>1748</v>
      </c>
      <c r="AJ1450" s="81">
        <v>17320338</v>
      </c>
      <c r="AK1450" s="166">
        <v>0</v>
      </c>
      <c r="AM1450" s="166">
        <v>0</v>
      </c>
      <c r="AO1450" s="166">
        <v>0</v>
      </c>
      <c r="AP1450" s="166">
        <v>0</v>
      </c>
      <c r="AQ1450" s="166">
        <v>0</v>
      </c>
      <c r="AR1450" s="166">
        <v>0</v>
      </c>
      <c r="AS1450" s="166">
        <v>0</v>
      </c>
      <c r="AT1450" s="166">
        <v>0</v>
      </c>
      <c r="AU1450" s="166">
        <v>41</v>
      </c>
      <c r="AV1450" s="166">
        <v>0</v>
      </c>
      <c r="AW1450" s="166">
        <v>0</v>
      </c>
      <c r="AX1450" s="166">
        <v>0</v>
      </c>
      <c r="AY1450" s="166">
        <v>0</v>
      </c>
      <c r="AZ1450" s="166">
        <v>0</v>
      </c>
      <c r="BA1450" s="166">
        <v>0</v>
      </c>
      <c r="BB1450" s="166">
        <v>41</v>
      </c>
      <c r="BC1450" s="166">
        <v>0</v>
      </c>
      <c r="BD1450" s="166">
        <v>0</v>
      </c>
      <c r="BE1450" s="166">
        <v>0</v>
      </c>
      <c r="BF1450" s="166">
        <v>0</v>
      </c>
      <c r="BG1450" s="166">
        <v>0</v>
      </c>
      <c r="BH1450" s="166">
        <v>0</v>
      </c>
      <c r="BI1450" s="166">
        <v>0</v>
      </c>
      <c r="BJ1450" s="166">
        <v>0</v>
      </c>
      <c r="BK1450" s="166">
        <v>0</v>
      </c>
      <c r="BL1450" s="166">
        <v>0</v>
      </c>
      <c r="BM1450" s="166">
        <v>0</v>
      </c>
      <c r="BN1450" s="166">
        <v>0</v>
      </c>
      <c r="BO1450" s="166">
        <v>0</v>
      </c>
      <c r="BP1450" s="166">
        <v>0</v>
      </c>
      <c r="BQ1450" s="81" t="s">
        <v>1759</v>
      </c>
      <c r="BR1450" s="81" t="s">
        <v>160</v>
      </c>
      <c r="BU1450" s="81" t="s">
        <v>155</v>
      </c>
      <c r="BZ1450" s="81" t="s">
        <v>155</v>
      </c>
      <c r="CA1450" s="81">
        <v>11</v>
      </c>
      <c r="CC1450" s="167">
        <v>0</v>
      </c>
      <c r="CD1450" s="167">
        <v>0</v>
      </c>
      <c r="CE1450" s="167">
        <v>0</v>
      </c>
      <c r="CF1450" s="167">
        <v>0</v>
      </c>
      <c r="CG1450" s="167">
        <v>0</v>
      </c>
      <c r="CH1450" s="167">
        <v>0</v>
      </c>
      <c r="CI1450" s="167">
        <v>0</v>
      </c>
      <c r="CJ1450" s="167">
        <v>0</v>
      </c>
      <c r="CK1450" s="167">
        <v>0</v>
      </c>
      <c r="CL1450" s="167">
        <v>0</v>
      </c>
      <c r="CM1450" s="167">
        <v>0</v>
      </c>
      <c r="CN1450" s="167">
        <v>0</v>
      </c>
      <c r="CO1450" s="167">
        <v>0</v>
      </c>
      <c r="CP1450" s="167">
        <v>0</v>
      </c>
      <c r="CQ1450" s="167">
        <v>0</v>
      </c>
      <c r="CR1450" s="167">
        <v>0</v>
      </c>
      <c r="CS1450" s="167">
        <v>0</v>
      </c>
      <c r="CT1450" s="167">
        <f>$N1450/7</f>
        <v>5.8571428571428568</v>
      </c>
      <c r="CU1450" s="167">
        <f>$N1450/7</f>
        <v>5.8571428571428568</v>
      </c>
      <c r="CV1450" s="167">
        <f>$N1450/7</f>
        <v>5.8571428571428568</v>
      </c>
      <c r="CW1450" s="167">
        <f>$N1450/7</f>
        <v>5.8571428571428568</v>
      </c>
      <c r="CX1450" s="167">
        <f>SUM(CD1450:CH1450)</f>
        <v>0</v>
      </c>
      <c r="CY1450" s="167">
        <f>SUM(CD1450:CM1450)</f>
        <v>0</v>
      </c>
    </row>
    <row r="1451" spans="1:103" ht="12.75" customHeight="1" x14ac:dyDescent="0.2">
      <c r="A1451" s="81">
        <v>6900</v>
      </c>
      <c r="B1451" s="165" t="s">
        <v>1902</v>
      </c>
      <c r="C1451" s="165" t="s">
        <v>3586</v>
      </c>
      <c r="E1451" s="165" t="s">
        <v>3587</v>
      </c>
      <c r="F1451" s="165" t="s">
        <v>1556</v>
      </c>
      <c r="G1451" s="81">
        <v>526850</v>
      </c>
      <c r="H1451" s="81">
        <v>175749</v>
      </c>
      <c r="I1451" s="165" t="s">
        <v>241</v>
      </c>
      <c r="L1451" s="166">
        <v>0</v>
      </c>
      <c r="M1451" s="166">
        <v>436</v>
      </c>
      <c r="N1451" s="166">
        <v>436</v>
      </c>
      <c r="O1451" s="166">
        <v>486</v>
      </c>
      <c r="P1451" s="166">
        <v>486</v>
      </c>
      <c r="Q1451" s="81" t="s">
        <v>155</v>
      </c>
      <c r="R1451" s="165" t="s">
        <v>1905</v>
      </c>
      <c r="S1451" s="81" t="s">
        <v>1906</v>
      </c>
      <c r="W1451" s="81" t="s">
        <v>114</v>
      </c>
      <c r="Y1451" s="81" t="s">
        <v>115</v>
      </c>
      <c r="Z1451" s="81" t="s">
        <v>116</v>
      </c>
      <c r="AA1451" s="81" t="s">
        <v>116</v>
      </c>
      <c r="AB1451" s="81" t="s">
        <v>117</v>
      </c>
      <c r="AC1451" s="166">
        <v>0</v>
      </c>
      <c r="AG1451" s="81" t="s">
        <v>238</v>
      </c>
      <c r="AH1451" s="81" t="s">
        <v>118</v>
      </c>
      <c r="AI1451" s="81" t="s">
        <v>1741</v>
      </c>
      <c r="AJ1451" s="81">
        <v>17320111</v>
      </c>
      <c r="AK1451" s="166">
        <v>0</v>
      </c>
      <c r="AM1451" s="166">
        <v>0</v>
      </c>
      <c r="AO1451" s="166">
        <v>0</v>
      </c>
      <c r="AP1451" s="166">
        <v>0</v>
      </c>
      <c r="AQ1451" s="166">
        <v>0</v>
      </c>
      <c r="AR1451" s="166">
        <v>0</v>
      </c>
      <c r="AS1451" s="166">
        <v>0</v>
      </c>
      <c r="AT1451" s="166">
        <v>0</v>
      </c>
      <c r="AU1451" s="166">
        <v>436</v>
      </c>
      <c r="AV1451" s="166">
        <v>0</v>
      </c>
      <c r="AW1451" s="166">
        <v>0</v>
      </c>
      <c r="AX1451" s="166">
        <v>0</v>
      </c>
      <c r="AY1451" s="166">
        <v>0</v>
      </c>
      <c r="AZ1451" s="166">
        <v>0</v>
      </c>
      <c r="BA1451" s="166">
        <v>0</v>
      </c>
      <c r="BB1451" s="166">
        <v>436</v>
      </c>
      <c r="BC1451" s="166">
        <v>0</v>
      </c>
      <c r="BD1451" s="166">
        <v>0</v>
      </c>
      <c r="BE1451" s="166">
        <v>0</v>
      </c>
      <c r="BF1451" s="166">
        <v>0</v>
      </c>
      <c r="BG1451" s="166">
        <v>0</v>
      </c>
      <c r="BH1451" s="166">
        <v>0</v>
      </c>
      <c r="BI1451" s="166">
        <v>0</v>
      </c>
      <c r="BJ1451" s="166">
        <v>0</v>
      </c>
      <c r="BK1451" s="166">
        <v>0</v>
      </c>
      <c r="BL1451" s="166">
        <v>0</v>
      </c>
      <c r="BM1451" s="166">
        <v>0</v>
      </c>
      <c r="BN1451" s="166">
        <v>0</v>
      </c>
      <c r="BO1451" s="166">
        <v>0</v>
      </c>
      <c r="BP1451" s="166">
        <v>0</v>
      </c>
      <c r="BQ1451" s="81" t="s">
        <v>1759</v>
      </c>
      <c r="BU1451" s="81" t="s">
        <v>155</v>
      </c>
      <c r="BZ1451" s="81" t="s">
        <v>155</v>
      </c>
      <c r="CA1451" s="81">
        <v>11</v>
      </c>
      <c r="CC1451" s="167">
        <v>0</v>
      </c>
      <c r="CD1451" s="167">
        <f>$N1451*24/486</f>
        <v>21.530864197530864</v>
      </c>
      <c r="CE1451" s="167">
        <f>$N1451*297/486/5</f>
        <v>53.288888888888891</v>
      </c>
      <c r="CF1451" s="167">
        <f>$N1451*297/486/5</f>
        <v>53.288888888888891</v>
      </c>
      <c r="CG1451" s="167">
        <f>$N1451*297/486/5</f>
        <v>53.288888888888891</v>
      </c>
      <c r="CH1451" s="167">
        <f>$N1451*297/486/5</f>
        <v>53.288888888888891</v>
      </c>
      <c r="CI1451" s="167">
        <f>$N1451*297/486/5</f>
        <v>53.288888888888891</v>
      </c>
      <c r="CJ1451" s="167">
        <f>$N1451*165/486/5</f>
        <v>29.604938271604937</v>
      </c>
      <c r="CK1451" s="167">
        <f>$N1451*165/486/5</f>
        <v>29.604938271604937</v>
      </c>
      <c r="CL1451" s="167">
        <f>$N1451*165/486/5</f>
        <v>29.604938271604937</v>
      </c>
      <c r="CM1451" s="167">
        <f>$N1451*165/486/5</f>
        <v>29.604938271604937</v>
      </c>
      <c r="CN1451" s="167">
        <f>$N1451*165/486/5</f>
        <v>29.604938271604937</v>
      </c>
      <c r="CO1451" s="167">
        <v>0</v>
      </c>
      <c r="CP1451" s="167">
        <v>0</v>
      </c>
      <c r="CQ1451" s="167">
        <v>0</v>
      </c>
      <c r="CR1451" s="167">
        <v>0</v>
      </c>
      <c r="CS1451" s="167">
        <v>0</v>
      </c>
      <c r="CT1451" s="167">
        <v>0</v>
      </c>
      <c r="CU1451" s="167">
        <v>0</v>
      </c>
      <c r="CV1451" s="167">
        <v>0</v>
      </c>
      <c r="CW1451" s="167">
        <v>0</v>
      </c>
      <c r="CX1451" s="167">
        <f>SUM(CD1451:CH1451)</f>
        <v>234.68641975308643</v>
      </c>
      <c r="CY1451" s="167">
        <f>SUM(CD1451:CM1451)</f>
        <v>406.39506172839515</v>
      </c>
    </row>
    <row r="1452" spans="1:103" ht="12.75" customHeight="1" x14ac:dyDescent="0.2">
      <c r="A1452" s="81">
        <v>6900</v>
      </c>
      <c r="B1452" s="165" t="s">
        <v>1902</v>
      </c>
      <c r="C1452" s="165" t="s">
        <v>3586</v>
      </c>
      <c r="E1452" s="165" t="s">
        <v>3587</v>
      </c>
      <c r="F1452" s="165" t="s">
        <v>3536</v>
      </c>
      <c r="G1452" s="81">
        <v>526850</v>
      </c>
      <c r="H1452" s="81">
        <v>175749</v>
      </c>
      <c r="I1452" s="165" t="s">
        <v>241</v>
      </c>
      <c r="L1452" s="166">
        <v>0</v>
      </c>
      <c r="M1452" s="166">
        <v>50</v>
      </c>
      <c r="N1452" s="166">
        <v>50</v>
      </c>
      <c r="O1452" s="166">
        <v>486</v>
      </c>
      <c r="P1452" s="166">
        <v>486</v>
      </c>
      <c r="Q1452" s="81" t="s">
        <v>155</v>
      </c>
      <c r="R1452" s="165" t="s">
        <v>1905</v>
      </c>
      <c r="S1452" s="81" t="s">
        <v>1906</v>
      </c>
      <c r="W1452" s="81" t="s">
        <v>114</v>
      </c>
      <c r="Y1452" s="81" t="s">
        <v>115</v>
      </c>
      <c r="Z1452" s="81" t="s">
        <v>116</v>
      </c>
      <c r="AA1452" s="81" t="s">
        <v>116</v>
      </c>
      <c r="AB1452" s="81" t="s">
        <v>117</v>
      </c>
      <c r="AC1452" s="166">
        <v>0</v>
      </c>
      <c r="AG1452" s="81" t="s">
        <v>154</v>
      </c>
      <c r="AH1452" s="81" t="s">
        <v>276</v>
      </c>
      <c r="AI1452" s="81" t="s">
        <v>1741</v>
      </c>
      <c r="AJ1452" s="81">
        <v>17320111</v>
      </c>
      <c r="AK1452" s="166">
        <v>0</v>
      </c>
      <c r="AM1452" s="166">
        <v>0</v>
      </c>
      <c r="AO1452" s="166">
        <v>0</v>
      </c>
      <c r="AP1452" s="166">
        <v>0</v>
      </c>
      <c r="AQ1452" s="166">
        <v>0</v>
      </c>
      <c r="AR1452" s="166">
        <v>0</v>
      </c>
      <c r="AS1452" s="166">
        <v>0</v>
      </c>
      <c r="AT1452" s="166">
        <v>0</v>
      </c>
      <c r="AU1452" s="166">
        <v>50</v>
      </c>
      <c r="AV1452" s="166">
        <v>0</v>
      </c>
      <c r="AW1452" s="166">
        <v>0</v>
      </c>
      <c r="AX1452" s="166">
        <v>0</v>
      </c>
      <c r="AY1452" s="166">
        <v>0</v>
      </c>
      <c r="AZ1452" s="166">
        <v>0</v>
      </c>
      <c r="BA1452" s="166">
        <v>0</v>
      </c>
      <c r="BB1452" s="166">
        <v>50</v>
      </c>
      <c r="BC1452" s="166">
        <v>0</v>
      </c>
      <c r="BD1452" s="166">
        <v>0</v>
      </c>
      <c r="BE1452" s="166">
        <v>0</v>
      </c>
      <c r="BF1452" s="166">
        <v>0</v>
      </c>
      <c r="BG1452" s="166">
        <v>0</v>
      </c>
      <c r="BH1452" s="166">
        <v>0</v>
      </c>
      <c r="BI1452" s="166">
        <v>0</v>
      </c>
      <c r="BJ1452" s="166">
        <v>0</v>
      </c>
      <c r="BK1452" s="166">
        <v>0</v>
      </c>
      <c r="BL1452" s="166">
        <v>0</v>
      </c>
      <c r="BM1452" s="166">
        <v>0</v>
      </c>
      <c r="BN1452" s="166">
        <v>0</v>
      </c>
      <c r="BO1452" s="166">
        <v>0</v>
      </c>
      <c r="BP1452" s="166">
        <v>0</v>
      </c>
      <c r="BQ1452" s="81" t="s">
        <v>1759</v>
      </c>
      <c r="BU1452" s="81" t="s">
        <v>155</v>
      </c>
      <c r="BZ1452" s="81" t="s">
        <v>155</v>
      </c>
      <c r="CA1452" s="81">
        <v>11</v>
      </c>
      <c r="CC1452" s="167">
        <v>0</v>
      </c>
      <c r="CD1452" s="167">
        <f>$N1452*24/486</f>
        <v>2.4691358024691357</v>
      </c>
      <c r="CE1452" s="167">
        <f>$N1452*297/486/5</f>
        <v>6.1111111111111116</v>
      </c>
      <c r="CF1452" s="167">
        <f>$N1452*297/486/5</f>
        <v>6.1111111111111116</v>
      </c>
      <c r="CG1452" s="167">
        <f>$N1452*297/486/5</f>
        <v>6.1111111111111116</v>
      </c>
      <c r="CH1452" s="167">
        <f>$N1452*297/486/5</f>
        <v>6.1111111111111116</v>
      </c>
      <c r="CI1452" s="167">
        <f>$N1452*297/486/5</f>
        <v>6.1111111111111116</v>
      </c>
      <c r="CJ1452" s="167">
        <f>$N1452*165/486/5</f>
        <v>3.3950617283950622</v>
      </c>
      <c r="CK1452" s="167">
        <f>$N1452*165/486/5</f>
        <v>3.3950617283950622</v>
      </c>
      <c r="CL1452" s="167">
        <f>$N1452*165/486/5</f>
        <v>3.3950617283950622</v>
      </c>
      <c r="CM1452" s="167">
        <f>$N1452*165/486/5</f>
        <v>3.3950617283950622</v>
      </c>
      <c r="CN1452" s="167">
        <f>$N1452*165/486/5</f>
        <v>3.3950617283950622</v>
      </c>
      <c r="CO1452" s="167">
        <v>0</v>
      </c>
      <c r="CP1452" s="167">
        <v>0</v>
      </c>
      <c r="CQ1452" s="167">
        <v>0</v>
      </c>
      <c r="CR1452" s="167">
        <v>0</v>
      </c>
      <c r="CS1452" s="167">
        <v>0</v>
      </c>
      <c r="CT1452" s="167">
        <v>0</v>
      </c>
      <c r="CU1452" s="167">
        <v>0</v>
      </c>
      <c r="CV1452" s="167">
        <v>0</v>
      </c>
      <c r="CW1452" s="167">
        <v>0</v>
      </c>
      <c r="CX1452" s="167">
        <f>SUM(CD1452:CH1452)</f>
        <v>26.913580246913579</v>
      </c>
      <c r="CY1452" s="167">
        <f>SUM(CD1452:CM1452)</f>
        <v>46.604938271604944</v>
      </c>
    </row>
    <row r="1453" spans="1:103" ht="12.75" customHeight="1" x14ac:dyDescent="0.2">
      <c r="A1453" s="81">
        <v>6901</v>
      </c>
      <c r="B1453" s="165" t="s">
        <v>1902</v>
      </c>
      <c r="C1453" s="165" t="s">
        <v>2004</v>
      </c>
      <c r="E1453" s="165" t="s">
        <v>2005</v>
      </c>
      <c r="F1453" s="165" t="s">
        <v>1556</v>
      </c>
      <c r="G1453" s="81">
        <v>524170</v>
      </c>
      <c r="H1453" s="81">
        <v>175517</v>
      </c>
      <c r="I1453" s="165" t="s">
        <v>259</v>
      </c>
      <c r="L1453" s="166">
        <v>0</v>
      </c>
      <c r="M1453" s="166">
        <v>8</v>
      </c>
      <c r="N1453" s="166">
        <v>8</v>
      </c>
      <c r="O1453" s="166">
        <v>8</v>
      </c>
      <c r="P1453" s="166">
        <v>8</v>
      </c>
      <c r="R1453" s="165" t="s">
        <v>1905</v>
      </c>
      <c r="S1453" s="81" t="s">
        <v>1906</v>
      </c>
      <c r="W1453" s="81" t="s">
        <v>114</v>
      </c>
      <c r="Y1453" s="81" t="s">
        <v>115</v>
      </c>
      <c r="Z1453" s="81" t="s">
        <v>116</v>
      </c>
      <c r="AA1453" s="81" t="s">
        <v>117</v>
      </c>
      <c r="AB1453" s="81" t="s">
        <v>218</v>
      </c>
      <c r="AC1453" s="166">
        <v>0</v>
      </c>
      <c r="AG1453" s="81" t="s">
        <v>238</v>
      </c>
      <c r="AH1453" s="81" t="s">
        <v>118</v>
      </c>
      <c r="AI1453" s="81" t="s">
        <v>1737</v>
      </c>
      <c r="AJ1453" s="81">
        <v>17320038</v>
      </c>
      <c r="AK1453" s="166">
        <v>0</v>
      </c>
      <c r="AM1453" s="166">
        <v>0</v>
      </c>
      <c r="AO1453" s="166">
        <v>0</v>
      </c>
      <c r="AP1453" s="166">
        <v>0</v>
      </c>
      <c r="AQ1453" s="166">
        <v>0</v>
      </c>
      <c r="AR1453" s="166">
        <v>0</v>
      </c>
      <c r="AS1453" s="166">
        <v>0</v>
      </c>
      <c r="AT1453" s="166">
        <v>0</v>
      </c>
      <c r="AU1453" s="166">
        <v>8</v>
      </c>
      <c r="AV1453" s="166">
        <v>0</v>
      </c>
      <c r="AW1453" s="166">
        <v>0</v>
      </c>
      <c r="AX1453" s="166">
        <v>0</v>
      </c>
      <c r="AY1453" s="166">
        <v>0</v>
      </c>
      <c r="AZ1453" s="166">
        <v>0</v>
      </c>
      <c r="BA1453" s="166">
        <v>0</v>
      </c>
      <c r="BB1453" s="166">
        <v>8</v>
      </c>
      <c r="BC1453" s="166">
        <v>0</v>
      </c>
      <c r="BD1453" s="166">
        <v>0</v>
      </c>
      <c r="BE1453" s="166">
        <v>0</v>
      </c>
      <c r="BF1453" s="166">
        <v>0</v>
      </c>
      <c r="BG1453" s="166">
        <v>0</v>
      </c>
      <c r="BH1453" s="166">
        <v>0</v>
      </c>
      <c r="BI1453" s="166">
        <v>0</v>
      </c>
      <c r="BJ1453" s="166">
        <v>0</v>
      </c>
      <c r="BK1453" s="166">
        <v>0</v>
      </c>
      <c r="BL1453" s="166">
        <v>0</v>
      </c>
      <c r="BM1453" s="166">
        <v>0</v>
      </c>
      <c r="BN1453" s="166">
        <v>0</v>
      </c>
      <c r="BO1453" s="166">
        <v>0</v>
      </c>
      <c r="BP1453" s="166">
        <v>0</v>
      </c>
      <c r="BQ1453" s="81" t="s">
        <v>1758</v>
      </c>
      <c r="BR1453" s="81" t="s">
        <v>161</v>
      </c>
      <c r="BX1453" s="81" t="s">
        <v>155</v>
      </c>
      <c r="BZ1453" s="81" t="s">
        <v>155</v>
      </c>
      <c r="CA1453" s="81">
        <v>11</v>
      </c>
      <c r="CC1453" s="167">
        <v>0</v>
      </c>
      <c r="CD1453" s="167">
        <v>0</v>
      </c>
      <c r="CE1453" s="167">
        <v>0</v>
      </c>
      <c r="CF1453" s="167">
        <v>0</v>
      </c>
      <c r="CG1453" s="167">
        <v>0</v>
      </c>
      <c r="CH1453" s="167">
        <v>0</v>
      </c>
      <c r="CI1453" s="167">
        <v>0</v>
      </c>
      <c r="CJ1453" s="167">
        <v>0</v>
      </c>
      <c r="CK1453" s="167">
        <v>0</v>
      </c>
      <c r="CL1453" s="167">
        <v>0</v>
      </c>
      <c r="CM1453" s="167">
        <v>0</v>
      </c>
      <c r="CN1453" s="167">
        <v>0</v>
      </c>
      <c r="CO1453" s="167">
        <f>$N1453/12</f>
        <v>0.66666666666666663</v>
      </c>
      <c r="CP1453" s="167">
        <f>$N1453/12</f>
        <v>0.66666666666666663</v>
      </c>
      <c r="CQ1453" s="167">
        <f>$N1453/12</f>
        <v>0.66666666666666663</v>
      </c>
      <c r="CR1453" s="167">
        <f>$N1453/12</f>
        <v>0.66666666666666663</v>
      </c>
      <c r="CS1453" s="167">
        <f>$N1453/12</f>
        <v>0.66666666666666663</v>
      </c>
      <c r="CT1453" s="167">
        <f>$N1453/12</f>
        <v>0.66666666666666663</v>
      </c>
      <c r="CU1453" s="167">
        <f>$N1453/12</f>
        <v>0.66666666666666663</v>
      </c>
      <c r="CV1453" s="167">
        <f>$N1453/12</f>
        <v>0.66666666666666663</v>
      </c>
      <c r="CW1453" s="167">
        <f>$N1453/12</f>
        <v>0.66666666666666663</v>
      </c>
      <c r="CX1453" s="167">
        <f>SUM(CD1453:CH1453)</f>
        <v>0</v>
      </c>
      <c r="CY1453" s="167">
        <f>SUM(CD1453:CM1453)</f>
        <v>0</v>
      </c>
    </row>
    <row r="1454" spans="1:103" ht="12.75" customHeight="1" x14ac:dyDescent="0.2">
      <c r="A1454" s="81">
        <v>6902</v>
      </c>
      <c r="B1454" s="165" t="s">
        <v>1902</v>
      </c>
      <c r="C1454" s="165" t="s">
        <v>2006</v>
      </c>
      <c r="E1454" s="165" t="s">
        <v>2007</v>
      </c>
      <c r="F1454" s="165" t="s">
        <v>1556</v>
      </c>
      <c r="G1454" s="81">
        <v>524118</v>
      </c>
      <c r="H1454" s="81">
        <v>175366</v>
      </c>
      <c r="I1454" s="165" t="s">
        <v>259</v>
      </c>
      <c r="L1454" s="166">
        <v>0</v>
      </c>
      <c r="M1454" s="166">
        <v>5</v>
      </c>
      <c r="N1454" s="166">
        <v>5</v>
      </c>
      <c r="O1454" s="166">
        <v>5</v>
      </c>
      <c r="P1454" s="166">
        <v>5</v>
      </c>
      <c r="R1454" s="165" t="s">
        <v>1905</v>
      </c>
      <c r="S1454" s="81" t="s">
        <v>1906</v>
      </c>
      <c r="W1454" s="81" t="s">
        <v>114</v>
      </c>
      <c r="Y1454" s="81" t="s">
        <v>115</v>
      </c>
      <c r="Z1454" s="81" t="s">
        <v>116</v>
      </c>
      <c r="AA1454" s="81" t="s">
        <v>117</v>
      </c>
      <c r="AB1454" s="81" t="s">
        <v>218</v>
      </c>
      <c r="AC1454" s="166">
        <v>0</v>
      </c>
      <c r="AG1454" s="81" t="s">
        <v>238</v>
      </c>
      <c r="AH1454" s="81" t="s">
        <v>118</v>
      </c>
      <c r="AI1454" s="81" t="s">
        <v>1749</v>
      </c>
      <c r="AJ1454" s="81">
        <v>17320340</v>
      </c>
      <c r="AK1454" s="166">
        <v>0</v>
      </c>
      <c r="AM1454" s="166">
        <v>0</v>
      </c>
      <c r="AO1454" s="166">
        <v>0</v>
      </c>
      <c r="AP1454" s="166">
        <v>0</v>
      </c>
      <c r="AQ1454" s="166">
        <v>0</v>
      </c>
      <c r="AR1454" s="166">
        <v>0</v>
      </c>
      <c r="AS1454" s="166">
        <v>0</v>
      </c>
      <c r="AT1454" s="166">
        <v>0</v>
      </c>
      <c r="AU1454" s="166">
        <v>5</v>
      </c>
      <c r="AV1454" s="166">
        <v>0</v>
      </c>
      <c r="AW1454" s="166">
        <v>0</v>
      </c>
      <c r="AX1454" s="166">
        <v>0</v>
      </c>
      <c r="AY1454" s="166">
        <v>0</v>
      </c>
      <c r="AZ1454" s="166">
        <v>0</v>
      </c>
      <c r="BA1454" s="166">
        <v>0</v>
      </c>
      <c r="BB1454" s="166">
        <v>5</v>
      </c>
      <c r="BC1454" s="166">
        <v>0</v>
      </c>
      <c r="BD1454" s="166">
        <v>0</v>
      </c>
      <c r="BE1454" s="166">
        <v>0</v>
      </c>
      <c r="BF1454" s="166">
        <v>0</v>
      </c>
      <c r="BG1454" s="166">
        <v>0</v>
      </c>
      <c r="BH1454" s="166">
        <v>0</v>
      </c>
      <c r="BI1454" s="166">
        <v>0</v>
      </c>
      <c r="BJ1454" s="166">
        <v>0</v>
      </c>
      <c r="BK1454" s="166">
        <v>0</v>
      </c>
      <c r="BL1454" s="166">
        <v>0</v>
      </c>
      <c r="BM1454" s="166">
        <v>0</v>
      </c>
      <c r="BN1454" s="166">
        <v>0</v>
      </c>
      <c r="BO1454" s="166">
        <v>0</v>
      </c>
      <c r="BP1454" s="166">
        <v>0</v>
      </c>
      <c r="BQ1454" s="81" t="s">
        <v>1758</v>
      </c>
      <c r="BR1454" s="81" t="s">
        <v>161</v>
      </c>
      <c r="BZ1454" s="81" t="s">
        <v>155</v>
      </c>
      <c r="CA1454" s="81">
        <v>11</v>
      </c>
      <c r="CC1454" s="167">
        <v>0</v>
      </c>
      <c r="CD1454" s="167">
        <v>0</v>
      </c>
      <c r="CE1454" s="167">
        <v>0</v>
      </c>
      <c r="CF1454" s="167">
        <v>0</v>
      </c>
      <c r="CG1454" s="167">
        <v>0</v>
      </c>
      <c r="CH1454" s="167">
        <v>0</v>
      </c>
      <c r="CI1454" s="167">
        <v>0</v>
      </c>
      <c r="CJ1454" s="167">
        <f>$N1454/17</f>
        <v>0.29411764705882354</v>
      </c>
      <c r="CK1454" s="167">
        <f>$N1454/17</f>
        <v>0.29411764705882354</v>
      </c>
      <c r="CL1454" s="167">
        <f>$N1454/17</f>
        <v>0.29411764705882354</v>
      </c>
      <c r="CM1454" s="167">
        <f>$N1454/17</f>
        <v>0.29411764705882354</v>
      </c>
      <c r="CN1454" s="167">
        <f>$N1454/17</f>
        <v>0.29411764705882354</v>
      </c>
      <c r="CO1454" s="167">
        <f>$N1454/17</f>
        <v>0.29411764705882354</v>
      </c>
      <c r="CP1454" s="167">
        <f>$N1454/17</f>
        <v>0.29411764705882354</v>
      </c>
      <c r="CQ1454" s="167">
        <f>$N1454/17</f>
        <v>0.29411764705882354</v>
      </c>
      <c r="CR1454" s="167">
        <f>$N1454/17</f>
        <v>0.29411764705882354</v>
      </c>
      <c r="CS1454" s="167">
        <f>$N1454/17</f>
        <v>0.29411764705882354</v>
      </c>
      <c r="CT1454" s="167">
        <f>$N1454/17</f>
        <v>0.29411764705882354</v>
      </c>
      <c r="CU1454" s="167">
        <f>$N1454/17</f>
        <v>0.29411764705882354</v>
      </c>
      <c r="CV1454" s="167">
        <f>$N1454/17</f>
        <v>0.29411764705882354</v>
      </c>
      <c r="CW1454" s="167">
        <f>$N1454/17</f>
        <v>0.29411764705882354</v>
      </c>
      <c r="CX1454" s="167">
        <f>SUM(CD1454:CH1454)</f>
        <v>0</v>
      </c>
      <c r="CY1454" s="167">
        <f>SUM(CD1454:CM1454)</f>
        <v>1.1764705882352942</v>
      </c>
    </row>
    <row r="1455" spans="1:103" ht="12.75" customHeight="1" x14ac:dyDescent="0.2">
      <c r="A1455" s="81">
        <v>6903</v>
      </c>
      <c r="B1455" s="165" t="s">
        <v>1902</v>
      </c>
      <c r="C1455" s="165" t="s">
        <v>3588</v>
      </c>
      <c r="E1455" s="165" t="s">
        <v>3589</v>
      </c>
      <c r="F1455" s="165" t="s">
        <v>1556</v>
      </c>
      <c r="G1455" s="81">
        <v>522165</v>
      </c>
      <c r="H1455" s="81">
        <v>173843</v>
      </c>
      <c r="I1455" s="165" t="s">
        <v>877</v>
      </c>
      <c r="L1455" s="166">
        <v>0</v>
      </c>
      <c r="M1455" s="166">
        <v>626</v>
      </c>
      <c r="N1455" s="166">
        <v>626</v>
      </c>
      <c r="O1455" s="166">
        <v>656</v>
      </c>
      <c r="P1455" s="166">
        <v>656</v>
      </c>
      <c r="Q1455" s="81" t="s">
        <v>155</v>
      </c>
      <c r="R1455" s="165" t="s">
        <v>1905</v>
      </c>
      <c r="S1455" s="81" t="s">
        <v>1906</v>
      </c>
      <c r="W1455" s="81" t="s">
        <v>114</v>
      </c>
      <c r="Y1455" s="81" t="s">
        <v>115</v>
      </c>
      <c r="Z1455" s="81" t="s">
        <v>116</v>
      </c>
      <c r="AA1455" s="81" t="s">
        <v>116</v>
      </c>
      <c r="AB1455" s="81" t="s">
        <v>117</v>
      </c>
      <c r="AC1455" s="166">
        <v>0</v>
      </c>
      <c r="AG1455" s="81" t="s">
        <v>238</v>
      </c>
      <c r="AH1455" s="81" t="s">
        <v>118</v>
      </c>
      <c r="AI1455" s="81" t="s">
        <v>3590</v>
      </c>
      <c r="AJ1455" s="81">
        <v>17320170</v>
      </c>
      <c r="AK1455" s="166">
        <v>0</v>
      </c>
      <c r="AM1455" s="166">
        <v>0</v>
      </c>
      <c r="AO1455" s="166">
        <v>0</v>
      </c>
      <c r="AP1455" s="166">
        <v>0</v>
      </c>
      <c r="AQ1455" s="166">
        <v>0</v>
      </c>
      <c r="AR1455" s="166">
        <v>0</v>
      </c>
      <c r="AS1455" s="166">
        <v>0</v>
      </c>
      <c r="AT1455" s="166">
        <v>0</v>
      </c>
      <c r="AU1455" s="166">
        <v>626</v>
      </c>
      <c r="AV1455" s="166">
        <v>0</v>
      </c>
      <c r="AW1455" s="166">
        <v>0</v>
      </c>
      <c r="AX1455" s="166">
        <v>0</v>
      </c>
      <c r="AY1455" s="166">
        <v>0</v>
      </c>
      <c r="AZ1455" s="166">
        <v>0</v>
      </c>
      <c r="BA1455" s="166">
        <v>0</v>
      </c>
      <c r="BB1455" s="166">
        <v>626</v>
      </c>
      <c r="BC1455" s="166">
        <v>0</v>
      </c>
      <c r="BD1455" s="166">
        <v>0</v>
      </c>
      <c r="BE1455" s="166">
        <v>0</v>
      </c>
      <c r="BF1455" s="166">
        <v>0</v>
      </c>
      <c r="BG1455" s="166">
        <v>0</v>
      </c>
      <c r="BH1455" s="166">
        <v>0</v>
      </c>
      <c r="BI1455" s="166">
        <v>0</v>
      </c>
      <c r="BJ1455" s="166">
        <v>0</v>
      </c>
      <c r="BK1455" s="166">
        <v>0</v>
      </c>
      <c r="BL1455" s="166">
        <v>0</v>
      </c>
      <c r="BM1455" s="166">
        <v>0</v>
      </c>
      <c r="BN1455" s="166">
        <v>0</v>
      </c>
      <c r="BO1455" s="166">
        <v>0</v>
      </c>
      <c r="BP1455" s="166">
        <v>0</v>
      </c>
      <c r="BQ1455" s="81" t="s">
        <v>1759</v>
      </c>
      <c r="BZ1455" s="81" t="s">
        <v>155</v>
      </c>
      <c r="CA1455" s="81">
        <v>11</v>
      </c>
      <c r="CC1455" s="167">
        <v>0</v>
      </c>
      <c r="CD1455" s="167">
        <v>0</v>
      </c>
      <c r="CE1455" s="167">
        <f>$N1455/10</f>
        <v>62.6</v>
      </c>
      <c r="CF1455" s="167">
        <f>$N1455/10</f>
        <v>62.6</v>
      </c>
      <c r="CG1455" s="167">
        <f>$N1455/10</f>
        <v>62.6</v>
      </c>
      <c r="CH1455" s="167">
        <f>$N1455/10</f>
        <v>62.6</v>
      </c>
      <c r="CI1455" s="167">
        <f>$N1455/10</f>
        <v>62.6</v>
      </c>
      <c r="CJ1455" s="167">
        <f>$N1455/10</f>
        <v>62.6</v>
      </c>
      <c r="CK1455" s="167">
        <f>$N1455/10</f>
        <v>62.6</v>
      </c>
      <c r="CL1455" s="167">
        <f>$N1455/10</f>
        <v>62.6</v>
      </c>
      <c r="CM1455" s="167">
        <f>$N1455/10</f>
        <v>62.6</v>
      </c>
      <c r="CN1455" s="167">
        <f>$N1455/10</f>
        <v>62.6</v>
      </c>
      <c r="CO1455" s="167">
        <v>0</v>
      </c>
      <c r="CP1455" s="167">
        <v>0</v>
      </c>
      <c r="CQ1455" s="167">
        <v>0</v>
      </c>
      <c r="CR1455" s="167">
        <v>0</v>
      </c>
      <c r="CS1455" s="167">
        <v>0</v>
      </c>
      <c r="CT1455" s="167">
        <v>0</v>
      </c>
      <c r="CU1455" s="167">
        <v>0</v>
      </c>
      <c r="CV1455" s="167">
        <v>0</v>
      </c>
      <c r="CW1455" s="167">
        <v>0</v>
      </c>
      <c r="CX1455" s="167">
        <f>SUM(CD1455:CH1455)</f>
        <v>250.4</v>
      </c>
      <c r="CY1455" s="167">
        <f>SUM(CD1455:CM1455)</f>
        <v>563.40000000000009</v>
      </c>
    </row>
    <row r="1456" spans="1:103" ht="12.75" customHeight="1" x14ac:dyDescent="0.2">
      <c r="A1456" s="81">
        <v>6903</v>
      </c>
      <c r="B1456" s="165" t="s">
        <v>1902</v>
      </c>
      <c r="C1456" s="165" t="s">
        <v>3588</v>
      </c>
      <c r="E1456" s="165" t="s">
        <v>3589</v>
      </c>
      <c r="F1456" s="165" t="s">
        <v>3536</v>
      </c>
      <c r="G1456" s="81">
        <v>522165</v>
      </c>
      <c r="H1456" s="81">
        <v>173843</v>
      </c>
      <c r="I1456" s="165" t="s">
        <v>877</v>
      </c>
      <c r="L1456" s="166">
        <v>0</v>
      </c>
      <c r="M1456" s="166">
        <v>30</v>
      </c>
      <c r="N1456" s="166">
        <v>30</v>
      </c>
      <c r="O1456" s="166">
        <v>656</v>
      </c>
      <c r="P1456" s="166">
        <v>656</v>
      </c>
      <c r="Q1456" s="81" t="s">
        <v>155</v>
      </c>
      <c r="R1456" s="165" t="s">
        <v>1905</v>
      </c>
      <c r="S1456" s="81" t="s">
        <v>1906</v>
      </c>
      <c r="W1456" s="81" t="s">
        <v>114</v>
      </c>
      <c r="Y1456" s="81" t="s">
        <v>115</v>
      </c>
      <c r="Z1456" s="81" t="s">
        <v>116</v>
      </c>
      <c r="AA1456" s="81" t="s">
        <v>116</v>
      </c>
      <c r="AB1456" s="81" t="s">
        <v>117</v>
      </c>
      <c r="AC1456" s="166">
        <v>0</v>
      </c>
      <c r="AG1456" s="81" t="s">
        <v>154</v>
      </c>
      <c r="AH1456" s="81" t="s">
        <v>276</v>
      </c>
      <c r="AI1456" s="81" t="s">
        <v>3590</v>
      </c>
      <c r="AJ1456" s="81">
        <v>17320170</v>
      </c>
      <c r="AK1456" s="166">
        <v>0</v>
      </c>
      <c r="AM1456" s="166">
        <v>0</v>
      </c>
      <c r="AO1456" s="166">
        <v>0</v>
      </c>
      <c r="AP1456" s="166">
        <v>0</v>
      </c>
      <c r="AQ1456" s="166">
        <v>0</v>
      </c>
      <c r="AR1456" s="166">
        <v>0</v>
      </c>
      <c r="AS1456" s="166">
        <v>0</v>
      </c>
      <c r="AT1456" s="166">
        <v>0</v>
      </c>
      <c r="AU1456" s="166">
        <v>30</v>
      </c>
      <c r="AV1456" s="166">
        <v>0</v>
      </c>
      <c r="AW1456" s="166">
        <v>0</v>
      </c>
      <c r="AX1456" s="166">
        <v>0</v>
      </c>
      <c r="AY1456" s="166">
        <v>0</v>
      </c>
      <c r="AZ1456" s="166">
        <v>0</v>
      </c>
      <c r="BA1456" s="166">
        <v>0</v>
      </c>
      <c r="BB1456" s="166">
        <v>30</v>
      </c>
      <c r="BC1456" s="166">
        <v>0</v>
      </c>
      <c r="BD1456" s="166">
        <v>0</v>
      </c>
      <c r="BE1456" s="166">
        <v>0</v>
      </c>
      <c r="BF1456" s="166">
        <v>0</v>
      </c>
      <c r="BG1456" s="166">
        <v>0</v>
      </c>
      <c r="BH1456" s="166">
        <v>0</v>
      </c>
      <c r="BI1456" s="166">
        <v>0</v>
      </c>
      <c r="BJ1456" s="166">
        <v>0</v>
      </c>
      <c r="BK1456" s="166">
        <v>0</v>
      </c>
      <c r="BL1456" s="166">
        <v>0</v>
      </c>
      <c r="BM1456" s="166">
        <v>0</v>
      </c>
      <c r="BN1456" s="166">
        <v>0</v>
      </c>
      <c r="BO1456" s="166">
        <v>0</v>
      </c>
      <c r="BP1456" s="166">
        <v>0</v>
      </c>
      <c r="BQ1456" s="81" t="s">
        <v>1759</v>
      </c>
      <c r="BZ1456" s="81" t="s">
        <v>155</v>
      </c>
      <c r="CA1456" s="81">
        <v>11</v>
      </c>
      <c r="CC1456" s="167">
        <v>0</v>
      </c>
      <c r="CD1456" s="167">
        <v>0</v>
      </c>
      <c r="CE1456" s="167">
        <f>$N1456/10</f>
        <v>3</v>
      </c>
      <c r="CF1456" s="167">
        <f>$N1456/10</f>
        <v>3</v>
      </c>
      <c r="CG1456" s="167">
        <f>$N1456/10</f>
        <v>3</v>
      </c>
      <c r="CH1456" s="167">
        <f>$N1456/10</f>
        <v>3</v>
      </c>
      <c r="CI1456" s="167">
        <f>$N1456/10</f>
        <v>3</v>
      </c>
      <c r="CJ1456" s="167">
        <f>$N1456/10</f>
        <v>3</v>
      </c>
      <c r="CK1456" s="167">
        <f>$N1456/10</f>
        <v>3</v>
      </c>
      <c r="CL1456" s="167">
        <f>$N1456/10</f>
        <v>3</v>
      </c>
      <c r="CM1456" s="167">
        <f>$N1456/10</f>
        <v>3</v>
      </c>
      <c r="CN1456" s="167">
        <f>$N1456/10</f>
        <v>3</v>
      </c>
      <c r="CO1456" s="167">
        <v>0</v>
      </c>
      <c r="CP1456" s="167">
        <v>0</v>
      </c>
      <c r="CQ1456" s="167">
        <v>0</v>
      </c>
      <c r="CR1456" s="167">
        <v>0</v>
      </c>
      <c r="CS1456" s="167">
        <v>0</v>
      </c>
      <c r="CT1456" s="167">
        <v>0</v>
      </c>
      <c r="CU1456" s="167">
        <v>0</v>
      </c>
      <c r="CV1456" s="167">
        <v>0</v>
      </c>
      <c r="CW1456" s="167">
        <v>0</v>
      </c>
      <c r="CX1456" s="167">
        <f>SUM(CD1456:CH1456)</f>
        <v>12</v>
      </c>
      <c r="CY1456" s="167">
        <f>SUM(CD1456:CM1456)</f>
        <v>27</v>
      </c>
    </row>
    <row r="1457" spans="1:103" ht="12.75" customHeight="1" x14ac:dyDescent="0.2">
      <c r="A1457" s="81">
        <v>6904</v>
      </c>
      <c r="B1457" s="165" t="s">
        <v>1902</v>
      </c>
      <c r="C1457" s="165" t="s">
        <v>3591</v>
      </c>
      <c r="E1457" s="165" t="s">
        <v>3592</v>
      </c>
      <c r="F1457" s="165" t="s">
        <v>3535</v>
      </c>
      <c r="G1457" s="81">
        <v>525354</v>
      </c>
      <c r="H1457" s="81">
        <v>174734</v>
      </c>
      <c r="I1457" s="165" t="s">
        <v>251</v>
      </c>
      <c r="L1457" s="166">
        <v>0</v>
      </c>
      <c r="M1457" s="166">
        <v>8</v>
      </c>
      <c r="N1457" s="166">
        <v>8</v>
      </c>
      <c r="O1457" s="166">
        <v>64</v>
      </c>
      <c r="P1457" s="166">
        <v>64</v>
      </c>
      <c r="Q1457" s="81" t="s">
        <v>155</v>
      </c>
      <c r="R1457" s="165" t="s">
        <v>1905</v>
      </c>
      <c r="S1457" s="81" t="s">
        <v>1906</v>
      </c>
      <c r="W1457" s="81" t="s">
        <v>114</v>
      </c>
      <c r="Y1457" s="81" t="s">
        <v>115</v>
      </c>
      <c r="Z1457" s="81" t="s">
        <v>116</v>
      </c>
      <c r="AA1457" s="81" t="s">
        <v>117</v>
      </c>
      <c r="AB1457" s="81" t="s">
        <v>218</v>
      </c>
      <c r="AC1457" s="166">
        <v>0</v>
      </c>
      <c r="AG1457" s="81" t="s">
        <v>74</v>
      </c>
      <c r="AH1457" s="81" t="s">
        <v>990</v>
      </c>
      <c r="AJ1457" s="81">
        <v>17320284</v>
      </c>
      <c r="AK1457" s="166">
        <v>0</v>
      </c>
      <c r="AM1457" s="166">
        <v>0</v>
      </c>
      <c r="AO1457" s="166">
        <v>0</v>
      </c>
      <c r="AP1457" s="166">
        <v>0</v>
      </c>
      <c r="AQ1457" s="166">
        <v>0</v>
      </c>
      <c r="AR1457" s="166">
        <v>0</v>
      </c>
      <c r="AS1457" s="166">
        <v>0</v>
      </c>
      <c r="AT1457" s="166">
        <v>0</v>
      </c>
      <c r="AU1457" s="166">
        <v>8</v>
      </c>
      <c r="AV1457" s="166">
        <v>0</v>
      </c>
      <c r="AW1457" s="166">
        <v>0</v>
      </c>
      <c r="AX1457" s="166">
        <v>0</v>
      </c>
      <c r="AY1457" s="166">
        <v>0</v>
      </c>
      <c r="AZ1457" s="166">
        <v>0</v>
      </c>
      <c r="BA1457" s="166">
        <v>0</v>
      </c>
      <c r="BB1457" s="166">
        <v>8</v>
      </c>
      <c r="BC1457" s="166">
        <v>0</v>
      </c>
      <c r="BD1457" s="166">
        <v>0</v>
      </c>
      <c r="BE1457" s="166">
        <v>0</v>
      </c>
      <c r="BF1457" s="166">
        <v>0</v>
      </c>
      <c r="BG1457" s="166">
        <v>0</v>
      </c>
      <c r="BH1457" s="166">
        <v>0</v>
      </c>
      <c r="BI1457" s="166">
        <v>0</v>
      </c>
      <c r="BJ1457" s="166">
        <v>0</v>
      </c>
      <c r="BK1457" s="166">
        <v>0</v>
      </c>
      <c r="BL1457" s="166">
        <v>0</v>
      </c>
      <c r="BM1457" s="166">
        <v>0</v>
      </c>
      <c r="BN1457" s="166">
        <v>0</v>
      </c>
      <c r="BO1457" s="166">
        <v>0</v>
      </c>
      <c r="BP1457" s="166">
        <v>0</v>
      </c>
      <c r="BQ1457" s="81" t="s">
        <v>1758</v>
      </c>
      <c r="BR1457" s="81" t="s">
        <v>202</v>
      </c>
      <c r="BT1457" s="81" t="s">
        <v>155</v>
      </c>
      <c r="BZ1457" s="81" t="s">
        <v>155</v>
      </c>
      <c r="CA1457" s="81">
        <v>13</v>
      </c>
      <c r="CC1457" s="167">
        <v>0</v>
      </c>
      <c r="CD1457" s="167">
        <v>0</v>
      </c>
      <c r="CE1457" s="167">
        <f>$N1457/10</f>
        <v>0.8</v>
      </c>
      <c r="CF1457" s="167">
        <f>$N1457/10</f>
        <v>0.8</v>
      </c>
      <c r="CG1457" s="167">
        <f>$N1457/10</f>
        <v>0.8</v>
      </c>
      <c r="CH1457" s="167">
        <f>$N1457/10</f>
        <v>0.8</v>
      </c>
      <c r="CI1457" s="167">
        <f>$N1457/10</f>
        <v>0.8</v>
      </c>
      <c r="CJ1457" s="167">
        <f>$N1457/10</f>
        <v>0.8</v>
      </c>
      <c r="CK1457" s="167">
        <f>$N1457/10</f>
        <v>0.8</v>
      </c>
      <c r="CL1457" s="167">
        <f>$N1457/10</f>
        <v>0.8</v>
      </c>
      <c r="CM1457" s="167">
        <f>$N1457/10</f>
        <v>0.8</v>
      </c>
      <c r="CN1457" s="167">
        <f>$N1457/10</f>
        <v>0.8</v>
      </c>
      <c r="CO1457" s="167">
        <v>0</v>
      </c>
      <c r="CP1457" s="167">
        <v>0</v>
      </c>
      <c r="CQ1457" s="167">
        <v>0</v>
      </c>
      <c r="CR1457" s="167">
        <v>0</v>
      </c>
      <c r="CS1457" s="167">
        <v>0</v>
      </c>
      <c r="CT1457" s="167">
        <v>0</v>
      </c>
      <c r="CU1457" s="167">
        <v>0</v>
      </c>
      <c r="CV1457" s="167">
        <v>0</v>
      </c>
      <c r="CW1457" s="167">
        <v>0</v>
      </c>
      <c r="CX1457" s="167">
        <f>SUM(CD1457:CH1457)</f>
        <v>3.2</v>
      </c>
      <c r="CY1457" s="167">
        <f>SUM(CD1457:CM1457)</f>
        <v>7.1999999999999993</v>
      </c>
    </row>
    <row r="1458" spans="1:103" ht="12.75" customHeight="1" x14ac:dyDescent="0.2">
      <c r="A1458" s="81">
        <v>6904</v>
      </c>
      <c r="B1458" s="165" t="s">
        <v>1902</v>
      </c>
      <c r="C1458" s="165" t="s">
        <v>3591</v>
      </c>
      <c r="E1458" s="165" t="s">
        <v>3592</v>
      </c>
      <c r="F1458" s="165" t="s">
        <v>1556</v>
      </c>
      <c r="G1458" s="81">
        <v>525354</v>
      </c>
      <c r="H1458" s="81">
        <v>174734</v>
      </c>
      <c r="I1458" s="165" t="s">
        <v>251</v>
      </c>
      <c r="L1458" s="166">
        <v>0</v>
      </c>
      <c r="M1458" s="166">
        <v>43</v>
      </c>
      <c r="N1458" s="166">
        <v>43</v>
      </c>
      <c r="O1458" s="166">
        <v>64</v>
      </c>
      <c r="P1458" s="166">
        <v>64</v>
      </c>
      <c r="Q1458" s="81" t="s">
        <v>155</v>
      </c>
      <c r="R1458" s="165" t="s">
        <v>1905</v>
      </c>
      <c r="S1458" s="81" t="s">
        <v>1906</v>
      </c>
      <c r="W1458" s="81" t="s">
        <v>114</v>
      </c>
      <c r="Y1458" s="81" t="s">
        <v>115</v>
      </c>
      <c r="Z1458" s="81" t="s">
        <v>116</v>
      </c>
      <c r="AA1458" s="81" t="s">
        <v>116</v>
      </c>
      <c r="AB1458" s="81" t="s">
        <v>117</v>
      </c>
      <c r="AC1458" s="166">
        <v>0</v>
      </c>
      <c r="AG1458" s="81" t="s">
        <v>238</v>
      </c>
      <c r="AH1458" s="81" t="s">
        <v>118</v>
      </c>
      <c r="AJ1458" s="81">
        <v>17320284</v>
      </c>
      <c r="AK1458" s="166">
        <v>0</v>
      </c>
      <c r="AM1458" s="166">
        <v>0</v>
      </c>
      <c r="AO1458" s="166">
        <v>0</v>
      </c>
      <c r="AP1458" s="166">
        <v>0</v>
      </c>
      <c r="AQ1458" s="166">
        <v>0</v>
      </c>
      <c r="AR1458" s="166">
        <v>0</v>
      </c>
      <c r="AS1458" s="166">
        <v>0</v>
      </c>
      <c r="AT1458" s="166">
        <v>0</v>
      </c>
      <c r="AU1458" s="166">
        <v>43</v>
      </c>
      <c r="AV1458" s="166">
        <v>0</v>
      </c>
      <c r="AW1458" s="166">
        <v>0</v>
      </c>
      <c r="AX1458" s="166">
        <v>0</v>
      </c>
      <c r="AY1458" s="166">
        <v>0</v>
      </c>
      <c r="AZ1458" s="166">
        <v>0</v>
      </c>
      <c r="BA1458" s="166">
        <v>0</v>
      </c>
      <c r="BB1458" s="166">
        <v>43</v>
      </c>
      <c r="BC1458" s="166">
        <v>0</v>
      </c>
      <c r="BD1458" s="166">
        <v>0</v>
      </c>
      <c r="BE1458" s="166">
        <v>0</v>
      </c>
      <c r="BF1458" s="166">
        <v>0</v>
      </c>
      <c r="BG1458" s="166">
        <v>0</v>
      </c>
      <c r="BH1458" s="166">
        <v>0</v>
      </c>
      <c r="BI1458" s="166">
        <v>0</v>
      </c>
      <c r="BJ1458" s="166">
        <v>0</v>
      </c>
      <c r="BK1458" s="166">
        <v>0</v>
      </c>
      <c r="BL1458" s="166">
        <v>0</v>
      </c>
      <c r="BM1458" s="166">
        <v>0</v>
      </c>
      <c r="BN1458" s="166">
        <v>0</v>
      </c>
      <c r="BO1458" s="166">
        <v>0</v>
      </c>
      <c r="BP1458" s="166">
        <v>0</v>
      </c>
      <c r="BQ1458" s="81" t="s">
        <v>1758</v>
      </c>
      <c r="BR1458" s="81" t="s">
        <v>202</v>
      </c>
      <c r="BT1458" s="81" t="s">
        <v>155</v>
      </c>
      <c r="BZ1458" s="81" t="s">
        <v>155</v>
      </c>
      <c r="CA1458" s="81">
        <v>13</v>
      </c>
      <c r="CC1458" s="167">
        <v>0</v>
      </c>
      <c r="CD1458" s="167">
        <v>0</v>
      </c>
      <c r="CE1458" s="167">
        <f>$N1458/10</f>
        <v>4.3</v>
      </c>
      <c r="CF1458" s="167">
        <f>$N1458/10</f>
        <v>4.3</v>
      </c>
      <c r="CG1458" s="167">
        <f>$N1458/10</f>
        <v>4.3</v>
      </c>
      <c r="CH1458" s="167">
        <f>$N1458/10</f>
        <v>4.3</v>
      </c>
      <c r="CI1458" s="167">
        <f>$N1458/10</f>
        <v>4.3</v>
      </c>
      <c r="CJ1458" s="167">
        <f>$N1458/10</f>
        <v>4.3</v>
      </c>
      <c r="CK1458" s="167">
        <f>$N1458/10</f>
        <v>4.3</v>
      </c>
      <c r="CL1458" s="167">
        <f>$N1458/10</f>
        <v>4.3</v>
      </c>
      <c r="CM1458" s="167">
        <f>$N1458/10</f>
        <v>4.3</v>
      </c>
      <c r="CN1458" s="167">
        <f>$N1458/10</f>
        <v>4.3</v>
      </c>
      <c r="CO1458" s="167">
        <v>0</v>
      </c>
      <c r="CP1458" s="167">
        <v>0</v>
      </c>
      <c r="CQ1458" s="167">
        <v>0</v>
      </c>
      <c r="CR1458" s="167">
        <v>0</v>
      </c>
      <c r="CS1458" s="167">
        <v>0</v>
      </c>
      <c r="CT1458" s="167">
        <v>0</v>
      </c>
      <c r="CU1458" s="167">
        <v>0</v>
      </c>
      <c r="CV1458" s="167">
        <v>0</v>
      </c>
      <c r="CW1458" s="167">
        <v>0</v>
      </c>
      <c r="CX1458" s="167">
        <f>SUM(CD1458:CH1458)</f>
        <v>17.2</v>
      </c>
      <c r="CY1458" s="167">
        <f>SUM(CD1458:CM1458)</f>
        <v>38.699999999999996</v>
      </c>
    </row>
    <row r="1459" spans="1:103" ht="12.75" customHeight="1" x14ac:dyDescent="0.2">
      <c r="A1459" s="81">
        <v>6904</v>
      </c>
      <c r="B1459" s="165" t="s">
        <v>1902</v>
      </c>
      <c r="C1459" s="165" t="s">
        <v>3591</v>
      </c>
      <c r="E1459" s="165" t="s">
        <v>3592</v>
      </c>
      <c r="F1459" s="165" t="s">
        <v>3536</v>
      </c>
      <c r="G1459" s="81">
        <v>525354</v>
      </c>
      <c r="H1459" s="81">
        <v>174734</v>
      </c>
      <c r="I1459" s="165" t="s">
        <v>251</v>
      </c>
      <c r="L1459" s="166">
        <v>0</v>
      </c>
      <c r="M1459" s="166">
        <v>13</v>
      </c>
      <c r="N1459" s="166">
        <v>13</v>
      </c>
      <c r="O1459" s="166">
        <v>64</v>
      </c>
      <c r="P1459" s="166">
        <v>64</v>
      </c>
      <c r="Q1459" s="81" t="s">
        <v>155</v>
      </c>
      <c r="R1459" s="165" t="s">
        <v>1905</v>
      </c>
      <c r="S1459" s="81" t="s">
        <v>1906</v>
      </c>
      <c r="W1459" s="81" t="s">
        <v>114</v>
      </c>
      <c r="Y1459" s="81" t="s">
        <v>115</v>
      </c>
      <c r="Z1459" s="81" t="s">
        <v>116</v>
      </c>
      <c r="AA1459" s="81" t="s">
        <v>116</v>
      </c>
      <c r="AB1459" s="81" t="s">
        <v>117</v>
      </c>
      <c r="AC1459" s="166">
        <v>0</v>
      </c>
      <c r="AG1459" s="81" t="s">
        <v>154</v>
      </c>
      <c r="AH1459" s="81" t="s">
        <v>276</v>
      </c>
      <c r="AJ1459" s="81">
        <v>17320284</v>
      </c>
      <c r="AK1459" s="166">
        <v>0</v>
      </c>
      <c r="AM1459" s="166">
        <v>0</v>
      </c>
      <c r="AO1459" s="166">
        <v>0</v>
      </c>
      <c r="AP1459" s="166">
        <v>0</v>
      </c>
      <c r="AQ1459" s="166">
        <v>0</v>
      </c>
      <c r="AR1459" s="166">
        <v>0</v>
      </c>
      <c r="AS1459" s="166">
        <v>0</v>
      </c>
      <c r="AT1459" s="166">
        <v>0</v>
      </c>
      <c r="AU1459" s="166">
        <v>13</v>
      </c>
      <c r="AV1459" s="166">
        <v>0</v>
      </c>
      <c r="AW1459" s="166">
        <v>0</v>
      </c>
      <c r="AX1459" s="166">
        <v>0</v>
      </c>
      <c r="AY1459" s="166">
        <v>0</v>
      </c>
      <c r="AZ1459" s="166">
        <v>0</v>
      </c>
      <c r="BA1459" s="166">
        <v>0</v>
      </c>
      <c r="BB1459" s="166">
        <v>13</v>
      </c>
      <c r="BC1459" s="166">
        <v>0</v>
      </c>
      <c r="BD1459" s="166">
        <v>0</v>
      </c>
      <c r="BE1459" s="166">
        <v>0</v>
      </c>
      <c r="BF1459" s="166">
        <v>0</v>
      </c>
      <c r="BG1459" s="166">
        <v>0</v>
      </c>
      <c r="BH1459" s="166">
        <v>0</v>
      </c>
      <c r="BI1459" s="166">
        <v>0</v>
      </c>
      <c r="BJ1459" s="166">
        <v>0</v>
      </c>
      <c r="BK1459" s="166">
        <v>0</v>
      </c>
      <c r="BL1459" s="166">
        <v>0</v>
      </c>
      <c r="BM1459" s="166">
        <v>0</v>
      </c>
      <c r="BN1459" s="166">
        <v>0</v>
      </c>
      <c r="BO1459" s="166">
        <v>0</v>
      </c>
      <c r="BP1459" s="166">
        <v>0</v>
      </c>
      <c r="BQ1459" s="81" t="s">
        <v>1758</v>
      </c>
      <c r="BR1459" s="81" t="s">
        <v>202</v>
      </c>
      <c r="BT1459" s="81" t="s">
        <v>155</v>
      </c>
      <c r="BZ1459" s="81" t="s">
        <v>155</v>
      </c>
      <c r="CA1459" s="81">
        <v>13</v>
      </c>
      <c r="CC1459" s="167">
        <v>0</v>
      </c>
      <c r="CD1459" s="167">
        <v>0</v>
      </c>
      <c r="CE1459" s="167">
        <f>$N1459/10</f>
        <v>1.3</v>
      </c>
      <c r="CF1459" s="167">
        <f>$N1459/10</f>
        <v>1.3</v>
      </c>
      <c r="CG1459" s="167">
        <f>$N1459/10</f>
        <v>1.3</v>
      </c>
      <c r="CH1459" s="167">
        <f>$N1459/10</f>
        <v>1.3</v>
      </c>
      <c r="CI1459" s="167">
        <f>$N1459/10</f>
        <v>1.3</v>
      </c>
      <c r="CJ1459" s="167">
        <f>$N1459/10</f>
        <v>1.3</v>
      </c>
      <c r="CK1459" s="167">
        <f>$N1459/10</f>
        <v>1.3</v>
      </c>
      <c r="CL1459" s="167">
        <f>$N1459/10</f>
        <v>1.3</v>
      </c>
      <c r="CM1459" s="167">
        <f>$N1459/10</f>
        <v>1.3</v>
      </c>
      <c r="CN1459" s="167">
        <f>$N1459/10</f>
        <v>1.3</v>
      </c>
      <c r="CO1459" s="167">
        <v>0</v>
      </c>
      <c r="CP1459" s="167">
        <v>0</v>
      </c>
      <c r="CQ1459" s="167">
        <v>0</v>
      </c>
      <c r="CR1459" s="167">
        <v>0</v>
      </c>
      <c r="CS1459" s="167">
        <v>0</v>
      </c>
      <c r="CT1459" s="167">
        <v>0</v>
      </c>
      <c r="CU1459" s="167">
        <v>0</v>
      </c>
      <c r="CV1459" s="167">
        <v>0</v>
      </c>
      <c r="CW1459" s="167">
        <v>0</v>
      </c>
      <c r="CX1459" s="167">
        <f>SUM(CD1459:CH1459)</f>
        <v>5.2</v>
      </c>
      <c r="CY1459" s="167">
        <f>SUM(CD1459:CM1459)</f>
        <v>11.700000000000001</v>
      </c>
    </row>
    <row r="1460" spans="1:103" ht="12.75" customHeight="1" x14ac:dyDescent="0.2">
      <c r="A1460" s="81">
        <v>6905</v>
      </c>
      <c r="B1460" s="165" t="s">
        <v>1902</v>
      </c>
      <c r="C1460" s="165" t="s">
        <v>3593</v>
      </c>
      <c r="E1460" s="165" t="s">
        <v>3594</v>
      </c>
      <c r="F1460" s="165" t="s">
        <v>3535</v>
      </c>
      <c r="G1460" s="81">
        <v>525428</v>
      </c>
      <c r="H1460" s="81">
        <v>174978</v>
      </c>
      <c r="I1460" s="165" t="s">
        <v>251</v>
      </c>
      <c r="L1460" s="166">
        <v>0</v>
      </c>
      <c r="M1460" s="166">
        <v>33</v>
      </c>
      <c r="N1460" s="166">
        <v>33</v>
      </c>
      <c r="O1460" s="166">
        <v>252</v>
      </c>
      <c r="P1460" s="166">
        <v>252</v>
      </c>
      <c r="Q1460" s="81" t="s">
        <v>155</v>
      </c>
      <c r="R1460" s="165" t="s">
        <v>1905</v>
      </c>
      <c r="S1460" s="81" t="s">
        <v>1906</v>
      </c>
      <c r="W1460" s="81" t="s">
        <v>114</v>
      </c>
      <c r="Y1460" s="81" t="s">
        <v>115</v>
      </c>
      <c r="Z1460" s="81" t="s">
        <v>116</v>
      </c>
      <c r="AA1460" s="81" t="s">
        <v>116</v>
      </c>
      <c r="AB1460" s="81" t="s">
        <v>117</v>
      </c>
      <c r="AC1460" s="166">
        <v>0</v>
      </c>
      <c r="AG1460" s="81" t="s">
        <v>74</v>
      </c>
      <c r="AH1460" s="81" t="s">
        <v>990</v>
      </c>
      <c r="AJ1460" s="81">
        <v>17320057</v>
      </c>
      <c r="AK1460" s="166">
        <v>0</v>
      </c>
      <c r="AM1460" s="166">
        <v>0</v>
      </c>
      <c r="AO1460" s="166">
        <v>0</v>
      </c>
      <c r="AP1460" s="166">
        <v>0</v>
      </c>
      <c r="AQ1460" s="166">
        <v>0</v>
      </c>
      <c r="AR1460" s="166">
        <v>0</v>
      </c>
      <c r="AS1460" s="166">
        <v>0</v>
      </c>
      <c r="AT1460" s="166">
        <v>0</v>
      </c>
      <c r="AU1460" s="166">
        <v>33</v>
      </c>
      <c r="AV1460" s="166">
        <v>0</v>
      </c>
      <c r="AW1460" s="166">
        <v>0</v>
      </c>
      <c r="AX1460" s="166">
        <v>0</v>
      </c>
      <c r="AY1460" s="166">
        <v>0</v>
      </c>
      <c r="AZ1460" s="166">
        <v>0</v>
      </c>
      <c r="BA1460" s="166">
        <v>0</v>
      </c>
      <c r="BB1460" s="166">
        <v>33</v>
      </c>
      <c r="BC1460" s="166">
        <v>0</v>
      </c>
      <c r="BD1460" s="166">
        <v>0</v>
      </c>
      <c r="BE1460" s="166">
        <v>0</v>
      </c>
      <c r="BF1460" s="166">
        <v>0</v>
      </c>
      <c r="BG1460" s="166">
        <v>0</v>
      </c>
      <c r="BH1460" s="166">
        <v>0</v>
      </c>
      <c r="BI1460" s="166">
        <v>0</v>
      </c>
      <c r="BJ1460" s="166">
        <v>0</v>
      </c>
      <c r="BK1460" s="166">
        <v>0</v>
      </c>
      <c r="BL1460" s="166">
        <v>0</v>
      </c>
      <c r="BM1460" s="166">
        <v>0</v>
      </c>
      <c r="BN1460" s="166">
        <v>0</v>
      </c>
      <c r="BO1460" s="166">
        <v>0</v>
      </c>
      <c r="BP1460" s="166">
        <v>0</v>
      </c>
      <c r="BQ1460" s="81" t="s">
        <v>1758</v>
      </c>
      <c r="BT1460" s="81" t="s">
        <v>155</v>
      </c>
      <c r="BZ1460" s="81" t="s">
        <v>155</v>
      </c>
      <c r="CA1460" s="81">
        <v>13</v>
      </c>
      <c r="CC1460" s="167">
        <v>0</v>
      </c>
      <c r="CD1460" s="167">
        <v>0</v>
      </c>
      <c r="CE1460" s="167">
        <f>$N1460/15</f>
        <v>2.2000000000000002</v>
      </c>
      <c r="CF1460" s="167">
        <f>$N1460/15</f>
        <v>2.2000000000000002</v>
      </c>
      <c r="CG1460" s="167">
        <f>$N1460/15</f>
        <v>2.2000000000000002</v>
      </c>
      <c r="CH1460" s="167">
        <f>$N1460/15</f>
        <v>2.2000000000000002</v>
      </c>
      <c r="CI1460" s="167">
        <f>$N1460/15</f>
        <v>2.2000000000000002</v>
      </c>
      <c r="CJ1460" s="167">
        <f>$N1460/15</f>
        <v>2.2000000000000002</v>
      </c>
      <c r="CK1460" s="167">
        <f>$N1460/15</f>
        <v>2.2000000000000002</v>
      </c>
      <c r="CL1460" s="167">
        <f>$N1460/15</f>
        <v>2.2000000000000002</v>
      </c>
      <c r="CM1460" s="167">
        <f>$N1460/15</f>
        <v>2.2000000000000002</v>
      </c>
      <c r="CN1460" s="167">
        <f>$N1460/15</f>
        <v>2.2000000000000002</v>
      </c>
      <c r="CO1460" s="167">
        <f>$N1460/15</f>
        <v>2.2000000000000002</v>
      </c>
      <c r="CP1460" s="167">
        <f>$N1460/15</f>
        <v>2.2000000000000002</v>
      </c>
      <c r="CQ1460" s="167">
        <f>$N1460/15</f>
        <v>2.2000000000000002</v>
      </c>
      <c r="CR1460" s="167">
        <f>$N1460/15</f>
        <v>2.2000000000000002</v>
      </c>
      <c r="CS1460" s="167">
        <f>$N1460/15</f>
        <v>2.2000000000000002</v>
      </c>
      <c r="CT1460" s="167">
        <v>0</v>
      </c>
      <c r="CU1460" s="167">
        <v>0</v>
      </c>
      <c r="CV1460" s="167">
        <v>0</v>
      </c>
      <c r="CW1460" s="167">
        <v>0</v>
      </c>
      <c r="CX1460" s="167">
        <f>SUM(CD1460:CH1460)</f>
        <v>8.8000000000000007</v>
      </c>
      <c r="CY1460" s="167">
        <f>SUM(CD1460:CM1460)</f>
        <v>19.799999999999997</v>
      </c>
    </row>
    <row r="1461" spans="1:103" ht="12.75" customHeight="1" x14ac:dyDescent="0.2">
      <c r="A1461" s="81">
        <v>6905</v>
      </c>
      <c r="B1461" s="165" t="s">
        <v>1902</v>
      </c>
      <c r="C1461" s="165" t="s">
        <v>3593</v>
      </c>
      <c r="E1461" s="165" t="s">
        <v>3594</v>
      </c>
      <c r="F1461" s="165" t="s">
        <v>1556</v>
      </c>
      <c r="G1461" s="81">
        <v>525428</v>
      </c>
      <c r="H1461" s="81">
        <v>174978</v>
      </c>
      <c r="I1461" s="165" t="s">
        <v>251</v>
      </c>
      <c r="L1461" s="166">
        <v>0</v>
      </c>
      <c r="M1461" s="166">
        <v>169</v>
      </c>
      <c r="N1461" s="166">
        <v>169</v>
      </c>
      <c r="O1461" s="166">
        <v>252</v>
      </c>
      <c r="P1461" s="166">
        <v>252</v>
      </c>
      <c r="Q1461" s="81" t="s">
        <v>155</v>
      </c>
      <c r="R1461" s="165" t="s">
        <v>1905</v>
      </c>
      <c r="S1461" s="81" t="s">
        <v>1906</v>
      </c>
      <c r="W1461" s="81" t="s">
        <v>114</v>
      </c>
      <c r="Y1461" s="81" t="s">
        <v>115</v>
      </c>
      <c r="Z1461" s="81" t="s">
        <v>116</v>
      </c>
      <c r="AA1461" s="81" t="s">
        <v>116</v>
      </c>
      <c r="AB1461" s="81" t="s">
        <v>117</v>
      </c>
      <c r="AC1461" s="166">
        <v>0</v>
      </c>
      <c r="AG1461" s="81" t="s">
        <v>238</v>
      </c>
      <c r="AH1461" s="81" t="s">
        <v>118</v>
      </c>
      <c r="AJ1461" s="81">
        <v>17320057</v>
      </c>
      <c r="AK1461" s="166">
        <v>0</v>
      </c>
      <c r="AM1461" s="166">
        <v>0</v>
      </c>
      <c r="AO1461" s="166">
        <v>0</v>
      </c>
      <c r="AP1461" s="166">
        <v>0</v>
      </c>
      <c r="AQ1461" s="166">
        <v>0</v>
      </c>
      <c r="AR1461" s="166">
        <v>0</v>
      </c>
      <c r="AS1461" s="166">
        <v>0</v>
      </c>
      <c r="AT1461" s="166">
        <v>0</v>
      </c>
      <c r="AU1461" s="166">
        <v>169</v>
      </c>
      <c r="AV1461" s="166">
        <v>0</v>
      </c>
      <c r="AW1461" s="166">
        <v>0</v>
      </c>
      <c r="AX1461" s="166">
        <v>0</v>
      </c>
      <c r="AY1461" s="166">
        <v>0</v>
      </c>
      <c r="AZ1461" s="166">
        <v>0</v>
      </c>
      <c r="BA1461" s="166">
        <v>0</v>
      </c>
      <c r="BB1461" s="166">
        <v>169</v>
      </c>
      <c r="BC1461" s="166">
        <v>0</v>
      </c>
      <c r="BD1461" s="166">
        <v>0</v>
      </c>
      <c r="BE1461" s="166">
        <v>0</v>
      </c>
      <c r="BF1461" s="166">
        <v>0</v>
      </c>
      <c r="BG1461" s="166">
        <v>0</v>
      </c>
      <c r="BH1461" s="166">
        <v>0</v>
      </c>
      <c r="BI1461" s="166">
        <v>0</v>
      </c>
      <c r="BJ1461" s="166">
        <v>0</v>
      </c>
      <c r="BK1461" s="166">
        <v>0</v>
      </c>
      <c r="BL1461" s="166">
        <v>0</v>
      </c>
      <c r="BM1461" s="166">
        <v>0</v>
      </c>
      <c r="BN1461" s="166">
        <v>0</v>
      </c>
      <c r="BO1461" s="166">
        <v>0</v>
      </c>
      <c r="BP1461" s="166">
        <v>0</v>
      </c>
      <c r="BQ1461" s="81" t="s">
        <v>1758</v>
      </c>
      <c r="BT1461" s="81" t="s">
        <v>155</v>
      </c>
      <c r="BZ1461" s="81" t="s">
        <v>155</v>
      </c>
      <c r="CA1461" s="81">
        <v>13</v>
      </c>
      <c r="CC1461" s="167">
        <v>0</v>
      </c>
      <c r="CD1461" s="167">
        <v>0</v>
      </c>
      <c r="CE1461" s="167">
        <f>$N1461/15</f>
        <v>11.266666666666667</v>
      </c>
      <c r="CF1461" s="167">
        <f>$N1461/15</f>
        <v>11.266666666666667</v>
      </c>
      <c r="CG1461" s="167">
        <f>$N1461/15</f>
        <v>11.266666666666667</v>
      </c>
      <c r="CH1461" s="167">
        <f>$N1461/15</f>
        <v>11.266666666666667</v>
      </c>
      <c r="CI1461" s="167">
        <f>$N1461/15</f>
        <v>11.266666666666667</v>
      </c>
      <c r="CJ1461" s="167">
        <f>$N1461/15</f>
        <v>11.266666666666667</v>
      </c>
      <c r="CK1461" s="167">
        <f>$N1461/15</f>
        <v>11.266666666666667</v>
      </c>
      <c r="CL1461" s="167">
        <f>$N1461/15</f>
        <v>11.266666666666667</v>
      </c>
      <c r="CM1461" s="167">
        <f>$N1461/15</f>
        <v>11.266666666666667</v>
      </c>
      <c r="CN1461" s="167">
        <f>$N1461/15</f>
        <v>11.266666666666667</v>
      </c>
      <c r="CO1461" s="167">
        <f>$N1461/15</f>
        <v>11.266666666666667</v>
      </c>
      <c r="CP1461" s="167">
        <f>$N1461/15</f>
        <v>11.266666666666667</v>
      </c>
      <c r="CQ1461" s="167">
        <f>$N1461/15</f>
        <v>11.266666666666667</v>
      </c>
      <c r="CR1461" s="167">
        <f>$N1461/15</f>
        <v>11.266666666666667</v>
      </c>
      <c r="CS1461" s="167">
        <f>$N1461/15</f>
        <v>11.266666666666667</v>
      </c>
      <c r="CT1461" s="167">
        <v>0</v>
      </c>
      <c r="CU1461" s="167">
        <v>0</v>
      </c>
      <c r="CV1461" s="167">
        <v>0</v>
      </c>
      <c r="CW1461" s="167">
        <v>0</v>
      </c>
      <c r="CX1461" s="167">
        <f>SUM(CD1461:CH1461)</f>
        <v>45.06666666666667</v>
      </c>
      <c r="CY1461" s="167">
        <f>SUM(CD1461:CM1461)</f>
        <v>101.4</v>
      </c>
    </row>
    <row r="1462" spans="1:103" ht="12.75" customHeight="1" x14ac:dyDescent="0.2">
      <c r="A1462" s="81">
        <v>6905</v>
      </c>
      <c r="B1462" s="165" t="s">
        <v>1902</v>
      </c>
      <c r="C1462" s="165" t="s">
        <v>3593</v>
      </c>
      <c r="E1462" s="165" t="s">
        <v>3594</v>
      </c>
      <c r="F1462" s="165" t="s">
        <v>3536</v>
      </c>
      <c r="G1462" s="81">
        <v>525428</v>
      </c>
      <c r="H1462" s="81">
        <v>174978</v>
      </c>
      <c r="I1462" s="165" t="s">
        <v>251</v>
      </c>
      <c r="L1462" s="166">
        <v>0</v>
      </c>
      <c r="M1462" s="166">
        <v>50</v>
      </c>
      <c r="N1462" s="166">
        <v>50</v>
      </c>
      <c r="O1462" s="166">
        <v>252</v>
      </c>
      <c r="P1462" s="166">
        <v>252</v>
      </c>
      <c r="Q1462" s="81" t="s">
        <v>155</v>
      </c>
      <c r="R1462" s="165" t="s">
        <v>1905</v>
      </c>
      <c r="S1462" s="81" t="s">
        <v>1906</v>
      </c>
      <c r="W1462" s="81" t="s">
        <v>114</v>
      </c>
      <c r="Y1462" s="81" t="s">
        <v>115</v>
      </c>
      <c r="Z1462" s="81" t="s">
        <v>116</v>
      </c>
      <c r="AA1462" s="81" t="s">
        <v>116</v>
      </c>
      <c r="AB1462" s="81" t="s">
        <v>117</v>
      </c>
      <c r="AC1462" s="166">
        <v>0</v>
      </c>
      <c r="AG1462" s="81" t="s">
        <v>154</v>
      </c>
      <c r="AH1462" s="81" t="s">
        <v>276</v>
      </c>
      <c r="AJ1462" s="81">
        <v>17320057</v>
      </c>
      <c r="AK1462" s="166">
        <v>0</v>
      </c>
      <c r="AM1462" s="166">
        <v>0</v>
      </c>
      <c r="AO1462" s="166">
        <v>0</v>
      </c>
      <c r="AP1462" s="166">
        <v>0</v>
      </c>
      <c r="AQ1462" s="166">
        <v>0</v>
      </c>
      <c r="AR1462" s="166">
        <v>0</v>
      </c>
      <c r="AS1462" s="166">
        <v>0</v>
      </c>
      <c r="AT1462" s="166">
        <v>0</v>
      </c>
      <c r="AU1462" s="166">
        <v>50</v>
      </c>
      <c r="AV1462" s="166">
        <v>0</v>
      </c>
      <c r="AW1462" s="166">
        <v>0</v>
      </c>
      <c r="AX1462" s="166">
        <v>0</v>
      </c>
      <c r="AY1462" s="166">
        <v>0</v>
      </c>
      <c r="AZ1462" s="166">
        <v>0</v>
      </c>
      <c r="BA1462" s="166">
        <v>0</v>
      </c>
      <c r="BB1462" s="166">
        <v>50</v>
      </c>
      <c r="BC1462" s="166">
        <v>0</v>
      </c>
      <c r="BD1462" s="166">
        <v>0</v>
      </c>
      <c r="BE1462" s="166">
        <v>0</v>
      </c>
      <c r="BF1462" s="166">
        <v>0</v>
      </c>
      <c r="BG1462" s="166">
        <v>0</v>
      </c>
      <c r="BH1462" s="166">
        <v>0</v>
      </c>
      <c r="BI1462" s="166">
        <v>0</v>
      </c>
      <c r="BJ1462" s="166">
        <v>0</v>
      </c>
      <c r="BK1462" s="166">
        <v>0</v>
      </c>
      <c r="BL1462" s="166">
        <v>0</v>
      </c>
      <c r="BM1462" s="166">
        <v>0</v>
      </c>
      <c r="BN1462" s="166">
        <v>0</v>
      </c>
      <c r="BO1462" s="166">
        <v>0</v>
      </c>
      <c r="BP1462" s="166">
        <v>0</v>
      </c>
      <c r="BQ1462" s="81" t="s">
        <v>1758</v>
      </c>
      <c r="BT1462" s="81" t="s">
        <v>155</v>
      </c>
      <c r="BZ1462" s="81" t="s">
        <v>155</v>
      </c>
      <c r="CA1462" s="81">
        <v>13</v>
      </c>
      <c r="CC1462" s="167">
        <v>0</v>
      </c>
      <c r="CD1462" s="167">
        <v>0</v>
      </c>
      <c r="CE1462" s="167">
        <f>$N1462/15</f>
        <v>3.3333333333333335</v>
      </c>
      <c r="CF1462" s="167">
        <f>$N1462/15</f>
        <v>3.3333333333333335</v>
      </c>
      <c r="CG1462" s="167">
        <f>$N1462/15</f>
        <v>3.3333333333333335</v>
      </c>
      <c r="CH1462" s="167">
        <f>$N1462/15</f>
        <v>3.3333333333333335</v>
      </c>
      <c r="CI1462" s="167">
        <f>$N1462/15</f>
        <v>3.3333333333333335</v>
      </c>
      <c r="CJ1462" s="167">
        <f>$N1462/15</f>
        <v>3.3333333333333335</v>
      </c>
      <c r="CK1462" s="167">
        <f>$N1462/15</f>
        <v>3.3333333333333335</v>
      </c>
      <c r="CL1462" s="167">
        <f>$N1462/15</f>
        <v>3.3333333333333335</v>
      </c>
      <c r="CM1462" s="167">
        <f>$N1462/15</f>
        <v>3.3333333333333335</v>
      </c>
      <c r="CN1462" s="167">
        <f>$N1462/15</f>
        <v>3.3333333333333335</v>
      </c>
      <c r="CO1462" s="167">
        <f>$N1462/15</f>
        <v>3.3333333333333335</v>
      </c>
      <c r="CP1462" s="167">
        <f>$N1462/15</f>
        <v>3.3333333333333335</v>
      </c>
      <c r="CQ1462" s="167">
        <f>$N1462/15</f>
        <v>3.3333333333333335</v>
      </c>
      <c r="CR1462" s="167">
        <f>$N1462/15</f>
        <v>3.3333333333333335</v>
      </c>
      <c r="CS1462" s="167">
        <f>$N1462/15</f>
        <v>3.3333333333333335</v>
      </c>
      <c r="CT1462" s="167">
        <v>0</v>
      </c>
      <c r="CU1462" s="167">
        <v>0</v>
      </c>
      <c r="CV1462" s="167">
        <v>0</v>
      </c>
      <c r="CW1462" s="167">
        <v>0</v>
      </c>
      <c r="CX1462" s="167">
        <f>SUM(CD1462:CH1462)</f>
        <v>13.333333333333334</v>
      </c>
      <c r="CY1462" s="167">
        <f>SUM(CD1462:CM1462)</f>
        <v>29.999999999999996</v>
      </c>
    </row>
    <row r="1463" spans="1:103" ht="12.75" customHeight="1" x14ac:dyDescent="0.2">
      <c r="A1463" s="81">
        <v>6906</v>
      </c>
      <c r="B1463" s="165" t="s">
        <v>1902</v>
      </c>
      <c r="C1463" s="165" t="s">
        <v>3595</v>
      </c>
      <c r="E1463" s="165" t="s">
        <v>3596</v>
      </c>
      <c r="F1463" s="165" t="s">
        <v>3535</v>
      </c>
      <c r="G1463" s="81">
        <v>525504</v>
      </c>
      <c r="H1463" s="81">
        <v>174901</v>
      </c>
      <c r="I1463" s="165" t="s">
        <v>251</v>
      </c>
      <c r="L1463" s="166">
        <v>0</v>
      </c>
      <c r="M1463" s="166">
        <v>1</v>
      </c>
      <c r="N1463" s="166">
        <v>1</v>
      </c>
      <c r="O1463" s="166">
        <v>10</v>
      </c>
      <c r="P1463" s="166">
        <v>10</v>
      </c>
      <c r="Q1463" s="81" t="s">
        <v>155</v>
      </c>
      <c r="R1463" s="165" t="s">
        <v>1905</v>
      </c>
      <c r="S1463" s="81" t="s">
        <v>1906</v>
      </c>
      <c r="W1463" s="81" t="s">
        <v>114</v>
      </c>
      <c r="Y1463" s="81" t="s">
        <v>115</v>
      </c>
      <c r="Z1463" s="81" t="s">
        <v>116</v>
      </c>
      <c r="AA1463" s="81" t="s">
        <v>117</v>
      </c>
      <c r="AB1463" s="81" t="s">
        <v>218</v>
      </c>
      <c r="AC1463" s="166">
        <v>0</v>
      </c>
      <c r="AG1463" s="81" t="s">
        <v>74</v>
      </c>
      <c r="AH1463" s="81" t="s">
        <v>990</v>
      </c>
      <c r="AJ1463" s="81">
        <v>17320063</v>
      </c>
      <c r="AK1463" s="166">
        <v>0</v>
      </c>
      <c r="AM1463" s="166">
        <v>0</v>
      </c>
      <c r="AO1463" s="166">
        <v>0</v>
      </c>
      <c r="AP1463" s="166">
        <v>0</v>
      </c>
      <c r="AQ1463" s="166">
        <v>0</v>
      </c>
      <c r="AR1463" s="166">
        <v>0</v>
      </c>
      <c r="AS1463" s="166">
        <v>0</v>
      </c>
      <c r="AT1463" s="166">
        <v>0</v>
      </c>
      <c r="AU1463" s="166">
        <v>1</v>
      </c>
      <c r="AV1463" s="166">
        <v>0</v>
      </c>
      <c r="AW1463" s="166">
        <v>0</v>
      </c>
      <c r="AX1463" s="166">
        <v>0</v>
      </c>
      <c r="AY1463" s="166">
        <v>0</v>
      </c>
      <c r="AZ1463" s="166">
        <v>0</v>
      </c>
      <c r="BA1463" s="166">
        <v>0</v>
      </c>
      <c r="BB1463" s="166">
        <v>1</v>
      </c>
      <c r="BC1463" s="166">
        <v>0</v>
      </c>
      <c r="BD1463" s="166">
        <v>0</v>
      </c>
      <c r="BE1463" s="166">
        <v>0</v>
      </c>
      <c r="BF1463" s="166">
        <v>0</v>
      </c>
      <c r="BG1463" s="166">
        <v>0</v>
      </c>
      <c r="BH1463" s="166">
        <v>0</v>
      </c>
      <c r="BI1463" s="166">
        <v>0</v>
      </c>
      <c r="BJ1463" s="166">
        <v>0</v>
      </c>
      <c r="BK1463" s="166">
        <v>0</v>
      </c>
      <c r="BL1463" s="166">
        <v>0</v>
      </c>
      <c r="BM1463" s="166">
        <v>0</v>
      </c>
      <c r="BN1463" s="166">
        <v>0</v>
      </c>
      <c r="BO1463" s="166">
        <v>0</v>
      </c>
      <c r="BP1463" s="166">
        <v>0</v>
      </c>
      <c r="BQ1463" s="81" t="s">
        <v>1758</v>
      </c>
      <c r="BT1463" s="81" t="s">
        <v>155</v>
      </c>
      <c r="BZ1463" s="81" t="s">
        <v>155</v>
      </c>
      <c r="CA1463" s="81">
        <v>13</v>
      </c>
      <c r="CC1463" s="167">
        <v>0</v>
      </c>
      <c r="CD1463" s="167">
        <v>0</v>
      </c>
      <c r="CE1463" s="167">
        <f>$N1463/15</f>
        <v>6.6666666666666666E-2</v>
      </c>
      <c r="CF1463" s="167">
        <f>$N1463/15</f>
        <v>6.6666666666666666E-2</v>
      </c>
      <c r="CG1463" s="167">
        <f>$N1463/15</f>
        <v>6.6666666666666666E-2</v>
      </c>
      <c r="CH1463" s="167">
        <f>$N1463/15</f>
        <v>6.6666666666666666E-2</v>
      </c>
      <c r="CI1463" s="167">
        <f>$N1463/15</f>
        <v>6.6666666666666666E-2</v>
      </c>
      <c r="CJ1463" s="167">
        <f>$N1463/15</f>
        <v>6.6666666666666666E-2</v>
      </c>
      <c r="CK1463" s="167">
        <f>$N1463/15</f>
        <v>6.6666666666666666E-2</v>
      </c>
      <c r="CL1463" s="167">
        <f>$N1463/15</f>
        <v>6.6666666666666666E-2</v>
      </c>
      <c r="CM1463" s="167">
        <f>$N1463/15</f>
        <v>6.6666666666666666E-2</v>
      </c>
      <c r="CN1463" s="167">
        <f>$N1463/15</f>
        <v>6.6666666666666666E-2</v>
      </c>
      <c r="CO1463" s="167">
        <f>$N1463/15</f>
        <v>6.6666666666666666E-2</v>
      </c>
      <c r="CP1463" s="167">
        <f>$N1463/15</f>
        <v>6.6666666666666666E-2</v>
      </c>
      <c r="CQ1463" s="167">
        <f>$N1463/15</f>
        <v>6.6666666666666666E-2</v>
      </c>
      <c r="CR1463" s="167">
        <f>$N1463/15</f>
        <v>6.6666666666666666E-2</v>
      </c>
      <c r="CS1463" s="167">
        <f>$N1463/15</f>
        <v>6.6666666666666666E-2</v>
      </c>
      <c r="CT1463" s="167">
        <v>0</v>
      </c>
      <c r="CU1463" s="167">
        <v>0</v>
      </c>
      <c r="CV1463" s="167">
        <v>0</v>
      </c>
      <c r="CW1463" s="167">
        <v>0</v>
      </c>
      <c r="CX1463" s="167">
        <f>SUM(CD1463:CH1463)</f>
        <v>0.26666666666666666</v>
      </c>
      <c r="CY1463" s="167">
        <f>SUM(CD1463:CM1463)</f>
        <v>0.6</v>
      </c>
    </row>
    <row r="1464" spans="1:103" ht="12.75" customHeight="1" x14ac:dyDescent="0.2">
      <c r="A1464" s="81">
        <v>6906</v>
      </c>
      <c r="B1464" s="165" t="s">
        <v>1902</v>
      </c>
      <c r="C1464" s="165" t="s">
        <v>3595</v>
      </c>
      <c r="E1464" s="165" t="s">
        <v>3596</v>
      </c>
      <c r="F1464" s="165" t="s">
        <v>1556</v>
      </c>
      <c r="G1464" s="81">
        <v>525504</v>
      </c>
      <c r="H1464" s="81">
        <v>174901</v>
      </c>
      <c r="I1464" s="165" t="s">
        <v>251</v>
      </c>
      <c r="L1464" s="166">
        <v>0</v>
      </c>
      <c r="M1464" s="166">
        <v>7</v>
      </c>
      <c r="N1464" s="166">
        <v>7</v>
      </c>
      <c r="O1464" s="166">
        <v>10</v>
      </c>
      <c r="P1464" s="166">
        <v>10</v>
      </c>
      <c r="Q1464" s="81" t="s">
        <v>155</v>
      </c>
      <c r="R1464" s="165" t="s">
        <v>1905</v>
      </c>
      <c r="S1464" s="81" t="s">
        <v>1906</v>
      </c>
      <c r="W1464" s="81" t="s">
        <v>114</v>
      </c>
      <c r="Y1464" s="81" t="s">
        <v>115</v>
      </c>
      <c r="Z1464" s="81" t="s">
        <v>116</v>
      </c>
      <c r="AA1464" s="81" t="s">
        <v>117</v>
      </c>
      <c r="AB1464" s="81" t="s">
        <v>218</v>
      </c>
      <c r="AC1464" s="166">
        <v>0</v>
      </c>
      <c r="AG1464" s="81" t="s">
        <v>238</v>
      </c>
      <c r="AH1464" s="81" t="s">
        <v>118</v>
      </c>
      <c r="AJ1464" s="81">
        <v>17320063</v>
      </c>
      <c r="AK1464" s="166">
        <v>0</v>
      </c>
      <c r="AM1464" s="166">
        <v>0</v>
      </c>
      <c r="AO1464" s="166">
        <v>0</v>
      </c>
      <c r="AP1464" s="166">
        <v>0</v>
      </c>
      <c r="AQ1464" s="166">
        <v>0</v>
      </c>
      <c r="AR1464" s="166">
        <v>0</v>
      </c>
      <c r="AS1464" s="166">
        <v>0</v>
      </c>
      <c r="AT1464" s="166">
        <v>0</v>
      </c>
      <c r="AU1464" s="166">
        <v>7</v>
      </c>
      <c r="AV1464" s="166">
        <v>0</v>
      </c>
      <c r="AW1464" s="166">
        <v>0</v>
      </c>
      <c r="AX1464" s="166">
        <v>0</v>
      </c>
      <c r="AY1464" s="166">
        <v>0</v>
      </c>
      <c r="AZ1464" s="166">
        <v>0</v>
      </c>
      <c r="BA1464" s="166">
        <v>0</v>
      </c>
      <c r="BB1464" s="166">
        <v>7</v>
      </c>
      <c r="BC1464" s="166">
        <v>0</v>
      </c>
      <c r="BD1464" s="166">
        <v>0</v>
      </c>
      <c r="BE1464" s="166">
        <v>0</v>
      </c>
      <c r="BF1464" s="166">
        <v>0</v>
      </c>
      <c r="BG1464" s="166">
        <v>0</v>
      </c>
      <c r="BH1464" s="166">
        <v>0</v>
      </c>
      <c r="BI1464" s="166">
        <v>0</v>
      </c>
      <c r="BJ1464" s="166">
        <v>0</v>
      </c>
      <c r="BK1464" s="166">
        <v>0</v>
      </c>
      <c r="BL1464" s="166">
        <v>0</v>
      </c>
      <c r="BM1464" s="166">
        <v>0</v>
      </c>
      <c r="BN1464" s="166">
        <v>0</v>
      </c>
      <c r="BO1464" s="166">
        <v>0</v>
      </c>
      <c r="BP1464" s="166">
        <v>0</v>
      </c>
      <c r="BQ1464" s="81" t="s">
        <v>1758</v>
      </c>
      <c r="BT1464" s="81" t="s">
        <v>155</v>
      </c>
      <c r="BZ1464" s="81" t="s">
        <v>155</v>
      </c>
      <c r="CA1464" s="81">
        <v>13</v>
      </c>
      <c r="CC1464" s="167">
        <v>0</v>
      </c>
      <c r="CD1464" s="167">
        <v>0</v>
      </c>
      <c r="CE1464" s="167">
        <f>$N1464/15</f>
        <v>0.46666666666666667</v>
      </c>
      <c r="CF1464" s="167">
        <f>$N1464/15</f>
        <v>0.46666666666666667</v>
      </c>
      <c r="CG1464" s="167">
        <f>$N1464/15</f>
        <v>0.46666666666666667</v>
      </c>
      <c r="CH1464" s="167">
        <f>$N1464/15</f>
        <v>0.46666666666666667</v>
      </c>
      <c r="CI1464" s="167">
        <f>$N1464/15</f>
        <v>0.46666666666666667</v>
      </c>
      <c r="CJ1464" s="167">
        <f>$N1464/15</f>
        <v>0.46666666666666667</v>
      </c>
      <c r="CK1464" s="167">
        <f>$N1464/15</f>
        <v>0.46666666666666667</v>
      </c>
      <c r="CL1464" s="167">
        <f>$N1464/15</f>
        <v>0.46666666666666667</v>
      </c>
      <c r="CM1464" s="167">
        <f>$N1464/15</f>
        <v>0.46666666666666667</v>
      </c>
      <c r="CN1464" s="167">
        <f>$N1464/15</f>
        <v>0.46666666666666667</v>
      </c>
      <c r="CO1464" s="167">
        <f>$N1464/15</f>
        <v>0.46666666666666667</v>
      </c>
      <c r="CP1464" s="167">
        <f>$N1464/15</f>
        <v>0.46666666666666667</v>
      </c>
      <c r="CQ1464" s="167">
        <f>$N1464/15</f>
        <v>0.46666666666666667</v>
      </c>
      <c r="CR1464" s="167">
        <f>$N1464/15</f>
        <v>0.46666666666666667</v>
      </c>
      <c r="CS1464" s="167">
        <f>$N1464/15</f>
        <v>0.46666666666666667</v>
      </c>
      <c r="CT1464" s="167">
        <v>0</v>
      </c>
      <c r="CU1464" s="167">
        <v>0</v>
      </c>
      <c r="CV1464" s="167">
        <v>0</v>
      </c>
      <c r="CW1464" s="167">
        <v>0</v>
      </c>
      <c r="CX1464" s="167">
        <f>SUM(CD1464:CH1464)</f>
        <v>1.8666666666666667</v>
      </c>
      <c r="CY1464" s="167">
        <f>SUM(CD1464:CM1464)</f>
        <v>4.2</v>
      </c>
    </row>
    <row r="1465" spans="1:103" ht="12.75" customHeight="1" x14ac:dyDescent="0.2">
      <c r="A1465" s="81">
        <v>6906</v>
      </c>
      <c r="B1465" s="165" t="s">
        <v>1902</v>
      </c>
      <c r="C1465" s="165" t="s">
        <v>3595</v>
      </c>
      <c r="E1465" s="165" t="s">
        <v>3596</v>
      </c>
      <c r="F1465" s="165" t="s">
        <v>3536</v>
      </c>
      <c r="G1465" s="81">
        <v>525504</v>
      </c>
      <c r="H1465" s="81">
        <v>174901</v>
      </c>
      <c r="I1465" s="165" t="s">
        <v>251</v>
      </c>
      <c r="L1465" s="166">
        <v>0</v>
      </c>
      <c r="M1465" s="166">
        <v>2</v>
      </c>
      <c r="N1465" s="166">
        <v>2</v>
      </c>
      <c r="O1465" s="166">
        <v>10</v>
      </c>
      <c r="P1465" s="166">
        <v>10</v>
      </c>
      <c r="Q1465" s="81" t="s">
        <v>155</v>
      </c>
      <c r="R1465" s="165" t="s">
        <v>1905</v>
      </c>
      <c r="S1465" s="81" t="s">
        <v>1906</v>
      </c>
      <c r="W1465" s="81" t="s">
        <v>114</v>
      </c>
      <c r="Y1465" s="81" t="s">
        <v>115</v>
      </c>
      <c r="Z1465" s="81" t="s">
        <v>116</v>
      </c>
      <c r="AA1465" s="81" t="s">
        <v>117</v>
      </c>
      <c r="AB1465" s="81" t="s">
        <v>218</v>
      </c>
      <c r="AC1465" s="166">
        <v>0</v>
      </c>
      <c r="AG1465" s="81" t="s">
        <v>154</v>
      </c>
      <c r="AH1465" s="81" t="s">
        <v>276</v>
      </c>
      <c r="AJ1465" s="81">
        <v>17320063</v>
      </c>
      <c r="AK1465" s="166">
        <v>0</v>
      </c>
      <c r="AM1465" s="166">
        <v>0</v>
      </c>
      <c r="AO1465" s="166">
        <v>0</v>
      </c>
      <c r="AP1465" s="166">
        <v>0</v>
      </c>
      <c r="AQ1465" s="166">
        <v>0</v>
      </c>
      <c r="AR1465" s="166">
        <v>0</v>
      </c>
      <c r="AS1465" s="166">
        <v>0</v>
      </c>
      <c r="AT1465" s="166">
        <v>0</v>
      </c>
      <c r="AU1465" s="166">
        <v>2</v>
      </c>
      <c r="AV1465" s="166">
        <v>0</v>
      </c>
      <c r="AW1465" s="166">
        <v>0</v>
      </c>
      <c r="AX1465" s="166">
        <v>0</v>
      </c>
      <c r="AY1465" s="166">
        <v>0</v>
      </c>
      <c r="AZ1465" s="166">
        <v>0</v>
      </c>
      <c r="BA1465" s="166">
        <v>0</v>
      </c>
      <c r="BB1465" s="166">
        <v>2</v>
      </c>
      <c r="BC1465" s="166">
        <v>0</v>
      </c>
      <c r="BD1465" s="166">
        <v>0</v>
      </c>
      <c r="BE1465" s="166">
        <v>0</v>
      </c>
      <c r="BF1465" s="166">
        <v>0</v>
      </c>
      <c r="BG1465" s="166">
        <v>0</v>
      </c>
      <c r="BH1465" s="166">
        <v>0</v>
      </c>
      <c r="BI1465" s="166">
        <v>0</v>
      </c>
      <c r="BJ1465" s="166">
        <v>0</v>
      </c>
      <c r="BK1465" s="166">
        <v>0</v>
      </c>
      <c r="BL1465" s="166">
        <v>0</v>
      </c>
      <c r="BM1465" s="166">
        <v>0</v>
      </c>
      <c r="BN1465" s="166">
        <v>0</v>
      </c>
      <c r="BO1465" s="166">
        <v>0</v>
      </c>
      <c r="BP1465" s="166">
        <v>0</v>
      </c>
      <c r="BQ1465" s="81" t="s">
        <v>1758</v>
      </c>
      <c r="BT1465" s="81" t="s">
        <v>155</v>
      </c>
      <c r="BZ1465" s="81" t="s">
        <v>155</v>
      </c>
      <c r="CA1465" s="81">
        <v>13</v>
      </c>
      <c r="CC1465" s="167">
        <v>0</v>
      </c>
      <c r="CD1465" s="167">
        <v>0</v>
      </c>
      <c r="CE1465" s="167">
        <f>$N1465/15</f>
        <v>0.13333333333333333</v>
      </c>
      <c r="CF1465" s="167">
        <f>$N1465/15</f>
        <v>0.13333333333333333</v>
      </c>
      <c r="CG1465" s="167">
        <f>$N1465/15</f>
        <v>0.13333333333333333</v>
      </c>
      <c r="CH1465" s="167">
        <f>$N1465/15</f>
        <v>0.13333333333333333</v>
      </c>
      <c r="CI1465" s="167">
        <f>$N1465/15</f>
        <v>0.13333333333333333</v>
      </c>
      <c r="CJ1465" s="167">
        <f>$N1465/15</f>
        <v>0.13333333333333333</v>
      </c>
      <c r="CK1465" s="167">
        <f>$N1465/15</f>
        <v>0.13333333333333333</v>
      </c>
      <c r="CL1465" s="167">
        <f>$N1465/15</f>
        <v>0.13333333333333333</v>
      </c>
      <c r="CM1465" s="167">
        <f>$N1465/15</f>
        <v>0.13333333333333333</v>
      </c>
      <c r="CN1465" s="167">
        <f>$N1465/15</f>
        <v>0.13333333333333333</v>
      </c>
      <c r="CO1465" s="167">
        <f>$N1465/15</f>
        <v>0.13333333333333333</v>
      </c>
      <c r="CP1465" s="167">
        <f>$N1465/15</f>
        <v>0.13333333333333333</v>
      </c>
      <c r="CQ1465" s="167">
        <f>$N1465/15</f>
        <v>0.13333333333333333</v>
      </c>
      <c r="CR1465" s="167">
        <f>$N1465/15</f>
        <v>0.13333333333333333</v>
      </c>
      <c r="CS1465" s="167">
        <f>$N1465/15</f>
        <v>0.13333333333333333</v>
      </c>
      <c r="CT1465" s="167">
        <v>0</v>
      </c>
      <c r="CU1465" s="167">
        <v>0</v>
      </c>
      <c r="CV1465" s="167">
        <v>0</v>
      </c>
      <c r="CW1465" s="167">
        <v>0</v>
      </c>
      <c r="CX1465" s="167">
        <f>SUM(CD1465:CH1465)</f>
        <v>0.53333333333333333</v>
      </c>
      <c r="CY1465" s="167">
        <f>SUM(CD1465:CM1465)</f>
        <v>1.2</v>
      </c>
    </row>
    <row r="1466" spans="1:103" ht="12.75" customHeight="1" x14ac:dyDescent="0.2">
      <c r="A1466" s="81">
        <v>6907</v>
      </c>
      <c r="B1466" s="165" t="s">
        <v>1902</v>
      </c>
      <c r="C1466" s="165" t="s">
        <v>3597</v>
      </c>
      <c r="E1466" s="165" t="s">
        <v>3953</v>
      </c>
      <c r="F1466" s="165" t="s">
        <v>3535</v>
      </c>
      <c r="G1466" s="81">
        <v>525866</v>
      </c>
      <c r="H1466" s="81">
        <v>175039</v>
      </c>
      <c r="I1466" s="165" t="s">
        <v>251</v>
      </c>
      <c r="L1466" s="166">
        <v>0</v>
      </c>
      <c r="M1466" s="166">
        <v>8</v>
      </c>
      <c r="N1466" s="166">
        <v>8</v>
      </c>
      <c r="O1466" s="166">
        <v>62</v>
      </c>
      <c r="P1466" s="166">
        <v>62</v>
      </c>
      <c r="Q1466" s="81" t="s">
        <v>155</v>
      </c>
      <c r="R1466" s="165" t="s">
        <v>1905</v>
      </c>
      <c r="S1466" s="81" t="s">
        <v>1906</v>
      </c>
      <c r="W1466" s="81" t="s">
        <v>114</v>
      </c>
      <c r="Y1466" s="81" t="s">
        <v>115</v>
      </c>
      <c r="Z1466" s="81" t="s">
        <v>116</v>
      </c>
      <c r="AA1466" s="81" t="s">
        <v>117</v>
      </c>
      <c r="AB1466" s="81" t="s">
        <v>218</v>
      </c>
      <c r="AC1466" s="166">
        <v>0</v>
      </c>
      <c r="AG1466" s="81" t="s">
        <v>74</v>
      </c>
      <c r="AH1466" s="81" t="s">
        <v>990</v>
      </c>
      <c r="AJ1466" s="81">
        <v>17320347</v>
      </c>
      <c r="AK1466" s="166">
        <v>0</v>
      </c>
      <c r="AM1466" s="166">
        <v>0</v>
      </c>
      <c r="AO1466" s="166">
        <v>0</v>
      </c>
      <c r="AP1466" s="166">
        <v>0</v>
      </c>
      <c r="AQ1466" s="166">
        <v>0</v>
      </c>
      <c r="AR1466" s="166">
        <v>0</v>
      </c>
      <c r="AS1466" s="166">
        <v>0</v>
      </c>
      <c r="AT1466" s="166">
        <v>0</v>
      </c>
      <c r="AU1466" s="166">
        <v>8</v>
      </c>
      <c r="AV1466" s="166">
        <v>0</v>
      </c>
      <c r="AW1466" s="166">
        <v>0</v>
      </c>
      <c r="AX1466" s="166">
        <v>0</v>
      </c>
      <c r="AY1466" s="166">
        <v>0</v>
      </c>
      <c r="AZ1466" s="166">
        <v>0</v>
      </c>
      <c r="BA1466" s="166">
        <v>0</v>
      </c>
      <c r="BB1466" s="166">
        <v>8</v>
      </c>
      <c r="BC1466" s="166">
        <v>0</v>
      </c>
      <c r="BD1466" s="166">
        <v>0</v>
      </c>
      <c r="BE1466" s="166">
        <v>0</v>
      </c>
      <c r="BF1466" s="166">
        <v>0</v>
      </c>
      <c r="BG1466" s="166">
        <v>0</v>
      </c>
      <c r="BH1466" s="166">
        <v>0</v>
      </c>
      <c r="BI1466" s="166">
        <v>0</v>
      </c>
      <c r="BJ1466" s="166">
        <v>0</v>
      </c>
      <c r="BK1466" s="166">
        <v>0</v>
      </c>
      <c r="BL1466" s="166">
        <v>0</v>
      </c>
      <c r="BM1466" s="166">
        <v>0</v>
      </c>
      <c r="BN1466" s="166">
        <v>0</v>
      </c>
      <c r="BO1466" s="166">
        <v>0</v>
      </c>
      <c r="BP1466" s="166">
        <v>0</v>
      </c>
      <c r="BQ1466" s="81" t="s">
        <v>1758</v>
      </c>
      <c r="BT1466" s="81" t="s">
        <v>155</v>
      </c>
      <c r="BZ1466" s="81" t="s">
        <v>155</v>
      </c>
      <c r="CA1466" s="81">
        <v>13</v>
      </c>
      <c r="CC1466" s="167">
        <v>0</v>
      </c>
      <c r="CD1466" s="167">
        <v>0</v>
      </c>
      <c r="CE1466" s="167">
        <v>0</v>
      </c>
      <c r="CF1466" s="167">
        <v>0</v>
      </c>
      <c r="CG1466" s="167">
        <v>0</v>
      </c>
      <c r="CH1466" s="167">
        <v>0</v>
      </c>
      <c r="CI1466" s="167">
        <v>0</v>
      </c>
      <c r="CJ1466" s="167">
        <f>$N1466/17</f>
        <v>0.47058823529411764</v>
      </c>
      <c r="CK1466" s="167">
        <f>$N1466/17</f>
        <v>0.47058823529411764</v>
      </c>
      <c r="CL1466" s="167">
        <f>$N1466/17</f>
        <v>0.47058823529411764</v>
      </c>
      <c r="CM1466" s="167">
        <f>$N1466/17</f>
        <v>0.47058823529411764</v>
      </c>
      <c r="CN1466" s="167">
        <f>$N1466/17</f>
        <v>0.47058823529411764</v>
      </c>
      <c r="CO1466" s="167">
        <f>$N1466/17</f>
        <v>0.47058823529411764</v>
      </c>
      <c r="CP1466" s="167">
        <f>$N1466/17</f>
        <v>0.47058823529411764</v>
      </c>
      <c r="CQ1466" s="167">
        <f>$N1466/17</f>
        <v>0.47058823529411764</v>
      </c>
      <c r="CR1466" s="167">
        <f>$N1466/17</f>
        <v>0.47058823529411764</v>
      </c>
      <c r="CS1466" s="167">
        <f>$N1466/17</f>
        <v>0.47058823529411764</v>
      </c>
      <c r="CT1466" s="167">
        <f>$N1466/17</f>
        <v>0.47058823529411764</v>
      </c>
      <c r="CU1466" s="167">
        <f>$N1466/17</f>
        <v>0.47058823529411764</v>
      </c>
      <c r="CV1466" s="167">
        <f>$N1466/17</f>
        <v>0.47058823529411764</v>
      </c>
      <c r="CW1466" s="167">
        <f>$N1466/17</f>
        <v>0.47058823529411764</v>
      </c>
      <c r="CX1466" s="167">
        <f>SUM(CD1466:CH1466)</f>
        <v>0</v>
      </c>
      <c r="CY1466" s="167">
        <f>SUM(CD1466:CM1466)</f>
        <v>1.8823529411764706</v>
      </c>
    </row>
    <row r="1467" spans="1:103" ht="12.75" customHeight="1" x14ac:dyDescent="0.2">
      <c r="A1467" s="81">
        <v>6907</v>
      </c>
      <c r="B1467" s="165" t="s">
        <v>1902</v>
      </c>
      <c r="C1467" s="165" t="s">
        <v>3597</v>
      </c>
      <c r="E1467" s="165" t="s">
        <v>3953</v>
      </c>
      <c r="F1467" s="165" t="s">
        <v>1556</v>
      </c>
      <c r="G1467" s="81">
        <v>525866</v>
      </c>
      <c r="H1467" s="81">
        <v>175039</v>
      </c>
      <c r="I1467" s="165" t="s">
        <v>251</v>
      </c>
      <c r="L1467" s="166">
        <v>0</v>
      </c>
      <c r="M1467" s="166">
        <v>42</v>
      </c>
      <c r="N1467" s="166">
        <v>42</v>
      </c>
      <c r="O1467" s="166">
        <v>62</v>
      </c>
      <c r="P1467" s="166">
        <v>62</v>
      </c>
      <c r="Q1467" s="81" t="s">
        <v>155</v>
      </c>
      <c r="R1467" s="165" t="s">
        <v>1905</v>
      </c>
      <c r="S1467" s="81" t="s">
        <v>1906</v>
      </c>
      <c r="W1467" s="81" t="s">
        <v>114</v>
      </c>
      <c r="Y1467" s="81" t="s">
        <v>115</v>
      </c>
      <c r="Z1467" s="81" t="s">
        <v>116</v>
      </c>
      <c r="AA1467" s="81" t="s">
        <v>116</v>
      </c>
      <c r="AB1467" s="81" t="s">
        <v>117</v>
      </c>
      <c r="AC1467" s="166">
        <v>0</v>
      </c>
      <c r="AG1467" s="81" t="s">
        <v>238</v>
      </c>
      <c r="AH1467" s="81" t="s">
        <v>118</v>
      </c>
      <c r="AJ1467" s="81">
        <v>17320347</v>
      </c>
      <c r="AK1467" s="166">
        <v>0</v>
      </c>
      <c r="AM1467" s="166">
        <v>0</v>
      </c>
      <c r="AO1467" s="166">
        <v>0</v>
      </c>
      <c r="AP1467" s="166">
        <v>0</v>
      </c>
      <c r="AQ1467" s="166">
        <v>0</v>
      </c>
      <c r="AR1467" s="166">
        <v>0</v>
      </c>
      <c r="AS1467" s="166">
        <v>0</v>
      </c>
      <c r="AT1467" s="166">
        <v>0</v>
      </c>
      <c r="AU1467" s="166">
        <v>42</v>
      </c>
      <c r="AV1467" s="166">
        <v>0</v>
      </c>
      <c r="AW1467" s="166">
        <v>0</v>
      </c>
      <c r="AX1467" s="166">
        <v>0</v>
      </c>
      <c r="AY1467" s="166">
        <v>0</v>
      </c>
      <c r="AZ1467" s="166">
        <v>0</v>
      </c>
      <c r="BA1467" s="166">
        <v>0</v>
      </c>
      <c r="BB1467" s="166">
        <v>42</v>
      </c>
      <c r="BC1467" s="166">
        <v>0</v>
      </c>
      <c r="BD1467" s="166">
        <v>0</v>
      </c>
      <c r="BE1467" s="166">
        <v>0</v>
      </c>
      <c r="BF1467" s="166">
        <v>0</v>
      </c>
      <c r="BG1467" s="166">
        <v>0</v>
      </c>
      <c r="BH1467" s="166">
        <v>0</v>
      </c>
      <c r="BI1467" s="166">
        <v>0</v>
      </c>
      <c r="BJ1467" s="166">
        <v>0</v>
      </c>
      <c r="BK1467" s="166">
        <v>0</v>
      </c>
      <c r="BL1467" s="166">
        <v>0</v>
      </c>
      <c r="BM1467" s="166">
        <v>0</v>
      </c>
      <c r="BN1467" s="166">
        <v>0</v>
      </c>
      <c r="BO1467" s="166">
        <v>0</v>
      </c>
      <c r="BP1467" s="166">
        <v>0</v>
      </c>
      <c r="BQ1467" s="81" t="s">
        <v>1758</v>
      </c>
      <c r="BT1467" s="81" t="s">
        <v>155</v>
      </c>
      <c r="BZ1467" s="81" t="s">
        <v>155</v>
      </c>
      <c r="CA1467" s="81">
        <v>13</v>
      </c>
      <c r="CC1467" s="167">
        <v>0</v>
      </c>
      <c r="CD1467" s="167">
        <v>0</v>
      </c>
      <c r="CE1467" s="167">
        <v>0</v>
      </c>
      <c r="CF1467" s="167">
        <v>0</v>
      </c>
      <c r="CG1467" s="167">
        <v>0</v>
      </c>
      <c r="CH1467" s="167">
        <v>0</v>
      </c>
      <c r="CI1467" s="167">
        <v>0</v>
      </c>
      <c r="CJ1467" s="167">
        <f>$N1467/17</f>
        <v>2.4705882352941178</v>
      </c>
      <c r="CK1467" s="167">
        <f>$N1467/17</f>
        <v>2.4705882352941178</v>
      </c>
      <c r="CL1467" s="167">
        <f>$N1467/17</f>
        <v>2.4705882352941178</v>
      </c>
      <c r="CM1467" s="167">
        <f>$N1467/17</f>
        <v>2.4705882352941178</v>
      </c>
      <c r="CN1467" s="167">
        <f>$N1467/17</f>
        <v>2.4705882352941178</v>
      </c>
      <c r="CO1467" s="167">
        <f>$N1467/17</f>
        <v>2.4705882352941178</v>
      </c>
      <c r="CP1467" s="167">
        <f>$N1467/17</f>
        <v>2.4705882352941178</v>
      </c>
      <c r="CQ1467" s="167">
        <f>$N1467/17</f>
        <v>2.4705882352941178</v>
      </c>
      <c r="CR1467" s="167">
        <f>$N1467/17</f>
        <v>2.4705882352941178</v>
      </c>
      <c r="CS1467" s="167">
        <f>$N1467/17</f>
        <v>2.4705882352941178</v>
      </c>
      <c r="CT1467" s="167">
        <f>$N1467/17</f>
        <v>2.4705882352941178</v>
      </c>
      <c r="CU1467" s="167">
        <f>$N1467/17</f>
        <v>2.4705882352941178</v>
      </c>
      <c r="CV1467" s="167">
        <f>$N1467/17</f>
        <v>2.4705882352941178</v>
      </c>
      <c r="CW1467" s="167">
        <f>$N1467/17</f>
        <v>2.4705882352941178</v>
      </c>
      <c r="CX1467" s="167">
        <f>SUM(CD1467:CH1467)</f>
        <v>0</v>
      </c>
      <c r="CY1467" s="167">
        <f>SUM(CD1467:CM1467)</f>
        <v>9.882352941176471</v>
      </c>
    </row>
    <row r="1468" spans="1:103" ht="12.75" customHeight="1" x14ac:dyDescent="0.2">
      <c r="A1468" s="81">
        <v>6907</v>
      </c>
      <c r="B1468" s="165" t="s">
        <v>1902</v>
      </c>
      <c r="C1468" s="165" t="s">
        <v>3597</v>
      </c>
      <c r="E1468" s="165" t="s">
        <v>3953</v>
      </c>
      <c r="F1468" s="165" t="s">
        <v>3536</v>
      </c>
      <c r="G1468" s="81">
        <v>525866</v>
      </c>
      <c r="H1468" s="81">
        <v>175039</v>
      </c>
      <c r="I1468" s="165" t="s">
        <v>251</v>
      </c>
      <c r="L1468" s="166">
        <v>0</v>
      </c>
      <c r="M1468" s="166">
        <v>12</v>
      </c>
      <c r="N1468" s="166">
        <v>12</v>
      </c>
      <c r="O1468" s="166">
        <v>62</v>
      </c>
      <c r="P1468" s="166">
        <v>62</v>
      </c>
      <c r="Q1468" s="81" t="s">
        <v>155</v>
      </c>
      <c r="R1468" s="165" t="s">
        <v>1905</v>
      </c>
      <c r="S1468" s="81" t="s">
        <v>1906</v>
      </c>
      <c r="W1468" s="81" t="s">
        <v>114</v>
      </c>
      <c r="Y1468" s="81" t="s">
        <v>115</v>
      </c>
      <c r="Z1468" s="81" t="s">
        <v>116</v>
      </c>
      <c r="AA1468" s="81" t="s">
        <v>116</v>
      </c>
      <c r="AB1468" s="81" t="s">
        <v>117</v>
      </c>
      <c r="AC1468" s="166">
        <v>0</v>
      </c>
      <c r="AG1468" s="81" t="s">
        <v>154</v>
      </c>
      <c r="AH1468" s="81" t="s">
        <v>276</v>
      </c>
      <c r="AJ1468" s="81">
        <v>17320347</v>
      </c>
      <c r="AK1468" s="166">
        <v>0</v>
      </c>
      <c r="AM1468" s="166">
        <v>0</v>
      </c>
      <c r="AO1468" s="166">
        <v>0</v>
      </c>
      <c r="AP1468" s="166">
        <v>0</v>
      </c>
      <c r="AQ1468" s="166">
        <v>0</v>
      </c>
      <c r="AR1468" s="166">
        <v>0</v>
      </c>
      <c r="AS1468" s="166">
        <v>0</v>
      </c>
      <c r="AT1468" s="166">
        <v>0</v>
      </c>
      <c r="AU1468" s="166">
        <v>12</v>
      </c>
      <c r="AV1468" s="166">
        <v>0</v>
      </c>
      <c r="AW1468" s="166">
        <v>0</v>
      </c>
      <c r="AX1468" s="166">
        <v>0</v>
      </c>
      <c r="AY1468" s="166">
        <v>0</v>
      </c>
      <c r="AZ1468" s="166">
        <v>0</v>
      </c>
      <c r="BA1468" s="166">
        <v>0</v>
      </c>
      <c r="BB1468" s="166">
        <v>12</v>
      </c>
      <c r="BC1468" s="166">
        <v>0</v>
      </c>
      <c r="BD1468" s="166">
        <v>0</v>
      </c>
      <c r="BE1468" s="166">
        <v>0</v>
      </c>
      <c r="BF1468" s="166">
        <v>0</v>
      </c>
      <c r="BG1468" s="166">
        <v>0</v>
      </c>
      <c r="BH1468" s="166">
        <v>0</v>
      </c>
      <c r="BI1468" s="166">
        <v>0</v>
      </c>
      <c r="BJ1468" s="166">
        <v>0</v>
      </c>
      <c r="BK1468" s="166">
        <v>0</v>
      </c>
      <c r="BL1468" s="166">
        <v>0</v>
      </c>
      <c r="BM1468" s="166">
        <v>0</v>
      </c>
      <c r="BN1468" s="166">
        <v>0</v>
      </c>
      <c r="BO1468" s="166">
        <v>0</v>
      </c>
      <c r="BP1468" s="166">
        <v>0</v>
      </c>
      <c r="BQ1468" s="81" t="s">
        <v>1758</v>
      </c>
      <c r="BT1468" s="81" t="s">
        <v>155</v>
      </c>
      <c r="BZ1468" s="81" t="s">
        <v>155</v>
      </c>
      <c r="CA1468" s="81">
        <v>13</v>
      </c>
      <c r="CC1468" s="167">
        <v>0</v>
      </c>
      <c r="CD1468" s="167">
        <v>0</v>
      </c>
      <c r="CE1468" s="167">
        <v>0</v>
      </c>
      <c r="CF1468" s="167">
        <v>0</v>
      </c>
      <c r="CG1468" s="167">
        <v>0</v>
      </c>
      <c r="CH1468" s="167">
        <v>0</v>
      </c>
      <c r="CI1468" s="167">
        <v>0</v>
      </c>
      <c r="CJ1468" s="167">
        <f>$N1468/17</f>
        <v>0.70588235294117652</v>
      </c>
      <c r="CK1468" s="167">
        <f>$N1468/17</f>
        <v>0.70588235294117652</v>
      </c>
      <c r="CL1468" s="167">
        <f>$N1468/17</f>
        <v>0.70588235294117652</v>
      </c>
      <c r="CM1468" s="167">
        <f>$N1468/17</f>
        <v>0.70588235294117652</v>
      </c>
      <c r="CN1468" s="167">
        <f>$N1468/17</f>
        <v>0.70588235294117652</v>
      </c>
      <c r="CO1468" s="167">
        <f>$N1468/17</f>
        <v>0.70588235294117652</v>
      </c>
      <c r="CP1468" s="167">
        <f>$N1468/17</f>
        <v>0.70588235294117652</v>
      </c>
      <c r="CQ1468" s="167">
        <f>$N1468/17</f>
        <v>0.70588235294117652</v>
      </c>
      <c r="CR1468" s="167">
        <f>$N1468/17</f>
        <v>0.70588235294117652</v>
      </c>
      <c r="CS1468" s="167">
        <f>$N1468/17</f>
        <v>0.70588235294117652</v>
      </c>
      <c r="CT1468" s="167">
        <f>$N1468/17</f>
        <v>0.70588235294117652</v>
      </c>
      <c r="CU1468" s="167">
        <f>$N1468/17</f>
        <v>0.70588235294117652</v>
      </c>
      <c r="CV1468" s="167">
        <f>$N1468/17</f>
        <v>0.70588235294117652</v>
      </c>
      <c r="CW1468" s="167">
        <f>$N1468/17</f>
        <v>0.70588235294117652</v>
      </c>
      <c r="CX1468" s="167">
        <f>SUM(CD1468:CH1468)</f>
        <v>0</v>
      </c>
      <c r="CY1468" s="167">
        <f>SUM(CD1468:CM1468)</f>
        <v>2.8235294117647061</v>
      </c>
    </row>
    <row r="1469" spans="1:103" ht="12.75" customHeight="1" x14ac:dyDescent="0.2">
      <c r="A1469" s="81">
        <v>6908</v>
      </c>
      <c r="B1469" s="165" t="s">
        <v>1902</v>
      </c>
      <c r="C1469" s="165" t="s">
        <v>3598</v>
      </c>
      <c r="E1469" s="165" t="s">
        <v>3599</v>
      </c>
      <c r="F1469" s="165" t="s">
        <v>3535</v>
      </c>
      <c r="G1469" s="81">
        <v>525716</v>
      </c>
      <c r="H1469" s="81">
        <v>173464</v>
      </c>
      <c r="I1469" s="165" t="s">
        <v>249</v>
      </c>
      <c r="L1469" s="166">
        <v>0</v>
      </c>
      <c r="M1469" s="166">
        <v>53</v>
      </c>
      <c r="N1469" s="166">
        <v>53</v>
      </c>
      <c r="O1469" s="166">
        <v>400</v>
      </c>
      <c r="P1469" s="166">
        <v>400</v>
      </c>
      <c r="Q1469" s="81" t="s">
        <v>155</v>
      </c>
      <c r="R1469" s="165" t="s">
        <v>1905</v>
      </c>
      <c r="S1469" s="81" t="s">
        <v>1906</v>
      </c>
      <c r="W1469" s="81" t="s">
        <v>114</v>
      </c>
      <c r="Y1469" s="81" t="s">
        <v>115</v>
      </c>
      <c r="Z1469" s="81" t="s">
        <v>116</v>
      </c>
      <c r="AA1469" s="81" t="s">
        <v>116</v>
      </c>
      <c r="AB1469" s="81" t="s">
        <v>117</v>
      </c>
      <c r="AC1469" s="166">
        <v>0</v>
      </c>
      <c r="AG1469" s="81" t="s">
        <v>74</v>
      </c>
      <c r="AH1469" s="81" t="s">
        <v>990</v>
      </c>
      <c r="AJ1469" s="81">
        <v>17320085</v>
      </c>
      <c r="AK1469" s="166">
        <v>0</v>
      </c>
      <c r="AM1469" s="166">
        <v>0</v>
      </c>
      <c r="AO1469" s="166">
        <v>0</v>
      </c>
      <c r="AP1469" s="166">
        <v>0</v>
      </c>
      <c r="AQ1469" s="166">
        <v>0</v>
      </c>
      <c r="AR1469" s="166">
        <v>0</v>
      </c>
      <c r="AS1469" s="166">
        <v>0</v>
      </c>
      <c r="AT1469" s="166">
        <v>0</v>
      </c>
      <c r="AU1469" s="166">
        <v>53</v>
      </c>
      <c r="AV1469" s="166">
        <v>0</v>
      </c>
      <c r="AW1469" s="166">
        <v>0</v>
      </c>
      <c r="AX1469" s="166">
        <v>0</v>
      </c>
      <c r="AY1469" s="166">
        <v>0</v>
      </c>
      <c r="AZ1469" s="166">
        <v>0</v>
      </c>
      <c r="BA1469" s="166">
        <v>0</v>
      </c>
      <c r="BB1469" s="166">
        <v>53</v>
      </c>
      <c r="BC1469" s="166">
        <v>0</v>
      </c>
      <c r="BD1469" s="166">
        <v>0</v>
      </c>
      <c r="BE1469" s="166">
        <v>0</v>
      </c>
      <c r="BF1469" s="166">
        <v>0</v>
      </c>
      <c r="BG1469" s="166">
        <v>0</v>
      </c>
      <c r="BH1469" s="166">
        <v>0</v>
      </c>
      <c r="BI1469" s="166">
        <v>0</v>
      </c>
      <c r="BJ1469" s="166">
        <v>0</v>
      </c>
      <c r="BK1469" s="166">
        <v>0</v>
      </c>
      <c r="BL1469" s="166">
        <v>0</v>
      </c>
      <c r="BM1469" s="166">
        <v>0</v>
      </c>
      <c r="BN1469" s="166">
        <v>0</v>
      </c>
      <c r="BO1469" s="166">
        <v>0</v>
      </c>
      <c r="BP1469" s="166">
        <v>0</v>
      </c>
      <c r="BQ1469" s="81" t="s">
        <v>1758</v>
      </c>
      <c r="BY1469" s="81" t="s">
        <v>155</v>
      </c>
      <c r="BZ1469" s="81" t="s">
        <v>155</v>
      </c>
      <c r="CA1469" s="81">
        <v>13</v>
      </c>
      <c r="CC1469" s="167">
        <v>0</v>
      </c>
      <c r="CD1469" s="167">
        <v>0</v>
      </c>
      <c r="CE1469" s="167">
        <f>$N1469/15</f>
        <v>3.5333333333333332</v>
      </c>
      <c r="CF1469" s="167">
        <f>$N1469/15</f>
        <v>3.5333333333333332</v>
      </c>
      <c r="CG1469" s="167">
        <f>$N1469/15</f>
        <v>3.5333333333333332</v>
      </c>
      <c r="CH1469" s="167">
        <f>$N1469/15</f>
        <v>3.5333333333333332</v>
      </c>
      <c r="CI1469" s="167">
        <f>$N1469/15</f>
        <v>3.5333333333333332</v>
      </c>
      <c r="CJ1469" s="167">
        <f>$N1469/15</f>
        <v>3.5333333333333332</v>
      </c>
      <c r="CK1469" s="167">
        <f>$N1469/15</f>
        <v>3.5333333333333332</v>
      </c>
      <c r="CL1469" s="167">
        <f>$N1469/15</f>
        <v>3.5333333333333332</v>
      </c>
      <c r="CM1469" s="167">
        <f>$N1469/15</f>
        <v>3.5333333333333332</v>
      </c>
      <c r="CN1469" s="167">
        <f>$N1469/15</f>
        <v>3.5333333333333332</v>
      </c>
      <c r="CO1469" s="167">
        <f>$N1469/15</f>
        <v>3.5333333333333332</v>
      </c>
      <c r="CP1469" s="167">
        <f>$N1469/15</f>
        <v>3.5333333333333332</v>
      </c>
      <c r="CQ1469" s="167">
        <f>$N1469/15</f>
        <v>3.5333333333333332</v>
      </c>
      <c r="CR1469" s="167">
        <f>$N1469/15</f>
        <v>3.5333333333333332</v>
      </c>
      <c r="CS1469" s="167">
        <f>$N1469/15</f>
        <v>3.5333333333333332</v>
      </c>
      <c r="CT1469" s="167">
        <v>0</v>
      </c>
      <c r="CU1469" s="167">
        <v>0</v>
      </c>
      <c r="CV1469" s="167">
        <v>0</v>
      </c>
      <c r="CW1469" s="167">
        <v>0</v>
      </c>
      <c r="CX1469" s="167">
        <f>SUM(CD1469:CH1469)</f>
        <v>14.133333333333333</v>
      </c>
      <c r="CY1469" s="167">
        <f>SUM(CD1469:CM1469)</f>
        <v>31.79999999999999</v>
      </c>
    </row>
    <row r="1470" spans="1:103" ht="12.75" customHeight="1" x14ac:dyDescent="0.2">
      <c r="A1470" s="81">
        <v>6908</v>
      </c>
      <c r="B1470" s="165" t="s">
        <v>1902</v>
      </c>
      <c r="C1470" s="165" t="s">
        <v>3598</v>
      </c>
      <c r="E1470" s="165" t="s">
        <v>3599</v>
      </c>
      <c r="F1470" s="165" t="s">
        <v>1556</v>
      </c>
      <c r="G1470" s="81">
        <v>525716</v>
      </c>
      <c r="H1470" s="81">
        <v>173464</v>
      </c>
      <c r="I1470" s="165" t="s">
        <v>249</v>
      </c>
      <c r="L1470" s="166">
        <v>0</v>
      </c>
      <c r="M1470" s="166">
        <v>268</v>
      </c>
      <c r="N1470" s="166">
        <v>268</v>
      </c>
      <c r="O1470" s="166">
        <v>400</v>
      </c>
      <c r="P1470" s="166">
        <v>400</v>
      </c>
      <c r="Q1470" s="81" t="s">
        <v>155</v>
      </c>
      <c r="R1470" s="165" t="s">
        <v>1905</v>
      </c>
      <c r="S1470" s="81" t="s">
        <v>1906</v>
      </c>
      <c r="W1470" s="81" t="s">
        <v>114</v>
      </c>
      <c r="Y1470" s="81" t="s">
        <v>115</v>
      </c>
      <c r="Z1470" s="81" t="s">
        <v>116</v>
      </c>
      <c r="AA1470" s="81" t="s">
        <v>116</v>
      </c>
      <c r="AB1470" s="81" t="s">
        <v>117</v>
      </c>
      <c r="AC1470" s="166">
        <v>0</v>
      </c>
      <c r="AG1470" s="81" t="s">
        <v>238</v>
      </c>
      <c r="AH1470" s="81" t="s">
        <v>118</v>
      </c>
      <c r="AJ1470" s="81">
        <v>17320085</v>
      </c>
      <c r="AK1470" s="166">
        <v>0</v>
      </c>
      <c r="AM1470" s="166">
        <v>0</v>
      </c>
      <c r="AO1470" s="166">
        <v>0</v>
      </c>
      <c r="AP1470" s="166">
        <v>0</v>
      </c>
      <c r="AQ1470" s="166">
        <v>0</v>
      </c>
      <c r="AR1470" s="166">
        <v>0</v>
      </c>
      <c r="AS1470" s="166">
        <v>0</v>
      </c>
      <c r="AT1470" s="166">
        <v>0</v>
      </c>
      <c r="AU1470" s="166">
        <v>268</v>
      </c>
      <c r="AV1470" s="166">
        <v>0</v>
      </c>
      <c r="AW1470" s="166">
        <v>0</v>
      </c>
      <c r="AX1470" s="166">
        <v>0</v>
      </c>
      <c r="AY1470" s="166">
        <v>0</v>
      </c>
      <c r="AZ1470" s="166">
        <v>0</v>
      </c>
      <c r="BA1470" s="166">
        <v>0</v>
      </c>
      <c r="BB1470" s="166">
        <v>268</v>
      </c>
      <c r="BC1470" s="166">
        <v>0</v>
      </c>
      <c r="BD1470" s="166">
        <v>0</v>
      </c>
      <c r="BE1470" s="166">
        <v>0</v>
      </c>
      <c r="BF1470" s="166">
        <v>0</v>
      </c>
      <c r="BG1470" s="166">
        <v>0</v>
      </c>
      <c r="BH1470" s="166">
        <v>0</v>
      </c>
      <c r="BI1470" s="166">
        <v>0</v>
      </c>
      <c r="BJ1470" s="166">
        <v>0</v>
      </c>
      <c r="BK1470" s="166">
        <v>0</v>
      </c>
      <c r="BL1470" s="166">
        <v>0</v>
      </c>
      <c r="BM1470" s="166">
        <v>0</v>
      </c>
      <c r="BN1470" s="166">
        <v>0</v>
      </c>
      <c r="BO1470" s="166">
        <v>0</v>
      </c>
      <c r="BP1470" s="166">
        <v>0</v>
      </c>
      <c r="BQ1470" s="81" t="s">
        <v>1758</v>
      </c>
      <c r="BY1470" s="81" t="s">
        <v>155</v>
      </c>
      <c r="BZ1470" s="81" t="s">
        <v>155</v>
      </c>
      <c r="CA1470" s="81">
        <v>13</v>
      </c>
      <c r="CC1470" s="167">
        <v>0</v>
      </c>
      <c r="CD1470" s="167">
        <v>0</v>
      </c>
      <c r="CE1470" s="167">
        <f>$N1470/15</f>
        <v>17.866666666666667</v>
      </c>
      <c r="CF1470" s="167">
        <f>$N1470/15</f>
        <v>17.866666666666667</v>
      </c>
      <c r="CG1470" s="167">
        <f>$N1470/15</f>
        <v>17.866666666666667</v>
      </c>
      <c r="CH1470" s="167">
        <f>$N1470/15</f>
        <v>17.866666666666667</v>
      </c>
      <c r="CI1470" s="167">
        <f>$N1470/15</f>
        <v>17.866666666666667</v>
      </c>
      <c r="CJ1470" s="167">
        <f>$N1470/15</f>
        <v>17.866666666666667</v>
      </c>
      <c r="CK1470" s="167">
        <f>$N1470/15</f>
        <v>17.866666666666667</v>
      </c>
      <c r="CL1470" s="167">
        <f>$N1470/15</f>
        <v>17.866666666666667</v>
      </c>
      <c r="CM1470" s="167">
        <f>$N1470/15</f>
        <v>17.866666666666667</v>
      </c>
      <c r="CN1470" s="167">
        <f>$N1470/15</f>
        <v>17.866666666666667</v>
      </c>
      <c r="CO1470" s="167">
        <f>$N1470/15</f>
        <v>17.866666666666667</v>
      </c>
      <c r="CP1470" s="167">
        <f>$N1470/15</f>
        <v>17.866666666666667</v>
      </c>
      <c r="CQ1470" s="167">
        <f>$N1470/15</f>
        <v>17.866666666666667</v>
      </c>
      <c r="CR1470" s="167">
        <f>$N1470/15</f>
        <v>17.866666666666667</v>
      </c>
      <c r="CS1470" s="167">
        <f>$N1470/15</f>
        <v>17.866666666666667</v>
      </c>
      <c r="CT1470" s="167">
        <v>0</v>
      </c>
      <c r="CU1470" s="167">
        <v>0</v>
      </c>
      <c r="CV1470" s="167">
        <v>0</v>
      </c>
      <c r="CW1470" s="167">
        <v>0</v>
      </c>
      <c r="CX1470" s="167">
        <f>SUM(CD1470:CH1470)</f>
        <v>71.466666666666669</v>
      </c>
      <c r="CY1470" s="167">
        <f>SUM(CD1470:CM1470)</f>
        <v>160.80000000000004</v>
      </c>
    </row>
    <row r="1471" spans="1:103" ht="12.75" customHeight="1" x14ac:dyDescent="0.2">
      <c r="A1471" s="81">
        <v>6908</v>
      </c>
      <c r="B1471" s="165" t="s">
        <v>1902</v>
      </c>
      <c r="C1471" s="165" t="s">
        <v>3598</v>
      </c>
      <c r="E1471" s="165" t="s">
        <v>3599</v>
      </c>
      <c r="F1471" s="165" t="s">
        <v>3536</v>
      </c>
      <c r="G1471" s="81">
        <v>525716</v>
      </c>
      <c r="H1471" s="81">
        <v>173464</v>
      </c>
      <c r="I1471" s="165" t="s">
        <v>249</v>
      </c>
      <c r="L1471" s="166">
        <v>0</v>
      </c>
      <c r="M1471" s="166">
        <v>79</v>
      </c>
      <c r="N1471" s="166">
        <v>79</v>
      </c>
      <c r="O1471" s="166">
        <v>400</v>
      </c>
      <c r="P1471" s="166">
        <v>400</v>
      </c>
      <c r="Q1471" s="81" t="s">
        <v>155</v>
      </c>
      <c r="R1471" s="165" t="s">
        <v>1905</v>
      </c>
      <c r="S1471" s="81" t="s">
        <v>1906</v>
      </c>
      <c r="W1471" s="81" t="s">
        <v>114</v>
      </c>
      <c r="Y1471" s="81" t="s">
        <v>115</v>
      </c>
      <c r="Z1471" s="81" t="s">
        <v>116</v>
      </c>
      <c r="AA1471" s="81" t="s">
        <v>116</v>
      </c>
      <c r="AB1471" s="81" t="s">
        <v>117</v>
      </c>
      <c r="AC1471" s="166">
        <v>0</v>
      </c>
      <c r="AG1471" s="81" t="s">
        <v>154</v>
      </c>
      <c r="AH1471" s="81" t="s">
        <v>276</v>
      </c>
      <c r="AJ1471" s="81">
        <v>17320085</v>
      </c>
      <c r="AK1471" s="166">
        <v>0</v>
      </c>
      <c r="AM1471" s="166">
        <v>0</v>
      </c>
      <c r="AO1471" s="166">
        <v>0</v>
      </c>
      <c r="AP1471" s="166">
        <v>0</v>
      </c>
      <c r="AQ1471" s="166">
        <v>0</v>
      </c>
      <c r="AR1471" s="166">
        <v>0</v>
      </c>
      <c r="AS1471" s="166">
        <v>0</v>
      </c>
      <c r="AT1471" s="166">
        <v>0</v>
      </c>
      <c r="AU1471" s="166">
        <v>79</v>
      </c>
      <c r="AV1471" s="166">
        <v>0</v>
      </c>
      <c r="AW1471" s="166">
        <v>0</v>
      </c>
      <c r="AX1471" s="166">
        <v>0</v>
      </c>
      <c r="AY1471" s="166">
        <v>0</v>
      </c>
      <c r="AZ1471" s="166">
        <v>0</v>
      </c>
      <c r="BA1471" s="166">
        <v>0</v>
      </c>
      <c r="BB1471" s="166">
        <v>79</v>
      </c>
      <c r="BC1471" s="166">
        <v>0</v>
      </c>
      <c r="BD1471" s="166">
        <v>0</v>
      </c>
      <c r="BE1471" s="166">
        <v>0</v>
      </c>
      <c r="BF1471" s="166">
        <v>0</v>
      </c>
      <c r="BG1471" s="166">
        <v>0</v>
      </c>
      <c r="BH1471" s="166">
        <v>0</v>
      </c>
      <c r="BI1471" s="166">
        <v>0</v>
      </c>
      <c r="BJ1471" s="166">
        <v>0</v>
      </c>
      <c r="BK1471" s="166">
        <v>0</v>
      </c>
      <c r="BL1471" s="166">
        <v>0</v>
      </c>
      <c r="BM1471" s="166">
        <v>0</v>
      </c>
      <c r="BN1471" s="166">
        <v>0</v>
      </c>
      <c r="BO1471" s="166">
        <v>0</v>
      </c>
      <c r="BP1471" s="166">
        <v>0</v>
      </c>
      <c r="BQ1471" s="81" t="s">
        <v>1758</v>
      </c>
      <c r="BY1471" s="81" t="s">
        <v>155</v>
      </c>
      <c r="BZ1471" s="81" t="s">
        <v>155</v>
      </c>
      <c r="CA1471" s="81">
        <v>13</v>
      </c>
      <c r="CC1471" s="167">
        <v>0</v>
      </c>
      <c r="CD1471" s="167">
        <v>0</v>
      </c>
      <c r="CE1471" s="167">
        <f>$N1471/15</f>
        <v>5.2666666666666666</v>
      </c>
      <c r="CF1471" s="167">
        <f>$N1471/15</f>
        <v>5.2666666666666666</v>
      </c>
      <c r="CG1471" s="167">
        <f>$N1471/15</f>
        <v>5.2666666666666666</v>
      </c>
      <c r="CH1471" s="167">
        <f>$N1471/15</f>
        <v>5.2666666666666666</v>
      </c>
      <c r="CI1471" s="167">
        <f>$N1471/15</f>
        <v>5.2666666666666666</v>
      </c>
      <c r="CJ1471" s="167">
        <f>$N1471/15</f>
        <v>5.2666666666666666</v>
      </c>
      <c r="CK1471" s="167">
        <f>$N1471/15</f>
        <v>5.2666666666666666</v>
      </c>
      <c r="CL1471" s="167">
        <f>$N1471/15</f>
        <v>5.2666666666666666</v>
      </c>
      <c r="CM1471" s="167">
        <f>$N1471/15</f>
        <v>5.2666666666666666</v>
      </c>
      <c r="CN1471" s="167">
        <f>$N1471/15</f>
        <v>5.2666666666666666</v>
      </c>
      <c r="CO1471" s="167">
        <f>$N1471/15</f>
        <v>5.2666666666666666</v>
      </c>
      <c r="CP1471" s="167">
        <f>$N1471/15</f>
        <v>5.2666666666666666</v>
      </c>
      <c r="CQ1471" s="167">
        <f>$N1471/15</f>
        <v>5.2666666666666666</v>
      </c>
      <c r="CR1471" s="167">
        <f>$N1471/15</f>
        <v>5.2666666666666666</v>
      </c>
      <c r="CS1471" s="167">
        <f>$N1471/15</f>
        <v>5.2666666666666666</v>
      </c>
      <c r="CT1471" s="167">
        <v>0</v>
      </c>
      <c r="CU1471" s="167">
        <v>0</v>
      </c>
      <c r="CV1471" s="167">
        <v>0</v>
      </c>
      <c r="CW1471" s="167">
        <v>0</v>
      </c>
      <c r="CX1471" s="167">
        <f>SUM(CD1471:CH1471)</f>
        <v>21.066666666666666</v>
      </c>
      <c r="CY1471" s="167">
        <f>SUM(CD1471:CM1471)</f>
        <v>47.4</v>
      </c>
    </row>
    <row r="1472" spans="1:103" ht="12" customHeight="1" x14ac:dyDescent="0.2">
      <c r="B1472" s="165" t="s">
        <v>3836</v>
      </c>
      <c r="F1472" s="165" t="s">
        <v>74</v>
      </c>
      <c r="K1472" s="354"/>
      <c r="L1472" s="355">
        <v>0</v>
      </c>
      <c r="M1472" s="355">
        <v>99</v>
      </c>
      <c r="N1472" s="355">
        <v>99</v>
      </c>
      <c r="O1472" s="355">
        <v>745</v>
      </c>
      <c r="P1472" s="355">
        <v>745</v>
      </c>
      <c r="Q1472" s="81" t="s">
        <v>155</v>
      </c>
      <c r="R1472" s="356"/>
      <c r="S1472" s="81" t="s">
        <v>1906</v>
      </c>
      <c r="T1472" s="356"/>
      <c r="U1472" s="356"/>
      <c r="V1472" s="356"/>
      <c r="W1472" s="81" t="s">
        <v>114</v>
      </c>
      <c r="X1472" s="356"/>
      <c r="Y1472" s="81" t="s">
        <v>115</v>
      </c>
      <c r="Z1472" s="81" t="s">
        <v>116</v>
      </c>
      <c r="AA1472" s="81" t="s">
        <v>116</v>
      </c>
      <c r="AB1472" s="81" t="s">
        <v>117</v>
      </c>
      <c r="AC1472" s="356">
        <v>0</v>
      </c>
      <c r="AD1472" s="357"/>
      <c r="AG1472" s="81" t="s">
        <v>74</v>
      </c>
      <c r="AK1472" s="166">
        <v>0</v>
      </c>
      <c r="AM1472" s="166">
        <v>0</v>
      </c>
      <c r="AO1472" s="166">
        <v>0</v>
      </c>
      <c r="AP1472" s="166">
        <v>0</v>
      </c>
      <c r="AQ1472" s="166">
        <v>0</v>
      </c>
      <c r="AR1472" s="166">
        <v>0</v>
      </c>
      <c r="AS1472" s="166">
        <v>0</v>
      </c>
      <c r="AT1472" s="166">
        <v>0</v>
      </c>
      <c r="AU1472" s="356">
        <f>N1472</f>
        <v>99</v>
      </c>
      <c r="AV1472" s="356">
        <v>0</v>
      </c>
      <c r="AW1472" s="356">
        <v>0</v>
      </c>
      <c r="AX1472" s="356">
        <v>0</v>
      </c>
      <c r="AY1472" s="356">
        <v>0</v>
      </c>
      <c r="AZ1472" s="356">
        <v>0</v>
      </c>
      <c r="BA1472" s="356">
        <v>0</v>
      </c>
      <c r="BB1472" s="356">
        <f>AU1472</f>
        <v>99</v>
      </c>
      <c r="BC1472" s="356">
        <v>0</v>
      </c>
      <c r="BD1472" s="356">
        <v>0</v>
      </c>
      <c r="BE1472" s="356">
        <v>0</v>
      </c>
      <c r="BF1472" s="356">
        <v>0</v>
      </c>
      <c r="BG1472" s="356">
        <v>0</v>
      </c>
      <c r="BH1472" s="356">
        <v>0</v>
      </c>
      <c r="BI1472" s="356">
        <v>0</v>
      </c>
      <c r="BJ1472" s="356">
        <v>0</v>
      </c>
      <c r="BK1472" s="356">
        <v>0</v>
      </c>
      <c r="BL1472" s="356">
        <v>0</v>
      </c>
      <c r="BM1472" s="356">
        <v>0</v>
      </c>
      <c r="BN1472" s="356">
        <v>0</v>
      </c>
      <c r="BO1472" s="356">
        <v>0</v>
      </c>
      <c r="BP1472" s="356">
        <v>0</v>
      </c>
      <c r="BZ1472" s="81" t="s">
        <v>155</v>
      </c>
      <c r="CA1472" s="81">
        <v>13</v>
      </c>
      <c r="CC1472" s="167">
        <v>0</v>
      </c>
      <c r="CD1472" s="167">
        <v>0</v>
      </c>
      <c r="CE1472" s="167">
        <v>0.26666666666666666</v>
      </c>
      <c r="CF1472" s="167">
        <v>0.26666666666666666</v>
      </c>
      <c r="CG1472" s="167">
        <v>0.26666666666666666</v>
      </c>
      <c r="CH1472" s="167">
        <v>0.26666666666666666</v>
      </c>
      <c r="CI1472" s="167">
        <v>0.26666666666666666</v>
      </c>
      <c r="CJ1472" s="167">
        <v>2.2078431372549021</v>
      </c>
      <c r="CK1472" s="167">
        <v>2.2078431372549021</v>
      </c>
      <c r="CL1472" s="167">
        <v>2.2078431372549021</v>
      </c>
      <c r="CM1472" s="167">
        <v>2.2078431372549021</v>
      </c>
      <c r="CN1472" s="167">
        <v>2.2078431372549021</v>
      </c>
      <c r="CO1472" s="167">
        <v>6.6911764705882346</v>
      </c>
      <c r="CP1472" s="167">
        <v>6.6911764705882346</v>
      </c>
      <c r="CQ1472" s="167">
        <v>6.6911764705882346</v>
      </c>
      <c r="CR1472" s="167">
        <v>6.6911764705882346</v>
      </c>
      <c r="CS1472" s="167">
        <v>6.6911764705882346</v>
      </c>
      <c r="CT1472" s="167">
        <v>7.5959383753501388</v>
      </c>
      <c r="CU1472" s="167">
        <v>7.5959383753501388</v>
      </c>
      <c r="CV1472" s="167">
        <v>7.5959383753501388</v>
      </c>
      <c r="CW1472" s="167">
        <v>7.5959383753501388</v>
      </c>
      <c r="CX1472" s="167">
        <f>SUM(CD1472:CH1472)</f>
        <v>1.0666666666666667</v>
      </c>
      <c r="CY1472" s="167">
        <f>SUM(CD1472:CM1472)</f>
        <v>10.164705882352941</v>
      </c>
    </row>
    <row r="1473" spans="1:103" ht="12" customHeight="1" x14ac:dyDescent="0.2">
      <c r="B1473" s="165" t="s">
        <v>3836</v>
      </c>
      <c r="F1473" s="165" t="s">
        <v>3835</v>
      </c>
      <c r="K1473" s="354"/>
      <c r="L1473" s="356">
        <v>0</v>
      </c>
      <c r="M1473" s="356">
        <v>499</v>
      </c>
      <c r="N1473" s="356">
        <v>499</v>
      </c>
      <c r="O1473" s="356">
        <v>745</v>
      </c>
      <c r="P1473" s="356">
        <v>745</v>
      </c>
      <c r="Q1473" s="81" t="s">
        <v>155</v>
      </c>
      <c r="R1473" s="356"/>
      <c r="S1473" s="81" t="s">
        <v>1906</v>
      </c>
      <c r="T1473" s="356"/>
      <c r="U1473" s="356"/>
      <c r="V1473" s="356"/>
      <c r="W1473" s="81" t="s">
        <v>114</v>
      </c>
      <c r="X1473" s="356"/>
      <c r="Y1473" s="81" t="s">
        <v>115</v>
      </c>
      <c r="Z1473" s="81" t="s">
        <v>116</v>
      </c>
      <c r="AA1473" s="81" t="s">
        <v>116</v>
      </c>
      <c r="AB1473" s="81" t="s">
        <v>117</v>
      </c>
      <c r="AC1473" s="356">
        <v>0</v>
      </c>
      <c r="AD1473" s="357"/>
      <c r="AG1473" s="81" t="s">
        <v>238</v>
      </c>
      <c r="AK1473" s="166">
        <v>0</v>
      </c>
      <c r="AM1473" s="166">
        <v>0</v>
      </c>
      <c r="AO1473" s="166">
        <v>0</v>
      </c>
      <c r="AP1473" s="166">
        <v>0</v>
      </c>
      <c r="AQ1473" s="166">
        <v>0</v>
      </c>
      <c r="AR1473" s="166">
        <v>0</v>
      </c>
      <c r="AS1473" s="166">
        <v>0</v>
      </c>
      <c r="AT1473" s="166">
        <v>0</v>
      </c>
      <c r="AU1473" s="356">
        <f>N1473</f>
        <v>499</v>
      </c>
      <c r="AV1473" s="356">
        <v>0</v>
      </c>
      <c r="AW1473" s="356">
        <v>0</v>
      </c>
      <c r="AX1473" s="356">
        <v>0</v>
      </c>
      <c r="AY1473" s="356">
        <v>0</v>
      </c>
      <c r="AZ1473" s="356">
        <v>0</v>
      </c>
      <c r="BA1473" s="356">
        <v>0</v>
      </c>
      <c r="BB1473" s="356">
        <f>AU1473</f>
        <v>499</v>
      </c>
      <c r="BC1473" s="356">
        <v>0</v>
      </c>
      <c r="BD1473" s="356">
        <v>0</v>
      </c>
      <c r="BE1473" s="356">
        <v>0</v>
      </c>
      <c r="BF1473" s="356">
        <v>0</v>
      </c>
      <c r="BG1473" s="356">
        <v>0</v>
      </c>
      <c r="BH1473" s="356">
        <v>0</v>
      </c>
      <c r="BI1473" s="356">
        <v>0</v>
      </c>
      <c r="BJ1473" s="356">
        <v>0</v>
      </c>
      <c r="BK1473" s="356">
        <v>0</v>
      </c>
      <c r="BL1473" s="356">
        <v>0</v>
      </c>
      <c r="BM1473" s="356">
        <v>0</v>
      </c>
      <c r="BN1473" s="356">
        <v>0</v>
      </c>
      <c r="BO1473" s="356">
        <v>0</v>
      </c>
      <c r="BP1473" s="356">
        <v>0</v>
      </c>
      <c r="BZ1473" s="81" t="s">
        <v>155</v>
      </c>
      <c r="CA1473" s="81">
        <v>13</v>
      </c>
      <c r="CC1473" s="167">
        <v>0</v>
      </c>
      <c r="CD1473" s="167">
        <v>0</v>
      </c>
      <c r="CE1473" s="167">
        <v>1.2666666666666666</v>
      </c>
      <c r="CF1473" s="167">
        <v>1.2666666666666666</v>
      </c>
      <c r="CG1473" s="167">
        <v>1.2666666666666666</v>
      </c>
      <c r="CH1473" s="167">
        <v>1.2666666666666666</v>
      </c>
      <c r="CI1473" s="167">
        <v>1.2666666666666666</v>
      </c>
      <c r="CJ1473" s="167">
        <v>11.031372549019608</v>
      </c>
      <c r="CK1473" s="167">
        <v>11.031372549019608</v>
      </c>
      <c r="CL1473" s="167">
        <v>11.031372549019608</v>
      </c>
      <c r="CM1473" s="167">
        <v>11.031372549019608</v>
      </c>
      <c r="CN1473" s="167">
        <v>11.031372549019608</v>
      </c>
      <c r="CO1473" s="167">
        <v>33.848039215686271</v>
      </c>
      <c r="CP1473" s="167">
        <v>33.848039215686271</v>
      </c>
      <c r="CQ1473" s="167">
        <v>33.848039215686271</v>
      </c>
      <c r="CR1473" s="167">
        <v>33.848039215686271</v>
      </c>
      <c r="CS1473" s="167">
        <v>33.848039215686271</v>
      </c>
      <c r="CT1473" s="167">
        <v>38.324229691876752</v>
      </c>
      <c r="CU1473" s="167">
        <v>38.324229691876752</v>
      </c>
      <c r="CV1473" s="167">
        <v>38.324229691876752</v>
      </c>
      <c r="CW1473" s="167">
        <v>38.324229691876752</v>
      </c>
      <c r="CX1473" s="167">
        <f>SUM(CD1473:CH1473)</f>
        <v>5.0666666666666664</v>
      </c>
      <c r="CY1473" s="167">
        <f>SUM(CD1473:CM1473)</f>
        <v>50.45882352941176</v>
      </c>
    </row>
    <row r="1474" spans="1:103" ht="12" customHeight="1" x14ac:dyDescent="0.2">
      <c r="B1474" s="165" t="s">
        <v>3836</v>
      </c>
      <c r="F1474" s="165" t="s">
        <v>154</v>
      </c>
      <c r="K1474" s="354"/>
      <c r="L1474" s="356">
        <v>0</v>
      </c>
      <c r="M1474" s="356">
        <v>147</v>
      </c>
      <c r="N1474" s="356">
        <v>147</v>
      </c>
      <c r="O1474" s="356">
        <v>745</v>
      </c>
      <c r="P1474" s="356">
        <v>745</v>
      </c>
      <c r="Q1474" s="81" t="s">
        <v>155</v>
      </c>
      <c r="R1474" s="356"/>
      <c r="S1474" s="81" t="s">
        <v>1906</v>
      </c>
      <c r="T1474" s="356"/>
      <c r="U1474" s="356"/>
      <c r="V1474" s="356"/>
      <c r="W1474" s="81" t="s">
        <v>114</v>
      </c>
      <c r="X1474" s="356"/>
      <c r="Y1474" s="81" t="s">
        <v>115</v>
      </c>
      <c r="Z1474" s="81" t="s">
        <v>116</v>
      </c>
      <c r="AA1474" s="81" t="s">
        <v>116</v>
      </c>
      <c r="AB1474" s="81" t="s">
        <v>117</v>
      </c>
      <c r="AC1474" s="356">
        <v>0</v>
      </c>
      <c r="AD1474" s="357"/>
      <c r="AG1474" s="81" t="s">
        <v>154</v>
      </c>
      <c r="AK1474" s="166">
        <v>0</v>
      </c>
      <c r="AM1474" s="166">
        <v>0</v>
      </c>
      <c r="AO1474" s="166">
        <v>0</v>
      </c>
      <c r="AP1474" s="166">
        <v>0</v>
      </c>
      <c r="AQ1474" s="166">
        <v>0</v>
      </c>
      <c r="AR1474" s="166">
        <v>0</v>
      </c>
      <c r="AS1474" s="166">
        <v>0</v>
      </c>
      <c r="AT1474" s="166">
        <v>0</v>
      </c>
      <c r="AU1474" s="356">
        <f>N1474</f>
        <v>147</v>
      </c>
      <c r="AV1474" s="356">
        <v>0</v>
      </c>
      <c r="AW1474" s="356">
        <v>0</v>
      </c>
      <c r="AX1474" s="356">
        <v>0</v>
      </c>
      <c r="AY1474" s="356">
        <v>0</v>
      </c>
      <c r="AZ1474" s="356">
        <v>0</v>
      </c>
      <c r="BA1474" s="356">
        <v>0</v>
      </c>
      <c r="BB1474" s="356">
        <f>AU1474</f>
        <v>147</v>
      </c>
      <c r="BC1474" s="356">
        <v>0</v>
      </c>
      <c r="BD1474" s="356">
        <v>0</v>
      </c>
      <c r="BE1474" s="356">
        <v>0</v>
      </c>
      <c r="BF1474" s="356">
        <v>0</v>
      </c>
      <c r="BG1474" s="356">
        <v>0</v>
      </c>
      <c r="BH1474" s="356">
        <v>0</v>
      </c>
      <c r="BI1474" s="356">
        <v>0</v>
      </c>
      <c r="BJ1474" s="356">
        <v>0</v>
      </c>
      <c r="BK1474" s="356">
        <v>0</v>
      </c>
      <c r="BL1474" s="356">
        <v>0</v>
      </c>
      <c r="BM1474" s="356">
        <v>0</v>
      </c>
      <c r="BN1474" s="356">
        <v>0</v>
      </c>
      <c r="BO1474" s="356">
        <v>0</v>
      </c>
      <c r="BP1474" s="356">
        <v>0</v>
      </c>
      <c r="BZ1474" s="81" t="s">
        <v>155</v>
      </c>
      <c r="CA1474" s="81">
        <v>13</v>
      </c>
      <c r="CC1474" s="167">
        <v>0</v>
      </c>
      <c r="CD1474" s="167">
        <v>0</v>
      </c>
      <c r="CE1474" s="167">
        <v>0.4</v>
      </c>
      <c r="CF1474" s="167">
        <v>0.4</v>
      </c>
      <c r="CG1474" s="167">
        <v>0.4</v>
      </c>
      <c r="CH1474" s="167">
        <v>0.4</v>
      </c>
      <c r="CI1474" s="167">
        <v>0.4</v>
      </c>
      <c r="CJ1474" s="167">
        <v>3.2823529411764705</v>
      </c>
      <c r="CK1474" s="167">
        <v>3.2823529411764705</v>
      </c>
      <c r="CL1474" s="167">
        <v>3.2823529411764705</v>
      </c>
      <c r="CM1474" s="167">
        <v>3.2823529411764705</v>
      </c>
      <c r="CN1474" s="167">
        <v>3.2823529411764705</v>
      </c>
      <c r="CO1474" s="167">
        <v>9.8656862745098053</v>
      </c>
      <c r="CP1474" s="167">
        <v>9.8656862745098053</v>
      </c>
      <c r="CQ1474" s="167">
        <v>9.8656862745098053</v>
      </c>
      <c r="CR1474" s="167">
        <v>9.8656862745098053</v>
      </c>
      <c r="CS1474" s="167">
        <v>9.8656862745098053</v>
      </c>
      <c r="CT1474" s="167">
        <v>11.322829131652661</v>
      </c>
      <c r="CU1474" s="167">
        <v>11.322829131652661</v>
      </c>
      <c r="CV1474" s="167">
        <v>11.322829131652661</v>
      </c>
      <c r="CW1474" s="167">
        <v>11.322829131652661</v>
      </c>
      <c r="CX1474" s="167">
        <f>SUM(CD1474:CH1474)</f>
        <v>1.6</v>
      </c>
      <c r="CY1474" s="167">
        <f>SUM(CD1474:CM1474)</f>
        <v>15.129411764705882</v>
      </c>
    </row>
    <row r="1475" spans="1:103" ht="12" customHeight="1" x14ac:dyDescent="0.2">
      <c r="B1475" s="165" t="s">
        <v>3837</v>
      </c>
      <c r="L1475" s="166">
        <v>0</v>
      </c>
      <c r="M1475" s="166">
        <v>7362</v>
      </c>
      <c r="N1475" s="166">
        <v>7362</v>
      </c>
      <c r="O1475" s="166">
        <v>7362</v>
      </c>
      <c r="P1475" s="166">
        <v>7362</v>
      </c>
      <c r="S1475" s="81" t="s">
        <v>1906</v>
      </c>
      <c r="W1475" s="81" t="s">
        <v>114</v>
      </c>
      <c r="Y1475" s="81" t="s">
        <v>115</v>
      </c>
      <c r="Z1475" s="81" t="s">
        <v>398</v>
      </c>
      <c r="AA1475" s="81" t="s">
        <v>117</v>
      </c>
      <c r="AB1475" s="81" t="s">
        <v>120</v>
      </c>
      <c r="AC1475" s="166">
        <v>0</v>
      </c>
      <c r="AG1475" s="81" t="s">
        <v>238</v>
      </c>
      <c r="AH1475" s="81" t="s">
        <v>118</v>
      </c>
      <c r="AK1475" s="166">
        <v>0</v>
      </c>
      <c r="AM1475" s="166">
        <v>0</v>
      </c>
      <c r="AO1475" s="166">
        <v>0</v>
      </c>
      <c r="AP1475" s="166">
        <v>0</v>
      </c>
      <c r="AQ1475" s="166">
        <v>0</v>
      </c>
      <c r="AR1475" s="166">
        <v>0</v>
      </c>
      <c r="AS1475" s="166">
        <v>0</v>
      </c>
      <c r="AT1475" s="166">
        <v>0</v>
      </c>
      <c r="AU1475" s="166">
        <v>0</v>
      </c>
      <c r="AV1475" s="166">
        <v>0</v>
      </c>
      <c r="AW1475" s="166">
        <v>0</v>
      </c>
      <c r="AX1475" s="166">
        <v>0</v>
      </c>
      <c r="AY1475" s="166">
        <v>0</v>
      </c>
      <c r="AZ1475" s="166">
        <v>0</v>
      </c>
      <c r="BA1475" s="166">
        <v>0</v>
      </c>
      <c r="BB1475" s="166">
        <v>0</v>
      </c>
      <c r="BC1475" s="166">
        <v>0</v>
      </c>
      <c r="BD1475" s="166">
        <v>0</v>
      </c>
      <c r="BE1475" s="166">
        <v>0</v>
      </c>
      <c r="BF1475" s="166">
        <v>0</v>
      </c>
      <c r="BG1475" s="166">
        <v>0</v>
      </c>
      <c r="BH1475" s="166">
        <v>0</v>
      </c>
      <c r="BI1475" s="166">
        <v>0</v>
      </c>
      <c r="BJ1475" s="166">
        <v>0</v>
      </c>
      <c r="BK1475" s="166">
        <v>0</v>
      </c>
      <c r="BL1475" s="166">
        <v>0</v>
      </c>
      <c r="BM1475" s="166">
        <v>0</v>
      </c>
      <c r="BN1475" s="166">
        <v>0</v>
      </c>
      <c r="BO1475" s="166">
        <v>0</v>
      </c>
      <c r="BP1475" s="166">
        <v>0</v>
      </c>
      <c r="BZ1475" s="81" t="s">
        <v>155</v>
      </c>
      <c r="CA1475" s="81">
        <v>14</v>
      </c>
      <c r="CC1475" s="167">
        <v>0</v>
      </c>
      <c r="CD1475" s="167">
        <v>0</v>
      </c>
      <c r="CE1475" s="167">
        <v>0</v>
      </c>
      <c r="CF1475" s="167">
        <v>409</v>
      </c>
      <c r="CG1475" s="167">
        <v>409</v>
      </c>
      <c r="CH1475" s="167">
        <v>409</v>
      </c>
      <c r="CI1475" s="167">
        <v>409</v>
      </c>
      <c r="CJ1475" s="167">
        <v>409</v>
      </c>
      <c r="CK1475" s="167">
        <v>409</v>
      </c>
      <c r="CL1475" s="167">
        <v>409</v>
      </c>
      <c r="CM1475" s="167">
        <v>409</v>
      </c>
      <c r="CN1475" s="167">
        <v>409</v>
      </c>
      <c r="CO1475" s="167">
        <v>409</v>
      </c>
      <c r="CP1475" s="167">
        <v>409</v>
      </c>
      <c r="CQ1475" s="167">
        <v>409</v>
      </c>
      <c r="CR1475" s="167">
        <v>409</v>
      </c>
      <c r="CS1475" s="167">
        <v>409</v>
      </c>
      <c r="CT1475" s="167">
        <v>409</v>
      </c>
      <c r="CU1475" s="167">
        <v>409</v>
      </c>
      <c r="CV1475" s="167">
        <v>409</v>
      </c>
      <c r="CW1475" s="167">
        <v>409</v>
      </c>
      <c r="CX1475" s="167">
        <f>SUM(CD1475:CH1475)</f>
        <v>1227</v>
      </c>
      <c r="CY1475" s="167">
        <f>SUM(CD1475:CM1475)</f>
        <v>3272</v>
      </c>
    </row>
    <row r="1476" spans="1:103" ht="12" customHeight="1" x14ac:dyDescent="0.2">
      <c r="A1476" s="81">
        <v>116</v>
      </c>
      <c r="B1476" s="165" t="s">
        <v>3840</v>
      </c>
      <c r="C1476" s="165" t="s">
        <v>3838</v>
      </c>
      <c r="E1476" s="165" t="s">
        <v>3332</v>
      </c>
      <c r="G1476" s="81">
        <v>524382</v>
      </c>
      <c r="H1476" s="81">
        <v>175284</v>
      </c>
      <c r="I1476" s="165" t="s">
        <v>259</v>
      </c>
      <c r="J1476" s="350">
        <v>41364</v>
      </c>
      <c r="K1476" s="350">
        <v>42094</v>
      </c>
      <c r="L1476" s="166">
        <v>3</v>
      </c>
      <c r="M1476" s="166">
        <v>0</v>
      </c>
      <c r="N1476" s="166">
        <v>-3</v>
      </c>
      <c r="O1476" s="166">
        <v>0</v>
      </c>
      <c r="P1476" s="166">
        <v>-7</v>
      </c>
      <c r="R1476" s="165" t="s">
        <v>3839</v>
      </c>
      <c r="S1476" s="81" t="s">
        <v>3843</v>
      </c>
      <c r="T1476" s="350">
        <v>40970</v>
      </c>
      <c r="U1476" s="350">
        <v>41058</v>
      </c>
      <c r="W1476" s="81" t="s">
        <v>114</v>
      </c>
      <c r="Y1476" s="81" t="s">
        <v>115</v>
      </c>
      <c r="Z1476" s="81" t="s">
        <v>398</v>
      </c>
      <c r="AA1476" s="81" t="s">
        <v>117</v>
      </c>
      <c r="AB1476" s="81" t="s">
        <v>218</v>
      </c>
      <c r="AC1476" s="166">
        <v>2.4E-2</v>
      </c>
      <c r="AD1476" s="350">
        <v>41364</v>
      </c>
      <c r="AF1476" s="350">
        <v>42094</v>
      </c>
      <c r="AG1476" s="81" t="s">
        <v>238</v>
      </c>
      <c r="AH1476" s="81" t="s">
        <v>118</v>
      </c>
      <c r="AK1476" s="166">
        <v>0</v>
      </c>
      <c r="AM1476" s="166">
        <v>0</v>
      </c>
      <c r="AO1476" s="166">
        <v>0</v>
      </c>
      <c r="AP1476" s="166">
        <v>0</v>
      </c>
      <c r="AQ1476" s="166">
        <v>-3</v>
      </c>
      <c r="AR1476" s="166">
        <v>0</v>
      </c>
      <c r="AS1476" s="166">
        <v>0</v>
      </c>
      <c r="AT1476" s="166">
        <v>0</v>
      </c>
      <c r="AU1476" s="166">
        <v>0</v>
      </c>
      <c r="AV1476" s="166">
        <v>0</v>
      </c>
      <c r="AW1476" s="166">
        <v>0</v>
      </c>
      <c r="AX1476" s="166">
        <v>-3</v>
      </c>
      <c r="AY1476" s="166">
        <v>0</v>
      </c>
      <c r="AZ1476" s="166">
        <v>0</v>
      </c>
      <c r="BA1476" s="166">
        <v>0</v>
      </c>
      <c r="BB1476" s="166">
        <v>0</v>
      </c>
      <c r="BC1476" s="166">
        <v>0</v>
      </c>
      <c r="BD1476" s="166">
        <v>0</v>
      </c>
      <c r="BE1476" s="166">
        <v>0</v>
      </c>
      <c r="BF1476" s="166">
        <v>0</v>
      </c>
      <c r="BG1476" s="166">
        <v>0</v>
      </c>
      <c r="BH1476" s="166">
        <v>0</v>
      </c>
      <c r="BI1476" s="166">
        <v>0</v>
      </c>
      <c r="BJ1476" s="166">
        <v>0</v>
      </c>
      <c r="BK1476" s="166">
        <v>0</v>
      </c>
      <c r="BL1476" s="166">
        <v>0</v>
      </c>
      <c r="BM1476" s="166">
        <v>0</v>
      </c>
      <c r="BN1476" s="166">
        <v>0</v>
      </c>
      <c r="BO1476" s="166">
        <v>0</v>
      </c>
      <c r="BP1476" s="166">
        <v>0</v>
      </c>
      <c r="BQ1476" s="81" t="s">
        <v>1758</v>
      </c>
      <c r="BZ1476" s="81" t="s">
        <v>155</v>
      </c>
      <c r="CA1476" s="81">
        <v>16</v>
      </c>
      <c r="CC1476" s="167">
        <f>N1476</f>
        <v>-3</v>
      </c>
      <c r="CD1476" s="167">
        <v>0</v>
      </c>
      <c r="CE1476" s="167">
        <v>0</v>
      </c>
      <c r="CF1476" s="167">
        <v>0</v>
      </c>
      <c r="CG1476" s="167">
        <v>0</v>
      </c>
      <c r="CH1476" s="167">
        <v>0</v>
      </c>
      <c r="CI1476" s="167">
        <v>0</v>
      </c>
      <c r="CJ1476" s="167">
        <v>0</v>
      </c>
      <c r="CK1476" s="167">
        <v>0</v>
      </c>
      <c r="CL1476" s="167">
        <v>0</v>
      </c>
      <c r="CM1476" s="167">
        <v>0</v>
      </c>
      <c r="CN1476" s="167">
        <v>0</v>
      </c>
      <c r="CO1476" s="167">
        <v>0</v>
      </c>
      <c r="CP1476" s="167">
        <v>0</v>
      </c>
      <c r="CQ1476" s="167">
        <v>0</v>
      </c>
      <c r="CR1476" s="167">
        <v>0</v>
      </c>
      <c r="CS1476" s="167">
        <v>0</v>
      </c>
      <c r="CT1476" s="167">
        <v>0</v>
      </c>
      <c r="CU1476" s="167">
        <v>0</v>
      </c>
      <c r="CV1476" s="167">
        <v>0</v>
      </c>
      <c r="CW1476" s="167">
        <v>0</v>
      </c>
      <c r="CX1476" s="167">
        <f>SUM(CD1476:CH1476)</f>
        <v>0</v>
      </c>
      <c r="CY1476" s="167">
        <f>SUM(CD1476:CM1476)</f>
        <v>0</v>
      </c>
    </row>
    <row r="1477" spans="1:103" ht="12" customHeight="1" x14ac:dyDescent="0.2">
      <c r="A1477" s="81">
        <v>116</v>
      </c>
      <c r="B1477" s="165" t="s">
        <v>3840</v>
      </c>
      <c r="C1477" s="165" t="s">
        <v>3838</v>
      </c>
      <c r="E1477" s="165" t="s">
        <v>3332</v>
      </c>
      <c r="G1477" s="81">
        <v>524382</v>
      </c>
      <c r="H1477" s="81">
        <v>175284</v>
      </c>
      <c r="I1477" s="165" t="s">
        <v>259</v>
      </c>
      <c r="J1477" s="350">
        <v>41364</v>
      </c>
      <c r="K1477" s="350">
        <v>42094</v>
      </c>
      <c r="L1477" s="166">
        <v>4</v>
      </c>
      <c r="M1477" s="166">
        <v>0</v>
      </c>
      <c r="N1477" s="166">
        <v>-4</v>
      </c>
      <c r="O1477" s="166">
        <v>0</v>
      </c>
      <c r="P1477" s="166">
        <v>-7</v>
      </c>
      <c r="R1477" s="165" t="s">
        <v>3839</v>
      </c>
      <c r="S1477" s="81" t="s">
        <v>3843</v>
      </c>
      <c r="T1477" s="350">
        <v>40970</v>
      </c>
      <c r="U1477" s="350">
        <v>41058</v>
      </c>
      <c r="W1477" s="81" t="s">
        <v>114</v>
      </c>
      <c r="Y1477" s="81" t="s">
        <v>115</v>
      </c>
      <c r="Z1477" s="81" t="s">
        <v>398</v>
      </c>
      <c r="AA1477" s="81" t="s">
        <v>117</v>
      </c>
      <c r="AB1477" s="81" t="s">
        <v>300</v>
      </c>
      <c r="AC1477" s="166">
        <v>1.0999999999999999E-2</v>
      </c>
      <c r="AD1477" s="350">
        <v>41364</v>
      </c>
      <c r="AF1477" s="350">
        <v>42094</v>
      </c>
      <c r="AG1477" s="81" t="s">
        <v>238</v>
      </c>
      <c r="AH1477" s="81" t="s">
        <v>118</v>
      </c>
      <c r="AK1477" s="166">
        <v>0</v>
      </c>
      <c r="AM1477" s="166">
        <v>0</v>
      </c>
      <c r="AO1477" s="166">
        <v>0</v>
      </c>
      <c r="AP1477" s="166">
        <v>-3</v>
      </c>
      <c r="AQ1477" s="166">
        <v>-1</v>
      </c>
      <c r="AR1477" s="166">
        <v>0</v>
      </c>
      <c r="AS1477" s="166">
        <v>0</v>
      </c>
      <c r="AT1477" s="166">
        <v>0</v>
      </c>
      <c r="AU1477" s="166">
        <v>0</v>
      </c>
      <c r="AV1477" s="166">
        <v>0</v>
      </c>
      <c r="AW1477" s="166">
        <v>-3</v>
      </c>
      <c r="AX1477" s="166">
        <v>-1</v>
      </c>
      <c r="AY1477" s="166">
        <v>0</v>
      </c>
      <c r="AZ1477" s="166">
        <v>0</v>
      </c>
      <c r="BA1477" s="166">
        <v>0</v>
      </c>
      <c r="BB1477" s="166">
        <v>0</v>
      </c>
      <c r="BC1477" s="166">
        <v>0</v>
      </c>
      <c r="BD1477" s="166">
        <v>0</v>
      </c>
      <c r="BE1477" s="166">
        <v>0</v>
      </c>
      <c r="BF1477" s="166">
        <v>0</v>
      </c>
      <c r="BG1477" s="166">
        <v>0</v>
      </c>
      <c r="BH1477" s="166">
        <v>0</v>
      </c>
      <c r="BI1477" s="166">
        <v>0</v>
      </c>
      <c r="BJ1477" s="166">
        <v>0</v>
      </c>
      <c r="BK1477" s="166">
        <v>0</v>
      </c>
      <c r="BL1477" s="166">
        <v>0</v>
      </c>
      <c r="BM1477" s="166">
        <v>0</v>
      </c>
      <c r="BN1477" s="166">
        <v>0</v>
      </c>
      <c r="BO1477" s="166">
        <v>0</v>
      </c>
      <c r="BP1477" s="166">
        <v>0</v>
      </c>
      <c r="BQ1477" s="81" t="s">
        <v>1758</v>
      </c>
      <c r="BZ1477" s="81" t="s">
        <v>155</v>
      </c>
      <c r="CA1477" s="81">
        <v>16</v>
      </c>
      <c r="CC1477" s="167">
        <f>N1477</f>
        <v>-4</v>
      </c>
      <c r="CD1477" s="167">
        <v>0</v>
      </c>
      <c r="CE1477" s="167">
        <v>0</v>
      </c>
      <c r="CF1477" s="167">
        <v>0</v>
      </c>
      <c r="CG1477" s="167">
        <v>0</v>
      </c>
      <c r="CH1477" s="167">
        <v>0</v>
      </c>
      <c r="CI1477" s="167">
        <v>0</v>
      </c>
      <c r="CJ1477" s="167">
        <v>0</v>
      </c>
      <c r="CK1477" s="167">
        <v>0</v>
      </c>
      <c r="CL1477" s="167">
        <v>0</v>
      </c>
      <c r="CM1477" s="167">
        <v>0</v>
      </c>
      <c r="CN1477" s="167">
        <v>0</v>
      </c>
      <c r="CO1477" s="167">
        <v>0</v>
      </c>
      <c r="CP1477" s="167">
        <v>0</v>
      </c>
      <c r="CQ1477" s="167">
        <v>0</v>
      </c>
      <c r="CR1477" s="167">
        <v>0</v>
      </c>
      <c r="CS1477" s="167">
        <v>0</v>
      </c>
      <c r="CT1477" s="167">
        <v>0</v>
      </c>
      <c r="CU1477" s="167">
        <v>0</v>
      </c>
      <c r="CV1477" s="167">
        <v>0</v>
      </c>
      <c r="CW1477" s="167">
        <v>0</v>
      </c>
      <c r="CX1477" s="167">
        <f>SUM(CD1477:CH1477)</f>
        <v>0</v>
      </c>
      <c r="CY1477" s="167">
        <f>SUM(CD1477:CM1477)</f>
        <v>0</v>
      </c>
    </row>
    <row r="1478" spans="1:103" ht="12.75" customHeight="1" x14ac:dyDescent="0.2">
      <c r="A1478" s="81">
        <v>4984</v>
      </c>
      <c r="B1478" s="165" t="s">
        <v>3840</v>
      </c>
      <c r="C1478" s="165" t="s">
        <v>3841</v>
      </c>
      <c r="E1478" s="165" t="s">
        <v>2114</v>
      </c>
      <c r="G1478" s="81">
        <v>524707</v>
      </c>
      <c r="H1478" s="81">
        <v>173200</v>
      </c>
      <c r="I1478" s="165" t="s">
        <v>111</v>
      </c>
      <c r="J1478" s="350">
        <v>42095</v>
      </c>
      <c r="K1478" s="350">
        <v>42552</v>
      </c>
      <c r="L1478" s="166">
        <v>8</v>
      </c>
      <c r="M1478" s="166">
        <v>1</v>
      </c>
      <c r="N1478" s="166">
        <v>-7</v>
      </c>
      <c r="O1478" s="166">
        <v>1</v>
      </c>
      <c r="P1478" s="166">
        <v>-7</v>
      </c>
      <c r="R1478" s="165" t="s">
        <v>3842</v>
      </c>
      <c r="S1478" s="81" t="s">
        <v>3843</v>
      </c>
      <c r="T1478" s="349">
        <v>41612</v>
      </c>
      <c r="U1478" s="350">
        <v>41991</v>
      </c>
      <c r="W1478" s="81" t="s">
        <v>114</v>
      </c>
      <c r="Y1478" s="81" t="s">
        <v>115</v>
      </c>
      <c r="Z1478" s="81" t="s">
        <v>398</v>
      </c>
      <c r="AA1478" s="81" t="s">
        <v>117</v>
      </c>
      <c r="AB1478" s="81" t="s">
        <v>218</v>
      </c>
      <c r="AC1478" s="166">
        <v>5.2999999374151202E-2</v>
      </c>
      <c r="AD1478" s="350">
        <v>42095</v>
      </c>
      <c r="AF1478" s="350">
        <v>42552</v>
      </c>
      <c r="AG1478" s="81" t="s">
        <v>238</v>
      </c>
      <c r="AH1478" s="81" t="s">
        <v>118</v>
      </c>
      <c r="AK1478" s="166">
        <v>0</v>
      </c>
      <c r="AM1478" s="166">
        <v>0</v>
      </c>
      <c r="AO1478" s="166">
        <v>-1</v>
      </c>
      <c r="AP1478" s="166">
        <v>-1</v>
      </c>
      <c r="AQ1478" s="166">
        <v>-5</v>
      </c>
      <c r="AR1478" s="166">
        <v>-1</v>
      </c>
      <c r="AS1478" s="166">
        <v>1</v>
      </c>
      <c r="AT1478" s="166">
        <v>0</v>
      </c>
      <c r="AU1478" s="166">
        <v>0</v>
      </c>
      <c r="AV1478" s="166">
        <v>-1</v>
      </c>
      <c r="AW1478" s="166">
        <v>-1</v>
      </c>
      <c r="AX1478" s="166">
        <v>-5</v>
      </c>
      <c r="AY1478" s="166">
        <v>-1</v>
      </c>
      <c r="AZ1478" s="166">
        <v>1</v>
      </c>
      <c r="BA1478" s="166">
        <v>0</v>
      </c>
      <c r="BB1478" s="166">
        <v>0</v>
      </c>
      <c r="BC1478" s="166">
        <v>0</v>
      </c>
      <c r="BD1478" s="166">
        <v>0</v>
      </c>
      <c r="BE1478" s="166">
        <v>0</v>
      </c>
      <c r="BF1478" s="166">
        <v>0</v>
      </c>
      <c r="BG1478" s="166">
        <v>0</v>
      </c>
      <c r="BH1478" s="166">
        <v>0</v>
      </c>
      <c r="BI1478" s="166">
        <v>0</v>
      </c>
      <c r="BJ1478" s="166">
        <v>0</v>
      </c>
      <c r="BK1478" s="166">
        <v>0</v>
      </c>
      <c r="BL1478" s="166">
        <v>0</v>
      </c>
      <c r="BM1478" s="166">
        <v>0</v>
      </c>
      <c r="BN1478" s="166">
        <v>0</v>
      </c>
      <c r="BO1478" s="166">
        <v>0</v>
      </c>
      <c r="BP1478" s="166">
        <v>0</v>
      </c>
      <c r="BQ1478" s="81" t="s">
        <v>1758</v>
      </c>
      <c r="BZ1478" s="81" t="s">
        <v>155</v>
      </c>
      <c r="CA1478" s="81">
        <v>16</v>
      </c>
      <c r="CC1478" s="167">
        <f>N1478</f>
        <v>-7</v>
      </c>
      <c r="CD1478" s="167">
        <v>0</v>
      </c>
      <c r="CE1478" s="167">
        <v>0</v>
      </c>
      <c r="CF1478" s="167">
        <v>0</v>
      </c>
      <c r="CG1478" s="167">
        <v>0</v>
      </c>
      <c r="CH1478" s="167">
        <v>0</v>
      </c>
      <c r="CI1478" s="167">
        <v>0</v>
      </c>
      <c r="CJ1478" s="167">
        <v>0</v>
      </c>
      <c r="CK1478" s="167">
        <v>0</v>
      </c>
      <c r="CL1478" s="167">
        <v>0</v>
      </c>
      <c r="CM1478" s="167">
        <v>0</v>
      </c>
      <c r="CN1478" s="167">
        <v>0</v>
      </c>
      <c r="CO1478" s="167">
        <v>0</v>
      </c>
      <c r="CP1478" s="167">
        <v>0</v>
      </c>
      <c r="CQ1478" s="167">
        <v>0</v>
      </c>
      <c r="CR1478" s="167">
        <v>0</v>
      </c>
      <c r="CS1478" s="167">
        <v>0</v>
      </c>
      <c r="CT1478" s="167">
        <v>0</v>
      </c>
      <c r="CU1478" s="167">
        <v>0</v>
      </c>
      <c r="CV1478" s="167">
        <v>0</v>
      </c>
      <c r="CW1478" s="167">
        <v>0</v>
      </c>
      <c r="CX1478" s="167">
        <f>SUM(CD1478:CH1478)</f>
        <v>0</v>
      </c>
      <c r="CY1478" s="167">
        <f>SUM(CD1478:CM1478)</f>
        <v>0</v>
      </c>
    </row>
    <row r="1479" spans="1:103" ht="12" customHeight="1" x14ac:dyDescent="0.2">
      <c r="A1479" s="81">
        <v>5640</v>
      </c>
      <c r="B1479" s="165" t="s">
        <v>3840</v>
      </c>
      <c r="C1479" s="165" t="s">
        <v>3844</v>
      </c>
      <c r="E1479" s="165" t="s">
        <v>3845</v>
      </c>
      <c r="G1479" s="81">
        <v>527333</v>
      </c>
      <c r="H1479" s="81">
        <v>175518</v>
      </c>
      <c r="I1479" s="165" t="s">
        <v>255</v>
      </c>
      <c r="J1479" s="350">
        <v>42716</v>
      </c>
      <c r="K1479" s="350">
        <v>42783</v>
      </c>
      <c r="L1479" s="166">
        <v>62</v>
      </c>
      <c r="M1479" s="166">
        <v>0</v>
      </c>
      <c r="N1479" s="166">
        <v>-62</v>
      </c>
      <c r="O1479" s="166">
        <v>0</v>
      </c>
      <c r="P1479" s="166">
        <v>-62</v>
      </c>
      <c r="R1479" s="165" t="s">
        <v>3846</v>
      </c>
      <c r="S1479" s="81" t="s">
        <v>270</v>
      </c>
      <c r="T1479" s="350">
        <v>41884</v>
      </c>
      <c r="U1479" s="350">
        <v>41940</v>
      </c>
      <c r="W1479" s="81" t="s">
        <v>114</v>
      </c>
      <c r="Y1479" s="81" t="s">
        <v>115</v>
      </c>
      <c r="Z1479" s="81" t="s">
        <v>310</v>
      </c>
      <c r="AA1479" s="81" t="s">
        <v>1764</v>
      </c>
      <c r="AB1479" s="81" t="s">
        <v>117</v>
      </c>
      <c r="AC1479" s="166">
        <v>0.122</v>
      </c>
      <c r="AD1479" s="350">
        <v>42716</v>
      </c>
      <c r="AF1479" s="350">
        <v>42783</v>
      </c>
      <c r="AG1479" s="81" t="s">
        <v>238</v>
      </c>
      <c r="AH1479" s="81" t="s">
        <v>118</v>
      </c>
      <c r="AK1479" s="166">
        <v>0</v>
      </c>
      <c r="AM1479" s="166">
        <v>0</v>
      </c>
      <c r="AO1479" s="166">
        <v>0</v>
      </c>
      <c r="AP1479" s="166">
        <v>-18</v>
      </c>
      <c r="AQ1479" s="166">
        <v>-36</v>
      </c>
      <c r="AR1479" s="166">
        <v>-8</v>
      </c>
      <c r="AS1479" s="166">
        <v>0</v>
      </c>
      <c r="AT1479" s="166">
        <v>0</v>
      </c>
      <c r="AU1479" s="166">
        <v>0</v>
      </c>
      <c r="AV1479" s="166">
        <v>0</v>
      </c>
      <c r="AW1479" s="166">
        <v>-18</v>
      </c>
      <c r="AX1479" s="166">
        <v>-36</v>
      </c>
      <c r="AY1479" s="166">
        <v>-8</v>
      </c>
      <c r="AZ1479" s="166">
        <v>0</v>
      </c>
      <c r="BA1479" s="166">
        <v>0</v>
      </c>
      <c r="BB1479" s="166">
        <v>0</v>
      </c>
      <c r="BC1479" s="166">
        <v>0</v>
      </c>
      <c r="BD1479" s="166">
        <v>0</v>
      </c>
      <c r="BE1479" s="166">
        <v>0</v>
      </c>
      <c r="BF1479" s="166">
        <v>0</v>
      </c>
      <c r="BG1479" s="166">
        <v>0</v>
      </c>
      <c r="BH1479" s="166">
        <v>0</v>
      </c>
      <c r="BI1479" s="166">
        <v>0</v>
      </c>
      <c r="BJ1479" s="166">
        <v>0</v>
      </c>
      <c r="BK1479" s="166">
        <v>0</v>
      </c>
      <c r="BL1479" s="166">
        <v>0</v>
      </c>
      <c r="BM1479" s="166">
        <v>0</v>
      </c>
      <c r="BN1479" s="166">
        <v>0</v>
      </c>
      <c r="BO1479" s="166">
        <v>0</v>
      </c>
      <c r="BP1479" s="166">
        <v>0</v>
      </c>
      <c r="BQ1479" s="81" t="s">
        <v>1757</v>
      </c>
      <c r="BZ1479" s="81" t="s">
        <v>155</v>
      </c>
      <c r="CA1479" s="81">
        <v>16</v>
      </c>
      <c r="CC1479" s="167">
        <f>N1479</f>
        <v>-62</v>
      </c>
      <c r="CD1479" s="167">
        <v>0</v>
      </c>
      <c r="CE1479" s="167">
        <v>0</v>
      </c>
      <c r="CF1479" s="167">
        <v>0</v>
      </c>
      <c r="CG1479" s="167">
        <v>0</v>
      </c>
      <c r="CH1479" s="167">
        <v>0</v>
      </c>
      <c r="CI1479" s="167">
        <v>0</v>
      </c>
      <c r="CJ1479" s="167">
        <v>0</v>
      </c>
      <c r="CK1479" s="167">
        <v>0</v>
      </c>
      <c r="CL1479" s="167">
        <v>0</v>
      </c>
      <c r="CM1479" s="167">
        <v>0</v>
      </c>
      <c r="CN1479" s="167">
        <v>0</v>
      </c>
      <c r="CO1479" s="167">
        <v>0</v>
      </c>
      <c r="CP1479" s="167">
        <v>0</v>
      </c>
      <c r="CQ1479" s="167">
        <v>0</v>
      </c>
      <c r="CR1479" s="167">
        <v>0</v>
      </c>
      <c r="CS1479" s="167">
        <v>0</v>
      </c>
      <c r="CT1479" s="167">
        <v>0</v>
      </c>
      <c r="CU1479" s="167">
        <v>0</v>
      </c>
      <c r="CV1479" s="167">
        <v>0</v>
      </c>
      <c r="CW1479" s="167">
        <v>0</v>
      </c>
      <c r="CX1479" s="167">
        <f>SUM(CD1479:CH1479)</f>
        <v>0</v>
      </c>
      <c r="CY1479" s="167">
        <f>SUM(CD1479:CM1479)</f>
        <v>0</v>
      </c>
    </row>
  </sheetData>
  <autoFilter ref="A1:CY1479" xr:uid="{00000000-0009-0000-0000-000003000000}">
    <sortState ref="A2:CY1479">
      <sortCondition ref="B2:B1479"/>
      <sortCondition ref="A2:A1479"/>
      <sortCondition ref="C2:C1479"/>
      <sortCondition ref="F2:F1479"/>
      <sortCondition descending="1" ref="M2:M1479"/>
    </sortState>
  </autoFilter>
  <sortState ref="A2:DA1485">
    <sortCondition ref="B2:B1485"/>
    <sortCondition ref="A2:A1485"/>
    <sortCondition ref="F2:F1485"/>
    <sortCondition ref="C2:C1485"/>
  </sortState>
  <pageMargins left="0.39370078740157483" right="0.39370078740157483" top="0.39370078740157483" bottom="0.39370078740157483" header="0.19685039370078741" footer="0.19685039370078741"/>
  <pageSetup paperSize="8" fitToHeight="0" orientation="landscape"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dimension ref="A1:I8"/>
  <sheetViews>
    <sheetView workbookViewId="0">
      <selection activeCell="B2" sqref="B2"/>
    </sheetView>
  </sheetViews>
  <sheetFormatPr defaultRowHeight="12.75" x14ac:dyDescent="0.2"/>
  <cols>
    <col min="1" max="1" width="19.5703125" customWidth="1"/>
    <col min="2" max="2" width="22.85546875" customWidth="1"/>
    <col min="3" max="6" width="22.140625" customWidth="1"/>
    <col min="7" max="7" width="23.28515625" customWidth="1"/>
    <col min="8" max="8" width="31.28515625" customWidth="1"/>
    <col min="9" max="9" width="22.5703125" customWidth="1"/>
  </cols>
  <sheetData>
    <row r="1" spans="1:9" x14ac:dyDescent="0.2">
      <c r="A1" s="82" t="s">
        <v>197</v>
      </c>
      <c r="B1" s="199" t="s">
        <v>3871</v>
      </c>
      <c r="C1" s="46"/>
      <c r="D1" s="46"/>
      <c r="E1" s="46"/>
      <c r="F1" s="46"/>
      <c r="G1" s="46"/>
      <c r="H1" s="46"/>
      <c r="I1" s="46"/>
    </row>
    <row r="2" spans="1:9" x14ac:dyDescent="0.2">
      <c r="A2" s="82" t="s">
        <v>179</v>
      </c>
      <c r="B2" s="199" t="s">
        <v>116</v>
      </c>
      <c r="C2" s="46"/>
      <c r="D2" s="46"/>
      <c r="E2" s="46"/>
      <c r="F2" s="46"/>
      <c r="G2" s="46"/>
      <c r="H2" s="46"/>
      <c r="I2" s="46"/>
    </row>
    <row r="3" spans="1:9" x14ac:dyDescent="0.2">
      <c r="A3" s="46"/>
      <c r="B3" s="46"/>
      <c r="C3" s="46"/>
      <c r="D3" s="46"/>
      <c r="E3" s="46"/>
      <c r="F3" s="46"/>
      <c r="G3" s="46"/>
      <c r="H3" s="46"/>
      <c r="I3" s="46"/>
    </row>
    <row r="4" spans="1:9" x14ac:dyDescent="0.2">
      <c r="A4" s="82" t="s">
        <v>1830</v>
      </c>
      <c r="B4" s="199" t="s">
        <v>3880</v>
      </c>
      <c r="C4" s="199" t="s">
        <v>3881</v>
      </c>
      <c r="D4" s="199" t="s">
        <v>3882</v>
      </c>
      <c r="E4" s="199" t="s">
        <v>3883</v>
      </c>
      <c r="F4" s="199" t="s">
        <v>3884</v>
      </c>
      <c r="G4" s="199" t="s">
        <v>3885</v>
      </c>
      <c r="H4" s="199" t="s">
        <v>3886</v>
      </c>
      <c r="I4" s="199" t="s">
        <v>3847</v>
      </c>
    </row>
    <row r="5" spans="1:9" x14ac:dyDescent="0.2">
      <c r="A5" s="78" t="s">
        <v>238</v>
      </c>
      <c r="B5" s="79">
        <v>574</v>
      </c>
      <c r="C5" s="79">
        <v>2815</v>
      </c>
      <c r="D5" s="79">
        <v>6341</v>
      </c>
      <c r="E5" s="79">
        <v>2394</v>
      </c>
      <c r="F5" s="79">
        <v>282</v>
      </c>
      <c r="G5" s="79">
        <v>203</v>
      </c>
      <c r="H5" s="79">
        <v>-2</v>
      </c>
      <c r="I5" s="79">
        <v>12607</v>
      </c>
    </row>
    <row r="6" spans="1:9" x14ac:dyDescent="0.2">
      <c r="A6" s="78" t="s">
        <v>74</v>
      </c>
      <c r="B6" s="79">
        <v>1</v>
      </c>
      <c r="C6" s="79">
        <v>740</v>
      </c>
      <c r="D6" s="79">
        <v>717</v>
      </c>
      <c r="E6" s="79">
        <v>201</v>
      </c>
      <c r="F6" s="79">
        <v>54</v>
      </c>
      <c r="G6" s="79">
        <v>0</v>
      </c>
      <c r="H6" s="79">
        <v>0</v>
      </c>
      <c r="I6" s="79">
        <v>1719</v>
      </c>
    </row>
    <row r="7" spans="1:9" x14ac:dyDescent="0.2">
      <c r="A7" s="78" t="s">
        <v>154</v>
      </c>
      <c r="B7" s="79">
        <v>-3</v>
      </c>
      <c r="C7" s="79">
        <v>319</v>
      </c>
      <c r="D7" s="79">
        <v>445</v>
      </c>
      <c r="E7" s="79">
        <v>224</v>
      </c>
      <c r="F7" s="79">
        <v>77</v>
      </c>
      <c r="G7" s="79">
        <v>2</v>
      </c>
      <c r="H7" s="79">
        <v>0</v>
      </c>
      <c r="I7" s="79">
        <v>1064</v>
      </c>
    </row>
    <row r="8" spans="1:9" x14ac:dyDescent="0.2">
      <c r="A8" s="78" t="s">
        <v>422</v>
      </c>
      <c r="B8" s="79">
        <v>572</v>
      </c>
      <c r="C8" s="79">
        <v>3874</v>
      </c>
      <c r="D8" s="79">
        <v>7503</v>
      </c>
      <c r="E8" s="79">
        <v>2819</v>
      </c>
      <c r="F8" s="79">
        <v>413</v>
      </c>
      <c r="G8" s="79">
        <v>205</v>
      </c>
      <c r="H8" s="79">
        <v>-2</v>
      </c>
      <c r="I8" s="79">
        <v>15390</v>
      </c>
    </row>
  </sheetData>
  <pageMargins left="0.7" right="0.7" top="0.75" bottom="0.75" header="0.3" footer="0.3"/>
  <pageSetup paperSize="9" orientation="portrait" verticalDpi="0"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dimension ref="A1:N7"/>
  <sheetViews>
    <sheetView workbookViewId="0">
      <selection activeCell="B2" sqref="B2"/>
    </sheetView>
  </sheetViews>
  <sheetFormatPr defaultRowHeight="12.75" x14ac:dyDescent="0.2"/>
  <cols>
    <col min="1" max="1" width="28.28515625" customWidth="1"/>
    <col min="2" max="2" width="17" customWidth="1"/>
    <col min="3" max="4" width="3" customWidth="1"/>
    <col min="5" max="5" width="3.140625" customWidth="1"/>
    <col min="6" max="6" width="2.140625" customWidth="1"/>
    <col min="7" max="7" width="3" customWidth="1"/>
    <col min="8" max="8" width="3" bestFit="1" customWidth="1"/>
    <col min="9" max="9" width="3" customWidth="1"/>
    <col min="10" max="10" width="2.140625" customWidth="1"/>
    <col min="11" max="11" width="3.85546875" customWidth="1"/>
    <col min="12" max="12" width="3" customWidth="1"/>
    <col min="13" max="13" width="2.7109375" customWidth="1"/>
    <col min="14" max="15" width="11.7109375" customWidth="1"/>
    <col min="16" max="16" width="22.5703125" customWidth="1"/>
    <col min="17" max="17" width="28.28515625" customWidth="1"/>
    <col min="18" max="18" width="22.5703125" bestFit="1" customWidth="1"/>
    <col min="19" max="19" width="28.28515625" bestFit="1" customWidth="1"/>
    <col min="20" max="20" width="22.5703125" bestFit="1" customWidth="1"/>
    <col min="21" max="21" width="28.28515625" bestFit="1" customWidth="1"/>
    <col min="22" max="22" width="22.5703125" bestFit="1" customWidth="1"/>
    <col min="23" max="23" width="28.28515625" bestFit="1" customWidth="1"/>
    <col min="24" max="24" width="22.5703125" bestFit="1" customWidth="1"/>
    <col min="25" max="25" width="28.28515625" bestFit="1" customWidth="1"/>
    <col min="26" max="26" width="22.5703125" bestFit="1" customWidth="1"/>
    <col min="27" max="27" width="28.28515625" bestFit="1" customWidth="1"/>
    <col min="28" max="28" width="27.85546875" bestFit="1" customWidth="1"/>
    <col min="29" max="29" width="33.5703125" bestFit="1" customWidth="1"/>
  </cols>
  <sheetData>
    <row r="1" spans="1:14" x14ac:dyDescent="0.2">
      <c r="A1" s="82" t="s">
        <v>197</v>
      </c>
      <c r="B1" s="199" t="s">
        <v>3871</v>
      </c>
    </row>
    <row r="3" spans="1:14" x14ac:dyDescent="0.2">
      <c r="A3" s="82" t="s">
        <v>3854</v>
      </c>
      <c r="B3" s="82" t="s">
        <v>3849</v>
      </c>
    </row>
    <row r="4" spans="1:14" x14ac:dyDescent="0.2">
      <c r="A4" s="82" t="s">
        <v>1830</v>
      </c>
      <c r="B4" s="199" t="s">
        <v>120</v>
      </c>
      <c r="C4" s="199" t="s">
        <v>336</v>
      </c>
      <c r="D4" s="199" t="s">
        <v>300</v>
      </c>
      <c r="E4" s="199" t="s">
        <v>220</v>
      </c>
      <c r="F4" s="199" t="s">
        <v>298</v>
      </c>
      <c r="G4" s="199" t="s">
        <v>102</v>
      </c>
      <c r="H4" s="199" t="s">
        <v>399</v>
      </c>
      <c r="I4" s="199" t="s">
        <v>311</v>
      </c>
      <c r="J4" s="199" t="s">
        <v>105</v>
      </c>
      <c r="K4" s="199" t="s">
        <v>117</v>
      </c>
      <c r="L4" s="199" t="s">
        <v>3889</v>
      </c>
      <c r="M4" s="199" t="s">
        <v>3890</v>
      </c>
      <c r="N4" s="199" t="s">
        <v>422</v>
      </c>
    </row>
    <row r="5" spans="1:14" x14ac:dyDescent="0.2">
      <c r="A5" s="78" t="s">
        <v>117</v>
      </c>
      <c r="B5" s="79">
        <v>69</v>
      </c>
      <c r="C5" s="79">
        <v>29</v>
      </c>
      <c r="D5" s="79">
        <v>20</v>
      </c>
      <c r="E5" s="79">
        <v>75</v>
      </c>
      <c r="F5" s="79">
        <v>1</v>
      </c>
      <c r="G5" s="79">
        <v>30</v>
      </c>
      <c r="H5" s="79">
        <v>90</v>
      </c>
      <c r="I5" s="79">
        <v>26</v>
      </c>
      <c r="J5" s="79">
        <v>1</v>
      </c>
      <c r="K5" s="79">
        <v>0</v>
      </c>
      <c r="L5" s="79">
        <v>13</v>
      </c>
      <c r="M5" s="79">
        <v>2</v>
      </c>
      <c r="N5" s="79">
        <v>356</v>
      </c>
    </row>
    <row r="6" spans="1:14" x14ac:dyDescent="0.2">
      <c r="A6" s="78" t="s">
        <v>1764</v>
      </c>
      <c r="B6" s="79">
        <v>0</v>
      </c>
      <c r="C6" s="79">
        <v>0</v>
      </c>
      <c r="D6" s="79">
        <v>0</v>
      </c>
      <c r="E6" s="79">
        <v>0</v>
      </c>
      <c r="F6" s="79">
        <v>0</v>
      </c>
      <c r="G6" s="79">
        <v>0</v>
      </c>
      <c r="H6" s="79">
        <v>0</v>
      </c>
      <c r="I6" s="79">
        <v>0</v>
      </c>
      <c r="J6" s="79">
        <v>0</v>
      </c>
      <c r="K6" s="79">
        <v>0</v>
      </c>
      <c r="L6" s="79">
        <v>0</v>
      </c>
      <c r="M6" s="79">
        <v>0</v>
      </c>
      <c r="N6" s="79">
        <v>0</v>
      </c>
    </row>
    <row r="7" spans="1:14" x14ac:dyDescent="0.2">
      <c r="A7" s="78" t="s">
        <v>422</v>
      </c>
      <c r="B7" s="79">
        <v>69</v>
      </c>
      <c r="C7" s="79">
        <v>29</v>
      </c>
      <c r="D7" s="79">
        <v>20</v>
      </c>
      <c r="E7" s="79">
        <v>75</v>
      </c>
      <c r="F7" s="79">
        <v>1</v>
      </c>
      <c r="G7" s="79">
        <v>30</v>
      </c>
      <c r="H7" s="79">
        <v>90</v>
      </c>
      <c r="I7" s="79">
        <v>26</v>
      </c>
      <c r="J7" s="79">
        <v>1</v>
      </c>
      <c r="K7" s="79">
        <v>0</v>
      </c>
      <c r="L7" s="79">
        <v>13</v>
      </c>
      <c r="M7" s="79">
        <v>2</v>
      </c>
      <c r="N7" s="79">
        <v>356</v>
      </c>
    </row>
  </sheetData>
  <pageMargins left="0.7" right="0.7" top="0.75" bottom="0.75" header="0.3" footer="0.3"/>
  <pageSetup paperSize="9" orientation="portrait" verticalDpi="0"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7"/>
  <dimension ref="A1:N10"/>
  <sheetViews>
    <sheetView workbookViewId="0">
      <selection activeCell="B2" sqref="B2"/>
    </sheetView>
  </sheetViews>
  <sheetFormatPr defaultRowHeight="12.75" x14ac:dyDescent="0.2"/>
  <cols>
    <col min="1" max="1" width="28.28515625" customWidth="1"/>
    <col min="2" max="2" width="17" customWidth="1"/>
    <col min="3" max="4" width="3" customWidth="1"/>
    <col min="5" max="5" width="4" customWidth="1"/>
    <col min="6" max="6" width="2.140625" customWidth="1"/>
    <col min="7" max="7" width="3" customWidth="1"/>
    <col min="8" max="8" width="4" customWidth="1"/>
    <col min="9" max="9" width="3" customWidth="1"/>
    <col min="10" max="10" width="2.140625" customWidth="1"/>
    <col min="11" max="11" width="2" customWidth="1"/>
    <col min="12" max="12" width="4" customWidth="1"/>
    <col min="13" max="13" width="3" customWidth="1"/>
    <col min="14" max="14" width="11.7109375" customWidth="1"/>
    <col min="15" max="15" width="28.28515625" customWidth="1"/>
    <col min="16" max="16" width="22.5703125" bestFit="1" customWidth="1"/>
    <col min="17" max="17" width="28.28515625" bestFit="1" customWidth="1"/>
    <col min="18" max="18" width="22.5703125" bestFit="1" customWidth="1"/>
    <col min="19" max="19" width="28.28515625" bestFit="1" customWidth="1"/>
    <col min="20" max="20" width="22.5703125" bestFit="1" customWidth="1"/>
    <col min="21" max="21" width="28.28515625" bestFit="1" customWidth="1"/>
    <col min="22" max="22" width="22.5703125" bestFit="1" customWidth="1"/>
    <col min="23" max="23" width="28.28515625" bestFit="1" customWidth="1"/>
    <col min="24" max="24" width="22.5703125" bestFit="1" customWidth="1"/>
    <col min="25" max="25" width="28.28515625" bestFit="1" customWidth="1"/>
    <col min="26" max="26" width="27.85546875" bestFit="1" customWidth="1"/>
    <col min="27" max="27" width="33.5703125" bestFit="1" customWidth="1"/>
  </cols>
  <sheetData>
    <row r="1" spans="1:14" x14ac:dyDescent="0.2">
      <c r="A1" s="82" t="s">
        <v>197</v>
      </c>
      <c r="B1" s="199" t="s">
        <v>3871</v>
      </c>
    </row>
    <row r="2" spans="1:14" x14ac:dyDescent="0.2">
      <c r="A2" s="46"/>
      <c r="B2" s="46"/>
    </row>
    <row r="3" spans="1:14" x14ac:dyDescent="0.2">
      <c r="A3" s="82" t="s">
        <v>3854</v>
      </c>
      <c r="B3" s="82" t="s">
        <v>3849</v>
      </c>
    </row>
    <row r="4" spans="1:14" x14ac:dyDescent="0.2">
      <c r="A4" s="82" t="s">
        <v>1830</v>
      </c>
      <c r="B4" s="199" t="s">
        <v>120</v>
      </c>
      <c r="C4" s="199" t="s">
        <v>336</v>
      </c>
      <c r="D4" s="199" t="s">
        <v>300</v>
      </c>
      <c r="E4" s="199" t="s">
        <v>220</v>
      </c>
      <c r="F4" s="199" t="s">
        <v>298</v>
      </c>
      <c r="G4" s="199" t="s">
        <v>102</v>
      </c>
      <c r="H4" s="199" t="s">
        <v>399</v>
      </c>
      <c r="I4" s="199" t="s">
        <v>311</v>
      </c>
      <c r="J4" s="199" t="s">
        <v>105</v>
      </c>
      <c r="K4" s="199" t="s">
        <v>346</v>
      </c>
      <c r="L4" s="199" t="s">
        <v>117</v>
      </c>
      <c r="M4" s="199" t="s">
        <v>3889</v>
      </c>
      <c r="N4" s="199" t="s">
        <v>422</v>
      </c>
    </row>
    <row r="5" spans="1:14" x14ac:dyDescent="0.2">
      <c r="A5" s="78" t="s">
        <v>345</v>
      </c>
      <c r="B5" s="79">
        <v>0</v>
      </c>
      <c r="C5" s="79">
        <v>0</v>
      </c>
      <c r="D5" s="79">
        <v>0</v>
      </c>
      <c r="E5" s="79">
        <v>0</v>
      </c>
      <c r="F5" s="79">
        <v>0</v>
      </c>
      <c r="G5" s="79">
        <v>0</v>
      </c>
      <c r="H5" s="79">
        <v>0</v>
      </c>
      <c r="I5" s="79">
        <v>0</v>
      </c>
      <c r="J5" s="79">
        <v>0</v>
      </c>
      <c r="K5" s="79">
        <v>0</v>
      </c>
      <c r="L5" s="79">
        <v>262</v>
      </c>
      <c r="M5" s="79">
        <v>0</v>
      </c>
      <c r="N5" s="79">
        <v>262</v>
      </c>
    </row>
    <row r="6" spans="1:14" x14ac:dyDescent="0.2">
      <c r="A6" s="78" t="s">
        <v>117</v>
      </c>
      <c r="B6" s="79">
        <v>129</v>
      </c>
      <c r="C6" s="79">
        <v>26</v>
      </c>
      <c r="D6" s="79">
        <v>56</v>
      </c>
      <c r="E6" s="79">
        <v>191</v>
      </c>
      <c r="F6" s="79">
        <v>6</v>
      </c>
      <c r="G6" s="79">
        <v>75</v>
      </c>
      <c r="H6" s="79">
        <v>320</v>
      </c>
      <c r="I6" s="79">
        <v>61</v>
      </c>
      <c r="J6" s="79">
        <v>3</v>
      </c>
      <c r="K6" s="79">
        <v>1</v>
      </c>
      <c r="L6" s="79">
        <v>0</v>
      </c>
      <c r="M6" s="79">
        <v>72</v>
      </c>
      <c r="N6" s="79">
        <v>940</v>
      </c>
    </row>
    <row r="7" spans="1:14" x14ac:dyDescent="0.2">
      <c r="A7" s="78" t="s">
        <v>1764</v>
      </c>
      <c r="B7" s="79">
        <v>0</v>
      </c>
      <c r="C7" s="79">
        <v>0</v>
      </c>
      <c r="D7" s="79">
        <v>0</v>
      </c>
      <c r="E7" s="79">
        <v>0</v>
      </c>
      <c r="F7" s="79">
        <v>0</v>
      </c>
      <c r="G7" s="79">
        <v>0</v>
      </c>
      <c r="H7" s="79">
        <v>0</v>
      </c>
      <c r="I7" s="79">
        <v>0</v>
      </c>
      <c r="J7" s="79">
        <v>0</v>
      </c>
      <c r="K7" s="79">
        <v>0</v>
      </c>
      <c r="L7" s="79">
        <v>163</v>
      </c>
      <c r="M7" s="79">
        <v>0</v>
      </c>
      <c r="N7" s="79">
        <v>163</v>
      </c>
    </row>
    <row r="8" spans="1:14" x14ac:dyDescent="0.2">
      <c r="A8" s="78" t="s">
        <v>92</v>
      </c>
      <c r="B8" s="79">
        <v>0</v>
      </c>
      <c r="C8" s="79">
        <v>0</v>
      </c>
      <c r="D8" s="79">
        <v>0</v>
      </c>
      <c r="E8" s="79">
        <v>0</v>
      </c>
      <c r="F8" s="79">
        <v>0</v>
      </c>
      <c r="G8" s="79">
        <v>0</v>
      </c>
      <c r="H8" s="79">
        <v>0</v>
      </c>
      <c r="I8" s="79">
        <v>0</v>
      </c>
      <c r="J8" s="79">
        <v>0</v>
      </c>
      <c r="K8" s="79">
        <v>0</v>
      </c>
      <c r="L8" s="79">
        <v>317</v>
      </c>
      <c r="M8" s="79">
        <v>0</v>
      </c>
      <c r="N8" s="79">
        <v>317</v>
      </c>
    </row>
    <row r="9" spans="1:14" x14ac:dyDescent="0.2">
      <c r="A9" s="78" t="s">
        <v>219</v>
      </c>
      <c r="B9" s="79">
        <v>0</v>
      </c>
      <c r="C9" s="79">
        <v>0</v>
      </c>
      <c r="D9" s="79">
        <v>0</v>
      </c>
      <c r="E9" s="79">
        <v>0</v>
      </c>
      <c r="F9" s="79">
        <v>0</v>
      </c>
      <c r="G9" s="79">
        <v>0</v>
      </c>
      <c r="H9" s="79">
        <v>0</v>
      </c>
      <c r="I9" s="79">
        <v>0</v>
      </c>
      <c r="J9" s="79">
        <v>0</v>
      </c>
      <c r="K9" s="79">
        <v>0</v>
      </c>
      <c r="L9" s="79">
        <v>18</v>
      </c>
      <c r="M9" s="79">
        <v>0</v>
      </c>
      <c r="N9" s="79">
        <v>18</v>
      </c>
    </row>
    <row r="10" spans="1:14" x14ac:dyDescent="0.2">
      <c r="A10" s="78" t="s">
        <v>422</v>
      </c>
      <c r="B10" s="79">
        <v>129</v>
      </c>
      <c r="C10" s="79">
        <v>26</v>
      </c>
      <c r="D10" s="79">
        <v>56</v>
      </c>
      <c r="E10" s="79">
        <v>191</v>
      </c>
      <c r="F10" s="79">
        <v>6</v>
      </c>
      <c r="G10" s="79">
        <v>75</v>
      </c>
      <c r="H10" s="79">
        <v>320</v>
      </c>
      <c r="I10" s="79">
        <v>61</v>
      </c>
      <c r="J10" s="79">
        <v>3</v>
      </c>
      <c r="K10" s="79">
        <v>1</v>
      </c>
      <c r="L10" s="79">
        <v>760</v>
      </c>
      <c r="M10" s="79">
        <v>72</v>
      </c>
      <c r="N10" s="79">
        <v>1700</v>
      </c>
    </row>
  </sheetData>
  <pageMargins left="0.7" right="0.7" top="0.75" bottom="0.75" header="0.3" footer="0.3"/>
  <pageSetup paperSize="9" orientation="portrait"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Y1479"/>
  <sheetViews>
    <sheetView zoomScaleNormal="100" zoomScaleSheetLayoutView="100" workbookViewId="0">
      <pane xSplit="3" ySplit="1" topLeftCell="D2" activePane="bottomRight" state="frozenSplit"/>
      <selection pane="topRight" activeCell="E1" sqref="E1"/>
      <selection pane="bottomLeft" activeCell="A8" sqref="A8"/>
      <selection pane="bottomRight"/>
    </sheetView>
  </sheetViews>
  <sheetFormatPr defaultRowHeight="12" customHeight="1" x14ac:dyDescent="0.2"/>
  <cols>
    <col min="1" max="1" width="5" style="81" customWidth="1"/>
    <col min="2" max="2" width="17.5703125" style="165" customWidth="1"/>
    <col min="3" max="3" width="10" style="165" customWidth="1"/>
    <col min="4" max="4" width="19.7109375" style="165" customWidth="1"/>
    <col min="5" max="5" width="21.28515625" style="165" customWidth="1"/>
    <col min="6" max="6" width="19.5703125" style="165" customWidth="1"/>
    <col min="7" max="7" width="7" style="81" customWidth="1"/>
    <col min="8" max="8" width="7.85546875" style="81" customWidth="1"/>
    <col min="9" max="9" width="18.85546875" style="165" customWidth="1"/>
    <col min="10" max="10" width="11.42578125" style="81" customWidth="1"/>
    <col min="11" max="11" width="9.85546875" style="81" customWidth="1"/>
    <col min="12" max="12" width="7.42578125" style="166" customWidth="1"/>
    <col min="13" max="13" width="8.85546875" style="166" customWidth="1"/>
    <col min="14" max="14" width="6.140625" style="166" customWidth="1"/>
    <col min="15" max="15" width="10" style="166" customWidth="1"/>
    <col min="16" max="16" width="10.140625" style="166" customWidth="1"/>
    <col min="17" max="17" width="10.42578125" style="81" customWidth="1"/>
    <col min="18" max="18" width="28.7109375" style="165" customWidth="1"/>
    <col min="19" max="21" width="9.85546875" style="81" customWidth="1"/>
    <col min="22" max="22" width="8.85546875" style="81" customWidth="1"/>
    <col min="23" max="23" width="6.5703125" style="81" customWidth="1"/>
    <col min="24" max="24" width="9.85546875" style="81" customWidth="1"/>
    <col min="25" max="25" width="5" style="81" customWidth="1"/>
    <col min="26" max="26" width="11.7109375" style="81" customWidth="1"/>
    <col min="27" max="27" width="11.42578125" style="81" customWidth="1"/>
    <col min="28" max="28" width="11.5703125" style="81" customWidth="1"/>
    <col min="29" max="29" width="10" style="166" customWidth="1"/>
    <col min="30" max="30" width="12.140625" style="350" customWidth="1"/>
    <col min="31" max="31" width="9.140625" style="81" customWidth="1"/>
    <col min="32" max="32" width="10.140625" style="81" customWidth="1"/>
    <col min="33" max="33" width="18.5703125" style="81" customWidth="1"/>
    <col min="34" max="34" width="6.7109375" style="81" customWidth="1"/>
    <col min="35" max="35" width="10.85546875" style="81" customWidth="1"/>
    <col min="36" max="36" width="9.42578125" style="81" customWidth="1"/>
    <col min="37" max="37" width="7.5703125" style="166" customWidth="1"/>
    <col min="38" max="38" width="8.85546875" style="166" customWidth="1"/>
    <col min="39" max="39" width="10.28515625" style="166" customWidth="1"/>
    <col min="40" max="40" width="8.85546875" style="166" customWidth="1"/>
    <col min="41" max="41" width="6.140625" style="166" customWidth="1"/>
    <col min="42" max="46" width="5.140625" style="166" customWidth="1"/>
    <col min="47" max="47" width="6.7109375" style="166" customWidth="1"/>
    <col min="48" max="48" width="6.140625" style="166" customWidth="1"/>
    <col min="49" max="49" width="4.85546875" style="166" customWidth="1"/>
    <col min="50" max="52" width="5.140625" style="166" customWidth="1"/>
    <col min="53" max="53" width="4.85546875" style="166" customWidth="1"/>
    <col min="54" max="54" width="6.5703125" style="166" customWidth="1"/>
    <col min="55" max="55" width="6.85546875" style="166" customWidth="1"/>
    <col min="56" max="61" width="7" style="166" customWidth="1"/>
    <col min="62" max="62" width="5.85546875" style="166" customWidth="1"/>
    <col min="63" max="66" width="5.140625" style="166" customWidth="1"/>
    <col min="67" max="67" width="6.140625" style="166" customWidth="1"/>
    <col min="68" max="68" width="6.7109375" style="166" customWidth="1"/>
    <col min="69" max="69" width="24.42578125" style="81" customWidth="1"/>
    <col min="70" max="70" width="15.42578125" style="81" customWidth="1"/>
    <col min="71" max="71" width="5.42578125" style="81" customWidth="1"/>
    <col min="72" max="72" width="11.7109375" style="81" customWidth="1"/>
    <col min="73" max="73" width="11.42578125" style="81" customWidth="1"/>
    <col min="74" max="74" width="10.28515625" style="81" customWidth="1"/>
    <col min="75" max="75" width="11.28515625" style="81" customWidth="1"/>
    <col min="76" max="76" width="27.140625" style="81" customWidth="1"/>
    <col min="77" max="77" width="7.140625" style="81" customWidth="1"/>
    <col min="78" max="78" width="7.85546875" style="81" customWidth="1"/>
    <col min="79" max="79" width="10.7109375" style="81" customWidth="1"/>
    <col min="80" max="80" width="9.140625" style="165" customWidth="1"/>
    <col min="81" max="101" width="7.42578125" style="167" customWidth="1"/>
    <col min="102" max="16384" width="9.140625" style="165"/>
  </cols>
  <sheetData>
    <row r="1" spans="1:103" s="345" customFormat="1" ht="48.75" customHeight="1" x14ac:dyDescent="0.2">
      <c r="A1" s="80" t="s">
        <v>1850</v>
      </c>
      <c r="B1" s="345" t="s">
        <v>197</v>
      </c>
      <c r="C1" s="345" t="s">
        <v>1851</v>
      </c>
      <c r="D1" s="345" t="s">
        <v>170</v>
      </c>
      <c r="E1" s="345" t="s">
        <v>1852</v>
      </c>
      <c r="F1" s="345" t="s">
        <v>1853</v>
      </c>
      <c r="G1" s="80" t="s">
        <v>171</v>
      </c>
      <c r="H1" s="80" t="s">
        <v>172</v>
      </c>
      <c r="I1" s="345" t="s">
        <v>60</v>
      </c>
      <c r="J1" s="80" t="s">
        <v>1854</v>
      </c>
      <c r="K1" s="80" t="s">
        <v>1855</v>
      </c>
      <c r="L1" s="346" t="s">
        <v>1856</v>
      </c>
      <c r="M1" s="346" t="s">
        <v>1857</v>
      </c>
      <c r="N1" s="346" t="s">
        <v>1858</v>
      </c>
      <c r="O1" s="346" t="s">
        <v>1859</v>
      </c>
      <c r="P1" s="346" t="s">
        <v>1860</v>
      </c>
      <c r="Q1" s="80" t="s">
        <v>1831</v>
      </c>
      <c r="R1" s="345" t="s">
        <v>173</v>
      </c>
      <c r="S1" s="80" t="s">
        <v>174</v>
      </c>
      <c r="T1" s="80" t="s">
        <v>176</v>
      </c>
      <c r="U1" s="80" t="s">
        <v>1861</v>
      </c>
      <c r="V1" s="80" t="s">
        <v>1862</v>
      </c>
      <c r="W1" s="80" t="s">
        <v>175</v>
      </c>
      <c r="X1" s="80" t="s">
        <v>177</v>
      </c>
      <c r="Y1" s="80" t="s">
        <v>178</v>
      </c>
      <c r="Z1" s="80" t="s">
        <v>179</v>
      </c>
      <c r="AA1" s="80" t="s">
        <v>1863</v>
      </c>
      <c r="AB1" s="80" t="s">
        <v>1864</v>
      </c>
      <c r="AC1" s="346" t="s">
        <v>1865</v>
      </c>
      <c r="AD1" s="347" t="s">
        <v>76</v>
      </c>
      <c r="AE1" s="80" t="s">
        <v>1866</v>
      </c>
      <c r="AF1" s="80" t="s">
        <v>77</v>
      </c>
      <c r="AG1" s="80" t="s">
        <v>409</v>
      </c>
      <c r="AH1" s="80" t="s">
        <v>408</v>
      </c>
      <c r="AI1" s="80" t="s">
        <v>1867</v>
      </c>
      <c r="AJ1" s="80" t="s">
        <v>1868</v>
      </c>
      <c r="AK1" s="346" t="s">
        <v>149</v>
      </c>
      <c r="AL1" s="346" t="s">
        <v>1869</v>
      </c>
      <c r="AM1" s="346" t="s">
        <v>67</v>
      </c>
      <c r="AN1" s="346" t="s">
        <v>1870</v>
      </c>
      <c r="AO1" s="346" t="s">
        <v>150</v>
      </c>
      <c r="AP1" s="346" t="s">
        <v>1871</v>
      </c>
      <c r="AQ1" s="346" t="s">
        <v>1872</v>
      </c>
      <c r="AR1" s="346" t="s">
        <v>1873</v>
      </c>
      <c r="AS1" s="346" t="s">
        <v>1874</v>
      </c>
      <c r="AT1" s="346" t="s">
        <v>1875</v>
      </c>
      <c r="AU1" s="346" t="s">
        <v>1876</v>
      </c>
      <c r="AV1" s="346" t="s">
        <v>1877</v>
      </c>
      <c r="AW1" s="346" t="s">
        <v>1878</v>
      </c>
      <c r="AX1" s="346" t="s">
        <v>1879</v>
      </c>
      <c r="AY1" s="346" t="s">
        <v>1880</v>
      </c>
      <c r="AZ1" s="346" t="s">
        <v>1881</v>
      </c>
      <c r="BA1" s="346" t="s">
        <v>1882</v>
      </c>
      <c r="BB1" s="346" t="s">
        <v>1883</v>
      </c>
      <c r="BC1" s="346" t="s">
        <v>1884</v>
      </c>
      <c r="BD1" s="346" t="s">
        <v>1885</v>
      </c>
      <c r="BE1" s="346" t="s">
        <v>1886</v>
      </c>
      <c r="BF1" s="346" t="s">
        <v>1887</v>
      </c>
      <c r="BG1" s="346" t="s">
        <v>1888</v>
      </c>
      <c r="BH1" s="346" t="s">
        <v>1889</v>
      </c>
      <c r="BI1" s="346" t="s">
        <v>1890</v>
      </c>
      <c r="BJ1" s="346" t="s">
        <v>112</v>
      </c>
      <c r="BK1" s="346" t="s">
        <v>1891</v>
      </c>
      <c r="BL1" s="346" t="s">
        <v>1892</v>
      </c>
      <c r="BM1" s="346" t="s">
        <v>1893</v>
      </c>
      <c r="BN1" s="346" t="s">
        <v>1894</v>
      </c>
      <c r="BO1" s="346" t="s">
        <v>1895</v>
      </c>
      <c r="BP1" s="346" t="s">
        <v>1896</v>
      </c>
      <c r="BQ1" s="80" t="s">
        <v>1897</v>
      </c>
      <c r="BR1" s="80" t="s">
        <v>243</v>
      </c>
      <c r="BS1" s="80" t="s">
        <v>65</v>
      </c>
      <c r="BT1" s="80" t="s">
        <v>244</v>
      </c>
      <c r="BU1" s="80" t="s">
        <v>1898</v>
      </c>
      <c r="BV1" s="80" t="s">
        <v>246</v>
      </c>
      <c r="BW1" s="80" t="s">
        <v>1899</v>
      </c>
      <c r="BX1" s="80" t="s">
        <v>3873</v>
      </c>
      <c r="BY1" s="80" t="s">
        <v>1900</v>
      </c>
      <c r="BZ1" s="80" t="s">
        <v>3834</v>
      </c>
      <c r="CA1" s="80" t="s">
        <v>1901</v>
      </c>
      <c r="CB1" s="345" t="s">
        <v>3815</v>
      </c>
      <c r="CC1" s="348" t="s">
        <v>2</v>
      </c>
      <c r="CD1" s="348">
        <v>106.21052631578948</v>
      </c>
      <c r="CE1" s="348" t="s">
        <v>4</v>
      </c>
      <c r="CF1" s="348" t="s">
        <v>5</v>
      </c>
      <c r="CG1" s="348" t="s">
        <v>6</v>
      </c>
      <c r="CH1" s="348" t="s">
        <v>7</v>
      </c>
      <c r="CI1" s="348" t="s">
        <v>8</v>
      </c>
      <c r="CJ1" s="348" t="s">
        <v>9</v>
      </c>
      <c r="CK1" s="348" t="s">
        <v>10</v>
      </c>
      <c r="CL1" s="348" t="s">
        <v>11</v>
      </c>
      <c r="CM1" s="348" t="s">
        <v>12</v>
      </c>
      <c r="CN1" s="348" t="s">
        <v>13</v>
      </c>
      <c r="CO1" s="348" t="s">
        <v>14</v>
      </c>
      <c r="CP1" s="348" t="s">
        <v>15</v>
      </c>
      <c r="CQ1" s="348" t="s">
        <v>832</v>
      </c>
      <c r="CR1" s="348" t="s">
        <v>1760</v>
      </c>
      <c r="CS1" s="348" t="s">
        <v>3816</v>
      </c>
      <c r="CT1" s="348" t="s">
        <v>3817</v>
      </c>
      <c r="CU1" s="348" t="s">
        <v>3818</v>
      </c>
      <c r="CV1" s="348" t="s">
        <v>3819</v>
      </c>
      <c r="CW1" s="348" t="s">
        <v>3820</v>
      </c>
      <c r="CX1" s="345" t="s">
        <v>212</v>
      </c>
      <c r="CY1" s="345" t="s">
        <v>3833</v>
      </c>
    </row>
    <row r="2" spans="1:103" ht="12.75" customHeight="1" x14ac:dyDescent="0.2">
      <c r="A2" s="81">
        <v>101</v>
      </c>
      <c r="B2" s="165" t="s">
        <v>1924</v>
      </c>
      <c r="C2" s="165" t="s">
        <v>88</v>
      </c>
      <c r="E2" s="165" t="s">
        <v>3042</v>
      </c>
      <c r="G2" s="81">
        <v>525852</v>
      </c>
      <c r="H2" s="81">
        <v>174974</v>
      </c>
      <c r="I2" s="165" t="s">
        <v>251</v>
      </c>
      <c r="J2" s="349">
        <v>41820</v>
      </c>
      <c r="K2" s="349">
        <v>42859</v>
      </c>
      <c r="L2" s="166">
        <v>0</v>
      </c>
      <c r="M2" s="166">
        <v>3</v>
      </c>
      <c r="N2" s="166">
        <v>3</v>
      </c>
      <c r="O2" s="166">
        <v>3</v>
      </c>
      <c r="P2" s="166">
        <v>3</v>
      </c>
      <c r="R2" s="165" t="s">
        <v>739</v>
      </c>
      <c r="S2" s="81" t="s">
        <v>113</v>
      </c>
      <c r="T2" s="349">
        <v>40997</v>
      </c>
      <c r="U2" s="349">
        <v>41145</v>
      </c>
      <c r="W2" s="81" t="s">
        <v>114</v>
      </c>
      <c r="Y2" s="81" t="s">
        <v>115</v>
      </c>
      <c r="Z2" s="81" t="s">
        <v>116</v>
      </c>
      <c r="AA2" s="81" t="s">
        <v>117</v>
      </c>
      <c r="AB2" s="81" t="s">
        <v>218</v>
      </c>
      <c r="AC2" s="166">
        <v>7.0000002160668399E-3</v>
      </c>
      <c r="AD2" s="349">
        <v>41820</v>
      </c>
      <c r="AF2" s="349">
        <v>42859</v>
      </c>
      <c r="AG2" s="81" t="s">
        <v>238</v>
      </c>
      <c r="AH2" s="81" t="s">
        <v>118</v>
      </c>
      <c r="AK2" s="166">
        <v>0</v>
      </c>
      <c r="AM2" s="166">
        <v>0</v>
      </c>
      <c r="AO2" s="166">
        <v>0</v>
      </c>
      <c r="AP2" s="166">
        <v>0</v>
      </c>
      <c r="AQ2" s="166">
        <v>1</v>
      </c>
      <c r="AR2" s="166">
        <v>2</v>
      </c>
      <c r="AS2" s="166">
        <v>0</v>
      </c>
      <c r="AT2" s="166">
        <v>0</v>
      </c>
      <c r="AU2" s="166">
        <v>0</v>
      </c>
      <c r="AV2" s="166">
        <v>0</v>
      </c>
      <c r="AW2" s="166">
        <v>0</v>
      </c>
      <c r="AX2" s="166">
        <v>1</v>
      </c>
      <c r="AY2" s="166">
        <v>2</v>
      </c>
      <c r="AZ2" s="166">
        <v>0</v>
      </c>
      <c r="BA2" s="166">
        <v>0</v>
      </c>
      <c r="BB2" s="166">
        <v>0</v>
      </c>
      <c r="BC2" s="166">
        <v>0</v>
      </c>
      <c r="BD2" s="166">
        <v>0</v>
      </c>
      <c r="BE2" s="166">
        <v>0</v>
      </c>
      <c r="BF2" s="166">
        <v>0</v>
      </c>
      <c r="BG2" s="166">
        <v>0</v>
      </c>
      <c r="BH2" s="166">
        <v>0</v>
      </c>
      <c r="BI2" s="166">
        <v>0</v>
      </c>
      <c r="BJ2" s="166">
        <v>0</v>
      </c>
      <c r="BK2" s="166">
        <v>0</v>
      </c>
      <c r="BL2" s="166">
        <v>0</v>
      </c>
      <c r="BM2" s="166">
        <v>0</v>
      </c>
      <c r="BN2" s="166">
        <v>0</v>
      </c>
      <c r="BO2" s="166">
        <v>0</v>
      </c>
      <c r="BP2" s="166">
        <v>0</v>
      </c>
      <c r="BQ2" s="81" t="s">
        <v>1758</v>
      </c>
      <c r="BT2" s="81" t="s">
        <v>155</v>
      </c>
      <c r="BZ2" s="81" t="s">
        <v>155</v>
      </c>
      <c r="CA2" s="81">
        <v>1</v>
      </c>
      <c r="CC2" s="167">
        <f>N2</f>
        <v>3</v>
      </c>
      <c r="CD2" s="167">
        <v>0</v>
      </c>
      <c r="CE2" s="167">
        <v>0</v>
      </c>
      <c r="CF2" s="167">
        <v>0</v>
      </c>
      <c r="CG2" s="167">
        <v>0</v>
      </c>
      <c r="CH2" s="167">
        <v>0</v>
      </c>
      <c r="CI2" s="167">
        <v>0</v>
      </c>
      <c r="CJ2" s="167">
        <v>0</v>
      </c>
      <c r="CK2" s="167">
        <v>0</v>
      </c>
      <c r="CL2" s="167">
        <v>0</v>
      </c>
      <c r="CM2" s="167">
        <v>0</v>
      </c>
      <c r="CN2" s="167">
        <v>0</v>
      </c>
      <c r="CO2" s="167">
        <v>0</v>
      </c>
      <c r="CP2" s="167">
        <v>0</v>
      </c>
      <c r="CQ2" s="167">
        <v>0</v>
      </c>
      <c r="CR2" s="167">
        <v>0</v>
      </c>
      <c r="CS2" s="167">
        <v>0</v>
      </c>
      <c r="CT2" s="167">
        <v>0</v>
      </c>
      <c r="CU2" s="167">
        <v>0</v>
      </c>
      <c r="CV2" s="167">
        <v>0</v>
      </c>
      <c r="CW2" s="167">
        <v>0</v>
      </c>
      <c r="CX2" s="167">
        <f>SUM(CD2:CH2)</f>
        <v>0</v>
      </c>
      <c r="CY2" s="167">
        <f>SUM(CD2:CM2)</f>
        <v>0</v>
      </c>
    </row>
    <row r="3" spans="1:103" ht="12.75" customHeight="1" x14ac:dyDescent="0.2">
      <c r="A3" s="81">
        <v>167</v>
      </c>
      <c r="B3" s="165" t="s">
        <v>1924</v>
      </c>
      <c r="C3" s="165" t="s">
        <v>487</v>
      </c>
      <c r="D3" s="165" t="s">
        <v>516</v>
      </c>
      <c r="E3" s="165" t="s">
        <v>1925</v>
      </c>
      <c r="G3" s="81">
        <v>526673</v>
      </c>
      <c r="H3" s="81">
        <v>176397</v>
      </c>
      <c r="I3" s="165" t="s">
        <v>257</v>
      </c>
      <c r="J3" s="349">
        <v>42389</v>
      </c>
      <c r="K3" s="349">
        <v>43165</v>
      </c>
      <c r="L3" s="166">
        <v>0</v>
      </c>
      <c r="M3" s="166">
        <v>108</v>
      </c>
      <c r="N3" s="166">
        <v>108</v>
      </c>
      <c r="O3" s="166">
        <v>135</v>
      </c>
      <c r="P3" s="166">
        <v>135</v>
      </c>
      <c r="Q3" s="81" t="s">
        <v>155</v>
      </c>
      <c r="R3" s="165" t="s">
        <v>756</v>
      </c>
      <c r="S3" s="81" t="s">
        <v>104</v>
      </c>
      <c r="T3" s="349">
        <v>41975</v>
      </c>
      <c r="U3" s="349">
        <v>42167</v>
      </c>
      <c r="W3" s="81" t="s">
        <v>114</v>
      </c>
      <c r="Y3" s="81" t="s">
        <v>115</v>
      </c>
      <c r="Z3" s="81" t="s">
        <v>116</v>
      </c>
      <c r="AA3" s="81" t="s">
        <v>116</v>
      </c>
      <c r="AB3" s="81" t="s">
        <v>117</v>
      </c>
      <c r="AC3" s="166">
        <v>0.196999996900558</v>
      </c>
      <c r="AD3" s="349">
        <v>42389</v>
      </c>
      <c r="AF3" s="349">
        <v>43165</v>
      </c>
      <c r="AG3" s="81" t="s">
        <v>238</v>
      </c>
      <c r="AH3" s="81" t="s">
        <v>118</v>
      </c>
      <c r="AI3" s="81" t="s">
        <v>1926</v>
      </c>
      <c r="AK3" s="166">
        <v>108</v>
      </c>
      <c r="AM3" s="166">
        <v>10</v>
      </c>
      <c r="AO3" s="166">
        <v>0</v>
      </c>
      <c r="AP3" s="166">
        <v>22</v>
      </c>
      <c r="AQ3" s="166">
        <v>63</v>
      </c>
      <c r="AR3" s="166">
        <v>23</v>
      </c>
      <c r="AS3" s="166">
        <v>0</v>
      </c>
      <c r="AT3" s="166">
        <v>0</v>
      </c>
      <c r="AU3" s="166">
        <v>0</v>
      </c>
      <c r="AV3" s="166">
        <v>0</v>
      </c>
      <c r="AW3" s="166">
        <v>22</v>
      </c>
      <c r="AX3" s="166">
        <v>63</v>
      </c>
      <c r="AY3" s="166">
        <v>23</v>
      </c>
      <c r="AZ3" s="166">
        <v>0</v>
      </c>
      <c r="BA3" s="166">
        <v>0</v>
      </c>
      <c r="BB3" s="166">
        <v>0</v>
      </c>
      <c r="BC3" s="166">
        <v>0</v>
      </c>
      <c r="BD3" s="166">
        <v>0</v>
      </c>
      <c r="BE3" s="166">
        <v>0</v>
      </c>
      <c r="BF3" s="166">
        <v>0</v>
      </c>
      <c r="BG3" s="166">
        <v>0</v>
      </c>
      <c r="BH3" s="166">
        <v>0</v>
      </c>
      <c r="BI3" s="166">
        <v>0</v>
      </c>
      <c r="BJ3" s="166">
        <v>0</v>
      </c>
      <c r="BK3" s="166">
        <v>0</v>
      </c>
      <c r="BL3" s="166">
        <v>0</v>
      </c>
      <c r="BM3" s="166">
        <v>0</v>
      </c>
      <c r="BN3" s="166">
        <v>0</v>
      </c>
      <c r="BO3" s="166">
        <v>0</v>
      </c>
      <c r="BP3" s="166">
        <v>0</v>
      </c>
      <c r="BQ3" s="81" t="s">
        <v>1757</v>
      </c>
      <c r="BX3" s="81" t="s">
        <v>155</v>
      </c>
      <c r="BZ3" s="81" t="s">
        <v>155</v>
      </c>
      <c r="CA3" s="81">
        <v>1</v>
      </c>
      <c r="CC3" s="167">
        <f>N3</f>
        <v>108</v>
      </c>
      <c r="CD3" s="167">
        <v>0</v>
      </c>
      <c r="CE3" s="167">
        <v>0</v>
      </c>
      <c r="CF3" s="167">
        <v>0</v>
      </c>
      <c r="CG3" s="167">
        <v>0</v>
      </c>
      <c r="CH3" s="167">
        <v>0</v>
      </c>
      <c r="CI3" s="167">
        <v>0</v>
      </c>
      <c r="CJ3" s="167">
        <v>0</v>
      </c>
      <c r="CK3" s="167">
        <v>0</v>
      </c>
      <c r="CL3" s="167">
        <v>0</v>
      </c>
      <c r="CM3" s="167">
        <v>0</v>
      </c>
      <c r="CN3" s="167">
        <v>0</v>
      </c>
      <c r="CO3" s="167">
        <v>0</v>
      </c>
      <c r="CP3" s="167">
        <v>0</v>
      </c>
      <c r="CQ3" s="167">
        <v>0</v>
      </c>
      <c r="CR3" s="167">
        <v>0</v>
      </c>
      <c r="CS3" s="167">
        <v>0</v>
      </c>
      <c r="CT3" s="167">
        <v>0</v>
      </c>
      <c r="CU3" s="167">
        <v>0</v>
      </c>
      <c r="CV3" s="167">
        <v>0</v>
      </c>
      <c r="CW3" s="167">
        <v>0</v>
      </c>
      <c r="CX3" s="167">
        <f>SUM(CD3:CH3)</f>
        <v>0</v>
      </c>
      <c r="CY3" s="167">
        <f>SUM(CD3:CM3)</f>
        <v>0</v>
      </c>
    </row>
    <row r="4" spans="1:103" ht="12.75" customHeight="1" x14ac:dyDescent="0.2">
      <c r="A4" s="81">
        <v>167</v>
      </c>
      <c r="B4" s="165" t="s">
        <v>1924</v>
      </c>
      <c r="C4" s="165" t="s">
        <v>487</v>
      </c>
      <c r="D4" s="165" t="s">
        <v>516</v>
      </c>
      <c r="E4" s="165" t="s">
        <v>1925</v>
      </c>
      <c r="G4" s="81">
        <v>526673</v>
      </c>
      <c r="H4" s="81">
        <v>176397</v>
      </c>
      <c r="I4" s="165" t="s">
        <v>257</v>
      </c>
      <c r="J4" s="349">
        <v>42389</v>
      </c>
      <c r="K4" s="349">
        <v>43165</v>
      </c>
      <c r="L4" s="166">
        <v>0</v>
      </c>
      <c r="M4" s="166">
        <v>27</v>
      </c>
      <c r="N4" s="166">
        <v>27</v>
      </c>
      <c r="O4" s="166">
        <v>135</v>
      </c>
      <c r="P4" s="166">
        <v>135</v>
      </c>
      <c r="Q4" s="81" t="s">
        <v>155</v>
      </c>
      <c r="R4" s="165" t="s">
        <v>756</v>
      </c>
      <c r="S4" s="81" t="s">
        <v>104</v>
      </c>
      <c r="T4" s="349">
        <v>41975</v>
      </c>
      <c r="U4" s="349">
        <v>42167</v>
      </c>
      <c r="W4" s="81" t="s">
        <v>114</v>
      </c>
      <c r="Y4" s="81" t="s">
        <v>115</v>
      </c>
      <c r="Z4" s="81" t="s">
        <v>116</v>
      </c>
      <c r="AA4" s="81" t="s">
        <v>116</v>
      </c>
      <c r="AB4" s="81" t="s">
        <v>117</v>
      </c>
      <c r="AC4" s="166">
        <v>1.60000007599592E-2</v>
      </c>
      <c r="AD4" s="349">
        <v>42389</v>
      </c>
      <c r="AF4" s="349">
        <v>43165</v>
      </c>
      <c r="AG4" s="81" t="s">
        <v>74</v>
      </c>
      <c r="AH4" s="81" t="s">
        <v>1913</v>
      </c>
      <c r="AI4" s="81" t="s">
        <v>1926</v>
      </c>
      <c r="AK4" s="166">
        <v>27</v>
      </c>
      <c r="AM4" s="166">
        <v>3</v>
      </c>
      <c r="AO4" s="166">
        <v>0</v>
      </c>
      <c r="AP4" s="166">
        <v>16</v>
      </c>
      <c r="AQ4" s="166">
        <v>11</v>
      </c>
      <c r="AR4" s="166">
        <v>0</v>
      </c>
      <c r="AS4" s="166">
        <v>0</v>
      </c>
      <c r="AT4" s="166">
        <v>0</v>
      </c>
      <c r="AU4" s="166">
        <v>0</v>
      </c>
      <c r="AV4" s="166">
        <v>0</v>
      </c>
      <c r="AW4" s="166">
        <v>16</v>
      </c>
      <c r="AX4" s="166">
        <v>11</v>
      </c>
      <c r="AY4" s="166">
        <v>0</v>
      </c>
      <c r="AZ4" s="166">
        <v>0</v>
      </c>
      <c r="BA4" s="166">
        <v>0</v>
      </c>
      <c r="BB4" s="166">
        <v>0</v>
      </c>
      <c r="BC4" s="166">
        <v>0</v>
      </c>
      <c r="BD4" s="166">
        <v>0</v>
      </c>
      <c r="BE4" s="166">
        <v>0</v>
      </c>
      <c r="BF4" s="166">
        <v>0</v>
      </c>
      <c r="BG4" s="166">
        <v>0</v>
      </c>
      <c r="BH4" s="166">
        <v>0</v>
      </c>
      <c r="BI4" s="166">
        <v>0</v>
      </c>
      <c r="BJ4" s="166">
        <v>0</v>
      </c>
      <c r="BK4" s="166">
        <v>0</v>
      </c>
      <c r="BL4" s="166">
        <v>0</v>
      </c>
      <c r="BM4" s="166">
        <v>0</v>
      </c>
      <c r="BN4" s="166">
        <v>0</v>
      </c>
      <c r="BO4" s="166">
        <v>0</v>
      </c>
      <c r="BP4" s="166">
        <v>0</v>
      </c>
      <c r="BQ4" s="81" t="s">
        <v>1757</v>
      </c>
      <c r="BX4" s="81" t="s">
        <v>155</v>
      </c>
      <c r="BZ4" s="81" t="s">
        <v>155</v>
      </c>
      <c r="CA4" s="81">
        <v>1</v>
      </c>
      <c r="CC4" s="167">
        <f>N4</f>
        <v>27</v>
      </c>
      <c r="CD4" s="167">
        <v>0</v>
      </c>
      <c r="CE4" s="167">
        <v>0</v>
      </c>
      <c r="CF4" s="167">
        <v>0</v>
      </c>
      <c r="CG4" s="167">
        <v>0</v>
      </c>
      <c r="CH4" s="167">
        <v>0</v>
      </c>
      <c r="CI4" s="167">
        <v>0</v>
      </c>
      <c r="CJ4" s="167">
        <v>0</v>
      </c>
      <c r="CK4" s="167">
        <v>0</v>
      </c>
      <c r="CL4" s="167">
        <v>0</v>
      </c>
      <c r="CM4" s="167">
        <v>0</v>
      </c>
      <c r="CN4" s="167">
        <v>0</v>
      </c>
      <c r="CO4" s="167">
        <v>0</v>
      </c>
      <c r="CP4" s="167">
        <v>0</v>
      </c>
      <c r="CQ4" s="167">
        <v>0</v>
      </c>
      <c r="CR4" s="167">
        <v>0</v>
      </c>
      <c r="CS4" s="167">
        <v>0</v>
      </c>
      <c r="CT4" s="167">
        <v>0</v>
      </c>
      <c r="CU4" s="167">
        <v>0</v>
      </c>
      <c r="CV4" s="167">
        <v>0</v>
      </c>
      <c r="CW4" s="167">
        <v>0</v>
      </c>
      <c r="CX4" s="167">
        <f>SUM(CD4:CH4)</f>
        <v>0</v>
      </c>
      <c r="CY4" s="167">
        <f>SUM(CD4:CM4)</f>
        <v>0</v>
      </c>
    </row>
    <row r="5" spans="1:103" ht="12.75" customHeight="1" x14ac:dyDescent="0.2">
      <c r="A5" s="81">
        <v>167</v>
      </c>
      <c r="B5" s="165" t="s">
        <v>1924</v>
      </c>
      <c r="C5" s="165" t="s">
        <v>988</v>
      </c>
      <c r="D5" s="165" t="s">
        <v>516</v>
      </c>
      <c r="E5" s="165" t="s">
        <v>1925</v>
      </c>
      <c r="G5" s="81">
        <v>526673</v>
      </c>
      <c r="H5" s="81">
        <v>176397</v>
      </c>
      <c r="I5" s="165" t="s">
        <v>257</v>
      </c>
      <c r="J5" s="349">
        <v>42488</v>
      </c>
      <c r="K5" s="349">
        <v>43165</v>
      </c>
      <c r="L5" s="166">
        <v>3</v>
      </c>
      <c r="M5" s="166">
        <v>2</v>
      </c>
      <c r="N5" s="166">
        <v>-1</v>
      </c>
      <c r="O5" s="166">
        <v>2</v>
      </c>
      <c r="P5" s="166">
        <v>-1</v>
      </c>
      <c r="Q5" s="81" t="s">
        <v>155</v>
      </c>
      <c r="R5" s="165" t="s">
        <v>989</v>
      </c>
      <c r="S5" s="81" t="s">
        <v>1916</v>
      </c>
      <c r="T5" s="349">
        <v>42461</v>
      </c>
      <c r="U5" s="349">
        <v>42488</v>
      </c>
      <c r="W5" s="81" t="s">
        <v>114</v>
      </c>
      <c r="Y5" s="81" t="s">
        <v>115</v>
      </c>
      <c r="Z5" s="81" t="s">
        <v>119</v>
      </c>
      <c r="AA5" s="81" t="s">
        <v>117</v>
      </c>
      <c r="AB5" s="81" t="s">
        <v>300</v>
      </c>
      <c r="AC5" s="166">
        <v>4.9999998882412902E-3</v>
      </c>
      <c r="AD5" s="349">
        <v>42488</v>
      </c>
      <c r="AF5" s="349">
        <v>43165</v>
      </c>
      <c r="AG5" s="81" t="s">
        <v>238</v>
      </c>
      <c r="AH5" s="81" t="s">
        <v>118</v>
      </c>
      <c r="AI5" s="81" t="s">
        <v>1926</v>
      </c>
      <c r="AK5" s="166">
        <v>2</v>
      </c>
      <c r="AM5" s="166">
        <v>0</v>
      </c>
      <c r="AO5" s="166">
        <v>0</v>
      </c>
      <c r="AP5" s="166">
        <v>0</v>
      </c>
      <c r="AQ5" s="166">
        <v>0</v>
      </c>
      <c r="AR5" s="166">
        <v>0</v>
      </c>
      <c r="AS5" s="166">
        <v>-1</v>
      </c>
      <c r="AT5" s="166">
        <v>0</v>
      </c>
      <c r="AU5" s="166">
        <v>0</v>
      </c>
      <c r="AV5" s="166">
        <v>0</v>
      </c>
      <c r="AW5" s="166">
        <v>0</v>
      </c>
      <c r="AX5" s="166">
        <v>0</v>
      </c>
      <c r="AY5" s="166">
        <v>0</v>
      </c>
      <c r="AZ5" s="166">
        <v>-1</v>
      </c>
      <c r="BA5" s="166">
        <v>0</v>
      </c>
      <c r="BB5" s="166">
        <v>0</v>
      </c>
      <c r="BC5" s="166">
        <v>0</v>
      </c>
      <c r="BD5" s="166">
        <v>0</v>
      </c>
      <c r="BE5" s="166">
        <v>0</v>
      </c>
      <c r="BF5" s="166">
        <v>0</v>
      </c>
      <c r="BG5" s="166">
        <v>0</v>
      </c>
      <c r="BH5" s="166">
        <v>0</v>
      </c>
      <c r="BI5" s="166">
        <v>0</v>
      </c>
      <c r="BJ5" s="166">
        <v>0</v>
      </c>
      <c r="BK5" s="166">
        <v>0</v>
      </c>
      <c r="BL5" s="166">
        <v>0</v>
      </c>
      <c r="BM5" s="166">
        <v>0</v>
      </c>
      <c r="BN5" s="166">
        <v>0</v>
      </c>
      <c r="BO5" s="166">
        <v>0</v>
      </c>
      <c r="BP5" s="166">
        <v>0</v>
      </c>
      <c r="BQ5" s="81" t="s">
        <v>1757</v>
      </c>
      <c r="BX5" s="81" t="s">
        <v>155</v>
      </c>
      <c r="BZ5" s="81" t="s">
        <v>155</v>
      </c>
      <c r="CA5" s="81">
        <v>7</v>
      </c>
      <c r="CC5" s="167">
        <f>N5</f>
        <v>-1</v>
      </c>
      <c r="CD5" s="167">
        <v>0</v>
      </c>
      <c r="CE5" s="167">
        <v>0</v>
      </c>
      <c r="CF5" s="167">
        <v>0</v>
      </c>
      <c r="CG5" s="167">
        <v>0</v>
      </c>
      <c r="CH5" s="167">
        <v>0</v>
      </c>
      <c r="CI5" s="167">
        <v>0</v>
      </c>
      <c r="CJ5" s="167">
        <v>0</v>
      </c>
      <c r="CK5" s="167">
        <v>0</v>
      </c>
      <c r="CL5" s="167">
        <v>0</v>
      </c>
      <c r="CM5" s="167">
        <v>0</v>
      </c>
      <c r="CN5" s="167">
        <v>0</v>
      </c>
      <c r="CO5" s="167">
        <v>0</v>
      </c>
      <c r="CP5" s="167">
        <v>0</v>
      </c>
      <c r="CQ5" s="167">
        <v>0</v>
      </c>
      <c r="CR5" s="167">
        <v>0</v>
      </c>
      <c r="CS5" s="167">
        <v>0</v>
      </c>
      <c r="CT5" s="167">
        <v>0</v>
      </c>
      <c r="CU5" s="167">
        <v>0</v>
      </c>
      <c r="CV5" s="167">
        <v>0</v>
      </c>
      <c r="CW5" s="167">
        <v>0</v>
      </c>
      <c r="CX5" s="167">
        <f>SUM(CD5:CH5)</f>
        <v>0</v>
      </c>
      <c r="CY5" s="167">
        <f>SUM(CD5:CM5)</f>
        <v>0</v>
      </c>
    </row>
    <row r="6" spans="1:103" ht="12.75" customHeight="1" x14ac:dyDescent="0.2">
      <c r="A6" s="81">
        <v>211</v>
      </c>
      <c r="B6" s="165" t="s">
        <v>1924</v>
      </c>
      <c r="C6" s="165" t="s">
        <v>1049</v>
      </c>
      <c r="E6" s="165" t="s">
        <v>3043</v>
      </c>
      <c r="G6" s="81">
        <v>527282</v>
      </c>
      <c r="H6" s="81">
        <v>176235</v>
      </c>
      <c r="I6" s="165" t="s">
        <v>241</v>
      </c>
      <c r="J6" s="349">
        <v>42825</v>
      </c>
      <c r="K6" s="349">
        <v>43190</v>
      </c>
      <c r="L6" s="166">
        <v>0</v>
      </c>
      <c r="M6" s="166">
        <v>1</v>
      </c>
      <c r="N6" s="166">
        <v>1</v>
      </c>
      <c r="O6" s="166">
        <v>1</v>
      </c>
      <c r="P6" s="166">
        <v>1</v>
      </c>
      <c r="R6" s="165" t="s">
        <v>1050</v>
      </c>
      <c r="S6" s="81" t="s">
        <v>113</v>
      </c>
      <c r="T6" s="349">
        <v>42600</v>
      </c>
      <c r="U6" s="349">
        <v>42656</v>
      </c>
      <c r="W6" s="81" t="s">
        <v>114</v>
      </c>
      <c r="Y6" s="81" t="s">
        <v>115</v>
      </c>
      <c r="Z6" s="81" t="s">
        <v>116</v>
      </c>
      <c r="AA6" s="81" t="s">
        <v>117</v>
      </c>
      <c r="AB6" s="81" t="s">
        <v>218</v>
      </c>
      <c r="AC6" s="166">
        <v>3.29999998211861E-2</v>
      </c>
      <c r="AD6" s="349">
        <v>42825</v>
      </c>
      <c r="AF6" s="349">
        <v>43190</v>
      </c>
      <c r="AG6" s="81" t="s">
        <v>238</v>
      </c>
      <c r="AH6" s="81" t="s">
        <v>118</v>
      </c>
      <c r="AK6" s="166">
        <v>0</v>
      </c>
      <c r="AM6" s="166">
        <v>0</v>
      </c>
      <c r="AO6" s="166">
        <v>0</v>
      </c>
      <c r="AP6" s="166">
        <v>0</v>
      </c>
      <c r="AQ6" s="166">
        <v>0</v>
      </c>
      <c r="AR6" s="166">
        <v>1</v>
      </c>
      <c r="AS6" s="166">
        <v>0</v>
      </c>
      <c r="AT6" s="166">
        <v>0</v>
      </c>
      <c r="AU6" s="166">
        <v>0</v>
      </c>
      <c r="AV6" s="166">
        <v>0</v>
      </c>
      <c r="AW6" s="166">
        <v>0</v>
      </c>
      <c r="AX6" s="166">
        <v>0</v>
      </c>
      <c r="AY6" s="166">
        <v>0</v>
      </c>
      <c r="AZ6" s="166">
        <v>0</v>
      </c>
      <c r="BA6" s="166">
        <v>0</v>
      </c>
      <c r="BB6" s="166">
        <v>0</v>
      </c>
      <c r="BC6" s="166">
        <v>0</v>
      </c>
      <c r="BD6" s="166">
        <v>0</v>
      </c>
      <c r="BE6" s="166">
        <v>0</v>
      </c>
      <c r="BF6" s="166">
        <v>1</v>
      </c>
      <c r="BG6" s="166">
        <v>0</v>
      </c>
      <c r="BH6" s="166">
        <v>0</v>
      </c>
      <c r="BI6" s="166">
        <v>0</v>
      </c>
      <c r="BJ6" s="166">
        <v>0</v>
      </c>
      <c r="BK6" s="166">
        <v>0</v>
      </c>
      <c r="BL6" s="166">
        <v>0</v>
      </c>
      <c r="BM6" s="166">
        <v>0</v>
      </c>
      <c r="BN6" s="166">
        <v>0</v>
      </c>
      <c r="BO6" s="166">
        <v>0</v>
      </c>
      <c r="BP6" s="166">
        <v>0</v>
      </c>
      <c r="BQ6" s="81" t="s">
        <v>1757</v>
      </c>
      <c r="BZ6" s="81" t="s">
        <v>155</v>
      </c>
      <c r="CA6" s="81">
        <v>1</v>
      </c>
      <c r="CC6" s="167">
        <f>N6</f>
        <v>1</v>
      </c>
      <c r="CD6" s="167">
        <v>0</v>
      </c>
      <c r="CE6" s="167">
        <v>0</v>
      </c>
      <c r="CF6" s="167">
        <v>0</v>
      </c>
      <c r="CG6" s="167">
        <v>0</v>
      </c>
      <c r="CH6" s="167">
        <v>0</v>
      </c>
      <c r="CI6" s="167">
        <v>0</v>
      </c>
      <c r="CJ6" s="167">
        <v>0</v>
      </c>
      <c r="CK6" s="167">
        <v>0</v>
      </c>
      <c r="CL6" s="167">
        <v>0</v>
      </c>
      <c r="CM6" s="167">
        <v>0</v>
      </c>
      <c r="CN6" s="167">
        <v>0</v>
      </c>
      <c r="CO6" s="167">
        <v>0</v>
      </c>
      <c r="CP6" s="167">
        <v>0</v>
      </c>
      <c r="CQ6" s="167">
        <v>0</v>
      </c>
      <c r="CR6" s="167">
        <v>0</v>
      </c>
      <c r="CS6" s="167">
        <v>0</v>
      </c>
      <c r="CT6" s="167">
        <v>0</v>
      </c>
      <c r="CU6" s="167">
        <v>0</v>
      </c>
      <c r="CV6" s="167">
        <v>0</v>
      </c>
      <c r="CW6" s="167">
        <v>0</v>
      </c>
      <c r="CX6" s="167">
        <f>SUM(CD6:CH6)</f>
        <v>0</v>
      </c>
      <c r="CY6" s="167">
        <f>SUM(CD6:CM6)</f>
        <v>0</v>
      </c>
    </row>
    <row r="7" spans="1:103" ht="12.75" customHeight="1" x14ac:dyDescent="0.2">
      <c r="A7" s="81">
        <v>449</v>
      </c>
      <c r="B7" s="165" t="s">
        <v>1924</v>
      </c>
      <c r="C7" s="165" t="s">
        <v>691</v>
      </c>
      <c r="E7" s="165" t="s">
        <v>3044</v>
      </c>
      <c r="G7" s="81">
        <v>527966</v>
      </c>
      <c r="H7" s="81">
        <v>172285</v>
      </c>
      <c r="I7" s="165" t="s">
        <v>248</v>
      </c>
      <c r="J7" s="349">
        <v>42826</v>
      </c>
      <c r="K7" s="349">
        <v>43190</v>
      </c>
      <c r="L7" s="166">
        <v>0</v>
      </c>
      <c r="M7" s="166">
        <v>1</v>
      </c>
      <c r="N7" s="166">
        <v>1</v>
      </c>
      <c r="O7" s="166">
        <v>1</v>
      </c>
      <c r="P7" s="166">
        <v>1</v>
      </c>
      <c r="R7" s="165" t="s">
        <v>692</v>
      </c>
      <c r="S7" s="81" t="s">
        <v>113</v>
      </c>
      <c r="T7" s="349">
        <v>42312</v>
      </c>
      <c r="U7" s="349">
        <v>42440</v>
      </c>
      <c r="W7" s="81" t="s">
        <v>114</v>
      </c>
      <c r="Y7" s="81" t="s">
        <v>115</v>
      </c>
      <c r="Z7" s="81" t="s">
        <v>219</v>
      </c>
      <c r="AA7" s="81" t="s">
        <v>117</v>
      </c>
      <c r="AB7" s="81" t="s">
        <v>3889</v>
      </c>
      <c r="AC7" s="166">
        <v>3.0000000260770299E-3</v>
      </c>
      <c r="AD7" s="349">
        <v>42826</v>
      </c>
      <c r="AE7" s="81" t="s">
        <v>155</v>
      </c>
      <c r="AF7" s="349">
        <v>43190</v>
      </c>
      <c r="AG7" s="81" t="s">
        <v>238</v>
      </c>
      <c r="AH7" s="81" t="s">
        <v>118</v>
      </c>
      <c r="AK7" s="166">
        <v>0</v>
      </c>
      <c r="AM7" s="166">
        <v>0</v>
      </c>
      <c r="AO7" s="166">
        <v>1</v>
      </c>
      <c r="AP7" s="166">
        <v>0</v>
      </c>
      <c r="AQ7" s="166">
        <v>0</v>
      </c>
      <c r="AR7" s="166">
        <v>0</v>
      </c>
      <c r="AS7" s="166">
        <v>0</v>
      </c>
      <c r="AT7" s="166">
        <v>0</v>
      </c>
      <c r="AU7" s="166">
        <v>0</v>
      </c>
      <c r="AV7" s="166">
        <v>1</v>
      </c>
      <c r="AW7" s="166">
        <v>0</v>
      </c>
      <c r="AX7" s="166">
        <v>0</v>
      </c>
      <c r="AY7" s="166">
        <v>0</v>
      </c>
      <c r="AZ7" s="166">
        <v>0</v>
      </c>
      <c r="BA7" s="166">
        <v>0</v>
      </c>
      <c r="BB7" s="166">
        <v>0</v>
      </c>
      <c r="BC7" s="166">
        <v>0</v>
      </c>
      <c r="BD7" s="166">
        <v>0</v>
      </c>
      <c r="BE7" s="166">
        <v>0</v>
      </c>
      <c r="BF7" s="166">
        <v>0</v>
      </c>
      <c r="BG7" s="166">
        <v>0</v>
      </c>
      <c r="BH7" s="166">
        <v>0</v>
      </c>
      <c r="BI7" s="166">
        <v>0</v>
      </c>
      <c r="BJ7" s="166">
        <v>0</v>
      </c>
      <c r="BK7" s="166">
        <v>0</v>
      </c>
      <c r="BL7" s="166">
        <v>0</v>
      </c>
      <c r="BM7" s="166">
        <v>0</v>
      </c>
      <c r="BN7" s="166">
        <v>0</v>
      </c>
      <c r="BO7" s="166">
        <v>0</v>
      </c>
      <c r="BP7" s="166">
        <v>0</v>
      </c>
      <c r="BQ7" s="81" t="s">
        <v>1757</v>
      </c>
      <c r="BZ7" s="81" t="s">
        <v>155</v>
      </c>
      <c r="CA7" s="81">
        <v>7</v>
      </c>
      <c r="CC7" s="167">
        <f>N7</f>
        <v>1</v>
      </c>
      <c r="CD7" s="167">
        <v>0</v>
      </c>
      <c r="CE7" s="167">
        <v>0</v>
      </c>
      <c r="CF7" s="167">
        <v>0</v>
      </c>
      <c r="CG7" s="167">
        <v>0</v>
      </c>
      <c r="CH7" s="167">
        <v>0</v>
      </c>
      <c r="CI7" s="167">
        <v>0</v>
      </c>
      <c r="CJ7" s="167">
        <v>0</v>
      </c>
      <c r="CK7" s="167">
        <v>0</v>
      </c>
      <c r="CL7" s="167">
        <v>0</v>
      </c>
      <c r="CM7" s="167">
        <v>0</v>
      </c>
      <c r="CN7" s="167">
        <v>0</v>
      </c>
      <c r="CO7" s="167">
        <v>0</v>
      </c>
      <c r="CP7" s="167">
        <v>0</v>
      </c>
      <c r="CQ7" s="167">
        <v>0</v>
      </c>
      <c r="CR7" s="167">
        <v>0</v>
      </c>
      <c r="CS7" s="167">
        <v>0</v>
      </c>
      <c r="CT7" s="167">
        <v>0</v>
      </c>
      <c r="CU7" s="167">
        <v>0</v>
      </c>
      <c r="CV7" s="167">
        <v>0</v>
      </c>
      <c r="CW7" s="167">
        <v>0</v>
      </c>
      <c r="CX7" s="167">
        <f>SUM(CD7:CH7)</f>
        <v>0</v>
      </c>
      <c r="CY7" s="167">
        <f>SUM(CD7:CM7)</f>
        <v>0</v>
      </c>
    </row>
    <row r="8" spans="1:103" ht="12.75" customHeight="1" x14ac:dyDescent="0.2">
      <c r="A8" s="81">
        <v>1183</v>
      </c>
      <c r="B8" s="165" t="s">
        <v>1924</v>
      </c>
      <c r="C8" s="165" t="s">
        <v>1493</v>
      </c>
      <c r="E8" s="165" t="s">
        <v>3045</v>
      </c>
      <c r="G8" s="81">
        <v>524979</v>
      </c>
      <c r="H8" s="81">
        <v>174628</v>
      </c>
      <c r="I8" s="165" t="s">
        <v>251</v>
      </c>
      <c r="J8" s="349">
        <v>42917</v>
      </c>
      <c r="K8" s="349">
        <v>43145</v>
      </c>
      <c r="L8" s="166">
        <v>0</v>
      </c>
      <c r="M8" s="166">
        <v>1</v>
      </c>
      <c r="N8" s="166">
        <v>1</v>
      </c>
      <c r="O8" s="166">
        <v>1</v>
      </c>
      <c r="P8" s="166">
        <v>1</v>
      </c>
      <c r="R8" s="165" t="s">
        <v>1494</v>
      </c>
      <c r="S8" s="81" t="s">
        <v>110</v>
      </c>
      <c r="T8" s="349">
        <v>42704</v>
      </c>
      <c r="U8" s="349">
        <v>42752</v>
      </c>
      <c r="W8" s="81" t="s">
        <v>114</v>
      </c>
      <c r="Y8" s="81" t="s">
        <v>115</v>
      </c>
      <c r="Z8" s="81" t="s">
        <v>310</v>
      </c>
      <c r="AA8" s="81" t="s">
        <v>117</v>
      </c>
      <c r="AB8" s="81" t="s">
        <v>102</v>
      </c>
      <c r="AC8" s="166">
        <v>4.9999998882412902E-3</v>
      </c>
      <c r="AD8" s="349">
        <v>42917</v>
      </c>
      <c r="AE8" s="81" t="s">
        <v>155</v>
      </c>
      <c r="AF8" s="349">
        <v>43145</v>
      </c>
      <c r="AG8" s="81" t="s">
        <v>238</v>
      </c>
      <c r="AH8" s="81" t="s">
        <v>118</v>
      </c>
      <c r="AK8" s="166">
        <v>0</v>
      </c>
      <c r="AM8" s="166">
        <v>0</v>
      </c>
      <c r="AO8" s="166">
        <v>0</v>
      </c>
      <c r="AP8" s="166">
        <v>0</v>
      </c>
      <c r="AQ8" s="166">
        <v>1</v>
      </c>
      <c r="AR8" s="166">
        <v>0</v>
      </c>
      <c r="AS8" s="166">
        <v>0</v>
      </c>
      <c r="AT8" s="166">
        <v>0</v>
      </c>
      <c r="AU8" s="166">
        <v>0</v>
      </c>
      <c r="AV8" s="166">
        <v>0</v>
      </c>
      <c r="AW8" s="166">
        <v>0</v>
      </c>
      <c r="AX8" s="166">
        <v>1</v>
      </c>
      <c r="AY8" s="166">
        <v>0</v>
      </c>
      <c r="AZ8" s="166">
        <v>0</v>
      </c>
      <c r="BA8" s="166">
        <v>0</v>
      </c>
      <c r="BB8" s="166">
        <v>0</v>
      </c>
      <c r="BC8" s="166">
        <v>0</v>
      </c>
      <c r="BD8" s="166">
        <v>0</v>
      </c>
      <c r="BE8" s="166">
        <v>0</v>
      </c>
      <c r="BF8" s="166">
        <v>0</v>
      </c>
      <c r="BG8" s="166">
        <v>0</v>
      </c>
      <c r="BH8" s="166">
        <v>0</v>
      </c>
      <c r="BI8" s="166">
        <v>0</v>
      </c>
      <c r="BJ8" s="166">
        <v>0</v>
      </c>
      <c r="BK8" s="166">
        <v>0</v>
      </c>
      <c r="BL8" s="166">
        <v>0</v>
      </c>
      <c r="BM8" s="166">
        <v>0</v>
      </c>
      <c r="BN8" s="166">
        <v>0</v>
      </c>
      <c r="BO8" s="166">
        <v>0</v>
      </c>
      <c r="BP8" s="166">
        <v>0</v>
      </c>
      <c r="BQ8" s="81" t="s">
        <v>1758</v>
      </c>
      <c r="BZ8" s="81" t="s">
        <v>155</v>
      </c>
      <c r="CA8" s="81">
        <v>7</v>
      </c>
      <c r="CC8" s="167">
        <f>N8</f>
        <v>1</v>
      </c>
      <c r="CD8" s="167">
        <v>0</v>
      </c>
      <c r="CE8" s="167">
        <v>0</v>
      </c>
      <c r="CF8" s="167">
        <v>0</v>
      </c>
      <c r="CG8" s="167">
        <v>0</v>
      </c>
      <c r="CH8" s="167">
        <v>0</v>
      </c>
      <c r="CI8" s="167">
        <v>0</v>
      </c>
      <c r="CJ8" s="167">
        <v>0</v>
      </c>
      <c r="CK8" s="167">
        <v>0</v>
      </c>
      <c r="CL8" s="167">
        <v>0</v>
      </c>
      <c r="CM8" s="167">
        <v>0</v>
      </c>
      <c r="CN8" s="167">
        <v>0</v>
      </c>
      <c r="CO8" s="167">
        <v>0</v>
      </c>
      <c r="CP8" s="167">
        <v>0</v>
      </c>
      <c r="CQ8" s="167">
        <v>0</v>
      </c>
      <c r="CR8" s="167">
        <v>0</v>
      </c>
      <c r="CS8" s="167">
        <v>0</v>
      </c>
      <c r="CT8" s="167">
        <v>0</v>
      </c>
      <c r="CU8" s="167">
        <v>0</v>
      </c>
      <c r="CV8" s="167">
        <v>0</v>
      </c>
      <c r="CW8" s="167">
        <v>0</v>
      </c>
      <c r="CX8" s="167">
        <f>SUM(CD8:CH8)</f>
        <v>0</v>
      </c>
      <c r="CY8" s="167">
        <f>SUM(CD8:CM8)</f>
        <v>0</v>
      </c>
    </row>
    <row r="9" spans="1:103" ht="12.75" customHeight="1" x14ac:dyDescent="0.2">
      <c r="A9" s="81">
        <v>1359</v>
      </c>
      <c r="B9" s="165" t="s">
        <v>1924</v>
      </c>
      <c r="C9" s="165" t="s">
        <v>3046</v>
      </c>
      <c r="D9" s="165" t="s">
        <v>3047</v>
      </c>
      <c r="E9" s="165" t="s">
        <v>3048</v>
      </c>
      <c r="G9" s="81">
        <v>526900</v>
      </c>
      <c r="H9" s="81">
        <v>171788</v>
      </c>
      <c r="I9" s="165" t="s">
        <v>242</v>
      </c>
      <c r="K9" s="349">
        <v>43190</v>
      </c>
      <c r="L9" s="166">
        <v>0</v>
      </c>
      <c r="M9" s="166">
        <v>1</v>
      </c>
      <c r="N9" s="166">
        <v>1</v>
      </c>
      <c r="O9" s="166">
        <v>1</v>
      </c>
      <c r="P9" s="166">
        <v>1</v>
      </c>
      <c r="R9" s="165" t="s">
        <v>3049</v>
      </c>
      <c r="S9" s="81" t="s">
        <v>113</v>
      </c>
      <c r="T9" s="349">
        <v>43089</v>
      </c>
      <c r="U9" s="349">
        <v>43145</v>
      </c>
      <c r="V9" s="81" t="s">
        <v>155</v>
      </c>
      <c r="W9" s="81" t="s">
        <v>114</v>
      </c>
      <c r="Y9" s="81" t="s">
        <v>115</v>
      </c>
      <c r="Z9" s="81" t="s">
        <v>398</v>
      </c>
      <c r="AA9" s="81" t="s">
        <v>117</v>
      </c>
      <c r="AB9" s="81" t="s">
        <v>311</v>
      </c>
      <c r="AC9" s="166">
        <v>6.0000000521540598E-3</v>
      </c>
      <c r="AF9" s="349">
        <v>43190</v>
      </c>
      <c r="AG9" s="81" t="s">
        <v>238</v>
      </c>
      <c r="AH9" s="81" t="s">
        <v>118</v>
      </c>
      <c r="AK9" s="166">
        <v>0</v>
      </c>
      <c r="AM9" s="166">
        <v>0</v>
      </c>
      <c r="AO9" s="166">
        <v>0</v>
      </c>
      <c r="AP9" s="166">
        <v>0</v>
      </c>
      <c r="AQ9" s="166">
        <v>1</v>
      </c>
      <c r="AR9" s="166">
        <v>0</v>
      </c>
      <c r="AS9" s="166">
        <v>0</v>
      </c>
      <c r="AT9" s="166">
        <v>0</v>
      </c>
      <c r="AU9" s="166">
        <v>0</v>
      </c>
      <c r="AV9" s="166">
        <v>0</v>
      </c>
      <c r="AW9" s="166">
        <v>0</v>
      </c>
      <c r="AX9" s="166">
        <v>1</v>
      </c>
      <c r="AY9" s="166">
        <v>0</v>
      </c>
      <c r="AZ9" s="166">
        <v>0</v>
      </c>
      <c r="BA9" s="166">
        <v>0</v>
      </c>
      <c r="BB9" s="166">
        <v>0</v>
      </c>
      <c r="BC9" s="166">
        <v>0</v>
      </c>
      <c r="BD9" s="166">
        <v>0</v>
      </c>
      <c r="BE9" s="166">
        <v>0</v>
      </c>
      <c r="BF9" s="166">
        <v>0</v>
      </c>
      <c r="BG9" s="166">
        <v>0</v>
      </c>
      <c r="BH9" s="166">
        <v>0</v>
      </c>
      <c r="BI9" s="166">
        <v>0</v>
      </c>
      <c r="BJ9" s="166">
        <v>0</v>
      </c>
      <c r="BK9" s="166">
        <v>0</v>
      </c>
      <c r="BL9" s="166">
        <v>0</v>
      </c>
      <c r="BM9" s="166">
        <v>0</v>
      </c>
      <c r="BN9" s="166">
        <v>0</v>
      </c>
      <c r="BO9" s="166">
        <v>0</v>
      </c>
      <c r="BP9" s="166">
        <v>0</v>
      </c>
      <c r="BQ9" s="81" t="s">
        <v>1757</v>
      </c>
      <c r="BZ9" s="81" t="s">
        <v>155</v>
      </c>
      <c r="CA9" s="81">
        <v>7</v>
      </c>
      <c r="CC9" s="167">
        <f>N9</f>
        <v>1</v>
      </c>
      <c r="CD9" s="167">
        <v>0</v>
      </c>
      <c r="CE9" s="167">
        <v>0</v>
      </c>
      <c r="CF9" s="167">
        <v>0</v>
      </c>
      <c r="CG9" s="167">
        <v>0</v>
      </c>
      <c r="CH9" s="167">
        <v>0</v>
      </c>
      <c r="CI9" s="167">
        <v>0</v>
      </c>
      <c r="CJ9" s="167">
        <v>0</v>
      </c>
      <c r="CK9" s="167">
        <v>0</v>
      </c>
      <c r="CL9" s="167">
        <v>0</v>
      </c>
      <c r="CM9" s="167">
        <v>0</v>
      </c>
      <c r="CN9" s="167">
        <v>0</v>
      </c>
      <c r="CO9" s="167">
        <v>0</v>
      </c>
      <c r="CP9" s="167">
        <v>0</v>
      </c>
      <c r="CQ9" s="167">
        <v>0</v>
      </c>
      <c r="CR9" s="167">
        <v>0</v>
      </c>
      <c r="CS9" s="167">
        <v>0</v>
      </c>
      <c r="CT9" s="167">
        <v>0</v>
      </c>
      <c r="CU9" s="167">
        <v>0</v>
      </c>
      <c r="CV9" s="167">
        <v>0</v>
      </c>
      <c r="CW9" s="167">
        <v>0</v>
      </c>
      <c r="CX9" s="167">
        <f>SUM(CD9:CH9)</f>
        <v>0</v>
      </c>
      <c r="CY9" s="167">
        <f>SUM(CD9:CM9)</f>
        <v>0</v>
      </c>
    </row>
    <row r="10" spans="1:103" ht="12.75" customHeight="1" x14ac:dyDescent="0.2">
      <c r="A10" s="81">
        <v>1389</v>
      </c>
      <c r="B10" s="165" t="s">
        <v>1924</v>
      </c>
      <c r="C10" s="165" t="s">
        <v>3050</v>
      </c>
      <c r="E10" s="165" t="s">
        <v>3051</v>
      </c>
      <c r="G10" s="81">
        <v>527222</v>
      </c>
      <c r="H10" s="81">
        <v>177053</v>
      </c>
      <c r="I10" s="165" t="s">
        <v>257</v>
      </c>
      <c r="J10" s="349">
        <v>39234</v>
      </c>
      <c r="K10" s="349">
        <v>43055</v>
      </c>
      <c r="L10" s="166">
        <v>0</v>
      </c>
      <c r="M10" s="166">
        <v>1</v>
      </c>
      <c r="N10" s="166">
        <v>1</v>
      </c>
      <c r="O10" s="166">
        <v>1</v>
      </c>
      <c r="P10" s="166">
        <v>1</v>
      </c>
      <c r="R10" s="165" t="s">
        <v>3052</v>
      </c>
      <c r="S10" s="81" t="s">
        <v>504</v>
      </c>
      <c r="T10" s="349">
        <v>42999</v>
      </c>
      <c r="U10" s="349">
        <v>43055</v>
      </c>
      <c r="V10" s="81" t="s">
        <v>155</v>
      </c>
      <c r="W10" s="81" t="s">
        <v>114</v>
      </c>
      <c r="Y10" s="81" t="s">
        <v>115</v>
      </c>
      <c r="Z10" s="81" t="s">
        <v>310</v>
      </c>
      <c r="AA10" s="81" t="s">
        <v>117</v>
      </c>
      <c r="AB10" s="81" t="s">
        <v>311</v>
      </c>
      <c r="AC10" s="166">
        <v>3.0000000260770299E-3</v>
      </c>
      <c r="AD10" s="349">
        <v>39234</v>
      </c>
      <c r="AF10" s="349">
        <v>43055</v>
      </c>
      <c r="AG10" s="81" t="s">
        <v>238</v>
      </c>
      <c r="AH10" s="81" t="s">
        <v>118</v>
      </c>
      <c r="AK10" s="166">
        <v>0</v>
      </c>
      <c r="AM10" s="166">
        <v>0</v>
      </c>
      <c r="AO10" s="166">
        <v>0</v>
      </c>
      <c r="AP10" s="166">
        <v>0</v>
      </c>
      <c r="AQ10" s="166">
        <v>1</v>
      </c>
      <c r="AR10" s="166">
        <v>0</v>
      </c>
      <c r="AS10" s="166">
        <v>0</v>
      </c>
      <c r="AT10" s="166">
        <v>0</v>
      </c>
      <c r="AU10" s="166">
        <v>0</v>
      </c>
      <c r="AV10" s="166">
        <v>0</v>
      </c>
      <c r="AW10" s="166">
        <v>0</v>
      </c>
      <c r="AX10" s="166">
        <v>1</v>
      </c>
      <c r="AY10" s="166">
        <v>0</v>
      </c>
      <c r="AZ10" s="166">
        <v>0</v>
      </c>
      <c r="BA10" s="166">
        <v>0</v>
      </c>
      <c r="BB10" s="166">
        <v>0</v>
      </c>
      <c r="BC10" s="166">
        <v>0</v>
      </c>
      <c r="BD10" s="166">
        <v>0</v>
      </c>
      <c r="BE10" s="166">
        <v>0</v>
      </c>
      <c r="BF10" s="166">
        <v>0</v>
      </c>
      <c r="BG10" s="166">
        <v>0</v>
      </c>
      <c r="BH10" s="166">
        <v>0</v>
      </c>
      <c r="BI10" s="166">
        <v>0</v>
      </c>
      <c r="BJ10" s="166">
        <v>0</v>
      </c>
      <c r="BK10" s="166">
        <v>0</v>
      </c>
      <c r="BL10" s="166">
        <v>0</v>
      </c>
      <c r="BM10" s="166">
        <v>0</v>
      </c>
      <c r="BN10" s="166">
        <v>0</v>
      </c>
      <c r="BO10" s="166">
        <v>0</v>
      </c>
      <c r="BP10" s="166">
        <v>0</v>
      </c>
      <c r="BQ10" s="81" t="s">
        <v>1757</v>
      </c>
      <c r="BZ10" s="81" t="s">
        <v>155</v>
      </c>
      <c r="CA10" s="81">
        <v>7</v>
      </c>
      <c r="CC10" s="167">
        <f>N10</f>
        <v>1</v>
      </c>
      <c r="CD10" s="167">
        <v>0</v>
      </c>
      <c r="CE10" s="167">
        <v>0</v>
      </c>
      <c r="CF10" s="167">
        <v>0</v>
      </c>
      <c r="CG10" s="167">
        <v>0</v>
      </c>
      <c r="CH10" s="167">
        <v>0</v>
      </c>
      <c r="CI10" s="167">
        <v>0</v>
      </c>
      <c r="CJ10" s="167">
        <v>0</v>
      </c>
      <c r="CK10" s="167">
        <v>0</v>
      </c>
      <c r="CL10" s="167">
        <v>0</v>
      </c>
      <c r="CM10" s="167">
        <v>0</v>
      </c>
      <c r="CN10" s="167">
        <v>0</v>
      </c>
      <c r="CO10" s="167">
        <v>0</v>
      </c>
      <c r="CP10" s="167">
        <v>0</v>
      </c>
      <c r="CQ10" s="167">
        <v>0</v>
      </c>
      <c r="CR10" s="167">
        <v>0</v>
      </c>
      <c r="CS10" s="167">
        <v>0</v>
      </c>
      <c r="CT10" s="167">
        <v>0</v>
      </c>
      <c r="CU10" s="167">
        <v>0</v>
      </c>
      <c r="CV10" s="167">
        <v>0</v>
      </c>
      <c r="CW10" s="167">
        <v>0</v>
      </c>
      <c r="CX10" s="167">
        <f>SUM(CD10:CH10)</f>
        <v>0</v>
      </c>
      <c r="CY10" s="167">
        <f>SUM(CD10:CM10)</f>
        <v>0</v>
      </c>
    </row>
    <row r="11" spans="1:103" ht="12.75" customHeight="1" x14ac:dyDescent="0.2">
      <c r="A11" s="81">
        <v>1502</v>
      </c>
      <c r="B11" s="165" t="s">
        <v>1924</v>
      </c>
      <c r="C11" s="165" t="s">
        <v>3053</v>
      </c>
      <c r="E11" s="165" t="s">
        <v>3054</v>
      </c>
      <c r="G11" s="81">
        <v>528652</v>
      </c>
      <c r="H11" s="81">
        <v>172479</v>
      </c>
      <c r="I11" s="165" t="s">
        <v>248</v>
      </c>
      <c r="J11" s="349">
        <v>43185</v>
      </c>
      <c r="K11" s="349">
        <v>43190</v>
      </c>
      <c r="L11" s="166">
        <v>1</v>
      </c>
      <c r="M11" s="166">
        <v>1</v>
      </c>
      <c r="N11" s="166">
        <v>0</v>
      </c>
      <c r="O11" s="166">
        <v>1</v>
      </c>
      <c r="P11" s="166">
        <v>0</v>
      </c>
      <c r="R11" s="165" t="s">
        <v>3055</v>
      </c>
      <c r="S11" s="81" t="s">
        <v>113</v>
      </c>
      <c r="T11" s="349">
        <v>43080</v>
      </c>
      <c r="U11" s="349">
        <v>43185</v>
      </c>
      <c r="V11" s="81" t="s">
        <v>155</v>
      </c>
      <c r="W11" s="81" t="s">
        <v>114</v>
      </c>
      <c r="Y11" s="81" t="s">
        <v>115</v>
      </c>
      <c r="Z11" s="81" t="s">
        <v>310</v>
      </c>
      <c r="AA11" s="81" t="s">
        <v>117</v>
      </c>
      <c r="AB11" s="81" t="s">
        <v>105</v>
      </c>
      <c r="AC11" s="166">
        <v>2.3000000044703501E-2</v>
      </c>
      <c r="AD11" s="349">
        <v>43185</v>
      </c>
      <c r="AE11" s="81" t="s">
        <v>155</v>
      </c>
      <c r="AF11" s="349">
        <v>43190</v>
      </c>
      <c r="AG11" s="81" t="s">
        <v>238</v>
      </c>
      <c r="AH11" s="81" t="s">
        <v>118</v>
      </c>
      <c r="AK11" s="166">
        <v>0</v>
      </c>
      <c r="AM11" s="166">
        <v>0</v>
      </c>
      <c r="AO11" s="166">
        <v>0</v>
      </c>
      <c r="AP11" s="166">
        <v>0</v>
      </c>
      <c r="AQ11" s="166">
        <v>0</v>
      </c>
      <c r="AR11" s="166">
        <v>0</v>
      </c>
      <c r="AS11" s="166">
        <v>0</v>
      </c>
      <c r="AT11" s="166">
        <v>0</v>
      </c>
      <c r="AU11" s="166">
        <v>0</v>
      </c>
      <c r="AV11" s="166">
        <v>0</v>
      </c>
      <c r="AW11" s="166">
        <v>0</v>
      </c>
      <c r="AX11" s="166">
        <v>0</v>
      </c>
      <c r="AY11" s="166">
        <v>0</v>
      </c>
      <c r="AZ11" s="166">
        <v>0</v>
      </c>
      <c r="BA11" s="166">
        <v>0</v>
      </c>
      <c r="BB11" s="166">
        <v>0</v>
      </c>
      <c r="BC11" s="166">
        <v>0</v>
      </c>
      <c r="BD11" s="166">
        <v>0</v>
      </c>
      <c r="BE11" s="166">
        <v>0</v>
      </c>
      <c r="BF11" s="166">
        <v>0</v>
      </c>
      <c r="BG11" s="166">
        <v>0</v>
      </c>
      <c r="BH11" s="166">
        <v>0</v>
      </c>
      <c r="BI11" s="166">
        <v>0</v>
      </c>
      <c r="BJ11" s="166">
        <v>0</v>
      </c>
      <c r="BK11" s="166">
        <v>0</v>
      </c>
      <c r="BL11" s="166">
        <v>0</v>
      </c>
      <c r="BM11" s="166">
        <v>0</v>
      </c>
      <c r="BN11" s="166">
        <v>0</v>
      </c>
      <c r="BO11" s="166">
        <v>0</v>
      </c>
      <c r="BP11" s="166">
        <v>0</v>
      </c>
      <c r="BQ11" s="81" t="s">
        <v>1757</v>
      </c>
      <c r="BZ11" s="81" t="s">
        <v>155</v>
      </c>
      <c r="CA11" s="81">
        <v>7</v>
      </c>
      <c r="CC11" s="167">
        <f>N11</f>
        <v>0</v>
      </c>
      <c r="CD11" s="167">
        <v>0</v>
      </c>
      <c r="CE11" s="167">
        <v>0</v>
      </c>
      <c r="CF11" s="167">
        <v>0</v>
      </c>
      <c r="CG11" s="167">
        <v>0</v>
      </c>
      <c r="CH11" s="167">
        <v>0</v>
      </c>
      <c r="CI11" s="167">
        <v>0</v>
      </c>
      <c r="CJ11" s="167">
        <v>0</v>
      </c>
      <c r="CK11" s="167">
        <v>0</v>
      </c>
      <c r="CL11" s="167">
        <v>0</v>
      </c>
      <c r="CM11" s="167">
        <v>0</v>
      </c>
      <c r="CN11" s="167">
        <v>0</v>
      </c>
      <c r="CO11" s="167">
        <v>0</v>
      </c>
      <c r="CP11" s="167">
        <v>0</v>
      </c>
      <c r="CQ11" s="167">
        <v>0</v>
      </c>
      <c r="CR11" s="167">
        <v>0</v>
      </c>
      <c r="CS11" s="167">
        <v>0</v>
      </c>
      <c r="CT11" s="167">
        <v>0</v>
      </c>
      <c r="CU11" s="167">
        <v>0</v>
      </c>
      <c r="CV11" s="167">
        <v>0</v>
      </c>
      <c r="CW11" s="167">
        <v>0</v>
      </c>
      <c r="CX11" s="167">
        <f>SUM(CD11:CH11)</f>
        <v>0</v>
      </c>
      <c r="CY11" s="167">
        <f>SUM(CD11:CM11)</f>
        <v>0</v>
      </c>
    </row>
    <row r="12" spans="1:103" ht="12.75" customHeight="1" x14ac:dyDescent="0.2">
      <c r="A12" s="81">
        <v>1583</v>
      </c>
      <c r="B12" s="165" t="s">
        <v>1924</v>
      </c>
      <c r="C12" s="165" t="s">
        <v>36</v>
      </c>
      <c r="E12" s="165" t="s">
        <v>3056</v>
      </c>
      <c r="G12" s="81">
        <v>527339</v>
      </c>
      <c r="H12" s="81">
        <v>176604</v>
      </c>
      <c r="I12" s="165" t="s">
        <v>257</v>
      </c>
      <c r="J12" s="349">
        <v>42478</v>
      </c>
      <c r="K12" s="349">
        <v>43124</v>
      </c>
      <c r="L12" s="166">
        <v>0</v>
      </c>
      <c r="M12" s="166">
        <v>3</v>
      </c>
      <c r="N12" s="166">
        <v>3</v>
      </c>
      <c r="O12" s="166">
        <v>3</v>
      </c>
      <c r="P12" s="166">
        <v>3</v>
      </c>
      <c r="R12" s="165" t="s">
        <v>37</v>
      </c>
      <c r="S12" s="81" t="s">
        <v>113</v>
      </c>
      <c r="T12" s="349">
        <v>41715</v>
      </c>
      <c r="U12" s="349">
        <v>41778</v>
      </c>
      <c r="W12" s="81" t="s">
        <v>114</v>
      </c>
      <c r="Y12" s="81" t="s">
        <v>115</v>
      </c>
      <c r="Z12" s="81" t="s">
        <v>119</v>
      </c>
      <c r="AA12" s="81" t="s">
        <v>117</v>
      </c>
      <c r="AB12" s="81" t="s">
        <v>336</v>
      </c>
      <c r="AC12" s="166">
        <v>3.20000015199184E-2</v>
      </c>
      <c r="AD12" s="349">
        <v>42478</v>
      </c>
      <c r="AF12" s="349">
        <v>43124</v>
      </c>
      <c r="AG12" s="81" t="s">
        <v>238</v>
      </c>
      <c r="AH12" s="81" t="s">
        <v>118</v>
      </c>
      <c r="AK12" s="166">
        <v>0</v>
      </c>
      <c r="AM12" s="166">
        <v>0</v>
      </c>
      <c r="AO12" s="166">
        <v>0</v>
      </c>
      <c r="AP12" s="166">
        <v>0</v>
      </c>
      <c r="AQ12" s="166">
        <v>0</v>
      </c>
      <c r="AR12" s="166">
        <v>1</v>
      </c>
      <c r="AS12" s="166">
        <v>2</v>
      </c>
      <c r="AT12" s="166">
        <v>0</v>
      </c>
      <c r="AU12" s="166">
        <v>0</v>
      </c>
      <c r="AV12" s="166">
        <v>0</v>
      </c>
      <c r="AW12" s="166">
        <v>0</v>
      </c>
      <c r="AX12" s="166">
        <v>0</v>
      </c>
      <c r="AY12" s="166">
        <v>0</v>
      </c>
      <c r="AZ12" s="166">
        <v>0</v>
      </c>
      <c r="BA12" s="166">
        <v>0</v>
      </c>
      <c r="BB12" s="166">
        <v>0</v>
      </c>
      <c r="BC12" s="166">
        <v>0</v>
      </c>
      <c r="BD12" s="166">
        <v>0</v>
      </c>
      <c r="BE12" s="166">
        <v>0</v>
      </c>
      <c r="BF12" s="166">
        <v>1</v>
      </c>
      <c r="BG12" s="166">
        <v>2</v>
      </c>
      <c r="BH12" s="166">
        <v>0</v>
      </c>
      <c r="BI12" s="166">
        <v>0</v>
      </c>
      <c r="BJ12" s="166">
        <v>0</v>
      </c>
      <c r="BK12" s="166">
        <v>0</v>
      </c>
      <c r="BL12" s="166">
        <v>0</v>
      </c>
      <c r="BM12" s="166">
        <v>0</v>
      </c>
      <c r="BN12" s="166">
        <v>0</v>
      </c>
      <c r="BO12" s="166">
        <v>0</v>
      </c>
      <c r="BP12" s="166">
        <v>0</v>
      </c>
      <c r="BQ12" s="81" t="s">
        <v>1757</v>
      </c>
      <c r="BZ12" s="81" t="s">
        <v>155</v>
      </c>
      <c r="CA12" s="81">
        <v>7</v>
      </c>
      <c r="CC12" s="167">
        <f>N12</f>
        <v>3</v>
      </c>
      <c r="CD12" s="167">
        <v>0</v>
      </c>
      <c r="CE12" s="167">
        <v>0</v>
      </c>
      <c r="CF12" s="167">
        <v>0</v>
      </c>
      <c r="CG12" s="167">
        <v>0</v>
      </c>
      <c r="CH12" s="167">
        <v>0</v>
      </c>
      <c r="CI12" s="167">
        <v>0</v>
      </c>
      <c r="CJ12" s="167">
        <v>0</v>
      </c>
      <c r="CK12" s="167">
        <v>0</v>
      </c>
      <c r="CL12" s="167">
        <v>0</v>
      </c>
      <c r="CM12" s="167">
        <v>0</v>
      </c>
      <c r="CN12" s="167">
        <v>0</v>
      </c>
      <c r="CO12" s="167">
        <v>0</v>
      </c>
      <c r="CP12" s="167">
        <v>0</v>
      </c>
      <c r="CQ12" s="167">
        <v>0</v>
      </c>
      <c r="CR12" s="167">
        <v>0</v>
      </c>
      <c r="CS12" s="167">
        <v>0</v>
      </c>
      <c r="CT12" s="167">
        <v>0</v>
      </c>
      <c r="CU12" s="167">
        <v>0</v>
      </c>
      <c r="CV12" s="167">
        <v>0</v>
      </c>
      <c r="CW12" s="167">
        <v>0</v>
      </c>
      <c r="CX12" s="167">
        <f>SUM(CD12:CH12)</f>
        <v>0</v>
      </c>
      <c r="CY12" s="167">
        <f>SUM(CD12:CM12)</f>
        <v>0</v>
      </c>
    </row>
    <row r="13" spans="1:103" ht="12.75" customHeight="1" x14ac:dyDescent="0.2">
      <c r="A13" s="81">
        <v>1647</v>
      </c>
      <c r="B13" s="165" t="s">
        <v>1924</v>
      </c>
      <c r="C13" s="165" t="s">
        <v>22</v>
      </c>
      <c r="E13" s="165" t="s">
        <v>3057</v>
      </c>
      <c r="G13" s="81">
        <v>528445</v>
      </c>
      <c r="H13" s="81">
        <v>171853</v>
      </c>
      <c r="I13" s="165" t="s">
        <v>248</v>
      </c>
      <c r="J13" s="349">
        <v>42668</v>
      </c>
      <c r="K13" s="349">
        <v>43013</v>
      </c>
      <c r="L13" s="166">
        <v>1</v>
      </c>
      <c r="M13" s="166">
        <v>3</v>
      </c>
      <c r="N13" s="166">
        <v>2</v>
      </c>
      <c r="O13" s="166">
        <v>3</v>
      </c>
      <c r="P13" s="166">
        <v>2</v>
      </c>
      <c r="R13" s="165" t="s">
        <v>23</v>
      </c>
      <c r="S13" s="81" t="s">
        <v>113</v>
      </c>
      <c r="T13" s="349">
        <v>41766</v>
      </c>
      <c r="U13" s="349">
        <v>41900</v>
      </c>
      <c r="W13" s="81" t="s">
        <v>114</v>
      </c>
      <c r="Y13" s="81" t="s">
        <v>115</v>
      </c>
      <c r="Z13" s="81" t="s">
        <v>398</v>
      </c>
      <c r="AA13" s="81" t="s">
        <v>117</v>
      </c>
      <c r="AB13" s="81" t="s">
        <v>120</v>
      </c>
      <c r="AC13" s="166">
        <v>1.4000000432133701E-2</v>
      </c>
      <c r="AD13" s="349">
        <v>42668</v>
      </c>
      <c r="AF13" s="349">
        <v>43013</v>
      </c>
      <c r="AG13" s="81" t="s">
        <v>238</v>
      </c>
      <c r="AH13" s="81" t="s">
        <v>118</v>
      </c>
      <c r="AK13" s="166">
        <v>0</v>
      </c>
      <c r="AM13" s="166">
        <v>0</v>
      </c>
      <c r="AO13" s="166">
        <v>0</v>
      </c>
      <c r="AP13" s="166">
        <v>1</v>
      </c>
      <c r="AQ13" s="166">
        <v>1</v>
      </c>
      <c r="AR13" s="166">
        <v>1</v>
      </c>
      <c r="AS13" s="166">
        <v>-1</v>
      </c>
      <c r="AT13" s="166">
        <v>0</v>
      </c>
      <c r="AU13" s="166">
        <v>0</v>
      </c>
      <c r="AV13" s="166">
        <v>0</v>
      </c>
      <c r="AW13" s="166">
        <v>1</v>
      </c>
      <c r="AX13" s="166">
        <v>1</v>
      </c>
      <c r="AY13" s="166">
        <v>1</v>
      </c>
      <c r="AZ13" s="166">
        <v>0</v>
      </c>
      <c r="BA13" s="166">
        <v>0</v>
      </c>
      <c r="BB13" s="166">
        <v>0</v>
      </c>
      <c r="BC13" s="166">
        <v>0</v>
      </c>
      <c r="BD13" s="166">
        <v>0</v>
      </c>
      <c r="BE13" s="166">
        <v>0</v>
      </c>
      <c r="BF13" s="166">
        <v>0</v>
      </c>
      <c r="BG13" s="166">
        <v>-1</v>
      </c>
      <c r="BH13" s="166">
        <v>0</v>
      </c>
      <c r="BI13" s="166">
        <v>0</v>
      </c>
      <c r="BJ13" s="166">
        <v>0</v>
      </c>
      <c r="BK13" s="166">
        <v>0</v>
      </c>
      <c r="BL13" s="166">
        <v>0</v>
      </c>
      <c r="BM13" s="166">
        <v>0</v>
      </c>
      <c r="BN13" s="166">
        <v>0</v>
      </c>
      <c r="BO13" s="166">
        <v>0</v>
      </c>
      <c r="BP13" s="166">
        <v>0</v>
      </c>
      <c r="BQ13" s="81" t="s">
        <v>1757</v>
      </c>
      <c r="BZ13" s="81" t="s">
        <v>155</v>
      </c>
      <c r="CA13" s="81">
        <v>7</v>
      </c>
      <c r="CC13" s="167">
        <f>N13</f>
        <v>2</v>
      </c>
      <c r="CD13" s="167">
        <v>0</v>
      </c>
      <c r="CE13" s="167">
        <v>0</v>
      </c>
      <c r="CF13" s="167">
        <v>0</v>
      </c>
      <c r="CG13" s="167">
        <v>0</v>
      </c>
      <c r="CH13" s="167">
        <v>0</v>
      </c>
      <c r="CI13" s="167">
        <v>0</v>
      </c>
      <c r="CJ13" s="167">
        <v>0</v>
      </c>
      <c r="CK13" s="167">
        <v>0</v>
      </c>
      <c r="CL13" s="167">
        <v>0</v>
      </c>
      <c r="CM13" s="167">
        <v>0</v>
      </c>
      <c r="CN13" s="167">
        <v>0</v>
      </c>
      <c r="CO13" s="167">
        <v>0</v>
      </c>
      <c r="CP13" s="167">
        <v>0</v>
      </c>
      <c r="CQ13" s="167">
        <v>0</v>
      </c>
      <c r="CR13" s="167">
        <v>0</v>
      </c>
      <c r="CS13" s="167">
        <v>0</v>
      </c>
      <c r="CT13" s="167">
        <v>0</v>
      </c>
      <c r="CU13" s="167">
        <v>0</v>
      </c>
      <c r="CV13" s="167">
        <v>0</v>
      </c>
      <c r="CW13" s="167">
        <v>0</v>
      </c>
      <c r="CX13" s="167">
        <f>SUM(CD13:CH13)</f>
        <v>0</v>
      </c>
      <c r="CY13" s="167">
        <f>SUM(CD13:CM13)</f>
        <v>0</v>
      </c>
    </row>
    <row r="14" spans="1:103" ht="12.75" customHeight="1" x14ac:dyDescent="0.2">
      <c r="A14" s="81">
        <v>1667</v>
      </c>
      <c r="B14" s="165" t="s">
        <v>1924</v>
      </c>
      <c r="C14" s="165" t="s">
        <v>3058</v>
      </c>
      <c r="E14" s="165" t="s">
        <v>3059</v>
      </c>
      <c r="G14" s="81">
        <v>526823</v>
      </c>
      <c r="H14" s="81">
        <v>175309</v>
      </c>
      <c r="I14" s="165" t="s">
        <v>251</v>
      </c>
      <c r="J14" s="349">
        <v>38507</v>
      </c>
      <c r="K14" s="349">
        <v>42963</v>
      </c>
      <c r="L14" s="166">
        <v>0</v>
      </c>
      <c r="M14" s="166">
        <v>1</v>
      </c>
      <c r="N14" s="166">
        <v>1</v>
      </c>
      <c r="O14" s="166">
        <v>1</v>
      </c>
      <c r="P14" s="166">
        <v>1</v>
      </c>
      <c r="R14" s="165" t="s">
        <v>3060</v>
      </c>
      <c r="S14" s="81" t="s">
        <v>513</v>
      </c>
      <c r="T14" s="349">
        <v>42907</v>
      </c>
      <c r="U14" s="349">
        <v>42963</v>
      </c>
      <c r="V14" s="81" t="s">
        <v>155</v>
      </c>
      <c r="W14" s="81" t="s">
        <v>114</v>
      </c>
      <c r="Y14" s="81" t="s">
        <v>115</v>
      </c>
      <c r="Z14" s="81" t="s">
        <v>310</v>
      </c>
      <c r="AA14" s="81" t="s">
        <v>117</v>
      </c>
      <c r="AB14" s="81" t="s">
        <v>102</v>
      </c>
      <c r="AC14" s="166">
        <v>4.0000001899898104E-3</v>
      </c>
      <c r="AD14" s="349">
        <v>38507</v>
      </c>
      <c r="AF14" s="349">
        <v>42963</v>
      </c>
      <c r="AG14" s="81" t="s">
        <v>238</v>
      </c>
      <c r="AH14" s="81" t="s">
        <v>118</v>
      </c>
      <c r="AK14" s="166">
        <v>0</v>
      </c>
      <c r="AM14" s="166">
        <v>0</v>
      </c>
      <c r="AO14" s="166">
        <v>0</v>
      </c>
      <c r="AP14" s="166">
        <v>0</v>
      </c>
      <c r="AQ14" s="166">
        <v>1</v>
      </c>
      <c r="AR14" s="166">
        <v>0</v>
      </c>
      <c r="AS14" s="166">
        <v>0</v>
      </c>
      <c r="AT14" s="166">
        <v>0</v>
      </c>
      <c r="AU14" s="166">
        <v>0</v>
      </c>
      <c r="AV14" s="166">
        <v>0</v>
      </c>
      <c r="AW14" s="166">
        <v>0</v>
      </c>
      <c r="AX14" s="166">
        <v>1</v>
      </c>
      <c r="AY14" s="166">
        <v>0</v>
      </c>
      <c r="AZ14" s="166">
        <v>0</v>
      </c>
      <c r="BA14" s="166">
        <v>0</v>
      </c>
      <c r="BB14" s="166">
        <v>0</v>
      </c>
      <c r="BC14" s="166">
        <v>0</v>
      </c>
      <c r="BD14" s="166">
        <v>0</v>
      </c>
      <c r="BE14" s="166">
        <v>0</v>
      </c>
      <c r="BF14" s="166">
        <v>0</v>
      </c>
      <c r="BG14" s="166">
        <v>0</v>
      </c>
      <c r="BH14" s="166">
        <v>0</v>
      </c>
      <c r="BI14" s="166">
        <v>0</v>
      </c>
      <c r="BJ14" s="166">
        <v>0</v>
      </c>
      <c r="BK14" s="166">
        <v>0</v>
      </c>
      <c r="BL14" s="166">
        <v>0</v>
      </c>
      <c r="BM14" s="166">
        <v>0</v>
      </c>
      <c r="BN14" s="166">
        <v>0</v>
      </c>
      <c r="BO14" s="166">
        <v>0</v>
      </c>
      <c r="BP14" s="166">
        <v>0</v>
      </c>
      <c r="BQ14" s="81" t="s">
        <v>1758</v>
      </c>
      <c r="BZ14" s="81" t="s">
        <v>155</v>
      </c>
      <c r="CA14" s="81">
        <v>7</v>
      </c>
      <c r="CC14" s="167">
        <f>N14</f>
        <v>1</v>
      </c>
      <c r="CD14" s="167">
        <v>0</v>
      </c>
      <c r="CE14" s="167">
        <v>0</v>
      </c>
      <c r="CF14" s="167">
        <v>0</v>
      </c>
      <c r="CG14" s="167">
        <v>0</v>
      </c>
      <c r="CH14" s="167">
        <v>0</v>
      </c>
      <c r="CI14" s="167">
        <v>0</v>
      </c>
      <c r="CJ14" s="167">
        <v>0</v>
      </c>
      <c r="CK14" s="167">
        <v>0</v>
      </c>
      <c r="CL14" s="167">
        <v>0</v>
      </c>
      <c r="CM14" s="167">
        <v>0</v>
      </c>
      <c r="CN14" s="167">
        <v>0</v>
      </c>
      <c r="CO14" s="167">
        <v>0</v>
      </c>
      <c r="CP14" s="167">
        <v>0</v>
      </c>
      <c r="CQ14" s="167">
        <v>0</v>
      </c>
      <c r="CR14" s="167">
        <v>0</v>
      </c>
      <c r="CS14" s="167">
        <v>0</v>
      </c>
      <c r="CT14" s="167">
        <v>0</v>
      </c>
      <c r="CU14" s="167">
        <v>0</v>
      </c>
      <c r="CV14" s="167">
        <v>0</v>
      </c>
      <c r="CW14" s="167">
        <v>0</v>
      </c>
      <c r="CX14" s="167">
        <f>SUM(CD14:CH14)</f>
        <v>0</v>
      </c>
      <c r="CY14" s="167">
        <f>SUM(CD14:CM14)</f>
        <v>0</v>
      </c>
    </row>
    <row r="15" spans="1:103" ht="12.75" customHeight="1" x14ac:dyDescent="0.2">
      <c r="A15" s="81">
        <v>1815</v>
      </c>
      <c r="B15" s="165" t="s">
        <v>1924</v>
      </c>
      <c r="C15" s="165" t="s">
        <v>277</v>
      </c>
      <c r="D15" s="165" t="s">
        <v>278</v>
      </c>
      <c r="E15" s="165" t="s">
        <v>3061</v>
      </c>
      <c r="G15" s="81">
        <v>526506</v>
      </c>
      <c r="H15" s="81">
        <v>175214</v>
      </c>
      <c r="I15" s="165" t="s">
        <v>251</v>
      </c>
      <c r="J15" s="349">
        <v>42826</v>
      </c>
      <c r="K15" s="349">
        <v>43190</v>
      </c>
      <c r="L15" s="166">
        <v>0</v>
      </c>
      <c r="M15" s="166">
        <v>1</v>
      </c>
      <c r="N15" s="166">
        <v>1</v>
      </c>
      <c r="O15" s="166">
        <v>1</v>
      </c>
      <c r="P15" s="166">
        <v>1</v>
      </c>
      <c r="R15" s="165" t="s">
        <v>388</v>
      </c>
      <c r="S15" s="81" t="s">
        <v>113</v>
      </c>
      <c r="T15" s="349">
        <v>41941</v>
      </c>
      <c r="U15" s="349">
        <v>42054</v>
      </c>
      <c r="W15" s="81" t="s">
        <v>114</v>
      </c>
      <c r="Y15" s="81" t="s">
        <v>115</v>
      </c>
      <c r="Z15" s="81" t="s">
        <v>116</v>
      </c>
      <c r="AA15" s="81" t="s">
        <v>117</v>
      </c>
      <c r="AB15" s="81" t="s">
        <v>218</v>
      </c>
      <c r="AC15" s="166">
        <v>7.0000002160668399E-3</v>
      </c>
      <c r="AD15" s="349">
        <v>42826</v>
      </c>
      <c r="AE15" s="81" t="s">
        <v>155</v>
      </c>
      <c r="AF15" s="349">
        <v>43190</v>
      </c>
      <c r="AG15" s="81" t="s">
        <v>238</v>
      </c>
      <c r="AH15" s="81" t="s">
        <v>118</v>
      </c>
      <c r="AK15" s="166">
        <v>0</v>
      </c>
      <c r="AM15" s="166">
        <v>0</v>
      </c>
      <c r="AO15" s="166">
        <v>0</v>
      </c>
      <c r="AP15" s="166">
        <v>0</v>
      </c>
      <c r="AQ15" s="166">
        <v>1</v>
      </c>
      <c r="AR15" s="166">
        <v>0</v>
      </c>
      <c r="AS15" s="166">
        <v>0</v>
      </c>
      <c r="AT15" s="166">
        <v>0</v>
      </c>
      <c r="AU15" s="166">
        <v>0</v>
      </c>
      <c r="AV15" s="166">
        <v>0</v>
      </c>
      <c r="AW15" s="166">
        <v>0</v>
      </c>
      <c r="AX15" s="166">
        <v>1</v>
      </c>
      <c r="AY15" s="166">
        <v>0</v>
      </c>
      <c r="AZ15" s="166">
        <v>0</v>
      </c>
      <c r="BA15" s="166">
        <v>0</v>
      </c>
      <c r="BB15" s="166">
        <v>0</v>
      </c>
      <c r="BC15" s="166">
        <v>0</v>
      </c>
      <c r="BD15" s="166">
        <v>0</v>
      </c>
      <c r="BE15" s="166">
        <v>0</v>
      </c>
      <c r="BF15" s="166">
        <v>0</v>
      </c>
      <c r="BG15" s="166">
        <v>0</v>
      </c>
      <c r="BH15" s="166">
        <v>0</v>
      </c>
      <c r="BI15" s="166">
        <v>0</v>
      </c>
      <c r="BJ15" s="166">
        <v>0</v>
      </c>
      <c r="BK15" s="166">
        <v>0</v>
      </c>
      <c r="BL15" s="166">
        <v>0</v>
      </c>
      <c r="BM15" s="166">
        <v>0</v>
      </c>
      <c r="BN15" s="166">
        <v>0</v>
      </c>
      <c r="BO15" s="166">
        <v>0</v>
      </c>
      <c r="BP15" s="166">
        <v>0</v>
      </c>
      <c r="BQ15" s="81" t="s">
        <v>1758</v>
      </c>
      <c r="BZ15" s="81" t="s">
        <v>155</v>
      </c>
      <c r="CA15" s="81">
        <v>1</v>
      </c>
      <c r="CC15" s="167">
        <f>N15</f>
        <v>1</v>
      </c>
      <c r="CD15" s="167">
        <v>0</v>
      </c>
      <c r="CE15" s="167">
        <v>0</v>
      </c>
      <c r="CF15" s="167">
        <v>0</v>
      </c>
      <c r="CG15" s="167">
        <v>0</v>
      </c>
      <c r="CH15" s="167">
        <v>0</v>
      </c>
      <c r="CI15" s="167">
        <v>0</v>
      </c>
      <c r="CJ15" s="167">
        <v>0</v>
      </c>
      <c r="CK15" s="167">
        <v>0</v>
      </c>
      <c r="CL15" s="167">
        <v>0</v>
      </c>
      <c r="CM15" s="167">
        <v>0</v>
      </c>
      <c r="CN15" s="167">
        <v>0</v>
      </c>
      <c r="CO15" s="167">
        <v>0</v>
      </c>
      <c r="CP15" s="167">
        <v>0</v>
      </c>
      <c r="CQ15" s="167">
        <v>0</v>
      </c>
      <c r="CR15" s="167">
        <v>0</v>
      </c>
      <c r="CS15" s="167">
        <v>0</v>
      </c>
      <c r="CT15" s="167">
        <v>0</v>
      </c>
      <c r="CU15" s="167">
        <v>0</v>
      </c>
      <c r="CV15" s="167">
        <v>0</v>
      </c>
      <c r="CW15" s="167">
        <v>0</v>
      </c>
      <c r="CX15" s="167">
        <f>SUM(CD15:CH15)</f>
        <v>0</v>
      </c>
      <c r="CY15" s="167">
        <f>SUM(CD15:CM15)</f>
        <v>0</v>
      </c>
    </row>
    <row r="16" spans="1:103" ht="12.75" customHeight="1" x14ac:dyDescent="0.2">
      <c r="A16" s="81">
        <v>2097</v>
      </c>
      <c r="B16" s="165" t="s">
        <v>1924</v>
      </c>
      <c r="C16" s="165" t="s">
        <v>1023</v>
      </c>
      <c r="D16" s="165" t="s">
        <v>80</v>
      </c>
      <c r="E16" s="165" t="s">
        <v>3062</v>
      </c>
      <c r="G16" s="81">
        <v>525308</v>
      </c>
      <c r="H16" s="81">
        <v>173997</v>
      </c>
      <c r="I16" s="165" t="s">
        <v>258</v>
      </c>
      <c r="J16" s="349">
        <v>42538</v>
      </c>
      <c r="K16" s="349">
        <v>42936</v>
      </c>
      <c r="L16" s="166">
        <v>0</v>
      </c>
      <c r="M16" s="166">
        <v>2</v>
      </c>
      <c r="N16" s="166">
        <v>2</v>
      </c>
      <c r="O16" s="166">
        <v>2</v>
      </c>
      <c r="P16" s="166">
        <v>2</v>
      </c>
      <c r="R16" s="165" t="s">
        <v>1024</v>
      </c>
      <c r="S16" s="81" t="s">
        <v>509</v>
      </c>
      <c r="T16" s="349">
        <v>42541</v>
      </c>
      <c r="U16" s="349">
        <v>42597</v>
      </c>
      <c r="W16" s="81" t="s">
        <v>114</v>
      </c>
      <c r="Y16" s="81" t="s">
        <v>115</v>
      </c>
      <c r="Z16" s="81" t="s">
        <v>310</v>
      </c>
      <c r="AA16" s="81" t="s">
        <v>117</v>
      </c>
      <c r="AB16" s="81" t="s">
        <v>399</v>
      </c>
      <c r="AC16" s="166">
        <v>1.7999999225139601E-2</v>
      </c>
      <c r="AD16" s="349">
        <v>42538</v>
      </c>
      <c r="AF16" s="349">
        <v>42936</v>
      </c>
      <c r="AG16" s="81" t="s">
        <v>74</v>
      </c>
      <c r="AH16" s="81" t="s">
        <v>1913</v>
      </c>
      <c r="AK16" s="166">
        <v>0</v>
      </c>
      <c r="AM16" s="166">
        <v>0</v>
      </c>
      <c r="AO16" s="166">
        <v>0</v>
      </c>
      <c r="AP16" s="166">
        <v>1</v>
      </c>
      <c r="AQ16" s="166">
        <v>1</v>
      </c>
      <c r="AR16" s="166">
        <v>0</v>
      </c>
      <c r="AS16" s="166">
        <v>0</v>
      </c>
      <c r="AT16" s="166">
        <v>0</v>
      </c>
      <c r="AU16" s="166">
        <v>0</v>
      </c>
      <c r="AV16" s="166">
        <v>0</v>
      </c>
      <c r="AW16" s="166">
        <v>1</v>
      </c>
      <c r="AX16" s="166">
        <v>1</v>
      </c>
      <c r="AY16" s="166">
        <v>0</v>
      </c>
      <c r="AZ16" s="166">
        <v>0</v>
      </c>
      <c r="BA16" s="166">
        <v>0</v>
      </c>
      <c r="BB16" s="166">
        <v>0</v>
      </c>
      <c r="BC16" s="166">
        <v>0</v>
      </c>
      <c r="BD16" s="166">
        <v>0</v>
      </c>
      <c r="BE16" s="166">
        <v>0</v>
      </c>
      <c r="BF16" s="166">
        <v>0</v>
      </c>
      <c r="BG16" s="166">
        <v>0</v>
      </c>
      <c r="BH16" s="166">
        <v>0</v>
      </c>
      <c r="BI16" s="166">
        <v>0</v>
      </c>
      <c r="BJ16" s="166">
        <v>0</v>
      </c>
      <c r="BK16" s="166">
        <v>0</v>
      </c>
      <c r="BL16" s="166">
        <v>0</v>
      </c>
      <c r="BM16" s="166">
        <v>0</v>
      </c>
      <c r="BN16" s="166">
        <v>0</v>
      </c>
      <c r="BO16" s="166">
        <v>0</v>
      </c>
      <c r="BP16" s="166">
        <v>0</v>
      </c>
      <c r="BQ16" s="81" t="s">
        <v>1758</v>
      </c>
      <c r="BZ16" s="81" t="s">
        <v>155</v>
      </c>
      <c r="CA16" s="81">
        <v>7</v>
      </c>
      <c r="CC16" s="167">
        <f>N16</f>
        <v>2</v>
      </c>
      <c r="CD16" s="167">
        <v>0</v>
      </c>
      <c r="CE16" s="167">
        <v>0</v>
      </c>
      <c r="CF16" s="167">
        <v>0</v>
      </c>
      <c r="CG16" s="167">
        <v>0</v>
      </c>
      <c r="CH16" s="167">
        <v>0</v>
      </c>
      <c r="CI16" s="167">
        <v>0</v>
      </c>
      <c r="CJ16" s="167">
        <v>0</v>
      </c>
      <c r="CK16" s="167">
        <v>0</v>
      </c>
      <c r="CL16" s="167">
        <v>0</v>
      </c>
      <c r="CM16" s="167">
        <v>0</v>
      </c>
      <c r="CN16" s="167">
        <v>0</v>
      </c>
      <c r="CO16" s="167">
        <v>0</v>
      </c>
      <c r="CP16" s="167">
        <v>0</v>
      </c>
      <c r="CQ16" s="167">
        <v>0</v>
      </c>
      <c r="CR16" s="167">
        <v>0</v>
      </c>
      <c r="CS16" s="167">
        <v>0</v>
      </c>
      <c r="CT16" s="167">
        <v>0</v>
      </c>
      <c r="CU16" s="167">
        <v>0</v>
      </c>
      <c r="CV16" s="167">
        <v>0</v>
      </c>
      <c r="CW16" s="167">
        <v>0</v>
      </c>
      <c r="CX16" s="167">
        <f>SUM(CD16:CH16)</f>
        <v>0</v>
      </c>
      <c r="CY16" s="167">
        <f>SUM(CD16:CM16)</f>
        <v>0</v>
      </c>
    </row>
    <row r="17" spans="1:103" ht="12.75" customHeight="1" x14ac:dyDescent="0.2">
      <c r="A17" s="81">
        <v>2217</v>
      </c>
      <c r="B17" s="165" t="s">
        <v>1924</v>
      </c>
      <c r="C17" s="165" t="s">
        <v>1074</v>
      </c>
      <c r="E17" s="165" t="s">
        <v>3063</v>
      </c>
      <c r="G17" s="81">
        <v>529351</v>
      </c>
      <c r="H17" s="81">
        <v>176948</v>
      </c>
      <c r="I17" s="165" t="s">
        <v>240</v>
      </c>
      <c r="J17" s="349">
        <v>42825</v>
      </c>
      <c r="K17" s="349">
        <v>43190</v>
      </c>
      <c r="L17" s="166">
        <v>0</v>
      </c>
      <c r="M17" s="166">
        <v>1</v>
      </c>
      <c r="N17" s="166">
        <v>1</v>
      </c>
      <c r="O17" s="166">
        <v>1</v>
      </c>
      <c r="P17" s="166">
        <v>1</v>
      </c>
      <c r="R17" s="165" t="s">
        <v>1075</v>
      </c>
      <c r="S17" s="81" t="s">
        <v>113</v>
      </c>
      <c r="T17" s="349">
        <v>42678</v>
      </c>
      <c r="U17" s="349">
        <v>42713</v>
      </c>
      <c r="W17" s="81" t="s">
        <v>114</v>
      </c>
      <c r="Y17" s="81" t="s">
        <v>115</v>
      </c>
      <c r="Z17" s="81" t="s">
        <v>219</v>
      </c>
      <c r="AA17" s="81" t="s">
        <v>117</v>
      </c>
      <c r="AB17" s="81" t="s">
        <v>3889</v>
      </c>
      <c r="AC17" s="166">
        <v>4.0000001899898104E-3</v>
      </c>
      <c r="AD17" s="349">
        <v>42825</v>
      </c>
      <c r="AF17" s="349">
        <v>43190</v>
      </c>
      <c r="AG17" s="81" t="s">
        <v>238</v>
      </c>
      <c r="AH17" s="81" t="s">
        <v>118</v>
      </c>
      <c r="AK17" s="166">
        <v>0</v>
      </c>
      <c r="AM17" s="166">
        <v>0</v>
      </c>
      <c r="AO17" s="166">
        <v>0</v>
      </c>
      <c r="AP17" s="166">
        <v>1</v>
      </c>
      <c r="AQ17" s="166">
        <v>0</v>
      </c>
      <c r="AR17" s="166">
        <v>0</v>
      </c>
      <c r="AS17" s="166">
        <v>0</v>
      </c>
      <c r="AT17" s="166">
        <v>0</v>
      </c>
      <c r="AU17" s="166">
        <v>0</v>
      </c>
      <c r="AV17" s="166">
        <v>0</v>
      </c>
      <c r="AW17" s="166">
        <v>1</v>
      </c>
      <c r="AX17" s="166">
        <v>0</v>
      </c>
      <c r="AY17" s="166">
        <v>0</v>
      </c>
      <c r="AZ17" s="166">
        <v>0</v>
      </c>
      <c r="BA17" s="166">
        <v>0</v>
      </c>
      <c r="BB17" s="166">
        <v>0</v>
      </c>
      <c r="BC17" s="166">
        <v>0</v>
      </c>
      <c r="BD17" s="166">
        <v>0</v>
      </c>
      <c r="BE17" s="166">
        <v>0</v>
      </c>
      <c r="BF17" s="166">
        <v>0</v>
      </c>
      <c r="BG17" s="166">
        <v>0</v>
      </c>
      <c r="BH17" s="166">
        <v>0</v>
      </c>
      <c r="BI17" s="166">
        <v>0</v>
      </c>
      <c r="BJ17" s="166">
        <v>0</v>
      </c>
      <c r="BK17" s="166">
        <v>0</v>
      </c>
      <c r="BL17" s="166">
        <v>0</v>
      </c>
      <c r="BM17" s="166">
        <v>0</v>
      </c>
      <c r="BN17" s="166">
        <v>0</v>
      </c>
      <c r="BO17" s="166">
        <v>0</v>
      </c>
      <c r="BP17" s="166">
        <v>0</v>
      </c>
      <c r="BQ17" s="81" t="s">
        <v>1759</v>
      </c>
      <c r="BS17" s="81" t="s">
        <v>155</v>
      </c>
      <c r="BZ17" s="81" t="s">
        <v>155</v>
      </c>
      <c r="CA17" s="81">
        <v>7</v>
      </c>
      <c r="CC17" s="167">
        <f>N17</f>
        <v>1</v>
      </c>
      <c r="CD17" s="167">
        <v>0</v>
      </c>
      <c r="CE17" s="167">
        <v>0</v>
      </c>
      <c r="CF17" s="167">
        <v>0</v>
      </c>
      <c r="CG17" s="167">
        <v>0</v>
      </c>
      <c r="CH17" s="167">
        <v>0</v>
      </c>
      <c r="CI17" s="167">
        <v>0</v>
      </c>
      <c r="CJ17" s="167">
        <v>0</v>
      </c>
      <c r="CK17" s="167">
        <v>0</v>
      </c>
      <c r="CL17" s="167">
        <v>0</v>
      </c>
      <c r="CM17" s="167">
        <v>0</v>
      </c>
      <c r="CN17" s="167">
        <v>0</v>
      </c>
      <c r="CO17" s="167">
        <v>0</v>
      </c>
      <c r="CP17" s="167">
        <v>0</v>
      </c>
      <c r="CQ17" s="167">
        <v>0</v>
      </c>
      <c r="CR17" s="167">
        <v>0</v>
      </c>
      <c r="CS17" s="167">
        <v>0</v>
      </c>
      <c r="CT17" s="167">
        <v>0</v>
      </c>
      <c r="CU17" s="167">
        <v>0</v>
      </c>
      <c r="CV17" s="167">
        <v>0</v>
      </c>
      <c r="CW17" s="167">
        <v>0</v>
      </c>
      <c r="CX17" s="167">
        <f>SUM(CD17:CH17)</f>
        <v>0</v>
      </c>
      <c r="CY17" s="167">
        <f>SUM(CD17:CM17)</f>
        <v>0</v>
      </c>
    </row>
    <row r="18" spans="1:103" ht="12.75" customHeight="1" x14ac:dyDescent="0.2">
      <c r="A18" s="81">
        <v>2230</v>
      </c>
      <c r="B18" s="165" t="s">
        <v>1924</v>
      </c>
      <c r="C18" s="165" t="s">
        <v>228</v>
      </c>
      <c r="E18" s="165" t="s">
        <v>3064</v>
      </c>
      <c r="G18" s="81">
        <v>523081</v>
      </c>
      <c r="H18" s="81">
        <v>175252</v>
      </c>
      <c r="I18" s="165" t="s">
        <v>59</v>
      </c>
      <c r="J18" s="349">
        <v>42233</v>
      </c>
      <c r="K18" s="349">
        <v>43054</v>
      </c>
      <c r="L18" s="166">
        <v>0</v>
      </c>
      <c r="M18" s="166">
        <v>4</v>
      </c>
      <c r="N18" s="166">
        <v>4</v>
      </c>
      <c r="O18" s="166">
        <v>4</v>
      </c>
      <c r="P18" s="166">
        <v>4</v>
      </c>
      <c r="R18" s="165" t="s">
        <v>229</v>
      </c>
      <c r="S18" s="81" t="s">
        <v>113</v>
      </c>
      <c r="T18" s="349">
        <v>41970</v>
      </c>
      <c r="U18" s="349">
        <v>42054</v>
      </c>
      <c r="W18" s="81" t="s">
        <v>114</v>
      </c>
      <c r="Y18" s="81" t="s">
        <v>115</v>
      </c>
      <c r="Z18" s="81" t="s">
        <v>116</v>
      </c>
      <c r="AA18" s="81" t="s">
        <v>117</v>
      </c>
      <c r="AB18" s="81" t="s">
        <v>218</v>
      </c>
      <c r="AC18" s="166">
        <v>7.5999997556209606E-2</v>
      </c>
      <c r="AD18" s="349">
        <v>42233</v>
      </c>
      <c r="AF18" s="349">
        <v>43054</v>
      </c>
      <c r="AG18" s="81" t="s">
        <v>238</v>
      </c>
      <c r="AH18" s="81" t="s">
        <v>118</v>
      </c>
      <c r="AK18" s="166">
        <v>0</v>
      </c>
      <c r="AM18" s="166">
        <v>0</v>
      </c>
      <c r="AO18" s="166">
        <v>0</v>
      </c>
      <c r="AP18" s="166">
        <v>0</v>
      </c>
      <c r="AQ18" s="166">
        <v>0</v>
      </c>
      <c r="AR18" s="166">
        <v>2</v>
      </c>
      <c r="AS18" s="166">
        <v>2</v>
      </c>
      <c r="AT18" s="166">
        <v>0</v>
      </c>
      <c r="AU18" s="166">
        <v>0</v>
      </c>
      <c r="AV18" s="166">
        <v>0</v>
      </c>
      <c r="AW18" s="166">
        <v>0</v>
      </c>
      <c r="AX18" s="166">
        <v>0</v>
      </c>
      <c r="AY18" s="166">
        <v>0</v>
      </c>
      <c r="AZ18" s="166">
        <v>0</v>
      </c>
      <c r="BA18" s="166">
        <v>0</v>
      </c>
      <c r="BB18" s="166">
        <v>0</v>
      </c>
      <c r="BC18" s="166">
        <v>0</v>
      </c>
      <c r="BD18" s="166">
        <v>0</v>
      </c>
      <c r="BE18" s="166">
        <v>0</v>
      </c>
      <c r="BF18" s="166">
        <v>2</v>
      </c>
      <c r="BG18" s="166">
        <v>2</v>
      </c>
      <c r="BH18" s="166">
        <v>0</v>
      </c>
      <c r="BI18" s="166">
        <v>0</v>
      </c>
      <c r="BJ18" s="166">
        <v>0</v>
      </c>
      <c r="BK18" s="166">
        <v>0</v>
      </c>
      <c r="BL18" s="166">
        <v>0</v>
      </c>
      <c r="BM18" s="166">
        <v>0</v>
      </c>
      <c r="BN18" s="166">
        <v>0</v>
      </c>
      <c r="BO18" s="166">
        <v>0</v>
      </c>
      <c r="BP18" s="166">
        <v>0</v>
      </c>
      <c r="BQ18" s="81" t="s">
        <v>1758</v>
      </c>
      <c r="BZ18" s="81" t="s">
        <v>155</v>
      </c>
      <c r="CA18" s="81">
        <v>1</v>
      </c>
      <c r="CC18" s="167">
        <f>N18</f>
        <v>4</v>
      </c>
      <c r="CD18" s="167">
        <v>0</v>
      </c>
      <c r="CE18" s="167">
        <v>0</v>
      </c>
      <c r="CF18" s="167">
        <v>0</v>
      </c>
      <c r="CG18" s="167">
        <v>0</v>
      </c>
      <c r="CH18" s="167">
        <v>0</v>
      </c>
      <c r="CI18" s="167">
        <v>0</v>
      </c>
      <c r="CJ18" s="167">
        <v>0</v>
      </c>
      <c r="CK18" s="167">
        <v>0</v>
      </c>
      <c r="CL18" s="167">
        <v>0</v>
      </c>
      <c r="CM18" s="167">
        <v>0</v>
      </c>
      <c r="CN18" s="167">
        <v>0</v>
      </c>
      <c r="CO18" s="167">
        <v>0</v>
      </c>
      <c r="CP18" s="167">
        <v>0</v>
      </c>
      <c r="CQ18" s="167">
        <v>0</v>
      </c>
      <c r="CR18" s="167">
        <v>0</v>
      </c>
      <c r="CS18" s="167">
        <v>0</v>
      </c>
      <c r="CT18" s="167">
        <v>0</v>
      </c>
      <c r="CU18" s="167">
        <v>0</v>
      </c>
      <c r="CV18" s="167">
        <v>0</v>
      </c>
      <c r="CW18" s="167">
        <v>0</v>
      </c>
      <c r="CX18" s="167">
        <f>SUM(CD18:CH18)</f>
        <v>0</v>
      </c>
      <c r="CY18" s="167">
        <f>SUM(CD18:CM18)</f>
        <v>0</v>
      </c>
    </row>
    <row r="19" spans="1:103" ht="12.75" customHeight="1" x14ac:dyDescent="0.2">
      <c r="A19" s="81">
        <v>2302</v>
      </c>
      <c r="B19" s="165" t="s">
        <v>1924</v>
      </c>
      <c r="C19" s="165" t="s">
        <v>878</v>
      </c>
      <c r="E19" s="165" t="s">
        <v>1976</v>
      </c>
      <c r="G19" s="81">
        <v>527958</v>
      </c>
      <c r="H19" s="81">
        <v>170935</v>
      </c>
      <c r="I19" s="165" t="s">
        <v>253</v>
      </c>
      <c r="J19" s="349">
        <v>42825</v>
      </c>
      <c r="K19" s="349">
        <v>43190</v>
      </c>
      <c r="L19" s="166">
        <v>6</v>
      </c>
      <c r="M19" s="166">
        <v>11</v>
      </c>
      <c r="N19" s="166">
        <v>5</v>
      </c>
      <c r="O19" s="166">
        <v>11</v>
      </c>
      <c r="P19" s="166">
        <v>5</v>
      </c>
      <c r="Q19" s="81" t="s">
        <v>155</v>
      </c>
      <c r="R19" s="165" t="s">
        <v>879</v>
      </c>
      <c r="S19" s="81" t="s">
        <v>113</v>
      </c>
      <c r="T19" s="349">
        <v>39382</v>
      </c>
      <c r="U19" s="349">
        <v>39527</v>
      </c>
      <c r="W19" s="81" t="s">
        <v>114</v>
      </c>
      <c r="Y19" s="81" t="s">
        <v>115</v>
      </c>
      <c r="Z19" s="81" t="s">
        <v>116</v>
      </c>
      <c r="AA19" s="81" t="s">
        <v>116</v>
      </c>
      <c r="AB19" s="81" t="s">
        <v>117</v>
      </c>
      <c r="AC19" s="166">
        <v>4.6999998390674598E-2</v>
      </c>
      <c r="AD19" s="349">
        <v>42825</v>
      </c>
      <c r="AF19" s="349">
        <v>43190</v>
      </c>
      <c r="AG19" s="81" t="s">
        <v>238</v>
      </c>
      <c r="AH19" s="81" t="s">
        <v>118</v>
      </c>
      <c r="AO19" s="166">
        <v>0</v>
      </c>
      <c r="AP19" s="166">
        <v>5</v>
      </c>
      <c r="AQ19" s="166">
        <v>1</v>
      </c>
      <c r="AR19" s="166">
        <v>-1</v>
      </c>
      <c r="AS19" s="166">
        <v>0</v>
      </c>
      <c r="AT19" s="166">
        <v>0</v>
      </c>
      <c r="AU19" s="166">
        <v>0</v>
      </c>
      <c r="AV19" s="166">
        <v>0</v>
      </c>
      <c r="AW19" s="166">
        <v>5</v>
      </c>
      <c r="AX19" s="166">
        <v>1</v>
      </c>
      <c r="AY19" s="166">
        <v>-1</v>
      </c>
      <c r="AZ19" s="166">
        <v>0</v>
      </c>
      <c r="BA19" s="166">
        <v>0</v>
      </c>
      <c r="BB19" s="166">
        <v>0</v>
      </c>
      <c r="BC19" s="166">
        <v>0</v>
      </c>
      <c r="BD19" s="166">
        <v>0</v>
      </c>
      <c r="BE19" s="166">
        <v>0</v>
      </c>
      <c r="BF19" s="166">
        <v>0</v>
      </c>
      <c r="BG19" s="166">
        <v>0</v>
      </c>
      <c r="BH19" s="166">
        <v>0</v>
      </c>
      <c r="BI19" s="166">
        <v>0</v>
      </c>
      <c r="BJ19" s="166">
        <v>0</v>
      </c>
      <c r="BK19" s="166">
        <v>0</v>
      </c>
      <c r="BL19" s="166">
        <v>0</v>
      </c>
      <c r="BM19" s="166">
        <v>0</v>
      </c>
      <c r="BN19" s="166">
        <v>0</v>
      </c>
      <c r="BO19" s="166">
        <v>0</v>
      </c>
      <c r="BP19" s="166">
        <v>0</v>
      </c>
      <c r="BQ19" s="81" t="s">
        <v>1757</v>
      </c>
      <c r="BZ19" s="81" t="s">
        <v>155</v>
      </c>
      <c r="CA19" s="81">
        <v>1</v>
      </c>
      <c r="CC19" s="167">
        <f>N19</f>
        <v>5</v>
      </c>
      <c r="CD19" s="167">
        <v>0</v>
      </c>
      <c r="CE19" s="167">
        <v>0</v>
      </c>
      <c r="CF19" s="167">
        <v>0</v>
      </c>
      <c r="CG19" s="167">
        <v>0</v>
      </c>
      <c r="CH19" s="167">
        <v>0</v>
      </c>
      <c r="CI19" s="167">
        <v>0</v>
      </c>
      <c r="CJ19" s="167">
        <v>0</v>
      </c>
      <c r="CK19" s="167">
        <v>0</v>
      </c>
      <c r="CL19" s="167">
        <v>0</v>
      </c>
      <c r="CM19" s="167">
        <v>0</v>
      </c>
      <c r="CN19" s="167">
        <v>0</v>
      </c>
      <c r="CO19" s="167">
        <v>0</v>
      </c>
      <c r="CP19" s="167">
        <v>0</v>
      </c>
      <c r="CQ19" s="167">
        <v>0</v>
      </c>
      <c r="CR19" s="167">
        <v>0</v>
      </c>
      <c r="CS19" s="167">
        <v>0</v>
      </c>
      <c r="CT19" s="167">
        <v>0</v>
      </c>
      <c r="CU19" s="167">
        <v>0</v>
      </c>
      <c r="CV19" s="167">
        <v>0</v>
      </c>
      <c r="CW19" s="167">
        <v>0</v>
      </c>
      <c r="CX19" s="167">
        <f>SUM(CD19:CH19)</f>
        <v>0</v>
      </c>
      <c r="CY19" s="167">
        <f>SUM(CD19:CM19)</f>
        <v>0</v>
      </c>
    </row>
    <row r="20" spans="1:103" ht="12.75" customHeight="1" x14ac:dyDescent="0.2">
      <c r="A20" s="81">
        <v>2411</v>
      </c>
      <c r="B20" s="165" t="s">
        <v>1924</v>
      </c>
      <c r="C20" s="165" t="s">
        <v>4036</v>
      </c>
      <c r="D20" s="165" t="s">
        <v>508</v>
      </c>
      <c r="E20" s="165" t="s">
        <v>1982</v>
      </c>
      <c r="F20" s="165" t="s">
        <v>4037</v>
      </c>
      <c r="G20" s="81">
        <v>528934</v>
      </c>
      <c r="H20" s="81">
        <v>177496</v>
      </c>
      <c r="I20" s="165" t="s">
        <v>240</v>
      </c>
      <c r="J20" s="349">
        <v>41599</v>
      </c>
      <c r="K20" s="350">
        <v>43190</v>
      </c>
      <c r="L20" s="166">
        <v>0</v>
      </c>
      <c r="M20" s="166">
        <v>593</v>
      </c>
      <c r="N20" s="166">
        <v>593</v>
      </c>
      <c r="O20" s="166">
        <v>865</v>
      </c>
      <c r="P20" s="166">
        <v>865</v>
      </c>
      <c r="Q20" s="81" t="s">
        <v>155</v>
      </c>
      <c r="R20" s="165" t="s">
        <v>4038</v>
      </c>
      <c r="S20" s="81" t="s">
        <v>1998</v>
      </c>
      <c r="T20" s="349">
        <v>42654</v>
      </c>
      <c r="U20" s="349">
        <v>42682</v>
      </c>
      <c r="W20" s="81" t="s">
        <v>114</v>
      </c>
      <c r="Y20" s="81" t="s">
        <v>115</v>
      </c>
      <c r="Z20" s="81" t="s">
        <v>116</v>
      </c>
      <c r="AA20" s="81" t="s">
        <v>116</v>
      </c>
      <c r="AB20" s="81" t="s">
        <v>117</v>
      </c>
      <c r="AC20" s="166">
        <v>0.82099999999999995</v>
      </c>
      <c r="AD20" s="349">
        <v>41599</v>
      </c>
      <c r="AF20" s="349">
        <v>43190</v>
      </c>
      <c r="AG20" s="81" t="s">
        <v>238</v>
      </c>
      <c r="AH20" s="81" t="s">
        <v>118</v>
      </c>
      <c r="AI20" s="81" t="s">
        <v>1983</v>
      </c>
      <c r="AK20" s="166">
        <v>593</v>
      </c>
      <c r="AM20" s="166">
        <v>59</v>
      </c>
      <c r="AO20" s="166">
        <v>85</v>
      </c>
      <c r="AP20" s="166">
        <v>164</v>
      </c>
      <c r="AQ20" s="166">
        <v>294</v>
      </c>
      <c r="AR20" s="166">
        <v>35</v>
      </c>
      <c r="AS20" s="166">
        <v>15</v>
      </c>
      <c r="AT20" s="166">
        <v>0</v>
      </c>
      <c r="AU20" s="166">
        <v>0</v>
      </c>
      <c r="AV20" s="166">
        <v>85</v>
      </c>
      <c r="AW20" s="166">
        <v>164</v>
      </c>
      <c r="AX20" s="166">
        <v>294</v>
      </c>
      <c r="AY20" s="166">
        <v>35</v>
      </c>
      <c r="AZ20" s="166">
        <v>15</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81" t="s">
        <v>1759</v>
      </c>
      <c r="BS20" s="81" t="s">
        <v>155</v>
      </c>
      <c r="BZ20" s="81" t="s">
        <v>155</v>
      </c>
      <c r="CA20" s="81">
        <v>1</v>
      </c>
      <c r="CC20" s="167">
        <v>593</v>
      </c>
      <c r="CD20" s="167">
        <v>0</v>
      </c>
      <c r="CE20" s="167">
        <v>0</v>
      </c>
      <c r="CF20" s="167">
        <v>0</v>
      </c>
      <c r="CG20" s="167">
        <v>0</v>
      </c>
      <c r="CH20" s="167">
        <v>0</v>
      </c>
      <c r="CI20" s="167">
        <v>0</v>
      </c>
      <c r="CJ20" s="167">
        <v>0</v>
      </c>
      <c r="CK20" s="167">
        <v>0</v>
      </c>
      <c r="CL20" s="167">
        <v>0</v>
      </c>
      <c r="CM20" s="167">
        <v>0</v>
      </c>
      <c r="CN20" s="167">
        <v>0</v>
      </c>
      <c r="CO20" s="167">
        <v>0</v>
      </c>
      <c r="CP20" s="167">
        <v>0</v>
      </c>
      <c r="CQ20" s="167">
        <v>0</v>
      </c>
      <c r="CR20" s="167">
        <v>0</v>
      </c>
      <c r="CS20" s="167">
        <v>0</v>
      </c>
      <c r="CT20" s="167">
        <v>0</v>
      </c>
      <c r="CU20" s="167">
        <v>0</v>
      </c>
      <c r="CV20" s="167">
        <v>0</v>
      </c>
      <c r="CW20" s="167">
        <v>0</v>
      </c>
      <c r="CX20" s="167">
        <v>0</v>
      </c>
      <c r="CY20" s="167">
        <v>0</v>
      </c>
    </row>
    <row r="21" spans="1:103" ht="12.75" customHeight="1" x14ac:dyDescent="0.2">
      <c r="A21" s="81">
        <v>2417</v>
      </c>
      <c r="B21" s="165" t="s">
        <v>1924</v>
      </c>
      <c r="C21" s="165" t="s">
        <v>3066</v>
      </c>
      <c r="E21" s="165" t="s">
        <v>3067</v>
      </c>
      <c r="G21" s="81">
        <v>527141</v>
      </c>
      <c r="H21" s="81">
        <v>176309</v>
      </c>
      <c r="I21" s="165" t="s">
        <v>257</v>
      </c>
      <c r="J21" s="349">
        <v>42271</v>
      </c>
      <c r="K21" s="349">
        <v>42879</v>
      </c>
      <c r="L21" s="166">
        <v>0</v>
      </c>
      <c r="M21" s="166">
        <v>1</v>
      </c>
      <c r="N21" s="166">
        <v>1</v>
      </c>
      <c r="O21" s="166">
        <v>1</v>
      </c>
      <c r="P21" s="166">
        <v>1</v>
      </c>
      <c r="R21" s="165" t="s">
        <v>3068</v>
      </c>
      <c r="S21" s="81" t="s">
        <v>113</v>
      </c>
      <c r="T21" s="349">
        <v>39167</v>
      </c>
      <c r="U21" s="349">
        <v>39223</v>
      </c>
      <c r="W21" s="81" t="s">
        <v>114</v>
      </c>
      <c r="Y21" s="81" t="s">
        <v>115</v>
      </c>
      <c r="Z21" s="81" t="s">
        <v>116</v>
      </c>
      <c r="AA21" s="81" t="s">
        <v>117</v>
      </c>
      <c r="AB21" s="81" t="s">
        <v>218</v>
      </c>
      <c r="AC21" s="166">
        <v>8.9999996125698107E-3</v>
      </c>
      <c r="AD21" s="349">
        <v>42271</v>
      </c>
      <c r="AF21" s="349">
        <v>42879</v>
      </c>
      <c r="AG21" s="81" t="s">
        <v>238</v>
      </c>
      <c r="AH21" s="81" t="s">
        <v>118</v>
      </c>
      <c r="AO21" s="166">
        <v>0</v>
      </c>
      <c r="AP21" s="166">
        <v>0</v>
      </c>
      <c r="AQ21" s="166">
        <v>1</v>
      </c>
      <c r="AR21" s="166">
        <v>0</v>
      </c>
      <c r="AS21" s="166">
        <v>0</v>
      </c>
      <c r="AT21" s="166">
        <v>0</v>
      </c>
      <c r="AU21" s="166">
        <v>0</v>
      </c>
      <c r="AV21" s="166">
        <v>0</v>
      </c>
      <c r="AW21" s="166">
        <v>0</v>
      </c>
      <c r="AX21" s="166">
        <v>0</v>
      </c>
      <c r="AY21" s="166">
        <v>0</v>
      </c>
      <c r="AZ21" s="166">
        <v>0</v>
      </c>
      <c r="BA21" s="166">
        <v>0</v>
      </c>
      <c r="BB21" s="166">
        <v>0</v>
      </c>
      <c r="BC21" s="166">
        <v>0</v>
      </c>
      <c r="BD21" s="166">
        <v>0</v>
      </c>
      <c r="BE21" s="166">
        <v>1</v>
      </c>
      <c r="BF21" s="166">
        <v>0</v>
      </c>
      <c r="BG21" s="166">
        <v>0</v>
      </c>
      <c r="BH21" s="166">
        <v>0</v>
      </c>
      <c r="BI21" s="166">
        <v>0</v>
      </c>
      <c r="BJ21" s="166">
        <v>0</v>
      </c>
      <c r="BK21" s="166">
        <v>0</v>
      </c>
      <c r="BL21" s="166">
        <v>0</v>
      </c>
      <c r="BM21" s="166">
        <v>0</v>
      </c>
      <c r="BN21" s="166">
        <v>0</v>
      </c>
      <c r="BO21" s="166">
        <v>0</v>
      </c>
      <c r="BP21" s="166">
        <v>0</v>
      </c>
      <c r="BQ21" s="81" t="s">
        <v>1757</v>
      </c>
      <c r="BZ21" s="81" t="s">
        <v>155</v>
      </c>
      <c r="CA21" s="81">
        <v>1</v>
      </c>
      <c r="CC21" s="167">
        <f>N21</f>
        <v>1</v>
      </c>
      <c r="CD21" s="167">
        <v>0</v>
      </c>
      <c r="CE21" s="167">
        <v>0</v>
      </c>
      <c r="CF21" s="167">
        <v>0</v>
      </c>
      <c r="CG21" s="167">
        <v>0</v>
      </c>
      <c r="CH21" s="167">
        <v>0</v>
      </c>
      <c r="CI21" s="167">
        <v>0</v>
      </c>
      <c r="CJ21" s="167">
        <v>0</v>
      </c>
      <c r="CK21" s="167">
        <v>0</v>
      </c>
      <c r="CL21" s="167">
        <v>0</v>
      </c>
      <c r="CM21" s="167">
        <v>0</v>
      </c>
      <c r="CN21" s="167">
        <v>0</v>
      </c>
      <c r="CO21" s="167">
        <v>0</v>
      </c>
      <c r="CP21" s="167">
        <v>0</v>
      </c>
      <c r="CQ21" s="167">
        <v>0</v>
      </c>
      <c r="CR21" s="167">
        <v>0</v>
      </c>
      <c r="CS21" s="167">
        <v>0</v>
      </c>
      <c r="CT21" s="167">
        <v>0</v>
      </c>
      <c r="CU21" s="167">
        <v>0</v>
      </c>
      <c r="CV21" s="167">
        <v>0</v>
      </c>
      <c r="CW21" s="167">
        <v>0</v>
      </c>
      <c r="CX21" s="167">
        <f>SUM(CD21:CH21)</f>
        <v>0</v>
      </c>
      <c r="CY21" s="167">
        <f>SUM(CD21:CM21)</f>
        <v>0</v>
      </c>
    </row>
    <row r="22" spans="1:103" ht="12.75" customHeight="1" x14ac:dyDescent="0.2">
      <c r="A22" s="81">
        <v>2759</v>
      </c>
      <c r="B22" s="165" t="s">
        <v>1924</v>
      </c>
      <c r="C22" s="165" t="s">
        <v>649</v>
      </c>
      <c r="E22" s="165" t="s">
        <v>3069</v>
      </c>
      <c r="G22" s="81">
        <v>527493</v>
      </c>
      <c r="H22" s="81">
        <v>171577</v>
      </c>
      <c r="I22" s="165" t="s">
        <v>242</v>
      </c>
      <c r="J22" s="349">
        <v>42487</v>
      </c>
      <c r="K22" s="349">
        <v>43190</v>
      </c>
      <c r="L22" s="166">
        <v>1</v>
      </c>
      <c r="M22" s="166">
        <v>3</v>
      </c>
      <c r="N22" s="166">
        <v>2</v>
      </c>
      <c r="O22" s="166">
        <v>3</v>
      </c>
      <c r="P22" s="166">
        <v>2</v>
      </c>
      <c r="R22" s="165" t="s">
        <v>920</v>
      </c>
      <c r="S22" s="81" t="s">
        <v>113</v>
      </c>
      <c r="T22" s="349">
        <v>42242</v>
      </c>
      <c r="U22" s="349">
        <v>42394</v>
      </c>
      <c r="W22" s="81" t="s">
        <v>114</v>
      </c>
      <c r="Y22" s="81" t="s">
        <v>115</v>
      </c>
      <c r="Z22" s="81" t="s">
        <v>398</v>
      </c>
      <c r="AA22" s="81" t="s">
        <v>117</v>
      </c>
      <c r="AB22" s="81" t="s">
        <v>220</v>
      </c>
      <c r="AC22" s="166">
        <v>7.0000002160668399E-3</v>
      </c>
      <c r="AD22" s="349">
        <v>42487</v>
      </c>
      <c r="AF22" s="349">
        <v>43190</v>
      </c>
      <c r="AG22" s="81" t="s">
        <v>238</v>
      </c>
      <c r="AH22" s="81" t="s">
        <v>118</v>
      </c>
      <c r="AK22" s="166">
        <v>0</v>
      </c>
      <c r="AM22" s="166">
        <v>0</v>
      </c>
      <c r="AO22" s="166">
        <v>0</v>
      </c>
      <c r="AP22" s="166">
        <v>3</v>
      </c>
      <c r="AQ22" s="166">
        <v>0</v>
      </c>
      <c r="AR22" s="166">
        <v>0</v>
      </c>
      <c r="AS22" s="166">
        <v>-1</v>
      </c>
      <c r="AT22" s="166">
        <v>0</v>
      </c>
      <c r="AU22" s="166">
        <v>0</v>
      </c>
      <c r="AV22" s="166">
        <v>0</v>
      </c>
      <c r="AW22" s="166">
        <v>3</v>
      </c>
      <c r="AX22" s="166">
        <v>0</v>
      </c>
      <c r="AY22" s="166">
        <v>0</v>
      </c>
      <c r="AZ22" s="166">
        <v>-1</v>
      </c>
      <c r="BA22" s="166">
        <v>0</v>
      </c>
      <c r="BB22" s="166">
        <v>0</v>
      </c>
      <c r="BC22" s="166">
        <v>0</v>
      </c>
      <c r="BD22" s="166">
        <v>0</v>
      </c>
      <c r="BE22" s="166">
        <v>0</v>
      </c>
      <c r="BF22" s="166">
        <v>0</v>
      </c>
      <c r="BG22" s="166">
        <v>0</v>
      </c>
      <c r="BH22" s="166">
        <v>0</v>
      </c>
      <c r="BI22" s="166">
        <v>0</v>
      </c>
      <c r="BJ22" s="166">
        <v>0</v>
      </c>
      <c r="BK22" s="166">
        <v>0</v>
      </c>
      <c r="BL22" s="166">
        <v>0</v>
      </c>
      <c r="BM22" s="166">
        <v>0</v>
      </c>
      <c r="BN22" s="166">
        <v>0</v>
      </c>
      <c r="BO22" s="166">
        <v>0</v>
      </c>
      <c r="BP22" s="166">
        <v>0</v>
      </c>
      <c r="BQ22" s="81" t="s">
        <v>1757</v>
      </c>
      <c r="BR22" s="81" t="s">
        <v>242</v>
      </c>
      <c r="BZ22" s="81" t="s">
        <v>155</v>
      </c>
      <c r="CA22" s="81">
        <v>7</v>
      </c>
      <c r="CC22" s="167">
        <f>N22</f>
        <v>2</v>
      </c>
      <c r="CD22" s="167">
        <v>0</v>
      </c>
      <c r="CE22" s="167">
        <v>0</v>
      </c>
      <c r="CF22" s="167">
        <v>0</v>
      </c>
      <c r="CG22" s="167">
        <v>0</v>
      </c>
      <c r="CH22" s="167">
        <v>0</v>
      </c>
      <c r="CI22" s="167">
        <v>0</v>
      </c>
      <c r="CJ22" s="167">
        <v>0</v>
      </c>
      <c r="CK22" s="167">
        <v>0</v>
      </c>
      <c r="CL22" s="167">
        <v>0</v>
      </c>
      <c r="CM22" s="167">
        <v>0</v>
      </c>
      <c r="CN22" s="167">
        <v>0</v>
      </c>
      <c r="CO22" s="167">
        <v>0</v>
      </c>
      <c r="CP22" s="167">
        <v>0</v>
      </c>
      <c r="CQ22" s="167">
        <v>0</v>
      </c>
      <c r="CR22" s="167">
        <v>0</v>
      </c>
      <c r="CS22" s="167">
        <v>0</v>
      </c>
      <c r="CT22" s="167">
        <v>0</v>
      </c>
      <c r="CU22" s="167">
        <v>0</v>
      </c>
      <c r="CV22" s="167">
        <v>0</v>
      </c>
      <c r="CW22" s="167">
        <v>0</v>
      </c>
      <c r="CX22" s="167">
        <f>SUM(CD22:CH22)</f>
        <v>0</v>
      </c>
      <c r="CY22" s="167">
        <f>SUM(CD22:CM22)</f>
        <v>0</v>
      </c>
    </row>
    <row r="23" spans="1:103" ht="12.75" customHeight="1" x14ac:dyDescent="0.2">
      <c r="A23" s="81">
        <v>2881</v>
      </c>
      <c r="B23" s="165" t="s">
        <v>1924</v>
      </c>
      <c r="C23" s="165" t="s">
        <v>3070</v>
      </c>
      <c r="E23" s="165" t="s">
        <v>3071</v>
      </c>
      <c r="G23" s="81">
        <v>527732</v>
      </c>
      <c r="H23" s="81">
        <v>173776</v>
      </c>
      <c r="I23" s="165" t="s">
        <v>247</v>
      </c>
      <c r="J23" s="349">
        <v>43049</v>
      </c>
      <c r="K23" s="349">
        <v>43190</v>
      </c>
      <c r="L23" s="166">
        <v>0</v>
      </c>
      <c r="M23" s="166">
        <v>1</v>
      </c>
      <c r="N23" s="166">
        <v>1</v>
      </c>
      <c r="O23" s="166">
        <v>1</v>
      </c>
      <c r="P23" s="166">
        <v>1</v>
      </c>
      <c r="R23" s="165" t="s">
        <v>3072</v>
      </c>
      <c r="S23" s="81" t="s">
        <v>296</v>
      </c>
      <c r="T23" s="349">
        <v>42654</v>
      </c>
      <c r="U23" s="349">
        <v>42793</v>
      </c>
      <c r="V23" s="81" t="s">
        <v>155</v>
      </c>
      <c r="W23" s="81" t="s">
        <v>297</v>
      </c>
      <c r="X23" s="349">
        <v>43048</v>
      </c>
      <c r="Y23" s="81" t="s">
        <v>115</v>
      </c>
      <c r="Z23" s="81" t="s">
        <v>119</v>
      </c>
      <c r="AA23" s="81" t="s">
        <v>117</v>
      </c>
      <c r="AB23" s="81" t="s">
        <v>298</v>
      </c>
      <c r="AC23" s="166">
        <v>6.0000000521540598E-3</v>
      </c>
      <c r="AD23" s="349">
        <v>43049</v>
      </c>
      <c r="AE23" s="81" t="s">
        <v>155</v>
      </c>
      <c r="AF23" s="349">
        <v>43190</v>
      </c>
      <c r="AG23" s="81" t="s">
        <v>238</v>
      </c>
      <c r="AH23" s="81" t="s">
        <v>118</v>
      </c>
      <c r="AK23" s="166">
        <v>0</v>
      </c>
      <c r="AM23" s="166">
        <v>0</v>
      </c>
      <c r="AO23" s="166">
        <v>0</v>
      </c>
      <c r="AP23" s="166">
        <v>1</v>
      </c>
      <c r="AQ23" s="166">
        <v>0</v>
      </c>
      <c r="AR23" s="166">
        <v>0</v>
      </c>
      <c r="AS23" s="166">
        <v>0</v>
      </c>
      <c r="AT23" s="166">
        <v>0</v>
      </c>
      <c r="AU23" s="166">
        <v>0</v>
      </c>
      <c r="AV23" s="166">
        <v>0</v>
      </c>
      <c r="AW23" s="166">
        <v>0</v>
      </c>
      <c r="AX23" s="166">
        <v>0</v>
      </c>
      <c r="AY23" s="166">
        <v>0</v>
      </c>
      <c r="AZ23" s="166">
        <v>0</v>
      </c>
      <c r="BA23" s="166">
        <v>0</v>
      </c>
      <c r="BB23" s="166">
        <v>0</v>
      </c>
      <c r="BC23" s="166">
        <v>0</v>
      </c>
      <c r="BD23" s="166">
        <v>1</v>
      </c>
      <c r="BE23" s="166">
        <v>0</v>
      </c>
      <c r="BF23" s="166">
        <v>0</v>
      </c>
      <c r="BG23" s="166">
        <v>0</v>
      </c>
      <c r="BH23" s="166">
        <v>0</v>
      </c>
      <c r="BI23" s="166">
        <v>0</v>
      </c>
      <c r="BJ23" s="166">
        <v>0</v>
      </c>
      <c r="BK23" s="166">
        <v>0</v>
      </c>
      <c r="BL23" s="166">
        <v>0</v>
      </c>
      <c r="BM23" s="166">
        <v>0</v>
      </c>
      <c r="BN23" s="166">
        <v>0</v>
      </c>
      <c r="BO23" s="166">
        <v>0</v>
      </c>
      <c r="BP23" s="166">
        <v>0</v>
      </c>
      <c r="BQ23" s="81" t="s">
        <v>1757</v>
      </c>
      <c r="BZ23" s="81" t="s">
        <v>155</v>
      </c>
      <c r="CA23" s="81">
        <v>7</v>
      </c>
      <c r="CC23" s="167">
        <f>N23</f>
        <v>1</v>
      </c>
      <c r="CD23" s="167">
        <v>0</v>
      </c>
      <c r="CE23" s="167">
        <v>0</v>
      </c>
      <c r="CF23" s="167">
        <v>0</v>
      </c>
      <c r="CG23" s="167">
        <v>0</v>
      </c>
      <c r="CH23" s="167">
        <v>0</v>
      </c>
      <c r="CI23" s="167">
        <v>0</v>
      </c>
      <c r="CJ23" s="167">
        <v>0</v>
      </c>
      <c r="CK23" s="167">
        <v>0</v>
      </c>
      <c r="CL23" s="167">
        <v>0</v>
      </c>
      <c r="CM23" s="167">
        <v>0</v>
      </c>
      <c r="CN23" s="167">
        <v>0</v>
      </c>
      <c r="CO23" s="167">
        <v>0</v>
      </c>
      <c r="CP23" s="167">
        <v>0</v>
      </c>
      <c r="CQ23" s="167">
        <v>0</v>
      </c>
      <c r="CR23" s="167">
        <v>0</v>
      </c>
      <c r="CS23" s="167">
        <v>0</v>
      </c>
      <c r="CT23" s="167">
        <v>0</v>
      </c>
      <c r="CU23" s="167">
        <v>0</v>
      </c>
      <c r="CV23" s="167">
        <v>0</v>
      </c>
      <c r="CW23" s="167">
        <v>0</v>
      </c>
      <c r="CX23" s="167">
        <f>SUM(CD23:CH23)</f>
        <v>0</v>
      </c>
      <c r="CY23" s="167">
        <f>SUM(CD23:CM23)</f>
        <v>0</v>
      </c>
    </row>
    <row r="24" spans="1:103" ht="12.75" customHeight="1" x14ac:dyDescent="0.2">
      <c r="A24" s="81">
        <v>2939</v>
      </c>
      <c r="B24" s="165" t="s">
        <v>1924</v>
      </c>
      <c r="C24" s="165" t="s">
        <v>959</v>
      </c>
      <c r="E24" s="165" t="s">
        <v>3073</v>
      </c>
      <c r="G24" s="81">
        <v>526842</v>
      </c>
      <c r="H24" s="81">
        <v>175078</v>
      </c>
      <c r="I24" s="165" t="s">
        <v>251</v>
      </c>
      <c r="J24" s="349">
        <v>42622</v>
      </c>
      <c r="K24" s="349">
        <v>42948</v>
      </c>
      <c r="L24" s="166">
        <v>1</v>
      </c>
      <c r="M24" s="166">
        <v>2</v>
      </c>
      <c r="N24" s="166">
        <v>1</v>
      </c>
      <c r="O24" s="166">
        <v>3</v>
      </c>
      <c r="P24" s="166">
        <v>2</v>
      </c>
      <c r="R24" s="165" t="s">
        <v>960</v>
      </c>
      <c r="S24" s="81" t="s">
        <v>113</v>
      </c>
      <c r="T24" s="349">
        <v>42296</v>
      </c>
      <c r="U24" s="349">
        <v>42368</v>
      </c>
      <c r="W24" s="81" t="s">
        <v>114</v>
      </c>
      <c r="Y24" s="81" t="s">
        <v>115</v>
      </c>
      <c r="Z24" s="81" t="s">
        <v>398</v>
      </c>
      <c r="AA24" s="81" t="s">
        <v>117</v>
      </c>
      <c r="AB24" s="81" t="s">
        <v>220</v>
      </c>
      <c r="AC24" s="166">
        <v>4.9999998882412902E-3</v>
      </c>
      <c r="AD24" s="349">
        <v>42622</v>
      </c>
      <c r="AF24" s="349">
        <v>42948</v>
      </c>
      <c r="AG24" s="81" t="s">
        <v>238</v>
      </c>
      <c r="AH24" s="81" t="s">
        <v>118</v>
      </c>
      <c r="AK24" s="166">
        <v>0</v>
      </c>
      <c r="AM24" s="166">
        <v>0</v>
      </c>
      <c r="AO24" s="166">
        <v>0</v>
      </c>
      <c r="AP24" s="166">
        <v>1</v>
      </c>
      <c r="AQ24" s="166">
        <v>1</v>
      </c>
      <c r="AR24" s="166">
        <v>-1</v>
      </c>
      <c r="AS24" s="166">
        <v>0</v>
      </c>
      <c r="AT24" s="166">
        <v>0</v>
      </c>
      <c r="AU24" s="166">
        <v>0</v>
      </c>
      <c r="AV24" s="166">
        <v>0</v>
      </c>
      <c r="AW24" s="166">
        <v>1</v>
      </c>
      <c r="AX24" s="166">
        <v>1</v>
      </c>
      <c r="AY24" s="166">
        <v>-1</v>
      </c>
      <c r="AZ24" s="166">
        <v>0</v>
      </c>
      <c r="BA24" s="166">
        <v>0</v>
      </c>
      <c r="BB24" s="166">
        <v>0</v>
      </c>
      <c r="BC24" s="166">
        <v>0</v>
      </c>
      <c r="BD24" s="166">
        <v>0</v>
      </c>
      <c r="BE24" s="166">
        <v>0</v>
      </c>
      <c r="BF24" s="166">
        <v>0</v>
      </c>
      <c r="BG24" s="166">
        <v>0</v>
      </c>
      <c r="BH24" s="166">
        <v>0</v>
      </c>
      <c r="BI24" s="166">
        <v>0</v>
      </c>
      <c r="BJ24" s="166">
        <v>0</v>
      </c>
      <c r="BK24" s="166">
        <v>0</v>
      </c>
      <c r="BL24" s="166">
        <v>0</v>
      </c>
      <c r="BM24" s="166">
        <v>0</v>
      </c>
      <c r="BN24" s="166">
        <v>0</v>
      </c>
      <c r="BO24" s="166">
        <v>0</v>
      </c>
      <c r="BP24" s="166">
        <v>0</v>
      </c>
      <c r="BQ24" s="81" t="s">
        <v>1758</v>
      </c>
      <c r="BZ24" s="81" t="s">
        <v>155</v>
      </c>
      <c r="CA24" s="81">
        <v>7</v>
      </c>
      <c r="CC24" s="167">
        <f>N24</f>
        <v>1</v>
      </c>
      <c r="CD24" s="167">
        <v>0</v>
      </c>
      <c r="CE24" s="167">
        <v>0</v>
      </c>
      <c r="CF24" s="167">
        <v>0</v>
      </c>
      <c r="CG24" s="167">
        <v>0</v>
      </c>
      <c r="CH24" s="167">
        <v>0</v>
      </c>
      <c r="CI24" s="167">
        <v>0</v>
      </c>
      <c r="CJ24" s="167">
        <v>0</v>
      </c>
      <c r="CK24" s="167">
        <v>0</v>
      </c>
      <c r="CL24" s="167">
        <v>0</v>
      </c>
      <c r="CM24" s="167">
        <v>0</v>
      </c>
      <c r="CN24" s="167">
        <v>0</v>
      </c>
      <c r="CO24" s="167">
        <v>0</v>
      </c>
      <c r="CP24" s="167">
        <v>0</v>
      </c>
      <c r="CQ24" s="167">
        <v>0</v>
      </c>
      <c r="CR24" s="167">
        <v>0</v>
      </c>
      <c r="CS24" s="167">
        <v>0</v>
      </c>
      <c r="CT24" s="167">
        <v>0</v>
      </c>
      <c r="CU24" s="167">
        <v>0</v>
      </c>
      <c r="CV24" s="167">
        <v>0</v>
      </c>
      <c r="CW24" s="167">
        <v>0</v>
      </c>
      <c r="CX24" s="167">
        <f>SUM(CD24:CH24)</f>
        <v>0</v>
      </c>
      <c r="CY24" s="167">
        <f>SUM(CD24:CM24)</f>
        <v>0</v>
      </c>
    </row>
    <row r="25" spans="1:103" ht="12.75" customHeight="1" x14ac:dyDescent="0.2">
      <c r="A25" s="81">
        <v>2939</v>
      </c>
      <c r="B25" s="165" t="s">
        <v>1924</v>
      </c>
      <c r="C25" s="165" t="s">
        <v>959</v>
      </c>
      <c r="E25" s="165" t="s">
        <v>3073</v>
      </c>
      <c r="G25" s="81">
        <v>526842</v>
      </c>
      <c r="H25" s="81">
        <v>175078</v>
      </c>
      <c r="I25" s="165" t="s">
        <v>251</v>
      </c>
      <c r="J25" s="349">
        <v>42622</v>
      </c>
      <c r="K25" s="349">
        <v>42948</v>
      </c>
      <c r="L25" s="166">
        <v>0</v>
      </c>
      <c r="M25" s="166">
        <v>1</v>
      </c>
      <c r="N25" s="166">
        <v>1</v>
      </c>
      <c r="O25" s="166">
        <v>3</v>
      </c>
      <c r="P25" s="166">
        <v>2</v>
      </c>
      <c r="R25" s="165" t="s">
        <v>960</v>
      </c>
      <c r="S25" s="81" t="s">
        <v>113</v>
      </c>
      <c r="T25" s="349">
        <v>42296</v>
      </c>
      <c r="U25" s="349">
        <v>42368</v>
      </c>
      <c r="W25" s="81" t="s">
        <v>114</v>
      </c>
      <c r="Y25" s="81" t="s">
        <v>115</v>
      </c>
      <c r="Z25" s="81" t="s">
        <v>398</v>
      </c>
      <c r="AA25" s="81" t="s">
        <v>117</v>
      </c>
      <c r="AB25" s="81" t="s">
        <v>399</v>
      </c>
      <c r="AC25" s="166">
        <v>3.0000000260770299E-3</v>
      </c>
      <c r="AD25" s="349">
        <v>42622</v>
      </c>
      <c r="AF25" s="349">
        <v>42948</v>
      </c>
      <c r="AG25" s="81" t="s">
        <v>238</v>
      </c>
      <c r="AH25" s="81" t="s">
        <v>118</v>
      </c>
      <c r="AK25" s="166">
        <v>0</v>
      </c>
      <c r="AM25" s="166">
        <v>0</v>
      </c>
      <c r="AO25" s="166">
        <v>0</v>
      </c>
      <c r="AP25" s="166">
        <v>1</v>
      </c>
      <c r="AQ25" s="166">
        <v>0</v>
      </c>
      <c r="AR25" s="166">
        <v>0</v>
      </c>
      <c r="AS25" s="166">
        <v>0</v>
      </c>
      <c r="AT25" s="166">
        <v>0</v>
      </c>
      <c r="AU25" s="166">
        <v>0</v>
      </c>
      <c r="AV25" s="166">
        <v>0</v>
      </c>
      <c r="AW25" s="166">
        <v>1</v>
      </c>
      <c r="AX25" s="166">
        <v>0</v>
      </c>
      <c r="AY25" s="166">
        <v>0</v>
      </c>
      <c r="AZ25" s="166">
        <v>0</v>
      </c>
      <c r="BA25" s="166">
        <v>0</v>
      </c>
      <c r="BB25" s="166">
        <v>0</v>
      </c>
      <c r="BC25" s="166">
        <v>0</v>
      </c>
      <c r="BD25" s="166">
        <v>0</v>
      </c>
      <c r="BE25" s="166">
        <v>0</v>
      </c>
      <c r="BF25" s="166">
        <v>0</v>
      </c>
      <c r="BG25" s="166">
        <v>0</v>
      </c>
      <c r="BH25" s="166">
        <v>0</v>
      </c>
      <c r="BI25" s="166">
        <v>0</v>
      </c>
      <c r="BJ25" s="166">
        <v>0</v>
      </c>
      <c r="BK25" s="166">
        <v>0</v>
      </c>
      <c r="BL25" s="166">
        <v>0</v>
      </c>
      <c r="BM25" s="166">
        <v>0</v>
      </c>
      <c r="BN25" s="166">
        <v>0</v>
      </c>
      <c r="BO25" s="166">
        <v>0</v>
      </c>
      <c r="BP25" s="166">
        <v>0</v>
      </c>
      <c r="BQ25" s="81" t="s">
        <v>1758</v>
      </c>
      <c r="BZ25" s="81" t="s">
        <v>155</v>
      </c>
      <c r="CA25" s="81">
        <v>7</v>
      </c>
      <c r="CC25" s="167">
        <f>N25</f>
        <v>1</v>
      </c>
      <c r="CD25" s="167">
        <v>0</v>
      </c>
      <c r="CE25" s="167">
        <v>0</v>
      </c>
      <c r="CF25" s="167">
        <v>0</v>
      </c>
      <c r="CG25" s="167">
        <v>0</v>
      </c>
      <c r="CH25" s="167">
        <v>0</v>
      </c>
      <c r="CI25" s="167">
        <v>0</v>
      </c>
      <c r="CJ25" s="167">
        <v>0</v>
      </c>
      <c r="CK25" s="167">
        <v>0</v>
      </c>
      <c r="CL25" s="167">
        <v>0</v>
      </c>
      <c r="CM25" s="167">
        <v>0</v>
      </c>
      <c r="CN25" s="167">
        <v>0</v>
      </c>
      <c r="CO25" s="167">
        <v>0</v>
      </c>
      <c r="CP25" s="167">
        <v>0</v>
      </c>
      <c r="CQ25" s="167">
        <v>0</v>
      </c>
      <c r="CR25" s="167">
        <v>0</v>
      </c>
      <c r="CS25" s="167">
        <v>0</v>
      </c>
      <c r="CT25" s="167">
        <v>0</v>
      </c>
      <c r="CU25" s="167">
        <v>0</v>
      </c>
      <c r="CV25" s="167">
        <v>0</v>
      </c>
      <c r="CW25" s="167">
        <v>0</v>
      </c>
      <c r="CX25" s="167">
        <f>SUM(CD25:CH25)</f>
        <v>0</v>
      </c>
      <c r="CY25" s="167">
        <f>SUM(CD25:CM25)</f>
        <v>0</v>
      </c>
    </row>
    <row r="26" spans="1:103" ht="12.75" customHeight="1" x14ac:dyDescent="0.2">
      <c r="A26" s="81">
        <v>3018</v>
      </c>
      <c r="B26" s="165" t="s">
        <v>1924</v>
      </c>
      <c r="C26" s="165" t="s">
        <v>3074</v>
      </c>
      <c r="E26" s="165" t="s">
        <v>3075</v>
      </c>
      <c r="G26" s="81">
        <v>528529</v>
      </c>
      <c r="H26" s="81">
        <v>175746</v>
      </c>
      <c r="I26" s="165" t="s">
        <v>256</v>
      </c>
      <c r="K26" s="349">
        <v>43132</v>
      </c>
      <c r="L26" s="166">
        <v>0</v>
      </c>
      <c r="M26" s="166">
        <v>1</v>
      </c>
      <c r="N26" s="166">
        <v>1</v>
      </c>
      <c r="O26" s="166">
        <v>1</v>
      </c>
      <c r="P26" s="166">
        <v>1</v>
      </c>
      <c r="R26" s="165" t="s">
        <v>3076</v>
      </c>
      <c r="S26" s="81" t="s">
        <v>504</v>
      </c>
      <c r="T26" s="349">
        <v>43077</v>
      </c>
      <c r="U26" s="349">
        <v>43132</v>
      </c>
      <c r="V26" s="81" t="s">
        <v>155</v>
      </c>
      <c r="W26" s="81" t="s">
        <v>114</v>
      </c>
      <c r="Y26" s="81" t="s">
        <v>115</v>
      </c>
      <c r="Z26" s="81" t="s">
        <v>310</v>
      </c>
      <c r="AA26" s="81" t="s">
        <v>117</v>
      </c>
      <c r="AB26" s="81" t="s">
        <v>311</v>
      </c>
      <c r="AC26" s="166">
        <v>8.9999996125698107E-3</v>
      </c>
      <c r="AF26" s="349">
        <v>43132</v>
      </c>
      <c r="AG26" s="81" t="s">
        <v>238</v>
      </c>
      <c r="AH26" s="81" t="s">
        <v>118</v>
      </c>
      <c r="AK26" s="166">
        <v>0</v>
      </c>
      <c r="AM26" s="166">
        <v>0</v>
      </c>
      <c r="AO26" s="166">
        <v>0</v>
      </c>
      <c r="AP26" s="166">
        <v>0</v>
      </c>
      <c r="AQ26" s="166">
        <v>0</v>
      </c>
      <c r="AR26" s="166">
        <v>0</v>
      </c>
      <c r="AS26" s="166">
        <v>1</v>
      </c>
      <c r="AT26" s="166">
        <v>0</v>
      </c>
      <c r="AU26" s="166">
        <v>0</v>
      </c>
      <c r="AV26" s="166">
        <v>0</v>
      </c>
      <c r="AW26" s="166">
        <v>0</v>
      </c>
      <c r="AX26" s="166">
        <v>0</v>
      </c>
      <c r="AY26" s="166">
        <v>0</v>
      </c>
      <c r="AZ26" s="166">
        <v>1</v>
      </c>
      <c r="BA26" s="166">
        <v>0</v>
      </c>
      <c r="BB26" s="166">
        <v>0</v>
      </c>
      <c r="BC26" s="166">
        <v>0</v>
      </c>
      <c r="BD26" s="166">
        <v>0</v>
      </c>
      <c r="BE26" s="166">
        <v>0</v>
      </c>
      <c r="BF26" s="166">
        <v>0</v>
      </c>
      <c r="BG26" s="166">
        <v>0</v>
      </c>
      <c r="BH26" s="166">
        <v>0</v>
      </c>
      <c r="BI26" s="166">
        <v>0</v>
      </c>
      <c r="BJ26" s="166">
        <v>0</v>
      </c>
      <c r="BK26" s="166">
        <v>0</v>
      </c>
      <c r="BL26" s="166">
        <v>0</v>
      </c>
      <c r="BM26" s="166">
        <v>0</v>
      </c>
      <c r="BN26" s="166">
        <v>0</v>
      </c>
      <c r="BO26" s="166">
        <v>0</v>
      </c>
      <c r="BP26" s="166">
        <v>0</v>
      </c>
      <c r="BQ26" s="81" t="s">
        <v>1757</v>
      </c>
      <c r="BZ26" s="81" t="s">
        <v>155</v>
      </c>
      <c r="CA26" s="81">
        <v>7</v>
      </c>
      <c r="CC26" s="167">
        <f>N26</f>
        <v>1</v>
      </c>
      <c r="CD26" s="167">
        <v>0</v>
      </c>
      <c r="CE26" s="167">
        <v>0</v>
      </c>
      <c r="CF26" s="167">
        <v>0</v>
      </c>
      <c r="CG26" s="167">
        <v>0</v>
      </c>
      <c r="CH26" s="167">
        <v>0</v>
      </c>
      <c r="CI26" s="167">
        <v>0</v>
      </c>
      <c r="CJ26" s="167">
        <v>0</v>
      </c>
      <c r="CK26" s="167">
        <v>0</v>
      </c>
      <c r="CL26" s="167">
        <v>0</v>
      </c>
      <c r="CM26" s="167">
        <v>0</v>
      </c>
      <c r="CN26" s="167">
        <v>0</v>
      </c>
      <c r="CO26" s="167">
        <v>0</v>
      </c>
      <c r="CP26" s="167">
        <v>0</v>
      </c>
      <c r="CQ26" s="167">
        <v>0</v>
      </c>
      <c r="CR26" s="167">
        <v>0</v>
      </c>
      <c r="CS26" s="167">
        <v>0</v>
      </c>
      <c r="CT26" s="167">
        <v>0</v>
      </c>
      <c r="CU26" s="167">
        <v>0</v>
      </c>
      <c r="CV26" s="167">
        <v>0</v>
      </c>
      <c r="CW26" s="167">
        <v>0</v>
      </c>
      <c r="CX26" s="167">
        <f>SUM(CD26:CH26)</f>
        <v>0</v>
      </c>
      <c r="CY26" s="167">
        <f>SUM(CD26:CM26)</f>
        <v>0</v>
      </c>
    </row>
    <row r="27" spans="1:103" ht="12.75" customHeight="1" x14ac:dyDescent="0.2">
      <c r="A27" s="81">
        <v>3079</v>
      </c>
      <c r="B27" s="165" t="s">
        <v>1924</v>
      </c>
      <c r="C27" s="165" t="s">
        <v>3077</v>
      </c>
      <c r="E27" s="165" t="s">
        <v>3078</v>
      </c>
      <c r="G27" s="81">
        <v>527812</v>
      </c>
      <c r="H27" s="81">
        <v>172484</v>
      </c>
      <c r="I27" s="165" t="s">
        <v>254</v>
      </c>
      <c r="J27" s="349">
        <v>40119</v>
      </c>
      <c r="K27" s="349">
        <v>43139</v>
      </c>
      <c r="L27" s="166">
        <v>0</v>
      </c>
      <c r="M27" s="166">
        <v>2</v>
      </c>
      <c r="N27" s="166">
        <v>2</v>
      </c>
      <c r="O27" s="166">
        <v>2</v>
      </c>
      <c r="P27" s="166">
        <v>2</v>
      </c>
      <c r="R27" s="165" t="s">
        <v>3079</v>
      </c>
      <c r="S27" s="81" t="s">
        <v>504</v>
      </c>
      <c r="T27" s="349">
        <v>43087</v>
      </c>
      <c r="U27" s="349">
        <v>43139</v>
      </c>
      <c r="V27" s="81" t="s">
        <v>155</v>
      </c>
      <c r="W27" s="81" t="s">
        <v>114</v>
      </c>
      <c r="Y27" s="81" t="s">
        <v>115</v>
      </c>
      <c r="Z27" s="81" t="s">
        <v>119</v>
      </c>
      <c r="AA27" s="81" t="s">
        <v>117</v>
      </c>
      <c r="AB27" s="81" t="s">
        <v>102</v>
      </c>
      <c r="AC27" s="166">
        <v>0</v>
      </c>
      <c r="AD27" s="349">
        <v>40119</v>
      </c>
      <c r="AF27" s="349">
        <v>43139</v>
      </c>
      <c r="AG27" s="81" t="s">
        <v>238</v>
      </c>
      <c r="AH27" s="81" t="s">
        <v>118</v>
      </c>
      <c r="AK27" s="166">
        <v>0</v>
      </c>
      <c r="AM27" s="166">
        <v>0</v>
      </c>
      <c r="AO27" s="166">
        <v>2</v>
      </c>
      <c r="AP27" s="166">
        <v>0</v>
      </c>
      <c r="AQ27" s="166">
        <v>0</v>
      </c>
      <c r="AR27" s="166">
        <v>0</v>
      </c>
      <c r="AS27" s="166">
        <v>0</v>
      </c>
      <c r="AT27" s="166">
        <v>0</v>
      </c>
      <c r="AU27" s="166">
        <v>0</v>
      </c>
      <c r="AV27" s="166">
        <v>2</v>
      </c>
      <c r="AW27" s="166">
        <v>0</v>
      </c>
      <c r="AX27" s="166">
        <v>0</v>
      </c>
      <c r="AY27" s="166">
        <v>0</v>
      </c>
      <c r="AZ27" s="166">
        <v>0</v>
      </c>
      <c r="BA27" s="166">
        <v>0</v>
      </c>
      <c r="BB27" s="166">
        <v>0</v>
      </c>
      <c r="BC27" s="166">
        <v>0</v>
      </c>
      <c r="BD27" s="166">
        <v>0</v>
      </c>
      <c r="BE27" s="166">
        <v>0</v>
      </c>
      <c r="BF27" s="166">
        <v>0</v>
      </c>
      <c r="BG27" s="166">
        <v>0</v>
      </c>
      <c r="BH27" s="166">
        <v>0</v>
      </c>
      <c r="BI27" s="166">
        <v>0</v>
      </c>
      <c r="BJ27" s="166">
        <v>0</v>
      </c>
      <c r="BK27" s="166">
        <v>0</v>
      </c>
      <c r="BL27" s="166">
        <v>0</v>
      </c>
      <c r="BM27" s="166">
        <v>0</v>
      </c>
      <c r="BN27" s="166">
        <v>0</v>
      </c>
      <c r="BO27" s="166">
        <v>0</v>
      </c>
      <c r="BP27" s="166">
        <v>0</v>
      </c>
      <c r="BQ27" s="81" t="s">
        <v>1757</v>
      </c>
      <c r="BZ27" s="81" t="s">
        <v>155</v>
      </c>
      <c r="CA27" s="81">
        <v>7</v>
      </c>
      <c r="CC27" s="167">
        <f>N27</f>
        <v>2</v>
      </c>
      <c r="CD27" s="167">
        <v>0</v>
      </c>
      <c r="CE27" s="167">
        <v>0</v>
      </c>
      <c r="CF27" s="167">
        <v>0</v>
      </c>
      <c r="CG27" s="167">
        <v>0</v>
      </c>
      <c r="CH27" s="167">
        <v>0</v>
      </c>
      <c r="CI27" s="167">
        <v>0</v>
      </c>
      <c r="CJ27" s="167">
        <v>0</v>
      </c>
      <c r="CK27" s="167">
        <v>0</v>
      </c>
      <c r="CL27" s="167">
        <v>0</v>
      </c>
      <c r="CM27" s="167">
        <v>0</v>
      </c>
      <c r="CN27" s="167">
        <v>0</v>
      </c>
      <c r="CO27" s="167">
        <v>0</v>
      </c>
      <c r="CP27" s="167">
        <v>0</v>
      </c>
      <c r="CQ27" s="167">
        <v>0</v>
      </c>
      <c r="CR27" s="167">
        <v>0</v>
      </c>
      <c r="CS27" s="167">
        <v>0</v>
      </c>
      <c r="CT27" s="167">
        <v>0</v>
      </c>
      <c r="CU27" s="167">
        <v>0</v>
      </c>
      <c r="CV27" s="167">
        <v>0</v>
      </c>
      <c r="CW27" s="167">
        <v>0</v>
      </c>
      <c r="CX27" s="167">
        <f>SUM(CD27:CH27)</f>
        <v>0</v>
      </c>
      <c r="CY27" s="167">
        <f>SUM(CD27:CM27)</f>
        <v>0</v>
      </c>
    </row>
    <row r="28" spans="1:103" ht="12.75" customHeight="1" x14ac:dyDescent="0.2">
      <c r="A28" s="81">
        <v>3102</v>
      </c>
      <c r="B28" s="165" t="s">
        <v>1924</v>
      </c>
      <c r="C28" s="165" t="s">
        <v>186</v>
      </c>
      <c r="E28" s="165" t="s">
        <v>3080</v>
      </c>
      <c r="G28" s="81">
        <v>527898</v>
      </c>
      <c r="H28" s="81">
        <v>172499</v>
      </c>
      <c r="I28" s="165" t="s">
        <v>254</v>
      </c>
      <c r="J28" s="349">
        <v>42460</v>
      </c>
      <c r="K28" s="349">
        <v>42936</v>
      </c>
      <c r="L28" s="166">
        <v>0</v>
      </c>
      <c r="M28" s="166">
        <v>1</v>
      </c>
      <c r="N28" s="166">
        <v>1</v>
      </c>
      <c r="O28" s="166">
        <v>1</v>
      </c>
      <c r="P28" s="166">
        <v>1</v>
      </c>
      <c r="R28" s="165" t="s">
        <v>187</v>
      </c>
      <c r="S28" s="81" t="s">
        <v>113</v>
      </c>
      <c r="T28" s="349">
        <v>41472</v>
      </c>
      <c r="U28" s="349">
        <v>41572</v>
      </c>
      <c r="W28" s="81" t="s">
        <v>114</v>
      </c>
      <c r="Y28" s="81" t="s">
        <v>115</v>
      </c>
      <c r="Z28" s="81" t="s">
        <v>398</v>
      </c>
      <c r="AA28" s="81" t="s">
        <v>117</v>
      </c>
      <c r="AB28" s="81" t="s">
        <v>218</v>
      </c>
      <c r="AC28" s="166">
        <v>2.0000000949949E-3</v>
      </c>
      <c r="AD28" s="349">
        <v>42460</v>
      </c>
      <c r="AF28" s="349">
        <v>42936</v>
      </c>
      <c r="AG28" s="81" t="s">
        <v>238</v>
      </c>
      <c r="AH28" s="81" t="s">
        <v>118</v>
      </c>
      <c r="AK28" s="166">
        <v>0</v>
      </c>
      <c r="AM28" s="166">
        <v>0</v>
      </c>
      <c r="AO28" s="166">
        <v>0</v>
      </c>
      <c r="AP28" s="166">
        <v>1</v>
      </c>
      <c r="AQ28" s="166">
        <v>0</v>
      </c>
      <c r="AR28" s="166">
        <v>0</v>
      </c>
      <c r="AS28" s="166">
        <v>0</v>
      </c>
      <c r="AT28" s="166">
        <v>0</v>
      </c>
      <c r="AU28" s="166">
        <v>0</v>
      </c>
      <c r="AV28" s="166">
        <v>0</v>
      </c>
      <c r="AW28" s="166">
        <v>1</v>
      </c>
      <c r="AX28" s="166">
        <v>0</v>
      </c>
      <c r="AY28" s="166">
        <v>0</v>
      </c>
      <c r="AZ28" s="166">
        <v>0</v>
      </c>
      <c r="BA28" s="166">
        <v>0</v>
      </c>
      <c r="BB28" s="166">
        <v>0</v>
      </c>
      <c r="BC28" s="166">
        <v>0</v>
      </c>
      <c r="BD28" s="166">
        <v>0</v>
      </c>
      <c r="BE28" s="166">
        <v>0</v>
      </c>
      <c r="BF28" s="166">
        <v>0</v>
      </c>
      <c r="BG28" s="166">
        <v>0</v>
      </c>
      <c r="BH28" s="166">
        <v>0</v>
      </c>
      <c r="BI28" s="166">
        <v>0</v>
      </c>
      <c r="BJ28" s="166">
        <v>0</v>
      </c>
      <c r="BK28" s="166">
        <v>0</v>
      </c>
      <c r="BL28" s="166">
        <v>0</v>
      </c>
      <c r="BM28" s="166">
        <v>0</v>
      </c>
      <c r="BN28" s="166">
        <v>0</v>
      </c>
      <c r="BO28" s="166">
        <v>0</v>
      </c>
      <c r="BP28" s="166">
        <v>0</v>
      </c>
      <c r="BQ28" s="81" t="s">
        <v>1757</v>
      </c>
      <c r="BZ28" s="81" t="s">
        <v>155</v>
      </c>
      <c r="CA28" s="81">
        <v>7</v>
      </c>
      <c r="CC28" s="167">
        <f>N28</f>
        <v>1</v>
      </c>
      <c r="CD28" s="167">
        <v>0</v>
      </c>
      <c r="CE28" s="167">
        <v>0</v>
      </c>
      <c r="CF28" s="167">
        <v>0</v>
      </c>
      <c r="CG28" s="167">
        <v>0</v>
      </c>
      <c r="CH28" s="167">
        <v>0</v>
      </c>
      <c r="CI28" s="167">
        <v>0</v>
      </c>
      <c r="CJ28" s="167">
        <v>0</v>
      </c>
      <c r="CK28" s="167">
        <v>0</v>
      </c>
      <c r="CL28" s="167">
        <v>0</v>
      </c>
      <c r="CM28" s="167">
        <v>0</v>
      </c>
      <c r="CN28" s="167">
        <v>0</v>
      </c>
      <c r="CO28" s="167">
        <v>0</v>
      </c>
      <c r="CP28" s="167">
        <v>0</v>
      </c>
      <c r="CQ28" s="167">
        <v>0</v>
      </c>
      <c r="CR28" s="167">
        <v>0</v>
      </c>
      <c r="CS28" s="167">
        <v>0</v>
      </c>
      <c r="CT28" s="167">
        <v>0</v>
      </c>
      <c r="CU28" s="167">
        <v>0</v>
      </c>
      <c r="CV28" s="167">
        <v>0</v>
      </c>
      <c r="CW28" s="167">
        <v>0</v>
      </c>
      <c r="CX28" s="167">
        <f>SUM(CD28:CH28)</f>
        <v>0</v>
      </c>
      <c r="CY28" s="167">
        <f>SUM(CD28:CM28)</f>
        <v>0</v>
      </c>
    </row>
    <row r="29" spans="1:103" ht="12.75" customHeight="1" x14ac:dyDescent="0.2">
      <c r="A29" s="81">
        <v>3121</v>
      </c>
      <c r="B29" s="165" t="s">
        <v>1924</v>
      </c>
      <c r="C29" s="165" t="s">
        <v>274</v>
      </c>
      <c r="E29" s="165" t="s">
        <v>3081</v>
      </c>
      <c r="G29" s="81">
        <v>528670</v>
      </c>
      <c r="H29" s="81">
        <v>173572</v>
      </c>
      <c r="I29" s="165" t="s">
        <v>247</v>
      </c>
      <c r="J29" s="349">
        <v>42826</v>
      </c>
      <c r="K29" s="349">
        <v>43190</v>
      </c>
      <c r="L29" s="166">
        <v>0</v>
      </c>
      <c r="M29" s="166">
        <v>1</v>
      </c>
      <c r="N29" s="166">
        <v>1</v>
      </c>
      <c r="O29" s="166">
        <v>1</v>
      </c>
      <c r="P29" s="166">
        <v>1</v>
      </c>
      <c r="R29" s="165" t="s">
        <v>275</v>
      </c>
      <c r="S29" s="81" t="s">
        <v>113</v>
      </c>
      <c r="T29" s="349">
        <v>41739</v>
      </c>
      <c r="U29" s="349">
        <v>41894</v>
      </c>
      <c r="W29" s="81" t="s">
        <v>114</v>
      </c>
      <c r="Y29" s="81" t="s">
        <v>115</v>
      </c>
      <c r="Z29" s="81" t="s">
        <v>116</v>
      </c>
      <c r="AA29" s="81" t="s">
        <v>117</v>
      </c>
      <c r="AB29" s="81" t="s">
        <v>218</v>
      </c>
      <c r="AC29" s="166">
        <v>4.9999998882412902E-3</v>
      </c>
      <c r="AD29" s="349">
        <v>42826</v>
      </c>
      <c r="AE29" s="81" t="s">
        <v>155</v>
      </c>
      <c r="AF29" s="349">
        <v>43190</v>
      </c>
      <c r="AG29" s="81" t="s">
        <v>238</v>
      </c>
      <c r="AH29" s="81" t="s">
        <v>118</v>
      </c>
      <c r="AK29" s="166">
        <v>0</v>
      </c>
      <c r="AM29" s="166">
        <v>0</v>
      </c>
      <c r="AO29" s="166">
        <v>0</v>
      </c>
      <c r="AP29" s="166">
        <v>1</v>
      </c>
      <c r="AQ29" s="166">
        <v>0</v>
      </c>
      <c r="AR29" s="166">
        <v>0</v>
      </c>
      <c r="AS29" s="166">
        <v>0</v>
      </c>
      <c r="AT29" s="166">
        <v>0</v>
      </c>
      <c r="AU29" s="166">
        <v>0</v>
      </c>
      <c r="AV29" s="166">
        <v>0</v>
      </c>
      <c r="AW29" s="166">
        <v>1</v>
      </c>
      <c r="AX29" s="166">
        <v>0</v>
      </c>
      <c r="AY29" s="166">
        <v>0</v>
      </c>
      <c r="AZ29" s="166">
        <v>0</v>
      </c>
      <c r="BA29" s="166">
        <v>0</v>
      </c>
      <c r="BB29" s="166">
        <v>0</v>
      </c>
      <c r="BC29" s="166">
        <v>0</v>
      </c>
      <c r="BD29" s="166">
        <v>0</v>
      </c>
      <c r="BE29" s="166">
        <v>0</v>
      </c>
      <c r="BF29" s="166">
        <v>0</v>
      </c>
      <c r="BG29" s="166">
        <v>0</v>
      </c>
      <c r="BH29" s="166">
        <v>0</v>
      </c>
      <c r="BI29" s="166">
        <v>0</v>
      </c>
      <c r="BJ29" s="166">
        <v>0</v>
      </c>
      <c r="BK29" s="166">
        <v>0</v>
      </c>
      <c r="BL29" s="166">
        <v>0</v>
      </c>
      <c r="BM29" s="166">
        <v>0</v>
      </c>
      <c r="BN29" s="166">
        <v>0</v>
      </c>
      <c r="BO29" s="166">
        <v>0</v>
      </c>
      <c r="BP29" s="166">
        <v>0</v>
      </c>
      <c r="BQ29" s="81" t="s">
        <v>1757</v>
      </c>
      <c r="BR29" s="81" t="s">
        <v>247</v>
      </c>
      <c r="BZ29" s="81" t="s">
        <v>155</v>
      </c>
      <c r="CA29" s="81">
        <v>1</v>
      </c>
      <c r="CC29" s="167">
        <f>N29</f>
        <v>1</v>
      </c>
      <c r="CD29" s="167">
        <v>0</v>
      </c>
      <c r="CE29" s="167">
        <v>0</v>
      </c>
      <c r="CF29" s="167">
        <v>0</v>
      </c>
      <c r="CG29" s="167">
        <v>0</v>
      </c>
      <c r="CH29" s="167">
        <v>0</v>
      </c>
      <c r="CI29" s="167">
        <v>0</v>
      </c>
      <c r="CJ29" s="167">
        <v>0</v>
      </c>
      <c r="CK29" s="167">
        <v>0</v>
      </c>
      <c r="CL29" s="167">
        <v>0</v>
      </c>
      <c r="CM29" s="167">
        <v>0</v>
      </c>
      <c r="CN29" s="167">
        <v>0</v>
      </c>
      <c r="CO29" s="167">
        <v>0</v>
      </c>
      <c r="CP29" s="167">
        <v>0</v>
      </c>
      <c r="CQ29" s="167">
        <v>0</v>
      </c>
      <c r="CR29" s="167">
        <v>0</v>
      </c>
      <c r="CS29" s="167">
        <v>0</v>
      </c>
      <c r="CT29" s="167">
        <v>0</v>
      </c>
      <c r="CU29" s="167">
        <v>0</v>
      </c>
      <c r="CV29" s="167">
        <v>0</v>
      </c>
      <c r="CW29" s="167">
        <v>0</v>
      </c>
      <c r="CX29" s="167">
        <f>SUM(CD29:CH29)</f>
        <v>0</v>
      </c>
      <c r="CY29" s="167">
        <f>SUM(CD29:CM29)</f>
        <v>0</v>
      </c>
    </row>
    <row r="30" spans="1:103" ht="12.75" customHeight="1" x14ac:dyDescent="0.2">
      <c r="A30" s="81">
        <v>3290</v>
      </c>
      <c r="B30" s="165" t="s">
        <v>1924</v>
      </c>
      <c r="C30" s="165" t="s">
        <v>527</v>
      </c>
      <c r="E30" s="165" t="s">
        <v>3082</v>
      </c>
      <c r="G30" s="81">
        <v>527974</v>
      </c>
      <c r="H30" s="81">
        <v>171515</v>
      </c>
      <c r="I30" s="165" t="s">
        <v>253</v>
      </c>
      <c r="J30" s="349">
        <v>42460</v>
      </c>
      <c r="K30" s="349">
        <v>42844</v>
      </c>
      <c r="L30" s="166">
        <v>1</v>
      </c>
      <c r="M30" s="166">
        <v>2</v>
      </c>
      <c r="N30" s="166">
        <v>1</v>
      </c>
      <c r="O30" s="166">
        <v>2</v>
      </c>
      <c r="P30" s="166">
        <v>1</v>
      </c>
      <c r="R30" s="165" t="s">
        <v>764</v>
      </c>
      <c r="S30" s="81" t="s">
        <v>113</v>
      </c>
      <c r="T30" s="349">
        <v>42289</v>
      </c>
      <c r="U30" s="349">
        <v>42404</v>
      </c>
      <c r="W30" s="81" t="s">
        <v>114</v>
      </c>
      <c r="Y30" s="81" t="s">
        <v>115</v>
      </c>
      <c r="Z30" s="81" t="s">
        <v>398</v>
      </c>
      <c r="AA30" s="81" t="s">
        <v>117</v>
      </c>
      <c r="AB30" s="81" t="s">
        <v>220</v>
      </c>
      <c r="AC30" s="166">
        <v>9.9999997764825804E-3</v>
      </c>
      <c r="AD30" s="349">
        <v>42460</v>
      </c>
      <c r="AF30" s="349">
        <v>42844</v>
      </c>
      <c r="AG30" s="81" t="s">
        <v>238</v>
      </c>
      <c r="AH30" s="81" t="s">
        <v>118</v>
      </c>
      <c r="AK30" s="166">
        <v>0</v>
      </c>
      <c r="AM30" s="166">
        <v>0</v>
      </c>
      <c r="AO30" s="166">
        <v>0</v>
      </c>
      <c r="AP30" s="166">
        <v>-1</v>
      </c>
      <c r="AQ30" s="166">
        <v>2</v>
      </c>
      <c r="AR30" s="166">
        <v>0</v>
      </c>
      <c r="AS30" s="166">
        <v>0</v>
      </c>
      <c r="AT30" s="166">
        <v>0</v>
      </c>
      <c r="AU30" s="166">
        <v>0</v>
      </c>
      <c r="AV30" s="166">
        <v>0</v>
      </c>
      <c r="AW30" s="166">
        <v>-1</v>
      </c>
      <c r="AX30" s="166">
        <v>2</v>
      </c>
      <c r="AY30" s="166">
        <v>0</v>
      </c>
      <c r="AZ30" s="166">
        <v>0</v>
      </c>
      <c r="BA30" s="166">
        <v>0</v>
      </c>
      <c r="BB30" s="166">
        <v>0</v>
      </c>
      <c r="BC30" s="166">
        <v>0</v>
      </c>
      <c r="BD30" s="166">
        <v>0</v>
      </c>
      <c r="BE30" s="166">
        <v>0</v>
      </c>
      <c r="BF30" s="166">
        <v>0</v>
      </c>
      <c r="BG30" s="166">
        <v>0</v>
      </c>
      <c r="BH30" s="166">
        <v>0</v>
      </c>
      <c r="BI30" s="166">
        <v>0</v>
      </c>
      <c r="BJ30" s="166">
        <v>0</v>
      </c>
      <c r="BK30" s="166">
        <v>0</v>
      </c>
      <c r="BL30" s="166">
        <v>0</v>
      </c>
      <c r="BM30" s="166">
        <v>0</v>
      </c>
      <c r="BN30" s="166">
        <v>0</v>
      </c>
      <c r="BO30" s="166">
        <v>0</v>
      </c>
      <c r="BP30" s="166">
        <v>0</v>
      </c>
      <c r="BQ30" s="81" t="s">
        <v>1757</v>
      </c>
      <c r="BZ30" s="81" t="s">
        <v>155</v>
      </c>
      <c r="CA30" s="81">
        <v>7</v>
      </c>
      <c r="CC30" s="167">
        <f>N30</f>
        <v>1</v>
      </c>
      <c r="CD30" s="167">
        <v>0</v>
      </c>
      <c r="CE30" s="167">
        <v>0</v>
      </c>
      <c r="CF30" s="167">
        <v>0</v>
      </c>
      <c r="CG30" s="167">
        <v>0</v>
      </c>
      <c r="CH30" s="167">
        <v>0</v>
      </c>
      <c r="CI30" s="167">
        <v>0</v>
      </c>
      <c r="CJ30" s="167">
        <v>0</v>
      </c>
      <c r="CK30" s="167">
        <v>0</v>
      </c>
      <c r="CL30" s="167">
        <v>0</v>
      </c>
      <c r="CM30" s="167">
        <v>0</v>
      </c>
      <c r="CN30" s="167">
        <v>0</v>
      </c>
      <c r="CO30" s="167">
        <v>0</v>
      </c>
      <c r="CP30" s="167">
        <v>0</v>
      </c>
      <c r="CQ30" s="167">
        <v>0</v>
      </c>
      <c r="CR30" s="167">
        <v>0</v>
      </c>
      <c r="CS30" s="167">
        <v>0</v>
      </c>
      <c r="CT30" s="167">
        <v>0</v>
      </c>
      <c r="CU30" s="167">
        <v>0</v>
      </c>
      <c r="CV30" s="167">
        <v>0</v>
      </c>
      <c r="CW30" s="167">
        <v>0</v>
      </c>
      <c r="CX30" s="167">
        <f>SUM(CD30:CH30)</f>
        <v>0</v>
      </c>
      <c r="CY30" s="167">
        <f>SUM(CD30:CM30)</f>
        <v>0</v>
      </c>
    </row>
    <row r="31" spans="1:103" ht="12.75" customHeight="1" x14ac:dyDescent="0.2">
      <c r="A31" s="81">
        <v>3338</v>
      </c>
      <c r="B31" s="165" t="s">
        <v>1924</v>
      </c>
      <c r="C31" s="165" t="s">
        <v>1019</v>
      </c>
      <c r="E31" s="165" t="s">
        <v>3083</v>
      </c>
      <c r="G31" s="81">
        <v>528077</v>
      </c>
      <c r="H31" s="81">
        <v>176658</v>
      </c>
      <c r="I31" s="165" t="s">
        <v>240</v>
      </c>
      <c r="J31" s="349">
        <v>42718</v>
      </c>
      <c r="K31" s="349">
        <v>43147</v>
      </c>
      <c r="L31" s="166">
        <v>0</v>
      </c>
      <c r="M31" s="166">
        <v>1</v>
      </c>
      <c r="N31" s="166">
        <v>1</v>
      </c>
      <c r="O31" s="166">
        <v>1</v>
      </c>
      <c r="P31" s="166">
        <v>1</v>
      </c>
      <c r="R31" s="165" t="s">
        <v>1020</v>
      </c>
      <c r="S31" s="81" t="s">
        <v>270</v>
      </c>
      <c r="T31" s="349">
        <v>42537</v>
      </c>
      <c r="U31" s="349">
        <v>42593</v>
      </c>
      <c r="W31" s="81" t="s">
        <v>114</v>
      </c>
      <c r="Y31" s="81" t="s">
        <v>115</v>
      </c>
      <c r="Z31" s="81" t="s">
        <v>310</v>
      </c>
      <c r="AA31" s="81" t="s">
        <v>117</v>
      </c>
      <c r="AB31" s="81" t="s">
        <v>399</v>
      </c>
      <c r="AC31" s="166">
        <v>3.0000000260770299E-3</v>
      </c>
      <c r="AD31" s="349">
        <v>42718</v>
      </c>
      <c r="AF31" s="349">
        <v>43147</v>
      </c>
      <c r="AG31" s="81" t="s">
        <v>238</v>
      </c>
      <c r="AH31" s="81" t="s">
        <v>118</v>
      </c>
      <c r="AK31" s="166">
        <v>0</v>
      </c>
      <c r="AM31" s="166">
        <v>0</v>
      </c>
      <c r="AO31" s="166">
        <v>0</v>
      </c>
      <c r="AP31" s="166">
        <v>1</v>
      </c>
      <c r="AQ31" s="166">
        <v>0</v>
      </c>
      <c r="AR31" s="166">
        <v>0</v>
      </c>
      <c r="AS31" s="166">
        <v>0</v>
      </c>
      <c r="AT31" s="166">
        <v>0</v>
      </c>
      <c r="AU31" s="166">
        <v>0</v>
      </c>
      <c r="AV31" s="166">
        <v>0</v>
      </c>
      <c r="AW31" s="166">
        <v>1</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81" t="s">
        <v>1757</v>
      </c>
      <c r="BZ31" s="81" t="s">
        <v>155</v>
      </c>
      <c r="CA31" s="81">
        <v>7</v>
      </c>
      <c r="CC31" s="167">
        <f>N31</f>
        <v>1</v>
      </c>
      <c r="CD31" s="167">
        <v>0</v>
      </c>
      <c r="CE31" s="167">
        <v>0</v>
      </c>
      <c r="CF31" s="167">
        <v>0</v>
      </c>
      <c r="CG31" s="167">
        <v>0</v>
      </c>
      <c r="CH31" s="167">
        <v>0</v>
      </c>
      <c r="CI31" s="167">
        <v>0</v>
      </c>
      <c r="CJ31" s="167">
        <v>0</v>
      </c>
      <c r="CK31" s="167">
        <v>0</v>
      </c>
      <c r="CL31" s="167">
        <v>0</v>
      </c>
      <c r="CM31" s="167">
        <v>0</v>
      </c>
      <c r="CN31" s="167">
        <v>0</v>
      </c>
      <c r="CO31" s="167">
        <v>0</v>
      </c>
      <c r="CP31" s="167">
        <v>0</v>
      </c>
      <c r="CQ31" s="167">
        <v>0</v>
      </c>
      <c r="CR31" s="167">
        <v>0</v>
      </c>
      <c r="CS31" s="167">
        <v>0</v>
      </c>
      <c r="CT31" s="167">
        <v>0</v>
      </c>
      <c r="CU31" s="167">
        <v>0</v>
      </c>
      <c r="CV31" s="167">
        <v>0</v>
      </c>
      <c r="CW31" s="167">
        <v>0</v>
      </c>
      <c r="CX31" s="167">
        <f>SUM(CD31:CH31)</f>
        <v>0</v>
      </c>
      <c r="CY31" s="167">
        <f>SUM(CD31:CM31)</f>
        <v>0</v>
      </c>
    </row>
    <row r="32" spans="1:103" ht="12.75" customHeight="1" x14ac:dyDescent="0.2">
      <c r="A32" s="81">
        <v>3438</v>
      </c>
      <c r="B32" s="165" t="s">
        <v>1924</v>
      </c>
      <c r="C32" s="165" t="s">
        <v>1422</v>
      </c>
      <c r="E32" s="165" t="s">
        <v>3084</v>
      </c>
      <c r="G32" s="81">
        <v>528986</v>
      </c>
      <c r="H32" s="81">
        <v>170585</v>
      </c>
      <c r="I32" s="165" t="s">
        <v>252</v>
      </c>
      <c r="J32" s="349">
        <v>42818</v>
      </c>
      <c r="K32" s="349">
        <v>42914</v>
      </c>
      <c r="L32" s="166">
        <v>0</v>
      </c>
      <c r="M32" s="166">
        <v>1</v>
      </c>
      <c r="N32" s="166">
        <v>1</v>
      </c>
      <c r="O32" s="166">
        <v>1</v>
      </c>
      <c r="P32" s="166">
        <v>1</v>
      </c>
      <c r="R32" s="165" t="s">
        <v>1423</v>
      </c>
      <c r="S32" s="81" t="s">
        <v>113</v>
      </c>
      <c r="T32" s="349">
        <v>42640</v>
      </c>
      <c r="U32" s="349">
        <v>42696</v>
      </c>
      <c r="W32" s="81" t="s">
        <v>114</v>
      </c>
      <c r="Y32" s="81" t="s">
        <v>115</v>
      </c>
      <c r="Z32" s="81" t="s">
        <v>398</v>
      </c>
      <c r="AA32" s="81" t="s">
        <v>117</v>
      </c>
      <c r="AB32" s="81" t="s">
        <v>102</v>
      </c>
      <c r="AC32" s="166">
        <v>6.0000000521540598E-3</v>
      </c>
      <c r="AD32" s="349">
        <v>42818</v>
      </c>
      <c r="AF32" s="349">
        <v>42914</v>
      </c>
      <c r="AG32" s="81" t="s">
        <v>238</v>
      </c>
      <c r="AH32" s="81" t="s">
        <v>118</v>
      </c>
      <c r="AK32" s="166">
        <v>0</v>
      </c>
      <c r="AM32" s="166">
        <v>0</v>
      </c>
      <c r="AO32" s="166">
        <v>0</v>
      </c>
      <c r="AP32" s="166">
        <v>1</v>
      </c>
      <c r="AQ32" s="166">
        <v>0</v>
      </c>
      <c r="AR32" s="166">
        <v>0</v>
      </c>
      <c r="AS32" s="166">
        <v>0</v>
      </c>
      <c r="AT32" s="166">
        <v>0</v>
      </c>
      <c r="AU32" s="166">
        <v>0</v>
      </c>
      <c r="AV32" s="166">
        <v>0</v>
      </c>
      <c r="AW32" s="166">
        <v>1</v>
      </c>
      <c r="AX32" s="166">
        <v>0</v>
      </c>
      <c r="AY32" s="166">
        <v>0</v>
      </c>
      <c r="AZ32" s="166">
        <v>0</v>
      </c>
      <c r="BA32" s="166">
        <v>0</v>
      </c>
      <c r="BB32" s="166">
        <v>0</v>
      </c>
      <c r="BC32" s="166">
        <v>0</v>
      </c>
      <c r="BD32" s="166">
        <v>0</v>
      </c>
      <c r="BE32" s="166">
        <v>0</v>
      </c>
      <c r="BF32" s="166">
        <v>0</v>
      </c>
      <c r="BG32" s="166">
        <v>0</v>
      </c>
      <c r="BH32" s="166">
        <v>0</v>
      </c>
      <c r="BI32" s="166">
        <v>0</v>
      </c>
      <c r="BJ32" s="166">
        <v>0</v>
      </c>
      <c r="BK32" s="166">
        <v>0</v>
      </c>
      <c r="BL32" s="166">
        <v>0</v>
      </c>
      <c r="BM32" s="166">
        <v>0</v>
      </c>
      <c r="BN32" s="166">
        <v>0</v>
      </c>
      <c r="BO32" s="166">
        <v>0</v>
      </c>
      <c r="BP32" s="166">
        <v>0</v>
      </c>
      <c r="BQ32" s="81" t="s">
        <v>1757</v>
      </c>
      <c r="BZ32" s="81" t="s">
        <v>155</v>
      </c>
      <c r="CA32" s="81">
        <v>7</v>
      </c>
      <c r="CC32" s="167">
        <f>N32</f>
        <v>1</v>
      </c>
      <c r="CD32" s="167">
        <v>0</v>
      </c>
      <c r="CE32" s="167">
        <v>0</v>
      </c>
      <c r="CF32" s="167">
        <v>0</v>
      </c>
      <c r="CG32" s="167">
        <v>0</v>
      </c>
      <c r="CH32" s="167">
        <v>0</v>
      </c>
      <c r="CI32" s="167">
        <v>0</v>
      </c>
      <c r="CJ32" s="167">
        <v>0</v>
      </c>
      <c r="CK32" s="167">
        <v>0</v>
      </c>
      <c r="CL32" s="167">
        <v>0</v>
      </c>
      <c r="CM32" s="167">
        <v>0</v>
      </c>
      <c r="CN32" s="167">
        <v>0</v>
      </c>
      <c r="CO32" s="167">
        <v>0</v>
      </c>
      <c r="CP32" s="167">
        <v>0</v>
      </c>
      <c r="CQ32" s="167">
        <v>0</v>
      </c>
      <c r="CR32" s="167">
        <v>0</v>
      </c>
      <c r="CS32" s="167">
        <v>0</v>
      </c>
      <c r="CT32" s="167">
        <v>0</v>
      </c>
      <c r="CU32" s="167">
        <v>0</v>
      </c>
      <c r="CV32" s="167">
        <v>0</v>
      </c>
      <c r="CW32" s="167">
        <v>0</v>
      </c>
      <c r="CX32" s="167">
        <f>SUM(CD32:CH32)</f>
        <v>0</v>
      </c>
      <c r="CY32" s="167">
        <f>SUM(CD32:CM32)</f>
        <v>0</v>
      </c>
    </row>
    <row r="33" spans="1:103" ht="12.75" customHeight="1" x14ac:dyDescent="0.2">
      <c r="A33" s="81">
        <v>3474</v>
      </c>
      <c r="B33" s="165" t="s">
        <v>1924</v>
      </c>
      <c r="C33" s="165" t="s">
        <v>3085</v>
      </c>
      <c r="E33" s="165" t="s">
        <v>3086</v>
      </c>
      <c r="G33" s="81">
        <v>527800</v>
      </c>
      <c r="H33" s="81">
        <v>172183</v>
      </c>
      <c r="I33" s="165" t="s">
        <v>242</v>
      </c>
      <c r="J33" s="349">
        <v>42971</v>
      </c>
      <c r="K33" s="349">
        <v>43190</v>
      </c>
      <c r="L33" s="166">
        <v>0</v>
      </c>
      <c r="M33" s="166">
        <v>1</v>
      </c>
      <c r="N33" s="166">
        <v>1</v>
      </c>
      <c r="O33" s="166">
        <v>1</v>
      </c>
      <c r="P33" s="166">
        <v>1</v>
      </c>
      <c r="R33" s="165" t="s">
        <v>3087</v>
      </c>
      <c r="S33" s="81" t="s">
        <v>113</v>
      </c>
      <c r="T33" s="349">
        <v>42919</v>
      </c>
      <c r="U33" s="349">
        <v>42971</v>
      </c>
      <c r="V33" s="81" t="s">
        <v>155</v>
      </c>
      <c r="W33" s="81" t="s">
        <v>114</v>
      </c>
      <c r="Y33" s="81" t="s">
        <v>115</v>
      </c>
      <c r="Z33" s="81" t="s">
        <v>398</v>
      </c>
      <c r="AA33" s="81" t="s">
        <v>117</v>
      </c>
      <c r="AB33" s="81" t="s">
        <v>218</v>
      </c>
      <c r="AC33" s="166">
        <v>7.0000002160668399E-3</v>
      </c>
      <c r="AD33" s="349">
        <v>42971</v>
      </c>
      <c r="AE33" s="81" t="s">
        <v>155</v>
      </c>
      <c r="AF33" s="349">
        <v>43190</v>
      </c>
      <c r="AG33" s="81" t="s">
        <v>238</v>
      </c>
      <c r="AH33" s="81" t="s">
        <v>118</v>
      </c>
      <c r="AK33" s="166">
        <v>0</v>
      </c>
      <c r="AM33" s="166">
        <v>0</v>
      </c>
      <c r="AO33" s="166">
        <v>0</v>
      </c>
      <c r="AP33" s="166">
        <v>0</v>
      </c>
      <c r="AQ33" s="166">
        <v>1</v>
      </c>
      <c r="AR33" s="166">
        <v>0</v>
      </c>
      <c r="AS33" s="166">
        <v>0</v>
      </c>
      <c r="AT33" s="166">
        <v>0</v>
      </c>
      <c r="AU33" s="166">
        <v>0</v>
      </c>
      <c r="AV33" s="166">
        <v>0</v>
      </c>
      <c r="AW33" s="166">
        <v>0</v>
      </c>
      <c r="AX33" s="166">
        <v>1</v>
      </c>
      <c r="AY33" s="166">
        <v>0</v>
      </c>
      <c r="AZ33" s="166">
        <v>0</v>
      </c>
      <c r="BA33" s="166">
        <v>0</v>
      </c>
      <c r="BB33" s="166">
        <v>0</v>
      </c>
      <c r="BC33" s="166">
        <v>0</v>
      </c>
      <c r="BD33" s="166">
        <v>0</v>
      </c>
      <c r="BE33" s="166">
        <v>0</v>
      </c>
      <c r="BF33" s="166">
        <v>0</v>
      </c>
      <c r="BG33" s="166">
        <v>0</v>
      </c>
      <c r="BH33" s="166">
        <v>0</v>
      </c>
      <c r="BI33" s="166">
        <v>0</v>
      </c>
      <c r="BJ33" s="166">
        <v>0</v>
      </c>
      <c r="BK33" s="166">
        <v>0</v>
      </c>
      <c r="BL33" s="166">
        <v>0</v>
      </c>
      <c r="BM33" s="166">
        <v>0</v>
      </c>
      <c r="BN33" s="166">
        <v>0</v>
      </c>
      <c r="BO33" s="166">
        <v>0</v>
      </c>
      <c r="BP33" s="166">
        <v>0</v>
      </c>
      <c r="BQ33" s="81" t="s">
        <v>1757</v>
      </c>
      <c r="BZ33" s="81" t="s">
        <v>155</v>
      </c>
      <c r="CA33" s="81">
        <v>7</v>
      </c>
      <c r="CC33" s="167">
        <f>N33</f>
        <v>1</v>
      </c>
      <c r="CD33" s="167">
        <v>0</v>
      </c>
      <c r="CE33" s="167">
        <v>0</v>
      </c>
      <c r="CF33" s="167">
        <v>0</v>
      </c>
      <c r="CG33" s="167">
        <v>0</v>
      </c>
      <c r="CH33" s="167">
        <v>0</v>
      </c>
      <c r="CI33" s="167">
        <v>0</v>
      </c>
      <c r="CJ33" s="167">
        <v>0</v>
      </c>
      <c r="CK33" s="167">
        <v>0</v>
      </c>
      <c r="CL33" s="167">
        <v>0</v>
      </c>
      <c r="CM33" s="167">
        <v>0</v>
      </c>
      <c r="CN33" s="167">
        <v>0</v>
      </c>
      <c r="CO33" s="167">
        <v>0</v>
      </c>
      <c r="CP33" s="167">
        <v>0</v>
      </c>
      <c r="CQ33" s="167">
        <v>0</v>
      </c>
      <c r="CR33" s="167">
        <v>0</v>
      </c>
      <c r="CS33" s="167">
        <v>0</v>
      </c>
      <c r="CT33" s="167">
        <v>0</v>
      </c>
      <c r="CU33" s="167">
        <v>0</v>
      </c>
      <c r="CV33" s="167">
        <v>0</v>
      </c>
      <c r="CW33" s="167">
        <v>0</v>
      </c>
      <c r="CX33" s="167">
        <f>SUM(CD33:CH33)</f>
        <v>0</v>
      </c>
      <c r="CY33" s="167">
        <f>SUM(CD33:CM33)</f>
        <v>0</v>
      </c>
    </row>
    <row r="34" spans="1:103" ht="12.75" customHeight="1" x14ac:dyDescent="0.2">
      <c r="A34" s="81">
        <v>3480</v>
      </c>
      <c r="B34" s="165" t="s">
        <v>1924</v>
      </c>
      <c r="C34" s="165" t="s">
        <v>1684</v>
      </c>
      <c r="E34" s="165" t="s">
        <v>3088</v>
      </c>
      <c r="G34" s="81">
        <v>523754</v>
      </c>
      <c r="H34" s="81">
        <v>175202</v>
      </c>
      <c r="I34" s="165" t="s">
        <v>259</v>
      </c>
      <c r="J34" s="349">
        <v>42829</v>
      </c>
      <c r="K34" s="349">
        <v>43027</v>
      </c>
      <c r="L34" s="166">
        <v>2</v>
      </c>
      <c r="M34" s="166">
        <v>1</v>
      </c>
      <c r="N34" s="166">
        <v>-1</v>
      </c>
      <c r="O34" s="166">
        <v>1</v>
      </c>
      <c r="P34" s="166">
        <v>-1</v>
      </c>
      <c r="R34" s="165" t="s">
        <v>1685</v>
      </c>
      <c r="S34" s="81" t="s">
        <v>113</v>
      </c>
      <c r="T34" s="349">
        <v>42030</v>
      </c>
      <c r="U34" s="349">
        <v>42086</v>
      </c>
      <c r="W34" s="81" t="s">
        <v>114</v>
      </c>
      <c r="Y34" s="81" t="s">
        <v>115</v>
      </c>
      <c r="Z34" s="81" t="s">
        <v>398</v>
      </c>
      <c r="AA34" s="81" t="s">
        <v>117</v>
      </c>
      <c r="AB34" s="81" t="s">
        <v>336</v>
      </c>
      <c r="AC34" s="166">
        <v>1.30000002682209E-2</v>
      </c>
      <c r="AD34" s="349">
        <v>42829</v>
      </c>
      <c r="AE34" s="81" t="s">
        <v>155</v>
      </c>
      <c r="AF34" s="349">
        <v>43027</v>
      </c>
      <c r="AG34" s="81" t="s">
        <v>238</v>
      </c>
      <c r="AH34" s="81" t="s">
        <v>118</v>
      </c>
      <c r="AK34" s="166">
        <v>0</v>
      </c>
      <c r="AM34" s="166">
        <v>0</v>
      </c>
      <c r="AO34" s="166">
        <v>0</v>
      </c>
      <c r="AP34" s="166">
        <v>0</v>
      </c>
      <c r="AQ34" s="166">
        <v>-2</v>
      </c>
      <c r="AR34" s="166">
        <v>0</v>
      </c>
      <c r="AS34" s="166">
        <v>1</v>
      </c>
      <c r="AT34" s="166">
        <v>0</v>
      </c>
      <c r="AU34" s="166">
        <v>0</v>
      </c>
      <c r="AV34" s="166">
        <v>0</v>
      </c>
      <c r="AW34" s="166">
        <v>0</v>
      </c>
      <c r="AX34" s="166">
        <v>-2</v>
      </c>
      <c r="AY34" s="166">
        <v>0</v>
      </c>
      <c r="AZ34" s="166">
        <v>0</v>
      </c>
      <c r="BA34" s="166">
        <v>0</v>
      </c>
      <c r="BB34" s="166">
        <v>0</v>
      </c>
      <c r="BC34" s="166">
        <v>0</v>
      </c>
      <c r="BD34" s="166">
        <v>0</v>
      </c>
      <c r="BE34" s="166">
        <v>0</v>
      </c>
      <c r="BF34" s="166">
        <v>0</v>
      </c>
      <c r="BG34" s="166">
        <v>1</v>
      </c>
      <c r="BH34" s="166">
        <v>0</v>
      </c>
      <c r="BI34" s="166">
        <v>0</v>
      </c>
      <c r="BJ34" s="166">
        <v>0</v>
      </c>
      <c r="BK34" s="166">
        <v>0</v>
      </c>
      <c r="BL34" s="166">
        <v>0</v>
      </c>
      <c r="BM34" s="166">
        <v>0</v>
      </c>
      <c r="BN34" s="166">
        <v>0</v>
      </c>
      <c r="BO34" s="166">
        <v>0</v>
      </c>
      <c r="BP34" s="166">
        <v>0</v>
      </c>
      <c r="BQ34" s="81" t="s">
        <v>1758</v>
      </c>
      <c r="BZ34" s="81" t="s">
        <v>155</v>
      </c>
      <c r="CA34" s="81">
        <v>7</v>
      </c>
      <c r="CC34" s="167">
        <f>N34</f>
        <v>-1</v>
      </c>
      <c r="CD34" s="167">
        <v>0</v>
      </c>
      <c r="CE34" s="167">
        <v>0</v>
      </c>
      <c r="CF34" s="167">
        <v>0</v>
      </c>
      <c r="CG34" s="167">
        <v>0</v>
      </c>
      <c r="CH34" s="167">
        <v>0</v>
      </c>
      <c r="CI34" s="167">
        <v>0</v>
      </c>
      <c r="CJ34" s="167">
        <v>0</v>
      </c>
      <c r="CK34" s="167">
        <v>0</v>
      </c>
      <c r="CL34" s="167">
        <v>0</v>
      </c>
      <c r="CM34" s="167">
        <v>0</v>
      </c>
      <c r="CN34" s="167">
        <v>0</v>
      </c>
      <c r="CO34" s="167">
        <v>0</v>
      </c>
      <c r="CP34" s="167">
        <v>0</v>
      </c>
      <c r="CQ34" s="167">
        <v>0</v>
      </c>
      <c r="CR34" s="167">
        <v>0</v>
      </c>
      <c r="CS34" s="167">
        <v>0</v>
      </c>
      <c r="CT34" s="167">
        <v>0</v>
      </c>
      <c r="CU34" s="167">
        <v>0</v>
      </c>
      <c r="CV34" s="167">
        <v>0</v>
      </c>
      <c r="CW34" s="167">
        <v>0</v>
      </c>
      <c r="CX34" s="167">
        <f>SUM(CD34:CH34)</f>
        <v>0</v>
      </c>
      <c r="CY34" s="167">
        <f>SUM(CD34:CM34)</f>
        <v>0</v>
      </c>
    </row>
    <row r="35" spans="1:103" ht="12.75" customHeight="1" x14ac:dyDescent="0.2">
      <c r="A35" s="81">
        <v>3501</v>
      </c>
      <c r="B35" s="165" t="s">
        <v>1924</v>
      </c>
      <c r="C35" s="165" t="s">
        <v>442</v>
      </c>
      <c r="E35" s="165" t="s">
        <v>2081</v>
      </c>
      <c r="F35" s="165" t="s">
        <v>2082</v>
      </c>
      <c r="G35" s="81">
        <v>526469</v>
      </c>
      <c r="H35" s="81">
        <v>175635</v>
      </c>
      <c r="I35" s="165" t="s">
        <v>257</v>
      </c>
      <c r="J35" s="349">
        <v>42275</v>
      </c>
      <c r="L35" s="166">
        <v>0</v>
      </c>
      <c r="M35" s="166">
        <v>12</v>
      </c>
      <c r="N35" s="166">
        <v>12</v>
      </c>
      <c r="O35" s="166">
        <v>51</v>
      </c>
      <c r="P35" s="166">
        <v>51</v>
      </c>
      <c r="Q35" s="81" t="s">
        <v>155</v>
      </c>
      <c r="R35" s="165" t="s">
        <v>754</v>
      </c>
      <c r="S35" s="81" t="s">
        <v>104</v>
      </c>
      <c r="T35" s="349">
        <v>41862</v>
      </c>
      <c r="U35" s="349">
        <v>42179</v>
      </c>
      <c r="W35" s="81" t="s">
        <v>114</v>
      </c>
      <c r="Y35" s="81" t="s">
        <v>115</v>
      </c>
      <c r="Z35" s="81" t="s">
        <v>116</v>
      </c>
      <c r="AA35" s="81" t="s">
        <v>116</v>
      </c>
      <c r="AB35" s="81" t="s">
        <v>117</v>
      </c>
      <c r="AC35" s="166">
        <v>4.80000004172325E-2</v>
      </c>
      <c r="AD35" s="349">
        <v>42275</v>
      </c>
      <c r="AF35" s="349">
        <v>43111</v>
      </c>
      <c r="AG35" s="81" t="s">
        <v>154</v>
      </c>
      <c r="AH35" s="81" t="s">
        <v>276</v>
      </c>
      <c r="AI35" s="81" t="s">
        <v>2083</v>
      </c>
      <c r="AK35" s="166">
        <v>12</v>
      </c>
      <c r="AM35" s="166">
        <v>0</v>
      </c>
      <c r="AO35" s="166">
        <v>0</v>
      </c>
      <c r="AP35" s="166">
        <v>0</v>
      </c>
      <c r="AQ35" s="166">
        <v>3</v>
      </c>
      <c r="AR35" s="166">
        <v>9</v>
      </c>
      <c r="AS35" s="166">
        <v>0</v>
      </c>
      <c r="AT35" s="166">
        <v>0</v>
      </c>
      <c r="AU35" s="166">
        <v>0</v>
      </c>
      <c r="AV35" s="166">
        <v>0</v>
      </c>
      <c r="AW35" s="166">
        <v>0</v>
      </c>
      <c r="AX35" s="166">
        <v>3</v>
      </c>
      <c r="AY35" s="166">
        <v>9</v>
      </c>
      <c r="AZ35" s="166">
        <v>0</v>
      </c>
      <c r="BA35" s="166">
        <v>0</v>
      </c>
      <c r="BB35" s="166">
        <v>0</v>
      </c>
      <c r="BC35" s="166">
        <v>0</v>
      </c>
      <c r="BD35" s="166">
        <v>0</v>
      </c>
      <c r="BE35" s="166">
        <v>0</v>
      </c>
      <c r="BF35" s="166">
        <v>0</v>
      </c>
      <c r="BG35" s="166">
        <v>0</v>
      </c>
      <c r="BH35" s="166">
        <v>0</v>
      </c>
      <c r="BI35" s="166">
        <v>0</v>
      </c>
      <c r="BJ35" s="166">
        <v>0</v>
      </c>
      <c r="BK35" s="166">
        <v>0</v>
      </c>
      <c r="BL35" s="166">
        <v>0</v>
      </c>
      <c r="BM35" s="166">
        <v>0</v>
      </c>
      <c r="BN35" s="166">
        <v>0</v>
      </c>
      <c r="BO35" s="166">
        <v>0</v>
      </c>
      <c r="BP35" s="166">
        <v>0</v>
      </c>
      <c r="BQ35" s="81" t="s">
        <v>1757</v>
      </c>
      <c r="BX35" s="81" t="s">
        <v>155</v>
      </c>
      <c r="BZ35" s="81" t="s">
        <v>155</v>
      </c>
      <c r="CA35" s="81">
        <v>1</v>
      </c>
      <c r="CC35" s="167">
        <f>N35</f>
        <v>12</v>
      </c>
      <c r="CD35" s="167">
        <v>0</v>
      </c>
      <c r="CE35" s="167">
        <v>0</v>
      </c>
      <c r="CF35" s="167">
        <v>0</v>
      </c>
      <c r="CG35" s="167">
        <v>0</v>
      </c>
      <c r="CH35" s="167">
        <v>0</v>
      </c>
      <c r="CI35" s="167">
        <v>0</v>
      </c>
      <c r="CJ35" s="167">
        <v>0</v>
      </c>
      <c r="CK35" s="167">
        <v>0</v>
      </c>
      <c r="CL35" s="167">
        <v>0</v>
      </c>
      <c r="CM35" s="167">
        <v>0</v>
      </c>
      <c r="CN35" s="167">
        <v>0</v>
      </c>
      <c r="CO35" s="167">
        <v>0</v>
      </c>
      <c r="CP35" s="167">
        <v>0</v>
      </c>
      <c r="CQ35" s="167">
        <v>0</v>
      </c>
      <c r="CR35" s="167">
        <v>0</v>
      </c>
      <c r="CS35" s="167">
        <v>0</v>
      </c>
      <c r="CT35" s="167">
        <v>0</v>
      </c>
      <c r="CU35" s="167">
        <v>0</v>
      </c>
      <c r="CV35" s="167">
        <v>0</v>
      </c>
      <c r="CW35" s="167">
        <v>0</v>
      </c>
      <c r="CX35" s="167">
        <f>SUM(CD35:CH35)</f>
        <v>0</v>
      </c>
      <c r="CY35" s="167">
        <f>SUM(CD35:CM35)</f>
        <v>0</v>
      </c>
    </row>
    <row r="36" spans="1:103" ht="12.75" customHeight="1" x14ac:dyDescent="0.2">
      <c r="A36" s="81">
        <v>3501</v>
      </c>
      <c r="B36" s="165" t="s">
        <v>1924</v>
      </c>
      <c r="C36" s="165" t="s">
        <v>442</v>
      </c>
      <c r="E36" s="165" t="s">
        <v>2081</v>
      </c>
      <c r="F36" s="165" t="s">
        <v>2096</v>
      </c>
      <c r="G36" s="81">
        <v>526469</v>
      </c>
      <c r="H36" s="81">
        <v>175635</v>
      </c>
      <c r="I36" s="165" t="s">
        <v>257</v>
      </c>
      <c r="J36" s="349">
        <v>42275</v>
      </c>
      <c r="L36" s="166">
        <v>0</v>
      </c>
      <c r="M36" s="166">
        <v>5</v>
      </c>
      <c r="N36" s="166">
        <v>5</v>
      </c>
      <c r="O36" s="166">
        <v>51</v>
      </c>
      <c r="P36" s="166">
        <v>51</v>
      </c>
      <c r="Q36" s="81" t="s">
        <v>155</v>
      </c>
      <c r="R36" s="165" t="s">
        <v>754</v>
      </c>
      <c r="S36" s="81" t="s">
        <v>104</v>
      </c>
      <c r="T36" s="349">
        <v>41862</v>
      </c>
      <c r="U36" s="349">
        <v>42179</v>
      </c>
      <c r="W36" s="81" t="s">
        <v>114</v>
      </c>
      <c r="Y36" s="81" t="s">
        <v>115</v>
      </c>
      <c r="Z36" s="81" t="s">
        <v>116</v>
      </c>
      <c r="AA36" s="81" t="s">
        <v>116</v>
      </c>
      <c r="AB36" s="81" t="s">
        <v>117</v>
      </c>
      <c r="AC36" s="166">
        <v>0</v>
      </c>
      <c r="AD36" s="349">
        <v>42275</v>
      </c>
      <c r="AF36" s="349">
        <v>43186</v>
      </c>
      <c r="AG36" s="81" t="s">
        <v>238</v>
      </c>
      <c r="AH36" s="81" t="s">
        <v>118</v>
      </c>
      <c r="AI36" s="81" t="s">
        <v>2083</v>
      </c>
      <c r="AK36" s="166">
        <v>0</v>
      </c>
      <c r="AM36" s="166">
        <v>0</v>
      </c>
      <c r="AO36" s="166">
        <v>0</v>
      </c>
      <c r="AP36" s="166">
        <v>4</v>
      </c>
      <c r="AQ36" s="166">
        <v>1</v>
      </c>
      <c r="AR36" s="166">
        <v>0</v>
      </c>
      <c r="AS36" s="166">
        <v>0</v>
      </c>
      <c r="AT36" s="166">
        <v>0</v>
      </c>
      <c r="AU36" s="166">
        <v>0</v>
      </c>
      <c r="AV36" s="166">
        <v>0</v>
      </c>
      <c r="AW36" s="166">
        <v>4</v>
      </c>
      <c r="AX36" s="166">
        <v>1</v>
      </c>
      <c r="AY36" s="166">
        <v>0</v>
      </c>
      <c r="AZ36" s="166">
        <v>0</v>
      </c>
      <c r="BA36" s="166">
        <v>0</v>
      </c>
      <c r="BB36" s="166">
        <v>0</v>
      </c>
      <c r="BC36" s="166">
        <v>0</v>
      </c>
      <c r="BD36" s="166">
        <v>0</v>
      </c>
      <c r="BE36" s="166">
        <v>0</v>
      </c>
      <c r="BF36" s="166">
        <v>0</v>
      </c>
      <c r="BG36" s="166">
        <v>0</v>
      </c>
      <c r="BH36" s="166">
        <v>0</v>
      </c>
      <c r="BI36" s="166">
        <v>0</v>
      </c>
      <c r="BJ36" s="166">
        <v>0</v>
      </c>
      <c r="BK36" s="166">
        <v>0</v>
      </c>
      <c r="BL36" s="166">
        <v>0</v>
      </c>
      <c r="BM36" s="166">
        <v>0</v>
      </c>
      <c r="BN36" s="166">
        <v>0</v>
      </c>
      <c r="BO36" s="166">
        <v>0</v>
      </c>
      <c r="BP36" s="166">
        <v>0</v>
      </c>
      <c r="BQ36" s="81" t="s">
        <v>1757</v>
      </c>
      <c r="BX36" s="81" t="s">
        <v>155</v>
      </c>
      <c r="BZ36" s="81" t="s">
        <v>155</v>
      </c>
      <c r="CA36" s="81">
        <v>1</v>
      </c>
      <c r="CC36" s="167">
        <f>N36</f>
        <v>5</v>
      </c>
      <c r="CD36" s="167">
        <v>0</v>
      </c>
      <c r="CE36" s="167">
        <v>0</v>
      </c>
      <c r="CF36" s="167">
        <v>0</v>
      </c>
      <c r="CG36" s="167">
        <v>0</v>
      </c>
      <c r="CH36" s="167">
        <v>0</v>
      </c>
      <c r="CI36" s="167">
        <v>0</v>
      </c>
      <c r="CJ36" s="167">
        <v>0</v>
      </c>
      <c r="CK36" s="167">
        <v>0</v>
      </c>
      <c r="CL36" s="167">
        <v>0</v>
      </c>
      <c r="CM36" s="167">
        <v>0</v>
      </c>
      <c r="CN36" s="167">
        <v>0</v>
      </c>
      <c r="CO36" s="167">
        <v>0</v>
      </c>
      <c r="CP36" s="167">
        <v>0</v>
      </c>
      <c r="CQ36" s="167">
        <v>0</v>
      </c>
      <c r="CR36" s="167">
        <v>0</v>
      </c>
      <c r="CS36" s="167">
        <v>0</v>
      </c>
      <c r="CT36" s="167">
        <v>0</v>
      </c>
      <c r="CU36" s="167">
        <v>0</v>
      </c>
      <c r="CV36" s="167">
        <v>0</v>
      </c>
      <c r="CW36" s="167">
        <v>0</v>
      </c>
      <c r="CX36" s="167">
        <f>SUM(CD36:CH36)</f>
        <v>0</v>
      </c>
      <c r="CY36" s="167">
        <f>SUM(CD36:CM36)</f>
        <v>0</v>
      </c>
    </row>
    <row r="37" spans="1:103" ht="12.75" customHeight="1" x14ac:dyDescent="0.2">
      <c r="A37" s="81">
        <v>3510</v>
      </c>
      <c r="B37" s="165" t="s">
        <v>1924</v>
      </c>
      <c r="C37" s="165" t="s">
        <v>224</v>
      </c>
      <c r="D37" s="165" t="s">
        <v>225</v>
      </c>
      <c r="E37" s="165" t="s">
        <v>2138</v>
      </c>
      <c r="F37" s="165" t="s">
        <v>226</v>
      </c>
      <c r="G37" s="81">
        <v>529424</v>
      </c>
      <c r="H37" s="81">
        <v>177541</v>
      </c>
      <c r="I37" s="165" t="s">
        <v>240</v>
      </c>
      <c r="J37" s="349">
        <v>40892</v>
      </c>
      <c r="K37" s="349">
        <v>43190</v>
      </c>
      <c r="L37" s="166">
        <v>0</v>
      </c>
      <c r="M37" s="166">
        <v>74</v>
      </c>
      <c r="N37" s="166">
        <v>74</v>
      </c>
      <c r="O37" s="166">
        <v>813</v>
      </c>
      <c r="P37" s="166">
        <v>813</v>
      </c>
      <c r="Q37" s="81" t="s">
        <v>155</v>
      </c>
      <c r="R37" s="165" t="s">
        <v>503</v>
      </c>
      <c r="S37" s="81" t="s">
        <v>104</v>
      </c>
      <c r="T37" s="349">
        <v>40786</v>
      </c>
      <c r="U37" s="349">
        <v>40892</v>
      </c>
      <c r="W37" s="81" t="s">
        <v>114</v>
      </c>
      <c r="Y37" s="81" t="s">
        <v>115</v>
      </c>
      <c r="Z37" s="81" t="s">
        <v>116</v>
      </c>
      <c r="AA37" s="81" t="s">
        <v>116</v>
      </c>
      <c r="AB37" s="81" t="s">
        <v>117</v>
      </c>
      <c r="AC37" s="166">
        <v>0.167999997735023</v>
      </c>
      <c r="AD37" s="349">
        <v>41852</v>
      </c>
      <c r="AF37" s="349">
        <v>43190</v>
      </c>
      <c r="AG37" s="81" t="s">
        <v>238</v>
      </c>
      <c r="AH37" s="81" t="s">
        <v>118</v>
      </c>
      <c r="AI37" s="81" t="s">
        <v>2139</v>
      </c>
      <c r="AK37" s="166">
        <v>74</v>
      </c>
      <c r="AM37" s="166">
        <v>7</v>
      </c>
      <c r="AO37" s="166">
        <v>5</v>
      </c>
      <c r="AP37" s="166">
        <v>18</v>
      </c>
      <c r="AQ37" s="166">
        <v>14</v>
      </c>
      <c r="AR37" s="166">
        <v>37</v>
      </c>
      <c r="AS37" s="166">
        <v>0</v>
      </c>
      <c r="AT37" s="166">
        <v>0</v>
      </c>
      <c r="AU37" s="166">
        <v>0</v>
      </c>
      <c r="AV37" s="166">
        <v>5</v>
      </c>
      <c r="AW37" s="166">
        <v>18</v>
      </c>
      <c r="AX37" s="166">
        <v>14</v>
      </c>
      <c r="AY37" s="166">
        <v>37</v>
      </c>
      <c r="AZ37" s="166">
        <v>0</v>
      </c>
      <c r="BA37" s="166">
        <v>0</v>
      </c>
      <c r="BB37" s="166">
        <v>0</v>
      </c>
      <c r="BC37" s="166">
        <v>0</v>
      </c>
      <c r="BD37" s="166">
        <v>0</v>
      </c>
      <c r="BE37" s="166">
        <v>0</v>
      </c>
      <c r="BF37" s="166">
        <v>0</v>
      </c>
      <c r="BG37" s="166">
        <v>0</v>
      </c>
      <c r="BH37" s="166">
        <v>0</v>
      </c>
      <c r="BI37" s="166">
        <v>0</v>
      </c>
      <c r="BJ37" s="166">
        <v>0</v>
      </c>
      <c r="BK37" s="166">
        <v>0</v>
      </c>
      <c r="BL37" s="166">
        <v>0</v>
      </c>
      <c r="BM37" s="166">
        <v>0</v>
      </c>
      <c r="BN37" s="166">
        <v>0</v>
      </c>
      <c r="BO37" s="166">
        <v>0</v>
      </c>
      <c r="BP37" s="166">
        <v>0</v>
      </c>
      <c r="BQ37" s="81" t="s">
        <v>1759</v>
      </c>
      <c r="BS37" s="81" t="s">
        <v>155</v>
      </c>
      <c r="BZ37" s="81" t="s">
        <v>155</v>
      </c>
      <c r="CA37" s="81">
        <v>1</v>
      </c>
      <c r="CC37" s="167">
        <f>N37</f>
        <v>74</v>
      </c>
      <c r="CD37" s="167">
        <v>0</v>
      </c>
      <c r="CE37" s="167">
        <v>0</v>
      </c>
      <c r="CF37" s="167">
        <v>0</v>
      </c>
      <c r="CG37" s="167">
        <v>0</v>
      </c>
      <c r="CH37" s="167">
        <v>0</v>
      </c>
      <c r="CI37" s="167">
        <v>0</v>
      </c>
      <c r="CJ37" s="167">
        <v>0</v>
      </c>
      <c r="CK37" s="167">
        <v>0</v>
      </c>
      <c r="CL37" s="167">
        <v>0</v>
      </c>
      <c r="CM37" s="167">
        <v>0</v>
      </c>
      <c r="CN37" s="167">
        <v>0</v>
      </c>
      <c r="CO37" s="167">
        <v>0</v>
      </c>
      <c r="CP37" s="167">
        <v>0</v>
      </c>
      <c r="CQ37" s="167">
        <v>0</v>
      </c>
      <c r="CR37" s="167">
        <v>0</v>
      </c>
      <c r="CS37" s="167">
        <v>0</v>
      </c>
      <c r="CT37" s="167">
        <v>0</v>
      </c>
      <c r="CU37" s="167">
        <v>0</v>
      </c>
      <c r="CV37" s="167">
        <v>0</v>
      </c>
      <c r="CW37" s="167">
        <v>0</v>
      </c>
      <c r="CX37" s="167">
        <f>SUM(CD37:CH37)</f>
        <v>0</v>
      </c>
      <c r="CY37" s="167">
        <f>SUM(CD37:CM37)</f>
        <v>0</v>
      </c>
    </row>
    <row r="38" spans="1:103" ht="12.75" customHeight="1" x14ac:dyDescent="0.2">
      <c r="A38" s="81">
        <v>3510</v>
      </c>
      <c r="B38" s="165" t="s">
        <v>1924</v>
      </c>
      <c r="C38" s="165" t="s">
        <v>1497</v>
      </c>
      <c r="D38" s="165" t="s">
        <v>225</v>
      </c>
      <c r="E38" s="165" t="s">
        <v>2138</v>
      </c>
      <c r="G38" s="81">
        <v>529424</v>
      </c>
      <c r="H38" s="81">
        <v>177541</v>
      </c>
      <c r="I38" s="165" t="s">
        <v>240</v>
      </c>
      <c r="J38" s="349">
        <v>42858</v>
      </c>
      <c r="K38" s="349">
        <v>42991</v>
      </c>
      <c r="L38" s="166">
        <v>2</v>
      </c>
      <c r="M38" s="166">
        <v>1</v>
      </c>
      <c r="N38" s="166">
        <v>-1</v>
      </c>
      <c r="O38" s="166">
        <v>1</v>
      </c>
      <c r="P38" s="166">
        <v>-1</v>
      </c>
      <c r="R38" s="165" t="s">
        <v>1498</v>
      </c>
      <c r="S38" s="81" t="s">
        <v>113</v>
      </c>
      <c r="T38" s="349">
        <v>42712</v>
      </c>
      <c r="U38" s="349">
        <v>42748</v>
      </c>
      <c r="W38" s="81" t="s">
        <v>114</v>
      </c>
      <c r="Y38" s="81" t="s">
        <v>115</v>
      </c>
      <c r="Z38" s="81" t="s">
        <v>119</v>
      </c>
      <c r="AA38" s="81" t="s">
        <v>117</v>
      </c>
      <c r="AB38" s="81" t="s">
        <v>300</v>
      </c>
      <c r="AC38" s="166">
        <v>1.8999999389052401E-2</v>
      </c>
      <c r="AD38" s="349">
        <v>42858</v>
      </c>
      <c r="AE38" s="81" t="s">
        <v>155</v>
      </c>
      <c r="AF38" s="349">
        <v>42991</v>
      </c>
      <c r="AG38" s="81" t="s">
        <v>238</v>
      </c>
      <c r="AH38" s="81" t="s">
        <v>118</v>
      </c>
      <c r="AI38" s="81" t="s">
        <v>2139</v>
      </c>
      <c r="AK38" s="166">
        <v>0</v>
      </c>
      <c r="AM38" s="166">
        <v>0</v>
      </c>
      <c r="AO38" s="166">
        <v>0</v>
      </c>
      <c r="AP38" s="166">
        <v>0</v>
      </c>
      <c r="AQ38" s="166">
        <v>-2</v>
      </c>
      <c r="AR38" s="166">
        <v>0</v>
      </c>
      <c r="AS38" s="166">
        <v>1</v>
      </c>
      <c r="AT38" s="166">
        <v>0</v>
      </c>
      <c r="AU38" s="166">
        <v>0</v>
      </c>
      <c r="AV38" s="166">
        <v>0</v>
      </c>
      <c r="AW38" s="166">
        <v>0</v>
      </c>
      <c r="AX38" s="166">
        <v>-2</v>
      </c>
      <c r="AY38" s="166">
        <v>0</v>
      </c>
      <c r="AZ38" s="166">
        <v>1</v>
      </c>
      <c r="BA38" s="166">
        <v>0</v>
      </c>
      <c r="BB38" s="166">
        <v>0</v>
      </c>
      <c r="BC38" s="166">
        <v>0</v>
      </c>
      <c r="BD38" s="166">
        <v>0</v>
      </c>
      <c r="BE38" s="166">
        <v>0</v>
      </c>
      <c r="BF38" s="166">
        <v>0</v>
      </c>
      <c r="BG38" s="166">
        <v>0</v>
      </c>
      <c r="BH38" s="166">
        <v>0</v>
      </c>
      <c r="BI38" s="166">
        <v>0</v>
      </c>
      <c r="BJ38" s="166">
        <v>0</v>
      </c>
      <c r="BK38" s="166">
        <v>0</v>
      </c>
      <c r="BL38" s="166">
        <v>0</v>
      </c>
      <c r="BM38" s="166">
        <v>0</v>
      </c>
      <c r="BN38" s="166">
        <v>0</v>
      </c>
      <c r="BO38" s="166">
        <v>0</v>
      </c>
      <c r="BP38" s="166">
        <v>0</v>
      </c>
      <c r="BQ38" s="81" t="s">
        <v>1759</v>
      </c>
      <c r="BS38" s="81" t="s">
        <v>155</v>
      </c>
      <c r="BZ38" s="81" t="s">
        <v>155</v>
      </c>
      <c r="CA38" s="81">
        <v>7</v>
      </c>
      <c r="CC38" s="167">
        <f>N38</f>
        <v>-1</v>
      </c>
      <c r="CD38" s="167">
        <v>0</v>
      </c>
      <c r="CE38" s="167">
        <v>0</v>
      </c>
      <c r="CF38" s="167">
        <v>0</v>
      </c>
      <c r="CG38" s="167">
        <v>0</v>
      </c>
      <c r="CH38" s="167">
        <v>0</v>
      </c>
      <c r="CI38" s="167">
        <v>0</v>
      </c>
      <c r="CJ38" s="167">
        <v>0</v>
      </c>
      <c r="CK38" s="167">
        <v>0</v>
      </c>
      <c r="CL38" s="167">
        <v>0</v>
      </c>
      <c r="CM38" s="167">
        <v>0</v>
      </c>
      <c r="CN38" s="167">
        <v>0</v>
      </c>
      <c r="CO38" s="167">
        <v>0</v>
      </c>
      <c r="CP38" s="167">
        <v>0</v>
      </c>
      <c r="CQ38" s="167">
        <v>0</v>
      </c>
      <c r="CR38" s="167">
        <v>0</v>
      </c>
      <c r="CS38" s="167">
        <v>0</v>
      </c>
      <c r="CT38" s="167">
        <v>0</v>
      </c>
      <c r="CU38" s="167">
        <v>0</v>
      </c>
      <c r="CV38" s="167">
        <v>0</v>
      </c>
      <c r="CW38" s="167">
        <v>0</v>
      </c>
      <c r="CX38" s="167">
        <f>SUM(CD38:CH38)</f>
        <v>0</v>
      </c>
      <c r="CY38" s="167">
        <f>SUM(CD38:CM38)</f>
        <v>0</v>
      </c>
    </row>
    <row r="39" spans="1:103" ht="12.75" customHeight="1" x14ac:dyDescent="0.2">
      <c r="A39" s="81">
        <v>3516</v>
      </c>
      <c r="B39" s="165" t="s">
        <v>1924</v>
      </c>
      <c r="C39" s="165" t="s">
        <v>1174</v>
      </c>
      <c r="D39" s="165" t="s">
        <v>506</v>
      </c>
      <c r="E39" s="165" t="s">
        <v>2670</v>
      </c>
      <c r="F39" s="165" t="s">
        <v>25</v>
      </c>
      <c r="G39" s="81">
        <v>528672</v>
      </c>
      <c r="H39" s="81">
        <v>177315</v>
      </c>
      <c r="I39" s="165" t="s">
        <v>240</v>
      </c>
      <c r="J39" s="349">
        <v>41828</v>
      </c>
      <c r="K39" s="349">
        <v>43190</v>
      </c>
      <c r="L39" s="166">
        <v>0</v>
      </c>
      <c r="M39" s="166">
        <v>275</v>
      </c>
      <c r="N39" s="166">
        <v>275</v>
      </c>
      <c r="O39" s="166">
        <v>453</v>
      </c>
      <c r="P39" s="166">
        <v>453</v>
      </c>
      <c r="Q39" s="81" t="s">
        <v>155</v>
      </c>
      <c r="R39" s="165" t="s">
        <v>1175</v>
      </c>
      <c r="S39" s="81" t="s">
        <v>509</v>
      </c>
      <c r="T39" s="349">
        <v>42362</v>
      </c>
      <c r="U39" s="349">
        <v>42541</v>
      </c>
      <c r="W39" s="81" t="s">
        <v>114</v>
      </c>
      <c r="Y39" s="81" t="s">
        <v>115</v>
      </c>
      <c r="Z39" s="81" t="s">
        <v>116</v>
      </c>
      <c r="AA39" s="81" t="s">
        <v>116</v>
      </c>
      <c r="AB39" s="81" t="s">
        <v>117</v>
      </c>
      <c r="AC39" s="166">
        <v>0.66799998283386197</v>
      </c>
      <c r="AD39" s="349">
        <v>41828</v>
      </c>
      <c r="AF39" s="349">
        <v>43190</v>
      </c>
      <c r="AG39" s="81" t="s">
        <v>238</v>
      </c>
      <c r="AH39" s="81" t="s">
        <v>118</v>
      </c>
      <c r="AI39" s="81" t="s">
        <v>2671</v>
      </c>
      <c r="AK39" s="166">
        <v>0</v>
      </c>
      <c r="AM39" s="166">
        <v>0</v>
      </c>
      <c r="AN39" s="166">
        <v>45</v>
      </c>
      <c r="AO39" s="166">
        <v>0</v>
      </c>
      <c r="AP39" s="166">
        <v>60</v>
      </c>
      <c r="AQ39" s="166">
        <v>126</v>
      </c>
      <c r="AR39" s="166">
        <v>82</v>
      </c>
      <c r="AS39" s="166">
        <v>7</v>
      </c>
      <c r="AT39" s="166">
        <v>0</v>
      </c>
      <c r="AU39" s="166">
        <v>0</v>
      </c>
      <c r="AV39" s="166">
        <v>0</v>
      </c>
      <c r="AW39" s="166">
        <v>60</v>
      </c>
      <c r="AX39" s="166">
        <v>126</v>
      </c>
      <c r="AY39" s="166">
        <v>82</v>
      </c>
      <c r="AZ39" s="166">
        <v>7</v>
      </c>
      <c r="BA39" s="166">
        <v>0</v>
      </c>
      <c r="BB39" s="166">
        <v>0</v>
      </c>
      <c r="BC39" s="166">
        <v>0</v>
      </c>
      <c r="BD39" s="166">
        <v>0</v>
      </c>
      <c r="BE39" s="166">
        <v>0</v>
      </c>
      <c r="BF39" s="166">
        <v>0</v>
      </c>
      <c r="BG39" s="166">
        <v>0</v>
      </c>
      <c r="BH39" s="166">
        <v>0</v>
      </c>
      <c r="BI39" s="166">
        <v>0</v>
      </c>
      <c r="BJ39" s="166">
        <v>0</v>
      </c>
      <c r="BK39" s="166">
        <v>0</v>
      </c>
      <c r="BL39" s="166">
        <v>0</v>
      </c>
      <c r="BM39" s="166">
        <v>0</v>
      </c>
      <c r="BN39" s="166">
        <v>0</v>
      </c>
      <c r="BO39" s="166">
        <v>0</v>
      </c>
      <c r="BP39" s="166">
        <v>0</v>
      </c>
      <c r="BQ39" s="81" t="s">
        <v>1759</v>
      </c>
      <c r="BS39" s="81" t="s">
        <v>155</v>
      </c>
      <c r="BZ39" s="81" t="s">
        <v>155</v>
      </c>
      <c r="CA39" s="81">
        <v>1</v>
      </c>
      <c r="CC39" s="167">
        <f>N39</f>
        <v>275</v>
      </c>
      <c r="CD39" s="167">
        <v>0</v>
      </c>
      <c r="CE39" s="167">
        <v>0</v>
      </c>
      <c r="CF39" s="167">
        <v>0</v>
      </c>
      <c r="CG39" s="167">
        <v>0</v>
      </c>
      <c r="CH39" s="167">
        <v>0</v>
      </c>
      <c r="CI39" s="167">
        <v>0</v>
      </c>
      <c r="CJ39" s="167">
        <v>0</v>
      </c>
      <c r="CK39" s="167">
        <v>0</v>
      </c>
      <c r="CL39" s="167">
        <v>0</v>
      </c>
      <c r="CM39" s="167">
        <v>0</v>
      </c>
      <c r="CN39" s="167">
        <v>0</v>
      </c>
      <c r="CO39" s="167">
        <v>0</v>
      </c>
      <c r="CP39" s="167">
        <v>0</v>
      </c>
      <c r="CQ39" s="167">
        <v>0</v>
      </c>
      <c r="CR39" s="167">
        <v>0</v>
      </c>
      <c r="CS39" s="167">
        <v>0</v>
      </c>
      <c r="CT39" s="167">
        <v>0</v>
      </c>
      <c r="CU39" s="167">
        <v>0</v>
      </c>
      <c r="CV39" s="167">
        <v>0</v>
      </c>
      <c r="CW39" s="167">
        <v>0</v>
      </c>
      <c r="CX39" s="167">
        <f>SUM(CD39:CH39)</f>
        <v>0</v>
      </c>
      <c r="CY39" s="167">
        <f>SUM(CD39:CM39)</f>
        <v>0</v>
      </c>
    </row>
    <row r="40" spans="1:103" ht="12.75" customHeight="1" x14ac:dyDescent="0.2">
      <c r="A40" s="81">
        <v>3516</v>
      </c>
      <c r="B40" s="165" t="s">
        <v>1924</v>
      </c>
      <c r="C40" s="165" t="s">
        <v>1174</v>
      </c>
      <c r="D40" s="165" t="s">
        <v>506</v>
      </c>
      <c r="E40" s="165" t="s">
        <v>2670</v>
      </c>
      <c r="F40" s="165" t="s">
        <v>863</v>
      </c>
      <c r="G40" s="81">
        <v>528672</v>
      </c>
      <c r="H40" s="81">
        <v>177315</v>
      </c>
      <c r="I40" s="165" t="s">
        <v>240</v>
      </c>
      <c r="J40" s="349">
        <v>41828</v>
      </c>
      <c r="K40" s="349">
        <v>43190</v>
      </c>
      <c r="L40" s="166">
        <v>0</v>
      </c>
      <c r="M40" s="166">
        <v>110</v>
      </c>
      <c r="N40" s="166">
        <v>110</v>
      </c>
      <c r="O40" s="166">
        <v>453</v>
      </c>
      <c r="P40" s="166">
        <v>453</v>
      </c>
      <c r="Q40" s="81" t="s">
        <v>155</v>
      </c>
      <c r="R40" s="165" t="s">
        <v>1175</v>
      </c>
      <c r="S40" s="81" t="s">
        <v>509</v>
      </c>
      <c r="T40" s="349">
        <v>42362</v>
      </c>
      <c r="U40" s="349">
        <v>42541</v>
      </c>
      <c r="W40" s="81" t="s">
        <v>114</v>
      </c>
      <c r="Y40" s="81" t="s">
        <v>115</v>
      </c>
      <c r="Z40" s="81" t="s">
        <v>116</v>
      </c>
      <c r="AA40" s="81" t="s">
        <v>116</v>
      </c>
      <c r="AB40" s="81" t="s">
        <v>117</v>
      </c>
      <c r="AC40" s="166">
        <v>0.26699998974800099</v>
      </c>
      <c r="AD40" s="349">
        <v>41828</v>
      </c>
      <c r="AF40" s="349">
        <v>43190</v>
      </c>
      <c r="AG40" s="81" t="s">
        <v>238</v>
      </c>
      <c r="AH40" s="81" t="s">
        <v>118</v>
      </c>
      <c r="AI40" s="81" t="s">
        <v>2671</v>
      </c>
      <c r="AK40" s="166">
        <v>0</v>
      </c>
      <c r="AM40" s="166">
        <v>0</v>
      </c>
      <c r="AO40" s="166">
        <v>0</v>
      </c>
      <c r="AP40" s="166">
        <v>22</v>
      </c>
      <c r="AQ40" s="166">
        <v>54</v>
      </c>
      <c r="AR40" s="166">
        <v>34</v>
      </c>
      <c r="AS40" s="166">
        <v>0</v>
      </c>
      <c r="AT40" s="166">
        <v>0</v>
      </c>
      <c r="AU40" s="166">
        <v>0</v>
      </c>
      <c r="AV40" s="166">
        <v>0</v>
      </c>
      <c r="AW40" s="166">
        <v>22</v>
      </c>
      <c r="AX40" s="166">
        <v>54</v>
      </c>
      <c r="AY40" s="166">
        <v>34</v>
      </c>
      <c r="AZ40" s="166">
        <v>0</v>
      </c>
      <c r="BA40" s="166">
        <v>0</v>
      </c>
      <c r="BB40" s="166">
        <v>0</v>
      </c>
      <c r="BC40" s="166">
        <v>0</v>
      </c>
      <c r="BD40" s="166">
        <v>0</v>
      </c>
      <c r="BE40" s="166">
        <v>0</v>
      </c>
      <c r="BF40" s="166">
        <v>0</v>
      </c>
      <c r="BG40" s="166">
        <v>0</v>
      </c>
      <c r="BH40" s="166">
        <v>0</v>
      </c>
      <c r="BI40" s="166">
        <v>0</v>
      </c>
      <c r="BJ40" s="166">
        <v>0</v>
      </c>
      <c r="BK40" s="166">
        <v>0</v>
      </c>
      <c r="BL40" s="166">
        <v>0</v>
      </c>
      <c r="BM40" s="166">
        <v>0</v>
      </c>
      <c r="BN40" s="166">
        <v>0</v>
      </c>
      <c r="BO40" s="166">
        <v>0</v>
      </c>
      <c r="BP40" s="166">
        <v>0</v>
      </c>
      <c r="BQ40" s="81" t="s">
        <v>1759</v>
      </c>
      <c r="BS40" s="81" t="s">
        <v>155</v>
      </c>
      <c r="BZ40" s="81" t="s">
        <v>155</v>
      </c>
      <c r="CA40" s="81">
        <v>1</v>
      </c>
      <c r="CC40" s="167">
        <f>N40</f>
        <v>110</v>
      </c>
      <c r="CD40" s="167">
        <v>0</v>
      </c>
      <c r="CE40" s="167">
        <v>0</v>
      </c>
      <c r="CF40" s="167">
        <v>0</v>
      </c>
      <c r="CG40" s="167">
        <v>0</v>
      </c>
      <c r="CH40" s="167">
        <v>0</v>
      </c>
      <c r="CI40" s="167">
        <v>0</v>
      </c>
      <c r="CJ40" s="167">
        <v>0</v>
      </c>
      <c r="CK40" s="167">
        <v>0</v>
      </c>
      <c r="CL40" s="167">
        <v>0</v>
      </c>
      <c r="CM40" s="167">
        <v>0</v>
      </c>
      <c r="CN40" s="167">
        <v>0</v>
      </c>
      <c r="CO40" s="167">
        <v>0</v>
      </c>
      <c r="CP40" s="167">
        <v>0</v>
      </c>
      <c r="CQ40" s="167">
        <v>0</v>
      </c>
      <c r="CR40" s="167">
        <v>0</v>
      </c>
      <c r="CS40" s="167">
        <v>0</v>
      </c>
      <c r="CT40" s="167">
        <v>0</v>
      </c>
      <c r="CU40" s="167">
        <v>0</v>
      </c>
      <c r="CV40" s="167">
        <v>0</v>
      </c>
      <c r="CW40" s="167">
        <v>0</v>
      </c>
      <c r="CX40" s="167">
        <f>SUM(CD40:CH40)</f>
        <v>0</v>
      </c>
      <c r="CY40" s="167">
        <f>SUM(CD40:CM40)</f>
        <v>0</v>
      </c>
    </row>
    <row r="41" spans="1:103" ht="12.75" customHeight="1" x14ac:dyDescent="0.2">
      <c r="A41" s="81">
        <v>3516</v>
      </c>
      <c r="B41" s="165" t="s">
        <v>1924</v>
      </c>
      <c r="C41" s="165" t="s">
        <v>1174</v>
      </c>
      <c r="D41" s="165" t="s">
        <v>506</v>
      </c>
      <c r="E41" s="165" t="s">
        <v>2670</v>
      </c>
      <c r="F41" s="165" t="s">
        <v>863</v>
      </c>
      <c r="G41" s="81">
        <v>528672</v>
      </c>
      <c r="H41" s="81">
        <v>177315</v>
      </c>
      <c r="I41" s="165" t="s">
        <v>240</v>
      </c>
      <c r="J41" s="349">
        <v>41828</v>
      </c>
      <c r="K41" s="349">
        <v>43190</v>
      </c>
      <c r="L41" s="166">
        <v>0</v>
      </c>
      <c r="M41" s="166">
        <v>54</v>
      </c>
      <c r="N41" s="166">
        <v>54</v>
      </c>
      <c r="O41" s="166">
        <v>453</v>
      </c>
      <c r="P41" s="166">
        <v>453</v>
      </c>
      <c r="Q41" s="81" t="s">
        <v>155</v>
      </c>
      <c r="R41" s="165" t="s">
        <v>1175</v>
      </c>
      <c r="S41" s="81" t="s">
        <v>509</v>
      </c>
      <c r="T41" s="349">
        <v>42362</v>
      </c>
      <c r="U41" s="349">
        <v>42541</v>
      </c>
      <c r="W41" s="81" t="s">
        <v>114</v>
      </c>
      <c r="Y41" s="81" t="s">
        <v>115</v>
      </c>
      <c r="Z41" s="81" t="s">
        <v>116</v>
      </c>
      <c r="AA41" s="81" t="s">
        <v>116</v>
      </c>
      <c r="AB41" s="81" t="s">
        <v>117</v>
      </c>
      <c r="AC41" s="166">
        <v>0.13099999725818601</v>
      </c>
      <c r="AD41" s="349">
        <v>41828</v>
      </c>
      <c r="AF41" s="349">
        <v>43190</v>
      </c>
      <c r="AG41" s="81" t="s">
        <v>74</v>
      </c>
      <c r="AH41" s="81" t="s">
        <v>990</v>
      </c>
      <c r="AI41" s="81" t="s">
        <v>2671</v>
      </c>
      <c r="AK41" s="166">
        <v>0</v>
      </c>
      <c r="AM41" s="166">
        <v>0</v>
      </c>
      <c r="AO41" s="166">
        <v>0</v>
      </c>
      <c r="AP41" s="166">
        <v>19</v>
      </c>
      <c r="AQ41" s="166">
        <v>35</v>
      </c>
      <c r="AR41" s="166">
        <v>0</v>
      </c>
      <c r="AS41" s="166">
        <v>0</v>
      </c>
      <c r="AT41" s="166">
        <v>0</v>
      </c>
      <c r="AU41" s="166">
        <v>0</v>
      </c>
      <c r="AV41" s="166">
        <v>0</v>
      </c>
      <c r="AW41" s="166">
        <v>19</v>
      </c>
      <c r="AX41" s="166">
        <v>35</v>
      </c>
      <c r="AY41" s="166">
        <v>0</v>
      </c>
      <c r="AZ41" s="166">
        <v>0</v>
      </c>
      <c r="BA41" s="166">
        <v>0</v>
      </c>
      <c r="BB41" s="166">
        <v>0</v>
      </c>
      <c r="BC41" s="166">
        <v>0</v>
      </c>
      <c r="BD41" s="166">
        <v>0</v>
      </c>
      <c r="BE41" s="166">
        <v>0</v>
      </c>
      <c r="BF41" s="166">
        <v>0</v>
      </c>
      <c r="BG41" s="166">
        <v>0</v>
      </c>
      <c r="BH41" s="166">
        <v>0</v>
      </c>
      <c r="BI41" s="166">
        <v>0</v>
      </c>
      <c r="BJ41" s="166">
        <v>0</v>
      </c>
      <c r="BK41" s="166">
        <v>0</v>
      </c>
      <c r="BL41" s="166">
        <v>0</v>
      </c>
      <c r="BM41" s="166">
        <v>0</v>
      </c>
      <c r="BN41" s="166">
        <v>0</v>
      </c>
      <c r="BO41" s="166">
        <v>0</v>
      </c>
      <c r="BP41" s="166">
        <v>0</v>
      </c>
      <c r="BQ41" s="81" t="s">
        <v>1759</v>
      </c>
      <c r="BS41" s="81" t="s">
        <v>155</v>
      </c>
      <c r="BZ41" s="81" t="s">
        <v>155</v>
      </c>
      <c r="CA41" s="81">
        <v>1</v>
      </c>
      <c r="CC41" s="167">
        <f>N41</f>
        <v>54</v>
      </c>
      <c r="CD41" s="167">
        <v>0</v>
      </c>
      <c r="CE41" s="167">
        <v>0</v>
      </c>
      <c r="CF41" s="167">
        <v>0</v>
      </c>
      <c r="CG41" s="167">
        <v>0</v>
      </c>
      <c r="CH41" s="167">
        <v>0</v>
      </c>
      <c r="CI41" s="167">
        <v>0</v>
      </c>
      <c r="CJ41" s="167">
        <v>0</v>
      </c>
      <c r="CK41" s="167">
        <v>0</v>
      </c>
      <c r="CL41" s="167">
        <v>0</v>
      </c>
      <c r="CM41" s="167">
        <v>0</v>
      </c>
      <c r="CN41" s="167">
        <v>0</v>
      </c>
      <c r="CO41" s="167">
        <v>0</v>
      </c>
      <c r="CP41" s="167">
        <v>0</v>
      </c>
      <c r="CQ41" s="167">
        <v>0</v>
      </c>
      <c r="CR41" s="167">
        <v>0</v>
      </c>
      <c r="CS41" s="167">
        <v>0</v>
      </c>
      <c r="CT41" s="167">
        <v>0</v>
      </c>
      <c r="CU41" s="167">
        <v>0</v>
      </c>
      <c r="CV41" s="167">
        <v>0</v>
      </c>
      <c r="CW41" s="167">
        <v>0</v>
      </c>
      <c r="CX41" s="167">
        <f>SUM(CD41:CH41)</f>
        <v>0</v>
      </c>
      <c r="CY41" s="167">
        <f>SUM(CD41:CM41)</f>
        <v>0</v>
      </c>
    </row>
    <row r="42" spans="1:103" ht="12.75" customHeight="1" x14ac:dyDescent="0.2">
      <c r="A42" s="81">
        <v>3516</v>
      </c>
      <c r="B42" s="165" t="s">
        <v>1924</v>
      </c>
      <c r="C42" s="165" t="s">
        <v>1174</v>
      </c>
      <c r="D42" s="165" t="s">
        <v>506</v>
      </c>
      <c r="E42" s="165" t="s">
        <v>2670</v>
      </c>
      <c r="F42" s="165" t="s">
        <v>863</v>
      </c>
      <c r="G42" s="81">
        <v>528672</v>
      </c>
      <c r="H42" s="81">
        <v>177315</v>
      </c>
      <c r="I42" s="165" t="s">
        <v>240</v>
      </c>
      <c r="J42" s="349">
        <v>41828</v>
      </c>
      <c r="K42" s="349">
        <v>43190</v>
      </c>
      <c r="L42" s="166">
        <v>0</v>
      </c>
      <c r="M42" s="166">
        <v>14</v>
      </c>
      <c r="N42" s="166">
        <v>14</v>
      </c>
      <c r="O42" s="166">
        <v>453</v>
      </c>
      <c r="P42" s="166">
        <v>453</v>
      </c>
      <c r="Q42" s="81" t="s">
        <v>155</v>
      </c>
      <c r="R42" s="165" t="s">
        <v>1175</v>
      </c>
      <c r="S42" s="81" t="s">
        <v>509</v>
      </c>
      <c r="T42" s="349">
        <v>42362</v>
      </c>
      <c r="U42" s="349">
        <v>42541</v>
      </c>
      <c r="W42" s="81" t="s">
        <v>114</v>
      </c>
      <c r="Y42" s="81" t="s">
        <v>115</v>
      </c>
      <c r="Z42" s="81" t="s">
        <v>116</v>
      </c>
      <c r="AA42" s="81" t="s">
        <v>116</v>
      </c>
      <c r="AB42" s="81" t="s">
        <v>117</v>
      </c>
      <c r="AC42" s="166">
        <v>3.4000001847744002E-2</v>
      </c>
      <c r="AD42" s="349">
        <v>41828</v>
      </c>
      <c r="AF42" s="349">
        <v>43190</v>
      </c>
      <c r="AG42" s="81" t="s">
        <v>74</v>
      </c>
      <c r="AH42" s="81" t="s">
        <v>880</v>
      </c>
      <c r="AI42" s="81" t="s">
        <v>2671</v>
      </c>
      <c r="AK42" s="166">
        <v>0</v>
      </c>
      <c r="AM42" s="166">
        <v>0</v>
      </c>
      <c r="AO42" s="166">
        <v>0</v>
      </c>
      <c r="AP42" s="166">
        <v>0</v>
      </c>
      <c r="AQ42" s="166">
        <v>0</v>
      </c>
      <c r="AR42" s="166">
        <v>14</v>
      </c>
      <c r="AS42" s="166">
        <v>0</v>
      </c>
      <c r="AT42" s="166">
        <v>0</v>
      </c>
      <c r="AU42" s="166">
        <v>0</v>
      </c>
      <c r="AV42" s="166">
        <v>0</v>
      </c>
      <c r="AW42" s="166">
        <v>0</v>
      </c>
      <c r="AX42" s="166">
        <v>0</v>
      </c>
      <c r="AY42" s="166">
        <v>14</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81" t="s">
        <v>1759</v>
      </c>
      <c r="BS42" s="81" t="s">
        <v>155</v>
      </c>
      <c r="BZ42" s="81" t="s">
        <v>155</v>
      </c>
      <c r="CA42" s="81">
        <v>1</v>
      </c>
      <c r="CC42" s="167">
        <f>N42</f>
        <v>14</v>
      </c>
      <c r="CD42" s="167">
        <v>0</v>
      </c>
      <c r="CE42" s="167">
        <v>0</v>
      </c>
      <c r="CF42" s="167">
        <v>0</v>
      </c>
      <c r="CG42" s="167">
        <v>0</v>
      </c>
      <c r="CH42" s="167">
        <v>0</v>
      </c>
      <c r="CI42" s="167">
        <v>0</v>
      </c>
      <c r="CJ42" s="167">
        <v>0</v>
      </c>
      <c r="CK42" s="167">
        <v>0</v>
      </c>
      <c r="CL42" s="167">
        <v>0</v>
      </c>
      <c r="CM42" s="167">
        <v>0</v>
      </c>
      <c r="CN42" s="167">
        <v>0</v>
      </c>
      <c r="CO42" s="167">
        <v>0</v>
      </c>
      <c r="CP42" s="167">
        <v>0</v>
      </c>
      <c r="CQ42" s="167">
        <v>0</v>
      </c>
      <c r="CR42" s="167">
        <v>0</v>
      </c>
      <c r="CS42" s="167">
        <v>0</v>
      </c>
      <c r="CT42" s="167">
        <v>0</v>
      </c>
      <c r="CU42" s="167">
        <v>0</v>
      </c>
      <c r="CV42" s="167">
        <v>0</v>
      </c>
      <c r="CW42" s="167">
        <v>0</v>
      </c>
      <c r="CX42" s="167">
        <f>SUM(CD42:CH42)</f>
        <v>0</v>
      </c>
      <c r="CY42" s="167">
        <f>SUM(CD42:CM42)</f>
        <v>0</v>
      </c>
    </row>
    <row r="43" spans="1:103" ht="12.75" customHeight="1" x14ac:dyDescent="0.2">
      <c r="A43" s="81">
        <v>3518</v>
      </c>
      <c r="B43" s="165" t="s">
        <v>1924</v>
      </c>
      <c r="C43" s="165" t="s">
        <v>68</v>
      </c>
      <c r="D43" s="165" t="s">
        <v>507</v>
      </c>
      <c r="E43" s="165" t="s">
        <v>2692</v>
      </c>
      <c r="F43" s="165" t="s">
        <v>851</v>
      </c>
      <c r="G43" s="81">
        <v>525666</v>
      </c>
      <c r="H43" s="81">
        <v>174804</v>
      </c>
      <c r="I43" s="165" t="s">
        <v>251</v>
      </c>
      <c r="J43" s="349">
        <v>42095</v>
      </c>
      <c r="L43" s="166">
        <v>0</v>
      </c>
      <c r="M43" s="166">
        <v>55</v>
      </c>
      <c r="N43" s="166">
        <v>55</v>
      </c>
      <c r="O43" s="166">
        <v>663</v>
      </c>
      <c r="P43" s="166">
        <v>662</v>
      </c>
      <c r="Q43" s="81" t="s">
        <v>155</v>
      </c>
      <c r="R43" s="165" t="s">
        <v>741</v>
      </c>
      <c r="S43" s="81" t="s">
        <v>24</v>
      </c>
      <c r="T43" s="349">
        <v>41234</v>
      </c>
      <c r="U43" s="349">
        <v>41614</v>
      </c>
      <c r="W43" s="81" t="s">
        <v>114</v>
      </c>
      <c r="Y43" s="81" t="s">
        <v>115</v>
      </c>
      <c r="Z43" s="81" t="s">
        <v>116</v>
      </c>
      <c r="AA43" s="81" t="s">
        <v>116</v>
      </c>
      <c r="AB43" s="81" t="s">
        <v>117</v>
      </c>
      <c r="AC43" s="166">
        <v>0</v>
      </c>
      <c r="AD43" s="349">
        <v>42095</v>
      </c>
      <c r="AF43" s="349">
        <v>43152</v>
      </c>
      <c r="AG43" s="81" t="s">
        <v>238</v>
      </c>
      <c r="AH43" s="81" t="s">
        <v>118</v>
      </c>
      <c r="AI43" s="81" t="s">
        <v>2693</v>
      </c>
      <c r="AK43" s="166">
        <v>0</v>
      </c>
      <c r="AM43" s="166">
        <v>7</v>
      </c>
      <c r="AO43" s="166">
        <v>2</v>
      </c>
      <c r="AP43" s="166">
        <v>20</v>
      </c>
      <c r="AQ43" s="166">
        <v>11</v>
      </c>
      <c r="AR43" s="166">
        <v>22</v>
      </c>
      <c r="AS43" s="166">
        <v>0</v>
      </c>
      <c r="AT43" s="166">
        <v>0</v>
      </c>
      <c r="AU43" s="166">
        <v>0</v>
      </c>
      <c r="AV43" s="166">
        <v>2</v>
      </c>
      <c r="AW43" s="166">
        <v>20</v>
      </c>
      <c r="AX43" s="166">
        <v>11</v>
      </c>
      <c r="AY43" s="166">
        <v>22</v>
      </c>
      <c r="AZ43" s="166">
        <v>0</v>
      </c>
      <c r="BA43" s="166">
        <v>0</v>
      </c>
      <c r="BB43" s="166">
        <v>0</v>
      </c>
      <c r="BC43" s="166">
        <v>0</v>
      </c>
      <c r="BD43" s="166">
        <v>0</v>
      </c>
      <c r="BE43" s="166">
        <v>0</v>
      </c>
      <c r="BF43" s="166">
        <v>0</v>
      </c>
      <c r="BG43" s="166">
        <v>0</v>
      </c>
      <c r="BH43" s="166">
        <v>0</v>
      </c>
      <c r="BI43" s="166">
        <v>0</v>
      </c>
      <c r="BJ43" s="166">
        <v>0</v>
      </c>
      <c r="BK43" s="166">
        <v>0</v>
      </c>
      <c r="BL43" s="166">
        <v>0</v>
      </c>
      <c r="BM43" s="166">
        <v>0</v>
      </c>
      <c r="BN43" s="166">
        <v>0</v>
      </c>
      <c r="BO43" s="166">
        <v>0</v>
      </c>
      <c r="BP43" s="166">
        <v>0</v>
      </c>
      <c r="BQ43" s="81" t="s">
        <v>1758</v>
      </c>
      <c r="BR43" s="81" t="s">
        <v>202</v>
      </c>
      <c r="BT43" s="81" t="s">
        <v>155</v>
      </c>
      <c r="BZ43" s="81" t="s">
        <v>155</v>
      </c>
      <c r="CA43" s="81">
        <v>1</v>
      </c>
      <c r="CC43" s="167">
        <f>N43</f>
        <v>55</v>
      </c>
      <c r="CD43" s="167">
        <v>0</v>
      </c>
      <c r="CE43" s="167">
        <v>0</v>
      </c>
      <c r="CF43" s="167">
        <v>0</v>
      </c>
      <c r="CG43" s="167">
        <v>0</v>
      </c>
      <c r="CH43" s="167">
        <v>0</v>
      </c>
      <c r="CI43" s="167">
        <v>0</v>
      </c>
      <c r="CJ43" s="167">
        <v>0</v>
      </c>
      <c r="CK43" s="167">
        <v>0</v>
      </c>
      <c r="CL43" s="167">
        <v>0</v>
      </c>
      <c r="CM43" s="167">
        <v>0</v>
      </c>
      <c r="CN43" s="167">
        <v>0</v>
      </c>
      <c r="CO43" s="167">
        <v>0</v>
      </c>
      <c r="CP43" s="167">
        <v>0</v>
      </c>
      <c r="CQ43" s="167">
        <v>0</v>
      </c>
      <c r="CR43" s="167">
        <v>0</v>
      </c>
      <c r="CS43" s="167">
        <v>0</v>
      </c>
      <c r="CT43" s="167">
        <v>0</v>
      </c>
      <c r="CU43" s="167">
        <v>0</v>
      </c>
      <c r="CV43" s="167">
        <v>0</v>
      </c>
      <c r="CW43" s="167">
        <v>0</v>
      </c>
      <c r="CX43" s="167">
        <f>SUM(CD43:CH43)</f>
        <v>0</v>
      </c>
      <c r="CY43" s="167">
        <f>SUM(CD43:CM43)</f>
        <v>0</v>
      </c>
    </row>
    <row r="44" spans="1:103" ht="12.75" customHeight="1" x14ac:dyDescent="0.2">
      <c r="A44" s="81">
        <v>3518</v>
      </c>
      <c r="B44" s="165" t="s">
        <v>1924</v>
      </c>
      <c r="C44" s="165" t="s">
        <v>68</v>
      </c>
      <c r="D44" s="165" t="s">
        <v>507</v>
      </c>
      <c r="E44" s="165" t="s">
        <v>2692</v>
      </c>
      <c r="F44" s="165" t="s">
        <v>852</v>
      </c>
      <c r="G44" s="81">
        <v>525666</v>
      </c>
      <c r="H44" s="81">
        <v>174804</v>
      </c>
      <c r="I44" s="165" t="s">
        <v>251</v>
      </c>
      <c r="J44" s="349">
        <v>42095</v>
      </c>
      <c r="L44" s="166">
        <v>0</v>
      </c>
      <c r="M44" s="166">
        <v>87</v>
      </c>
      <c r="N44" s="166">
        <v>87</v>
      </c>
      <c r="O44" s="166">
        <v>663</v>
      </c>
      <c r="P44" s="166">
        <v>662</v>
      </c>
      <c r="Q44" s="81" t="s">
        <v>155</v>
      </c>
      <c r="R44" s="165" t="s">
        <v>741</v>
      </c>
      <c r="S44" s="81" t="s">
        <v>24</v>
      </c>
      <c r="T44" s="349">
        <v>41234</v>
      </c>
      <c r="U44" s="349">
        <v>41614</v>
      </c>
      <c r="W44" s="81" t="s">
        <v>114</v>
      </c>
      <c r="Y44" s="81" t="s">
        <v>115</v>
      </c>
      <c r="Z44" s="81" t="s">
        <v>116</v>
      </c>
      <c r="AA44" s="81" t="s">
        <v>116</v>
      </c>
      <c r="AB44" s="81" t="s">
        <v>117</v>
      </c>
      <c r="AC44" s="166">
        <v>0</v>
      </c>
      <c r="AD44" s="349">
        <v>42095</v>
      </c>
      <c r="AF44" s="349">
        <v>43152</v>
      </c>
      <c r="AG44" s="81" t="s">
        <v>238</v>
      </c>
      <c r="AH44" s="81" t="s">
        <v>118</v>
      </c>
      <c r="AI44" s="81" t="s">
        <v>2693</v>
      </c>
      <c r="AM44" s="166">
        <v>8</v>
      </c>
      <c r="AO44" s="166">
        <v>7</v>
      </c>
      <c r="AP44" s="166">
        <v>33</v>
      </c>
      <c r="AQ44" s="166">
        <v>22</v>
      </c>
      <c r="AR44" s="166">
        <v>24</v>
      </c>
      <c r="AS44" s="166">
        <v>1</v>
      </c>
      <c r="AT44" s="166">
        <v>0</v>
      </c>
      <c r="AU44" s="166">
        <v>0</v>
      </c>
      <c r="AV44" s="166">
        <v>7</v>
      </c>
      <c r="AW44" s="166">
        <v>33</v>
      </c>
      <c r="AX44" s="166">
        <v>22</v>
      </c>
      <c r="AY44" s="166">
        <v>24</v>
      </c>
      <c r="AZ44" s="166">
        <v>1</v>
      </c>
      <c r="BA44" s="166">
        <v>0</v>
      </c>
      <c r="BB44" s="166">
        <v>0</v>
      </c>
      <c r="BC44" s="166">
        <v>0</v>
      </c>
      <c r="BD44" s="166">
        <v>0</v>
      </c>
      <c r="BE44" s="166">
        <v>0</v>
      </c>
      <c r="BF44" s="166">
        <v>0</v>
      </c>
      <c r="BG44" s="166">
        <v>0</v>
      </c>
      <c r="BH44" s="166">
        <v>0</v>
      </c>
      <c r="BI44" s="166">
        <v>0</v>
      </c>
      <c r="BJ44" s="166">
        <v>0</v>
      </c>
      <c r="BK44" s="166">
        <v>0</v>
      </c>
      <c r="BL44" s="166">
        <v>0</v>
      </c>
      <c r="BM44" s="166">
        <v>0</v>
      </c>
      <c r="BN44" s="166">
        <v>0</v>
      </c>
      <c r="BO44" s="166">
        <v>0</v>
      </c>
      <c r="BP44" s="166">
        <v>0</v>
      </c>
      <c r="BQ44" s="81" t="s">
        <v>1758</v>
      </c>
      <c r="BR44" s="81" t="s">
        <v>202</v>
      </c>
      <c r="BT44" s="81" t="s">
        <v>155</v>
      </c>
      <c r="BZ44" s="81" t="s">
        <v>155</v>
      </c>
      <c r="CA44" s="81">
        <v>1</v>
      </c>
      <c r="CC44" s="167">
        <f>N44</f>
        <v>87</v>
      </c>
      <c r="CD44" s="167">
        <v>0</v>
      </c>
      <c r="CE44" s="167">
        <v>0</v>
      </c>
      <c r="CF44" s="167">
        <v>0</v>
      </c>
      <c r="CG44" s="167">
        <v>0</v>
      </c>
      <c r="CH44" s="167">
        <v>0</v>
      </c>
      <c r="CI44" s="167">
        <v>0</v>
      </c>
      <c r="CJ44" s="167">
        <v>0</v>
      </c>
      <c r="CK44" s="167">
        <v>0</v>
      </c>
      <c r="CL44" s="167">
        <v>0</v>
      </c>
      <c r="CM44" s="167">
        <v>0</v>
      </c>
      <c r="CN44" s="167">
        <v>0</v>
      </c>
      <c r="CO44" s="167">
        <v>0</v>
      </c>
      <c r="CP44" s="167">
        <v>0</v>
      </c>
      <c r="CQ44" s="167">
        <v>0</v>
      </c>
      <c r="CR44" s="167">
        <v>0</v>
      </c>
      <c r="CS44" s="167">
        <v>0</v>
      </c>
      <c r="CT44" s="167">
        <v>0</v>
      </c>
      <c r="CU44" s="167">
        <v>0</v>
      </c>
      <c r="CV44" s="167">
        <v>0</v>
      </c>
      <c r="CW44" s="167">
        <v>0</v>
      </c>
      <c r="CX44" s="167">
        <f>SUM(CD44:CH44)</f>
        <v>0</v>
      </c>
      <c r="CY44" s="167">
        <f>SUM(CD44:CM44)</f>
        <v>0</v>
      </c>
    </row>
    <row r="45" spans="1:103" ht="12.75" customHeight="1" x14ac:dyDescent="0.2">
      <c r="A45" s="81">
        <v>3518</v>
      </c>
      <c r="B45" s="165" t="s">
        <v>1924</v>
      </c>
      <c r="C45" s="165" t="s">
        <v>68</v>
      </c>
      <c r="D45" s="165" t="s">
        <v>507</v>
      </c>
      <c r="E45" s="165" t="s">
        <v>2692</v>
      </c>
      <c r="F45" s="165" t="s">
        <v>859</v>
      </c>
      <c r="G45" s="81">
        <v>525666</v>
      </c>
      <c r="H45" s="81">
        <v>174804</v>
      </c>
      <c r="I45" s="165" t="s">
        <v>251</v>
      </c>
      <c r="J45" s="349">
        <v>42095</v>
      </c>
      <c r="L45" s="166">
        <v>0</v>
      </c>
      <c r="M45" s="166">
        <v>63</v>
      </c>
      <c r="N45" s="166">
        <v>63</v>
      </c>
      <c r="O45" s="166">
        <v>663</v>
      </c>
      <c r="P45" s="166">
        <v>662</v>
      </c>
      <c r="Q45" s="81" t="s">
        <v>155</v>
      </c>
      <c r="R45" s="165" t="s">
        <v>741</v>
      </c>
      <c r="S45" s="81" t="s">
        <v>24</v>
      </c>
      <c r="T45" s="349">
        <v>41234</v>
      </c>
      <c r="U45" s="349">
        <v>41614</v>
      </c>
      <c r="W45" s="81" t="s">
        <v>114</v>
      </c>
      <c r="Y45" s="81" t="s">
        <v>115</v>
      </c>
      <c r="Z45" s="81" t="s">
        <v>116</v>
      </c>
      <c r="AA45" s="81" t="s">
        <v>116</v>
      </c>
      <c r="AB45" s="81" t="s">
        <v>117</v>
      </c>
      <c r="AC45" s="166">
        <v>0</v>
      </c>
      <c r="AD45" s="349">
        <v>42095</v>
      </c>
      <c r="AF45" s="349">
        <v>43152</v>
      </c>
      <c r="AG45" s="81" t="s">
        <v>238</v>
      </c>
      <c r="AH45" s="81" t="s">
        <v>118</v>
      </c>
      <c r="AI45" s="81" t="s">
        <v>2693</v>
      </c>
      <c r="AK45" s="166">
        <v>0</v>
      </c>
      <c r="AM45" s="166">
        <v>14</v>
      </c>
      <c r="AO45" s="166">
        <v>1</v>
      </c>
      <c r="AP45" s="166">
        <v>29</v>
      </c>
      <c r="AQ45" s="166">
        <v>21</v>
      </c>
      <c r="AR45" s="166">
        <v>11</v>
      </c>
      <c r="AS45" s="166">
        <v>1</v>
      </c>
      <c r="AT45" s="166">
        <v>0</v>
      </c>
      <c r="AU45" s="166">
        <v>0</v>
      </c>
      <c r="AV45" s="166">
        <v>1</v>
      </c>
      <c r="AW45" s="166">
        <v>29</v>
      </c>
      <c r="AX45" s="166">
        <v>21</v>
      </c>
      <c r="AY45" s="166">
        <v>11</v>
      </c>
      <c r="AZ45" s="166">
        <v>1</v>
      </c>
      <c r="BA45" s="166">
        <v>0</v>
      </c>
      <c r="BB45" s="166">
        <v>0</v>
      </c>
      <c r="BC45" s="166">
        <v>0</v>
      </c>
      <c r="BD45" s="166">
        <v>0</v>
      </c>
      <c r="BE45" s="166">
        <v>0</v>
      </c>
      <c r="BF45" s="166">
        <v>0</v>
      </c>
      <c r="BG45" s="166">
        <v>0</v>
      </c>
      <c r="BH45" s="166">
        <v>0</v>
      </c>
      <c r="BI45" s="166">
        <v>0</v>
      </c>
      <c r="BJ45" s="166">
        <v>0</v>
      </c>
      <c r="BK45" s="166">
        <v>0</v>
      </c>
      <c r="BL45" s="166">
        <v>0</v>
      </c>
      <c r="BM45" s="166">
        <v>0</v>
      </c>
      <c r="BN45" s="166">
        <v>0</v>
      </c>
      <c r="BO45" s="166">
        <v>0</v>
      </c>
      <c r="BP45" s="166">
        <v>0</v>
      </c>
      <c r="BQ45" s="81" t="s">
        <v>1758</v>
      </c>
      <c r="BR45" s="81" t="s">
        <v>202</v>
      </c>
      <c r="BT45" s="81" t="s">
        <v>155</v>
      </c>
      <c r="BZ45" s="81" t="s">
        <v>155</v>
      </c>
      <c r="CA45" s="81">
        <v>1</v>
      </c>
      <c r="CC45" s="167">
        <f>N45</f>
        <v>63</v>
      </c>
      <c r="CD45" s="167">
        <v>0</v>
      </c>
      <c r="CE45" s="167">
        <v>0</v>
      </c>
      <c r="CF45" s="167">
        <v>0</v>
      </c>
      <c r="CG45" s="167">
        <v>0</v>
      </c>
      <c r="CH45" s="167">
        <v>0</v>
      </c>
      <c r="CI45" s="167">
        <v>0</v>
      </c>
      <c r="CJ45" s="167">
        <v>0</v>
      </c>
      <c r="CK45" s="167">
        <v>0</v>
      </c>
      <c r="CL45" s="167">
        <v>0</v>
      </c>
      <c r="CM45" s="167">
        <v>0</v>
      </c>
      <c r="CN45" s="167">
        <v>0</v>
      </c>
      <c r="CO45" s="167">
        <v>0</v>
      </c>
      <c r="CP45" s="167">
        <v>0</v>
      </c>
      <c r="CQ45" s="167">
        <v>0</v>
      </c>
      <c r="CR45" s="167">
        <v>0</v>
      </c>
      <c r="CS45" s="167">
        <v>0</v>
      </c>
      <c r="CT45" s="167">
        <v>0</v>
      </c>
      <c r="CU45" s="167">
        <v>0</v>
      </c>
      <c r="CV45" s="167">
        <v>0</v>
      </c>
      <c r="CW45" s="167">
        <v>0</v>
      </c>
      <c r="CX45" s="167">
        <f>SUM(CD45:CH45)</f>
        <v>0</v>
      </c>
      <c r="CY45" s="167">
        <f>SUM(CD45:CM45)</f>
        <v>0</v>
      </c>
    </row>
    <row r="46" spans="1:103" ht="12.75" customHeight="1" x14ac:dyDescent="0.2">
      <c r="A46" s="81">
        <v>3518</v>
      </c>
      <c r="B46" s="165" t="s">
        <v>1924</v>
      </c>
      <c r="C46" s="165" t="s">
        <v>68</v>
      </c>
      <c r="D46" s="165" t="s">
        <v>507</v>
      </c>
      <c r="E46" s="165" t="s">
        <v>2692</v>
      </c>
      <c r="F46" s="165" t="s">
        <v>862</v>
      </c>
      <c r="G46" s="81">
        <v>525666</v>
      </c>
      <c r="H46" s="81">
        <v>174804</v>
      </c>
      <c r="I46" s="165" t="s">
        <v>251</v>
      </c>
      <c r="J46" s="349">
        <v>42095</v>
      </c>
      <c r="L46" s="166">
        <v>0</v>
      </c>
      <c r="M46" s="166">
        <v>12</v>
      </c>
      <c r="N46" s="166">
        <v>12</v>
      </c>
      <c r="O46" s="166">
        <v>663</v>
      </c>
      <c r="P46" s="166">
        <v>662</v>
      </c>
      <c r="Q46" s="81" t="s">
        <v>155</v>
      </c>
      <c r="R46" s="165" t="s">
        <v>741</v>
      </c>
      <c r="S46" s="81" t="s">
        <v>24</v>
      </c>
      <c r="T46" s="349">
        <v>41234</v>
      </c>
      <c r="U46" s="349">
        <v>41614</v>
      </c>
      <c r="W46" s="81" t="s">
        <v>114</v>
      </c>
      <c r="Y46" s="81" t="s">
        <v>115</v>
      </c>
      <c r="Z46" s="81" t="s">
        <v>116</v>
      </c>
      <c r="AA46" s="81" t="s">
        <v>116</v>
      </c>
      <c r="AB46" s="81" t="s">
        <v>117</v>
      </c>
      <c r="AC46" s="166">
        <v>0</v>
      </c>
      <c r="AD46" s="349">
        <v>42095</v>
      </c>
      <c r="AF46" s="349">
        <v>43190</v>
      </c>
      <c r="AG46" s="81" t="s">
        <v>238</v>
      </c>
      <c r="AH46" s="81" t="s">
        <v>118</v>
      </c>
      <c r="AI46" s="81" t="s">
        <v>2693</v>
      </c>
      <c r="AK46" s="166">
        <v>0</v>
      </c>
      <c r="AM46" s="166">
        <v>0</v>
      </c>
      <c r="AO46" s="166">
        <v>0</v>
      </c>
      <c r="AP46" s="166">
        <v>6</v>
      </c>
      <c r="AQ46" s="166">
        <v>6</v>
      </c>
      <c r="AR46" s="166">
        <v>0</v>
      </c>
      <c r="AS46" s="166">
        <v>0</v>
      </c>
      <c r="AT46" s="166">
        <v>0</v>
      </c>
      <c r="AU46" s="166">
        <v>0</v>
      </c>
      <c r="AV46" s="166">
        <v>0</v>
      </c>
      <c r="AW46" s="166">
        <v>6</v>
      </c>
      <c r="AX46" s="166">
        <v>6</v>
      </c>
      <c r="AY46" s="166">
        <v>0</v>
      </c>
      <c r="AZ46" s="166">
        <v>0</v>
      </c>
      <c r="BA46" s="166">
        <v>0</v>
      </c>
      <c r="BB46" s="166">
        <v>0</v>
      </c>
      <c r="BC46" s="166">
        <v>0</v>
      </c>
      <c r="BD46" s="166">
        <v>0</v>
      </c>
      <c r="BE46" s="166">
        <v>0</v>
      </c>
      <c r="BF46" s="166">
        <v>0</v>
      </c>
      <c r="BG46" s="166">
        <v>0</v>
      </c>
      <c r="BH46" s="166">
        <v>0</v>
      </c>
      <c r="BI46" s="166">
        <v>0</v>
      </c>
      <c r="BJ46" s="166">
        <v>0</v>
      </c>
      <c r="BK46" s="166">
        <v>0</v>
      </c>
      <c r="BL46" s="166">
        <v>0</v>
      </c>
      <c r="BM46" s="166">
        <v>0</v>
      </c>
      <c r="BN46" s="166">
        <v>0</v>
      </c>
      <c r="BO46" s="166">
        <v>0</v>
      </c>
      <c r="BP46" s="166">
        <v>0</v>
      </c>
      <c r="BQ46" s="81" t="s">
        <v>1758</v>
      </c>
      <c r="BR46" s="81" t="s">
        <v>202</v>
      </c>
      <c r="BT46" s="81" t="s">
        <v>155</v>
      </c>
      <c r="BZ46" s="81" t="s">
        <v>155</v>
      </c>
      <c r="CA46" s="81">
        <v>1</v>
      </c>
      <c r="CC46" s="167">
        <f>N46</f>
        <v>12</v>
      </c>
      <c r="CD46" s="167">
        <v>0</v>
      </c>
      <c r="CE46" s="167">
        <v>0</v>
      </c>
      <c r="CF46" s="167">
        <v>0</v>
      </c>
      <c r="CG46" s="167">
        <v>0</v>
      </c>
      <c r="CH46" s="167">
        <v>0</v>
      </c>
      <c r="CI46" s="167">
        <v>0</v>
      </c>
      <c r="CJ46" s="167">
        <v>0</v>
      </c>
      <c r="CK46" s="167">
        <v>0</v>
      </c>
      <c r="CL46" s="167">
        <v>0</v>
      </c>
      <c r="CM46" s="167">
        <v>0</v>
      </c>
      <c r="CN46" s="167">
        <v>0</v>
      </c>
      <c r="CO46" s="167">
        <v>0</v>
      </c>
      <c r="CP46" s="167">
        <v>0</v>
      </c>
      <c r="CQ46" s="167">
        <v>0</v>
      </c>
      <c r="CR46" s="167">
        <v>0</v>
      </c>
      <c r="CS46" s="167">
        <v>0</v>
      </c>
      <c r="CT46" s="167">
        <v>0</v>
      </c>
      <c r="CU46" s="167">
        <v>0</v>
      </c>
      <c r="CV46" s="167">
        <v>0</v>
      </c>
      <c r="CW46" s="167">
        <v>0</v>
      </c>
      <c r="CX46" s="167">
        <f>SUM(CD46:CH46)</f>
        <v>0</v>
      </c>
      <c r="CY46" s="167">
        <f>SUM(CD46:CM46)</f>
        <v>0</v>
      </c>
    </row>
    <row r="47" spans="1:103" ht="12.75" customHeight="1" x14ac:dyDescent="0.2">
      <c r="A47" s="81">
        <v>3577</v>
      </c>
      <c r="B47" s="165" t="s">
        <v>1924</v>
      </c>
      <c r="C47" s="165" t="s">
        <v>332</v>
      </c>
      <c r="E47" s="165" t="s">
        <v>3099</v>
      </c>
      <c r="G47" s="81">
        <v>529035</v>
      </c>
      <c r="H47" s="81">
        <v>176328</v>
      </c>
      <c r="I47" s="165" t="s">
        <v>240</v>
      </c>
      <c r="J47" s="349">
        <v>40945</v>
      </c>
      <c r="K47" s="349">
        <v>43087</v>
      </c>
      <c r="L47" s="166">
        <v>2</v>
      </c>
      <c r="M47" s="166">
        <v>9</v>
      </c>
      <c r="N47" s="166">
        <v>7</v>
      </c>
      <c r="O47" s="166">
        <v>9</v>
      </c>
      <c r="P47" s="166">
        <v>7</v>
      </c>
      <c r="R47" s="165" t="s">
        <v>333</v>
      </c>
      <c r="S47" s="81" t="s">
        <v>113</v>
      </c>
      <c r="T47" s="349">
        <v>40382</v>
      </c>
      <c r="U47" s="349">
        <v>40464</v>
      </c>
      <c r="W47" s="81" t="s">
        <v>114</v>
      </c>
      <c r="Y47" s="81" t="s">
        <v>115</v>
      </c>
      <c r="Z47" s="81" t="s">
        <v>116</v>
      </c>
      <c r="AA47" s="81" t="s">
        <v>117</v>
      </c>
      <c r="AB47" s="81" t="s">
        <v>218</v>
      </c>
      <c r="AC47" s="166">
        <v>3.29999998211861E-2</v>
      </c>
      <c r="AD47" s="349">
        <v>40945</v>
      </c>
      <c r="AF47" s="349">
        <v>43087</v>
      </c>
      <c r="AG47" s="81" t="s">
        <v>238</v>
      </c>
      <c r="AH47" s="81" t="s">
        <v>118</v>
      </c>
      <c r="AK47" s="166">
        <v>9</v>
      </c>
      <c r="AM47" s="166">
        <v>1</v>
      </c>
      <c r="AO47" s="166">
        <v>0</v>
      </c>
      <c r="AP47" s="166">
        <v>2</v>
      </c>
      <c r="AQ47" s="166">
        <v>2</v>
      </c>
      <c r="AR47" s="166">
        <v>3</v>
      </c>
      <c r="AS47" s="166">
        <v>0</v>
      </c>
      <c r="AT47" s="166">
        <v>0</v>
      </c>
      <c r="AU47" s="166">
        <v>0</v>
      </c>
      <c r="AV47" s="166">
        <v>0</v>
      </c>
      <c r="AW47" s="166">
        <v>2</v>
      </c>
      <c r="AX47" s="166">
        <v>2</v>
      </c>
      <c r="AY47" s="166">
        <v>3</v>
      </c>
      <c r="AZ47" s="166">
        <v>0</v>
      </c>
      <c r="BA47" s="166">
        <v>0</v>
      </c>
      <c r="BB47" s="166">
        <v>0</v>
      </c>
      <c r="BC47" s="166">
        <v>0</v>
      </c>
      <c r="BD47" s="166">
        <v>0</v>
      </c>
      <c r="BE47" s="166">
        <v>0</v>
      </c>
      <c r="BF47" s="166">
        <v>0</v>
      </c>
      <c r="BG47" s="166">
        <v>0</v>
      </c>
      <c r="BH47" s="166">
        <v>0</v>
      </c>
      <c r="BI47" s="166">
        <v>0</v>
      </c>
      <c r="BJ47" s="166">
        <v>0</v>
      </c>
      <c r="BK47" s="166">
        <v>0</v>
      </c>
      <c r="BL47" s="166">
        <v>0</v>
      </c>
      <c r="BM47" s="166">
        <v>0</v>
      </c>
      <c r="BN47" s="166">
        <v>0</v>
      </c>
      <c r="BO47" s="166">
        <v>0</v>
      </c>
      <c r="BP47" s="166">
        <v>0</v>
      </c>
      <c r="BQ47" s="81" t="s">
        <v>1759</v>
      </c>
      <c r="BS47" s="81" t="s">
        <v>155</v>
      </c>
      <c r="BZ47" s="81" t="s">
        <v>155</v>
      </c>
      <c r="CA47" s="81">
        <v>1</v>
      </c>
      <c r="CC47" s="167">
        <f>N47</f>
        <v>7</v>
      </c>
      <c r="CD47" s="167">
        <v>0</v>
      </c>
      <c r="CE47" s="167">
        <v>0</v>
      </c>
      <c r="CF47" s="167">
        <v>0</v>
      </c>
      <c r="CG47" s="167">
        <v>0</v>
      </c>
      <c r="CH47" s="167">
        <v>0</v>
      </c>
      <c r="CI47" s="167">
        <v>0</v>
      </c>
      <c r="CJ47" s="167">
        <v>0</v>
      </c>
      <c r="CK47" s="167">
        <v>0</v>
      </c>
      <c r="CL47" s="167">
        <v>0</v>
      </c>
      <c r="CM47" s="167">
        <v>0</v>
      </c>
      <c r="CN47" s="167">
        <v>0</v>
      </c>
      <c r="CO47" s="167">
        <v>0</v>
      </c>
      <c r="CP47" s="167">
        <v>0</v>
      </c>
      <c r="CQ47" s="167">
        <v>0</v>
      </c>
      <c r="CR47" s="167">
        <v>0</v>
      </c>
      <c r="CS47" s="167">
        <v>0</v>
      </c>
      <c r="CT47" s="167">
        <v>0</v>
      </c>
      <c r="CU47" s="167">
        <v>0</v>
      </c>
      <c r="CV47" s="167">
        <v>0</v>
      </c>
      <c r="CW47" s="167">
        <v>0</v>
      </c>
      <c r="CX47" s="167">
        <f>SUM(CD47:CH47)</f>
        <v>0</v>
      </c>
      <c r="CY47" s="167">
        <f>SUM(CD47:CM47)</f>
        <v>0</v>
      </c>
    </row>
    <row r="48" spans="1:103" ht="12.75" customHeight="1" x14ac:dyDescent="0.2">
      <c r="A48" s="81">
        <v>3704</v>
      </c>
      <c r="B48" s="165" t="s">
        <v>1924</v>
      </c>
      <c r="C48" s="165" t="s">
        <v>317</v>
      </c>
      <c r="E48" s="165" t="s">
        <v>3100</v>
      </c>
      <c r="G48" s="81">
        <v>527795</v>
      </c>
      <c r="H48" s="81">
        <v>171699</v>
      </c>
      <c r="I48" s="165" t="s">
        <v>253</v>
      </c>
      <c r="J48" s="349">
        <v>42963</v>
      </c>
      <c r="K48" s="349">
        <v>43080</v>
      </c>
      <c r="L48" s="166">
        <v>0</v>
      </c>
      <c r="M48" s="166">
        <v>1</v>
      </c>
      <c r="N48" s="166">
        <v>1</v>
      </c>
      <c r="O48" s="166">
        <v>1</v>
      </c>
      <c r="P48" s="166">
        <v>1</v>
      </c>
      <c r="R48" s="165" t="s">
        <v>318</v>
      </c>
      <c r="S48" s="81" t="s">
        <v>113</v>
      </c>
      <c r="T48" s="349">
        <v>41823</v>
      </c>
      <c r="U48" s="349">
        <v>41893</v>
      </c>
      <c r="W48" s="81" t="s">
        <v>114</v>
      </c>
      <c r="Y48" s="81" t="s">
        <v>115</v>
      </c>
      <c r="Z48" s="81" t="s">
        <v>310</v>
      </c>
      <c r="AA48" s="81" t="s">
        <v>117</v>
      </c>
      <c r="AB48" s="81" t="s">
        <v>311</v>
      </c>
      <c r="AC48" s="166">
        <v>4.0000001899898104E-3</v>
      </c>
      <c r="AD48" s="349">
        <v>42963</v>
      </c>
      <c r="AE48" s="81" t="s">
        <v>155</v>
      </c>
      <c r="AF48" s="349">
        <v>43080</v>
      </c>
      <c r="AG48" s="81" t="s">
        <v>238</v>
      </c>
      <c r="AH48" s="81" t="s">
        <v>118</v>
      </c>
      <c r="AK48" s="166">
        <v>0</v>
      </c>
      <c r="AM48" s="166">
        <v>0</v>
      </c>
      <c r="AO48" s="166">
        <v>0</v>
      </c>
      <c r="AP48" s="166">
        <v>1</v>
      </c>
      <c r="AQ48" s="166">
        <v>0</v>
      </c>
      <c r="AR48" s="166">
        <v>0</v>
      </c>
      <c r="AS48" s="166">
        <v>0</v>
      </c>
      <c r="AT48" s="166">
        <v>0</v>
      </c>
      <c r="AU48" s="166">
        <v>0</v>
      </c>
      <c r="AV48" s="166">
        <v>0</v>
      </c>
      <c r="AW48" s="166">
        <v>0</v>
      </c>
      <c r="AX48" s="166">
        <v>0</v>
      </c>
      <c r="AY48" s="166">
        <v>0</v>
      </c>
      <c r="AZ48" s="166">
        <v>0</v>
      </c>
      <c r="BA48" s="166">
        <v>0</v>
      </c>
      <c r="BB48" s="166">
        <v>0</v>
      </c>
      <c r="BC48" s="166">
        <v>0</v>
      </c>
      <c r="BD48" s="166">
        <v>1</v>
      </c>
      <c r="BE48" s="166">
        <v>0</v>
      </c>
      <c r="BF48" s="166">
        <v>0</v>
      </c>
      <c r="BG48" s="166">
        <v>0</v>
      </c>
      <c r="BH48" s="166">
        <v>0</v>
      </c>
      <c r="BI48" s="166">
        <v>0</v>
      </c>
      <c r="BJ48" s="166">
        <v>0</v>
      </c>
      <c r="BK48" s="166">
        <v>0</v>
      </c>
      <c r="BL48" s="166">
        <v>0</v>
      </c>
      <c r="BM48" s="166">
        <v>0</v>
      </c>
      <c r="BN48" s="166">
        <v>0</v>
      </c>
      <c r="BO48" s="166">
        <v>0</v>
      </c>
      <c r="BP48" s="166">
        <v>0</v>
      </c>
      <c r="BQ48" s="81" t="s">
        <v>1757</v>
      </c>
      <c r="BZ48" s="81" t="s">
        <v>155</v>
      </c>
      <c r="CA48" s="81">
        <v>7</v>
      </c>
      <c r="CC48" s="167">
        <f>N48</f>
        <v>1</v>
      </c>
      <c r="CD48" s="167">
        <v>0</v>
      </c>
      <c r="CE48" s="167">
        <v>0</v>
      </c>
      <c r="CF48" s="167">
        <v>0</v>
      </c>
      <c r="CG48" s="167">
        <v>0</v>
      </c>
      <c r="CH48" s="167">
        <v>0</v>
      </c>
      <c r="CI48" s="167">
        <v>0</v>
      </c>
      <c r="CJ48" s="167">
        <v>0</v>
      </c>
      <c r="CK48" s="167">
        <v>0</v>
      </c>
      <c r="CL48" s="167">
        <v>0</v>
      </c>
      <c r="CM48" s="167">
        <v>0</v>
      </c>
      <c r="CN48" s="167">
        <v>0</v>
      </c>
      <c r="CO48" s="167">
        <v>0</v>
      </c>
      <c r="CP48" s="167">
        <v>0</v>
      </c>
      <c r="CQ48" s="167">
        <v>0</v>
      </c>
      <c r="CR48" s="167">
        <v>0</v>
      </c>
      <c r="CS48" s="167">
        <v>0</v>
      </c>
      <c r="CT48" s="167">
        <v>0</v>
      </c>
      <c r="CU48" s="167">
        <v>0</v>
      </c>
      <c r="CV48" s="167">
        <v>0</v>
      </c>
      <c r="CW48" s="167">
        <v>0</v>
      </c>
      <c r="CX48" s="167">
        <f>SUM(CD48:CH48)</f>
        <v>0</v>
      </c>
      <c r="CY48" s="167">
        <f>SUM(CD48:CM48)</f>
        <v>0</v>
      </c>
    </row>
    <row r="49" spans="1:103" ht="12.75" customHeight="1" x14ac:dyDescent="0.2">
      <c r="A49" s="81">
        <v>3743</v>
      </c>
      <c r="B49" s="165" t="s">
        <v>1924</v>
      </c>
      <c r="C49" s="165" t="s">
        <v>997</v>
      </c>
      <c r="E49" s="165" t="s">
        <v>3101</v>
      </c>
      <c r="G49" s="81">
        <v>529002</v>
      </c>
      <c r="H49" s="81">
        <v>173313</v>
      </c>
      <c r="I49" s="165" t="s">
        <v>247</v>
      </c>
      <c r="J49" s="349">
        <v>42810</v>
      </c>
      <c r="K49" s="349">
        <v>42915</v>
      </c>
      <c r="L49" s="166">
        <v>1</v>
      </c>
      <c r="M49" s="166">
        <v>1</v>
      </c>
      <c r="N49" s="166">
        <v>0</v>
      </c>
      <c r="O49" s="166">
        <v>1</v>
      </c>
      <c r="P49" s="166">
        <v>0</v>
      </c>
      <c r="R49" s="165" t="s">
        <v>998</v>
      </c>
      <c r="S49" s="81" t="s">
        <v>113</v>
      </c>
      <c r="T49" s="349">
        <v>42507</v>
      </c>
      <c r="U49" s="349">
        <v>42563</v>
      </c>
      <c r="W49" s="81" t="s">
        <v>114</v>
      </c>
      <c r="Y49" s="81" t="s">
        <v>115</v>
      </c>
      <c r="Z49" s="81" t="s">
        <v>398</v>
      </c>
      <c r="AA49" s="81" t="s">
        <v>117</v>
      </c>
      <c r="AB49" s="81" t="s">
        <v>336</v>
      </c>
      <c r="AC49" s="166">
        <v>9.9999997764825804E-3</v>
      </c>
      <c r="AD49" s="349">
        <v>42810</v>
      </c>
      <c r="AF49" s="349">
        <v>42915</v>
      </c>
      <c r="AG49" s="81" t="s">
        <v>238</v>
      </c>
      <c r="AH49" s="81" t="s">
        <v>118</v>
      </c>
      <c r="AK49" s="166">
        <v>0</v>
      </c>
      <c r="AM49" s="166">
        <v>0</v>
      </c>
      <c r="AO49" s="166">
        <v>0</v>
      </c>
      <c r="AP49" s="166">
        <v>0</v>
      </c>
      <c r="AQ49" s="166">
        <v>0</v>
      </c>
      <c r="AR49" s="166">
        <v>0</v>
      </c>
      <c r="AS49" s="166">
        <v>-1</v>
      </c>
      <c r="AT49" s="166">
        <v>1</v>
      </c>
      <c r="AU49" s="166">
        <v>0</v>
      </c>
      <c r="AV49" s="166">
        <v>0</v>
      </c>
      <c r="AW49" s="166">
        <v>0</v>
      </c>
      <c r="AX49" s="166">
        <v>0</v>
      </c>
      <c r="AY49" s="166">
        <v>0</v>
      </c>
      <c r="AZ49" s="166">
        <v>-1</v>
      </c>
      <c r="BA49" s="166">
        <v>0</v>
      </c>
      <c r="BB49" s="166">
        <v>0</v>
      </c>
      <c r="BC49" s="166">
        <v>0</v>
      </c>
      <c r="BD49" s="166">
        <v>0</v>
      </c>
      <c r="BE49" s="166">
        <v>0</v>
      </c>
      <c r="BF49" s="166">
        <v>0</v>
      </c>
      <c r="BG49" s="166">
        <v>0</v>
      </c>
      <c r="BH49" s="166">
        <v>1</v>
      </c>
      <c r="BI49" s="166">
        <v>0</v>
      </c>
      <c r="BJ49" s="166">
        <v>0</v>
      </c>
      <c r="BK49" s="166">
        <v>0</v>
      </c>
      <c r="BL49" s="166">
        <v>0</v>
      </c>
      <c r="BM49" s="166">
        <v>0</v>
      </c>
      <c r="BN49" s="166">
        <v>0</v>
      </c>
      <c r="BO49" s="166">
        <v>0</v>
      </c>
      <c r="BP49" s="166">
        <v>0</v>
      </c>
      <c r="BQ49" s="81" t="s">
        <v>1757</v>
      </c>
      <c r="BZ49" s="81" t="s">
        <v>155</v>
      </c>
      <c r="CA49" s="81">
        <v>7</v>
      </c>
      <c r="CC49" s="167">
        <f>N49</f>
        <v>0</v>
      </c>
      <c r="CD49" s="167">
        <v>0</v>
      </c>
      <c r="CE49" s="167">
        <v>0</v>
      </c>
      <c r="CF49" s="167">
        <v>0</v>
      </c>
      <c r="CG49" s="167">
        <v>0</v>
      </c>
      <c r="CH49" s="167">
        <v>0</v>
      </c>
      <c r="CI49" s="167">
        <v>0</v>
      </c>
      <c r="CJ49" s="167">
        <v>0</v>
      </c>
      <c r="CK49" s="167">
        <v>0</v>
      </c>
      <c r="CL49" s="167">
        <v>0</v>
      </c>
      <c r="CM49" s="167">
        <v>0</v>
      </c>
      <c r="CN49" s="167">
        <v>0</v>
      </c>
      <c r="CO49" s="167">
        <v>0</v>
      </c>
      <c r="CP49" s="167">
        <v>0</v>
      </c>
      <c r="CQ49" s="167">
        <v>0</v>
      </c>
      <c r="CR49" s="167">
        <v>0</v>
      </c>
      <c r="CS49" s="167">
        <v>0</v>
      </c>
      <c r="CT49" s="167">
        <v>0</v>
      </c>
      <c r="CU49" s="167">
        <v>0</v>
      </c>
      <c r="CV49" s="167">
        <v>0</v>
      </c>
      <c r="CW49" s="167">
        <v>0</v>
      </c>
      <c r="CX49" s="167">
        <f>SUM(CD49:CH49)</f>
        <v>0</v>
      </c>
      <c r="CY49" s="167">
        <f>SUM(CD49:CM49)</f>
        <v>0</v>
      </c>
    </row>
    <row r="50" spans="1:103" ht="12.75" customHeight="1" x14ac:dyDescent="0.2">
      <c r="A50" s="81">
        <v>3845</v>
      </c>
      <c r="B50" s="165" t="s">
        <v>1924</v>
      </c>
      <c r="C50" s="165" t="s">
        <v>1009</v>
      </c>
      <c r="E50" s="165" t="s">
        <v>3102</v>
      </c>
      <c r="G50" s="81">
        <v>528714</v>
      </c>
      <c r="H50" s="81">
        <v>173055</v>
      </c>
      <c r="I50" s="165" t="s">
        <v>254</v>
      </c>
      <c r="J50" s="349">
        <v>42677</v>
      </c>
      <c r="K50" s="349">
        <v>42943</v>
      </c>
      <c r="L50" s="166">
        <v>0</v>
      </c>
      <c r="M50" s="166">
        <v>1</v>
      </c>
      <c r="N50" s="166">
        <v>1</v>
      </c>
      <c r="O50" s="166">
        <v>1</v>
      </c>
      <c r="P50" s="166">
        <v>1</v>
      </c>
      <c r="R50" s="165" t="s">
        <v>1010</v>
      </c>
      <c r="S50" s="81" t="s">
        <v>113</v>
      </c>
      <c r="T50" s="349">
        <v>42509</v>
      </c>
      <c r="U50" s="349">
        <v>42600</v>
      </c>
      <c r="W50" s="81" t="s">
        <v>114</v>
      </c>
      <c r="Y50" s="81" t="s">
        <v>115</v>
      </c>
      <c r="Z50" s="81" t="s">
        <v>398</v>
      </c>
      <c r="AA50" s="81" t="s">
        <v>117</v>
      </c>
      <c r="AB50" s="81" t="s">
        <v>102</v>
      </c>
      <c r="AC50" s="166">
        <v>4.0000001899898104E-3</v>
      </c>
      <c r="AD50" s="349">
        <v>42677</v>
      </c>
      <c r="AF50" s="349">
        <v>42943</v>
      </c>
      <c r="AG50" s="81" t="s">
        <v>238</v>
      </c>
      <c r="AH50" s="81" t="s">
        <v>118</v>
      </c>
      <c r="AK50" s="166">
        <v>0</v>
      </c>
      <c r="AM50" s="166">
        <v>0</v>
      </c>
      <c r="AO50" s="166">
        <v>0</v>
      </c>
      <c r="AP50" s="166">
        <v>0</v>
      </c>
      <c r="AQ50" s="166">
        <v>1</v>
      </c>
      <c r="AR50" s="166">
        <v>0</v>
      </c>
      <c r="AS50" s="166">
        <v>0</v>
      </c>
      <c r="AT50" s="166">
        <v>0</v>
      </c>
      <c r="AU50" s="166">
        <v>0</v>
      </c>
      <c r="AV50" s="166">
        <v>0</v>
      </c>
      <c r="AW50" s="166">
        <v>0</v>
      </c>
      <c r="AX50" s="166">
        <v>1</v>
      </c>
      <c r="AY50" s="166">
        <v>0</v>
      </c>
      <c r="AZ50" s="166">
        <v>0</v>
      </c>
      <c r="BA50" s="166">
        <v>0</v>
      </c>
      <c r="BB50" s="166">
        <v>0</v>
      </c>
      <c r="BC50" s="166">
        <v>0</v>
      </c>
      <c r="BD50" s="166">
        <v>0</v>
      </c>
      <c r="BE50" s="166">
        <v>0</v>
      </c>
      <c r="BF50" s="166">
        <v>0</v>
      </c>
      <c r="BG50" s="166">
        <v>0</v>
      </c>
      <c r="BH50" s="166">
        <v>0</v>
      </c>
      <c r="BI50" s="166">
        <v>0</v>
      </c>
      <c r="BJ50" s="166">
        <v>0</v>
      </c>
      <c r="BK50" s="166">
        <v>0</v>
      </c>
      <c r="BL50" s="166">
        <v>0</v>
      </c>
      <c r="BM50" s="166">
        <v>0</v>
      </c>
      <c r="BN50" s="166">
        <v>0</v>
      </c>
      <c r="BO50" s="166">
        <v>0</v>
      </c>
      <c r="BP50" s="166">
        <v>0</v>
      </c>
      <c r="BQ50" s="81" t="s">
        <v>1757</v>
      </c>
      <c r="BZ50" s="81" t="s">
        <v>155</v>
      </c>
      <c r="CA50" s="81">
        <v>7</v>
      </c>
      <c r="CC50" s="167">
        <f>N50</f>
        <v>1</v>
      </c>
      <c r="CD50" s="167">
        <v>0</v>
      </c>
      <c r="CE50" s="167">
        <v>0</v>
      </c>
      <c r="CF50" s="167">
        <v>0</v>
      </c>
      <c r="CG50" s="167">
        <v>0</v>
      </c>
      <c r="CH50" s="167">
        <v>0</v>
      </c>
      <c r="CI50" s="167">
        <v>0</v>
      </c>
      <c r="CJ50" s="167">
        <v>0</v>
      </c>
      <c r="CK50" s="167">
        <v>0</v>
      </c>
      <c r="CL50" s="167">
        <v>0</v>
      </c>
      <c r="CM50" s="167">
        <v>0</v>
      </c>
      <c r="CN50" s="167">
        <v>0</v>
      </c>
      <c r="CO50" s="167">
        <v>0</v>
      </c>
      <c r="CP50" s="167">
        <v>0</v>
      </c>
      <c r="CQ50" s="167">
        <v>0</v>
      </c>
      <c r="CR50" s="167">
        <v>0</v>
      </c>
      <c r="CS50" s="167">
        <v>0</v>
      </c>
      <c r="CT50" s="167">
        <v>0</v>
      </c>
      <c r="CU50" s="167">
        <v>0</v>
      </c>
      <c r="CV50" s="167">
        <v>0</v>
      </c>
      <c r="CW50" s="167">
        <v>0</v>
      </c>
      <c r="CX50" s="167">
        <f>SUM(CD50:CH50)</f>
        <v>0</v>
      </c>
      <c r="CY50" s="167">
        <f>SUM(CD50:CM50)</f>
        <v>0</v>
      </c>
    </row>
    <row r="51" spans="1:103" ht="12.75" customHeight="1" x14ac:dyDescent="0.2">
      <c r="A51" s="81">
        <v>3944</v>
      </c>
      <c r="B51" s="165" t="s">
        <v>1924</v>
      </c>
      <c r="C51" s="165" t="s">
        <v>1045</v>
      </c>
      <c r="D51" s="165" t="s">
        <v>512</v>
      </c>
      <c r="E51" s="165" t="s">
        <v>3091</v>
      </c>
      <c r="F51" s="165" t="s">
        <v>3941</v>
      </c>
      <c r="G51" s="81">
        <v>529725</v>
      </c>
      <c r="H51" s="81">
        <v>177404</v>
      </c>
      <c r="I51" s="165" t="s">
        <v>240</v>
      </c>
      <c r="J51" s="349">
        <v>42095</v>
      </c>
      <c r="L51" s="166">
        <v>0</v>
      </c>
      <c r="M51" s="166">
        <v>114</v>
      </c>
      <c r="N51" s="166">
        <v>114</v>
      </c>
      <c r="O51" s="166">
        <v>514</v>
      </c>
      <c r="P51" s="166">
        <v>514</v>
      </c>
      <c r="Q51" s="81" t="s">
        <v>155</v>
      </c>
      <c r="R51" s="165" t="s">
        <v>1046</v>
      </c>
      <c r="S51" s="81" t="s">
        <v>509</v>
      </c>
      <c r="T51" s="165">
        <v>42669</v>
      </c>
      <c r="U51" s="350">
        <v>42810</v>
      </c>
      <c r="V51" s="349"/>
      <c r="W51" s="349" t="s">
        <v>114</v>
      </c>
      <c r="Y51" s="81" t="s">
        <v>115</v>
      </c>
      <c r="Z51" s="81" t="s">
        <v>116</v>
      </c>
      <c r="AA51" s="81" t="s">
        <v>116</v>
      </c>
      <c r="AB51" s="81" t="s">
        <v>117</v>
      </c>
      <c r="AC51" s="81">
        <v>0.19099999964237199</v>
      </c>
      <c r="AD51" s="81">
        <v>42095</v>
      </c>
      <c r="AE51" s="351"/>
      <c r="AF51" s="349">
        <v>42978</v>
      </c>
      <c r="AG51" s="81" t="s">
        <v>238</v>
      </c>
      <c r="AH51" s="81" t="s">
        <v>1815</v>
      </c>
      <c r="AI51" s="81" t="s">
        <v>3092</v>
      </c>
      <c r="AK51" s="81">
        <v>0</v>
      </c>
      <c r="AL51" s="81"/>
      <c r="AM51" s="166">
        <v>0</v>
      </c>
      <c r="AO51" s="166">
        <v>0</v>
      </c>
      <c r="AP51" s="166">
        <v>52</v>
      </c>
      <c r="AQ51" s="166">
        <v>56</v>
      </c>
      <c r="AR51" s="166">
        <v>6</v>
      </c>
      <c r="AS51" s="166">
        <v>0</v>
      </c>
      <c r="AT51" s="166">
        <v>0</v>
      </c>
      <c r="AU51" s="166">
        <v>0</v>
      </c>
      <c r="AV51" s="166">
        <v>0</v>
      </c>
      <c r="AW51" s="166">
        <v>52</v>
      </c>
      <c r="AX51" s="166">
        <v>56</v>
      </c>
      <c r="AY51" s="166">
        <v>6</v>
      </c>
      <c r="AZ51" s="166">
        <v>0</v>
      </c>
      <c r="BA51" s="166">
        <v>0</v>
      </c>
      <c r="BB51" s="166">
        <v>0</v>
      </c>
      <c r="BC51" s="166">
        <v>0</v>
      </c>
      <c r="BD51" s="166">
        <v>0</v>
      </c>
      <c r="BE51" s="166">
        <v>0</v>
      </c>
      <c r="BF51" s="166">
        <v>0</v>
      </c>
      <c r="BG51" s="166">
        <v>0</v>
      </c>
      <c r="BH51" s="166">
        <v>0</v>
      </c>
      <c r="BI51" s="166">
        <v>0</v>
      </c>
      <c r="BJ51" s="166">
        <v>0</v>
      </c>
      <c r="BK51" s="166">
        <v>0</v>
      </c>
      <c r="BL51" s="166">
        <v>0</v>
      </c>
      <c r="BM51" s="166">
        <v>0</v>
      </c>
      <c r="BN51" s="166">
        <v>0</v>
      </c>
      <c r="BO51" s="166">
        <v>0</v>
      </c>
      <c r="BP51" s="166">
        <v>0</v>
      </c>
      <c r="BQ51" s="81" t="s">
        <v>1759</v>
      </c>
      <c r="BS51" s="81" t="s">
        <v>155</v>
      </c>
      <c r="BZ51" s="81" t="s">
        <v>155</v>
      </c>
      <c r="CA51" s="81">
        <v>1</v>
      </c>
      <c r="CC51" s="167">
        <f>N51</f>
        <v>114</v>
      </c>
      <c r="CD51" s="167">
        <v>0</v>
      </c>
      <c r="CE51" s="167">
        <v>0</v>
      </c>
      <c r="CF51" s="167">
        <v>0</v>
      </c>
      <c r="CG51" s="167">
        <v>0</v>
      </c>
      <c r="CH51" s="167">
        <v>0</v>
      </c>
      <c r="CI51" s="167">
        <v>0</v>
      </c>
      <c r="CJ51" s="167">
        <v>0</v>
      </c>
      <c r="CK51" s="167">
        <v>0</v>
      </c>
      <c r="CL51" s="167">
        <v>0</v>
      </c>
      <c r="CM51" s="167">
        <v>0</v>
      </c>
      <c r="CN51" s="167">
        <v>0</v>
      </c>
      <c r="CO51" s="167">
        <v>0</v>
      </c>
      <c r="CP51" s="167">
        <v>0</v>
      </c>
      <c r="CQ51" s="167">
        <v>0</v>
      </c>
      <c r="CR51" s="167">
        <v>0</v>
      </c>
      <c r="CS51" s="167">
        <v>0</v>
      </c>
      <c r="CT51" s="167">
        <v>0</v>
      </c>
      <c r="CU51" s="167">
        <v>0</v>
      </c>
      <c r="CV51" s="167">
        <v>0</v>
      </c>
      <c r="CW51" s="167">
        <v>0</v>
      </c>
      <c r="CX51" s="167">
        <f>SUM(CD51:CH51)</f>
        <v>0</v>
      </c>
      <c r="CY51" s="167">
        <f>SUM(CD51:CM51)</f>
        <v>0</v>
      </c>
    </row>
    <row r="52" spans="1:103" ht="12.75" customHeight="1" x14ac:dyDescent="0.2">
      <c r="A52" s="81">
        <v>3944</v>
      </c>
      <c r="B52" s="165" t="s">
        <v>1924</v>
      </c>
      <c r="C52" s="165" t="s">
        <v>1045</v>
      </c>
      <c r="D52" s="165" t="s">
        <v>512</v>
      </c>
      <c r="E52" s="165" t="s">
        <v>3091</v>
      </c>
      <c r="F52" s="165" t="s">
        <v>3941</v>
      </c>
      <c r="G52" s="81">
        <v>529725</v>
      </c>
      <c r="H52" s="81">
        <v>177404</v>
      </c>
      <c r="I52" s="165" t="s">
        <v>240</v>
      </c>
      <c r="J52" s="349">
        <v>42095</v>
      </c>
      <c r="L52" s="166">
        <v>0</v>
      </c>
      <c r="M52" s="166">
        <v>44</v>
      </c>
      <c r="N52" s="166">
        <v>44</v>
      </c>
      <c r="O52" s="166">
        <v>514</v>
      </c>
      <c r="P52" s="166">
        <v>514</v>
      </c>
      <c r="Q52" s="81" t="s">
        <v>155</v>
      </c>
      <c r="R52" s="165" t="s">
        <v>1046</v>
      </c>
      <c r="S52" s="81" t="s">
        <v>509</v>
      </c>
      <c r="T52" s="165">
        <v>42669</v>
      </c>
      <c r="U52" s="350">
        <v>42810</v>
      </c>
      <c r="V52" s="349"/>
      <c r="W52" s="349" t="s">
        <v>114</v>
      </c>
      <c r="Y52" s="81" t="s">
        <v>115</v>
      </c>
      <c r="Z52" s="81" t="s">
        <v>116</v>
      </c>
      <c r="AA52" s="81" t="s">
        <v>116</v>
      </c>
      <c r="AB52" s="81" t="s">
        <v>117</v>
      </c>
      <c r="AC52" s="81">
        <v>7.4000000953674303E-2</v>
      </c>
      <c r="AD52" s="81">
        <v>42095</v>
      </c>
      <c r="AE52" s="351"/>
      <c r="AF52" s="349">
        <v>42978</v>
      </c>
      <c r="AG52" s="81" t="s">
        <v>154</v>
      </c>
      <c r="AH52" s="81" t="s">
        <v>276</v>
      </c>
      <c r="AI52" s="81" t="s">
        <v>3092</v>
      </c>
      <c r="AK52" s="81">
        <v>0</v>
      </c>
      <c r="AL52" s="81"/>
      <c r="AM52" s="166">
        <v>0</v>
      </c>
      <c r="AO52" s="166">
        <v>0</v>
      </c>
      <c r="AP52" s="166">
        <v>7</v>
      </c>
      <c r="AQ52" s="166">
        <v>18</v>
      </c>
      <c r="AR52" s="166">
        <v>16</v>
      </c>
      <c r="AS52" s="166">
        <v>3</v>
      </c>
      <c r="AT52" s="166">
        <v>0</v>
      </c>
      <c r="AU52" s="166">
        <v>0</v>
      </c>
      <c r="AV52" s="166">
        <v>0</v>
      </c>
      <c r="AW52" s="166">
        <v>7</v>
      </c>
      <c r="AX52" s="166">
        <v>18</v>
      </c>
      <c r="AY52" s="166">
        <v>16</v>
      </c>
      <c r="AZ52" s="166">
        <v>3</v>
      </c>
      <c r="BA52" s="166">
        <v>0</v>
      </c>
      <c r="BB52" s="166">
        <v>0</v>
      </c>
      <c r="BC52" s="166">
        <v>0</v>
      </c>
      <c r="BD52" s="166">
        <v>0</v>
      </c>
      <c r="BE52" s="166">
        <v>0</v>
      </c>
      <c r="BF52" s="166">
        <v>0</v>
      </c>
      <c r="BG52" s="166">
        <v>0</v>
      </c>
      <c r="BH52" s="166">
        <v>0</v>
      </c>
      <c r="BI52" s="166">
        <v>0</v>
      </c>
      <c r="BJ52" s="166">
        <v>0</v>
      </c>
      <c r="BK52" s="166">
        <v>0</v>
      </c>
      <c r="BL52" s="166">
        <v>0</v>
      </c>
      <c r="BM52" s="166">
        <v>0</v>
      </c>
      <c r="BN52" s="166">
        <v>0</v>
      </c>
      <c r="BO52" s="166">
        <v>0</v>
      </c>
      <c r="BP52" s="166">
        <v>0</v>
      </c>
      <c r="BQ52" s="81" t="s">
        <v>1759</v>
      </c>
      <c r="BS52" s="81" t="s">
        <v>155</v>
      </c>
      <c r="BZ52" s="81" t="s">
        <v>155</v>
      </c>
      <c r="CA52" s="81">
        <v>1</v>
      </c>
      <c r="CC52" s="167">
        <f>N52</f>
        <v>44</v>
      </c>
      <c r="CD52" s="167">
        <v>0</v>
      </c>
      <c r="CE52" s="167">
        <v>0</v>
      </c>
      <c r="CF52" s="167">
        <v>0</v>
      </c>
      <c r="CG52" s="167">
        <v>0</v>
      </c>
      <c r="CH52" s="167">
        <v>0</v>
      </c>
      <c r="CI52" s="167">
        <v>0</v>
      </c>
      <c r="CJ52" s="167">
        <v>0</v>
      </c>
      <c r="CK52" s="167">
        <v>0</v>
      </c>
      <c r="CL52" s="167">
        <v>0</v>
      </c>
      <c r="CM52" s="167">
        <v>0</v>
      </c>
      <c r="CN52" s="167">
        <v>0</v>
      </c>
      <c r="CO52" s="167">
        <v>0</v>
      </c>
      <c r="CP52" s="167">
        <v>0</v>
      </c>
      <c r="CQ52" s="167">
        <v>0</v>
      </c>
      <c r="CR52" s="167">
        <v>0</v>
      </c>
      <c r="CS52" s="167">
        <v>0</v>
      </c>
      <c r="CT52" s="167">
        <v>0</v>
      </c>
      <c r="CU52" s="167">
        <v>0</v>
      </c>
      <c r="CV52" s="167">
        <v>0</v>
      </c>
      <c r="CW52" s="167">
        <v>0</v>
      </c>
      <c r="CX52" s="167">
        <f>SUM(CD52:CH52)</f>
        <v>0</v>
      </c>
      <c r="CY52" s="167">
        <f>SUM(CD52:CM52)</f>
        <v>0</v>
      </c>
    </row>
    <row r="53" spans="1:103" ht="12.75" customHeight="1" x14ac:dyDescent="0.2">
      <c r="A53" s="81">
        <v>3944</v>
      </c>
      <c r="B53" s="165" t="s">
        <v>1924</v>
      </c>
      <c r="C53" s="165" t="s">
        <v>1045</v>
      </c>
      <c r="D53" s="165" t="s">
        <v>512</v>
      </c>
      <c r="E53" s="165" t="s">
        <v>3091</v>
      </c>
      <c r="F53" s="165" t="s">
        <v>3941</v>
      </c>
      <c r="G53" s="81">
        <v>529725</v>
      </c>
      <c r="H53" s="81">
        <v>177404</v>
      </c>
      <c r="I53" s="165" t="s">
        <v>240</v>
      </c>
      <c r="J53" s="349">
        <v>42095</v>
      </c>
      <c r="L53" s="166">
        <v>0</v>
      </c>
      <c r="M53" s="166">
        <v>32</v>
      </c>
      <c r="N53" s="166">
        <v>32</v>
      </c>
      <c r="O53" s="166">
        <v>514</v>
      </c>
      <c r="P53" s="166">
        <v>514</v>
      </c>
      <c r="Q53" s="81" t="s">
        <v>155</v>
      </c>
      <c r="R53" s="165" t="s">
        <v>1046</v>
      </c>
      <c r="S53" s="81" t="s">
        <v>509</v>
      </c>
      <c r="T53" s="165">
        <v>42669</v>
      </c>
      <c r="U53" s="350">
        <v>42810</v>
      </c>
      <c r="V53" s="349"/>
      <c r="W53" s="349" t="s">
        <v>114</v>
      </c>
      <c r="Y53" s="81" t="s">
        <v>115</v>
      </c>
      <c r="Z53" s="81" t="s">
        <v>116</v>
      </c>
      <c r="AA53" s="81" t="s">
        <v>116</v>
      </c>
      <c r="AB53" s="81" t="s">
        <v>117</v>
      </c>
      <c r="AC53" s="81">
        <v>5.4000001400709201E-2</v>
      </c>
      <c r="AD53" s="81">
        <v>42095</v>
      </c>
      <c r="AE53" s="351"/>
      <c r="AF53" s="349">
        <v>42978</v>
      </c>
      <c r="AG53" s="81" t="s">
        <v>74</v>
      </c>
      <c r="AH53" s="81" t="s">
        <v>880</v>
      </c>
      <c r="AI53" s="81" t="s">
        <v>3092</v>
      </c>
      <c r="AK53" s="81">
        <v>0</v>
      </c>
      <c r="AL53" s="81"/>
      <c r="AM53" s="166">
        <v>0</v>
      </c>
      <c r="AO53" s="166">
        <v>0</v>
      </c>
      <c r="AP53" s="166">
        <v>18</v>
      </c>
      <c r="AQ53" s="166">
        <v>14</v>
      </c>
      <c r="AR53" s="166">
        <v>0</v>
      </c>
      <c r="AS53" s="166">
        <v>0</v>
      </c>
      <c r="AT53" s="166">
        <v>0</v>
      </c>
      <c r="AU53" s="166">
        <v>0</v>
      </c>
      <c r="AV53" s="166">
        <v>0</v>
      </c>
      <c r="AW53" s="166">
        <v>18</v>
      </c>
      <c r="AX53" s="166">
        <v>14</v>
      </c>
      <c r="AY53" s="166">
        <v>0</v>
      </c>
      <c r="AZ53" s="166">
        <v>0</v>
      </c>
      <c r="BA53" s="166">
        <v>0</v>
      </c>
      <c r="BB53" s="166">
        <v>0</v>
      </c>
      <c r="BC53" s="166">
        <v>0</v>
      </c>
      <c r="BD53" s="166">
        <v>0</v>
      </c>
      <c r="BE53" s="166">
        <v>0</v>
      </c>
      <c r="BF53" s="166">
        <v>0</v>
      </c>
      <c r="BG53" s="166">
        <v>0</v>
      </c>
      <c r="BH53" s="166">
        <v>0</v>
      </c>
      <c r="BI53" s="166">
        <v>0</v>
      </c>
      <c r="BJ53" s="166">
        <v>0</v>
      </c>
      <c r="BK53" s="166">
        <v>0</v>
      </c>
      <c r="BL53" s="166">
        <v>0</v>
      </c>
      <c r="BM53" s="166">
        <v>0</v>
      </c>
      <c r="BN53" s="166">
        <v>0</v>
      </c>
      <c r="BO53" s="166">
        <v>0</v>
      </c>
      <c r="BP53" s="166">
        <v>0</v>
      </c>
      <c r="BQ53" s="81" t="s">
        <v>1759</v>
      </c>
      <c r="BS53" s="81" t="s">
        <v>155</v>
      </c>
      <c r="BZ53" s="81" t="s">
        <v>155</v>
      </c>
      <c r="CA53" s="81">
        <v>1</v>
      </c>
      <c r="CC53" s="167">
        <f>N53</f>
        <v>32</v>
      </c>
      <c r="CD53" s="167">
        <v>0</v>
      </c>
      <c r="CE53" s="167">
        <v>0</v>
      </c>
      <c r="CF53" s="167">
        <v>0</v>
      </c>
      <c r="CG53" s="167">
        <v>0</v>
      </c>
      <c r="CH53" s="167">
        <v>0</v>
      </c>
      <c r="CI53" s="167">
        <v>0</v>
      </c>
      <c r="CJ53" s="167">
        <v>0</v>
      </c>
      <c r="CK53" s="167">
        <v>0</v>
      </c>
      <c r="CL53" s="167">
        <v>0</v>
      </c>
      <c r="CM53" s="167">
        <v>0</v>
      </c>
      <c r="CN53" s="167">
        <v>0</v>
      </c>
      <c r="CO53" s="167">
        <v>0</v>
      </c>
      <c r="CP53" s="167">
        <v>0</v>
      </c>
      <c r="CQ53" s="167">
        <v>0</v>
      </c>
      <c r="CR53" s="167">
        <v>0</v>
      </c>
      <c r="CS53" s="167">
        <v>0</v>
      </c>
      <c r="CT53" s="167">
        <v>0</v>
      </c>
      <c r="CU53" s="167">
        <v>0</v>
      </c>
      <c r="CV53" s="167">
        <v>0</v>
      </c>
      <c r="CW53" s="167">
        <v>0</v>
      </c>
      <c r="CX53" s="167">
        <f>SUM(CD53:CH53)</f>
        <v>0</v>
      </c>
      <c r="CY53" s="167">
        <f>SUM(CD53:CM53)</f>
        <v>0</v>
      </c>
    </row>
    <row r="54" spans="1:103" ht="12.75" customHeight="1" x14ac:dyDescent="0.2">
      <c r="A54" s="81">
        <v>4043</v>
      </c>
      <c r="B54" s="165" t="s">
        <v>1924</v>
      </c>
      <c r="C54" s="165" t="s">
        <v>1594</v>
      </c>
      <c r="E54" s="165" t="s">
        <v>3103</v>
      </c>
      <c r="G54" s="81">
        <v>527663</v>
      </c>
      <c r="H54" s="81">
        <v>174334</v>
      </c>
      <c r="I54" s="165" t="s">
        <v>255</v>
      </c>
      <c r="J54" s="349">
        <v>42936</v>
      </c>
      <c r="K54" s="349">
        <v>43185</v>
      </c>
      <c r="L54" s="166">
        <v>0</v>
      </c>
      <c r="M54" s="166">
        <v>1</v>
      </c>
      <c r="N54" s="166">
        <v>1</v>
      </c>
      <c r="O54" s="166">
        <v>1</v>
      </c>
      <c r="P54" s="166">
        <v>1</v>
      </c>
      <c r="R54" s="165" t="s">
        <v>1595</v>
      </c>
      <c r="S54" s="81" t="s">
        <v>110</v>
      </c>
      <c r="T54" s="349">
        <v>42780</v>
      </c>
      <c r="U54" s="349">
        <v>42836</v>
      </c>
      <c r="V54" s="81" t="s">
        <v>155</v>
      </c>
      <c r="W54" s="81" t="s">
        <v>114</v>
      </c>
      <c r="Y54" s="81" t="s">
        <v>115</v>
      </c>
      <c r="Z54" s="81" t="s">
        <v>310</v>
      </c>
      <c r="AA54" s="81" t="s">
        <v>117</v>
      </c>
      <c r="AB54" s="81" t="s">
        <v>102</v>
      </c>
      <c r="AC54" s="166">
        <v>8.0000003799796104E-3</v>
      </c>
      <c r="AD54" s="349">
        <v>42936</v>
      </c>
      <c r="AE54" s="81" t="s">
        <v>155</v>
      </c>
      <c r="AF54" s="349">
        <v>43185</v>
      </c>
      <c r="AG54" s="81" t="s">
        <v>238</v>
      </c>
      <c r="AH54" s="81" t="s">
        <v>118</v>
      </c>
      <c r="AK54" s="166">
        <v>0</v>
      </c>
      <c r="AM54" s="166">
        <v>0</v>
      </c>
      <c r="AO54" s="166">
        <v>0</v>
      </c>
      <c r="AP54" s="166">
        <v>1</v>
      </c>
      <c r="AQ54" s="166">
        <v>0</v>
      </c>
      <c r="AR54" s="166">
        <v>0</v>
      </c>
      <c r="AS54" s="166">
        <v>0</v>
      </c>
      <c r="AT54" s="166">
        <v>0</v>
      </c>
      <c r="AU54" s="166">
        <v>0</v>
      </c>
      <c r="AV54" s="166">
        <v>0</v>
      </c>
      <c r="AW54" s="166">
        <v>1</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81" t="s">
        <v>1757</v>
      </c>
      <c r="BZ54" s="81" t="s">
        <v>155</v>
      </c>
      <c r="CA54" s="81">
        <v>7</v>
      </c>
      <c r="CC54" s="167">
        <f>N54</f>
        <v>1</v>
      </c>
      <c r="CD54" s="167">
        <v>0</v>
      </c>
      <c r="CE54" s="167">
        <v>0</v>
      </c>
      <c r="CF54" s="167">
        <v>0</v>
      </c>
      <c r="CG54" s="167">
        <v>0</v>
      </c>
      <c r="CH54" s="167">
        <v>0</v>
      </c>
      <c r="CI54" s="167">
        <v>0</v>
      </c>
      <c r="CJ54" s="167">
        <v>0</v>
      </c>
      <c r="CK54" s="167">
        <v>0</v>
      </c>
      <c r="CL54" s="167">
        <v>0</v>
      </c>
      <c r="CM54" s="167">
        <v>0</v>
      </c>
      <c r="CN54" s="167">
        <v>0</v>
      </c>
      <c r="CO54" s="167">
        <v>0</v>
      </c>
      <c r="CP54" s="167">
        <v>0</v>
      </c>
      <c r="CQ54" s="167">
        <v>0</v>
      </c>
      <c r="CR54" s="167">
        <v>0</v>
      </c>
      <c r="CS54" s="167">
        <v>0</v>
      </c>
      <c r="CT54" s="167">
        <v>0</v>
      </c>
      <c r="CU54" s="167">
        <v>0</v>
      </c>
      <c r="CV54" s="167">
        <v>0</v>
      </c>
      <c r="CW54" s="167">
        <v>0</v>
      </c>
      <c r="CX54" s="167">
        <f>SUM(CD54:CH54)</f>
        <v>0</v>
      </c>
      <c r="CY54" s="167">
        <f>SUM(CD54:CM54)</f>
        <v>0</v>
      </c>
    </row>
    <row r="55" spans="1:103" ht="12.75" customHeight="1" x14ac:dyDescent="0.2">
      <c r="A55" s="81">
        <v>4043</v>
      </c>
      <c r="B55" s="165" t="s">
        <v>1924</v>
      </c>
      <c r="C55" s="165" t="s">
        <v>3104</v>
      </c>
      <c r="E55" s="165" t="s">
        <v>3103</v>
      </c>
      <c r="G55" s="81">
        <v>527663</v>
      </c>
      <c r="H55" s="81">
        <v>174334</v>
      </c>
      <c r="I55" s="165" t="s">
        <v>255</v>
      </c>
      <c r="J55" s="349">
        <v>42936</v>
      </c>
      <c r="K55" s="349">
        <v>43185</v>
      </c>
      <c r="L55" s="166">
        <v>1</v>
      </c>
      <c r="M55" s="166">
        <v>2</v>
      </c>
      <c r="N55" s="166">
        <v>1</v>
      </c>
      <c r="O55" s="166">
        <v>2</v>
      </c>
      <c r="P55" s="166">
        <v>1</v>
      </c>
      <c r="R55" s="165" t="s">
        <v>3105</v>
      </c>
      <c r="S55" s="81" t="s">
        <v>113</v>
      </c>
      <c r="T55" s="349">
        <v>42919</v>
      </c>
      <c r="U55" s="349">
        <v>42971</v>
      </c>
      <c r="V55" s="81" t="s">
        <v>155</v>
      </c>
      <c r="W55" s="81" t="s">
        <v>114</v>
      </c>
      <c r="Y55" s="81" t="s">
        <v>115</v>
      </c>
      <c r="Z55" s="81" t="s">
        <v>119</v>
      </c>
      <c r="AA55" s="81" t="s">
        <v>117</v>
      </c>
      <c r="AB55" s="81" t="s">
        <v>220</v>
      </c>
      <c r="AC55" s="166">
        <v>8.0000003799796104E-3</v>
      </c>
      <c r="AD55" s="349">
        <v>42936</v>
      </c>
      <c r="AE55" s="81" t="s">
        <v>155</v>
      </c>
      <c r="AF55" s="349">
        <v>43185</v>
      </c>
      <c r="AG55" s="81" t="s">
        <v>238</v>
      </c>
      <c r="AH55" s="81" t="s">
        <v>118</v>
      </c>
      <c r="AK55" s="166">
        <v>0</v>
      </c>
      <c r="AM55" s="166">
        <v>0</v>
      </c>
      <c r="AO55" s="166">
        <v>0</v>
      </c>
      <c r="AP55" s="166">
        <v>1</v>
      </c>
      <c r="AQ55" s="166">
        <v>1</v>
      </c>
      <c r="AR55" s="166">
        <v>-1</v>
      </c>
      <c r="AS55" s="166">
        <v>0</v>
      </c>
      <c r="AT55" s="166">
        <v>0</v>
      </c>
      <c r="AU55" s="166">
        <v>0</v>
      </c>
      <c r="AV55" s="166">
        <v>0</v>
      </c>
      <c r="AW55" s="166">
        <v>1</v>
      </c>
      <c r="AX55" s="166">
        <v>1</v>
      </c>
      <c r="AY55" s="166">
        <v>-1</v>
      </c>
      <c r="AZ55" s="166">
        <v>0</v>
      </c>
      <c r="BA55" s="166">
        <v>0</v>
      </c>
      <c r="BB55" s="166">
        <v>0</v>
      </c>
      <c r="BC55" s="166">
        <v>0</v>
      </c>
      <c r="BD55" s="166">
        <v>0</v>
      </c>
      <c r="BE55" s="166">
        <v>0</v>
      </c>
      <c r="BF55" s="166">
        <v>0</v>
      </c>
      <c r="BG55" s="166">
        <v>0</v>
      </c>
      <c r="BH55" s="166">
        <v>0</v>
      </c>
      <c r="BI55" s="166">
        <v>0</v>
      </c>
      <c r="BJ55" s="166">
        <v>0</v>
      </c>
      <c r="BK55" s="166">
        <v>0</v>
      </c>
      <c r="BL55" s="166">
        <v>0</v>
      </c>
      <c r="BM55" s="166">
        <v>0</v>
      </c>
      <c r="BN55" s="166">
        <v>0</v>
      </c>
      <c r="BO55" s="166">
        <v>0</v>
      </c>
      <c r="BP55" s="166">
        <v>0</v>
      </c>
      <c r="BQ55" s="81" t="s">
        <v>1757</v>
      </c>
      <c r="BZ55" s="81" t="s">
        <v>155</v>
      </c>
      <c r="CA55" s="81">
        <v>7</v>
      </c>
      <c r="CC55" s="167">
        <f>N55</f>
        <v>1</v>
      </c>
      <c r="CD55" s="167">
        <v>0</v>
      </c>
      <c r="CE55" s="167">
        <v>0</v>
      </c>
      <c r="CF55" s="167">
        <v>0</v>
      </c>
      <c r="CG55" s="167">
        <v>0</v>
      </c>
      <c r="CH55" s="167">
        <v>0</v>
      </c>
      <c r="CI55" s="167">
        <v>0</v>
      </c>
      <c r="CJ55" s="167">
        <v>0</v>
      </c>
      <c r="CK55" s="167">
        <v>0</v>
      </c>
      <c r="CL55" s="167">
        <v>0</v>
      </c>
      <c r="CM55" s="167">
        <v>0</v>
      </c>
      <c r="CN55" s="167">
        <v>0</v>
      </c>
      <c r="CO55" s="167">
        <v>0</v>
      </c>
      <c r="CP55" s="167">
        <v>0</v>
      </c>
      <c r="CQ55" s="167">
        <v>0</v>
      </c>
      <c r="CR55" s="167">
        <v>0</v>
      </c>
      <c r="CS55" s="167">
        <v>0</v>
      </c>
      <c r="CT55" s="167">
        <v>0</v>
      </c>
      <c r="CU55" s="167">
        <v>0</v>
      </c>
      <c r="CV55" s="167">
        <v>0</v>
      </c>
      <c r="CW55" s="167">
        <v>0</v>
      </c>
      <c r="CX55" s="167">
        <f>SUM(CD55:CH55)</f>
        <v>0</v>
      </c>
      <c r="CY55" s="167">
        <f>SUM(CD55:CM55)</f>
        <v>0</v>
      </c>
    </row>
    <row r="56" spans="1:103" ht="12.75" customHeight="1" x14ac:dyDescent="0.2">
      <c r="A56" s="81">
        <v>4047</v>
      </c>
      <c r="B56" s="165" t="s">
        <v>1924</v>
      </c>
      <c r="C56" s="165" t="s">
        <v>568</v>
      </c>
      <c r="E56" s="165" t="s">
        <v>3106</v>
      </c>
      <c r="G56" s="81">
        <v>524590</v>
      </c>
      <c r="H56" s="81">
        <v>175197</v>
      </c>
      <c r="I56" s="165" t="s">
        <v>259</v>
      </c>
      <c r="J56" s="349">
        <v>42857</v>
      </c>
      <c r="K56" s="349">
        <v>43108</v>
      </c>
      <c r="L56" s="166">
        <v>0</v>
      </c>
      <c r="M56" s="166">
        <v>1</v>
      </c>
      <c r="N56" s="166">
        <v>1</v>
      </c>
      <c r="O56" s="166">
        <v>1</v>
      </c>
      <c r="P56" s="166">
        <v>1</v>
      </c>
      <c r="R56" s="165" t="s">
        <v>569</v>
      </c>
      <c r="S56" s="81" t="s">
        <v>110</v>
      </c>
      <c r="T56" s="349">
        <v>42139</v>
      </c>
      <c r="U56" s="349">
        <v>42195</v>
      </c>
      <c r="W56" s="81" t="s">
        <v>114</v>
      </c>
      <c r="Y56" s="81" t="s">
        <v>115</v>
      </c>
      <c r="Z56" s="81" t="s">
        <v>310</v>
      </c>
      <c r="AA56" s="81" t="s">
        <v>117</v>
      </c>
      <c r="AB56" s="81" t="s">
        <v>399</v>
      </c>
      <c r="AC56" s="166">
        <v>8.0000003799796104E-3</v>
      </c>
      <c r="AD56" s="349">
        <v>42857</v>
      </c>
      <c r="AE56" s="81" t="s">
        <v>155</v>
      </c>
      <c r="AF56" s="349">
        <v>43108</v>
      </c>
      <c r="AG56" s="81" t="s">
        <v>238</v>
      </c>
      <c r="AH56" s="81" t="s">
        <v>118</v>
      </c>
      <c r="AK56" s="166">
        <v>0</v>
      </c>
      <c r="AM56" s="166">
        <v>0</v>
      </c>
      <c r="AO56" s="166">
        <v>0</v>
      </c>
      <c r="AP56" s="166">
        <v>0</v>
      </c>
      <c r="AQ56" s="166">
        <v>1</v>
      </c>
      <c r="AR56" s="166">
        <v>0</v>
      </c>
      <c r="AS56" s="166">
        <v>0</v>
      </c>
      <c r="AT56" s="166">
        <v>0</v>
      </c>
      <c r="AU56" s="166">
        <v>0</v>
      </c>
      <c r="AV56" s="166">
        <v>0</v>
      </c>
      <c r="AW56" s="166">
        <v>0</v>
      </c>
      <c r="AX56" s="166">
        <v>1</v>
      </c>
      <c r="AY56" s="166">
        <v>0</v>
      </c>
      <c r="AZ56" s="166">
        <v>0</v>
      </c>
      <c r="BA56" s="166">
        <v>0</v>
      </c>
      <c r="BB56" s="166">
        <v>0</v>
      </c>
      <c r="BC56" s="166">
        <v>0</v>
      </c>
      <c r="BD56" s="166">
        <v>0</v>
      </c>
      <c r="BE56" s="166">
        <v>0</v>
      </c>
      <c r="BF56" s="166">
        <v>0</v>
      </c>
      <c r="BG56" s="166">
        <v>0</v>
      </c>
      <c r="BH56" s="166">
        <v>0</v>
      </c>
      <c r="BI56" s="166">
        <v>0</v>
      </c>
      <c r="BJ56" s="166">
        <v>0</v>
      </c>
      <c r="BK56" s="166">
        <v>0</v>
      </c>
      <c r="BL56" s="166">
        <v>0</v>
      </c>
      <c r="BM56" s="166">
        <v>0</v>
      </c>
      <c r="BN56" s="166">
        <v>0</v>
      </c>
      <c r="BO56" s="166">
        <v>0</v>
      </c>
      <c r="BP56" s="166">
        <v>0</v>
      </c>
      <c r="BQ56" s="81" t="s">
        <v>1758</v>
      </c>
      <c r="BZ56" s="81" t="s">
        <v>155</v>
      </c>
      <c r="CA56" s="81">
        <v>7</v>
      </c>
      <c r="CC56" s="167">
        <f>N56</f>
        <v>1</v>
      </c>
      <c r="CD56" s="167">
        <v>0</v>
      </c>
      <c r="CE56" s="167">
        <v>0</v>
      </c>
      <c r="CF56" s="167">
        <v>0</v>
      </c>
      <c r="CG56" s="167">
        <v>0</v>
      </c>
      <c r="CH56" s="167">
        <v>0</v>
      </c>
      <c r="CI56" s="167">
        <v>0</v>
      </c>
      <c r="CJ56" s="167">
        <v>0</v>
      </c>
      <c r="CK56" s="167">
        <v>0</v>
      </c>
      <c r="CL56" s="167">
        <v>0</v>
      </c>
      <c r="CM56" s="167">
        <v>0</v>
      </c>
      <c r="CN56" s="167">
        <v>0</v>
      </c>
      <c r="CO56" s="167">
        <v>0</v>
      </c>
      <c r="CP56" s="167">
        <v>0</v>
      </c>
      <c r="CQ56" s="167">
        <v>0</v>
      </c>
      <c r="CR56" s="167">
        <v>0</v>
      </c>
      <c r="CS56" s="167">
        <v>0</v>
      </c>
      <c r="CT56" s="167">
        <v>0</v>
      </c>
      <c r="CU56" s="167">
        <v>0</v>
      </c>
      <c r="CV56" s="167">
        <v>0</v>
      </c>
      <c r="CW56" s="167">
        <v>0</v>
      </c>
      <c r="CX56" s="167">
        <f>SUM(CD56:CH56)</f>
        <v>0</v>
      </c>
      <c r="CY56" s="167">
        <f>SUM(CD56:CM56)</f>
        <v>0</v>
      </c>
    </row>
    <row r="57" spans="1:103" ht="12.75" customHeight="1" x14ac:dyDescent="0.2">
      <c r="A57" s="81">
        <v>4193</v>
      </c>
      <c r="B57" s="165" t="s">
        <v>1924</v>
      </c>
      <c r="C57" s="165" t="s">
        <v>3107</v>
      </c>
      <c r="E57" s="165" t="s">
        <v>3108</v>
      </c>
      <c r="G57" s="81">
        <v>528045</v>
      </c>
      <c r="H57" s="81">
        <v>172866</v>
      </c>
      <c r="I57" s="165" t="s">
        <v>254</v>
      </c>
      <c r="J57" s="349">
        <v>42909</v>
      </c>
      <c r="K57" s="349">
        <v>43190</v>
      </c>
      <c r="L57" s="166">
        <v>1</v>
      </c>
      <c r="M57" s="166">
        <v>3</v>
      </c>
      <c r="N57" s="166">
        <v>2</v>
      </c>
      <c r="O57" s="166">
        <v>3</v>
      </c>
      <c r="P57" s="166">
        <v>2</v>
      </c>
      <c r="R57" s="165" t="s">
        <v>3109</v>
      </c>
      <c r="S57" s="81" t="s">
        <v>113</v>
      </c>
      <c r="T57" s="349">
        <v>42853</v>
      </c>
      <c r="U57" s="349">
        <v>42909</v>
      </c>
      <c r="V57" s="81" t="s">
        <v>155</v>
      </c>
      <c r="W57" s="81" t="s">
        <v>114</v>
      </c>
      <c r="Y57" s="81" t="s">
        <v>115</v>
      </c>
      <c r="Z57" s="81" t="s">
        <v>398</v>
      </c>
      <c r="AA57" s="81" t="s">
        <v>117</v>
      </c>
      <c r="AB57" s="81" t="s">
        <v>120</v>
      </c>
      <c r="AC57" s="166">
        <v>1.7999999225139601E-2</v>
      </c>
      <c r="AD57" s="349">
        <v>42909</v>
      </c>
      <c r="AE57" s="81" t="s">
        <v>155</v>
      </c>
      <c r="AF57" s="349">
        <v>43190</v>
      </c>
      <c r="AG57" s="81" t="s">
        <v>238</v>
      </c>
      <c r="AH57" s="81" t="s">
        <v>118</v>
      </c>
      <c r="AK57" s="166">
        <v>0</v>
      </c>
      <c r="AM57" s="166">
        <v>0</v>
      </c>
      <c r="AO57" s="166">
        <v>0</v>
      </c>
      <c r="AP57" s="166">
        <v>1</v>
      </c>
      <c r="AQ57" s="166">
        <v>1</v>
      </c>
      <c r="AR57" s="166">
        <v>1</v>
      </c>
      <c r="AS57" s="166">
        <v>0</v>
      </c>
      <c r="AT57" s="166">
        <v>-1</v>
      </c>
      <c r="AU57" s="166">
        <v>0</v>
      </c>
      <c r="AV57" s="166">
        <v>0</v>
      </c>
      <c r="AW57" s="166">
        <v>1</v>
      </c>
      <c r="AX57" s="166">
        <v>1</v>
      </c>
      <c r="AY57" s="166">
        <v>1</v>
      </c>
      <c r="AZ57" s="166">
        <v>0</v>
      </c>
      <c r="BA57" s="166">
        <v>0</v>
      </c>
      <c r="BB57" s="166">
        <v>0</v>
      </c>
      <c r="BC57" s="166">
        <v>0</v>
      </c>
      <c r="BD57" s="166">
        <v>0</v>
      </c>
      <c r="BE57" s="166">
        <v>0</v>
      </c>
      <c r="BF57" s="166">
        <v>0</v>
      </c>
      <c r="BG57" s="166">
        <v>0</v>
      </c>
      <c r="BH57" s="166">
        <v>-1</v>
      </c>
      <c r="BI57" s="166">
        <v>0</v>
      </c>
      <c r="BJ57" s="166">
        <v>0</v>
      </c>
      <c r="BK57" s="166">
        <v>0</v>
      </c>
      <c r="BL57" s="166">
        <v>0</v>
      </c>
      <c r="BM57" s="166">
        <v>0</v>
      </c>
      <c r="BN57" s="166">
        <v>0</v>
      </c>
      <c r="BO57" s="166">
        <v>0</v>
      </c>
      <c r="BP57" s="166">
        <v>0</v>
      </c>
      <c r="BQ57" s="81" t="s">
        <v>1757</v>
      </c>
      <c r="BZ57" s="81" t="s">
        <v>155</v>
      </c>
      <c r="CA57" s="81">
        <v>7</v>
      </c>
      <c r="CC57" s="167">
        <f>N57</f>
        <v>2</v>
      </c>
      <c r="CD57" s="167">
        <v>0</v>
      </c>
      <c r="CE57" s="167">
        <v>0</v>
      </c>
      <c r="CF57" s="167">
        <v>0</v>
      </c>
      <c r="CG57" s="167">
        <v>0</v>
      </c>
      <c r="CH57" s="167">
        <v>0</v>
      </c>
      <c r="CI57" s="167">
        <v>0</v>
      </c>
      <c r="CJ57" s="167">
        <v>0</v>
      </c>
      <c r="CK57" s="167">
        <v>0</v>
      </c>
      <c r="CL57" s="167">
        <v>0</v>
      </c>
      <c r="CM57" s="167">
        <v>0</v>
      </c>
      <c r="CN57" s="167">
        <v>0</v>
      </c>
      <c r="CO57" s="167">
        <v>0</v>
      </c>
      <c r="CP57" s="167">
        <v>0</v>
      </c>
      <c r="CQ57" s="167">
        <v>0</v>
      </c>
      <c r="CR57" s="167">
        <v>0</v>
      </c>
      <c r="CS57" s="167">
        <v>0</v>
      </c>
      <c r="CT57" s="167">
        <v>0</v>
      </c>
      <c r="CU57" s="167">
        <v>0</v>
      </c>
      <c r="CV57" s="167">
        <v>0</v>
      </c>
      <c r="CW57" s="167">
        <v>0</v>
      </c>
      <c r="CX57" s="167">
        <f>SUM(CD57:CH57)</f>
        <v>0</v>
      </c>
      <c r="CY57" s="167">
        <f>SUM(CD57:CM57)</f>
        <v>0</v>
      </c>
    </row>
    <row r="58" spans="1:103" ht="12.75" customHeight="1" x14ac:dyDescent="0.2">
      <c r="A58" s="81">
        <v>4669</v>
      </c>
      <c r="B58" s="165" t="s">
        <v>1924</v>
      </c>
      <c r="C58" s="165" t="s">
        <v>86</v>
      </c>
      <c r="E58" s="165" t="s">
        <v>3110</v>
      </c>
      <c r="G58" s="81">
        <v>528025</v>
      </c>
      <c r="H58" s="81">
        <v>174475</v>
      </c>
      <c r="I58" s="165" t="s">
        <v>247</v>
      </c>
      <c r="J58" s="349">
        <v>42264</v>
      </c>
      <c r="K58" s="349">
        <v>43190</v>
      </c>
      <c r="L58" s="166">
        <v>1</v>
      </c>
      <c r="M58" s="166">
        <v>2</v>
      </c>
      <c r="N58" s="166">
        <v>1</v>
      </c>
      <c r="O58" s="166">
        <v>2</v>
      </c>
      <c r="P58" s="166">
        <v>1</v>
      </c>
      <c r="R58" s="165" t="s">
        <v>752</v>
      </c>
      <c r="S58" s="81" t="s">
        <v>113</v>
      </c>
      <c r="T58" s="349">
        <v>41820</v>
      </c>
      <c r="U58" s="349">
        <v>41926</v>
      </c>
      <c r="W58" s="81" t="s">
        <v>114</v>
      </c>
      <c r="Y58" s="81" t="s">
        <v>115</v>
      </c>
      <c r="Z58" s="81" t="s">
        <v>398</v>
      </c>
      <c r="AA58" s="81" t="s">
        <v>117</v>
      </c>
      <c r="AB58" s="81" t="s">
        <v>220</v>
      </c>
      <c r="AC58" s="166">
        <v>8.9999996125698107E-3</v>
      </c>
      <c r="AD58" s="349">
        <v>42264</v>
      </c>
      <c r="AF58" s="349">
        <v>43190</v>
      </c>
      <c r="AG58" s="81" t="s">
        <v>238</v>
      </c>
      <c r="AH58" s="81" t="s">
        <v>118</v>
      </c>
      <c r="AK58" s="166">
        <v>0</v>
      </c>
      <c r="AM58" s="166">
        <v>0</v>
      </c>
      <c r="AO58" s="166">
        <v>0</v>
      </c>
      <c r="AP58" s="166">
        <v>1</v>
      </c>
      <c r="AQ58" s="166">
        <v>-1</v>
      </c>
      <c r="AR58" s="166">
        <v>1</v>
      </c>
      <c r="AS58" s="166">
        <v>0</v>
      </c>
      <c r="AT58" s="166">
        <v>0</v>
      </c>
      <c r="AU58" s="166">
        <v>0</v>
      </c>
      <c r="AV58" s="166">
        <v>0</v>
      </c>
      <c r="AW58" s="166">
        <v>1</v>
      </c>
      <c r="AX58" s="166">
        <v>-1</v>
      </c>
      <c r="AY58" s="166">
        <v>1</v>
      </c>
      <c r="AZ58" s="166">
        <v>0</v>
      </c>
      <c r="BA58" s="166">
        <v>0</v>
      </c>
      <c r="BB58" s="166">
        <v>0</v>
      </c>
      <c r="BC58" s="166">
        <v>0</v>
      </c>
      <c r="BD58" s="166">
        <v>0</v>
      </c>
      <c r="BE58" s="166">
        <v>0</v>
      </c>
      <c r="BF58" s="166">
        <v>0</v>
      </c>
      <c r="BG58" s="166">
        <v>0</v>
      </c>
      <c r="BH58" s="166">
        <v>0</v>
      </c>
      <c r="BI58" s="166">
        <v>0</v>
      </c>
      <c r="BJ58" s="166">
        <v>0</v>
      </c>
      <c r="BK58" s="166">
        <v>0</v>
      </c>
      <c r="BL58" s="166">
        <v>0</v>
      </c>
      <c r="BM58" s="166">
        <v>0</v>
      </c>
      <c r="BN58" s="166">
        <v>0</v>
      </c>
      <c r="BO58" s="166">
        <v>0</v>
      </c>
      <c r="BP58" s="166">
        <v>0</v>
      </c>
      <c r="BQ58" s="81" t="s">
        <v>1757</v>
      </c>
      <c r="BZ58" s="81" t="s">
        <v>155</v>
      </c>
      <c r="CA58" s="81">
        <v>7</v>
      </c>
      <c r="CC58" s="167">
        <f>N58</f>
        <v>1</v>
      </c>
      <c r="CD58" s="167">
        <v>0</v>
      </c>
      <c r="CE58" s="167">
        <v>0</v>
      </c>
      <c r="CF58" s="167">
        <v>0</v>
      </c>
      <c r="CG58" s="167">
        <v>0</v>
      </c>
      <c r="CH58" s="167">
        <v>0</v>
      </c>
      <c r="CI58" s="167">
        <v>0</v>
      </c>
      <c r="CJ58" s="167">
        <v>0</v>
      </c>
      <c r="CK58" s="167">
        <v>0</v>
      </c>
      <c r="CL58" s="167">
        <v>0</v>
      </c>
      <c r="CM58" s="167">
        <v>0</v>
      </c>
      <c r="CN58" s="167">
        <v>0</v>
      </c>
      <c r="CO58" s="167">
        <v>0</v>
      </c>
      <c r="CP58" s="167">
        <v>0</v>
      </c>
      <c r="CQ58" s="167">
        <v>0</v>
      </c>
      <c r="CR58" s="167">
        <v>0</v>
      </c>
      <c r="CS58" s="167">
        <v>0</v>
      </c>
      <c r="CT58" s="167">
        <v>0</v>
      </c>
      <c r="CU58" s="167">
        <v>0</v>
      </c>
      <c r="CV58" s="167">
        <v>0</v>
      </c>
      <c r="CW58" s="167">
        <v>0</v>
      </c>
      <c r="CX58" s="167">
        <f>SUM(CD58:CH58)</f>
        <v>0</v>
      </c>
      <c r="CY58" s="167">
        <f>SUM(CD58:CM58)</f>
        <v>0</v>
      </c>
    </row>
    <row r="59" spans="1:103" ht="12.75" customHeight="1" x14ac:dyDescent="0.2">
      <c r="A59" s="81">
        <v>4718</v>
      </c>
      <c r="B59" s="165" t="s">
        <v>1924</v>
      </c>
      <c r="C59" s="165" t="s">
        <v>969</v>
      </c>
      <c r="D59" s="165" t="s">
        <v>406</v>
      </c>
      <c r="E59" s="165" t="s">
        <v>3089</v>
      </c>
      <c r="F59" s="165" t="s">
        <v>970</v>
      </c>
      <c r="G59" s="81">
        <v>529643</v>
      </c>
      <c r="H59" s="81">
        <v>177593</v>
      </c>
      <c r="I59" s="165" t="s">
        <v>240</v>
      </c>
      <c r="J59" s="349">
        <v>41275</v>
      </c>
      <c r="K59" s="349">
        <v>43190</v>
      </c>
      <c r="L59" s="166">
        <v>0</v>
      </c>
      <c r="M59" s="166">
        <v>1</v>
      </c>
      <c r="N59" s="166">
        <v>1</v>
      </c>
      <c r="O59" s="166">
        <v>8</v>
      </c>
      <c r="P59" s="166">
        <v>8</v>
      </c>
      <c r="Q59" s="81" t="s">
        <v>155</v>
      </c>
      <c r="R59" s="165" t="s">
        <v>971</v>
      </c>
      <c r="S59" s="81" t="s">
        <v>509</v>
      </c>
      <c r="T59" s="349">
        <v>42362</v>
      </c>
      <c r="U59" s="349">
        <v>42865</v>
      </c>
      <c r="V59" s="81" t="s">
        <v>155</v>
      </c>
      <c r="W59" s="81" t="s">
        <v>114</v>
      </c>
      <c r="Y59" s="81" t="s">
        <v>115</v>
      </c>
      <c r="Z59" s="81" t="s">
        <v>116</v>
      </c>
      <c r="AA59" s="81" t="s">
        <v>116</v>
      </c>
      <c r="AB59" s="81" t="s">
        <v>117</v>
      </c>
      <c r="AC59" s="166">
        <v>2.0000000949949E-3</v>
      </c>
      <c r="AD59" s="349">
        <v>41275</v>
      </c>
      <c r="AF59" s="349">
        <v>43190</v>
      </c>
      <c r="AG59" s="81" t="s">
        <v>238</v>
      </c>
      <c r="AH59" s="81" t="s">
        <v>118</v>
      </c>
      <c r="AI59" s="81" t="s">
        <v>3090</v>
      </c>
      <c r="AK59" s="166">
        <v>1</v>
      </c>
      <c r="AM59" s="166">
        <v>0</v>
      </c>
      <c r="AO59" s="166">
        <v>0</v>
      </c>
      <c r="AP59" s="166">
        <v>0</v>
      </c>
      <c r="AQ59" s="166">
        <v>1</v>
      </c>
      <c r="AR59" s="166">
        <v>0</v>
      </c>
      <c r="AS59" s="166">
        <v>0</v>
      </c>
      <c r="AT59" s="166">
        <v>0</v>
      </c>
      <c r="AU59" s="166">
        <v>0</v>
      </c>
      <c r="AV59" s="166">
        <v>0</v>
      </c>
      <c r="AW59" s="166">
        <v>0</v>
      </c>
      <c r="AX59" s="166">
        <v>1</v>
      </c>
      <c r="AY59" s="166">
        <v>0</v>
      </c>
      <c r="AZ59" s="166">
        <v>0</v>
      </c>
      <c r="BA59" s="166">
        <v>0</v>
      </c>
      <c r="BB59" s="166">
        <v>0</v>
      </c>
      <c r="BC59" s="166">
        <v>0</v>
      </c>
      <c r="BD59" s="166">
        <v>0</v>
      </c>
      <c r="BE59" s="166">
        <v>0</v>
      </c>
      <c r="BF59" s="166">
        <v>0</v>
      </c>
      <c r="BG59" s="166">
        <v>0</v>
      </c>
      <c r="BH59" s="166">
        <v>0</v>
      </c>
      <c r="BI59" s="166">
        <v>0</v>
      </c>
      <c r="BJ59" s="166">
        <v>0</v>
      </c>
      <c r="BK59" s="166">
        <v>0</v>
      </c>
      <c r="BL59" s="166">
        <v>0</v>
      </c>
      <c r="BM59" s="166">
        <v>0</v>
      </c>
      <c r="BN59" s="166">
        <v>0</v>
      </c>
      <c r="BO59" s="166">
        <v>0</v>
      </c>
      <c r="BP59" s="166">
        <v>0</v>
      </c>
      <c r="BQ59" s="81" t="s">
        <v>1759</v>
      </c>
      <c r="BS59" s="81" t="s">
        <v>155</v>
      </c>
      <c r="BZ59" s="81" t="s">
        <v>155</v>
      </c>
      <c r="CA59" s="81">
        <v>1</v>
      </c>
      <c r="CC59" s="167">
        <f>N59</f>
        <v>1</v>
      </c>
      <c r="CD59" s="167">
        <v>0</v>
      </c>
      <c r="CE59" s="167">
        <v>0</v>
      </c>
      <c r="CF59" s="167">
        <v>0</v>
      </c>
      <c r="CG59" s="167">
        <v>0</v>
      </c>
      <c r="CH59" s="167">
        <v>0</v>
      </c>
      <c r="CI59" s="167">
        <v>0</v>
      </c>
      <c r="CJ59" s="167">
        <v>0</v>
      </c>
      <c r="CK59" s="167">
        <v>0</v>
      </c>
      <c r="CL59" s="167">
        <v>0</v>
      </c>
      <c r="CM59" s="167">
        <v>0</v>
      </c>
      <c r="CN59" s="167">
        <v>0</v>
      </c>
      <c r="CO59" s="167">
        <v>0</v>
      </c>
      <c r="CP59" s="167">
        <v>0</v>
      </c>
      <c r="CQ59" s="167">
        <v>0</v>
      </c>
      <c r="CR59" s="167">
        <v>0</v>
      </c>
      <c r="CS59" s="167">
        <v>0</v>
      </c>
      <c r="CT59" s="167">
        <v>0</v>
      </c>
      <c r="CU59" s="167">
        <v>0</v>
      </c>
      <c r="CV59" s="167">
        <v>0</v>
      </c>
      <c r="CW59" s="167">
        <v>0</v>
      </c>
      <c r="CX59" s="167">
        <f>SUM(CD59:CH59)</f>
        <v>0</v>
      </c>
      <c r="CY59" s="167">
        <f>SUM(CD59:CM59)</f>
        <v>0</v>
      </c>
    </row>
    <row r="60" spans="1:103" ht="12.75" customHeight="1" x14ac:dyDescent="0.2">
      <c r="A60" s="81">
        <v>4718</v>
      </c>
      <c r="B60" s="165" t="s">
        <v>1924</v>
      </c>
      <c r="C60" s="165" t="s">
        <v>969</v>
      </c>
      <c r="D60" s="165" t="s">
        <v>406</v>
      </c>
      <c r="E60" s="165" t="s">
        <v>3089</v>
      </c>
      <c r="F60" s="165" t="s">
        <v>972</v>
      </c>
      <c r="G60" s="81">
        <v>529643</v>
      </c>
      <c r="H60" s="81">
        <v>177593</v>
      </c>
      <c r="I60" s="165" t="s">
        <v>240</v>
      </c>
      <c r="J60" s="349">
        <v>41275</v>
      </c>
      <c r="K60" s="349">
        <v>43190</v>
      </c>
      <c r="L60" s="166">
        <v>0</v>
      </c>
      <c r="M60" s="166">
        <v>6</v>
      </c>
      <c r="N60" s="166">
        <v>6</v>
      </c>
      <c r="O60" s="166">
        <v>8</v>
      </c>
      <c r="P60" s="166">
        <v>8</v>
      </c>
      <c r="Q60" s="81" t="s">
        <v>155</v>
      </c>
      <c r="R60" s="165" t="s">
        <v>971</v>
      </c>
      <c r="S60" s="81" t="s">
        <v>509</v>
      </c>
      <c r="T60" s="349">
        <v>42362</v>
      </c>
      <c r="U60" s="349">
        <v>42865</v>
      </c>
      <c r="V60" s="81" t="s">
        <v>155</v>
      </c>
      <c r="W60" s="81" t="s">
        <v>114</v>
      </c>
      <c r="Y60" s="81" t="s">
        <v>115</v>
      </c>
      <c r="Z60" s="81" t="s">
        <v>116</v>
      </c>
      <c r="AA60" s="81" t="s">
        <v>116</v>
      </c>
      <c r="AB60" s="81" t="s">
        <v>117</v>
      </c>
      <c r="AC60" s="166">
        <v>7.0000002160668399E-3</v>
      </c>
      <c r="AD60" s="349">
        <v>41275</v>
      </c>
      <c r="AF60" s="349">
        <v>43190</v>
      </c>
      <c r="AG60" s="81" t="s">
        <v>238</v>
      </c>
      <c r="AH60" s="81" t="s">
        <v>118</v>
      </c>
      <c r="AI60" s="81" t="s">
        <v>3090</v>
      </c>
      <c r="AK60" s="166">
        <v>6</v>
      </c>
      <c r="AM60" s="166">
        <v>1</v>
      </c>
      <c r="AO60" s="166">
        <v>0</v>
      </c>
      <c r="AP60" s="166">
        <v>3</v>
      </c>
      <c r="AQ60" s="166">
        <v>2</v>
      </c>
      <c r="AR60" s="166">
        <v>1</v>
      </c>
      <c r="AS60" s="166">
        <v>0</v>
      </c>
      <c r="AT60" s="166">
        <v>0</v>
      </c>
      <c r="AU60" s="166">
        <v>0</v>
      </c>
      <c r="AV60" s="166">
        <v>0</v>
      </c>
      <c r="AW60" s="166">
        <v>3</v>
      </c>
      <c r="AX60" s="166">
        <v>2</v>
      </c>
      <c r="AY60" s="166">
        <v>1</v>
      </c>
      <c r="AZ60" s="166">
        <v>0</v>
      </c>
      <c r="BA60" s="166">
        <v>0</v>
      </c>
      <c r="BB60" s="166">
        <v>0</v>
      </c>
      <c r="BC60" s="166">
        <v>0</v>
      </c>
      <c r="BD60" s="166">
        <v>0</v>
      </c>
      <c r="BE60" s="166">
        <v>0</v>
      </c>
      <c r="BF60" s="166">
        <v>0</v>
      </c>
      <c r="BG60" s="166">
        <v>0</v>
      </c>
      <c r="BH60" s="166">
        <v>0</v>
      </c>
      <c r="BI60" s="166">
        <v>0</v>
      </c>
      <c r="BJ60" s="166">
        <v>0</v>
      </c>
      <c r="BK60" s="166">
        <v>0</v>
      </c>
      <c r="BL60" s="166">
        <v>0</v>
      </c>
      <c r="BM60" s="166">
        <v>0</v>
      </c>
      <c r="BN60" s="166">
        <v>0</v>
      </c>
      <c r="BO60" s="166">
        <v>0</v>
      </c>
      <c r="BP60" s="166">
        <v>0</v>
      </c>
      <c r="BQ60" s="81" t="s">
        <v>1759</v>
      </c>
      <c r="BS60" s="81" t="s">
        <v>155</v>
      </c>
      <c r="BZ60" s="81" t="s">
        <v>155</v>
      </c>
      <c r="CA60" s="81">
        <v>1</v>
      </c>
      <c r="CC60" s="167">
        <f>N60</f>
        <v>6</v>
      </c>
      <c r="CD60" s="167">
        <v>0</v>
      </c>
      <c r="CE60" s="167">
        <v>0</v>
      </c>
      <c r="CF60" s="167">
        <v>0</v>
      </c>
      <c r="CG60" s="167">
        <v>0</v>
      </c>
      <c r="CH60" s="167">
        <v>0</v>
      </c>
      <c r="CI60" s="167">
        <v>0</v>
      </c>
      <c r="CJ60" s="167">
        <v>0</v>
      </c>
      <c r="CK60" s="167">
        <v>0</v>
      </c>
      <c r="CL60" s="167">
        <v>0</v>
      </c>
      <c r="CM60" s="167">
        <v>0</v>
      </c>
      <c r="CN60" s="167">
        <v>0</v>
      </c>
      <c r="CO60" s="167">
        <v>0</v>
      </c>
      <c r="CP60" s="167">
        <v>0</v>
      </c>
      <c r="CQ60" s="167">
        <v>0</v>
      </c>
      <c r="CR60" s="167">
        <v>0</v>
      </c>
      <c r="CS60" s="167">
        <v>0</v>
      </c>
      <c r="CT60" s="167">
        <v>0</v>
      </c>
      <c r="CU60" s="167">
        <v>0</v>
      </c>
      <c r="CV60" s="167">
        <v>0</v>
      </c>
      <c r="CW60" s="167">
        <v>0</v>
      </c>
      <c r="CX60" s="167">
        <f>SUM(CD60:CH60)</f>
        <v>0</v>
      </c>
      <c r="CY60" s="167">
        <f>SUM(CD60:CM60)</f>
        <v>0</v>
      </c>
    </row>
    <row r="61" spans="1:103" ht="12.75" customHeight="1" x14ac:dyDescent="0.2">
      <c r="A61" s="81">
        <v>4718</v>
      </c>
      <c r="B61" s="165" t="s">
        <v>1924</v>
      </c>
      <c r="C61" s="165" t="s">
        <v>969</v>
      </c>
      <c r="D61" s="165" t="s">
        <v>406</v>
      </c>
      <c r="E61" s="165" t="s">
        <v>3089</v>
      </c>
      <c r="F61" s="165" t="s">
        <v>973</v>
      </c>
      <c r="G61" s="81">
        <v>529643</v>
      </c>
      <c r="H61" s="81">
        <v>177593</v>
      </c>
      <c r="I61" s="165" t="s">
        <v>240</v>
      </c>
      <c r="J61" s="349">
        <v>41275</v>
      </c>
      <c r="K61" s="349">
        <v>43190</v>
      </c>
      <c r="L61" s="166">
        <v>0</v>
      </c>
      <c r="M61" s="166">
        <v>1</v>
      </c>
      <c r="N61" s="166">
        <v>1</v>
      </c>
      <c r="O61" s="166">
        <v>8</v>
      </c>
      <c r="P61" s="166">
        <v>8</v>
      </c>
      <c r="Q61" s="81" t="s">
        <v>155</v>
      </c>
      <c r="R61" s="165" t="s">
        <v>971</v>
      </c>
      <c r="S61" s="81" t="s">
        <v>509</v>
      </c>
      <c r="T61" s="349">
        <v>42362</v>
      </c>
      <c r="U61" s="349">
        <v>42865</v>
      </c>
      <c r="V61" s="81" t="s">
        <v>155</v>
      </c>
      <c r="W61" s="81" t="s">
        <v>114</v>
      </c>
      <c r="Y61" s="81" t="s">
        <v>115</v>
      </c>
      <c r="Z61" s="81" t="s">
        <v>116</v>
      </c>
      <c r="AA61" s="81" t="s">
        <v>116</v>
      </c>
      <c r="AB61" s="81" t="s">
        <v>117</v>
      </c>
      <c r="AC61" s="166">
        <v>1.00000004749745E-3</v>
      </c>
      <c r="AD61" s="349">
        <v>41275</v>
      </c>
      <c r="AF61" s="349">
        <v>43190</v>
      </c>
      <c r="AG61" s="81" t="s">
        <v>238</v>
      </c>
      <c r="AH61" s="81" t="s">
        <v>118</v>
      </c>
      <c r="AI61" s="81" t="s">
        <v>3090</v>
      </c>
      <c r="AK61" s="166">
        <v>1</v>
      </c>
      <c r="AM61" s="166">
        <v>0</v>
      </c>
      <c r="AO61" s="166">
        <v>0</v>
      </c>
      <c r="AP61" s="166">
        <v>1</v>
      </c>
      <c r="AQ61" s="166">
        <v>0</v>
      </c>
      <c r="AR61" s="166">
        <v>0</v>
      </c>
      <c r="AS61" s="166">
        <v>0</v>
      </c>
      <c r="AT61" s="166">
        <v>0</v>
      </c>
      <c r="AU61" s="166">
        <v>0</v>
      </c>
      <c r="AV61" s="166">
        <v>0</v>
      </c>
      <c r="AW61" s="166">
        <v>1</v>
      </c>
      <c r="AX61" s="166">
        <v>0</v>
      </c>
      <c r="AY61" s="166">
        <v>0</v>
      </c>
      <c r="AZ61" s="166">
        <v>0</v>
      </c>
      <c r="BA61" s="166">
        <v>0</v>
      </c>
      <c r="BB61" s="166">
        <v>0</v>
      </c>
      <c r="BC61" s="166">
        <v>0</v>
      </c>
      <c r="BD61" s="166">
        <v>0</v>
      </c>
      <c r="BE61" s="166">
        <v>0</v>
      </c>
      <c r="BF61" s="166">
        <v>0</v>
      </c>
      <c r="BG61" s="166">
        <v>0</v>
      </c>
      <c r="BH61" s="166">
        <v>0</v>
      </c>
      <c r="BI61" s="166">
        <v>0</v>
      </c>
      <c r="BJ61" s="166">
        <v>0</v>
      </c>
      <c r="BK61" s="166">
        <v>0</v>
      </c>
      <c r="BL61" s="166">
        <v>0</v>
      </c>
      <c r="BM61" s="166">
        <v>0</v>
      </c>
      <c r="BN61" s="166">
        <v>0</v>
      </c>
      <c r="BO61" s="166">
        <v>0</v>
      </c>
      <c r="BP61" s="166">
        <v>0</v>
      </c>
      <c r="BQ61" s="81" t="s">
        <v>1759</v>
      </c>
      <c r="BS61" s="81" t="s">
        <v>155</v>
      </c>
      <c r="BZ61" s="81" t="s">
        <v>155</v>
      </c>
      <c r="CA61" s="81">
        <v>1</v>
      </c>
      <c r="CC61" s="167">
        <f>N61</f>
        <v>1</v>
      </c>
      <c r="CD61" s="167">
        <v>0</v>
      </c>
      <c r="CE61" s="167">
        <v>0</v>
      </c>
      <c r="CF61" s="167">
        <v>0</v>
      </c>
      <c r="CG61" s="167">
        <v>0</v>
      </c>
      <c r="CH61" s="167">
        <v>0</v>
      </c>
      <c r="CI61" s="167">
        <v>0</v>
      </c>
      <c r="CJ61" s="167">
        <v>0</v>
      </c>
      <c r="CK61" s="167">
        <v>0</v>
      </c>
      <c r="CL61" s="167">
        <v>0</v>
      </c>
      <c r="CM61" s="167">
        <v>0</v>
      </c>
      <c r="CN61" s="167">
        <v>0</v>
      </c>
      <c r="CO61" s="167">
        <v>0</v>
      </c>
      <c r="CP61" s="167">
        <v>0</v>
      </c>
      <c r="CQ61" s="167">
        <v>0</v>
      </c>
      <c r="CR61" s="167">
        <v>0</v>
      </c>
      <c r="CS61" s="167">
        <v>0</v>
      </c>
      <c r="CT61" s="167">
        <v>0</v>
      </c>
      <c r="CU61" s="167">
        <v>0</v>
      </c>
      <c r="CV61" s="167">
        <v>0</v>
      </c>
      <c r="CW61" s="167">
        <v>0</v>
      </c>
      <c r="CX61" s="167">
        <f>SUM(CD61:CH61)</f>
        <v>0</v>
      </c>
      <c r="CY61" s="167">
        <f>SUM(CD61:CM61)</f>
        <v>0</v>
      </c>
    </row>
    <row r="62" spans="1:103" ht="12.75" customHeight="1" x14ac:dyDescent="0.2">
      <c r="A62" s="81">
        <v>4748</v>
      </c>
      <c r="B62" s="165" t="s">
        <v>1924</v>
      </c>
      <c r="C62" s="165" t="s">
        <v>515</v>
      </c>
      <c r="E62" s="165" t="s">
        <v>3113</v>
      </c>
      <c r="G62" s="81">
        <v>529231</v>
      </c>
      <c r="H62" s="81">
        <v>171142</v>
      </c>
      <c r="I62" s="165" t="s">
        <v>252</v>
      </c>
      <c r="J62" s="349">
        <v>42277</v>
      </c>
      <c r="K62" s="349">
        <v>42920</v>
      </c>
      <c r="L62" s="166">
        <v>0</v>
      </c>
      <c r="M62" s="166">
        <v>1</v>
      </c>
      <c r="N62" s="166">
        <v>1</v>
      </c>
      <c r="O62" s="166">
        <v>1</v>
      </c>
      <c r="P62" s="166">
        <v>1</v>
      </c>
      <c r="R62" s="165" t="s">
        <v>750</v>
      </c>
      <c r="S62" s="81" t="s">
        <v>113</v>
      </c>
      <c r="T62" s="349">
        <v>41773</v>
      </c>
      <c r="U62" s="349">
        <v>41828</v>
      </c>
      <c r="W62" s="81" t="s">
        <v>114</v>
      </c>
      <c r="Y62" s="81" t="s">
        <v>115</v>
      </c>
      <c r="Z62" s="81" t="s">
        <v>310</v>
      </c>
      <c r="AA62" s="81" t="s">
        <v>117</v>
      </c>
      <c r="AB62" s="81" t="s">
        <v>399</v>
      </c>
      <c r="AC62" s="166">
        <v>4.9999998882412902E-3</v>
      </c>
      <c r="AD62" s="349">
        <v>42277</v>
      </c>
      <c r="AF62" s="349">
        <v>42920</v>
      </c>
      <c r="AG62" s="81" t="s">
        <v>238</v>
      </c>
      <c r="AH62" s="81" t="s">
        <v>118</v>
      </c>
      <c r="AK62" s="166">
        <v>0</v>
      </c>
      <c r="AM62" s="166">
        <v>0</v>
      </c>
      <c r="AO62" s="166">
        <v>0</v>
      </c>
      <c r="AP62" s="166">
        <v>1</v>
      </c>
      <c r="AQ62" s="166">
        <v>0</v>
      </c>
      <c r="AR62" s="166">
        <v>0</v>
      </c>
      <c r="AS62" s="166">
        <v>0</v>
      </c>
      <c r="AT62" s="166">
        <v>0</v>
      </c>
      <c r="AU62" s="166">
        <v>0</v>
      </c>
      <c r="AV62" s="166">
        <v>0</v>
      </c>
      <c r="AW62" s="166">
        <v>1</v>
      </c>
      <c r="AX62" s="166">
        <v>0</v>
      </c>
      <c r="AY62" s="166">
        <v>0</v>
      </c>
      <c r="AZ62" s="166">
        <v>0</v>
      </c>
      <c r="BA62" s="166">
        <v>0</v>
      </c>
      <c r="BB62" s="166">
        <v>0</v>
      </c>
      <c r="BC62" s="166">
        <v>0</v>
      </c>
      <c r="BD62" s="166">
        <v>0</v>
      </c>
      <c r="BE62" s="166">
        <v>0</v>
      </c>
      <c r="BF62" s="166">
        <v>0</v>
      </c>
      <c r="BG62" s="166">
        <v>0</v>
      </c>
      <c r="BH62" s="166">
        <v>0</v>
      </c>
      <c r="BI62" s="166">
        <v>0</v>
      </c>
      <c r="BJ62" s="166">
        <v>0</v>
      </c>
      <c r="BK62" s="166">
        <v>0</v>
      </c>
      <c r="BL62" s="166">
        <v>0</v>
      </c>
      <c r="BM62" s="166">
        <v>0</v>
      </c>
      <c r="BN62" s="166">
        <v>0</v>
      </c>
      <c r="BO62" s="166">
        <v>0</v>
      </c>
      <c r="BP62" s="166">
        <v>0</v>
      </c>
      <c r="BQ62" s="81" t="s">
        <v>1757</v>
      </c>
      <c r="BZ62" s="81" t="s">
        <v>155</v>
      </c>
      <c r="CA62" s="81">
        <v>7</v>
      </c>
      <c r="CC62" s="167">
        <f>N62</f>
        <v>1</v>
      </c>
      <c r="CD62" s="167">
        <v>0</v>
      </c>
      <c r="CE62" s="167">
        <v>0</v>
      </c>
      <c r="CF62" s="167">
        <v>0</v>
      </c>
      <c r="CG62" s="167">
        <v>0</v>
      </c>
      <c r="CH62" s="167">
        <v>0</v>
      </c>
      <c r="CI62" s="167">
        <v>0</v>
      </c>
      <c r="CJ62" s="167">
        <v>0</v>
      </c>
      <c r="CK62" s="167">
        <v>0</v>
      </c>
      <c r="CL62" s="167">
        <v>0</v>
      </c>
      <c r="CM62" s="167">
        <v>0</v>
      </c>
      <c r="CN62" s="167">
        <v>0</v>
      </c>
      <c r="CO62" s="167">
        <v>0</v>
      </c>
      <c r="CP62" s="167">
        <v>0</v>
      </c>
      <c r="CQ62" s="167">
        <v>0</v>
      </c>
      <c r="CR62" s="167">
        <v>0</v>
      </c>
      <c r="CS62" s="167">
        <v>0</v>
      </c>
      <c r="CT62" s="167">
        <v>0</v>
      </c>
      <c r="CU62" s="167">
        <v>0</v>
      </c>
      <c r="CV62" s="167">
        <v>0</v>
      </c>
      <c r="CW62" s="167">
        <v>0</v>
      </c>
      <c r="CX62" s="167">
        <f>SUM(CD62:CH62)</f>
        <v>0</v>
      </c>
      <c r="CY62" s="167">
        <f>SUM(CD62:CM62)</f>
        <v>0</v>
      </c>
    </row>
    <row r="63" spans="1:103" ht="12.75" customHeight="1" x14ac:dyDescent="0.2">
      <c r="A63" s="81">
        <v>4748</v>
      </c>
      <c r="B63" s="165" t="s">
        <v>1924</v>
      </c>
      <c r="C63" s="165" t="s">
        <v>3114</v>
      </c>
      <c r="E63" s="165" t="s">
        <v>3113</v>
      </c>
      <c r="G63" s="81">
        <v>529231</v>
      </c>
      <c r="H63" s="81">
        <v>171142</v>
      </c>
      <c r="I63" s="165" t="s">
        <v>252</v>
      </c>
      <c r="J63" s="349">
        <v>42942</v>
      </c>
      <c r="K63" s="349">
        <v>42942</v>
      </c>
      <c r="L63" s="166">
        <v>1</v>
      </c>
      <c r="M63" s="166">
        <v>1</v>
      </c>
      <c r="N63" s="166">
        <v>0</v>
      </c>
      <c r="O63" s="166">
        <v>1</v>
      </c>
      <c r="P63" s="166">
        <v>0</v>
      </c>
      <c r="R63" s="165" t="s">
        <v>3115</v>
      </c>
      <c r="S63" s="81" t="s">
        <v>113</v>
      </c>
      <c r="T63" s="349">
        <v>42886</v>
      </c>
      <c r="U63" s="349">
        <v>42942</v>
      </c>
      <c r="V63" s="81" t="s">
        <v>155</v>
      </c>
      <c r="W63" s="81" t="s">
        <v>114</v>
      </c>
      <c r="Y63" s="81" t="s">
        <v>115</v>
      </c>
      <c r="Z63" s="81" t="s">
        <v>398</v>
      </c>
      <c r="AA63" s="81" t="s">
        <v>117</v>
      </c>
      <c r="AB63" s="81" t="s">
        <v>220</v>
      </c>
      <c r="AC63" s="166">
        <v>4.9999998882412902E-3</v>
      </c>
      <c r="AD63" s="349">
        <v>42942</v>
      </c>
      <c r="AE63" s="81" t="s">
        <v>155</v>
      </c>
      <c r="AF63" s="349">
        <v>42942</v>
      </c>
      <c r="AG63" s="81" t="s">
        <v>238</v>
      </c>
      <c r="AH63" s="81" t="s">
        <v>118</v>
      </c>
      <c r="AK63" s="166">
        <v>0</v>
      </c>
      <c r="AM63" s="166">
        <v>0</v>
      </c>
      <c r="AO63" s="166">
        <v>0</v>
      </c>
      <c r="AP63" s="166">
        <v>-1</v>
      </c>
      <c r="AQ63" s="166">
        <v>1</v>
      </c>
      <c r="AR63" s="166">
        <v>0</v>
      </c>
      <c r="AS63" s="166">
        <v>0</v>
      </c>
      <c r="AT63" s="166">
        <v>0</v>
      </c>
      <c r="AU63" s="166">
        <v>0</v>
      </c>
      <c r="AV63" s="166">
        <v>0</v>
      </c>
      <c r="AW63" s="166">
        <v>-1</v>
      </c>
      <c r="AX63" s="166">
        <v>1</v>
      </c>
      <c r="AY63" s="166">
        <v>0</v>
      </c>
      <c r="AZ63" s="166">
        <v>0</v>
      </c>
      <c r="BA63" s="166">
        <v>0</v>
      </c>
      <c r="BB63" s="166">
        <v>0</v>
      </c>
      <c r="BC63" s="166">
        <v>0</v>
      </c>
      <c r="BD63" s="166">
        <v>0</v>
      </c>
      <c r="BE63" s="166">
        <v>0</v>
      </c>
      <c r="BF63" s="166">
        <v>0</v>
      </c>
      <c r="BG63" s="166">
        <v>0</v>
      </c>
      <c r="BH63" s="166">
        <v>0</v>
      </c>
      <c r="BI63" s="166">
        <v>0</v>
      </c>
      <c r="BJ63" s="166">
        <v>0</v>
      </c>
      <c r="BK63" s="166">
        <v>0</v>
      </c>
      <c r="BL63" s="166">
        <v>0</v>
      </c>
      <c r="BM63" s="166">
        <v>0</v>
      </c>
      <c r="BN63" s="166">
        <v>0</v>
      </c>
      <c r="BO63" s="166">
        <v>0</v>
      </c>
      <c r="BP63" s="166">
        <v>0</v>
      </c>
      <c r="BQ63" s="81" t="s">
        <v>1757</v>
      </c>
      <c r="BZ63" s="81" t="s">
        <v>155</v>
      </c>
      <c r="CA63" s="81">
        <v>7</v>
      </c>
      <c r="CC63" s="167">
        <f>N63</f>
        <v>0</v>
      </c>
      <c r="CD63" s="167">
        <v>0</v>
      </c>
      <c r="CE63" s="167">
        <v>0</v>
      </c>
      <c r="CF63" s="167">
        <v>0</v>
      </c>
      <c r="CG63" s="167">
        <v>0</v>
      </c>
      <c r="CH63" s="167">
        <v>0</v>
      </c>
      <c r="CI63" s="167">
        <v>0</v>
      </c>
      <c r="CJ63" s="167">
        <v>0</v>
      </c>
      <c r="CK63" s="167">
        <v>0</v>
      </c>
      <c r="CL63" s="167">
        <v>0</v>
      </c>
      <c r="CM63" s="167">
        <v>0</v>
      </c>
      <c r="CN63" s="167">
        <v>0</v>
      </c>
      <c r="CO63" s="167">
        <v>0</v>
      </c>
      <c r="CP63" s="167">
        <v>0</v>
      </c>
      <c r="CQ63" s="167">
        <v>0</v>
      </c>
      <c r="CR63" s="167">
        <v>0</v>
      </c>
      <c r="CS63" s="167">
        <v>0</v>
      </c>
      <c r="CT63" s="167">
        <v>0</v>
      </c>
      <c r="CU63" s="167">
        <v>0</v>
      </c>
      <c r="CV63" s="167">
        <v>0</v>
      </c>
      <c r="CW63" s="167">
        <v>0</v>
      </c>
      <c r="CX63" s="167">
        <f>SUM(CD63:CH63)</f>
        <v>0</v>
      </c>
      <c r="CY63" s="167">
        <f>SUM(CD63:CM63)</f>
        <v>0</v>
      </c>
    </row>
    <row r="64" spans="1:103" ht="12.75" customHeight="1" x14ac:dyDescent="0.2">
      <c r="A64" s="81">
        <v>4774</v>
      </c>
      <c r="B64" s="165" t="s">
        <v>1924</v>
      </c>
      <c r="C64" s="165" t="s">
        <v>302</v>
      </c>
      <c r="E64" s="165" t="s">
        <v>3116</v>
      </c>
      <c r="G64" s="81">
        <v>527896</v>
      </c>
      <c r="H64" s="81">
        <v>172432</v>
      </c>
      <c r="I64" s="165" t="s">
        <v>254</v>
      </c>
      <c r="J64" s="349">
        <v>42409</v>
      </c>
      <c r="K64" s="349">
        <v>43074</v>
      </c>
      <c r="L64" s="166">
        <v>0</v>
      </c>
      <c r="M64" s="166">
        <v>1</v>
      </c>
      <c r="N64" s="166">
        <v>1</v>
      </c>
      <c r="O64" s="166">
        <v>1</v>
      </c>
      <c r="P64" s="166">
        <v>1</v>
      </c>
      <c r="R64" s="165" t="s">
        <v>303</v>
      </c>
      <c r="S64" s="81" t="s">
        <v>113</v>
      </c>
      <c r="T64" s="349">
        <v>42010</v>
      </c>
      <c r="U64" s="349">
        <v>42066</v>
      </c>
      <c r="W64" s="81" t="s">
        <v>114</v>
      </c>
      <c r="Y64" s="81" t="s">
        <v>115</v>
      </c>
      <c r="Z64" s="81" t="s">
        <v>310</v>
      </c>
      <c r="AA64" s="81" t="s">
        <v>117</v>
      </c>
      <c r="AB64" s="81" t="s">
        <v>102</v>
      </c>
      <c r="AC64" s="166">
        <v>6.0000000521540598E-3</v>
      </c>
      <c r="AD64" s="349">
        <v>42409</v>
      </c>
      <c r="AF64" s="349">
        <v>43074</v>
      </c>
      <c r="AG64" s="81" t="s">
        <v>238</v>
      </c>
      <c r="AH64" s="81" t="s">
        <v>118</v>
      </c>
      <c r="AK64" s="166">
        <v>0</v>
      </c>
      <c r="AM64" s="166">
        <v>0</v>
      </c>
      <c r="AO64" s="166">
        <v>0</v>
      </c>
      <c r="AP64" s="166">
        <v>1</v>
      </c>
      <c r="AQ64" s="166">
        <v>0</v>
      </c>
      <c r="AR64" s="166">
        <v>0</v>
      </c>
      <c r="AS64" s="166">
        <v>0</v>
      </c>
      <c r="AT64" s="166">
        <v>0</v>
      </c>
      <c r="AU64" s="166">
        <v>0</v>
      </c>
      <c r="AV64" s="166">
        <v>0</v>
      </c>
      <c r="AW64" s="166">
        <v>1</v>
      </c>
      <c r="AX64" s="166">
        <v>0</v>
      </c>
      <c r="AY64" s="166">
        <v>0</v>
      </c>
      <c r="AZ64" s="166">
        <v>0</v>
      </c>
      <c r="BA64" s="166">
        <v>0</v>
      </c>
      <c r="BB64" s="166">
        <v>0</v>
      </c>
      <c r="BC64" s="166">
        <v>0</v>
      </c>
      <c r="BD64" s="166">
        <v>0</v>
      </c>
      <c r="BE64" s="166">
        <v>0</v>
      </c>
      <c r="BF64" s="166">
        <v>0</v>
      </c>
      <c r="BG64" s="166">
        <v>0</v>
      </c>
      <c r="BH64" s="166">
        <v>0</v>
      </c>
      <c r="BI64" s="166">
        <v>0</v>
      </c>
      <c r="BJ64" s="166">
        <v>0</v>
      </c>
      <c r="BK64" s="166">
        <v>0</v>
      </c>
      <c r="BL64" s="166">
        <v>0</v>
      </c>
      <c r="BM64" s="166">
        <v>0</v>
      </c>
      <c r="BN64" s="166">
        <v>0</v>
      </c>
      <c r="BO64" s="166">
        <v>0</v>
      </c>
      <c r="BP64" s="166">
        <v>0</v>
      </c>
      <c r="BQ64" s="81" t="s">
        <v>1757</v>
      </c>
      <c r="BZ64" s="81" t="s">
        <v>155</v>
      </c>
      <c r="CA64" s="81">
        <v>7</v>
      </c>
      <c r="CC64" s="167">
        <f>N64</f>
        <v>1</v>
      </c>
      <c r="CD64" s="167">
        <v>0</v>
      </c>
      <c r="CE64" s="167">
        <v>0</v>
      </c>
      <c r="CF64" s="167">
        <v>0</v>
      </c>
      <c r="CG64" s="167">
        <v>0</v>
      </c>
      <c r="CH64" s="167">
        <v>0</v>
      </c>
      <c r="CI64" s="167">
        <v>0</v>
      </c>
      <c r="CJ64" s="167">
        <v>0</v>
      </c>
      <c r="CK64" s="167">
        <v>0</v>
      </c>
      <c r="CL64" s="167">
        <v>0</v>
      </c>
      <c r="CM64" s="167">
        <v>0</v>
      </c>
      <c r="CN64" s="167">
        <v>0</v>
      </c>
      <c r="CO64" s="167">
        <v>0</v>
      </c>
      <c r="CP64" s="167">
        <v>0</v>
      </c>
      <c r="CQ64" s="167">
        <v>0</v>
      </c>
      <c r="CR64" s="167">
        <v>0</v>
      </c>
      <c r="CS64" s="167">
        <v>0</v>
      </c>
      <c r="CT64" s="167">
        <v>0</v>
      </c>
      <c r="CU64" s="167">
        <v>0</v>
      </c>
      <c r="CV64" s="167">
        <v>0</v>
      </c>
      <c r="CW64" s="167">
        <v>0</v>
      </c>
      <c r="CX64" s="167">
        <f>SUM(CD64:CH64)</f>
        <v>0</v>
      </c>
      <c r="CY64" s="167">
        <f>SUM(CD64:CM64)</f>
        <v>0</v>
      </c>
    </row>
    <row r="65" spans="1:103" ht="12.75" customHeight="1" x14ac:dyDescent="0.2">
      <c r="A65" s="81">
        <v>4775</v>
      </c>
      <c r="B65" s="165" t="s">
        <v>1924</v>
      </c>
      <c r="C65" s="165" t="s">
        <v>35</v>
      </c>
      <c r="E65" s="165" t="s">
        <v>2104</v>
      </c>
      <c r="G65" s="81">
        <v>521333</v>
      </c>
      <c r="H65" s="81">
        <v>174425</v>
      </c>
      <c r="I65" s="165" t="s">
        <v>877</v>
      </c>
      <c r="J65" s="349">
        <v>42094</v>
      </c>
      <c r="K65" s="349">
        <v>43190</v>
      </c>
      <c r="L65" s="166">
        <v>0</v>
      </c>
      <c r="M65" s="166">
        <v>2</v>
      </c>
      <c r="N65" s="166">
        <v>2</v>
      </c>
      <c r="O65" s="166">
        <v>2</v>
      </c>
      <c r="P65" s="166">
        <v>2</v>
      </c>
      <c r="R65" s="165" t="s">
        <v>749</v>
      </c>
      <c r="S65" s="81" t="s">
        <v>113</v>
      </c>
      <c r="T65" s="349">
        <v>41730</v>
      </c>
      <c r="U65" s="349">
        <v>41842</v>
      </c>
      <c r="W65" s="81" t="s">
        <v>114</v>
      </c>
      <c r="Y65" s="81" t="s">
        <v>115</v>
      </c>
      <c r="Z65" s="81" t="s">
        <v>116</v>
      </c>
      <c r="AA65" s="81" t="s">
        <v>117</v>
      </c>
      <c r="AB65" s="81" t="s">
        <v>218</v>
      </c>
      <c r="AC65" s="166">
        <v>1.60000007599592E-2</v>
      </c>
      <c r="AD65" s="349">
        <v>42094</v>
      </c>
      <c r="AF65" s="349">
        <v>43190</v>
      </c>
      <c r="AG65" s="81" t="s">
        <v>238</v>
      </c>
      <c r="AH65" s="81" t="s">
        <v>118</v>
      </c>
      <c r="AK65" s="166">
        <v>0</v>
      </c>
      <c r="AM65" s="166">
        <v>0</v>
      </c>
      <c r="AO65" s="166">
        <v>0</v>
      </c>
      <c r="AP65" s="166">
        <v>1</v>
      </c>
      <c r="AQ65" s="166">
        <v>1</v>
      </c>
      <c r="AR65" s="166">
        <v>0</v>
      </c>
      <c r="AS65" s="166">
        <v>0</v>
      </c>
      <c r="AT65" s="166">
        <v>0</v>
      </c>
      <c r="AU65" s="166">
        <v>0</v>
      </c>
      <c r="AV65" s="166">
        <v>0</v>
      </c>
      <c r="AW65" s="166">
        <v>1</v>
      </c>
      <c r="AX65" s="166">
        <v>1</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81" t="s">
        <v>1758</v>
      </c>
      <c r="BZ65" s="81" t="s">
        <v>155</v>
      </c>
      <c r="CA65" s="81">
        <v>1</v>
      </c>
      <c r="CC65" s="167">
        <f>N65</f>
        <v>2</v>
      </c>
      <c r="CD65" s="167">
        <v>0</v>
      </c>
      <c r="CE65" s="167">
        <v>0</v>
      </c>
      <c r="CF65" s="167">
        <v>0</v>
      </c>
      <c r="CG65" s="167">
        <v>0</v>
      </c>
      <c r="CH65" s="167">
        <v>0</v>
      </c>
      <c r="CI65" s="167">
        <v>0</v>
      </c>
      <c r="CJ65" s="167">
        <v>0</v>
      </c>
      <c r="CK65" s="167">
        <v>0</v>
      </c>
      <c r="CL65" s="167">
        <v>0</v>
      </c>
      <c r="CM65" s="167">
        <v>0</v>
      </c>
      <c r="CN65" s="167">
        <v>0</v>
      </c>
      <c r="CO65" s="167">
        <v>0</v>
      </c>
      <c r="CP65" s="167">
        <v>0</v>
      </c>
      <c r="CQ65" s="167">
        <v>0</v>
      </c>
      <c r="CR65" s="167">
        <v>0</v>
      </c>
      <c r="CS65" s="167">
        <v>0</v>
      </c>
      <c r="CT65" s="167">
        <v>0</v>
      </c>
      <c r="CU65" s="167">
        <v>0</v>
      </c>
      <c r="CV65" s="167">
        <v>0</v>
      </c>
      <c r="CW65" s="167">
        <v>0</v>
      </c>
      <c r="CX65" s="167">
        <f>SUM(CD65:CH65)</f>
        <v>0</v>
      </c>
      <c r="CY65" s="167">
        <f>SUM(CD65:CM65)</f>
        <v>0</v>
      </c>
    </row>
    <row r="66" spans="1:103" ht="12.75" customHeight="1" x14ac:dyDescent="0.2">
      <c r="A66" s="81">
        <v>4811</v>
      </c>
      <c r="B66" s="165" t="s">
        <v>1924</v>
      </c>
      <c r="C66" s="165" t="s">
        <v>3117</v>
      </c>
      <c r="E66" s="165" t="s">
        <v>3118</v>
      </c>
      <c r="G66" s="81">
        <v>524902</v>
      </c>
      <c r="H66" s="81">
        <v>174155</v>
      </c>
      <c r="I66" s="165" t="s">
        <v>250</v>
      </c>
      <c r="J66" s="349">
        <v>43039</v>
      </c>
      <c r="K66" s="349">
        <v>43190</v>
      </c>
      <c r="L66" s="166">
        <v>2</v>
      </c>
      <c r="M66" s="166">
        <v>0</v>
      </c>
      <c r="N66" s="166">
        <v>-2</v>
      </c>
      <c r="O66" s="166">
        <v>0</v>
      </c>
      <c r="P66" s="166">
        <v>-2</v>
      </c>
      <c r="R66" s="165" t="s">
        <v>3119</v>
      </c>
      <c r="S66" s="81" t="s">
        <v>113</v>
      </c>
      <c r="T66" s="349">
        <v>42983</v>
      </c>
      <c r="U66" s="349">
        <v>43039</v>
      </c>
      <c r="V66" s="81" t="s">
        <v>155</v>
      </c>
      <c r="W66" s="81" t="s">
        <v>114</v>
      </c>
      <c r="Y66" s="81" t="s">
        <v>115</v>
      </c>
      <c r="Z66" s="81" t="s">
        <v>398</v>
      </c>
      <c r="AA66" s="81" t="s">
        <v>117</v>
      </c>
      <c r="AB66" s="81" t="s">
        <v>300</v>
      </c>
      <c r="AC66" s="166">
        <v>3.5000000149011598E-2</v>
      </c>
      <c r="AD66" s="349">
        <v>43039</v>
      </c>
      <c r="AE66" s="81" t="s">
        <v>155</v>
      </c>
      <c r="AF66" s="349">
        <v>43190</v>
      </c>
      <c r="AG66" s="81" t="s">
        <v>238</v>
      </c>
      <c r="AH66" s="81" t="s">
        <v>118</v>
      </c>
      <c r="AK66" s="166">
        <v>0</v>
      </c>
      <c r="AM66" s="166">
        <v>0</v>
      </c>
      <c r="AO66" s="166">
        <v>0</v>
      </c>
      <c r="AP66" s="166">
        <v>-1</v>
      </c>
      <c r="AQ66" s="166">
        <v>0</v>
      </c>
      <c r="AR66" s="166">
        <v>0</v>
      </c>
      <c r="AS66" s="166">
        <v>-1</v>
      </c>
      <c r="AT66" s="166">
        <v>0</v>
      </c>
      <c r="AU66" s="166">
        <v>0</v>
      </c>
      <c r="AV66" s="166">
        <v>0</v>
      </c>
      <c r="AW66" s="166">
        <v>-1</v>
      </c>
      <c r="AX66" s="166">
        <v>0</v>
      </c>
      <c r="AY66" s="166">
        <v>0</v>
      </c>
      <c r="AZ66" s="166">
        <v>-1</v>
      </c>
      <c r="BA66" s="166">
        <v>0</v>
      </c>
      <c r="BB66" s="166">
        <v>0</v>
      </c>
      <c r="BC66" s="166">
        <v>0</v>
      </c>
      <c r="BD66" s="166">
        <v>0</v>
      </c>
      <c r="BE66" s="166">
        <v>0</v>
      </c>
      <c r="BF66" s="166">
        <v>0</v>
      </c>
      <c r="BG66" s="166">
        <v>0</v>
      </c>
      <c r="BH66" s="166">
        <v>0</v>
      </c>
      <c r="BI66" s="166">
        <v>0</v>
      </c>
      <c r="BJ66" s="166">
        <v>0</v>
      </c>
      <c r="BK66" s="166">
        <v>0</v>
      </c>
      <c r="BL66" s="166">
        <v>0</v>
      </c>
      <c r="BM66" s="166">
        <v>0</v>
      </c>
      <c r="BN66" s="166">
        <v>0</v>
      </c>
      <c r="BO66" s="166">
        <v>0</v>
      </c>
      <c r="BP66" s="166">
        <v>0</v>
      </c>
      <c r="BQ66" s="81" t="s">
        <v>1758</v>
      </c>
      <c r="BZ66" s="81" t="s">
        <v>155</v>
      </c>
      <c r="CA66" s="81">
        <v>7</v>
      </c>
      <c r="CC66" s="167">
        <f>N66</f>
        <v>-2</v>
      </c>
      <c r="CD66" s="167">
        <v>0</v>
      </c>
      <c r="CE66" s="167">
        <v>0</v>
      </c>
      <c r="CF66" s="167">
        <v>0</v>
      </c>
      <c r="CG66" s="167">
        <v>0</v>
      </c>
      <c r="CH66" s="167">
        <v>0</v>
      </c>
      <c r="CI66" s="167">
        <v>0</v>
      </c>
      <c r="CJ66" s="167">
        <v>0</v>
      </c>
      <c r="CK66" s="167">
        <v>0</v>
      </c>
      <c r="CL66" s="167">
        <v>0</v>
      </c>
      <c r="CM66" s="167">
        <v>0</v>
      </c>
      <c r="CN66" s="167">
        <v>0</v>
      </c>
      <c r="CO66" s="167">
        <v>0</v>
      </c>
      <c r="CP66" s="167">
        <v>0</v>
      </c>
      <c r="CQ66" s="167">
        <v>0</v>
      </c>
      <c r="CR66" s="167">
        <v>0</v>
      </c>
      <c r="CS66" s="167">
        <v>0</v>
      </c>
      <c r="CT66" s="167">
        <v>0</v>
      </c>
      <c r="CU66" s="167">
        <v>0</v>
      </c>
      <c r="CV66" s="167">
        <v>0</v>
      </c>
      <c r="CW66" s="167">
        <v>0</v>
      </c>
      <c r="CX66" s="167">
        <f>SUM(CD66:CH66)</f>
        <v>0</v>
      </c>
      <c r="CY66" s="167">
        <f>SUM(CD66:CM66)</f>
        <v>0</v>
      </c>
    </row>
    <row r="67" spans="1:103" ht="12.75" customHeight="1" x14ac:dyDescent="0.2">
      <c r="A67" s="81">
        <v>4822</v>
      </c>
      <c r="B67" s="165" t="s">
        <v>1924</v>
      </c>
      <c r="C67" s="165" t="s">
        <v>1059</v>
      </c>
      <c r="E67" s="165" t="s">
        <v>3120</v>
      </c>
      <c r="G67" s="81">
        <v>527588</v>
      </c>
      <c r="H67" s="81">
        <v>171057</v>
      </c>
      <c r="I67" s="165" t="s">
        <v>253</v>
      </c>
      <c r="J67" s="349">
        <v>42559</v>
      </c>
      <c r="K67" s="349">
        <v>43190</v>
      </c>
      <c r="L67" s="166">
        <v>0</v>
      </c>
      <c r="M67" s="166">
        <v>5</v>
      </c>
      <c r="N67" s="166">
        <v>5</v>
      </c>
      <c r="O67" s="166">
        <v>5</v>
      </c>
      <c r="P67" s="166">
        <v>5</v>
      </c>
      <c r="R67" s="165" t="s">
        <v>1060</v>
      </c>
      <c r="S67" s="81" t="s">
        <v>113</v>
      </c>
      <c r="T67" s="349">
        <v>42636</v>
      </c>
      <c r="U67" s="349">
        <v>42822</v>
      </c>
      <c r="W67" s="81" t="s">
        <v>114</v>
      </c>
      <c r="Y67" s="81" t="s">
        <v>115</v>
      </c>
      <c r="Z67" s="81" t="s">
        <v>310</v>
      </c>
      <c r="AA67" s="81" t="s">
        <v>117</v>
      </c>
      <c r="AB67" s="81" t="s">
        <v>399</v>
      </c>
      <c r="AC67" s="166">
        <v>3.5000000149011598E-2</v>
      </c>
      <c r="AD67" s="349">
        <v>42559</v>
      </c>
      <c r="AF67" s="349">
        <v>43190</v>
      </c>
      <c r="AG67" s="81" t="s">
        <v>238</v>
      </c>
      <c r="AH67" s="81" t="s">
        <v>118</v>
      </c>
      <c r="AK67" s="166">
        <v>0</v>
      </c>
      <c r="AM67" s="166">
        <v>0</v>
      </c>
      <c r="AO67" s="166">
        <v>0</v>
      </c>
      <c r="AP67" s="166">
        <v>5</v>
      </c>
      <c r="AQ67" s="166">
        <v>0</v>
      </c>
      <c r="AR67" s="166">
        <v>0</v>
      </c>
      <c r="AS67" s="166">
        <v>0</v>
      </c>
      <c r="AT67" s="166">
        <v>0</v>
      </c>
      <c r="AU67" s="166">
        <v>0</v>
      </c>
      <c r="AV67" s="166">
        <v>0</v>
      </c>
      <c r="AW67" s="166">
        <v>0</v>
      </c>
      <c r="AX67" s="166">
        <v>0</v>
      </c>
      <c r="AY67" s="166">
        <v>0</v>
      </c>
      <c r="AZ67" s="166">
        <v>0</v>
      </c>
      <c r="BA67" s="166">
        <v>0</v>
      </c>
      <c r="BB67" s="166">
        <v>0</v>
      </c>
      <c r="BC67" s="166">
        <v>0</v>
      </c>
      <c r="BD67" s="166">
        <v>5</v>
      </c>
      <c r="BE67" s="166">
        <v>0</v>
      </c>
      <c r="BF67" s="166">
        <v>0</v>
      </c>
      <c r="BG67" s="166">
        <v>0</v>
      </c>
      <c r="BH67" s="166">
        <v>0</v>
      </c>
      <c r="BI67" s="166">
        <v>0</v>
      </c>
      <c r="BJ67" s="166">
        <v>0</v>
      </c>
      <c r="BK67" s="166">
        <v>0</v>
      </c>
      <c r="BL67" s="166">
        <v>0</v>
      </c>
      <c r="BM67" s="166">
        <v>0</v>
      </c>
      <c r="BN67" s="166">
        <v>0</v>
      </c>
      <c r="BO67" s="166">
        <v>0</v>
      </c>
      <c r="BP67" s="166">
        <v>0</v>
      </c>
      <c r="BQ67" s="81" t="s">
        <v>1757</v>
      </c>
      <c r="BZ67" s="81" t="s">
        <v>155</v>
      </c>
      <c r="CA67" s="81">
        <v>7</v>
      </c>
      <c r="CC67" s="167">
        <f>N67</f>
        <v>5</v>
      </c>
      <c r="CD67" s="167">
        <v>0</v>
      </c>
      <c r="CE67" s="167">
        <v>0</v>
      </c>
      <c r="CF67" s="167">
        <v>0</v>
      </c>
      <c r="CG67" s="167">
        <v>0</v>
      </c>
      <c r="CH67" s="167">
        <v>0</v>
      </c>
      <c r="CI67" s="167">
        <v>0</v>
      </c>
      <c r="CJ67" s="167">
        <v>0</v>
      </c>
      <c r="CK67" s="167">
        <v>0</v>
      </c>
      <c r="CL67" s="167">
        <v>0</v>
      </c>
      <c r="CM67" s="167">
        <v>0</v>
      </c>
      <c r="CN67" s="167">
        <v>0</v>
      </c>
      <c r="CO67" s="167">
        <v>0</v>
      </c>
      <c r="CP67" s="167">
        <v>0</v>
      </c>
      <c r="CQ67" s="167">
        <v>0</v>
      </c>
      <c r="CR67" s="167">
        <v>0</v>
      </c>
      <c r="CS67" s="167">
        <v>0</v>
      </c>
      <c r="CT67" s="167">
        <v>0</v>
      </c>
      <c r="CU67" s="167">
        <v>0</v>
      </c>
      <c r="CV67" s="167">
        <v>0</v>
      </c>
      <c r="CW67" s="167">
        <v>0</v>
      </c>
      <c r="CX67" s="167">
        <f>SUM(CD67:CH67)</f>
        <v>0</v>
      </c>
      <c r="CY67" s="167">
        <f>SUM(CD67:CM67)</f>
        <v>0</v>
      </c>
    </row>
    <row r="68" spans="1:103" ht="12.75" customHeight="1" x14ac:dyDescent="0.2">
      <c r="A68" s="81">
        <v>4954</v>
      </c>
      <c r="B68" s="165" t="s">
        <v>1924</v>
      </c>
      <c r="C68" s="165" t="s">
        <v>1709</v>
      </c>
      <c r="E68" s="165" t="s">
        <v>3121</v>
      </c>
      <c r="G68" s="81">
        <v>527231</v>
      </c>
      <c r="H68" s="81">
        <v>177059</v>
      </c>
      <c r="I68" s="165" t="s">
        <v>257</v>
      </c>
      <c r="J68" s="349">
        <v>42937</v>
      </c>
      <c r="K68" s="349">
        <v>43190</v>
      </c>
      <c r="L68" s="166">
        <v>1</v>
      </c>
      <c r="M68" s="166">
        <v>1</v>
      </c>
      <c r="N68" s="166">
        <v>0</v>
      </c>
      <c r="O68" s="166">
        <v>1</v>
      </c>
      <c r="P68" s="166">
        <v>0</v>
      </c>
      <c r="R68" s="165" t="s">
        <v>1710</v>
      </c>
      <c r="S68" s="81" t="s">
        <v>113</v>
      </c>
      <c r="T68" s="349">
        <v>42765</v>
      </c>
      <c r="U68" s="349">
        <v>42821</v>
      </c>
      <c r="W68" s="81" t="s">
        <v>114</v>
      </c>
      <c r="Y68" s="81" t="s">
        <v>115</v>
      </c>
      <c r="Z68" s="81" t="s">
        <v>116</v>
      </c>
      <c r="AA68" s="81" t="s">
        <v>117</v>
      </c>
      <c r="AB68" s="81" t="s">
        <v>218</v>
      </c>
      <c r="AC68" s="166">
        <v>2.0000000949949E-3</v>
      </c>
      <c r="AD68" s="349">
        <v>42937</v>
      </c>
      <c r="AE68" s="81" t="s">
        <v>155</v>
      </c>
      <c r="AF68" s="349">
        <v>43190</v>
      </c>
      <c r="AG68" s="81" t="s">
        <v>238</v>
      </c>
      <c r="AH68" s="81" t="s">
        <v>118</v>
      </c>
      <c r="AK68" s="166">
        <v>0</v>
      </c>
      <c r="AM68" s="166">
        <v>0</v>
      </c>
      <c r="AO68" s="166">
        <v>0</v>
      </c>
      <c r="AP68" s="166">
        <v>0</v>
      </c>
      <c r="AQ68" s="166">
        <v>0</v>
      </c>
      <c r="AR68" s="166">
        <v>0</v>
      </c>
      <c r="AS68" s="166">
        <v>0</v>
      </c>
      <c r="AT68" s="166">
        <v>0</v>
      </c>
      <c r="AU68" s="166">
        <v>0</v>
      </c>
      <c r="AV68" s="166">
        <v>0</v>
      </c>
      <c r="AW68" s="166">
        <v>0</v>
      </c>
      <c r="AX68" s="166">
        <v>0</v>
      </c>
      <c r="AY68" s="166">
        <v>0</v>
      </c>
      <c r="AZ68" s="166">
        <v>0</v>
      </c>
      <c r="BA68" s="166">
        <v>0</v>
      </c>
      <c r="BB68" s="166">
        <v>0</v>
      </c>
      <c r="BC68" s="166">
        <v>0</v>
      </c>
      <c r="BD68" s="166">
        <v>0</v>
      </c>
      <c r="BE68" s="166">
        <v>0</v>
      </c>
      <c r="BF68" s="166">
        <v>0</v>
      </c>
      <c r="BG68" s="166">
        <v>0</v>
      </c>
      <c r="BH68" s="166">
        <v>0</v>
      </c>
      <c r="BI68" s="166">
        <v>0</v>
      </c>
      <c r="BJ68" s="166">
        <v>0</v>
      </c>
      <c r="BK68" s="166">
        <v>0</v>
      </c>
      <c r="BL68" s="166">
        <v>0</v>
      </c>
      <c r="BM68" s="166">
        <v>0</v>
      </c>
      <c r="BN68" s="166">
        <v>0</v>
      </c>
      <c r="BO68" s="166">
        <v>0</v>
      </c>
      <c r="BP68" s="166">
        <v>0</v>
      </c>
      <c r="BQ68" s="81" t="s">
        <v>1757</v>
      </c>
      <c r="BZ68" s="81" t="s">
        <v>155</v>
      </c>
      <c r="CA68" s="81">
        <v>1</v>
      </c>
      <c r="CC68" s="167">
        <f>N68</f>
        <v>0</v>
      </c>
      <c r="CD68" s="167">
        <v>0</v>
      </c>
      <c r="CE68" s="167">
        <v>0</v>
      </c>
      <c r="CF68" s="167">
        <v>0</v>
      </c>
      <c r="CG68" s="167">
        <v>0</v>
      </c>
      <c r="CH68" s="167">
        <v>0</v>
      </c>
      <c r="CI68" s="167">
        <v>0</v>
      </c>
      <c r="CJ68" s="167">
        <v>0</v>
      </c>
      <c r="CK68" s="167">
        <v>0</v>
      </c>
      <c r="CL68" s="167">
        <v>0</v>
      </c>
      <c r="CM68" s="167">
        <v>0</v>
      </c>
      <c r="CN68" s="167">
        <v>0</v>
      </c>
      <c r="CO68" s="167">
        <v>0</v>
      </c>
      <c r="CP68" s="167">
        <v>0</v>
      </c>
      <c r="CQ68" s="167">
        <v>0</v>
      </c>
      <c r="CR68" s="167">
        <v>0</v>
      </c>
      <c r="CS68" s="167">
        <v>0</v>
      </c>
      <c r="CT68" s="167">
        <v>0</v>
      </c>
      <c r="CU68" s="167">
        <v>0</v>
      </c>
      <c r="CV68" s="167">
        <v>0</v>
      </c>
      <c r="CW68" s="167">
        <v>0</v>
      </c>
      <c r="CX68" s="167">
        <f>SUM(CD68:CH68)</f>
        <v>0</v>
      </c>
      <c r="CY68" s="167">
        <f>SUM(CD68:CM68)</f>
        <v>0</v>
      </c>
    </row>
    <row r="69" spans="1:103" ht="12.75" customHeight="1" x14ac:dyDescent="0.2">
      <c r="A69" s="81">
        <v>5034</v>
      </c>
      <c r="B69" s="165" t="s">
        <v>1924</v>
      </c>
      <c r="C69" s="165" t="s">
        <v>17</v>
      </c>
      <c r="E69" s="165" t="s">
        <v>3122</v>
      </c>
      <c r="G69" s="81">
        <v>528686</v>
      </c>
      <c r="H69" s="81">
        <v>176535</v>
      </c>
      <c r="I69" s="165" t="s">
        <v>240</v>
      </c>
      <c r="J69" s="349">
        <v>42250</v>
      </c>
      <c r="K69" s="349">
        <v>42846</v>
      </c>
      <c r="L69" s="166">
        <v>1</v>
      </c>
      <c r="M69" s="166">
        <v>9</v>
      </c>
      <c r="N69" s="166">
        <v>8</v>
      </c>
      <c r="O69" s="166">
        <v>9</v>
      </c>
      <c r="P69" s="166">
        <v>8</v>
      </c>
      <c r="R69" s="165" t="s">
        <v>747</v>
      </c>
      <c r="S69" s="81" t="s">
        <v>113</v>
      </c>
      <c r="T69" s="349">
        <v>41646</v>
      </c>
      <c r="U69" s="349">
        <v>41702</v>
      </c>
      <c r="W69" s="81" t="s">
        <v>114</v>
      </c>
      <c r="Y69" s="81" t="s">
        <v>115</v>
      </c>
      <c r="Z69" s="81" t="s">
        <v>116</v>
      </c>
      <c r="AA69" s="81" t="s">
        <v>117</v>
      </c>
      <c r="AB69" s="81" t="s">
        <v>218</v>
      </c>
      <c r="AC69" s="166">
        <v>2.3000000044703501E-2</v>
      </c>
      <c r="AD69" s="349">
        <v>42250</v>
      </c>
      <c r="AF69" s="349">
        <v>42846</v>
      </c>
      <c r="AG69" s="81" t="s">
        <v>238</v>
      </c>
      <c r="AH69" s="81" t="s">
        <v>118</v>
      </c>
      <c r="AK69" s="166">
        <v>0</v>
      </c>
      <c r="AM69" s="166">
        <v>0</v>
      </c>
      <c r="AO69" s="166">
        <v>1</v>
      </c>
      <c r="AP69" s="166">
        <v>0</v>
      </c>
      <c r="AQ69" s="166">
        <v>8</v>
      </c>
      <c r="AR69" s="166">
        <v>0</v>
      </c>
      <c r="AS69" s="166">
        <v>-1</v>
      </c>
      <c r="AT69" s="166">
        <v>0</v>
      </c>
      <c r="AU69" s="166">
        <v>0</v>
      </c>
      <c r="AV69" s="166">
        <v>1</v>
      </c>
      <c r="AW69" s="166">
        <v>0</v>
      </c>
      <c r="AX69" s="166">
        <v>8</v>
      </c>
      <c r="AY69" s="166">
        <v>0</v>
      </c>
      <c r="AZ69" s="166">
        <v>0</v>
      </c>
      <c r="BA69" s="166">
        <v>0</v>
      </c>
      <c r="BB69" s="166">
        <v>0</v>
      </c>
      <c r="BC69" s="166">
        <v>0</v>
      </c>
      <c r="BD69" s="166">
        <v>0</v>
      </c>
      <c r="BE69" s="166">
        <v>0</v>
      </c>
      <c r="BF69" s="166">
        <v>0</v>
      </c>
      <c r="BG69" s="166">
        <v>-1</v>
      </c>
      <c r="BH69" s="166">
        <v>0</v>
      </c>
      <c r="BI69" s="166">
        <v>0</v>
      </c>
      <c r="BJ69" s="166">
        <v>0</v>
      </c>
      <c r="BK69" s="166">
        <v>0</v>
      </c>
      <c r="BL69" s="166">
        <v>0</v>
      </c>
      <c r="BM69" s="166">
        <v>0</v>
      </c>
      <c r="BN69" s="166">
        <v>0</v>
      </c>
      <c r="BO69" s="166">
        <v>0</v>
      </c>
      <c r="BP69" s="166">
        <v>0</v>
      </c>
      <c r="BQ69" s="81" t="s">
        <v>1757</v>
      </c>
      <c r="BZ69" s="81" t="s">
        <v>155</v>
      </c>
      <c r="CA69" s="81">
        <v>1</v>
      </c>
      <c r="CC69" s="167">
        <f>N69</f>
        <v>8</v>
      </c>
      <c r="CD69" s="167">
        <v>0</v>
      </c>
      <c r="CE69" s="167">
        <v>0</v>
      </c>
      <c r="CF69" s="167">
        <v>0</v>
      </c>
      <c r="CG69" s="167">
        <v>0</v>
      </c>
      <c r="CH69" s="167">
        <v>0</v>
      </c>
      <c r="CI69" s="167">
        <v>0</v>
      </c>
      <c r="CJ69" s="167">
        <v>0</v>
      </c>
      <c r="CK69" s="167">
        <v>0</v>
      </c>
      <c r="CL69" s="167">
        <v>0</v>
      </c>
      <c r="CM69" s="167">
        <v>0</v>
      </c>
      <c r="CN69" s="167">
        <v>0</v>
      </c>
      <c r="CO69" s="167">
        <v>0</v>
      </c>
      <c r="CP69" s="167">
        <v>0</v>
      </c>
      <c r="CQ69" s="167">
        <v>0</v>
      </c>
      <c r="CR69" s="167">
        <v>0</v>
      </c>
      <c r="CS69" s="167">
        <v>0</v>
      </c>
      <c r="CT69" s="167">
        <v>0</v>
      </c>
      <c r="CU69" s="167">
        <v>0</v>
      </c>
      <c r="CV69" s="167">
        <v>0</v>
      </c>
      <c r="CW69" s="167">
        <v>0</v>
      </c>
      <c r="CX69" s="167">
        <f>SUM(CD69:CH69)</f>
        <v>0</v>
      </c>
      <c r="CY69" s="167">
        <f>SUM(CD69:CM69)</f>
        <v>0</v>
      </c>
    </row>
    <row r="70" spans="1:103" ht="12.75" customHeight="1" x14ac:dyDescent="0.2">
      <c r="A70" s="81">
        <v>5189</v>
      </c>
      <c r="B70" s="165" t="s">
        <v>1924</v>
      </c>
      <c r="C70" s="165" t="s">
        <v>693</v>
      </c>
      <c r="E70" s="165" t="s">
        <v>3123</v>
      </c>
      <c r="G70" s="81">
        <v>527922</v>
      </c>
      <c r="H70" s="81">
        <v>175459</v>
      </c>
      <c r="I70" s="165" t="s">
        <v>256</v>
      </c>
      <c r="J70" s="349">
        <v>42481</v>
      </c>
      <c r="K70" s="349">
        <v>42894</v>
      </c>
      <c r="L70" s="166">
        <v>10</v>
      </c>
      <c r="M70" s="166">
        <v>6</v>
      </c>
      <c r="N70" s="166">
        <v>-4</v>
      </c>
      <c r="O70" s="166">
        <v>6</v>
      </c>
      <c r="P70" s="166">
        <v>-4</v>
      </c>
      <c r="R70" s="165" t="s">
        <v>1688</v>
      </c>
      <c r="S70" s="81" t="s">
        <v>113</v>
      </c>
      <c r="T70" s="349">
        <v>42389</v>
      </c>
      <c r="U70" s="349">
        <v>42445</v>
      </c>
      <c r="W70" s="81" t="s">
        <v>114</v>
      </c>
      <c r="Y70" s="81" t="s">
        <v>115</v>
      </c>
      <c r="Z70" s="81" t="s">
        <v>398</v>
      </c>
      <c r="AA70" s="81" t="s">
        <v>117</v>
      </c>
      <c r="AB70" s="81" t="s">
        <v>300</v>
      </c>
      <c r="AC70" s="166">
        <v>2.0999999716877899E-2</v>
      </c>
      <c r="AD70" s="349">
        <v>42481</v>
      </c>
      <c r="AF70" s="349">
        <v>42894</v>
      </c>
      <c r="AG70" s="81" t="s">
        <v>238</v>
      </c>
      <c r="AH70" s="81" t="s">
        <v>118</v>
      </c>
      <c r="AK70" s="166">
        <v>0</v>
      </c>
      <c r="AM70" s="166">
        <v>0</v>
      </c>
      <c r="AO70" s="166">
        <v>-7</v>
      </c>
      <c r="AP70" s="166">
        <v>3</v>
      </c>
      <c r="AQ70" s="166">
        <v>2</v>
      </c>
      <c r="AR70" s="166">
        <v>-2</v>
      </c>
      <c r="AS70" s="166">
        <v>0</v>
      </c>
      <c r="AT70" s="166">
        <v>0</v>
      </c>
      <c r="AU70" s="166">
        <v>0</v>
      </c>
      <c r="AV70" s="166">
        <v>-7</v>
      </c>
      <c r="AW70" s="166">
        <v>3</v>
      </c>
      <c r="AX70" s="166">
        <v>2</v>
      </c>
      <c r="AY70" s="166">
        <v>-2</v>
      </c>
      <c r="AZ70" s="166">
        <v>0</v>
      </c>
      <c r="BA70" s="166">
        <v>0</v>
      </c>
      <c r="BB70" s="166">
        <v>0</v>
      </c>
      <c r="BC70" s="166">
        <v>0</v>
      </c>
      <c r="BD70" s="166">
        <v>0</v>
      </c>
      <c r="BE70" s="166">
        <v>0</v>
      </c>
      <c r="BF70" s="166">
        <v>0</v>
      </c>
      <c r="BG70" s="166">
        <v>0</v>
      </c>
      <c r="BH70" s="166">
        <v>0</v>
      </c>
      <c r="BI70" s="166">
        <v>0</v>
      </c>
      <c r="BJ70" s="166">
        <v>0</v>
      </c>
      <c r="BK70" s="166">
        <v>0</v>
      </c>
      <c r="BL70" s="166">
        <v>0</v>
      </c>
      <c r="BM70" s="166">
        <v>0</v>
      </c>
      <c r="BN70" s="166">
        <v>0</v>
      </c>
      <c r="BO70" s="166">
        <v>0</v>
      </c>
      <c r="BP70" s="166">
        <v>0</v>
      </c>
      <c r="BQ70" s="81" t="s">
        <v>1757</v>
      </c>
      <c r="BZ70" s="81" t="s">
        <v>155</v>
      </c>
      <c r="CA70" s="81">
        <v>7</v>
      </c>
      <c r="CC70" s="167">
        <f>N70</f>
        <v>-4</v>
      </c>
      <c r="CD70" s="167">
        <v>0</v>
      </c>
      <c r="CE70" s="167">
        <v>0</v>
      </c>
      <c r="CF70" s="167">
        <v>0</v>
      </c>
      <c r="CG70" s="167">
        <v>0</v>
      </c>
      <c r="CH70" s="167">
        <v>0</v>
      </c>
      <c r="CI70" s="167">
        <v>0</v>
      </c>
      <c r="CJ70" s="167">
        <v>0</v>
      </c>
      <c r="CK70" s="167">
        <v>0</v>
      </c>
      <c r="CL70" s="167">
        <v>0</v>
      </c>
      <c r="CM70" s="167">
        <v>0</v>
      </c>
      <c r="CN70" s="167">
        <v>0</v>
      </c>
      <c r="CO70" s="167">
        <v>0</v>
      </c>
      <c r="CP70" s="167">
        <v>0</v>
      </c>
      <c r="CQ70" s="167">
        <v>0</v>
      </c>
      <c r="CR70" s="167">
        <v>0</v>
      </c>
      <c r="CS70" s="167">
        <v>0</v>
      </c>
      <c r="CT70" s="167">
        <v>0</v>
      </c>
      <c r="CU70" s="167">
        <v>0</v>
      </c>
      <c r="CV70" s="167">
        <v>0</v>
      </c>
      <c r="CW70" s="167">
        <v>0</v>
      </c>
      <c r="CX70" s="167">
        <f>SUM(CD70:CH70)</f>
        <v>0</v>
      </c>
      <c r="CY70" s="167">
        <f>SUM(CD70:CM70)</f>
        <v>0</v>
      </c>
    </row>
    <row r="71" spans="1:103" ht="12.75" customHeight="1" x14ac:dyDescent="0.2">
      <c r="A71" s="81">
        <v>5273</v>
      </c>
      <c r="B71" s="165" t="s">
        <v>1924</v>
      </c>
      <c r="C71" s="165" t="s">
        <v>1762</v>
      </c>
      <c r="E71" s="165" t="s">
        <v>3124</v>
      </c>
      <c r="G71" s="81">
        <v>527367</v>
      </c>
      <c r="H71" s="81">
        <v>171295</v>
      </c>
      <c r="I71" s="165" t="s">
        <v>253</v>
      </c>
      <c r="J71" s="349">
        <v>42248</v>
      </c>
      <c r="K71" s="349">
        <v>43190</v>
      </c>
      <c r="L71" s="166">
        <v>0</v>
      </c>
      <c r="M71" s="166">
        <v>1</v>
      </c>
      <c r="N71" s="166">
        <v>1</v>
      </c>
      <c r="O71" s="166">
        <v>1</v>
      </c>
      <c r="P71" s="166">
        <v>1</v>
      </c>
      <c r="R71" s="165" t="s">
        <v>1763</v>
      </c>
      <c r="S71" s="81" t="s">
        <v>113</v>
      </c>
      <c r="T71" s="349">
        <v>41432</v>
      </c>
      <c r="U71" s="349">
        <v>41488</v>
      </c>
      <c r="W71" s="81" t="s">
        <v>114</v>
      </c>
      <c r="Y71" s="81" t="s">
        <v>115</v>
      </c>
      <c r="Z71" s="81" t="s">
        <v>398</v>
      </c>
      <c r="AA71" s="81" t="s">
        <v>117</v>
      </c>
      <c r="AB71" s="81" t="s">
        <v>399</v>
      </c>
      <c r="AC71" s="166">
        <v>4.9999998882412902E-3</v>
      </c>
      <c r="AD71" s="349">
        <v>42248</v>
      </c>
      <c r="AF71" s="349">
        <v>43190</v>
      </c>
      <c r="AG71" s="81" t="s">
        <v>238</v>
      </c>
      <c r="AH71" s="81" t="s">
        <v>118</v>
      </c>
      <c r="AK71" s="166">
        <v>0</v>
      </c>
      <c r="AM71" s="166">
        <v>0</v>
      </c>
      <c r="AO71" s="166">
        <v>0</v>
      </c>
      <c r="AP71" s="166">
        <v>0</v>
      </c>
      <c r="AQ71" s="166">
        <v>1</v>
      </c>
      <c r="AR71" s="166">
        <v>0</v>
      </c>
      <c r="AS71" s="166">
        <v>0</v>
      </c>
      <c r="AT71" s="166">
        <v>0</v>
      </c>
      <c r="AU71" s="166">
        <v>0</v>
      </c>
      <c r="AV71" s="166">
        <v>0</v>
      </c>
      <c r="AW71" s="166">
        <v>0</v>
      </c>
      <c r="AX71" s="166">
        <v>1</v>
      </c>
      <c r="AY71" s="166">
        <v>0</v>
      </c>
      <c r="AZ71" s="166">
        <v>0</v>
      </c>
      <c r="BA71" s="166">
        <v>0</v>
      </c>
      <c r="BB71" s="166">
        <v>0</v>
      </c>
      <c r="BC71" s="166">
        <v>0</v>
      </c>
      <c r="BD71" s="166">
        <v>0</v>
      </c>
      <c r="BE71" s="166">
        <v>0</v>
      </c>
      <c r="BF71" s="166">
        <v>0</v>
      </c>
      <c r="BG71" s="166">
        <v>0</v>
      </c>
      <c r="BH71" s="166">
        <v>0</v>
      </c>
      <c r="BI71" s="166">
        <v>0</v>
      </c>
      <c r="BJ71" s="166">
        <v>0</v>
      </c>
      <c r="BK71" s="166">
        <v>0</v>
      </c>
      <c r="BL71" s="166">
        <v>0</v>
      </c>
      <c r="BM71" s="166">
        <v>0</v>
      </c>
      <c r="BN71" s="166">
        <v>0</v>
      </c>
      <c r="BO71" s="166">
        <v>0</v>
      </c>
      <c r="BP71" s="166">
        <v>0</v>
      </c>
      <c r="BQ71" s="81" t="s">
        <v>1757</v>
      </c>
      <c r="BZ71" s="81" t="s">
        <v>155</v>
      </c>
      <c r="CA71" s="81">
        <v>7</v>
      </c>
      <c r="CC71" s="167">
        <f>N71</f>
        <v>1</v>
      </c>
      <c r="CD71" s="167">
        <v>0</v>
      </c>
      <c r="CE71" s="167">
        <v>0</v>
      </c>
      <c r="CF71" s="167">
        <v>0</v>
      </c>
      <c r="CG71" s="167">
        <v>0</v>
      </c>
      <c r="CH71" s="167">
        <v>0</v>
      </c>
      <c r="CI71" s="167">
        <v>0</v>
      </c>
      <c r="CJ71" s="167">
        <v>0</v>
      </c>
      <c r="CK71" s="167">
        <v>0</v>
      </c>
      <c r="CL71" s="167">
        <v>0</v>
      </c>
      <c r="CM71" s="167">
        <v>0</v>
      </c>
      <c r="CN71" s="167">
        <v>0</v>
      </c>
      <c r="CO71" s="167">
        <v>0</v>
      </c>
      <c r="CP71" s="167">
        <v>0</v>
      </c>
      <c r="CQ71" s="167">
        <v>0</v>
      </c>
      <c r="CR71" s="167">
        <v>0</v>
      </c>
      <c r="CS71" s="167">
        <v>0</v>
      </c>
      <c r="CT71" s="167">
        <v>0</v>
      </c>
      <c r="CU71" s="167">
        <v>0</v>
      </c>
      <c r="CV71" s="167">
        <v>0</v>
      </c>
      <c r="CW71" s="167">
        <v>0</v>
      </c>
      <c r="CX71" s="167">
        <f>SUM(CD71:CH71)</f>
        <v>0</v>
      </c>
      <c r="CY71" s="167">
        <f>SUM(CD71:CM71)</f>
        <v>0</v>
      </c>
    </row>
    <row r="72" spans="1:103" ht="12.75" customHeight="1" x14ac:dyDescent="0.2">
      <c r="A72" s="81">
        <v>5286</v>
      </c>
      <c r="B72" s="165" t="s">
        <v>1924</v>
      </c>
      <c r="C72" s="165" t="s">
        <v>221</v>
      </c>
      <c r="E72" s="165" t="s">
        <v>3125</v>
      </c>
      <c r="G72" s="81">
        <v>526435</v>
      </c>
      <c r="H72" s="81">
        <v>174560</v>
      </c>
      <c r="I72" s="165" t="s">
        <v>260</v>
      </c>
      <c r="J72" s="349">
        <v>42928</v>
      </c>
      <c r="K72" s="349">
        <v>42979</v>
      </c>
      <c r="L72" s="166">
        <v>2</v>
      </c>
      <c r="M72" s="166">
        <v>1</v>
      </c>
      <c r="N72" s="166">
        <v>-1</v>
      </c>
      <c r="O72" s="166">
        <v>1</v>
      </c>
      <c r="P72" s="166">
        <v>-1</v>
      </c>
      <c r="R72" s="165" t="s">
        <v>222</v>
      </c>
      <c r="S72" s="81" t="s">
        <v>113</v>
      </c>
      <c r="T72" s="349">
        <v>41381</v>
      </c>
      <c r="U72" s="349">
        <v>41436</v>
      </c>
      <c r="W72" s="81" t="s">
        <v>114</v>
      </c>
      <c r="Y72" s="81" t="s">
        <v>115</v>
      </c>
      <c r="Z72" s="81" t="s">
        <v>119</v>
      </c>
      <c r="AA72" s="81" t="s">
        <v>117</v>
      </c>
      <c r="AB72" s="81" t="s">
        <v>336</v>
      </c>
      <c r="AC72" s="166">
        <v>1.30000002682209E-2</v>
      </c>
      <c r="AD72" s="349">
        <v>42928</v>
      </c>
      <c r="AE72" s="81" t="s">
        <v>155</v>
      </c>
      <c r="AF72" s="349">
        <v>42979</v>
      </c>
      <c r="AG72" s="81" t="s">
        <v>238</v>
      </c>
      <c r="AH72" s="81" t="s">
        <v>118</v>
      </c>
      <c r="AK72" s="166">
        <v>0</v>
      </c>
      <c r="AM72" s="166">
        <v>0</v>
      </c>
      <c r="AO72" s="166">
        <v>0</v>
      </c>
      <c r="AP72" s="166">
        <v>-1</v>
      </c>
      <c r="AQ72" s="166">
        <v>-1</v>
      </c>
      <c r="AR72" s="166">
        <v>0</v>
      </c>
      <c r="AS72" s="166">
        <v>1</v>
      </c>
      <c r="AT72" s="166">
        <v>0</v>
      </c>
      <c r="AU72" s="166">
        <v>0</v>
      </c>
      <c r="AV72" s="166">
        <v>0</v>
      </c>
      <c r="AW72" s="166">
        <v>-1</v>
      </c>
      <c r="AX72" s="166">
        <v>-1</v>
      </c>
      <c r="AY72" s="166">
        <v>0</v>
      </c>
      <c r="AZ72" s="166">
        <v>0</v>
      </c>
      <c r="BA72" s="166">
        <v>0</v>
      </c>
      <c r="BB72" s="166">
        <v>0</v>
      </c>
      <c r="BC72" s="166">
        <v>0</v>
      </c>
      <c r="BD72" s="166">
        <v>0</v>
      </c>
      <c r="BE72" s="166">
        <v>0</v>
      </c>
      <c r="BF72" s="166">
        <v>0</v>
      </c>
      <c r="BG72" s="166">
        <v>1</v>
      </c>
      <c r="BH72" s="166">
        <v>0</v>
      </c>
      <c r="BI72" s="166">
        <v>0</v>
      </c>
      <c r="BJ72" s="166">
        <v>0</v>
      </c>
      <c r="BK72" s="166">
        <v>0</v>
      </c>
      <c r="BL72" s="166">
        <v>0</v>
      </c>
      <c r="BM72" s="166">
        <v>0</v>
      </c>
      <c r="BN72" s="166">
        <v>0</v>
      </c>
      <c r="BO72" s="166">
        <v>0</v>
      </c>
      <c r="BP72" s="166">
        <v>0</v>
      </c>
      <c r="BQ72" s="81" t="s">
        <v>1758</v>
      </c>
      <c r="BZ72" s="81" t="s">
        <v>155</v>
      </c>
      <c r="CA72" s="81">
        <v>7</v>
      </c>
      <c r="CC72" s="167">
        <f>N72</f>
        <v>-1</v>
      </c>
      <c r="CD72" s="167">
        <v>0</v>
      </c>
      <c r="CE72" s="167">
        <v>0</v>
      </c>
      <c r="CF72" s="167">
        <v>0</v>
      </c>
      <c r="CG72" s="167">
        <v>0</v>
      </c>
      <c r="CH72" s="167">
        <v>0</v>
      </c>
      <c r="CI72" s="167">
        <v>0</v>
      </c>
      <c r="CJ72" s="167">
        <v>0</v>
      </c>
      <c r="CK72" s="167">
        <v>0</v>
      </c>
      <c r="CL72" s="167">
        <v>0</v>
      </c>
      <c r="CM72" s="167">
        <v>0</v>
      </c>
      <c r="CN72" s="167">
        <v>0</v>
      </c>
      <c r="CO72" s="167">
        <v>0</v>
      </c>
      <c r="CP72" s="167">
        <v>0</v>
      </c>
      <c r="CQ72" s="167">
        <v>0</v>
      </c>
      <c r="CR72" s="167">
        <v>0</v>
      </c>
      <c r="CS72" s="167">
        <v>0</v>
      </c>
      <c r="CT72" s="167">
        <v>0</v>
      </c>
      <c r="CU72" s="167">
        <v>0</v>
      </c>
      <c r="CV72" s="167">
        <v>0</v>
      </c>
      <c r="CW72" s="167">
        <v>0</v>
      </c>
      <c r="CX72" s="167">
        <f>SUM(CD72:CH72)</f>
        <v>0</v>
      </c>
      <c r="CY72" s="167">
        <f>SUM(CD72:CM72)</f>
        <v>0</v>
      </c>
    </row>
    <row r="73" spans="1:103" ht="12.75" customHeight="1" x14ac:dyDescent="0.2">
      <c r="A73" s="81">
        <v>5291</v>
      </c>
      <c r="B73" s="165" t="s">
        <v>1924</v>
      </c>
      <c r="C73" s="165" t="s">
        <v>182</v>
      </c>
      <c r="E73" s="165" t="s">
        <v>3126</v>
      </c>
      <c r="G73" s="81">
        <v>525172</v>
      </c>
      <c r="H73" s="81">
        <v>174052</v>
      </c>
      <c r="I73" s="165" t="s">
        <v>258</v>
      </c>
      <c r="J73" s="349">
        <v>42826</v>
      </c>
      <c r="K73" s="349">
        <v>43190</v>
      </c>
      <c r="L73" s="166">
        <v>2</v>
      </c>
      <c r="M73" s="166">
        <v>1</v>
      </c>
      <c r="N73" s="166">
        <v>-1</v>
      </c>
      <c r="O73" s="166">
        <v>1</v>
      </c>
      <c r="P73" s="166">
        <v>-1</v>
      </c>
      <c r="R73" s="165" t="s">
        <v>183</v>
      </c>
      <c r="S73" s="81" t="s">
        <v>113</v>
      </c>
      <c r="T73" s="349">
        <v>41402</v>
      </c>
      <c r="U73" s="349">
        <v>41451</v>
      </c>
      <c r="W73" s="81" t="s">
        <v>114</v>
      </c>
      <c r="Y73" s="81" t="s">
        <v>115</v>
      </c>
      <c r="Z73" s="81" t="s">
        <v>119</v>
      </c>
      <c r="AA73" s="81" t="s">
        <v>117</v>
      </c>
      <c r="AB73" s="81" t="s">
        <v>336</v>
      </c>
      <c r="AC73" s="166">
        <v>3.20000015199184E-2</v>
      </c>
      <c r="AD73" s="349">
        <v>42826</v>
      </c>
      <c r="AE73" s="81" t="s">
        <v>155</v>
      </c>
      <c r="AF73" s="349">
        <v>43190</v>
      </c>
      <c r="AG73" s="81" t="s">
        <v>238</v>
      </c>
      <c r="AH73" s="81" t="s">
        <v>118</v>
      </c>
      <c r="AK73" s="166">
        <v>0</v>
      </c>
      <c r="AM73" s="166">
        <v>0</v>
      </c>
      <c r="AO73" s="166">
        <v>0</v>
      </c>
      <c r="AP73" s="166">
        <v>0</v>
      </c>
      <c r="AQ73" s="166">
        <v>0</v>
      </c>
      <c r="AR73" s="166">
        <v>-2</v>
      </c>
      <c r="AS73" s="166">
        <v>1</v>
      </c>
      <c r="AT73" s="166">
        <v>0</v>
      </c>
      <c r="AU73" s="166">
        <v>0</v>
      </c>
      <c r="AV73" s="166">
        <v>0</v>
      </c>
      <c r="AW73" s="166">
        <v>0</v>
      </c>
      <c r="AX73" s="166">
        <v>0</v>
      </c>
      <c r="AY73" s="166">
        <v>-2</v>
      </c>
      <c r="AZ73" s="166">
        <v>0</v>
      </c>
      <c r="BA73" s="166">
        <v>0</v>
      </c>
      <c r="BB73" s="166">
        <v>0</v>
      </c>
      <c r="BC73" s="166">
        <v>0</v>
      </c>
      <c r="BD73" s="166">
        <v>0</v>
      </c>
      <c r="BE73" s="166">
        <v>0</v>
      </c>
      <c r="BF73" s="166">
        <v>0</v>
      </c>
      <c r="BG73" s="166">
        <v>1</v>
      </c>
      <c r="BH73" s="166">
        <v>0</v>
      </c>
      <c r="BI73" s="166">
        <v>0</v>
      </c>
      <c r="BJ73" s="166">
        <v>0</v>
      </c>
      <c r="BK73" s="166">
        <v>0</v>
      </c>
      <c r="BL73" s="166">
        <v>0</v>
      </c>
      <c r="BM73" s="166">
        <v>0</v>
      </c>
      <c r="BN73" s="166">
        <v>0</v>
      </c>
      <c r="BO73" s="166">
        <v>0</v>
      </c>
      <c r="BP73" s="166">
        <v>0</v>
      </c>
      <c r="BQ73" s="81" t="s">
        <v>1758</v>
      </c>
      <c r="BZ73" s="81" t="s">
        <v>155</v>
      </c>
      <c r="CA73" s="81">
        <v>7</v>
      </c>
      <c r="CC73" s="167">
        <f>N73</f>
        <v>-1</v>
      </c>
      <c r="CD73" s="167">
        <v>0</v>
      </c>
      <c r="CE73" s="167">
        <v>0</v>
      </c>
      <c r="CF73" s="167">
        <v>0</v>
      </c>
      <c r="CG73" s="167">
        <v>0</v>
      </c>
      <c r="CH73" s="167">
        <v>0</v>
      </c>
      <c r="CI73" s="167">
        <v>0</v>
      </c>
      <c r="CJ73" s="167">
        <v>0</v>
      </c>
      <c r="CK73" s="167">
        <v>0</v>
      </c>
      <c r="CL73" s="167">
        <v>0</v>
      </c>
      <c r="CM73" s="167">
        <v>0</v>
      </c>
      <c r="CN73" s="167">
        <v>0</v>
      </c>
      <c r="CO73" s="167">
        <v>0</v>
      </c>
      <c r="CP73" s="167">
        <v>0</v>
      </c>
      <c r="CQ73" s="167">
        <v>0</v>
      </c>
      <c r="CR73" s="167">
        <v>0</v>
      </c>
      <c r="CS73" s="167">
        <v>0</v>
      </c>
      <c r="CT73" s="167">
        <v>0</v>
      </c>
      <c r="CU73" s="167">
        <v>0</v>
      </c>
      <c r="CV73" s="167">
        <v>0</v>
      </c>
      <c r="CW73" s="167">
        <v>0</v>
      </c>
      <c r="CX73" s="167">
        <f>SUM(CD73:CH73)</f>
        <v>0</v>
      </c>
      <c r="CY73" s="167">
        <f>SUM(CD73:CM73)</f>
        <v>0</v>
      </c>
    </row>
    <row r="74" spans="1:103" ht="12.75" customHeight="1" x14ac:dyDescent="0.2">
      <c r="A74" s="81">
        <v>5297</v>
      </c>
      <c r="B74" s="165" t="s">
        <v>1924</v>
      </c>
      <c r="C74" s="165" t="s">
        <v>407</v>
      </c>
      <c r="E74" s="165" t="s">
        <v>3336</v>
      </c>
      <c r="G74" s="81">
        <v>527113</v>
      </c>
      <c r="H74" s="81">
        <v>176021</v>
      </c>
      <c r="I74" s="165" t="s">
        <v>241</v>
      </c>
      <c r="J74" s="349">
        <v>42825</v>
      </c>
      <c r="K74" s="349">
        <v>43076</v>
      </c>
      <c r="L74" s="166">
        <v>0</v>
      </c>
      <c r="M74" s="166">
        <v>16</v>
      </c>
      <c r="N74" s="166">
        <v>16</v>
      </c>
      <c r="O74" s="166">
        <v>25</v>
      </c>
      <c r="P74" s="166">
        <v>25</v>
      </c>
      <c r="Q74" s="81" t="s">
        <v>155</v>
      </c>
      <c r="R74" s="165" t="s">
        <v>896</v>
      </c>
      <c r="S74" s="81" t="s">
        <v>104</v>
      </c>
      <c r="T74" s="349">
        <v>41823</v>
      </c>
      <c r="U74" s="349">
        <v>42340</v>
      </c>
      <c r="W74" s="81" t="s">
        <v>114</v>
      </c>
      <c r="Y74" s="81" t="s">
        <v>115</v>
      </c>
      <c r="Z74" s="81" t="s">
        <v>116</v>
      </c>
      <c r="AA74" s="81" t="s">
        <v>116</v>
      </c>
      <c r="AB74" s="81" t="s">
        <v>117</v>
      </c>
      <c r="AC74" s="166">
        <v>0</v>
      </c>
      <c r="AD74" s="349">
        <v>42825</v>
      </c>
      <c r="AF74" s="349">
        <v>43076</v>
      </c>
      <c r="AG74" s="81" t="s">
        <v>238</v>
      </c>
      <c r="AH74" s="81" t="s">
        <v>118</v>
      </c>
      <c r="AK74" s="166">
        <v>16</v>
      </c>
      <c r="AM74" s="166">
        <v>1</v>
      </c>
      <c r="AO74" s="166">
        <v>0</v>
      </c>
      <c r="AP74" s="166">
        <v>3</v>
      </c>
      <c r="AQ74" s="166">
        <v>12</v>
      </c>
      <c r="AR74" s="166">
        <v>1</v>
      </c>
      <c r="AS74" s="166">
        <v>0</v>
      </c>
      <c r="AT74" s="166">
        <v>0</v>
      </c>
      <c r="AU74" s="166">
        <v>0</v>
      </c>
      <c r="AV74" s="166">
        <v>0</v>
      </c>
      <c r="AW74" s="166">
        <v>3</v>
      </c>
      <c r="AX74" s="166">
        <v>12</v>
      </c>
      <c r="AY74" s="166">
        <v>1</v>
      </c>
      <c r="AZ74" s="166">
        <v>0</v>
      </c>
      <c r="BA74" s="166">
        <v>0</v>
      </c>
      <c r="BB74" s="166">
        <v>0</v>
      </c>
      <c r="BC74" s="166">
        <v>0</v>
      </c>
      <c r="BD74" s="166">
        <v>0</v>
      </c>
      <c r="BE74" s="166">
        <v>0</v>
      </c>
      <c r="BF74" s="166">
        <v>0</v>
      </c>
      <c r="BG74" s="166">
        <v>0</v>
      </c>
      <c r="BH74" s="166">
        <v>0</v>
      </c>
      <c r="BI74" s="166">
        <v>0</v>
      </c>
      <c r="BJ74" s="166">
        <v>0</v>
      </c>
      <c r="BK74" s="166">
        <v>0</v>
      </c>
      <c r="BL74" s="166">
        <v>0</v>
      </c>
      <c r="BM74" s="166">
        <v>0</v>
      </c>
      <c r="BN74" s="166">
        <v>0</v>
      </c>
      <c r="BO74" s="166">
        <v>0</v>
      </c>
      <c r="BP74" s="166">
        <v>0</v>
      </c>
      <c r="BQ74" s="81" t="s">
        <v>1757</v>
      </c>
      <c r="BZ74" s="81" t="s">
        <v>155</v>
      </c>
      <c r="CA74" s="81">
        <v>1</v>
      </c>
      <c r="CC74" s="167">
        <f>N74</f>
        <v>16</v>
      </c>
      <c r="CD74" s="167">
        <v>0</v>
      </c>
      <c r="CE74" s="167">
        <v>0</v>
      </c>
      <c r="CF74" s="167">
        <v>0</v>
      </c>
      <c r="CG74" s="167">
        <v>0</v>
      </c>
      <c r="CH74" s="167">
        <v>0</v>
      </c>
      <c r="CI74" s="167">
        <v>0</v>
      </c>
      <c r="CJ74" s="167">
        <v>0</v>
      </c>
      <c r="CK74" s="167">
        <v>0</v>
      </c>
      <c r="CL74" s="167">
        <v>0</v>
      </c>
      <c r="CM74" s="167">
        <v>0</v>
      </c>
      <c r="CN74" s="167">
        <v>0</v>
      </c>
      <c r="CO74" s="167">
        <v>0</v>
      </c>
      <c r="CP74" s="167">
        <v>0</v>
      </c>
      <c r="CQ74" s="167">
        <v>0</v>
      </c>
      <c r="CR74" s="167">
        <v>0</v>
      </c>
      <c r="CS74" s="167">
        <v>0</v>
      </c>
      <c r="CT74" s="167">
        <v>0</v>
      </c>
      <c r="CU74" s="167">
        <v>0</v>
      </c>
      <c r="CV74" s="167">
        <v>0</v>
      </c>
      <c r="CW74" s="167">
        <v>0</v>
      </c>
      <c r="CX74" s="167">
        <f>SUM(CD74:CH74)</f>
        <v>0</v>
      </c>
      <c r="CY74" s="167">
        <f>SUM(CD74:CM74)</f>
        <v>0</v>
      </c>
    </row>
    <row r="75" spans="1:103" ht="12.75" customHeight="1" x14ac:dyDescent="0.2">
      <c r="A75" s="81">
        <v>5297</v>
      </c>
      <c r="B75" s="165" t="s">
        <v>1924</v>
      </c>
      <c r="C75" s="165" t="s">
        <v>407</v>
      </c>
      <c r="E75" s="165" t="s">
        <v>3336</v>
      </c>
      <c r="G75" s="81">
        <v>527113</v>
      </c>
      <c r="H75" s="81">
        <v>176021</v>
      </c>
      <c r="I75" s="165" t="s">
        <v>241</v>
      </c>
      <c r="J75" s="349">
        <v>42825</v>
      </c>
      <c r="K75" s="349">
        <v>43076</v>
      </c>
      <c r="L75" s="166">
        <v>0</v>
      </c>
      <c r="M75" s="166">
        <v>9</v>
      </c>
      <c r="N75" s="166">
        <v>9</v>
      </c>
      <c r="O75" s="166">
        <v>25</v>
      </c>
      <c r="P75" s="166">
        <v>25</v>
      </c>
      <c r="Q75" s="81" t="s">
        <v>155</v>
      </c>
      <c r="R75" s="165" t="s">
        <v>896</v>
      </c>
      <c r="S75" s="81" t="s">
        <v>104</v>
      </c>
      <c r="T75" s="349">
        <v>41823</v>
      </c>
      <c r="U75" s="349">
        <v>42340</v>
      </c>
      <c r="W75" s="81" t="s">
        <v>114</v>
      </c>
      <c r="Y75" s="81" t="s">
        <v>115</v>
      </c>
      <c r="Z75" s="81" t="s">
        <v>116</v>
      </c>
      <c r="AA75" s="81" t="s">
        <v>116</v>
      </c>
      <c r="AB75" s="81" t="s">
        <v>117</v>
      </c>
      <c r="AC75" s="166">
        <v>3.4000001847744002E-2</v>
      </c>
      <c r="AD75" s="349">
        <v>42825</v>
      </c>
      <c r="AF75" s="349">
        <v>43076</v>
      </c>
      <c r="AG75" s="81" t="s">
        <v>74</v>
      </c>
      <c r="AH75" s="81" t="s">
        <v>1913</v>
      </c>
      <c r="AK75" s="166">
        <v>9</v>
      </c>
      <c r="AM75" s="166">
        <v>1</v>
      </c>
      <c r="AO75" s="166">
        <v>0</v>
      </c>
      <c r="AP75" s="166">
        <v>1</v>
      </c>
      <c r="AQ75" s="166">
        <v>8</v>
      </c>
      <c r="AR75" s="166">
        <v>0</v>
      </c>
      <c r="AS75" s="166">
        <v>0</v>
      </c>
      <c r="AT75" s="166">
        <v>0</v>
      </c>
      <c r="AU75" s="166">
        <v>0</v>
      </c>
      <c r="AV75" s="166">
        <v>0</v>
      </c>
      <c r="AW75" s="166">
        <v>1</v>
      </c>
      <c r="AX75" s="166">
        <v>8</v>
      </c>
      <c r="AY75" s="166">
        <v>0</v>
      </c>
      <c r="AZ75" s="166">
        <v>0</v>
      </c>
      <c r="BA75" s="166">
        <v>0</v>
      </c>
      <c r="BB75" s="166">
        <v>0</v>
      </c>
      <c r="BC75" s="166">
        <v>0</v>
      </c>
      <c r="BD75" s="166">
        <v>0</v>
      </c>
      <c r="BE75" s="166">
        <v>0</v>
      </c>
      <c r="BF75" s="166">
        <v>0</v>
      </c>
      <c r="BG75" s="166">
        <v>0</v>
      </c>
      <c r="BH75" s="166">
        <v>0</v>
      </c>
      <c r="BI75" s="166">
        <v>0</v>
      </c>
      <c r="BJ75" s="166">
        <v>0</v>
      </c>
      <c r="BK75" s="166">
        <v>0</v>
      </c>
      <c r="BL75" s="166">
        <v>0</v>
      </c>
      <c r="BM75" s="166">
        <v>0</v>
      </c>
      <c r="BN75" s="166">
        <v>0</v>
      </c>
      <c r="BO75" s="166">
        <v>0</v>
      </c>
      <c r="BP75" s="166">
        <v>0</v>
      </c>
      <c r="BQ75" s="81" t="s">
        <v>1757</v>
      </c>
      <c r="BZ75" s="81" t="s">
        <v>155</v>
      </c>
      <c r="CA75" s="81">
        <v>1</v>
      </c>
      <c r="CC75" s="167">
        <f>N75</f>
        <v>9</v>
      </c>
      <c r="CD75" s="167">
        <v>0</v>
      </c>
      <c r="CE75" s="167">
        <v>0</v>
      </c>
      <c r="CF75" s="167">
        <v>0</v>
      </c>
      <c r="CG75" s="167">
        <v>0</v>
      </c>
      <c r="CH75" s="167">
        <v>0</v>
      </c>
      <c r="CI75" s="167">
        <v>0</v>
      </c>
      <c r="CJ75" s="167">
        <v>0</v>
      </c>
      <c r="CK75" s="167">
        <v>0</v>
      </c>
      <c r="CL75" s="167">
        <v>0</v>
      </c>
      <c r="CM75" s="167">
        <v>0</v>
      </c>
      <c r="CN75" s="167">
        <v>0</v>
      </c>
      <c r="CO75" s="167">
        <v>0</v>
      </c>
      <c r="CP75" s="167">
        <v>0</v>
      </c>
      <c r="CQ75" s="167">
        <v>0</v>
      </c>
      <c r="CR75" s="167">
        <v>0</v>
      </c>
      <c r="CS75" s="167">
        <v>0</v>
      </c>
      <c r="CT75" s="167">
        <v>0</v>
      </c>
      <c r="CU75" s="167">
        <v>0</v>
      </c>
      <c r="CV75" s="167">
        <v>0</v>
      </c>
      <c r="CW75" s="167">
        <v>0</v>
      </c>
      <c r="CX75" s="167">
        <f>SUM(CD75:CH75)</f>
        <v>0</v>
      </c>
      <c r="CY75" s="167">
        <f>SUM(CD75:CM75)</f>
        <v>0</v>
      </c>
    </row>
    <row r="76" spans="1:103" ht="12.75" customHeight="1" x14ac:dyDescent="0.2">
      <c r="A76" s="81">
        <v>5335</v>
      </c>
      <c r="B76" s="165" t="s">
        <v>1924</v>
      </c>
      <c r="C76" s="165" t="s">
        <v>405</v>
      </c>
      <c r="E76" s="165" t="s">
        <v>3129</v>
      </c>
      <c r="G76" s="81">
        <v>528599</v>
      </c>
      <c r="H76" s="81">
        <v>172872</v>
      </c>
      <c r="I76" s="165" t="s">
        <v>248</v>
      </c>
      <c r="J76" s="349">
        <v>42825</v>
      </c>
      <c r="K76" s="349">
        <v>43076</v>
      </c>
      <c r="L76" s="166">
        <v>1</v>
      </c>
      <c r="M76" s="166">
        <v>3</v>
      </c>
      <c r="N76" s="166">
        <v>2</v>
      </c>
      <c r="O76" s="166">
        <v>3</v>
      </c>
      <c r="P76" s="166">
        <v>2</v>
      </c>
      <c r="R76" s="165" t="s">
        <v>883</v>
      </c>
      <c r="S76" s="81" t="s">
        <v>113</v>
      </c>
      <c r="T76" s="349">
        <v>41435</v>
      </c>
      <c r="U76" s="349">
        <v>41624</v>
      </c>
      <c r="W76" s="81" t="s">
        <v>114</v>
      </c>
      <c r="Y76" s="81" t="s">
        <v>115</v>
      </c>
      <c r="Z76" s="81" t="s">
        <v>398</v>
      </c>
      <c r="AA76" s="81" t="s">
        <v>117</v>
      </c>
      <c r="AB76" s="81" t="s">
        <v>120</v>
      </c>
      <c r="AC76" s="166">
        <v>1.7000000923872001E-2</v>
      </c>
      <c r="AD76" s="349">
        <v>42825</v>
      </c>
      <c r="AF76" s="349">
        <v>43076</v>
      </c>
      <c r="AG76" s="81" t="s">
        <v>238</v>
      </c>
      <c r="AH76" s="81" t="s">
        <v>118</v>
      </c>
      <c r="AK76" s="166">
        <v>0</v>
      </c>
      <c r="AM76" s="166">
        <v>0</v>
      </c>
      <c r="AO76" s="166">
        <v>0</v>
      </c>
      <c r="AP76" s="166">
        <v>0</v>
      </c>
      <c r="AQ76" s="166">
        <v>2</v>
      </c>
      <c r="AR76" s="166">
        <v>1</v>
      </c>
      <c r="AS76" s="166">
        <v>-1</v>
      </c>
      <c r="AT76" s="166">
        <v>0</v>
      </c>
      <c r="AU76" s="166">
        <v>0</v>
      </c>
      <c r="AV76" s="166">
        <v>0</v>
      </c>
      <c r="AW76" s="166">
        <v>0</v>
      </c>
      <c r="AX76" s="166">
        <v>2</v>
      </c>
      <c r="AY76" s="166">
        <v>1</v>
      </c>
      <c r="AZ76" s="166">
        <v>0</v>
      </c>
      <c r="BA76" s="166">
        <v>0</v>
      </c>
      <c r="BB76" s="166">
        <v>0</v>
      </c>
      <c r="BC76" s="166">
        <v>0</v>
      </c>
      <c r="BD76" s="166">
        <v>0</v>
      </c>
      <c r="BE76" s="166">
        <v>0</v>
      </c>
      <c r="BF76" s="166">
        <v>0</v>
      </c>
      <c r="BG76" s="166">
        <v>-1</v>
      </c>
      <c r="BH76" s="166">
        <v>0</v>
      </c>
      <c r="BI76" s="166">
        <v>0</v>
      </c>
      <c r="BJ76" s="166">
        <v>0</v>
      </c>
      <c r="BK76" s="166">
        <v>0</v>
      </c>
      <c r="BL76" s="166">
        <v>0</v>
      </c>
      <c r="BM76" s="166">
        <v>0</v>
      </c>
      <c r="BN76" s="166">
        <v>0</v>
      </c>
      <c r="BO76" s="166">
        <v>0</v>
      </c>
      <c r="BP76" s="166">
        <v>0</v>
      </c>
      <c r="BQ76" s="81" t="s">
        <v>1757</v>
      </c>
      <c r="BZ76" s="81" t="s">
        <v>155</v>
      </c>
      <c r="CA76" s="81">
        <v>7</v>
      </c>
      <c r="CC76" s="167">
        <f>N76</f>
        <v>2</v>
      </c>
      <c r="CD76" s="167">
        <v>0</v>
      </c>
      <c r="CE76" s="167">
        <v>0</v>
      </c>
      <c r="CF76" s="167">
        <v>0</v>
      </c>
      <c r="CG76" s="167">
        <v>0</v>
      </c>
      <c r="CH76" s="167">
        <v>0</v>
      </c>
      <c r="CI76" s="167">
        <v>0</v>
      </c>
      <c r="CJ76" s="167">
        <v>0</v>
      </c>
      <c r="CK76" s="167">
        <v>0</v>
      </c>
      <c r="CL76" s="167">
        <v>0</v>
      </c>
      <c r="CM76" s="167">
        <v>0</v>
      </c>
      <c r="CN76" s="167">
        <v>0</v>
      </c>
      <c r="CO76" s="167">
        <v>0</v>
      </c>
      <c r="CP76" s="167">
        <v>0</v>
      </c>
      <c r="CQ76" s="167">
        <v>0</v>
      </c>
      <c r="CR76" s="167">
        <v>0</v>
      </c>
      <c r="CS76" s="167">
        <v>0</v>
      </c>
      <c r="CT76" s="167">
        <v>0</v>
      </c>
      <c r="CU76" s="167">
        <v>0</v>
      </c>
      <c r="CV76" s="167">
        <v>0</v>
      </c>
      <c r="CW76" s="167">
        <v>0</v>
      </c>
      <c r="CX76" s="167">
        <f>SUM(CD76:CH76)</f>
        <v>0</v>
      </c>
      <c r="CY76" s="167">
        <f>SUM(CD76:CM76)</f>
        <v>0</v>
      </c>
    </row>
    <row r="77" spans="1:103" ht="12.75" customHeight="1" x14ac:dyDescent="0.2">
      <c r="A77" s="81">
        <v>5360</v>
      </c>
      <c r="B77" s="165" t="s">
        <v>1924</v>
      </c>
      <c r="C77" s="165" t="s">
        <v>268</v>
      </c>
      <c r="E77" s="165" t="s">
        <v>3130</v>
      </c>
      <c r="G77" s="81">
        <v>526566</v>
      </c>
      <c r="H77" s="81">
        <v>172115</v>
      </c>
      <c r="I77" s="165" t="s">
        <v>249</v>
      </c>
      <c r="J77" s="349">
        <v>41843</v>
      </c>
      <c r="K77" s="349">
        <v>43190</v>
      </c>
      <c r="L77" s="166">
        <v>0</v>
      </c>
      <c r="M77" s="166">
        <v>1</v>
      </c>
      <c r="N77" s="166">
        <v>1</v>
      </c>
      <c r="O77" s="166">
        <v>1</v>
      </c>
      <c r="P77" s="166">
        <v>1</v>
      </c>
      <c r="R77" s="165" t="s">
        <v>269</v>
      </c>
      <c r="S77" s="81" t="s">
        <v>113</v>
      </c>
      <c r="T77" s="349">
        <v>41477</v>
      </c>
      <c r="U77" s="349">
        <v>41533</v>
      </c>
      <c r="W77" s="81" t="s">
        <v>114</v>
      </c>
      <c r="Y77" s="81" t="s">
        <v>115</v>
      </c>
      <c r="Z77" s="81" t="s">
        <v>116</v>
      </c>
      <c r="AA77" s="81" t="s">
        <v>117</v>
      </c>
      <c r="AB77" s="81" t="s">
        <v>218</v>
      </c>
      <c r="AC77" s="166">
        <v>8.0000003799796104E-3</v>
      </c>
      <c r="AD77" s="349">
        <v>41843</v>
      </c>
      <c r="AF77" s="349">
        <v>43190</v>
      </c>
      <c r="AG77" s="81" t="s">
        <v>238</v>
      </c>
      <c r="AH77" s="81" t="s">
        <v>118</v>
      </c>
      <c r="AK77" s="166">
        <v>0</v>
      </c>
      <c r="AM77" s="166">
        <v>0</v>
      </c>
      <c r="AO77" s="166">
        <v>0</v>
      </c>
      <c r="AP77" s="166">
        <v>0</v>
      </c>
      <c r="AQ77" s="166">
        <v>1</v>
      </c>
      <c r="AR77" s="166">
        <v>0</v>
      </c>
      <c r="AS77" s="166">
        <v>0</v>
      </c>
      <c r="AT77" s="166">
        <v>0</v>
      </c>
      <c r="AU77" s="166">
        <v>0</v>
      </c>
      <c r="AV77" s="166">
        <v>0</v>
      </c>
      <c r="AW77" s="166">
        <v>0</v>
      </c>
      <c r="AX77" s="166">
        <v>0</v>
      </c>
      <c r="AY77" s="166">
        <v>0</v>
      </c>
      <c r="AZ77" s="166">
        <v>0</v>
      </c>
      <c r="BA77" s="166">
        <v>0</v>
      </c>
      <c r="BB77" s="166">
        <v>0</v>
      </c>
      <c r="BC77" s="166">
        <v>0</v>
      </c>
      <c r="BD77" s="166">
        <v>0</v>
      </c>
      <c r="BE77" s="166">
        <v>1</v>
      </c>
      <c r="BF77" s="166">
        <v>0</v>
      </c>
      <c r="BG77" s="166">
        <v>0</v>
      </c>
      <c r="BH77" s="166">
        <v>0</v>
      </c>
      <c r="BI77" s="166">
        <v>0</v>
      </c>
      <c r="BJ77" s="166">
        <v>0</v>
      </c>
      <c r="BK77" s="166">
        <v>0</v>
      </c>
      <c r="BL77" s="166">
        <v>0</v>
      </c>
      <c r="BM77" s="166">
        <v>0</v>
      </c>
      <c r="BN77" s="166">
        <v>0</v>
      </c>
      <c r="BO77" s="166">
        <v>0</v>
      </c>
      <c r="BP77" s="166">
        <v>0</v>
      </c>
      <c r="BQ77" s="81" t="s">
        <v>1758</v>
      </c>
      <c r="BZ77" s="81" t="s">
        <v>155</v>
      </c>
      <c r="CA77" s="81">
        <v>1</v>
      </c>
      <c r="CC77" s="167">
        <f>N77</f>
        <v>1</v>
      </c>
      <c r="CD77" s="167">
        <v>0</v>
      </c>
      <c r="CE77" s="167">
        <v>0</v>
      </c>
      <c r="CF77" s="167">
        <v>0</v>
      </c>
      <c r="CG77" s="167">
        <v>0</v>
      </c>
      <c r="CH77" s="167">
        <v>0</v>
      </c>
      <c r="CI77" s="167">
        <v>0</v>
      </c>
      <c r="CJ77" s="167">
        <v>0</v>
      </c>
      <c r="CK77" s="167">
        <v>0</v>
      </c>
      <c r="CL77" s="167">
        <v>0</v>
      </c>
      <c r="CM77" s="167">
        <v>0</v>
      </c>
      <c r="CN77" s="167">
        <v>0</v>
      </c>
      <c r="CO77" s="167">
        <v>0</v>
      </c>
      <c r="CP77" s="167">
        <v>0</v>
      </c>
      <c r="CQ77" s="167">
        <v>0</v>
      </c>
      <c r="CR77" s="167">
        <v>0</v>
      </c>
      <c r="CS77" s="167">
        <v>0</v>
      </c>
      <c r="CT77" s="167">
        <v>0</v>
      </c>
      <c r="CU77" s="167">
        <v>0</v>
      </c>
      <c r="CV77" s="167">
        <v>0</v>
      </c>
      <c r="CW77" s="167">
        <v>0</v>
      </c>
      <c r="CX77" s="167">
        <f>SUM(CD77:CH77)</f>
        <v>0</v>
      </c>
      <c r="CY77" s="167">
        <f>SUM(CD77:CM77)</f>
        <v>0</v>
      </c>
    </row>
    <row r="78" spans="1:103" ht="12.75" customHeight="1" x14ac:dyDescent="0.2">
      <c r="A78" s="81">
        <v>5361</v>
      </c>
      <c r="B78" s="165" t="s">
        <v>1924</v>
      </c>
      <c r="C78" s="165" t="s">
        <v>411</v>
      </c>
      <c r="E78" s="165" t="s">
        <v>3131</v>
      </c>
      <c r="G78" s="81">
        <v>527921</v>
      </c>
      <c r="H78" s="81">
        <v>175466</v>
      </c>
      <c r="I78" s="165" t="s">
        <v>256</v>
      </c>
      <c r="J78" s="349">
        <v>42481</v>
      </c>
      <c r="K78" s="349">
        <v>42894</v>
      </c>
      <c r="L78" s="166">
        <v>4</v>
      </c>
      <c r="M78" s="166">
        <v>6</v>
      </c>
      <c r="N78" s="166">
        <v>2</v>
      </c>
      <c r="O78" s="166">
        <v>6</v>
      </c>
      <c r="P78" s="166">
        <v>2</v>
      </c>
      <c r="R78" s="165" t="s">
        <v>1680</v>
      </c>
      <c r="S78" s="81" t="s">
        <v>113</v>
      </c>
      <c r="T78" s="349">
        <v>41403</v>
      </c>
      <c r="U78" s="349">
        <v>41533</v>
      </c>
      <c r="W78" s="81" t="s">
        <v>114</v>
      </c>
      <c r="Y78" s="81" t="s">
        <v>115</v>
      </c>
      <c r="Z78" s="81" t="s">
        <v>398</v>
      </c>
      <c r="AA78" s="81" t="s">
        <v>117</v>
      </c>
      <c r="AB78" s="81" t="s">
        <v>218</v>
      </c>
      <c r="AC78" s="166">
        <v>2.0999999716877899E-2</v>
      </c>
      <c r="AD78" s="349">
        <v>42481</v>
      </c>
      <c r="AF78" s="349">
        <v>42894</v>
      </c>
      <c r="AG78" s="81" t="s">
        <v>238</v>
      </c>
      <c r="AH78" s="81" t="s">
        <v>118</v>
      </c>
      <c r="AK78" s="166">
        <v>0</v>
      </c>
      <c r="AM78" s="166">
        <v>0</v>
      </c>
      <c r="AO78" s="166">
        <v>-3</v>
      </c>
      <c r="AP78" s="166">
        <v>1</v>
      </c>
      <c r="AQ78" s="166">
        <v>3</v>
      </c>
      <c r="AR78" s="166">
        <v>2</v>
      </c>
      <c r="AS78" s="166">
        <v>-1</v>
      </c>
      <c r="AT78" s="166">
        <v>0</v>
      </c>
      <c r="AU78" s="166">
        <v>0</v>
      </c>
      <c r="AV78" s="166">
        <v>-3</v>
      </c>
      <c r="AW78" s="166">
        <v>1</v>
      </c>
      <c r="AX78" s="166">
        <v>3</v>
      </c>
      <c r="AY78" s="166">
        <v>2</v>
      </c>
      <c r="AZ78" s="166">
        <v>-1</v>
      </c>
      <c r="BA78" s="166">
        <v>0</v>
      </c>
      <c r="BB78" s="166">
        <v>0</v>
      </c>
      <c r="BC78" s="166">
        <v>0</v>
      </c>
      <c r="BD78" s="166">
        <v>0</v>
      </c>
      <c r="BE78" s="166">
        <v>0</v>
      </c>
      <c r="BF78" s="166">
        <v>0</v>
      </c>
      <c r="BG78" s="166">
        <v>0</v>
      </c>
      <c r="BH78" s="166">
        <v>0</v>
      </c>
      <c r="BI78" s="166">
        <v>0</v>
      </c>
      <c r="BJ78" s="166">
        <v>0</v>
      </c>
      <c r="BK78" s="166">
        <v>0</v>
      </c>
      <c r="BL78" s="166">
        <v>0</v>
      </c>
      <c r="BM78" s="166">
        <v>0</v>
      </c>
      <c r="BN78" s="166">
        <v>0</v>
      </c>
      <c r="BO78" s="166">
        <v>0</v>
      </c>
      <c r="BP78" s="166">
        <v>0</v>
      </c>
      <c r="BQ78" s="81" t="s">
        <v>1757</v>
      </c>
      <c r="BZ78" s="81" t="s">
        <v>155</v>
      </c>
      <c r="CA78" s="81">
        <v>7</v>
      </c>
      <c r="CC78" s="167">
        <f>N78</f>
        <v>2</v>
      </c>
      <c r="CD78" s="167">
        <v>0</v>
      </c>
      <c r="CE78" s="167">
        <v>0</v>
      </c>
      <c r="CF78" s="167">
        <v>0</v>
      </c>
      <c r="CG78" s="167">
        <v>0</v>
      </c>
      <c r="CH78" s="167">
        <v>0</v>
      </c>
      <c r="CI78" s="167">
        <v>0</v>
      </c>
      <c r="CJ78" s="167">
        <v>0</v>
      </c>
      <c r="CK78" s="167">
        <v>0</v>
      </c>
      <c r="CL78" s="167">
        <v>0</v>
      </c>
      <c r="CM78" s="167">
        <v>0</v>
      </c>
      <c r="CN78" s="167">
        <v>0</v>
      </c>
      <c r="CO78" s="167">
        <v>0</v>
      </c>
      <c r="CP78" s="167">
        <v>0</v>
      </c>
      <c r="CQ78" s="167">
        <v>0</v>
      </c>
      <c r="CR78" s="167">
        <v>0</v>
      </c>
      <c r="CS78" s="167">
        <v>0</v>
      </c>
      <c r="CT78" s="167">
        <v>0</v>
      </c>
      <c r="CU78" s="167">
        <v>0</v>
      </c>
      <c r="CV78" s="167">
        <v>0</v>
      </c>
      <c r="CW78" s="167">
        <v>0</v>
      </c>
      <c r="CX78" s="167">
        <f>SUM(CD78:CH78)</f>
        <v>0</v>
      </c>
      <c r="CY78" s="167">
        <f>SUM(CD78:CM78)</f>
        <v>0</v>
      </c>
    </row>
    <row r="79" spans="1:103" ht="12.75" customHeight="1" x14ac:dyDescent="0.2">
      <c r="A79" s="81">
        <v>5380</v>
      </c>
      <c r="B79" s="165" t="s">
        <v>1924</v>
      </c>
      <c r="C79" s="165" t="s">
        <v>1214</v>
      </c>
      <c r="E79" s="165" t="s">
        <v>3132</v>
      </c>
      <c r="G79" s="81">
        <v>523621</v>
      </c>
      <c r="H79" s="81">
        <v>175794</v>
      </c>
      <c r="I79" s="165" t="s">
        <v>259</v>
      </c>
      <c r="J79" s="349">
        <v>42678</v>
      </c>
      <c r="K79" s="349">
        <v>42969</v>
      </c>
      <c r="L79" s="166">
        <v>0</v>
      </c>
      <c r="M79" s="166">
        <v>1</v>
      </c>
      <c r="N79" s="166">
        <v>1</v>
      </c>
      <c r="O79" s="166">
        <v>1</v>
      </c>
      <c r="P79" s="166">
        <v>1</v>
      </c>
      <c r="R79" s="165" t="s">
        <v>1215</v>
      </c>
      <c r="S79" s="81" t="s">
        <v>113</v>
      </c>
      <c r="T79" s="349">
        <v>42461</v>
      </c>
      <c r="U79" s="349">
        <v>42517</v>
      </c>
      <c r="W79" s="81" t="s">
        <v>114</v>
      </c>
      <c r="Y79" s="81" t="s">
        <v>115</v>
      </c>
      <c r="Z79" s="81" t="s">
        <v>398</v>
      </c>
      <c r="AA79" s="81" t="s">
        <v>117</v>
      </c>
      <c r="AB79" s="81" t="s">
        <v>102</v>
      </c>
      <c r="AC79" s="166">
        <v>4.9999998882412902E-3</v>
      </c>
      <c r="AD79" s="349">
        <v>42678</v>
      </c>
      <c r="AF79" s="349">
        <v>42969</v>
      </c>
      <c r="AG79" s="81" t="s">
        <v>238</v>
      </c>
      <c r="AH79" s="81" t="s">
        <v>118</v>
      </c>
      <c r="AK79" s="166">
        <v>0</v>
      </c>
      <c r="AM79" s="166">
        <v>0</v>
      </c>
      <c r="AO79" s="166">
        <v>0</v>
      </c>
      <c r="AP79" s="166">
        <v>1</v>
      </c>
      <c r="AQ79" s="166">
        <v>0</v>
      </c>
      <c r="AR79" s="166">
        <v>0</v>
      </c>
      <c r="AS79" s="166">
        <v>0</v>
      </c>
      <c r="AT79" s="166">
        <v>0</v>
      </c>
      <c r="AU79" s="166">
        <v>0</v>
      </c>
      <c r="AV79" s="166">
        <v>0</v>
      </c>
      <c r="AW79" s="166">
        <v>1</v>
      </c>
      <c r="AX79" s="166">
        <v>0</v>
      </c>
      <c r="AY79" s="166">
        <v>0</v>
      </c>
      <c r="AZ79" s="166">
        <v>0</v>
      </c>
      <c r="BA79" s="166">
        <v>0</v>
      </c>
      <c r="BB79" s="166">
        <v>0</v>
      </c>
      <c r="BC79" s="166">
        <v>0</v>
      </c>
      <c r="BD79" s="166">
        <v>0</v>
      </c>
      <c r="BE79" s="166">
        <v>0</v>
      </c>
      <c r="BF79" s="166">
        <v>0</v>
      </c>
      <c r="BG79" s="166">
        <v>0</v>
      </c>
      <c r="BH79" s="166">
        <v>0</v>
      </c>
      <c r="BI79" s="166">
        <v>0</v>
      </c>
      <c r="BJ79" s="166">
        <v>0</v>
      </c>
      <c r="BK79" s="166">
        <v>0</v>
      </c>
      <c r="BL79" s="166">
        <v>0</v>
      </c>
      <c r="BM79" s="166">
        <v>0</v>
      </c>
      <c r="BN79" s="166">
        <v>0</v>
      </c>
      <c r="BO79" s="166">
        <v>0</v>
      </c>
      <c r="BP79" s="166">
        <v>0</v>
      </c>
      <c r="BQ79" s="81" t="s">
        <v>1758</v>
      </c>
      <c r="BZ79" s="81" t="s">
        <v>155</v>
      </c>
      <c r="CA79" s="81">
        <v>7</v>
      </c>
      <c r="CC79" s="167">
        <f>N79</f>
        <v>1</v>
      </c>
      <c r="CD79" s="167">
        <v>0</v>
      </c>
      <c r="CE79" s="167">
        <v>0</v>
      </c>
      <c r="CF79" s="167">
        <v>0</v>
      </c>
      <c r="CG79" s="167">
        <v>0</v>
      </c>
      <c r="CH79" s="167">
        <v>0</v>
      </c>
      <c r="CI79" s="167">
        <v>0</v>
      </c>
      <c r="CJ79" s="167">
        <v>0</v>
      </c>
      <c r="CK79" s="167">
        <v>0</v>
      </c>
      <c r="CL79" s="167">
        <v>0</v>
      </c>
      <c r="CM79" s="167">
        <v>0</v>
      </c>
      <c r="CN79" s="167">
        <v>0</v>
      </c>
      <c r="CO79" s="167">
        <v>0</v>
      </c>
      <c r="CP79" s="167">
        <v>0</v>
      </c>
      <c r="CQ79" s="167">
        <v>0</v>
      </c>
      <c r="CR79" s="167">
        <v>0</v>
      </c>
      <c r="CS79" s="167">
        <v>0</v>
      </c>
      <c r="CT79" s="167">
        <v>0</v>
      </c>
      <c r="CU79" s="167">
        <v>0</v>
      </c>
      <c r="CV79" s="167">
        <v>0</v>
      </c>
      <c r="CW79" s="167">
        <v>0</v>
      </c>
      <c r="CX79" s="167">
        <f>SUM(CD79:CH79)</f>
        <v>0</v>
      </c>
      <c r="CY79" s="167">
        <f>SUM(CD79:CM79)</f>
        <v>0</v>
      </c>
    </row>
    <row r="80" spans="1:103" ht="12.75" customHeight="1" x14ac:dyDescent="0.2">
      <c r="A80" s="81">
        <v>5391</v>
      </c>
      <c r="B80" s="165" t="s">
        <v>1924</v>
      </c>
      <c r="C80" s="165" t="s">
        <v>232</v>
      </c>
      <c r="E80" s="165" t="s">
        <v>3133</v>
      </c>
      <c r="G80" s="81">
        <v>524044</v>
      </c>
      <c r="H80" s="81">
        <v>175282</v>
      </c>
      <c r="I80" s="165" t="s">
        <v>259</v>
      </c>
      <c r="J80" s="349">
        <v>42412</v>
      </c>
      <c r="K80" s="349">
        <v>42867</v>
      </c>
      <c r="L80" s="166">
        <v>1</v>
      </c>
      <c r="M80" s="166">
        <v>3</v>
      </c>
      <c r="N80" s="166">
        <v>2</v>
      </c>
      <c r="O80" s="166">
        <v>3</v>
      </c>
      <c r="P80" s="166">
        <v>2</v>
      </c>
      <c r="R80" s="165" t="s">
        <v>1681</v>
      </c>
      <c r="S80" s="81" t="s">
        <v>113</v>
      </c>
      <c r="T80" s="349">
        <v>41548</v>
      </c>
      <c r="U80" s="349">
        <v>41626</v>
      </c>
      <c r="W80" s="81" t="s">
        <v>114</v>
      </c>
      <c r="Y80" s="81" t="s">
        <v>115</v>
      </c>
      <c r="Z80" s="81" t="s">
        <v>398</v>
      </c>
      <c r="AA80" s="81" t="s">
        <v>117</v>
      </c>
      <c r="AB80" s="81" t="s">
        <v>220</v>
      </c>
      <c r="AC80" s="166">
        <v>1.4000000432133701E-2</v>
      </c>
      <c r="AD80" s="349">
        <v>42412</v>
      </c>
      <c r="AF80" s="349">
        <v>42867</v>
      </c>
      <c r="AG80" s="81" t="s">
        <v>238</v>
      </c>
      <c r="AH80" s="81" t="s">
        <v>118</v>
      </c>
      <c r="AK80" s="166">
        <v>0</v>
      </c>
      <c r="AM80" s="166">
        <v>0</v>
      </c>
      <c r="AO80" s="166">
        <v>0</v>
      </c>
      <c r="AP80" s="166">
        <v>2</v>
      </c>
      <c r="AQ80" s="166">
        <v>1</v>
      </c>
      <c r="AR80" s="166">
        <v>0</v>
      </c>
      <c r="AS80" s="166">
        <v>0</v>
      </c>
      <c r="AT80" s="166">
        <v>-1</v>
      </c>
      <c r="AU80" s="166">
        <v>0</v>
      </c>
      <c r="AV80" s="166">
        <v>0</v>
      </c>
      <c r="AW80" s="166">
        <v>2</v>
      </c>
      <c r="AX80" s="166">
        <v>1</v>
      </c>
      <c r="AY80" s="166">
        <v>0</v>
      </c>
      <c r="AZ80" s="166">
        <v>0</v>
      </c>
      <c r="BA80" s="166">
        <v>-1</v>
      </c>
      <c r="BB80" s="166">
        <v>0</v>
      </c>
      <c r="BC80" s="166">
        <v>0</v>
      </c>
      <c r="BD80" s="166">
        <v>0</v>
      </c>
      <c r="BE80" s="166">
        <v>0</v>
      </c>
      <c r="BF80" s="166">
        <v>0</v>
      </c>
      <c r="BG80" s="166">
        <v>0</v>
      </c>
      <c r="BH80" s="166">
        <v>0</v>
      </c>
      <c r="BI80" s="166">
        <v>0</v>
      </c>
      <c r="BJ80" s="166">
        <v>0</v>
      </c>
      <c r="BK80" s="166">
        <v>0</v>
      </c>
      <c r="BL80" s="166">
        <v>0</v>
      </c>
      <c r="BM80" s="166">
        <v>0</v>
      </c>
      <c r="BN80" s="166">
        <v>0</v>
      </c>
      <c r="BO80" s="166">
        <v>0</v>
      </c>
      <c r="BP80" s="166">
        <v>0</v>
      </c>
      <c r="BQ80" s="81" t="s">
        <v>1758</v>
      </c>
      <c r="BR80" s="81" t="s">
        <v>161</v>
      </c>
      <c r="BZ80" s="81" t="s">
        <v>155</v>
      </c>
      <c r="CA80" s="81">
        <v>7</v>
      </c>
      <c r="CC80" s="167">
        <f>N80</f>
        <v>2</v>
      </c>
      <c r="CD80" s="167">
        <v>0</v>
      </c>
      <c r="CE80" s="167">
        <v>0</v>
      </c>
      <c r="CF80" s="167">
        <v>0</v>
      </c>
      <c r="CG80" s="167">
        <v>0</v>
      </c>
      <c r="CH80" s="167">
        <v>0</v>
      </c>
      <c r="CI80" s="167">
        <v>0</v>
      </c>
      <c r="CJ80" s="167">
        <v>0</v>
      </c>
      <c r="CK80" s="167">
        <v>0</v>
      </c>
      <c r="CL80" s="167">
        <v>0</v>
      </c>
      <c r="CM80" s="167">
        <v>0</v>
      </c>
      <c r="CN80" s="167">
        <v>0</v>
      </c>
      <c r="CO80" s="167">
        <v>0</v>
      </c>
      <c r="CP80" s="167">
        <v>0</v>
      </c>
      <c r="CQ80" s="167">
        <v>0</v>
      </c>
      <c r="CR80" s="167">
        <v>0</v>
      </c>
      <c r="CS80" s="167">
        <v>0</v>
      </c>
      <c r="CT80" s="167">
        <v>0</v>
      </c>
      <c r="CU80" s="167">
        <v>0</v>
      </c>
      <c r="CV80" s="167">
        <v>0</v>
      </c>
      <c r="CW80" s="167">
        <v>0</v>
      </c>
      <c r="CX80" s="167">
        <f>SUM(CD80:CH80)</f>
        <v>0</v>
      </c>
      <c r="CY80" s="167">
        <f>SUM(CD80:CM80)</f>
        <v>0</v>
      </c>
    </row>
    <row r="81" spans="1:103" ht="12.75" customHeight="1" x14ac:dyDescent="0.2">
      <c r="A81" s="81">
        <v>5420</v>
      </c>
      <c r="B81" s="165" t="s">
        <v>1924</v>
      </c>
      <c r="C81" s="165" t="s">
        <v>233</v>
      </c>
      <c r="E81" s="165" t="s">
        <v>3134</v>
      </c>
      <c r="G81" s="81">
        <v>527461</v>
      </c>
      <c r="H81" s="81">
        <v>171563</v>
      </c>
      <c r="I81" s="165" t="s">
        <v>242</v>
      </c>
      <c r="J81" s="349">
        <v>42185</v>
      </c>
      <c r="K81" s="349">
        <v>43066</v>
      </c>
      <c r="L81" s="166">
        <v>0</v>
      </c>
      <c r="M81" s="166">
        <v>9</v>
      </c>
      <c r="N81" s="166">
        <v>9</v>
      </c>
      <c r="O81" s="166">
        <v>9</v>
      </c>
      <c r="P81" s="166">
        <v>9</v>
      </c>
      <c r="R81" s="165" t="s">
        <v>745</v>
      </c>
      <c r="S81" s="81" t="s">
        <v>104</v>
      </c>
      <c r="T81" s="349">
        <v>41596</v>
      </c>
      <c r="U81" s="349">
        <v>41883</v>
      </c>
      <c r="W81" s="81" t="s">
        <v>114</v>
      </c>
      <c r="Y81" s="81" t="s">
        <v>115</v>
      </c>
      <c r="Z81" s="81" t="s">
        <v>398</v>
      </c>
      <c r="AA81" s="81" t="s">
        <v>117</v>
      </c>
      <c r="AB81" s="81" t="s">
        <v>218</v>
      </c>
      <c r="AC81" s="166">
        <v>8.6999997496604906E-2</v>
      </c>
      <c r="AD81" s="349">
        <v>42185</v>
      </c>
      <c r="AF81" s="349">
        <v>43066</v>
      </c>
      <c r="AG81" s="81" t="s">
        <v>238</v>
      </c>
      <c r="AH81" s="81" t="s">
        <v>118</v>
      </c>
      <c r="AK81" s="166">
        <v>0</v>
      </c>
      <c r="AM81" s="166">
        <v>0</v>
      </c>
      <c r="AO81" s="166">
        <v>0</v>
      </c>
      <c r="AP81" s="166">
        <v>1</v>
      </c>
      <c r="AQ81" s="166">
        <v>6</v>
      </c>
      <c r="AR81" s="166">
        <v>2</v>
      </c>
      <c r="AS81" s="166">
        <v>0</v>
      </c>
      <c r="AT81" s="166">
        <v>0</v>
      </c>
      <c r="AU81" s="166">
        <v>0</v>
      </c>
      <c r="AV81" s="166">
        <v>0</v>
      </c>
      <c r="AW81" s="166">
        <v>1</v>
      </c>
      <c r="AX81" s="166">
        <v>6</v>
      </c>
      <c r="AY81" s="166">
        <v>2</v>
      </c>
      <c r="AZ81" s="166">
        <v>0</v>
      </c>
      <c r="BA81" s="166">
        <v>0</v>
      </c>
      <c r="BB81" s="166">
        <v>0</v>
      </c>
      <c r="BC81" s="166">
        <v>0</v>
      </c>
      <c r="BD81" s="166">
        <v>0</v>
      </c>
      <c r="BE81" s="166">
        <v>0</v>
      </c>
      <c r="BF81" s="166">
        <v>0</v>
      </c>
      <c r="BG81" s="166">
        <v>0</v>
      </c>
      <c r="BH81" s="166">
        <v>0</v>
      </c>
      <c r="BI81" s="166">
        <v>0</v>
      </c>
      <c r="BJ81" s="166">
        <v>0</v>
      </c>
      <c r="BK81" s="166">
        <v>0</v>
      </c>
      <c r="BL81" s="166">
        <v>0</v>
      </c>
      <c r="BM81" s="166">
        <v>0</v>
      </c>
      <c r="BN81" s="166">
        <v>0</v>
      </c>
      <c r="BO81" s="166">
        <v>0</v>
      </c>
      <c r="BP81" s="166">
        <v>0</v>
      </c>
      <c r="BQ81" s="81" t="s">
        <v>1757</v>
      </c>
      <c r="BR81" s="81" t="s">
        <v>242</v>
      </c>
      <c r="BZ81" s="81" t="s">
        <v>155</v>
      </c>
      <c r="CA81" s="81">
        <v>7</v>
      </c>
      <c r="CC81" s="167">
        <f>N81</f>
        <v>9</v>
      </c>
      <c r="CD81" s="167">
        <v>0</v>
      </c>
      <c r="CE81" s="167">
        <v>0</v>
      </c>
      <c r="CF81" s="167">
        <v>0</v>
      </c>
      <c r="CG81" s="167">
        <v>0</v>
      </c>
      <c r="CH81" s="167">
        <v>0</v>
      </c>
      <c r="CI81" s="167">
        <v>0</v>
      </c>
      <c r="CJ81" s="167">
        <v>0</v>
      </c>
      <c r="CK81" s="167">
        <v>0</v>
      </c>
      <c r="CL81" s="167">
        <v>0</v>
      </c>
      <c r="CM81" s="167">
        <v>0</v>
      </c>
      <c r="CN81" s="167">
        <v>0</v>
      </c>
      <c r="CO81" s="167">
        <v>0</v>
      </c>
      <c r="CP81" s="167">
        <v>0</v>
      </c>
      <c r="CQ81" s="167">
        <v>0</v>
      </c>
      <c r="CR81" s="167">
        <v>0</v>
      </c>
      <c r="CS81" s="167">
        <v>0</v>
      </c>
      <c r="CT81" s="167">
        <v>0</v>
      </c>
      <c r="CU81" s="167">
        <v>0</v>
      </c>
      <c r="CV81" s="167">
        <v>0</v>
      </c>
      <c r="CW81" s="167">
        <v>0</v>
      </c>
      <c r="CX81" s="167">
        <f>SUM(CD81:CH81)</f>
        <v>0</v>
      </c>
      <c r="CY81" s="167">
        <f>SUM(CD81:CM81)</f>
        <v>0</v>
      </c>
    </row>
    <row r="82" spans="1:103" ht="12.75" customHeight="1" x14ac:dyDescent="0.2">
      <c r="A82" s="81">
        <v>5437</v>
      </c>
      <c r="B82" s="165" t="s">
        <v>1924</v>
      </c>
      <c r="C82" s="165" t="s">
        <v>16</v>
      </c>
      <c r="E82" s="165" t="s">
        <v>3135</v>
      </c>
      <c r="G82" s="81">
        <v>526888</v>
      </c>
      <c r="H82" s="81">
        <v>175093</v>
      </c>
      <c r="I82" s="165" t="s">
        <v>251</v>
      </c>
      <c r="J82" s="349">
        <v>42401</v>
      </c>
      <c r="K82" s="349">
        <v>42949</v>
      </c>
      <c r="L82" s="166">
        <v>0</v>
      </c>
      <c r="M82" s="166">
        <v>3</v>
      </c>
      <c r="N82" s="166">
        <v>3</v>
      </c>
      <c r="O82" s="166">
        <v>3</v>
      </c>
      <c r="P82" s="166">
        <v>3</v>
      </c>
      <c r="R82" s="165" t="s">
        <v>108</v>
      </c>
      <c r="S82" s="81" t="s">
        <v>113</v>
      </c>
      <c r="T82" s="349">
        <v>41494</v>
      </c>
      <c r="U82" s="349">
        <v>41557</v>
      </c>
      <c r="W82" s="81" t="s">
        <v>114</v>
      </c>
      <c r="Y82" s="81" t="s">
        <v>115</v>
      </c>
      <c r="Z82" s="81" t="s">
        <v>116</v>
      </c>
      <c r="AA82" s="81" t="s">
        <v>117</v>
      </c>
      <c r="AB82" s="81" t="s">
        <v>218</v>
      </c>
      <c r="AC82" s="166">
        <v>1.4000000432133701E-2</v>
      </c>
      <c r="AD82" s="349">
        <v>42401</v>
      </c>
      <c r="AF82" s="349">
        <v>42949</v>
      </c>
      <c r="AG82" s="81" t="s">
        <v>238</v>
      </c>
      <c r="AH82" s="81" t="s">
        <v>118</v>
      </c>
      <c r="AK82" s="166">
        <v>0</v>
      </c>
      <c r="AM82" s="166">
        <v>0</v>
      </c>
      <c r="AO82" s="166">
        <v>0</v>
      </c>
      <c r="AP82" s="166">
        <v>0</v>
      </c>
      <c r="AQ82" s="166">
        <v>0</v>
      </c>
      <c r="AR82" s="166">
        <v>3</v>
      </c>
      <c r="AS82" s="166">
        <v>0</v>
      </c>
      <c r="AT82" s="166">
        <v>0</v>
      </c>
      <c r="AU82" s="166">
        <v>0</v>
      </c>
      <c r="AV82" s="166">
        <v>0</v>
      </c>
      <c r="AW82" s="166">
        <v>0</v>
      </c>
      <c r="AX82" s="166">
        <v>0</v>
      </c>
      <c r="AY82" s="166">
        <v>3</v>
      </c>
      <c r="AZ82" s="166">
        <v>0</v>
      </c>
      <c r="BA82" s="166">
        <v>0</v>
      </c>
      <c r="BB82" s="166">
        <v>0</v>
      </c>
      <c r="BC82" s="166">
        <v>0</v>
      </c>
      <c r="BD82" s="166">
        <v>0</v>
      </c>
      <c r="BE82" s="166">
        <v>0</v>
      </c>
      <c r="BF82" s="166">
        <v>0</v>
      </c>
      <c r="BG82" s="166">
        <v>0</v>
      </c>
      <c r="BH82" s="166">
        <v>0</v>
      </c>
      <c r="BI82" s="166">
        <v>0</v>
      </c>
      <c r="BJ82" s="166">
        <v>0</v>
      </c>
      <c r="BK82" s="166">
        <v>0</v>
      </c>
      <c r="BL82" s="166">
        <v>0</v>
      </c>
      <c r="BM82" s="166">
        <v>0</v>
      </c>
      <c r="BN82" s="166">
        <v>0</v>
      </c>
      <c r="BO82" s="166">
        <v>0</v>
      </c>
      <c r="BP82" s="166">
        <v>0</v>
      </c>
      <c r="BQ82" s="81" t="s">
        <v>1758</v>
      </c>
      <c r="BZ82" s="81" t="s">
        <v>155</v>
      </c>
      <c r="CA82" s="81">
        <v>1</v>
      </c>
      <c r="CC82" s="167">
        <f>N82</f>
        <v>3</v>
      </c>
      <c r="CD82" s="167">
        <v>0</v>
      </c>
      <c r="CE82" s="167">
        <v>0</v>
      </c>
      <c r="CF82" s="167">
        <v>0</v>
      </c>
      <c r="CG82" s="167">
        <v>0</v>
      </c>
      <c r="CH82" s="167">
        <v>0</v>
      </c>
      <c r="CI82" s="167">
        <v>0</v>
      </c>
      <c r="CJ82" s="167">
        <v>0</v>
      </c>
      <c r="CK82" s="167">
        <v>0</v>
      </c>
      <c r="CL82" s="167">
        <v>0</v>
      </c>
      <c r="CM82" s="167">
        <v>0</v>
      </c>
      <c r="CN82" s="167">
        <v>0</v>
      </c>
      <c r="CO82" s="167">
        <v>0</v>
      </c>
      <c r="CP82" s="167">
        <v>0</v>
      </c>
      <c r="CQ82" s="167">
        <v>0</v>
      </c>
      <c r="CR82" s="167">
        <v>0</v>
      </c>
      <c r="CS82" s="167">
        <v>0</v>
      </c>
      <c r="CT82" s="167">
        <v>0</v>
      </c>
      <c r="CU82" s="167">
        <v>0</v>
      </c>
      <c r="CV82" s="167">
        <v>0</v>
      </c>
      <c r="CW82" s="167">
        <v>0</v>
      </c>
      <c r="CX82" s="167">
        <f>SUM(CD82:CH82)</f>
        <v>0</v>
      </c>
      <c r="CY82" s="167">
        <f>SUM(CD82:CM82)</f>
        <v>0</v>
      </c>
    </row>
    <row r="83" spans="1:103" ht="12.75" customHeight="1" x14ac:dyDescent="0.2">
      <c r="A83" s="81">
        <v>5480</v>
      </c>
      <c r="B83" s="165" t="s">
        <v>1924</v>
      </c>
      <c r="C83" s="165" t="s">
        <v>804</v>
      </c>
      <c r="E83" s="165" t="s">
        <v>3136</v>
      </c>
      <c r="G83" s="81">
        <v>527831</v>
      </c>
      <c r="H83" s="81">
        <v>176627</v>
      </c>
      <c r="I83" s="165" t="s">
        <v>240</v>
      </c>
      <c r="J83" s="349">
        <v>42825</v>
      </c>
      <c r="K83" s="349">
        <v>43190</v>
      </c>
      <c r="L83" s="166">
        <v>0</v>
      </c>
      <c r="M83" s="166">
        <v>1</v>
      </c>
      <c r="N83" s="166">
        <v>1</v>
      </c>
      <c r="O83" s="166">
        <v>1</v>
      </c>
      <c r="P83" s="166">
        <v>1</v>
      </c>
      <c r="R83" s="165" t="s">
        <v>975</v>
      </c>
      <c r="S83" s="81" t="s">
        <v>113</v>
      </c>
      <c r="T83" s="349">
        <v>42396</v>
      </c>
      <c r="U83" s="349">
        <v>42488</v>
      </c>
      <c r="W83" s="81" t="s">
        <v>114</v>
      </c>
      <c r="Y83" s="81" t="s">
        <v>115</v>
      </c>
      <c r="Z83" s="81" t="s">
        <v>219</v>
      </c>
      <c r="AA83" s="81" t="s">
        <v>117</v>
      </c>
      <c r="AB83" s="81" t="s">
        <v>3889</v>
      </c>
      <c r="AC83" s="166">
        <v>7.0000002160668399E-3</v>
      </c>
      <c r="AD83" s="349">
        <v>42825</v>
      </c>
      <c r="AF83" s="349">
        <v>43190</v>
      </c>
      <c r="AG83" s="81" t="s">
        <v>238</v>
      </c>
      <c r="AH83" s="81" t="s">
        <v>118</v>
      </c>
      <c r="AK83" s="166">
        <v>0</v>
      </c>
      <c r="AM83" s="166">
        <v>0</v>
      </c>
      <c r="AO83" s="166">
        <v>0</v>
      </c>
      <c r="AP83" s="166">
        <v>0</v>
      </c>
      <c r="AQ83" s="166">
        <v>0</v>
      </c>
      <c r="AR83" s="166">
        <v>1</v>
      </c>
      <c r="AS83" s="166">
        <v>0</v>
      </c>
      <c r="AT83" s="166">
        <v>0</v>
      </c>
      <c r="AU83" s="166">
        <v>0</v>
      </c>
      <c r="AV83" s="166">
        <v>0</v>
      </c>
      <c r="AW83" s="166">
        <v>0</v>
      </c>
      <c r="AX83" s="166">
        <v>0</v>
      </c>
      <c r="AY83" s="166">
        <v>1</v>
      </c>
      <c r="AZ83" s="166">
        <v>0</v>
      </c>
      <c r="BA83" s="166">
        <v>0</v>
      </c>
      <c r="BB83" s="166">
        <v>0</v>
      </c>
      <c r="BC83" s="166">
        <v>0</v>
      </c>
      <c r="BD83" s="166">
        <v>0</v>
      </c>
      <c r="BE83" s="166">
        <v>0</v>
      </c>
      <c r="BF83" s="166">
        <v>0</v>
      </c>
      <c r="BG83" s="166">
        <v>0</v>
      </c>
      <c r="BH83" s="166">
        <v>0</v>
      </c>
      <c r="BI83" s="166">
        <v>0</v>
      </c>
      <c r="BJ83" s="166">
        <v>0</v>
      </c>
      <c r="BK83" s="166">
        <v>0</v>
      </c>
      <c r="BL83" s="166">
        <v>0</v>
      </c>
      <c r="BM83" s="166">
        <v>0</v>
      </c>
      <c r="BN83" s="166">
        <v>0</v>
      </c>
      <c r="BO83" s="166">
        <v>0</v>
      </c>
      <c r="BP83" s="166">
        <v>0</v>
      </c>
      <c r="BQ83" s="81" t="s">
        <v>1757</v>
      </c>
      <c r="BZ83" s="81" t="s">
        <v>155</v>
      </c>
      <c r="CA83" s="81">
        <v>7</v>
      </c>
      <c r="CC83" s="167">
        <f>N83</f>
        <v>1</v>
      </c>
      <c r="CD83" s="167">
        <v>0</v>
      </c>
      <c r="CE83" s="167">
        <v>0</v>
      </c>
      <c r="CF83" s="167">
        <v>0</v>
      </c>
      <c r="CG83" s="167">
        <v>0</v>
      </c>
      <c r="CH83" s="167">
        <v>0</v>
      </c>
      <c r="CI83" s="167">
        <v>0</v>
      </c>
      <c r="CJ83" s="167">
        <v>0</v>
      </c>
      <c r="CK83" s="167">
        <v>0</v>
      </c>
      <c r="CL83" s="167">
        <v>0</v>
      </c>
      <c r="CM83" s="167">
        <v>0</v>
      </c>
      <c r="CN83" s="167">
        <v>0</v>
      </c>
      <c r="CO83" s="167">
        <v>0</v>
      </c>
      <c r="CP83" s="167">
        <v>0</v>
      </c>
      <c r="CQ83" s="167">
        <v>0</v>
      </c>
      <c r="CR83" s="167">
        <v>0</v>
      </c>
      <c r="CS83" s="167">
        <v>0</v>
      </c>
      <c r="CT83" s="167">
        <v>0</v>
      </c>
      <c r="CU83" s="167">
        <v>0</v>
      </c>
      <c r="CV83" s="167">
        <v>0</v>
      </c>
      <c r="CW83" s="167">
        <v>0</v>
      </c>
      <c r="CX83" s="167">
        <f>SUM(CD83:CH83)</f>
        <v>0</v>
      </c>
      <c r="CY83" s="167">
        <f>SUM(CD83:CM83)</f>
        <v>0</v>
      </c>
    </row>
    <row r="84" spans="1:103" ht="12.75" customHeight="1" x14ac:dyDescent="0.2">
      <c r="A84" s="81">
        <v>5526</v>
      </c>
      <c r="B84" s="165" t="s">
        <v>1924</v>
      </c>
      <c r="C84" s="165" t="s">
        <v>785</v>
      </c>
      <c r="D84" s="165" t="s">
        <v>511</v>
      </c>
      <c r="E84" s="165" t="s">
        <v>3137</v>
      </c>
      <c r="G84" s="81">
        <v>529051</v>
      </c>
      <c r="H84" s="81">
        <v>172623</v>
      </c>
      <c r="I84" s="165" t="s">
        <v>248</v>
      </c>
      <c r="J84" s="349">
        <v>42522</v>
      </c>
      <c r="K84" s="349">
        <v>43091</v>
      </c>
      <c r="L84" s="166">
        <v>0</v>
      </c>
      <c r="M84" s="166">
        <v>9</v>
      </c>
      <c r="N84" s="166">
        <v>9</v>
      </c>
      <c r="O84" s="166">
        <v>9</v>
      </c>
      <c r="P84" s="166">
        <v>9</v>
      </c>
      <c r="R84" s="165" t="s">
        <v>957</v>
      </c>
      <c r="S84" s="81" t="s">
        <v>113</v>
      </c>
      <c r="T84" s="349">
        <v>42272</v>
      </c>
      <c r="U84" s="349">
        <v>42464</v>
      </c>
      <c r="W84" s="81" t="s">
        <v>114</v>
      </c>
      <c r="Y84" s="81" t="s">
        <v>115</v>
      </c>
      <c r="Z84" s="81" t="s">
        <v>116</v>
      </c>
      <c r="AA84" s="81" t="s">
        <v>117</v>
      </c>
      <c r="AB84" s="81" t="s">
        <v>218</v>
      </c>
      <c r="AC84" s="166">
        <v>7.5000002980232197E-2</v>
      </c>
      <c r="AD84" s="349">
        <v>42522</v>
      </c>
      <c r="AF84" s="349">
        <v>43091</v>
      </c>
      <c r="AG84" s="81" t="s">
        <v>238</v>
      </c>
      <c r="AH84" s="81" t="s">
        <v>118</v>
      </c>
      <c r="AK84" s="166">
        <v>9</v>
      </c>
      <c r="AM84" s="166">
        <v>0</v>
      </c>
      <c r="AO84" s="166">
        <v>0</v>
      </c>
      <c r="AP84" s="166">
        <v>0</v>
      </c>
      <c r="AQ84" s="166">
        <v>6</v>
      </c>
      <c r="AR84" s="166">
        <v>3</v>
      </c>
      <c r="AS84" s="166">
        <v>0</v>
      </c>
      <c r="AT84" s="166">
        <v>0</v>
      </c>
      <c r="AU84" s="166">
        <v>0</v>
      </c>
      <c r="AV84" s="166">
        <v>0</v>
      </c>
      <c r="AW84" s="166">
        <v>0</v>
      </c>
      <c r="AX84" s="166">
        <v>6</v>
      </c>
      <c r="AY84" s="166">
        <v>3</v>
      </c>
      <c r="AZ84" s="166">
        <v>0</v>
      </c>
      <c r="BA84" s="166">
        <v>0</v>
      </c>
      <c r="BB84" s="166">
        <v>0</v>
      </c>
      <c r="BC84" s="166">
        <v>0</v>
      </c>
      <c r="BD84" s="166">
        <v>0</v>
      </c>
      <c r="BE84" s="166">
        <v>0</v>
      </c>
      <c r="BF84" s="166">
        <v>0</v>
      </c>
      <c r="BG84" s="166">
        <v>0</v>
      </c>
      <c r="BH84" s="166">
        <v>0</v>
      </c>
      <c r="BI84" s="166">
        <v>0</v>
      </c>
      <c r="BJ84" s="166">
        <v>0</v>
      </c>
      <c r="BK84" s="166">
        <v>0</v>
      </c>
      <c r="BL84" s="166">
        <v>0</v>
      </c>
      <c r="BM84" s="166">
        <v>0</v>
      </c>
      <c r="BN84" s="166">
        <v>0</v>
      </c>
      <c r="BO84" s="166">
        <v>0</v>
      </c>
      <c r="BP84" s="166">
        <v>0</v>
      </c>
      <c r="BQ84" s="81" t="s">
        <v>1757</v>
      </c>
      <c r="BZ84" s="81" t="s">
        <v>155</v>
      </c>
      <c r="CA84" s="81">
        <v>1</v>
      </c>
      <c r="CC84" s="167">
        <f>N84</f>
        <v>9</v>
      </c>
      <c r="CD84" s="167">
        <v>0</v>
      </c>
      <c r="CE84" s="167">
        <v>0</v>
      </c>
      <c r="CF84" s="167">
        <v>0</v>
      </c>
      <c r="CG84" s="167">
        <v>0</v>
      </c>
      <c r="CH84" s="167">
        <v>0</v>
      </c>
      <c r="CI84" s="167">
        <v>0</v>
      </c>
      <c r="CJ84" s="167">
        <v>0</v>
      </c>
      <c r="CK84" s="167">
        <v>0</v>
      </c>
      <c r="CL84" s="167">
        <v>0</v>
      </c>
      <c r="CM84" s="167">
        <v>0</v>
      </c>
      <c r="CN84" s="167">
        <v>0</v>
      </c>
      <c r="CO84" s="167">
        <v>0</v>
      </c>
      <c r="CP84" s="167">
        <v>0</v>
      </c>
      <c r="CQ84" s="167">
        <v>0</v>
      </c>
      <c r="CR84" s="167">
        <v>0</v>
      </c>
      <c r="CS84" s="167">
        <v>0</v>
      </c>
      <c r="CT84" s="167">
        <v>0</v>
      </c>
      <c r="CU84" s="167">
        <v>0</v>
      </c>
      <c r="CV84" s="167">
        <v>0</v>
      </c>
      <c r="CW84" s="167">
        <v>0</v>
      </c>
      <c r="CX84" s="167">
        <f>SUM(CD84:CH84)</f>
        <v>0</v>
      </c>
      <c r="CY84" s="167">
        <f>SUM(CD84:CM84)</f>
        <v>0</v>
      </c>
    </row>
    <row r="85" spans="1:103" ht="12.75" customHeight="1" x14ac:dyDescent="0.2">
      <c r="A85" s="81">
        <v>5546</v>
      </c>
      <c r="B85" s="165" t="s">
        <v>1924</v>
      </c>
      <c r="C85" s="165" t="s">
        <v>536</v>
      </c>
      <c r="E85" s="165" t="s">
        <v>3138</v>
      </c>
      <c r="G85" s="81">
        <v>525916</v>
      </c>
      <c r="H85" s="81">
        <v>173928</v>
      </c>
      <c r="I85" s="165" t="s">
        <v>249</v>
      </c>
      <c r="J85" s="349">
        <v>42844</v>
      </c>
      <c r="K85" s="349">
        <v>43190</v>
      </c>
      <c r="L85" s="166">
        <v>0</v>
      </c>
      <c r="M85" s="166">
        <v>1</v>
      </c>
      <c r="N85" s="166">
        <v>1</v>
      </c>
      <c r="O85" s="166">
        <v>1</v>
      </c>
      <c r="P85" s="166">
        <v>1</v>
      </c>
      <c r="R85" s="165" t="s">
        <v>537</v>
      </c>
      <c r="S85" s="81" t="s">
        <v>113</v>
      </c>
      <c r="T85" s="349">
        <v>41690</v>
      </c>
      <c r="U85" s="349">
        <v>41746</v>
      </c>
      <c r="W85" s="81" t="s">
        <v>114</v>
      </c>
      <c r="Y85" s="81" t="s">
        <v>115</v>
      </c>
      <c r="Z85" s="81" t="s">
        <v>116</v>
      </c>
      <c r="AA85" s="81" t="s">
        <v>117</v>
      </c>
      <c r="AB85" s="81" t="s">
        <v>218</v>
      </c>
      <c r="AC85" s="166">
        <v>4.9999998882412902E-3</v>
      </c>
      <c r="AD85" s="349">
        <v>42844</v>
      </c>
      <c r="AE85" s="81" t="s">
        <v>155</v>
      </c>
      <c r="AF85" s="349">
        <v>43190</v>
      </c>
      <c r="AG85" s="81" t="s">
        <v>238</v>
      </c>
      <c r="AH85" s="81" t="s">
        <v>118</v>
      </c>
      <c r="AK85" s="166">
        <v>0</v>
      </c>
      <c r="AM85" s="166">
        <v>0</v>
      </c>
      <c r="AO85" s="166">
        <v>0</v>
      </c>
      <c r="AP85" s="166">
        <v>1</v>
      </c>
      <c r="AQ85" s="166">
        <v>0</v>
      </c>
      <c r="AR85" s="166">
        <v>0</v>
      </c>
      <c r="AS85" s="166">
        <v>0</v>
      </c>
      <c r="AT85" s="166">
        <v>0</v>
      </c>
      <c r="AU85" s="166">
        <v>0</v>
      </c>
      <c r="AV85" s="166">
        <v>0</v>
      </c>
      <c r="AW85" s="166">
        <v>1</v>
      </c>
      <c r="AX85" s="166">
        <v>0</v>
      </c>
      <c r="AY85" s="166">
        <v>0</v>
      </c>
      <c r="AZ85" s="166">
        <v>0</v>
      </c>
      <c r="BA85" s="166">
        <v>0</v>
      </c>
      <c r="BB85" s="166">
        <v>0</v>
      </c>
      <c r="BC85" s="166">
        <v>0</v>
      </c>
      <c r="BD85" s="166">
        <v>0</v>
      </c>
      <c r="BE85" s="166">
        <v>0</v>
      </c>
      <c r="BF85" s="166">
        <v>0</v>
      </c>
      <c r="BG85" s="166">
        <v>0</v>
      </c>
      <c r="BH85" s="166">
        <v>0</v>
      </c>
      <c r="BI85" s="166">
        <v>0</v>
      </c>
      <c r="BJ85" s="166">
        <v>0</v>
      </c>
      <c r="BK85" s="166">
        <v>0</v>
      </c>
      <c r="BL85" s="166">
        <v>0</v>
      </c>
      <c r="BM85" s="166">
        <v>0</v>
      </c>
      <c r="BN85" s="166">
        <v>0</v>
      </c>
      <c r="BO85" s="166">
        <v>0</v>
      </c>
      <c r="BP85" s="166">
        <v>0</v>
      </c>
      <c r="BQ85" s="81" t="s">
        <v>1758</v>
      </c>
      <c r="BZ85" s="81" t="s">
        <v>155</v>
      </c>
      <c r="CA85" s="81">
        <v>1</v>
      </c>
      <c r="CC85" s="167">
        <f>N85</f>
        <v>1</v>
      </c>
      <c r="CD85" s="167">
        <v>0</v>
      </c>
      <c r="CE85" s="167">
        <v>0</v>
      </c>
      <c r="CF85" s="167">
        <v>0</v>
      </c>
      <c r="CG85" s="167">
        <v>0</v>
      </c>
      <c r="CH85" s="167">
        <v>0</v>
      </c>
      <c r="CI85" s="167">
        <v>0</v>
      </c>
      <c r="CJ85" s="167">
        <v>0</v>
      </c>
      <c r="CK85" s="167">
        <v>0</v>
      </c>
      <c r="CL85" s="167">
        <v>0</v>
      </c>
      <c r="CM85" s="167">
        <v>0</v>
      </c>
      <c r="CN85" s="167">
        <v>0</v>
      </c>
      <c r="CO85" s="167">
        <v>0</v>
      </c>
      <c r="CP85" s="167">
        <v>0</v>
      </c>
      <c r="CQ85" s="167">
        <v>0</v>
      </c>
      <c r="CR85" s="167">
        <v>0</v>
      </c>
      <c r="CS85" s="167">
        <v>0</v>
      </c>
      <c r="CT85" s="167">
        <v>0</v>
      </c>
      <c r="CU85" s="167">
        <v>0</v>
      </c>
      <c r="CV85" s="167">
        <v>0</v>
      </c>
      <c r="CW85" s="167">
        <v>0</v>
      </c>
      <c r="CX85" s="167">
        <f>SUM(CD85:CH85)</f>
        <v>0</v>
      </c>
      <c r="CY85" s="167">
        <f>SUM(CD85:CM85)</f>
        <v>0</v>
      </c>
    </row>
    <row r="86" spans="1:103" ht="12.75" customHeight="1" x14ac:dyDescent="0.2">
      <c r="A86" s="81">
        <v>5560</v>
      </c>
      <c r="B86" s="165" t="s">
        <v>1924</v>
      </c>
      <c r="C86" s="165" t="s">
        <v>789</v>
      </c>
      <c r="E86" s="165" t="s">
        <v>3139</v>
      </c>
      <c r="G86" s="81">
        <v>528096</v>
      </c>
      <c r="H86" s="81">
        <v>172192</v>
      </c>
      <c r="I86" s="165" t="s">
        <v>248</v>
      </c>
      <c r="J86" s="349">
        <v>42825</v>
      </c>
      <c r="K86" s="349">
        <v>43185</v>
      </c>
      <c r="L86" s="166">
        <v>1</v>
      </c>
      <c r="M86" s="166">
        <v>3</v>
      </c>
      <c r="N86" s="166">
        <v>2</v>
      </c>
      <c r="O86" s="166">
        <v>3</v>
      </c>
      <c r="P86" s="166">
        <v>2</v>
      </c>
      <c r="R86" s="165" t="s">
        <v>1150</v>
      </c>
      <c r="S86" s="81" t="s">
        <v>113</v>
      </c>
      <c r="T86" s="349">
        <v>42293</v>
      </c>
      <c r="U86" s="349">
        <v>42464</v>
      </c>
      <c r="W86" s="81" t="s">
        <v>114</v>
      </c>
      <c r="Y86" s="81" t="s">
        <v>115</v>
      </c>
      <c r="Z86" s="81" t="s">
        <v>398</v>
      </c>
      <c r="AA86" s="81" t="s">
        <v>117</v>
      </c>
      <c r="AB86" s="81" t="s">
        <v>120</v>
      </c>
      <c r="AC86" s="166">
        <v>2.0999999716877899E-2</v>
      </c>
      <c r="AD86" s="349">
        <v>42825</v>
      </c>
      <c r="AF86" s="349">
        <v>43185</v>
      </c>
      <c r="AG86" s="81" t="s">
        <v>238</v>
      </c>
      <c r="AH86" s="81" t="s">
        <v>118</v>
      </c>
      <c r="AK86" s="166">
        <v>0</v>
      </c>
      <c r="AM86" s="166">
        <v>0</v>
      </c>
      <c r="AO86" s="166">
        <v>0</v>
      </c>
      <c r="AP86" s="166">
        <v>1</v>
      </c>
      <c r="AQ86" s="166">
        <v>0</v>
      </c>
      <c r="AR86" s="166">
        <v>1</v>
      </c>
      <c r="AS86" s="166">
        <v>0</v>
      </c>
      <c r="AT86" s="166">
        <v>0</v>
      </c>
      <c r="AU86" s="166">
        <v>0</v>
      </c>
      <c r="AV86" s="166">
        <v>0</v>
      </c>
      <c r="AW86" s="166">
        <v>1</v>
      </c>
      <c r="AX86" s="166">
        <v>0</v>
      </c>
      <c r="AY86" s="166">
        <v>1</v>
      </c>
      <c r="AZ86" s="166">
        <v>1</v>
      </c>
      <c r="BA86" s="166">
        <v>0</v>
      </c>
      <c r="BB86" s="166">
        <v>0</v>
      </c>
      <c r="BC86" s="166">
        <v>0</v>
      </c>
      <c r="BD86" s="166">
        <v>0</v>
      </c>
      <c r="BE86" s="166">
        <v>0</v>
      </c>
      <c r="BF86" s="166">
        <v>0</v>
      </c>
      <c r="BG86" s="166">
        <v>-1</v>
      </c>
      <c r="BH86" s="166">
        <v>0</v>
      </c>
      <c r="BI86" s="166">
        <v>0</v>
      </c>
      <c r="BJ86" s="166">
        <v>0</v>
      </c>
      <c r="BK86" s="166">
        <v>0</v>
      </c>
      <c r="BL86" s="166">
        <v>0</v>
      </c>
      <c r="BM86" s="166">
        <v>0</v>
      </c>
      <c r="BN86" s="166">
        <v>0</v>
      </c>
      <c r="BO86" s="166">
        <v>0</v>
      </c>
      <c r="BP86" s="166">
        <v>0</v>
      </c>
      <c r="BQ86" s="81" t="s">
        <v>1757</v>
      </c>
      <c r="BZ86" s="81" t="s">
        <v>155</v>
      </c>
      <c r="CA86" s="81">
        <v>7</v>
      </c>
      <c r="CC86" s="167">
        <f>N86</f>
        <v>2</v>
      </c>
      <c r="CD86" s="167">
        <v>0</v>
      </c>
      <c r="CE86" s="167">
        <v>0</v>
      </c>
      <c r="CF86" s="167">
        <v>0</v>
      </c>
      <c r="CG86" s="167">
        <v>0</v>
      </c>
      <c r="CH86" s="167">
        <v>0</v>
      </c>
      <c r="CI86" s="167">
        <v>0</v>
      </c>
      <c r="CJ86" s="167">
        <v>0</v>
      </c>
      <c r="CK86" s="167">
        <v>0</v>
      </c>
      <c r="CL86" s="167">
        <v>0</v>
      </c>
      <c r="CM86" s="167">
        <v>0</v>
      </c>
      <c r="CN86" s="167">
        <v>0</v>
      </c>
      <c r="CO86" s="167">
        <v>0</v>
      </c>
      <c r="CP86" s="167">
        <v>0</v>
      </c>
      <c r="CQ86" s="167">
        <v>0</v>
      </c>
      <c r="CR86" s="167">
        <v>0</v>
      </c>
      <c r="CS86" s="167">
        <v>0</v>
      </c>
      <c r="CT86" s="167">
        <v>0</v>
      </c>
      <c r="CU86" s="167">
        <v>0</v>
      </c>
      <c r="CV86" s="167">
        <v>0</v>
      </c>
      <c r="CW86" s="167">
        <v>0</v>
      </c>
      <c r="CX86" s="167">
        <f>SUM(CD86:CH86)</f>
        <v>0</v>
      </c>
      <c r="CY86" s="167">
        <f>SUM(CD86:CM86)</f>
        <v>0</v>
      </c>
    </row>
    <row r="87" spans="1:103" ht="12.75" customHeight="1" x14ac:dyDescent="0.2">
      <c r="A87" s="81">
        <v>5562</v>
      </c>
      <c r="B87" s="165" t="s">
        <v>1924</v>
      </c>
      <c r="C87" s="165" t="s">
        <v>320</v>
      </c>
      <c r="E87" s="165" t="s">
        <v>3140</v>
      </c>
      <c r="G87" s="81">
        <v>526160</v>
      </c>
      <c r="H87" s="81">
        <v>174434</v>
      </c>
      <c r="I87" s="165" t="s">
        <v>251</v>
      </c>
      <c r="J87" s="349">
        <v>42649</v>
      </c>
      <c r="K87" s="349">
        <v>43059</v>
      </c>
      <c r="L87" s="166">
        <v>2</v>
      </c>
      <c r="M87" s="166">
        <v>1</v>
      </c>
      <c r="N87" s="166">
        <v>-1</v>
      </c>
      <c r="O87" s="166">
        <v>1</v>
      </c>
      <c r="P87" s="166">
        <v>-1</v>
      </c>
      <c r="R87" s="165" t="s">
        <v>321</v>
      </c>
      <c r="S87" s="81" t="s">
        <v>113</v>
      </c>
      <c r="T87" s="349">
        <v>41708</v>
      </c>
      <c r="U87" s="349">
        <v>41760</v>
      </c>
      <c r="W87" s="81" t="s">
        <v>114</v>
      </c>
      <c r="Y87" s="81" t="s">
        <v>115</v>
      </c>
      <c r="Z87" s="81" t="s">
        <v>119</v>
      </c>
      <c r="AA87" s="81" t="s">
        <v>117</v>
      </c>
      <c r="AB87" s="81" t="s">
        <v>336</v>
      </c>
      <c r="AC87" s="166">
        <v>1.4000000432133701E-2</v>
      </c>
      <c r="AD87" s="349">
        <v>42649</v>
      </c>
      <c r="AF87" s="349">
        <v>43059</v>
      </c>
      <c r="AG87" s="81" t="s">
        <v>238</v>
      </c>
      <c r="AH87" s="81" t="s">
        <v>118</v>
      </c>
      <c r="AK87" s="166">
        <v>0</v>
      </c>
      <c r="AM87" s="166">
        <v>0</v>
      </c>
      <c r="AO87" s="166">
        <v>0</v>
      </c>
      <c r="AP87" s="166">
        <v>-1</v>
      </c>
      <c r="AQ87" s="166">
        <v>-1</v>
      </c>
      <c r="AR87" s="166">
        <v>1</v>
      </c>
      <c r="AS87" s="166">
        <v>0</v>
      </c>
      <c r="AT87" s="166">
        <v>0</v>
      </c>
      <c r="AU87" s="166">
        <v>0</v>
      </c>
      <c r="AV87" s="166">
        <v>0</v>
      </c>
      <c r="AW87" s="166">
        <v>-1</v>
      </c>
      <c r="AX87" s="166">
        <v>-1</v>
      </c>
      <c r="AY87" s="166">
        <v>0</v>
      </c>
      <c r="AZ87" s="166">
        <v>0</v>
      </c>
      <c r="BA87" s="166">
        <v>0</v>
      </c>
      <c r="BB87" s="166">
        <v>0</v>
      </c>
      <c r="BC87" s="166">
        <v>0</v>
      </c>
      <c r="BD87" s="166">
        <v>0</v>
      </c>
      <c r="BE87" s="166">
        <v>0</v>
      </c>
      <c r="BF87" s="166">
        <v>1</v>
      </c>
      <c r="BG87" s="166">
        <v>0</v>
      </c>
      <c r="BH87" s="166">
        <v>0</v>
      </c>
      <c r="BI87" s="166">
        <v>0</v>
      </c>
      <c r="BJ87" s="166">
        <v>0</v>
      </c>
      <c r="BK87" s="166">
        <v>0</v>
      </c>
      <c r="BL87" s="166">
        <v>0</v>
      </c>
      <c r="BM87" s="166">
        <v>0</v>
      </c>
      <c r="BN87" s="166">
        <v>0</v>
      </c>
      <c r="BO87" s="166">
        <v>0</v>
      </c>
      <c r="BP87" s="166">
        <v>0</v>
      </c>
      <c r="BQ87" s="81" t="s">
        <v>1758</v>
      </c>
      <c r="BZ87" s="81" t="s">
        <v>155</v>
      </c>
      <c r="CA87" s="81">
        <v>7</v>
      </c>
      <c r="CC87" s="167">
        <f>N87</f>
        <v>-1</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f>SUM(CD87:CH87)</f>
        <v>0</v>
      </c>
      <c r="CY87" s="167">
        <f>SUM(CD87:CM87)</f>
        <v>0</v>
      </c>
    </row>
    <row r="88" spans="1:103" ht="12.75" customHeight="1" x14ac:dyDescent="0.2">
      <c r="A88" s="81">
        <v>5569</v>
      </c>
      <c r="B88" s="165" t="s">
        <v>1924</v>
      </c>
      <c r="C88" s="165" t="s">
        <v>83</v>
      </c>
      <c r="D88" s="165" t="s">
        <v>235</v>
      </c>
      <c r="E88" s="165" t="s">
        <v>3370</v>
      </c>
      <c r="G88" s="81">
        <v>525381</v>
      </c>
      <c r="H88" s="81">
        <v>174578</v>
      </c>
      <c r="I88" s="165" t="s">
        <v>258</v>
      </c>
      <c r="J88" s="349">
        <v>42643</v>
      </c>
      <c r="K88" s="349">
        <v>43190</v>
      </c>
      <c r="L88" s="166">
        <v>0</v>
      </c>
      <c r="M88" s="166">
        <v>73</v>
      </c>
      <c r="N88" s="166">
        <v>73</v>
      </c>
      <c r="O88" s="166">
        <v>77</v>
      </c>
      <c r="P88" s="166">
        <v>77</v>
      </c>
      <c r="Q88" s="81" t="s">
        <v>155</v>
      </c>
      <c r="R88" s="165" t="s">
        <v>886</v>
      </c>
      <c r="S88" s="81" t="s">
        <v>104</v>
      </c>
      <c r="T88" s="349">
        <v>41541</v>
      </c>
      <c r="U88" s="349">
        <v>41842</v>
      </c>
      <c r="W88" s="81" t="s">
        <v>114</v>
      </c>
      <c r="Y88" s="81" t="s">
        <v>115</v>
      </c>
      <c r="Z88" s="81" t="s">
        <v>116</v>
      </c>
      <c r="AA88" s="81" t="s">
        <v>116</v>
      </c>
      <c r="AB88" s="81" t="s">
        <v>117</v>
      </c>
      <c r="AC88" s="166">
        <v>4.1999999433755902E-2</v>
      </c>
      <c r="AD88" s="349">
        <v>42643</v>
      </c>
      <c r="AF88" s="349">
        <v>43190</v>
      </c>
      <c r="AG88" s="81" t="s">
        <v>238</v>
      </c>
      <c r="AH88" s="81" t="s">
        <v>118</v>
      </c>
      <c r="AI88" s="81" t="s">
        <v>3371</v>
      </c>
      <c r="AK88" s="166">
        <v>73</v>
      </c>
      <c r="AM88" s="166">
        <v>7</v>
      </c>
      <c r="AO88" s="166">
        <v>2</v>
      </c>
      <c r="AP88" s="166">
        <v>24</v>
      </c>
      <c r="AQ88" s="166">
        <v>41</v>
      </c>
      <c r="AR88" s="166">
        <v>6</v>
      </c>
      <c r="AS88" s="166">
        <v>0</v>
      </c>
      <c r="AT88" s="166">
        <v>0</v>
      </c>
      <c r="AU88" s="166">
        <v>0</v>
      </c>
      <c r="AV88" s="166">
        <v>2</v>
      </c>
      <c r="AW88" s="166">
        <v>24</v>
      </c>
      <c r="AX88" s="166">
        <v>41</v>
      </c>
      <c r="AY88" s="166">
        <v>6</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81" t="s">
        <v>1758</v>
      </c>
      <c r="BR88" s="81" t="s">
        <v>202</v>
      </c>
      <c r="BT88" s="81" t="s">
        <v>155</v>
      </c>
      <c r="BZ88" s="81" t="s">
        <v>155</v>
      </c>
      <c r="CA88" s="81">
        <v>1</v>
      </c>
      <c r="CC88" s="167">
        <f>N88</f>
        <v>73</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f>SUM(CD88:CH88)</f>
        <v>0</v>
      </c>
      <c r="CY88" s="167">
        <f>SUM(CD88:CM88)</f>
        <v>0</v>
      </c>
    </row>
    <row r="89" spans="1:103" ht="12.75" customHeight="1" x14ac:dyDescent="0.2">
      <c r="A89" s="81">
        <v>5569</v>
      </c>
      <c r="B89" s="165" t="s">
        <v>1924</v>
      </c>
      <c r="C89" s="165" t="s">
        <v>83</v>
      </c>
      <c r="D89" s="165" t="s">
        <v>235</v>
      </c>
      <c r="E89" s="165" t="s">
        <v>3370</v>
      </c>
      <c r="G89" s="81">
        <v>525381</v>
      </c>
      <c r="H89" s="81">
        <v>174578</v>
      </c>
      <c r="I89" s="165" t="s">
        <v>258</v>
      </c>
      <c r="J89" s="349">
        <v>42643</v>
      </c>
      <c r="K89" s="349">
        <v>43190</v>
      </c>
      <c r="L89" s="166">
        <v>0</v>
      </c>
      <c r="M89" s="166">
        <v>4</v>
      </c>
      <c r="N89" s="166">
        <v>4</v>
      </c>
      <c r="O89" s="166">
        <v>77</v>
      </c>
      <c r="P89" s="166">
        <v>77</v>
      </c>
      <c r="Q89" s="81" t="s">
        <v>155</v>
      </c>
      <c r="R89" s="165" t="s">
        <v>886</v>
      </c>
      <c r="S89" s="81" t="s">
        <v>104</v>
      </c>
      <c r="T89" s="349">
        <v>41541</v>
      </c>
      <c r="U89" s="349">
        <v>41842</v>
      </c>
      <c r="W89" s="81" t="s">
        <v>114</v>
      </c>
      <c r="Y89" s="81" t="s">
        <v>115</v>
      </c>
      <c r="Z89" s="81" t="s">
        <v>116</v>
      </c>
      <c r="AA89" s="81" t="s">
        <v>116</v>
      </c>
      <c r="AB89" s="81" t="s">
        <v>117</v>
      </c>
      <c r="AC89" s="166">
        <v>0</v>
      </c>
      <c r="AD89" s="349">
        <v>42643</v>
      </c>
      <c r="AF89" s="349">
        <v>43190</v>
      </c>
      <c r="AG89" s="81" t="s">
        <v>74</v>
      </c>
      <c r="AH89" s="81" t="s">
        <v>1913</v>
      </c>
      <c r="AI89" s="81" t="s">
        <v>3371</v>
      </c>
      <c r="AK89" s="166">
        <v>4</v>
      </c>
      <c r="AM89" s="166">
        <v>0</v>
      </c>
      <c r="AO89" s="166">
        <v>0</v>
      </c>
      <c r="AP89" s="166">
        <v>1</v>
      </c>
      <c r="AQ89" s="166">
        <v>3</v>
      </c>
      <c r="AR89" s="166">
        <v>0</v>
      </c>
      <c r="AS89" s="166">
        <v>0</v>
      </c>
      <c r="AT89" s="166">
        <v>0</v>
      </c>
      <c r="AU89" s="166">
        <v>0</v>
      </c>
      <c r="AV89" s="166">
        <v>0</v>
      </c>
      <c r="AW89" s="166">
        <v>1</v>
      </c>
      <c r="AX89" s="166">
        <v>3</v>
      </c>
      <c r="AY89" s="166">
        <v>0</v>
      </c>
      <c r="AZ89" s="166">
        <v>0</v>
      </c>
      <c r="BA89" s="166">
        <v>0</v>
      </c>
      <c r="BB89" s="166">
        <v>0</v>
      </c>
      <c r="BC89" s="166">
        <v>0</v>
      </c>
      <c r="BD89" s="166">
        <v>0</v>
      </c>
      <c r="BE89" s="166">
        <v>0</v>
      </c>
      <c r="BF89" s="166">
        <v>0</v>
      </c>
      <c r="BG89" s="166">
        <v>0</v>
      </c>
      <c r="BH89" s="166">
        <v>0</v>
      </c>
      <c r="BI89" s="166">
        <v>0</v>
      </c>
      <c r="BJ89" s="166">
        <v>0</v>
      </c>
      <c r="BK89" s="166">
        <v>0</v>
      </c>
      <c r="BL89" s="166">
        <v>0</v>
      </c>
      <c r="BM89" s="166">
        <v>0</v>
      </c>
      <c r="BN89" s="166">
        <v>0</v>
      </c>
      <c r="BO89" s="166">
        <v>0</v>
      </c>
      <c r="BP89" s="166">
        <v>0</v>
      </c>
      <c r="BQ89" s="81" t="s">
        <v>1758</v>
      </c>
      <c r="BR89" s="81" t="s">
        <v>202</v>
      </c>
      <c r="BT89" s="81" t="s">
        <v>155</v>
      </c>
      <c r="BZ89" s="81" t="s">
        <v>155</v>
      </c>
      <c r="CA89" s="81">
        <v>1</v>
      </c>
      <c r="CC89" s="167">
        <f>N89</f>
        <v>4</v>
      </c>
      <c r="CD89" s="167">
        <v>0</v>
      </c>
      <c r="CE89" s="167">
        <v>0</v>
      </c>
      <c r="CF89" s="167">
        <v>0</v>
      </c>
      <c r="CG89" s="167">
        <v>0</v>
      </c>
      <c r="CH89" s="167">
        <v>0</v>
      </c>
      <c r="CI89" s="167">
        <v>0</v>
      </c>
      <c r="CJ89" s="167">
        <v>0</v>
      </c>
      <c r="CK89" s="167">
        <v>0</v>
      </c>
      <c r="CL89" s="167">
        <v>0</v>
      </c>
      <c r="CM89" s="167">
        <v>0</v>
      </c>
      <c r="CN89" s="167">
        <v>0</v>
      </c>
      <c r="CO89" s="167">
        <v>0</v>
      </c>
      <c r="CP89" s="167">
        <v>0</v>
      </c>
      <c r="CQ89" s="167">
        <v>0</v>
      </c>
      <c r="CR89" s="167">
        <v>0</v>
      </c>
      <c r="CS89" s="167">
        <v>0</v>
      </c>
      <c r="CT89" s="167">
        <v>0</v>
      </c>
      <c r="CU89" s="167">
        <v>0</v>
      </c>
      <c r="CV89" s="167">
        <v>0</v>
      </c>
      <c r="CW89" s="167">
        <v>0</v>
      </c>
      <c r="CX89" s="167">
        <f>SUM(CD89:CH89)</f>
        <v>0</v>
      </c>
      <c r="CY89" s="167">
        <f>SUM(CD89:CM89)</f>
        <v>0</v>
      </c>
    </row>
    <row r="90" spans="1:103" ht="12.75" customHeight="1" x14ac:dyDescent="0.2">
      <c r="A90" s="81">
        <v>5600</v>
      </c>
      <c r="B90" s="165" t="s">
        <v>1924</v>
      </c>
      <c r="C90" s="165" t="s">
        <v>72</v>
      </c>
      <c r="E90" s="165" t="s">
        <v>3141</v>
      </c>
      <c r="G90" s="81">
        <v>527515</v>
      </c>
      <c r="H90" s="81">
        <v>173123</v>
      </c>
      <c r="I90" s="165" t="s">
        <v>254</v>
      </c>
      <c r="J90" s="349">
        <v>42014</v>
      </c>
      <c r="K90" s="349">
        <v>43190</v>
      </c>
      <c r="L90" s="166">
        <v>1</v>
      </c>
      <c r="M90" s="166">
        <v>3</v>
      </c>
      <c r="N90" s="166">
        <v>2</v>
      </c>
      <c r="O90" s="166">
        <v>3</v>
      </c>
      <c r="P90" s="166">
        <v>2</v>
      </c>
      <c r="R90" s="165" t="s">
        <v>73</v>
      </c>
      <c r="S90" s="81" t="s">
        <v>296</v>
      </c>
      <c r="T90" s="349">
        <v>41733</v>
      </c>
      <c r="U90" s="349">
        <v>41789</v>
      </c>
      <c r="W90" s="81" t="s">
        <v>297</v>
      </c>
      <c r="X90" s="349">
        <v>42013</v>
      </c>
      <c r="Y90" s="81" t="s">
        <v>115</v>
      </c>
      <c r="Z90" s="81" t="s">
        <v>119</v>
      </c>
      <c r="AA90" s="81" t="s">
        <v>117</v>
      </c>
      <c r="AB90" s="81" t="s">
        <v>220</v>
      </c>
      <c r="AC90" s="166">
        <v>1.60000007599592E-2</v>
      </c>
      <c r="AD90" s="349">
        <v>42014</v>
      </c>
      <c r="AF90" s="349">
        <v>43190</v>
      </c>
      <c r="AG90" s="81" t="s">
        <v>238</v>
      </c>
      <c r="AH90" s="81" t="s">
        <v>118</v>
      </c>
      <c r="AK90" s="166">
        <v>0</v>
      </c>
      <c r="AM90" s="166">
        <v>0</v>
      </c>
      <c r="AO90" s="166">
        <v>1</v>
      </c>
      <c r="AP90" s="166">
        <v>0</v>
      </c>
      <c r="AQ90" s="166">
        <v>2</v>
      </c>
      <c r="AR90" s="166">
        <v>0</v>
      </c>
      <c r="AS90" s="166">
        <v>-1</v>
      </c>
      <c r="AT90" s="166">
        <v>0</v>
      </c>
      <c r="AU90" s="166">
        <v>0</v>
      </c>
      <c r="AV90" s="166">
        <v>1</v>
      </c>
      <c r="AW90" s="166">
        <v>0</v>
      </c>
      <c r="AX90" s="166">
        <v>2</v>
      </c>
      <c r="AY90" s="166">
        <v>0</v>
      </c>
      <c r="AZ90" s="166">
        <v>-1</v>
      </c>
      <c r="BA90" s="166">
        <v>0</v>
      </c>
      <c r="BB90" s="166">
        <v>0</v>
      </c>
      <c r="BC90" s="166">
        <v>0</v>
      </c>
      <c r="BD90" s="166">
        <v>0</v>
      </c>
      <c r="BE90" s="166">
        <v>0</v>
      </c>
      <c r="BF90" s="166">
        <v>0</v>
      </c>
      <c r="BG90" s="166">
        <v>0</v>
      </c>
      <c r="BH90" s="166">
        <v>0</v>
      </c>
      <c r="BI90" s="166">
        <v>0</v>
      </c>
      <c r="BJ90" s="166">
        <v>0</v>
      </c>
      <c r="BK90" s="166">
        <v>0</v>
      </c>
      <c r="BL90" s="166">
        <v>0</v>
      </c>
      <c r="BM90" s="166">
        <v>0</v>
      </c>
      <c r="BN90" s="166">
        <v>0</v>
      </c>
      <c r="BO90" s="166">
        <v>0</v>
      </c>
      <c r="BP90" s="166">
        <v>0</v>
      </c>
      <c r="BQ90" s="81" t="s">
        <v>1757</v>
      </c>
      <c r="BZ90" s="81" t="s">
        <v>155</v>
      </c>
      <c r="CA90" s="81">
        <v>7</v>
      </c>
      <c r="CC90" s="167">
        <f>N90</f>
        <v>2</v>
      </c>
      <c r="CD90" s="167">
        <v>0</v>
      </c>
      <c r="CE90" s="167">
        <v>0</v>
      </c>
      <c r="CF90" s="167">
        <v>0</v>
      </c>
      <c r="CG90" s="167">
        <v>0</v>
      </c>
      <c r="CH90" s="167">
        <v>0</v>
      </c>
      <c r="CI90" s="167">
        <v>0</v>
      </c>
      <c r="CJ90" s="167">
        <v>0</v>
      </c>
      <c r="CK90" s="167">
        <v>0</v>
      </c>
      <c r="CL90" s="167">
        <v>0</v>
      </c>
      <c r="CM90" s="167">
        <v>0</v>
      </c>
      <c r="CN90" s="167">
        <v>0</v>
      </c>
      <c r="CO90" s="167">
        <v>0</v>
      </c>
      <c r="CP90" s="167">
        <v>0</v>
      </c>
      <c r="CQ90" s="167">
        <v>0</v>
      </c>
      <c r="CR90" s="167">
        <v>0</v>
      </c>
      <c r="CS90" s="167">
        <v>0</v>
      </c>
      <c r="CT90" s="167">
        <v>0</v>
      </c>
      <c r="CU90" s="167">
        <v>0</v>
      </c>
      <c r="CV90" s="167">
        <v>0</v>
      </c>
      <c r="CW90" s="167">
        <v>0</v>
      </c>
      <c r="CX90" s="167">
        <f>SUM(CD90:CH90)</f>
        <v>0</v>
      </c>
      <c r="CY90" s="167">
        <f>SUM(CD90:CM90)</f>
        <v>0</v>
      </c>
    </row>
    <row r="91" spans="1:103" ht="12.75" customHeight="1" x14ac:dyDescent="0.2">
      <c r="A91" s="81">
        <v>5613</v>
      </c>
      <c r="B91" s="165" t="s">
        <v>1924</v>
      </c>
      <c r="C91" s="165" t="s">
        <v>371</v>
      </c>
      <c r="E91" s="165" t="s">
        <v>3142</v>
      </c>
      <c r="G91" s="81">
        <v>527472</v>
      </c>
      <c r="H91" s="81">
        <v>174926</v>
      </c>
      <c r="I91" s="165" t="s">
        <v>255</v>
      </c>
      <c r="J91" s="349">
        <v>42233</v>
      </c>
      <c r="K91" s="349">
        <v>42894</v>
      </c>
      <c r="L91" s="166">
        <v>0</v>
      </c>
      <c r="M91" s="166">
        <v>1</v>
      </c>
      <c r="N91" s="166">
        <v>1</v>
      </c>
      <c r="O91" s="166">
        <v>1</v>
      </c>
      <c r="P91" s="166">
        <v>1</v>
      </c>
      <c r="R91" s="165" t="s">
        <v>1686</v>
      </c>
      <c r="S91" s="81" t="s">
        <v>113</v>
      </c>
      <c r="T91" s="349">
        <v>42002</v>
      </c>
      <c r="U91" s="349">
        <v>42121</v>
      </c>
      <c r="W91" s="81" t="s">
        <v>114</v>
      </c>
      <c r="Y91" s="81" t="s">
        <v>115</v>
      </c>
      <c r="Z91" s="81" t="s">
        <v>219</v>
      </c>
      <c r="AA91" s="81" t="s">
        <v>117</v>
      </c>
      <c r="AB91" s="81" t="s">
        <v>3889</v>
      </c>
      <c r="AC91" s="166">
        <v>4.0000001899898104E-3</v>
      </c>
      <c r="AD91" s="349">
        <v>42233</v>
      </c>
      <c r="AF91" s="349">
        <v>42894</v>
      </c>
      <c r="AG91" s="81" t="s">
        <v>238</v>
      </c>
      <c r="AH91" s="81" t="s">
        <v>118</v>
      </c>
      <c r="AK91" s="166">
        <v>0</v>
      </c>
      <c r="AM91" s="166">
        <v>0</v>
      </c>
      <c r="AO91" s="166">
        <v>0</v>
      </c>
      <c r="AP91" s="166">
        <v>0</v>
      </c>
      <c r="AQ91" s="166">
        <v>1</v>
      </c>
      <c r="AR91" s="166">
        <v>0</v>
      </c>
      <c r="AS91" s="166">
        <v>0</v>
      </c>
      <c r="AT91" s="166">
        <v>0</v>
      </c>
      <c r="AU91" s="166">
        <v>0</v>
      </c>
      <c r="AV91" s="166">
        <v>0</v>
      </c>
      <c r="AW91" s="166">
        <v>0</v>
      </c>
      <c r="AX91" s="166">
        <v>1</v>
      </c>
      <c r="AY91" s="166">
        <v>0</v>
      </c>
      <c r="AZ91" s="166">
        <v>0</v>
      </c>
      <c r="BA91" s="166">
        <v>0</v>
      </c>
      <c r="BB91" s="166">
        <v>0</v>
      </c>
      <c r="BC91" s="166">
        <v>0</v>
      </c>
      <c r="BD91" s="166">
        <v>0</v>
      </c>
      <c r="BE91" s="166">
        <v>0</v>
      </c>
      <c r="BF91" s="166">
        <v>0</v>
      </c>
      <c r="BG91" s="166">
        <v>0</v>
      </c>
      <c r="BH91" s="166">
        <v>0</v>
      </c>
      <c r="BI91" s="166">
        <v>0</v>
      </c>
      <c r="BJ91" s="166">
        <v>0</v>
      </c>
      <c r="BK91" s="166">
        <v>0</v>
      </c>
      <c r="BL91" s="166">
        <v>0</v>
      </c>
      <c r="BM91" s="166">
        <v>0</v>
      </c>
      <c r="BN91" s="166">
        <v>0</v>
      </c>
      <c r="BO91" s="166">
        <v>0</v>
      </c>
      <c r="BP91" s="166">
        <v>0</v>
      </c>
      <c r="BQ91" s="81" t="s">
        <v>1757</v>
      </c>
      <c r="BR91" s="81" t="s">
        <v>160</v>
      </c>
      <c r="BZ91" s="81" t="s">
        <v>155</v>
      </c>
      <c r="CA91" s="81">
        <v>7</v>
      </c>
      <c r="CC91" s="167">
        <f>N91</f>
        <v>1</v>
      </c>
      <c r="CD91" s="167">
        <v>0</v>
      </c>
      <c r="CE91" s="167">
        <v>0</v>
      </c>
      <c r="CF91" s="167">
        <v>0</v>
      </c>
      <c r="CG91" s="167">
        <v>0</v>
      </c>
      <c r="CH91" s="167">
        <v>0</v>
      </c>
      <c r="CI91" s="167">
        <v>0</v>
      </c>
      <c r="CJ91" s="167">
        <v>0</v>
      </c>
      <c r="CK91" s="167">
        <v>0</v>
      </c>
      <c r="CL91" s="167">
        <v>0</v>
      </c>
      <c r="CM91" s="167">
        <v>0</v>
      </c>
      <c r="CN91" s="167">
        <v>0</v>
      </c>
      <c r="CO91" s="167">
        <v>0</v>
      </c>
      <c r="CP91" s="167">
        <v>0</v>
      </c>
      <c r="CQ91" s="167">
        <v>0</v>
      </c>
      <c r="CR91" s="167">
        <v>0</v>
      </c>
      <c r="CS91" s="167">
        <v>0</v>
      </c>
      <c r="CT91" s="167">
        <v>0</v>
      </c>
      <c r="CU91" s="167">
        <v>0</v>
      </c>
      <c r="CV91" s="167">
        <v>0</v>
      </c>
      <c r="CW91" s="167">
        <v>0</v>
      </c>
      <c r="CX91" s="167">
        <f>SUM(CD91:CH91)</f>
        <v>0</v>
      </c>
      <c r="CY91" s="167">
        <f>SUM(CD91:CM91)</f>
        <v>0</v>
      </c>
    </row>
    <row r="92" spans="1:103" ht="12.75" customHeight="1" x14ac:dyDescent="0.2">
      <c r="A92" s="81">
        <v>5629</v>
      </c>
      <c r="B92" s="165" t="s">
        <v>1924</v>
      </c>
      <c r="C92" s="165" t="s">
        <v>127</v>
      </c>
      <c r="E92" s="165" t="s">
        <v>3376</v>
      </c>
      <c r="G92" s="81">
        <v>525681</v>
      </c>
      <c r="H92" s="81">
        <v>174324</v>
      </c>
      <c r="I92" s="165" t="s">
        <v>258</v>
      </c>
      <c r="J92" s="349">
        <v>41921</v>
      </c>
      <c r="K92" s="349">
        <v>42852</v>
      </c>
      <c r="L92" s="166">
        <v>0</v>
      </c>
      <c r="M92" s="166">
        <v>14</v>
      </c>
      <c r="N92" s="166">
        <v>14</v>
      </c>
      <c r="O92" s="166">
        <v>14</v>
      </c>
      <c r="P92" s="166">
        <v>14</v>
      </c>
      <c r="Q92" s="81" t="s">
        <v>155</v>
      </c>
      <c r="R92" s="165" t="s">
        <v>39</v>
      </c>
      <c r="S92" s="81" t="s">
        <v>110</v>
      </c>
      <c r="T92" s="349">
        <v>41766</v>
      </c>
      <c r="U92" s="349">
        <v>41822</v>
      </c>
      <c r="W92" s="81" t="s">
        <v>114</v>
      </c>
      <c r="Y92" s="81" t="s">
        <v>115</v>
      </c>
      <c r="Z92" s="81" t="s">
        <v>310</v>
      </c>
      <c r="AA92" s="81" t="s">
        <v>117</v>
      </c>
      <c r="AB92" s="81" t="s">
        <v>399</v>
      </c>
      <c r="AC92" s="166">
        <v>2.60000005364418E-2</v>
      </c>
      <c r="AD92" s="349">
        <v>41921</v>
      </c>
      <c r="AF92" s="349">
        <v>42852</v>
      </c>
      <c r="AG92" s="81" t="s">
        <v>238</v>
      </c>
      <c r="AH92" s="81" t="s">
        <v>118</v>
      </c>
      <c r="AK92" s="166">
        <v>0</v>
      </c>
      <c r="AM92" s="166">
        <v>0</v>
      </c>
      <c r="AO92" s="166">
        <v>0</v>
      </c>
      <c r="AP92" s="166">
        <v>12</v>
      </c>
      <c r="AQ92" s="166">
        <v>2</v>
      </c>
      <c r="AR92" s="166">
        <v>0</v>
      </c>
      <c r="AS92" s="166">
        <v>0</v>
      </c>
      <c r="AT92" s="166">
        <v>0</v>
      </c>
      <c r="AU92" s="166">
        <v>0</v>
      </c>
      <c r="AV92" s="166">
        <v>0</v>
      </c>
      <c r="AW92" s="166">
        <v>12</v>
      </c>
      <c r="AX92" s="166">
        <v>2</v>
      </c>
      <c r="AY92" s="166">
        <v>0</v>
      </c>
      <c r="AZ92" s="166">
        <v>0</v>
      </c>
      <c r="BA92" s="166">
        <v>0</v>
      </c>
      <c r="BB92" s="166">
        <v>0</v>
      </c>
      <c r="BC92" s="166">
        <v>0</v>
      </c>
      <c r="BD92" s="166">
        <v>0</v>
      </c>
      <c r="BE92" s="166">
        <v>0</v>
      </c>
      <c r="BF92" s="166">
        <v>0</v>
      </c>
      <c r="BG92" s="166">
        <v>0</v>
      </c>
      <c r="BH92" s="166">
        <v>0</v>
      </c>
      <c r="BI92" s="166">
        <v>0</v>
      </c>
      <c r="BJ92" s="166">
        <v>0</v>
      </c>
      <c r="BK92" s="166">
        <v>0</v>
      </c>
      <c r="BL92" s="166">
        <v>0</v>
      </c>
      <c r="BM92" s="166">
        <v>0</v>
      </c>
      <c r="BN92" s="166">
        <v>0</v>
      </c>
      <c r="BO92" s="166">
        <v>0</v>
      </c>
      <c r="BP92" s="166">
        <v>0</v>
      </c>
      <c r="BQ92" s="81" t="s">
        <v>1758</v>
      </c>
      <c r="BR92" s="81" t="s">
        <v>202</v>
      </c>
      <c r="BT92" s="81" t="s">
        <v>155</v>
      </c>
      <c r="BZ92" s="81" t="s">
        <v>155</v>
      </c>
      <c r="CA92" s="81">
        <v>7</v>
      </c>
      <c r="CC92" s="167">
        <f>N92</f>
        <v>14</v>
      </c>
      <c r="CD92" s="167">
        <v>0</v>
      </c>
      <c r="CE92" s="167">
        <v>0</v>
      </c>
      <c r="CF92" s="167">
        <v>0</v>
      </c>
      <c r="CG92" s="167">
        <v>0</v>
      </c>
      <c r="CH92" s="167">
        <v>0</v>
      </c>
      <c r="CI92" s="167">
        <v>0</v>
      </c>
      <c r="CJ92" s="167">
        <v>0</v>
      </c>
      <c r="CK92" s="167">
        <v>0</v>
      </c>
      <c r="CL92" s="167">
        <v>0</v>
      </c>
      <c r="CM92" s="167">
        <v>0</v>
      </c>
      <c r="CN92" s="167">
        <v>0</v>
      </c>
      <c r="CO92" s="167">
        <v>0</v>
      </c>
      <c r="CP92" s="167">
        <v>0</v>
      </c>
      <c r="CQ92" s="167">
        <v>0</v>
      </c>
      <c r="CR92" s="167">
        <v>0</v>
      </c>
      <c r="CS92" s="167">
        <v>0</v>
      </c>
      <c r="CT92" s="167">
        <v>0</v>
      </c>
      <c r="CU92" s="167">
        <v>0</v>
      </c>
      <c r="CV92" s="167">
        <v>0</v>
      </c>
      <c r="CW92" s="167">
        <v>0</v>
      </c>
      <c r="CX92" s="167">
        <f>SUM(CD92:CH92)</f>
        <v>0</v>
      </c>
      <c r="CY92" s="167">
        <f>SUM(CD92:CM92)</f>
        <v>0</v>
      </c>
    </row>
    <row r="93" spans="1:103" ht="12.75" customHeight="1" x14ac:dyDescent="0.2">
      <c r="A93" s="81">
        <v>5629</v>
      </c>
      <c r="B93" s="165" t="s">
        <v>1924</v>
      </c>
      <c r="C93" s="165" t="s">
        <v>81</v>
      </c>
      <c r="E93" s="165" t="s">
        <v>3376</v>
      </c>
      <c r="G93" s="81">
        <v>525681</v>
      </c>
      <c r="H93" s="81">
        <v>174324</v>
      </c>
      <c r="I93" s="165" t="s">
        <v>258</v>
      </c>
      <c r="J93" s="349">
        <v>42125</v>
      </c>
      <c r="K93" s="349">
        <v>42852</v>
      </c>
      <c r="L93" s="166">
        <v>0</v>
      </c>
      <c r="M93" s="166">
        <v>2</v>
      </c>
      <c r="N93" s="166">
        <v>2</v>
      </c>
      <c r="O93" s="166">
        <v>2</v>
      </c>
      <c r="P93" s="166">
        <v>2</v>
      </c>
      <c r="R93" s="165" t="s">
        <v>82</v>
      </c>
      <c r="S93" s="81" t="s">
        <v>270</v>
      </c>
      <c r="T93" s="349">
        <v>41975</v>
      </c>
      <c r="U93" s="349">
        <v>42031</v>
      </c>
      <c r="W93" s="81" t="s">
        <v>114</v>
      </c>
      <c r="Y93" s="81" t="s">
        <v>115</v>
      </c>
      <c r="Z93" s="81" t="s">
        <v>310</v>
      </c>
      <c r="AA93" s="81" t="s">
        <v>117</v>
      </c>
      <c r="AB93" s="81" t="s">
        <v>399</v>
      </c>
      <c r="AC93" s="166">
        <v>1.30000002682209E-2</v>
      </c>
      <c r="AD93" s="349">
        <v>42125</v>
      </c>
      <c r="AF93" s="349">
        <v>42852</v>
      </c>
      <c r="AG93" s="81" t="s">
        <v>238</v>
      </c>
      <c r="AH93" s="81" t="s">
        <v>118</v>
      </c>
      <c r="AK93" s="166">
        <v>0</v>
      </c>
      <c r="AM93" s="166">
        <v>0</v>
      </c>
      <c r="AO93" s="166">
        <v>0</v>
      </c>
      <c r="AP93" s="166">
        <v>1</v>
      </c>
      <c r="AQ93" s="166">
        <v>1</v>
      </c>
      <c r="AR93" s="166">
        <v>0</v>
      </c>
      <c r="AS93" s="166">
        <v>0</v>
      </c>
      <c r="AT93" s="166">
        <v>0</v>
      </c>
      <c r="AU93" s="166">
        <v>0</v>
      </c>
      <c r="AV93" s="166">
        <v>0</v>
      </c>
      <c r="AW93" s="166">
        <v>1</v>
      </c>
      <c r="AX93" s="166">
        <v>1</v>
      </c>
      <c r="AY93" s="166">
        <v>0</v>
      </c>
      <c r="AZ93" s="166">
        <v>0</v>
      </c>
      <c r="BA93" s="166">
        <v>0</v>
      </c>
      <c r="BB93" s="166">
        <v>0</v>
      </c>
      <c r="BC93" s="166">
        <v>0</v>
      </c>
      <c r="BD93" s="166">
        <v>0</v>
      </c>
      <c r="BE93" s="166">
        <v>0</v>
      </c>
      <c r="BF93" s="166">
        <v>0</v>
      </c>
      <c r="BG93" s="166">
        <v>0</v>
      </c>
      <c r="BH93" s="166">
        <v>0</v>
      </c>
      <c r="BI93" s="166">
        <v>0</v>
      </c>
      <c r="BJ93" s="166">
        <v>0</v>
      </c>
      <c r="BK93" s="166">
        <v>0</v>
      </c>
      <c r="BL93" s="166">
        <v>0</v>
      </c>
      <c r="BM93" s="166">
        <v>0</v>
      </c>
      <c r="BN93" s="166">
        <v>0</v>
      </c>
      <c r="BO93" s="166">
        <v>0</v>
      </c>
      <c r="BP93" s="166">
        <v>0</v>
      </c>
      <c r="BQ93" s="81" t="s">
        <v>1758</v>
      </c>
      <c r="BR93" s="81" t="s">
        <v>202</v>
      </c>
      <c r="BT93" s="81" t="s">
        <v>155</v>
      </c>
      <c r="BZ93" s="81" t="s">
        <v>155</v>
      </c>
      <c r="CA93" s="81">
        <v>7</v>
      </c>
      <c r="CC93" s="167">
        <f>N93</f>
        <v>2</v>
      </c>
      <c r="CD93" s="167">
        <v>0</v>
      </c>
      <c r="CE93" s="167">
        <v>0</v>
      </c>
      <c r="CF93" s="167">
        <v>0</v>
      </c>
      <c r="CG93" s="167">
        <v>0</v>
      </c>
      <c r="CH93" s="167">
        <v>0</v>
      </c>
      <c r="CI93" s="167">
        <v>0</v>
      </c>
      <c r="CJ93" s="167">
        <v>0</v>
      </c>
      <c r="CK93" s="167">
        <v>0</v>
      </c>
      <c r="CL93" s="167">
        <v>0</v>
      </c>
      <c r="CM93" s="167">
        <v>0</v>
      </c>
      <c r="CN93" s="167">
        <v>0</v>
      </c>
      <c r="CO93" s="167">
        <v>0</v>
      </c>
      <c r="CP93" s="167">
        <v>0</v>
      </c>
      <c r="CQ93" s="167">
        <v>0</v>
      </c>
      <c r="CR93" s="167">
        <v>0</v>
      </c>
      <c r="CS93" s="167">
        <v>0</v>
      </c>
      <c r="CT93" s="167">
        <v>0</v>
      </c>
      <c r="CU93" s="167">
        <v>0</v>
      </c>
      <c r="CV93" s="167">
        <v>0</v>
      </c>
      <c r="CW93" s="167">
        <v>0</v>
      </c>
      <c r="CX93" s="167">
        <f>SUM(CD93:CH93)</f>
        <v>0</v>
      </c>
      <c r="CY93" s="167">
        <f>SUM(CD93:CM93)</f>
        <v>0</v>
      </c>
    </row>
    <row r="94" spans="1:103" ht="12.75" customHeight="1" x14ac:dyDescent="0.2">
      <c r="A94" s="81">
        <v>5639</v>
      </c>
      <c r="B94" s="165" t="s">
        <v>1924</v>
      </c>
      <c r="C94" s="165" t="s">
        <v>385</v>
      </c>
      <c r="E94" s="165" t="s">
        <v>3143</v>
      </c>
      <c r="G94" s="81">
        <v>525706</v>
      </c>
      <c r="H94" s="81">
        <v>174298</v>
      </c>
      <c r="I94" s="165" t="s">
        <v>258</v>
      </c>
      <c r="J94" s="349">
        <v>42125</v>
      </c>
      <c r="K94" s="349">
        <v>42852</v>
      </c>
      <c r="L94" s="166">
        <v>0</v>
      </c>
      <c r="M94" s="166">
        <v>4</v>
      </c>
      <c r="N94" s="166">
        <v>4</v>
      </c>
      <c r="O94" s="166">
        <v>4</v>
      </c>
      <c r="P94" s="166">
        <v>4</v>
      </c>
      <c r="R94" s="165" t="s">
        <v>386</v>
      </c>
      <c r="S94" s="81" t="s">
        <v>110</v>
      </c>
      <c r="T94" s="349">
        <v>41870</v>
      </c>
      <c r="U94" s="349">
        <v>41920</v>
      </c>
      <c r="W94" s="81" t="s">
        <v>114</v>
      </c>
      <c r="Y94" s="81" t="s">
        <v>115</v>
      </c>
      <c r="Z94" s="81" t="s">
        <v>310</v>
      </c>
      <c r="AA94" s="81" t="s">
        <v>117</v>
      </c>
      <c r="AB94" s="81" t="s">
        <v>399</v>
      </c>
      <c r="AC94" s="166">
        <v>1.30000002682209E-2</v>
      </c>
      <c r="AD94" s="349">
        <v>42125</v>
      </c>
      <c r="AF94" s="349">
        <v>42852</v>
      </c>
      <c r="AG94" s="81" t="s">
        <v>238</v>
      </c>
      <c r="AH94" s="81" t="s">
        <v>118</v>
      </c>
      <c r="AK94" s="166">
        <v>0</v>
      </c>
      <c r="AM94" s="166">
        <v>0</v>
      </c>
      <c r="AO94" s="166">
        <v>0</v>
      </c>
      <c r="AP94" s="166">
        <v>2</v>
      </c>
      <c r="AQ94" s="166">
        <v>2</v>
      </c>
      <c r="AR94" s="166">
        <v>0</v>
      </c>
      <c r="AS94" s="166">
        <v>0</v>
      </c>
      <c r="AT94" s="166">
        <v>0</v>
      </c>
      <c r="AU94" s="166">
        <v>0</v>
      </c>
      <c r="AV94" s="166">
        <v>0</v>
      </c>
      <c r="AW94" s="166">
        <v>2</v>
      </c>
      <c r="AX94" s="166">
        <v>2</v>
      </c>
      <c r="AY94" s="166">
        <v>0</v>
      </c>
      <c r="AZ94" s="166">
        <v>0</v>
      </c>
      <c r="BA94" s="166">
        <v>0</v>
      </c>
      <c r="BB94" s="166">
        <v>0</v>
      </c>
      <c r="BC94" s="166">
        <v>0</v>
      </c>
      <c r="BD94" s="166">
        <v>0</v>
      </c>
      <c r="BE94" s="166">
        <v>0</v>
      </c>
      <c r="BF94" s="166">
        <v>0</v>
      </c>
      <c r="BG94" s="166">
        <v>0</v>
      </c>
      <c r="BH94" s="166">
        <v>0</v>
      </c>
      <c r="BI94" s="166">
        <v>0</v>
      </c>
      <c r="BJ94" s="166">
        <v>0</v>
      </c>
      <c r="BK94" s="166">
        <v>0</v>
      </c>
      <c r="BL94" s="166">
        <v>0</v>
      </c>
      <c r="BM94" s="166">
        <v>0</v>
      </c>
      <c r="BN94" s="166">
        <v>0</v>
      </c>
      <c r="BO94" s="166">
        <v>0</v>
      </c>
      <c r="BP94" s="166">
        <v>0</v>
      </c>
      <c r="BQ94" s="81" t="s">
        <v>1758</v>
      </c>
      <c r="BR94" s="81" t="s">
        <v>202</v>
      </c>
      <c r="BT94" s="81" t="s">
        <v>155</v>
      </c>
      <c r="BZ94" s="81" t="s">
        <v>155</v>
      </c>
      <c r="CA94" s="81">
        <v>7</v>
      </c>
      <c r="CC94" s="167">
        <f>N94</f>
        <v>4</v>
      </c>
      <c r="CD94" s="167">
        <v>0</v>
      </c>
      <c r="CE94" s="167">
        <v>0</v>
      </c>
      <c r="CF94" s="167">
        <v>0</v>
      </c>
      <c r="CG94" s="167">
        <v>0</v>
      </c>
      <c r="CH94" s="167">
        <v>0</v>
      </c>
      <c r="CI94" s="167">
        <v>0</v>
      </c>
      <c r="CJ94" s="167">
        <v>0</v>
      </c>
      <c r="CK94" s="167">
        <v>0</v>
      </c>
      <c r="CL94" s="167">
        <v>0</v>
      </c>
      <c r="CM94" s="167">
        <v>0</v>
      </c>
      <c r="CN94" s="167">
        <v>0</v>
      </c>
      <c r="CO94" s="167">
        <v>0</v>
      </c>
      <c r="CP94" s="167">
        <v>0</v>
      </c>
      <c r="CQ94" s="167">
        <v>0</v>
      </c>
      <c r="CR94" s="167">
        <v>0</v>
      </c>
      <c r="CS94" s="167">
        <v>0</v>
      </c>
      <c r="CT94" s="167">
        <v>0</v>
      </c>
      <c r="CU94" s="167">
        <v>0</v>
      </c>
      <c r="CV94" s="167">
        <v>0</v>
      </c>
      <c r="CW94" s="167">
        <v>0</v>
      </c>
      <c r="CX94" s="167">
        <f>SUM(CD94:CH94)</f>
        <v>0</v>
      </c>
      <c r="CY94" s="167">
        <f>SUM(CD94:CM94)</f>
        <v>0</v>
      </c>
    </row>
    <row r="95" spans="1:103" ht="12.75" customHeight="1" x14ac:dyDescent="0.2">
      <c r="A95" s="81">
        <v>5643</v>
      </c>
      <c r="B95" s="165" t="s">
        <v>1924</v>
      </c>
      <c r="C95" s="165" t="s">
        <v>341</v>
      </c>
      <c r="E95" s="165" t="s">
        <v>3144</v>
      </c>
      <c r="G95" s="81">
        <v>527641</v>
      </c>
      <c r="H95" s="81">
        <v>175495</v>
      </c>
      <c r="I95" s="165" t="s">
        <v>256</v>
      </c>
      <c r="J95" s="349">
        <v>42298</v>
      </c>
      <c r="K95" s="349">
        <v>42880</v>
      </c>
      <c r="L95" s="166">
        <v>0</v>
      </c>
      <c r="M95" s="166">
        <v>3</v>
      </c>
      <c r="N95" s="166">
        <v>3</v>
      </c>
      <c r="O95" s="166">
        <v>3</v>
      </c>
      <c r="P95" s="166">
        <v>3</v>
      </c>
      <c r="R95" s="165" t="s">
        <v>757</v>
      </c>
      <c r="S95" s="81" t="s">
        <v>113</v>
      </c>
      <c r="T95" s="349">
        <v>41982</v>
      </c>
      <c r="U95" s="349">
        <v>42073</v>
      </c>
      <c r="W95" s="81" t="s">
        <v>114</v>
      </c>
      <c r="Y95" s="81" t="s">
        <v>115</v>
      </c>
      <c r="Z95" s="81" t="s">
        <v>398</v>
      </c>
      <c r="AA95" s="81" t="s">
        <v>117</v>
      </c>
      <c r="AB95" s="81" t="s">
        <v>399</v>
      </c>
      <c r="AC95" s="166">
        <v>1.09999999403954E-2</v>
      </c>
      <c r="AD95" s="349">
        <v>42298</v>
      </c>
      <c r="AF95" s="349">
        <v>42880</v>
      </c>
      <c r="AG95" s="81" t="s">
        <v>238</v>
      </c>
      <c r="AH95" s="81" t="s">
        <v>118</v>
      </c>
      <c r="AK95" s="166">
        <v>3</v>
      </c>
      <c r="AM95" s="166">
        <v>0</v>
      </c>
      <c r="AO95" s="166">
        <v>0</v>
      </c>
      <c r="AP95" s="166">
        <v>2</v>
      </c>
      <c r="AQ95" s="166">
        <v>1</v>
      </c>
      <c r="AR95" s="166">
        <v>0</v>
      </c>
      <c r="AS95" s="166">
        <v>0</v>
      </c>
      <c r="AT95" s="166">
        <v>0</v>
      </c>
      <c r="AU95" s="166">
        <v>0</v>
      </c>
      <c r="AV95" s="166">
        <v>0</v>
      </c>
      <c r="AW95" s="166">
        <v>2</v>
      </c>
      <c r="AX95" s="166">
        <v>1</v>
      </c>
      <c r="AY95" s="166">
        <v>0</v>
      </c>
      <c r="AZ95" s="166">
        <v>0</v>
      </c>
      <c r="BA95" s="166">
        <v>0</v>
      </c>
      <c r="BB95" s="166">
        <v>0</v>
      </c>
      <c r="BC95" s="166">
        <v>0</v>
      </c>
      <c r="BD95" s="166">
        <v>0</v>
      </c>
      <c r="BE95" s="166">
        <v>0</v>
      </c>
      <c r="BF95" s="166">
        <v>0</v>
      </c>
      <c r="BG95" s="166">
        <v>0</v>
      </c>
      <c r="BH95" s="166">
        <v>0</v>
      </c>
      <c r="BI95" s="166">
        <v>0</v>
      </c>
      <c r="BJ95" s="166">
        <v>0</v>
      </c>
      <c r="BK95" s="166">
        <v>0</v>
      </c>
      <c r="BL95" s="166">
        <v>0</v>
      </c>
      <c r="BM95" s="166">
        <v>0</v>
      </c>
      <c r="BN95" s="166">
        <v>0</v>
      </c>
      <c r="BO95" s="166">
        <v>0</v>
      </c>
      <c r="BP95" s="166">
        <v>0</v>
      </c>
      <c r="BQ95" s="81" t="s">
        <v>1757</v>
      </c>
      <c r="BR95" s="81" t="s">
        <v>160</v>
      </c>
      <c r="BZ95" s="81" t="s">
        <v>155</v>
      </c>
      <c r="CA95" s="81">
        <v>7</v>
      </c>
      <c r="CC95" s="167">
        <f>N95</f>
        <v>3</v>
      </c>
      <c r="CD95" s="167">
        <v>0</v>
      </c>
      <c r="CE95" s="167">
        <v>0</v>
      </c>
      <c r="CF95" s="167">
        <v>0</v>
      </c>
      <c r="CG95" s="167">
        <v>0</v>
      </c>
      <c r="CH95" s="167">
        <v>0</v>
      </c>
      <c r="CI95" s="167">
        <v>0</v>
      </c>
      <c r="CJ95" s="167">
        <v>0</v>
      </c>
      <c r="CK95" s="167">
        <v>0</v>
      </c>
      <c r="CL95" s="167">
        <v>0</v>
      </c>
      <c r="CM95" s="167">
        <v>0</v>
      </c>
      <c r="CN95" s="167">
        <v>0</v>
      </c>
      <c r="CO95" s="167">
        <v>0</v>
      </c>
      <c r="CP95" s="167">
        <v>0</v>
      </c>
      <c r="CQ95" s="167">
        <v>0</v>
      </c>
      <c r="CR95" s="167">
        <v>0</v>
      </c>
      <c r="CS95" s="167">
        <v>0</v>
      </c>
      <c r="CT95" s="167">
        <v>0</v>
      </c>
      <c r="CU95" s="167">
        <v>0</v>
      </c>
      <c r="CV95" s="167">
        <v>0</v>
      </c>
      <c r="CW95" s="167">
        <v>0</v>
      </c>
      <c r="CX95" s="167">
        <f>SUM(CD95:CH95)</f>
        <v>0</v>
      </c>
      <c r="CY95" s="167">
        <f>SUM(CD95:CM95)</f>
        <v>0</v>
      </c>
    </row>
    <row r="96" spans="1:103" ht="12.75" customHeight="1" x14ac:dyDescent="0.2">
      <c r="A96" s="81">
        <v>5645</v>
      </c>
      <c r="B96" s="165" t="s">
        <v>1924</v>
      </c>
      <c r="C96" s="165" t="s">
        <v>63</v>
      </c>
      <c r="D96" s="165" t="s">
        <v>2107</v>
      </c>
      <c r="E96" s="165" t="s">
        <v>3145</v>
      </c>
      <c r="G96" s="81">
        <v>527292</v>
      </c>
      <c r="H96" s="81">
        <v>177189</v>
      </c>
      <c r="I96" s="165" t="s">
        <v>257</v>
      </c>
      <c r="J96" s="349">
        <v>42060</v>
      </c>
      <c r="L96" s="166">
        <v>0</v>
      </c>
      <c r="M96" s="166">
        <v>1</v>
      </c>
      <c r="N96" s="166">
        <v>1</v>
      </c>
      <c r="O96" s="166">
        <v>2</v>
      </c>
      <c r="P96" s="166">
        <v>2</v>
      </c>
      <c r="R96" s="165" t="s">
        <v>42</v>
      </c>
      <c r="S96" s="81" t="s">
        <v>270</v>
      </c>
      <c r="T96" s="349">
        <v>41947</v>
      </c>
      <c r="U96" s="349">
        <v>42060</v>
      </c>
      <c r="W96" s="81" t="s">
        <v>114</v>
      </c>
      <c r="Y96" s="81" t="s">
        <v>115</v>
      </c>
      <c r="Z96" s="81" t="s">
        <v>310</v>
      </c>
      <c r="AA96" s="81" t="s">
        <v>117</v>
      </c>
      <c r="AB96" s="81" t="s">
        <v>399</v>
      </c>
      <c r="AC96" s="166">
        <v>4.0000001899898104E-3</v>
      </c>
      <c r="AD96" s="349">
        <v>42060</v>
      </c>
      <c r="AF96" s="349">
        <v>42826</v>
      </c>
      <c r="AG96" s="81" t="s">
        <v>238</v>
      </c>
      <c r="AH96" s="81" t="s">
        <v>118</v>
      </c>
      <c r="AK96" s="166">
        <v>0</v>
      </c>
      <c r="AM96" s="166">
        <v>0</v>
      </c>
      <c r="AO96" s="166">
        <v>1</v>
      </c>
      <c r="AP96" s="166">
        <v>0</v>
      </c>
      <c r="AQ96" s="166">
        <v>0</v>
      </c>
      <c r="AR96" s="166">
        <v>0</v>
      </c>
      <c r="AS96" s="166">
        <v>0</v>
      </c>
      <c r="AT96" s="166">
        <v>0</v>
      </c>
      <c r="AU96" s="166">
        <v>0</v>
      </c>
      <c r="AV96" s="166">
        <v>1</v>
      </c>
      <c r="AW96" s="166">
        <v>0</v>
      </c>
      <c r="AX96" s="166">
        <v>0</v>
      </c>
      <c r="AY96" s="166">
        <v>0</v>
      </c>
      <c r="AZ96" s="166">
        <v>0</v>
      </c>
      <c r="BA96" s="166">
        <v>0</v>
      </c>
      <c r="BB96" s="166">
        <v>0</v>
      </c>
      <c r="BC96" s="166">
        <v>0</v>
      </c>
      <c r="BD96" s="166">
        <v>0</v>
      </c>
      <c r="BE96" s="166">
        <v>0</v>
      </c>
      <c r="BF96" s="166">
        <v>0</v>
      </c>
      <c r="BG96" s="166">
        <v>0</v>
      </c>
      <c r="BH96" s="166">
        <v>0</v>
      </c>
      <c r="BI96" s="166">
        <v>0</v>
      </c>
      <c r="BJ96" s="166">
        <v>0</v>
      </c>
      <c r="BK96" s="166">
        <v>0</v>
      </c>
      <c r="BL96" s="166">
        <v>0</v>
      </c>
      <c r="BM96" s="166">
        <v>0</v>
      </c>
      <c r="BN96" s="166">
        <v>0</v>
      </c>
      <c r="BO96" s="166">
        <v>0</v>
      </c>
      <c r="BP96" s="166">
        <v>0</v>
      </c>
      <c r="BQ96" s="81" t="s">
        <v>1757</v>
      </c>
      <c r="BX96" s="81" t="s">
        <v>155</v>
      </c>
      <c r="BZ96" s="81" t="s">
        <v>155</v>
      </c>
      <c r="CA96" s="81">
        <v>7</v>
      </c>
      <c r="CC96" s="167">
        <f>N96</f>
        <v>1</v>
      </c>
      <c r="CD96" s="167">
        <v>0</v>
      </c>
      <c r="CE96" s="167">
        <v>0</v>
      </c>
      <c r="CF96" s="167">
        <v>0</v>
      </c>
      <c r="CG96" s="167">
        <v>0</v>
      </c>
      <c r="CH96" s="167">
        <v>0</v>
      </c>
      <c r="CI96" s="167">
        <v>0</v>
      </c>
      <c r="CJ96" s="167">
        <v>0</v>
      </c>
      <c r="CK96" s="167">
        <v>0</v>
      </c>
      <c r="CL96" s="167">
        <v>0</v>
      </c>
      <c r="CM96" s="167">
        <v>0</v>
      </c>
      <c r="CN96" s="167">
        <v>0</v>
      </c>
      <c r="CO96" s="167">
        <v>0</v>
      </c>
      <c r="CP96" s="167">
        <v>0</v>
      </c>
      <c r="CQ96" s="167">
        <v>0</v>
      </c>
      <c r="CR96" s="167">
        <v>0</v>
      </c>
      <c r="CS96" s="167">
        <v>0</v>
      </c>
      <c r="CT96" s="167">
        <v>0</v>
      </c>
      <c r="CU96" s="167">
        <v>0</v>
      </c>
      <c r="CV96" s="167">
        <v>0</v>
      </c>
      <c r="CW96" s="167">
        <v>0</v>
      </c>
      <c r="CX96" s="167">
        <f>SUM(CD96:CH96)</f>
        <v>0</v>
      </c>
      <c r="CY96" s="167">
        <f>SUM(CD96:CM96)</f>
        <v>0</v>
      </c>
    </row>
    <row r="97" spans="1:103" ht="12.75" customHeight="1" x14ac:dyDescent="0.2">
      <c r="A97" s="81">
        <v>5647</v>
      </c>
      <c r="B97" s="165" t="s">
        <v>1924</v>
      </c>
      <c r="C97" s="165" t="s">
        <v>109</v>
      </c>
      <c r="E97" s="165" t="s">
        <v>3146</v>
      </c>
      <c r="G97" s="81">
        <v>523995</v>
      </c>
      <c r="H97" s="81">
        <v>175107</v>
      </c>
      <c r="I97" s="165" t="s">
        <v>259</v>
      </c>
      <c r="J97" s="349">
        <v>42514</v>
      </c>
      <c r="K97" s="349">
        <v>42858</v>
      </c>
      <c r="L97" s="166">
        <v>0</v>
      </c>
      <c r="M97" s="166">
        <v>9</v>
      </c>
      <c r="N97" s="166">
        <v>9</v>
      </c>
      <c r="O97" s="166">
        <v>9</v>
      </c>
      <c r="P97" s="166">
        <v>9</v>
      </c>
      <c r="R97" s="165" t="s">
        <v>217</v>
      </c>
      <c r="S97" s="81" t="s">
        <v>110</v>
      </c>
      <c r="T97" s="349">
        <v>41835</v>
      </c>
      <c r="U97" s="349">
        <v>41891</v>
      </c>
      <c r="W97" s="81" t="s">
        <v>114</v>
      </c>
      <c r="Y97" s="81" t="s">
        <v>115</v>
      </c>
      <c r="Z97" s="81" t="s">
        <v>310</v>
      </c>
      <c r="AA97" s="81" t="s">
        <v>117</v>
      </c>
      <c r="AB97" s="81" t="s">
        <v>399</v>
      </c>
      <c r="AC97" s="166">
        <v>1.30000002682209E-2</v>
      </c>
      <c r="AD97" s="349">
        <v>42514</v>
      </c>
      <c r="AF97" s="349">
        <v>42858</v>
      </c>
      <c r="AG97" s="81" t="s">
        <v>238</v>
      </c>
      <c r="AH97" s="81" t="s">
        <v>118</v>
      </c>
      <c r="AK97" s="166">
        <v>0</v>
      </c>
      <c r="AM97" s="166">
        <v>0</v>
      </c>
      <c r="AO97" s="166">
        <v>9</v>
      </c>
      <c r="AP97" s="166">
        <v>0</v>
      </c>
      <c r="AQ97" s="166">
        <v>0</v>
      </c>
      <c r="AR97" s="166">
        <v>0</v>
      </c>
      <c r="AS97" s="166">
        <v>0</v>
      </c>
      <c r="AT97" s="166">
        <v>0</v>
      </c>
      <c r="AU97" s="166">
        <v>0</v>
      </c>
      <c r="AV97" s="166">
        <v>9</v>
      </c>
      <c r="AW97" s="166">
        <v>0</v>
      </c>
      <c r="AX97" s="166">
        <v>0</v>
      </c>
      <c r="AY97" s="166">
        <v>0</v>
      </c>
      <c r="AZ97" s="166">
        <v>0</v>
      </c>
      <c r="BA97" s="166">
        <v>0</v>
      </c>
      <c r="BB97" s="166">
        <v>0</v>
      </c>
      <c r="BC97" s="166">
        <v>0</v>
      </c>
      <c r="BD97" s="166">
        <v>0</v>
      </c>
      <c r="BE97" s="166">
        <v>0</v>
      </c>
      <c r="BF97" s="166">
        <v>0</v>
      </c>
      <c r="BG97" s="166">
        <v>0</v>
      </c>
      <c r="BH97" s="166">
        <v>0</v>
      </c>
      <c r="BI97" s="166">
        <v>0</v>
      </c>
      <c r="BJ97" s="166">
        <v>0</v>
      </c>
      <c r="BK97" s="166">
        <v>0</v>
      </c>
      <c r="BL97" s="166">
        <v>0</v>
      </c>
      <c r="BM97" s="166">
        <v>0</v>
      </c>
      <c r="BN97" s="166">
        <v>0</v>
      </c>
      <c r="BO97" s="166">
        <v>0</v>
      </c>
      <c r="BP97" s="166">
        <v>0</v>
      </c>
      <c r="BQ97" s="81" t="s">
        <v>1758</v>
      </c>
      <c r="BR97" s="81" t="s">
        <v>161</v>
      </c>
      <c r="BZ97" s="81" t="s">
        <v>155</v>
      </c>
      <c r="CA97" s="81">
        <v>7</v>
      </c>
      <c r="CC97" s="167">
        <f>N97</f>
        <v>9</v>
      </c>
      <c r="CD97" s="167">
        <v>0</v>
      </c>
      <c r="CE97" s="167">
        <v>0</v>
      </c>
      <c r="CF97" s="167">
        <v>0</v>
      </c>
      <c r="CG97" s="167">
        <v>0</v>
      </c>
      <c r="CH97" s="167">
        <v>0</v>
      </c>
      <c r="CI97" s="167">
        <v>0</v>
      </c>
      <c r="CJ97" s="167">
        <v>0</v>
      </c>
      <c r="CK97" s="167">
        <v>0</v>
      </c>
      <c r="CL97" s="167">
        <v>0</v>
      </c>
      <c r="CM97" s="167">
        <v>0</v>
      </c>
      <c r="CN97" s="167">
        <v>0</v>
      </c>
      <c r="CO97" s="167">
        <v>0</v>
      </c>
      <c r="CP97" s="167">
        <v>0</v>
      </c>
      <c r="CQ97" s="167">
        <v>0</v>
      </c>
      <c r="CR97" s="167">
        <v>0</v>
      </c>
      <c r="CS97" s="167">
        <v>0</v>
      </c>
      <c r="CT97" s="167">
        <v>0</v>
      </c>
      <c r="CU97" s="167">
        <v>0</v>
      </c>
      <c r="CV97" s="167">
        <v>0</v>
      </c>
      <c r="CW97" s="167">
        <v>0</v>
      </c>
      <c r="CX97" s="167">
        <f>SUM(CD97:CH97)</f>
        <v>0</v>
      </c>
      <c r="CY97" s="167">
        <f>SUM(CD97:CM97)</f>
        <v>0</v>
      </c>
    </row>
    <row r="98" spans="1:103" ht="12.75" customHeight="1" x14ac:dyDescent="0.2">
      <c r="A98" s="81">
        <v>5649</v>
      </c>
      <c r="B98" s="165" t="s">
        <v>1924</v>
      </c>
      <c r="C98" s="165" t="s">
        <v>215</v>
      </c>
      <c r="E98" s="165" t="s">
        <v>3147</v>
      </c>
      <c r="G98" s="81">
        <v>524193</v>
      </c>
      <c r="H98" s="81">
        <v>172907</v>
      </c>
      <c r="I98" s="165" t="s">
        <v>111</v>
      </c>
      <c r="J98" s="349">
        <v>42395</v>
      </c>
      <c r="K98" s="349">
        <v>42852</v>
      </c>
      <c r="L98" s="166">
        <v>2</v>
      </c>
      <c r="M98" s="166">
        <v>1</v>
      </c>
      <c r="N98" s="166">
        <v>-1</v>
      </c>
      <c r="O98" s="166">
        <v>1</v>
      </c>
      <c r="P98" s="166">
        <v>-1</v>
      </c>
      <c r="R98" s="165" t="s">
        <v>216</v>
      </c>
      <c r="S98" s="81" t="s">
        <v>113</v>
      </c>
      <c r="T98" s="349">
        <v>41787</v>
      </c>
      <c r="U98" s="349">
        <v>41843</v>
      </c>
      <c r="W98" s="81" t="s">
        <v>114</v>
      </c>
      <c r="Y98" s="81" t="s">
        <v>115</v>
      </c>
      <c r="Z98" s="81" t="s">
        <v>119</v>
      </c>
      <c r="AA98" s="81" t="s">
        <v>117</v>
      </c>
      <c r="AB98" s="81" t="s">
        <v>336</v>
      </c>
      <c r="AC98" s="166">
        <v>7.4000000953674303E-2</v>
      </c>
      <c r="AD98" s="349">
        <v>42395</v>
      </c>
      <c r="AF98" s="349">
        <v>42852</v>
      </c>
      <c r="AG98" s="81" t="s">
        <v>238</v>
      </c>
      <c r="AH98" s="81" t="s">
        <v>118</v>
      </c>
      <c r="AK98" s="166">
        <v>0</v>
      </c>
      <c r="AM98" s="166">
        <v>0</v>
      </c>
      <c r="AO98" s="166">
        <v>0</v>
      </c>
      <c r="AP98" s="166">
        <v>0</v>
      </c>
      <c r="AQ98" s="166">
        <v>-1</v>
      </c>
      <c r="AR98" s="166">
        <v>-1</v>
      </c>
      <c r="AS98" s="166">
        <v>1</v>
      </c>
      <c r="AT98" s="166">
        <v>0</v>
      </c>
      <c r="AU98" s="166">
        <v>0</v>
      </c>
      <c r="AV98" s="166">
        <v>0</v>
      </c>
      <c r="AW98" s="166">
        <v>0</v>
      </c>
      <c r="AX98" s="166">
        <v>-1</v>
      </c>
      <c r="AY98" s="166">
        <v>-1</v>
      </c>
      <c r="AZ98" s="166">
        <v>0</v>
      </c>
      <c r="BA98" s="166">
        <v>0</v>
      </c>
      <c r="BB98" s="166">
        <v>0</v>
      </c>
      <c r="BC98" s="166">
        <v>0</v>
      </c>
      <c r="BD98" s="166">
        <v>0</v>
      </c>
      <c r="BE98" s="166">
        <v>0</v>
      </c>
      <c r="BF98" s="166">
        <v>0</v>
      </c>
      <c r="BG98" s="166">
        <v>1</v>
      </c>
      <c r="BH98" s="166">
        <v>0</v>
      </c>
      <c r="BI98" s="166">
        <v>0</v>
      </c>
      <c r="BJ98" s="166">
        <v>0</v>
      </c>
      <c r="BK98" s="166">
        <v>0</v>
      </c>
      <c r="BL98" s="166">
        <v>0</v>
      </c>
      <c r="BM98" s="166">
        <v>0</v>
      </c>
      <c r="BN98" s="166">
        <v>0</v>
      </c>
      <c r="BO98" s="166">
        <v>0</v>
      </c>
      <c r="BP98" s="166">
        <v>0</v>
      </c>
      <c r="BQ98" s="81" t="s">
        <v>1758</v>
      </c>
      <c r="BZ98" s="81" t="s">
        <v>155</v>
      </c>
      <c r="CA98" s="81">
        <v>7</v>
      </c>
      <c r="CC98" s="167">
        <f>N98</f>
        <v>-1</v>
      </c>
      <c r="CD98" s="167">
        <v>0</v>
      </c>
      <c r="CE98" s="167">
        <v>0</v>
      </c>
      <c r="CF98" s="167">
        <v>0</v>
      </c>
      <c r="CG98" s="167">
        <v>0</v>
      </c>
      <c r="CH98" s="167">
        <v>0</v>
      </c>
      <c r="CI98" s="167">
        <v>0</v>
      </c>
      <c r="CJ98" s="167">
        <v>0</v>
      </c>
      <c r="CK98" s="167">
        <v>0</v>
      </c>
      <c r="CL98" s="167">
        <v>0</v>
      </c>
      <c r="CM98" s="167">
        <v>0</v>
      </c>
      <c r="CN98" s="167">
        <v>0</v>
      </c>
      <c r="CO98" s="167">
        <v>0</v>
      </c>
      <c r="CP98" s="167">
        <v>0</v>
      </c>
      <c r="CQ98" s="167">
        <v>0</v>
      </c>
      <c r="CR98" s="167">
        <v>0</v>
      </c>
      <c r="CS98" s="167">
        <v>0</v>
      </c>
      <c r="CT98" s="167">
        <v>0</v>
      </c>
      <c r="CU98" s="167">
        <v>0</v>
      </c>
      <c r="CV98" s="167">
        <v>0</v>
      </c>
      <c r="CW98" s="167">
        <v>0</v>
      </c>
      <c r="CX98" s="167">
        <f>SUM(CD98:CH98)</f>
        <v>0</v>
      </c>
      <c r="CY98" s="167">
        <f>SUM(CD98:CM98)</f>
        <v>0</v>
      </c>
    </row>
    <row r="99" spans="1:103" ht="12.75" customHeight="1" x14ac:dyDescent="0.2">
      <c r="A99" s="81">
        <v>5669</v>
      </c>
      <c r="B99" s="165" t="s">
        <v>1924</v>
      </c>
      <c r="C99" s="165" t="s">
        <v>85</v>
      </c>
      <c r="E99" s="165" t="s">
        <v>3148</v>
      </c>
      <c r="G99" s="81">
        <v>523325</v>
      </c>
      <c r="H99" s="81">
        <v>175241</v>
      </c>
      <c r="I99" s="165" t="s">
        <v>59</v>
      </c>
      <c r="J99" s="349">
        <v>42018</v>
      </c>
      <c r="K99" s="349">
        <v>42865</v>
      </c>
      <c r="L99" s="166">
        <v>1</v>
      </c>
      <c r="M99" s="166">
        <v>2</v>
      </c>
      <c r="N99" s="166">
        <v>1</v>
      </c>
      <c r="O99" s="166">
        <v>2</v>
      </c>
      <c r="P99" s="166">
        <v>1</v>
      </c>
      <c r="R99" s="165" t="s">
        <v>751</v>
      </c>
      <c r="S99" s="81" t="s">
        <v>113</v>
      </c>
      <c r="T99" s="349">
        <v>41801</v>
      </c>
      <c r="U99" s="349">
        <v>41934</v>
      </c>
      <c r="W99" s="81" t="s">
        <v>114</v>
      </c>
      <c r="Y99" s="81" t="s">
        <v>115</v>
      </c>
      <c r="Z99" s="81" t="s">
        <v>398</v>
      </c>
      <c r="AA99" s="81" t="s">
        <v>117</v>
      </c>
      <c r="AB99" s="81" t="s">
        <v>218</v>
      </c>
      <c r="AC99" s="166">
        <v>8.0000003799796104E-3</v>
      </c>
      <c r="AD99" s="349">
        <v>42018</v>
      </c>
      <c r="AF99" s="349">
        <v>42865</v>
      </c>
      <c r="AG99" s="81" t="s">
        <v>238</v>
      </c>
      <c r="AH99" s="81" t="s">
        <v>118</v>
      </c>
      <c r="AK99" s="166">
        <v>0</v>
      </c>
      <c r="AM99" s="166">
        <v>0</v>
      </c>
      <c r="AO99" s="166">
        <v>0</v>
      </c>
      <c r="AP99" s="166">
        <v>1</v>
      </c>
      <c r="AQ99" s="166">
        <v>0</v>
      </c>
      <c r="AR99" s="166">
        <v>0</v>
      </c>
      <c r="AS99" s="166">
        <v>0</v>
      </c>
      <c r="AT99" s="166">
        <v>0</v>
      </c>
      <c r="AU99" s="166">
        <v>0</v>
      </c>
      <c r="AV99" s="166">
        <v>0</v>
      </c>
      <c r="AW99" s="166">
        <v>1</v>
      </c>
      <c r="AX99" s="166">
        <v>-1</v>
      </c>
      <c r="AY99" s="166">
        <v>0</v>
      </c>
      <c r="AZ99" s="166">
        <v>0</v>
      </c>
      <c r="BA99" s="166">
        <v>0</v>
      </c>
      <c r="BB99" s="166">
        <v>0</v>
      </c>
      <c r="BC99" s="166">
        <v>0</v>
      </c>
      <c r="BD99" s="166">
        <v>0</v>
      </c>
      <c r="BE99" s="166">
        <v>1</v>
      </c>
      <c r="BF99" s="166">
        <v>0</v>
      </c>
      <c r="BG99" s="166">
        <v>0</v>
      </c>
      <c r="BH99" s="166">
        <v>0</v>
      </c>
      <c r="BI99" s="166">
        <v>0</v>
      </c>
      <c r="BJ99" s="166">
        <v>0</v>
      </c>
      <c r="BK99" s="166">
        <v>0</v>
      </c>
      <c r="BL99" s="166">
        <v>0</v>
      </c>
      <c r="BM99" s="166">
        <v>0</v>
      </c>
      <c r="BN99" s="166">
        <v>0</v>
      </c>
      <c r="BO99" s="166">
        <v>0</v>
      </c>
      <c r="BP99" s="166">
        <v>0</v>
      </c>
      <c r="BQ99" s="81" t="s">
        <v>1758</v>
      </c>
      <c r="BZ99" s="81" t="s">
        <v>155</v>
      </c>
      <c r="CA99" s="81">
        <v>7</v>
      </c>
      <c r="CC99" s="167">
        <f>N99</f>
        <v>1</v>
      </c>
      <c r="CD99" s="167">
        <v>0</v>
      </c>
      <c r="CE99" s="167">
        <v>0</v>
      </c>
      <c r="CF99" s="167">
        <v>0</v>
      </c>
      <c r="CG99" s="167">
        <v>0</v>
      </c>
      <c r="CH99" s="167">
        <v>0</v>
      </c>
      <c r="CI99" s="167">
        <v>0</v>
      </c>
      <c r="CJ99" s="167">
        <v>0</v>
      </c>
      <c r="CK99" s="167">
        <v>0</v>
      </c>
      <c r="CL99" s="167">
        <v>0</v>
      </c>
      <c r="CM99" s="167">
        <v>0</v>
      </c>
      <c r="CN99" s="167">
        <v>0</v>
      </c>
      <c r="CO99" s="167">
        <v>0</v>
      </c>
      <c r="CP99" s="167">
        <v>0</v>
      </c>
      <c r="CQ99" s="167">
        <v>0</v>
      </c>
      <c r="CR99" s="167">
        <v>0</v>
      </c>
      <c r="CS99" s="167">
        <v>0</v>
      </c>
      <c r="CT99" s="167">
        <v>0</v>
      </c>
      <c r="CU99" s="167">
        <v>0</v>
      </c>
      <c r="CV99" s="167">
        <v>0</v>
      </c>
      <c r="CW99" s="167">
        <v>0</v>
      </c>
      <c r="CX99" s="167">
        <f>SUM(CD99:CH99)</f>
        <v>0</v>
      </c>
      <c r="CY99" s="167">
        <f>SUM(CD99:CM99)</f>
        <v>0</v>
      </c>
    </row>
    <row r="100" spans="1:103" ht="12.75" customHeight="1" x14ac:dyDescent="0.2">
      <c r="A100" s="81">
        <v>5687</v>
      </c>
      <c r="B100" s="165" t="s">
        <v>1924</v>
      </c>
      <c r="C100" s="165" t="s">
        <v>1001</v>
      </c>
      <c r="E100" s="165" t="s">
        <v>3149</v>
      </c>
      <c r="G100" s="81">
        <v>525944</v>
      </c>
      <c r="H100" s="81">
        <v>174996</v>
      </c>
      <c r="I100" s="165" t="s">
        <v>251</v>
      </c>
      <c r="J100" s="349">
        <v>42343</v>
      </c>
      <c r="K100" s="349">
        <v>42921</v>
      </c>
      <c r="L100" s="166">
        <v>1</v>
      </c>
      <c r="M100" s="166">
        <v>3</v>
      </c>
      <c r="N100" s="166">
        <v>2</v>
      </c>
      <c r="O100" s="166">
        <v>3</v>
      </c>
      <c r="P100" s="166">
        <v>2</v>
      </c>
      <c r="R100" s="165" t="s">
        <v>1002</v>
      </c>
      <c r="S100" s="81" t="s">
        <v>113</v>
      </c>
      <c r="T100" s="349">
        <v>42507</v>
      </c>
      <c r="U100" s="349">
        <v>42657</v>
      </c>
      <c r="W100" s="81" t="s">
        <v>114</v>
      </c>
      <c r="Y100" s="81" t="s">
        <v>115</v>
      </c>
      <c r="Z100" s="81" t="s">
        <v>398</v>
      </c>
      <c r="AA100" s="81" t="s">
        <v>117</v>
      </c>
      <c r="AB100" s="81" t="s">
        <v>399</v>
      </c>
      <c r="AC100" s="166">
        <v>8.9999996125698107E-3</v>
      </c>
      <c r="AD100" s="349">
        <v>42343</v>
      </c>
      <c r="AF100" s="349">
        <v>42921</v>
      </c>
      <c r="AG100" s="81" t="s">
        <v>238</v>
      </c>
      <c r="AH100" s="81" t="s">
        <v>118</v>
      </c>
      <c r="AK100" s="166">
        <v>0</v>
      </c>
      <c r="AM100" s="166">
        <v>0</v>
      </c>
      <c r="AO100" s="166">
        <v>0</v>
      </c>
      <c r="AP100" s="166">
        <v>1</v>
      </c>
      <c r="AQ100" s="166">
        <v>0</v>
      </c>
      <c r="AR100" s="166">
        <v>0</v>
      </c>
      <c r="AS100" s="166">
        <v>1</v>
      </c>
      <c r="AT100" s="166">
        <v>0</v>
      </c>
      <c r="AU100" s="166">
        <v>0</v>
      </c>
      <c r="AV100" s="166">
        <v>0</v>
      </c>
      <c r="AW100" s="166">
        <v>1</v>
      </c>
      <c r="AX100" s="166">
        <v>0</v>
      </c>
      <c r="AY100" s="166">
        <v>0</v>
      </c>
      <c r="AZ100" s="166">
        <v>1</v>
      </c>
      <c r="BA100" s="166">
        <v>0</v>
      </c>
      <c r="BB100" s="166">
        <v>0</v>
      </c>
      <c r="BC100" s="166">
        <v>0</v>
      </c>
      <c r="BD100" s="166">
        <v>0</v>
      </c>
      <c r="BE100" s="166">
        <v>0</v>
      </c>
      <c r="BF100" s="166">
        <v>0</v>
      </c>
      <c r="BG100" s="166">
        <v>0</v>
      </c>
      <c r="BH100" s="166">
        <v>0</v>
      </c>
      <c r="BI100" s="166">
        <v>0</v>
      </c>
      <c r="BJ100" s="166">
        <v>0</v>
      </c>
      <c r="BK100" s="166">
        <v>0</v>
      </c>
      <c r="BL100" s="166">
        <v>0</v>
      </c>
      <c r="BM100" s="166">
        <v>0</v>
      </c>
      <c r="BN100" s="166">
        <v>0</v>
      </c>
      <c r="BO100" s="166">
        <v>0</v>
      </c>
      <c r="BP100" s="166">
        <v>0</v>
      </c>
      <c r="BQ100" s="81" t="s">
        <v>1758</v>
      </c>
      <c r="BZ100" s="81" t="s">
        <v>155</v>
      </c>
      <c r="CA100" s="81">
        <v>7</v>
      </c>
      <c r="CC100" s="167">
        <f>N100</f>
        <v>2</v>
      </c>
      <c r="CD100" s="167">
        <v>0</v>
      </c>
      <c r="CE100" s="167">
        <v>0</v>
      </c>
      <c r="CF100" s="167">
        <v>0</v>
      </c>
      <c r="CG100" s="167">
        <v>0</v>
      </c>
      <c r="CH100" s="167">
        <v>0</v>
      </c>
      <c r="CI100" s="167">
        <v>0</v>
      </c>
      <c r="CJ100" s="167">
        <v>0</v>
      </c>
      <c r="CK100" s="167">
        <v>0</v>
      </c>
      <c r="CL100" s="167">
        <v>0</v>
      </c>
      <c r="CM100" s="167">
        <v>0</v>
      </c>
      <c r="CN100" s="167">
        <v>0</v>
      </c>
      <c r="CO100" s="167">
        <v>0</v>
      </c>
      <c r="CP100" s="167">
        <v>0</v>
      </c>
      <c r="CQ100" s="167">
        <v>0</v>
      </c>
      <c r="CR100" s="167">
        <v>0</v>
      </c>
      <c r="CS100" s="167">
        <v>0</v>
      </c>
      <c r="CT100" s="167">
        <v>0</v>
      </c>
      <c r="CU100" s="167">
        <v>0</v>
      </c>
      <c r="CV100" s="167">
        <v>0</v>
      </c>
      <c r="CW100" s="167">
        <v>0</v>
      </c>
      <c r="CX100" s="167">
        <f>SUM(CD100:CH100)</f>
        <v>0</v>
      </c>
      <c r="CY100" s="167">
        <f>SUM(CD100:CM100)</f>
        <v>0</v>
      </c>
    </row>
    <row r="101" spans="1:103" ht="12.75" customHeight="1" x14ac:dyDescent="0.2">
      <c r="A101" s="81">
        <v>5694</v>
      </c>
      <c r="B101" s="165" t="s">
        <v>1924</v>
      </c>
      <c r="C101" s="165" t="s">
        <v>3150</v>
      </c>
      <c r="E101" s="165" t="s">
        <v>3151</v>
      </c>
      <c r="G101" s="81">
        <v>527981</v>
      </c>
      <c r="H101" s="81">
        <v>172352</v>
      </c>
      <c r="I101" s="165" t="s">
        <v>254</v>
      </c>
      <c r="J101" s="349">
        <v>42879</v>
      </c>
      <c r="K101" s="349">
        <v>43147</v>
      </c>
      <c r="L101" s="166">
        <v>8</v>
      </c>
      <c r="M101" s="166">
        <v>6</v>
      </c>
      <c r="N101" s="166">
        <v>-2</v>
      </c>
      <c r="O101" s="166">
        <v>6</v>
      </c>
      <c r="P101" s="166">
        <v>-2</v>
      </c>
      <c r="R101" s="165" t="s">
        <v>3152</v>
      </c>
      <c r="S101" s="81" t="s">
        <v>113</v>
      </c>
      <c r="T101" s="349">
        <v>42821</v>
      </c>
      <c r="U101" s="349">
        <v>42879</v>
      </c>
      <c r="V101" s="81" t="s">
        <v>155</v>
      </c>
      <c r="W101" s="81" t="s">
        <v>114</v>
      </c>
      <c r="Y101" s="81" t="s">
        <v>115</v>
      </c>
      <c r="Z101" s="81" t="s">
        <v>219</v>
      </c>
      <c r="AA101" s="81" t="s">
        <v>117</v>
      </c>
      <c r="AB101" s="81" t="s">
        <v>300</v>
      </c>
      <c r="AC101" s="166">
        <v>3.5999998450279201E-2</v>
      </c>
      <c r="AD101" s="349">
        <v>42879</v>
      </c>
      <c r="AE101" s="81" t="s">
        <v>155</v>
      </c>
      <c r="AF101" s="349">
        <v>43147</v>
      </c>
      <c r="AG101" s="81" t="s">
        <v>238</v>
      </c>
      <c r="AH101" s="81" t="s">
        <v>118</v>
      </c>
      <c r="AK101" s="166">
        <v>0</v>
      </c>
      <c r="AM101" s="166">
        <v>0</v>
      </c>
      <c r="AO101" s="166">
        <v>0</v>
      </c>
      <c r="AP101" s="166">
        <v>0</v>
      </c>
      <c r="AQ101" s="166">
        <v>-1</v>
      </c>
      <c r="AR101" s="166">
        <v>-1</v>
      </c>
      <c r="AS101" s="166">
        <v>0</v>
      </c>
      <c r="AT101" s="166">
        <v>0</v>
      </c>
      <c r="AU101" s="166">
        <v>0</v>
      </c>
      <c r="AV101" s="166">
        <v>0</v>
      </c>
      <c r="AW101" s="166">
        <v>0</v>
      </c>
      <c r="AX101" s="166">
        <v>-1</v>
      </c>
      <c r="AY101" s="166">
        <v>-1</v>
      </c>
      <c r="AZ101" s="166">
        <v>0</v>
      </c>
      <c r="BA101" s="166">
        <v>0</v>
      </c>
      <c r="BB101" s="166">
        <v>0</v>
      </c>
      <c r="BC101" s="166">
        <v>0</v>
      </c>
      <c r="BD101" s="166">
        <v>0</v>
      </c>
      <c r="BE101" s="166">
        <v>0</v>
      </c>
      <c r="BF101" s="166">
        <v>0</v>
      </c>
      <c r="BG101" s="166">
        <v>0</v>
      </c>
      <c r="BH101" s="166">
        <v>0</v>
      </c>
      <c r="BI101" s="166">
        <v>0</v>
      </c>
      <c r="BJ101" s="166">
        <v>0</v>
      </c>
      <c r="BK101" s="166">
        <v>0</v>
      </c>
      <c r="BL101" s="166">
        <v>0</v>
      </c>
      <c r="BM101" s="166">
        <v>0</v>
      </c>
      <c r="BN101" s="166">
        <v>0</v>
      </c>
      <c r="BO101" s="166">
        <v>0</v>
      </c>
      <c r="BP101" s="166">
        <v>0</v>
      </c>
      <c r="BQ101" s="81" t="s">
        <v>1757</v>
      </c>
      <c r="BZ101" s="81" t="s">
        <v>155</v>
      </c>
      <c r="CA101" s="81">
        <v>7</v>
      </c>
      <c r="CC101" s="167">
        <f>N101</f>
        <v>-2</v>
      </c>
      <c r="CD101" s="167">
        <v>0</v>
      </c>
      <c r="CE101" s="167">
        <v>0</v>
      </c>
      <c r="CF101" s="167">
        <v>0</v>
      </c>
      <c r="CG101" s="167">
        <v>0</v>
      </c>
      <c r="CH101" s="167">
        <v>0</v>
      </c>
      <c r="CI101" s="167">
        <v>0</v>
      </c>
      <c r="CJ101" s="167">
        <v>0</v>
      </c>
      <c r="CK101" s="167">
        <v>0</v>
      </c>
      <c r="CL101" s="167">
        <v>0</v>
      </c>
      <c r="CM101" s="167">
        <v>0</v>
      </c>
      <c r="CN101" s="167">
        <v>0</v>
      </c>
      <c r="CO101" s="167">
        <v>0</v>
      </c>
      <c r="CP101" s="167">
        <v>0</v>
      </c>
      <c r="CQ101" s="167">
        <v>0</v>
      </c>
      <c r="CR101" s="167">
        <v>0</v>
      </c>
      <c r="CS101" s="167">
        <v>0</v>
      </c>
      <c r="CT101" s="167">
        <v>0</v>
      </c>
      <c r="CU101" s="167">
        <v>0</v>
      </c>
      <c r="CV101" s="167">
        <v>0</v>
      </c>
      <c r="CW101" s="167">
        <v>0</v>
      </c>
      <c r="CX101" s="167">
        <f>SUM(CD101:CH101)</f>
        <v>0</v>
      </c>
      <c r="CY101" s="167">
        <f>SUM(CD101:CM101)</f>
        <v>0</v>
      </c>
    </row>
    <row r="102" spans="1:103" ht="12.75" customHeight="1" x14ac:dyDescent="0.2">
      <c r="A102" s="81">
        <v>5699</v>
      </c>
      <c r="B102" s="165" t="s">
        <v>1924</v>
      </c>
      <c r="C102" s="165" t="s">
        <v>30</v>
      </c>
      <c r="E102" s="165" t="s">
        <v>3153</v>
      </c>
      <c r="G102" s="81">
        <v>523902</v>
      </c>
      <c r="H102" s="81">
        <v>174030</v>
      </c>
      <c r="I102" s="165" t="s">
        <v>250</v>
      </c>
      <c r="J102" s="349">
        <v>42826</v>
      </c>
      <c r="K102" s="349">
        <v>43190</v>
      </c>
      <c r="L102" s="166">
        <v>0</v>
      </c>
      <c r="M102" s="166">
        <v>1</v>
      </c>
      <c r="N102" s="166">
        <v>1</v>
      </c>
      <c r="O102" s="166">
        <v>1</v>
      </c>
      <c r="P102" s="166">
        <v>1</v>
      </c>
      <c r="R102" s="165" t="s">
        <v>31</v>
      </c>
      <c r="S102" s="81" t="s">
        <v>113</v>
      </c>
      <c r="T102" s="349">
        <v>41857</v>
      </c>
      <c r="U102" s="349">
        <v>41956</v>
      </c>
      <c r="W102" s="81" t="s">
        <v>114</v>
      </c>
      <c r="Y102" s="81" t="s">
        <v>115</v>
      </c>
      <c r="Z102" s="81" t="s">
        <v>116</v>
      </c>
      <c r="AA102" s="81" t="s">
        <v>117</v>
      </c>
      <c r="AB102" s="81" t="s">
        <v>218</v>
      </c>
      <c r="AC102" s="166">
        <v>1.4999999664723899E-2</v>
      </c>
      <c r="AD102" s="349">
        <v>42826</v>
      </c>
      <c r="AE102" s="81" t="s">
        <v>155</v>
      </c>
      <c r="AF102" s="349">
        <v>43190</v>
      </c>
      <c r="AG102" s="81" t="s">
        <v>238</v>
      </c>
      <c r="AH102" s="81" t="s">
        <v>118</v>
      </c>
      <c r="AK102" s="166">
        <v>0</v>
      </c>
      <c r="AM102" s="166">
        <v>0</v>
      </c>
      <c r="AO102" s="166">
        <v>0</v>
      </c>
      <c r="AP102" s="166">
        <v>0</v>
      </c>
      <c r="AQ102" s="166">
        <v>0</v>
      </c>
      <c r="AR102" s="166">
        <v>0</v>
      </c>
      <c r="AS102" s="166">
        <v>1</v>
      </c>
      <c r="AT102" s="166">
        <v>0</v>
      </c>
      <c r="AU102" s="166">
        <v>0</v>
      </c>
      <c r="AV102" s="166">
        <v>0</v>
      </c>
      <c r="AW102" s="166">
        <v>0</v>
      </c>
      <c r="AX102" s="166">
        <v>0</v>
      </c>
      <c r="AY102" s="166">
        <v>0</v>
      </c>
      <c r="AZ102" s="166">
        <v>0</v>
      </c>
      <c r="BA102" s="166">
        <v>0</v>
      </c>
      <c r="BB102" s="166">
        <v>0</v>
      </c>
      <c r="BC102" s="166">
        <v>0</v>
      </c>
      <c r="BD102" s="166">
        <v>0</v>
      </c>
      <c r="BE102" s="166">
        <v>0</v>
      </c>
      <c r="BF102" s="166">
        <v>0</v>
      </c>
      <c r="BG102" s="166">
        <v>1</v>
      </c>
      <c r="BH102" s="166">
        <v>0</v>
      </c>
      <c r="BI102" s="166">
        <v>0</v>
      </c>
      <c r="BJ102" s="166">
        <v>0</v>
      </c>
      <c r="BK102" s="166">
        <v>0</v>
      </c>
      <c r="BL102" s="166">
        <v>0</v>
      </c>
      <c r="BM102" s="166">
        <v>0</v>
      </c>
      <c r="BN102" s="166">
        <v>0</v>
      </c>
      <c r="BO102" s="166">
        <v>0</v>
      </c>
      <c r="BP102" s="166">
        <v>0</v>
      </c>
      <c r="BQ102" s="81" t="s">
        <v>1758</v>
      </c>
      <c r="BZ102" s="81" t="s">
        <v>155</v>
      </c>
      <c r="CA102" s="81">
        <v>1</v>
      </c>
      <c r="CC102" s="167">
        <f>N102</f>
        <v>1</v>
      </c>
      <c r="CD102" s="167">
        <v>0</v>
      </c>
      <c r="CE102" s="167">
        <v>0</v>
      </c>
      <c r="CF102" s="167">
        <v>0</v>
      </c>
      <c r="CG102" s="167">
        <v>0</v>
      </c>
      <c r="CH102" s="167">
        <v>0</v>
      </c>
      <c r="CI102" s="167">
        <v>0</v>
      </c>
      <c r="CJ102" s="167">
        <v>0</v>
      </c>
      <c r="CK102" s="167">
        <v>0</v>
      </c>
      <c r="CL102" s="167">
        <v>0</v>
      </c>
      <c r="CM102" s="167">
        <v>0</v>
      </c>
      <c r="CN102" s="167">
        <v>0</v>
      </c>
      <c r="CO102" s="167">
        <v>0</v>
      </c>
      <c r="CP102" s="167">
        <v>0</v>
      </c>
      <c r="CQ102" s="167">
        <v>0</v>
      </c>
      <c r="CR102" s="167">
        <v>0</v>
      </c>
      <c r="CS102" s="167">
        <v>0</v>
      </c>
      <c r="CT102" s="167">
        <v>0</v>
      </c>
      <c r="CU102" s="167">
        <v>0</v>
      </c>
      <c r="CV102" s="167">
        <v>0</v>
      </c>
      <c r="CW102" s="167">
        <v>0</v>
      </c>
      <c r="CX102" s="167">
        <f>SUM(CD102:CH102)</f>
        <v>0</v>
      </c>
      <c r="CY102" s="167">
        <f>SUM(CD102:CM102)</f>
        <v>0</v>
      </c>
    </row>
    <row r="103" spans="1:103" ht="12.75" customHeight="1" x14ac:dyDescent="0.2">
      <c r="A103" s="81">
        <v>5720</v>
      </c>
      <c r="B103" s="165" t="s">
        <v>1924</v>
      </c>
      <c r="C103" s="165" t="s">
        <v>502</v>
      </c>
      <c r="E103" s="165" t="s">
        <v>3154</v>
      </c>
      <c r="G103" s="81">
        <v>527464</v>
      </c>
      <c r="H103" s="81">
        <v>172254</v>
      </c>
      <c r="I103" s="165" t="s">
        <v>242</v>
      </c>
      <c r="J103" s="349">
        <v>42825</v>
      </c>
      <c r="K103" s="349">
        <v>43069</v>
      </c>
      <c r="L103" s="166">
        <v>0</v>
      </c>
      <c r="M103" s="166">
        <v>1</v>
      </c>
      <c r="N103" s="166">
        <v>1</v>
      </c>
      <c r="O103" s="166">
        <v>2</v>
      </c>
      <c r="P103" s="166">
        <v>1</v>
      </c>
      <c r="R103" s="165" t="s">
        <v>423</v>
      </c>
      <c r="S103" s="81" t="s">
        <v>113</v>
      </c>
      <c r="T103" s="349">
        <v>42052</v>
      </c>
      <c r="U103" s="349">
        <v>42108</v>
      </c>
      <c r="W103" s="81" t="s">
        <v>114</v>
      </c>
      <c r="Y103" s="81" t="s">
        <v>115</v>
      </c>
      <c r="Z103" s="81" t="s">
        <v>398</v>
      </c>
      <c r="AA103" s="81" t="s">
        <v>117</v>
      </c>
      <c r="AB103" s="81" t="s">
        <v>218</v>
      </c>
      <c r="AC103" s="166">
        <v>4.0000001899898104E-3</v>
      </c>
      <c r="AD103" s="349">
        <v>42825</v>
      </c>
      <c r="AF103" s="349">
        <v>43069</v>
      </c>
      <c r="AG103" s="81" t="s">
        <v>238</v>
      </c>
      <c r="AH103" s="81" t="s">
        <v>118</v>
      </c>
      <c r="AK103" s="166">
        <v>0</v>
      </c>
      <c r="AM103" s="166">
        <v>0</v>
      </c>
      <c r="AO103" s="166">
        <v>0</v>
      </c>
      <c r="AP103" s="166">
        <v>1</v>
      </c>
      <c r="AQ103" s="166">
        <v>0</v>
      </c>
      <c r="AR103" s="166">
        <v>0</v>
      </c>
      <c r="AS103" s="166">
        <v>0</v>
      </c>
      <c r="AT103" s="166">
        <v>0</v>
      </c>
      <c r="AU103" s="166">
        <v>0</v>
      </c>
      <c r="AV103" s="166">
        <v>0</v>
      </c>
      <c r="AW103" s="166">
        <v>1</v>
      </c>
      <c r="AX103" s="166">
        <v>0</v>
      </c>
      <c r="AY103" s="166">
        <v>0</v>
      </c>
      <c r="AZ103" s="166">
        <v>0</v>
      </c>
      <c r="BA103" s="166">
        <v>0</v>
      </c>
      <c r="BB103" s="166">
        <v>0</v>
      </c>
      <c r="BC103" s="166">
        <v>0</v>
      </c>
      <c r="BD103" s="166">
        <v>0</v>
      </c>
      <c r="BE103" s="166">
        <v>0</v>
      </c>
      <c r="BF103" s="166">
        <v>0</v>
      </c>
      <c r="BG103" s="166">
        <v>0</v>
      </c>
      <c r="BH103" s="166">
        <v>0</v>
      </c>
      <c r="BI103" s="166">
        <v>0</v>
      </c>
      <c r="BJ103" s="166">
        <v>0</v>
      </c>
      <c r="BK103" s="166">
        <v>0</v>
      </c>
      <c r="BL103" s="166">
        <v>0</v>
      </c>
      <c r="BM103" s="166">
        <v>0</v>
      </c>
      <c r="BN103" s="166">
        <v>0</v>
      </c>
      <c r="BO103" s="166">
        <v>0</v>
      </c>
      <c r="BP103" s="166">
        <v>0</v>
      </c>
      <c r="BQ103" s="81" t="s">
        <v>1757</v>
      </c>
      <c r="BZ103" s="81" t="s">
        <v>155</v>
      </c>
      <c r="CA103" s="81">
        <v>7</v>
      </c>
      <c r="CC103" s="167">
        <f>N103</f>
        <v>1</v>
      </c>
      <c r="CD103" s="167">
        <v>0</v>
      </c>
      <c r="CE103" s="167">
        <v>0</v>
      </c>
      <c r="CF103" s="167">
        <v>0</v>
      </c>
      <c r="CG103" s="167">
        <v>0</v>
      </c>
      <c r="CH103" s="167">
        <v>0</v>
      </c>
      <c r="CI103" s="167">
        <v>0</v>
      </c>
      <c r="CJ103" s="167">
        <v>0</v>
      </c>
      <c r="CK103" s="167">
        <v>0</v>
      </c>
      <c r="CL103" s="167">
        <v>0</v>
      </c>
      <c r="CM103" s="167">
        <v>0</v>
      </c>
      <c r="CN103" s="167">
        <v>0</v>
      </c>
      <c r="CO103" s="167">
        <v>0</v>
      </c>
      <c r="CP103" s="167">
        <v>0</v>
      </c>
      <c r="CQ103" s="167">
        <v>0</v>
      </c>
      <c r="CR103" s="167">
        <v>0</v>
      </c>
      <c r="CS103" s="167">
        <v>0</v>
      </c>
      <c r="CT103" s="167">
        <v>0</v>
      </c>
      <c r="CU103" s="167">
        <v>0</v>
      </c>
      <c r="CV103" s="167">
        <v>0</v>
      </c>
      <c r="CW103" s="167">
        <v>0</v>
      </c>
      <c r="CX103" s="167">
        <f>SUM(CD103:CH103)</f>
        <v>0</v>
      </c>
      <c r="CY103" s="167">
        <f>SUM(CD103:CM103)</f>
        <v>0</v>
      </c>
    </row>
    <row r="104" spans="1:103" ht="12.75" customHeight="1" x14ac:dyDescent="0.2">
      <c r="A104" s="81">
        <v>5720</v>
      </c>
      <c r="B104" s="165" t="s">
        <v>1924</v>
      </c>
      <c r="C104" s="165" t="s">
        <v>502</v>
      </c>
      <c r="E104" s="165" t="s">
        <v>3154</v>
      </c>
      <c r="G104" s="81">
        <v>527464</v>
      </c>
      <c r="H104" s="81">
        <v>172254</v>
      </c>
      <c r="I104" s="165" t="s">
        <v>242</v>
      </c>
      <c r="J104" s="349">
        <v>42825</v>
      </c>
      <c r="K104" s="349">
        <v>43069</v>
      </c>
      <c r="L104" s="166">
        <v>1</v>
      </c>
      <c r="M104" s="166">
        <v>1</v>
      </c>
      <c r="N104" s="166">
        <v>0</v>
      </c>
      <c r="O104" s="166">
        <v>2</v>
      </c>
      <c r="P104" s="166">
        <v>1</v>
      </c>
      <c r="R104" s="165" t="s">
        <v>423</v>
      </c>
      <c r="S104" s="81" t="s">
        <v>113</v>
      </c>
      <c r="T104" s="349">
        <v>42052</v>
      </c>
      <c r="U104" s="349">
        <v>42108</v>
      </c>
      <c r="W104" s="81" t="s">
        <v>114</v>
      </c>
      <c r="Y104" s="81" t="s">
        <v>115</v>
      </c>
      <c r="Z104" s="81" t="s">
        <v>398</v>
      </c>
      <c r="AA104" s="81" t="s">
        <v>117</v>
      </c>
      <c r="AB104" s="81" t="s">
        <v>220</v>
      </c>
      <c r="AC104" s="166">
        <v>4.9999998882412902E-3</v>
      </c>
      <c r="AD104" s="349">
        <v>42825</v>
      </c>
      <c r="AF104" s="349">
        <v>43069</v>
      </c>
      <c r="AG104" s="81" t="s">
        <v>238</v>
      </c>
      <c r="AH104" s="81" t="s">
        <v>118</v>
      </c>
      <c r="AK104" s="166">
        <v>0</v>
      </c>
      <c r="AM104" s="166">
        <v>0</v>
      </c>
      <c r="AO104" s="166">
        <v>0</v>
      </c>
      <c r="AP104" s="166">
        <v>0</v>
      </c>
      <c r="AQ104" s="166">
        <v>0</v>
      </c>
      <c r="AR104" s="166">
        <v>1</v>
      </c>
      <c r="AS104" s="166">
        <v>-1</v>
      </c>
      <c r="AT104" s="166">
        <v>0</v>
      </c>
      <c r="AU104" s="166">
        <v>0</v>
      </c>
      <c r="AV104" s="166">
        <v>0</v>
      </c>
      <c r="AW104" s="166">
        <v>0</v>
      </c>
      <c r="AX104" s="166">
        <v>0</v>
      </c>
      <c r="AY104" s="166">
        <v>1</v>
      </c>
      <c r="AZ104" s="166">
        <v>-1</v>
      </c>
      <c r="BA104" s="166">
        <v>0</v>
      </c>
      <c r="BB104" s="166">
        <v>0</v>
      </c>
      <c r="BC104" s="166">
        <v>0</v>
      </c>
      <c r="BD104" s="166">
        <v>0</v>
      </c>
      <c r="BE104" s="166">
        <v>0</v>
      </c>
      <c r="BF104" s="166">
        <v>0</v>
      </c>
      <c r="BG104" s="166">
        <v>0</v>
      </c>
      <c r="BH104" s="166">
        <v>0</v>
      </c>
      <c r="BI104" s="166">
        <v>0</v>
      </c>
      <c r="BJ104" s="166">
        <v>0</v>
      </c>
      <c r="BK104" s="166">
        <v>0</v>
      </c>
      <c r="BL104" s="166">
        <v>0</v>
      </c>
      <c r="BM104" s="166">
        <v>0</v>
      </c>
      <c r="BN104" s="166">
        <v>0</v>
      </c>
      <c r="BO104" s="166">
        <v>0</v>
      </c>
      <c r="BP104" s="166">
        <v>0</v>
      </c>
      <c r="BQ104" s="81" t="s">
        <v>1757</v>
      </c>
      <c r="BZ104" s="81" t="s">
        <v>155</v>
      </c>
      <c r="CA104" s="81">
        <v>7</v>
      </c>
      <c r="CC104" s="167">
        <f>N104</f>
        <v>0</v>
      </c>
      <c r="CD104" s="167">
        <v>0</v>
      </c>
      <c r="CE104" s="167">
        <v>0</v>
      </c>
      <c r="CF104" s="167">
        <v>0</v>
      </c>
      <c r="CG104" s="167">
        <v>0</v>
      </c>
      <c r="CH104" s="167">
        <v>0</v>
      </c>
      <c r="CI104" s="167">
        <v>0</v>
      </c>
      <c r="CJ104" s="167">
        <v>0</v>
      </c>
      <c r="CK104" s="167">
        <v>0</v>
      </c>
      <c r="CL104" s="167">
        <v>0</v>
      </c>
      <c r="CM104" s="167">
        <v>0</v>
      </c>
      <c r="CN104" s="167">
        <v>0</v>
      </c>
      <c r="CO104" s="167">
        <v>0</v>
      </c>
      <c r="CP104" s="167">
        <v>0</v>
      </c>
      <c r="CQ104" s="167">
        <v>0</v>
      </c>
      <c r="CR104" s="167">
        <v>0</v>
      </c>
      <c r="CS104" s="167">
        <v>0</v>
      </c>
      <c r="CT104" s="167">
        <v>0</v>
      </c>
      <c r="CU104" s="167">
        <v>0</v>
      </c>
      <c r="CV104" s="167">
        <v>0</v>
      </c>
      <c r="CW104" s="167">
        <v>0</v>
      </c>
      <c r="CX104" s="167">
        <f>SUM(CD104:CH104)</f>
        <v>0</v>
      </c>
      <c r="CY104" s="167">
        <f>SUM(CD104:CM104)</f>
        <v>0</v>
      </c>
    </row>
    <row r="105" spans="1:103" ht="12.75" customHeight="1" x14ac:dyDescent="0.2">
      <c r="A105" s="81">
        <v>5725</v>
      </c>
      <c r="B105" s="165" t="s">
        <v>1924</v>
      </c>
      <c r="C105" s="165" t="s">
        <v>993</v>
      </c>
      <c r="E105" s="165" t="s">
        <v>3155</v>
      </c>
      <c r="G105" s="81">
        <v>524061</v>
      </c>
      <c r="H105" s="81">
        <v>174621</v>
      </c>
      <c r="I105" s="165" t="s">
        <v>250</v>
      </c>
      <c r="J105" s="349">
        <v>42774</v>
      </c>
      <c r="K105" s="349">
        <v>43067</v>
      </c>
      <c r="L105" s="166">
        <v>1</v>
      </c>
      <c r="M105" s="166">
        <v>1</v>
      </c>
      <c r="N105" s="166">
        <v>0</v>
      </c>
      <c r="O105" s="166">
        <v>1</v>
      </c>
      <c r="P105" s="166">
        <v>0</v>
      </c>
      <c r="R105" s="165" t="s">
        <v>994</v>
      </c>
      <c r="S105" s="81" t="s">
        <v>113</v>
      </c>
      <c r="T105" s="349">
        <v>42481</v>
      </c>
      <c r="U105" s="349">
        <v>42535</v>
      </c>
      <c r="W105" s="81" t="s">
        <v>114</v>
      </c>
      <c r="Y105" s="81" t="s">
        <v>115</v>
      </c>
      <c r="Z105" s="81" t="s">
        <v>116</v>
      </c>
      <c r="AA105" s="81" t="s">
        <v>117</v>
      </c>
      <c r="AB105" s="81" t="s">
        <v>218</v>
      </c>
      <c r="AC105" s="166">
        <v>3.5000000149011598E-2</v>
      </c>
      <c r="AD105" s="349">
        <v>42774</v>
      </c>
      <c r="AF105" s="349">
        <v>43067</v>
      </c>
      <c r="AG105" s="81" t="s">
        <v>238</v>
      </c>
      <c r="AH105" s="81" t="s">
        <v>118</v>
      </c>
      <c r="AK105" s="166">
        <v>1</v>
      </c>
      <c r="AM105" s="166">
        <v>0</v>
      </c>
      <c r="AO105" s="166">
        <v>0</v>
      </c>
      <c r="AP105" s="166">
        <v>0</v>
      </c>
      <c r="AQ105" s="166">
        <v>-1</v>
      </c>
      <c r="AR105" s="166">
        <v>1</v>
      </c>
      <c r="AS105" s="166">
        <v>0</v>
      </c>
      <c r="AT105" s="166">
        <v>0</v>
      </c>
      <c r="AU105" s="166">
        <v>0</v>
      </c>
      <c r="AV105" s="166">
        <v>0</v>
      </c>
      <c r="AW105" s="166">
        <v>0</v>
      </c>
      <c r="AX105" s="166">
        <v>0</v>
      </c>
      <c r="AY105" s="166">
        <v>0</v>
      </c>
      <c r="AZ105" s="166">
        <v>0</v>
      </c>
      <c r="BA105" s="166">
        <v>0</v>
      </c>
      <c r="BB105" s="166">
        <v>0</v>
      </c>
      <c r="BC105" s="166">
        <v>0</v>
      </c>
      <c r="BD105" s="166">
        <v>0</v>
      </c>
      <c r="BE105" s="166">
        <v>-1</v>
      </c>
      <c r="BF105" s="166">
        <v>1</v>
      </c>
      <c r="BG105" s="166">
        <v>0</v>
      </c>
      <c r="BH105" s="166">
        <v>0</v>
      </c>
      <c r="BI105" s="166">
        <v>0</v>
      </c>
      <c r="BJ105" s="166">
        <v>0</v>
      </c>
      <c r="BK105" s="166">
        <v>0</v>
      </c>
      <c r="BL105" s="166">
        <v>0</v>
      </c>
      <c r="BM105" s="166">
        <v>0</v>
      </c>
      <c r="BN105" s="166">
        <v>0</v>
      </c>
      <c r="BO105" s="166">
        <v>0</v>
      </c>
      <c r="BP105" s="166">
        <v>0</v>
      </c>
      <c r="BQ105" s="81" t="s">
        <v>1758</v>
      </c>
      <c r="BZ105" s="81" t="s">
        <v>155</v>
      </c>
      <c r="CA105" s="81">
        <v>1</v>
      </c>
      <c r="CC105" s="167">
        <f>N105</f>
        <v>0</v>
      </c>
      <c r="CD105" s="167">
        <v>0</v>
      </c>
      <c r="CE105" s="167">
        <v>0</v>
      </c>
      <c r="CF105" s="167">
        <v>0</v>
      </c>
      <c r="CG105" s="167">
        <v>0</v>
      </c>
      <c r="CH105" s="167">
        <v>0</v>
      </c>
      <c r="CI105" s="167">
        <v>0</v>
      </c>
      <c r="CJ105" s="167">
        <v>0</v>
      </c>
      <c r="CK105" s="167">
        <v>0</v>
      </c>
      <c r="CL105" s="167">
        <v>0</v>
      </c>
      <c r="CM105" s="167">
        <v>0</v>
      </c>
      <c r="CN105" s="167">
        <v>0</v>
      </c>
      <c r="CO105" s="167">
        <v>0</v>
      </c>
      <c r="CP105" s="167">
        <v>0</v>
      </c>
      <c r="CQ105" s="167">
        <v>0</v>
      </c>
      <c r="CR105" s="167">
        <v>0</v>
      </c>
      <c r="CS105" s="167">
        <v>0</v>
      </c>
      <c r="CT105" s="167">
        <v>0</v>
      </c>
      <c r="CU105" s="167">
        <v>0</v>
      </c>
      <c r="CV105" s="167">
        <v>0</v>
      </c>
      <c r="CW105" s="167">
        <v>0</v>
      </c>
      <c r="CX105" s="167">
        <f>SUM(CD105:CH105)</f>
        <v>0</v>
      </c>
      <c r="CY105" s="167">
        <f>SUM(CD105:CM105)</f>
        <v>0</v>
      </c>
    </row>
    <row r="106" spans="1:103" ht="12.75" customHeight="1" x14ac:dyDescent="0.2">
      <c r="A106" s="81">
        <v>5728</v>
      </c>
      <c r="B106" s="165" t="s">
        <v>1924</v>
      </c>
      <c r="C106" s="165" t="s">
        <v>89</v>
      </c>
      <c r="E106" s="165" t="s">
        <v>3156</v>
      </c>
      <c r="G106" s="81">
        <v>527445</v>
      </c>
      <c r="H106" s="81">
        <v>177289</v>
      </c>
      <c r="I106" s="165" t="s">
        <v>257</v>
      </c>
      <c r="J106" s="349">
        <v>42094</v>
      </c>
      <c r="K106" s="349">
        <v>43190</v>
      </c>
      <c r="L106" s="166">
        <v>2</v>
      </c>
      <c r="M106" s="166">
        <v>1</v>
      </c>
      <c r="N106" s="166">
        <v>-1</v>
      </c>
      <c r="O106" s="166">
        <v>1</v>
      </c>
      <c r="P106" s="166">
        <v>-1</v>
      </c>
      <c r="R106" s="165" t="s">
        <v>90</v>
      </c>
      <c r="S106" s="81" t="s">
        <v>113</v>
      </c>
      <c r="T106" s="349">
        <v>41904</v>
      </c>
      <c r="U106" s="349">
        <v>41960</v>
      </c>
      <c r="W106" s="81" t="s">
        <v>114</v>
      </c>
      <c r="Y106" s="81" t="s">
        <v>115</v>
      </c>
      <c r="Z106" s="81" t="s">
        <v>398</v>
      </c>
      <c r="AA106" s="81" t="s">
        <v>117</v>
      </c>
      <c r="AB106" s="81" t="s">
        <v>300</v>
      </c>
      <c r="AC106" s="166">
        <v>1.4000000432133701E-2</v>
      </c>
      <c r="AD106" s="349">
        <v>42094</v>
      </c>
      <c r="AF106" s="349">
        <v>43190</v>
      </c>
      <c r="AG106" s="81" t="s">
        <v>238</v>
      </c>
      <c r="AH106" s="81" t="s">
        <v>118</v>
      </c>
      <c r="AK106" s="166">
        <v>0</v>
      </c>
      <c r="AM106" s="166">
        <v>0</v>
      </c>
      <c r="AO106" s="166">
        <v>0</v>
      </c>
      <c r="AP106" s="166">
        <v>-1</v>
      </c>
      <c r="AQ106" s="166">
        <v>0</v>
      </c>
      <c r="AR106" s="166">
        <v>-1</v>
      </c>
      <c r="AS106" s="166">
        <v>1</v>
      </c>
      <c r="AT106" s="166">
        <v>0</v>
      </c>
      <c r="AU106" s="166">
        <v>0</v>
      </c>
      <c r="AV106" s="166">
        <v>0</v>
      </c>
      <c r="AW106" s="166">
        <v>-1</v>
      </c>
      <c r="AX106" s="166">
        <v>0</v>
      </c>
      <c r="AY106" s="166">
        <v>-1</v>
      </c>
      <c r="AZ106" s="166">
        <v>1</v>
      </c>
      <c r="BA106" s="166">
        <v>0</v>
      </c>
      <c r="BB106" s="166">
        <v>0</v>
      </c>
      <c r="BC106" s="166">
        <v>0</v>
      </c>
      <c r="BD106" s="166">
        <v>0</v>
      </c>
      <c r="BE106" s="166">
        <v>0</v>
      </c>
      <c r="BF106" s="166">
        <v>0</v>
      </c>
      <c r="BG106" s="166">
        <v>0</v>
      </c>
      <c r="BH106" s="166">
        <v>0</v>
      </c>
      <c r="BI106" s="166">
        <v>0</v>
      </c>
      <c r="BJ106" s="166">
        <v>0</v>
      </c>
      <c r="BK106" s="166">
        <v>0</v>
      </c>
      <c r="BL106" s="166">
        <v>0</v>
      </c>
      <c r="BM106" s="166">
        <v>0</v>
      </c>
      <c r="BN106" s="166">
        <v>0</v>
      </c>
      <c r="BO106" s="166">
        <v>0</v>
      </c>
      <c r="BP106" s="166">
        <v>0</v>
      </c>
      <c r="BQ106" s="81" t="s">
        <v>1757</v>
      </c>
      <c r="BX106" s="81" t="s">
        <v>155</v>
      </c>
      <c r="BZ106" s="81" t="s">
        <v>155</v>
      </c>
      <c r="CA106" s="81">
        <v>7</v>
      </c>
      <c r="CC106" s="167">
        <f>N106</f>
        <v>-1</v>
      </c>
      <c r="CD106" s="167">
        <v>0</v>
      </c>
      <c r="CE106" s="167">
        <v>0</v>
      </c>
      <c r="CF106" s="167">
        <v>0</v>
      </c>
      <c r="CG106" s="167">
        <v>0</v>
      </c>
      <c r="CH106" s="167">
        <v>0</v>
      </c>
      <c r="CI106" s="167">
        <v>0</v>
      </c>
      <c r="CJ106" s="167">
        <v>0</v>
      </c>
      <c r="CK106" s="167">
        <v>0</v>
      </c>
      <c r="CL106" s="167">
        <v>0</v>
      </c>
      <c r="CM106" s="167">
        <v>0</v>
      </c>
      <c r="CN106" s="167">
        <v>0</v>
      </c>
      <c r="CO106" s="167">
        <v>0</v>
      </c>
      <c r="CP106" s="167">
        <v>0</v>
      </c>
      <c r="CQ106" s="167">
        <v>0</v>
      </c>
      <c r="CR106" s="167">
        <v>0</v>
      </c>
      <c r="CS106" s="167">
        <v>0</v>
      </c>
      <c r="CT106" s="167">
        <v>0</v>
      </c>
      <c r="CU106" s="167">
        <v>0</v>
      </c>
      <c r="CV106" s="167">
        <v>0</v>
      </c>
      <c r="CW106" s="167">
        <v>0</v>
      </c>
      <c r="CX106" s="167">
        <f>SUM(CD106:CH106)</f>
        <v>0</v>
      </c>
      <c r="CY106" s="167">
        <f>SUM(CD106:CM106)</f>
        <v>0</v>
      </c>
    </row>
    <row r="107" spans="1:103" ht="12.75" customHeight="1" x14ac:dyDescent="0.2">
      <c r="A107" s="81">
        <v>5741</v>
      </c>
      <c r="B107" s="165" t="s">
        <v>1924</v>
      </c>
      <c r="C107" s="165" t="s">
        <v>521</v>
      </c>
      <c r="E107" s="165" t="s">
        <v>3157</v>
      </c>
      <c r="G107" s="81">
        <v>527218</v>
      </c>
      <c r="H107" s="81">
        <v>171484</v>
      </c>
      <c r="I107" s="165" t="s">
        <v>242</v>
      </c>
      <c r="J107" s="349">
        <v>42374</v>
      </c>
      <c r="K107" s="349">
        <v>43080</v>
      </c>
      <c r="L107" s="166">
        <v>2</v>
      </c>
      <c r="M107" s="166">
        <v>3</v>
      </c>
      <c r="N107" s="166">
        <v>1</v>
      </c>
      <c r="O107" s="166">
        <v>3</v>
      </c>
      <c r="P107" s="166">
        <v>1</v>
      </c>
      <c r="R107" s="165" t="s">
        <v>762</v>
      </c>
      <c r="S107" s="81" t="s">
        <v>113</v>
      </c>
      <c r="T107" s="349">
        <v>42166</v>
      </c>
      <c r="U107" s="349">
        <v>42222</v>
      </c>
      <c r="W107" s="81" t="s">
        <v>114</v>
      </c>
      <c r="Y107" s="81" t="s">
        <v>115</v>
      </c>
      <c r="Z107" s="81" t="s">
        <v>398</v>
      </c>
      <c r="AA107" s="81" t="s">
        <v>117</v>
      </c>
      <c r="AB107" s="81" t="s">
        <v>220</v>
      </c>
      <c r="AC107" s="166">
        <v>1.30000002682209E-2</v>
      </c>
      <c r="AD107" s="349">
        <v>42374</v>
      </c>
      <c r="AF107" s="349">
        <v>43080</v>
      </c>
      <c r="AG107" s="81" t="s">
        <v>238</v>
      </c>
      <c r="AH107" s="81" t="s">
        <v>118</v>
      </c>
      <c r="AK107" s="166">
        <v>0</v>
      </c>
      <c r="AM107" s="166">
        <v>0</v>
      </c>
      <c r="AO107" s="166">
        <v>0</v>
      </c>
      <c r="AP107" s="166">
        <v>0</v>
      </c>
      <c r="AQ107" s="166">
        <v>1</v>
      </c>
      <c r="AR107" s="166">
        <v>0</v>
      </c>
      <c r="AS107" s="166">
        <v>0</v>
      </c>
      <c r="AT107" s="166">
        <v>0</v>
      </c>
      <c r="AU107" s="166">
        <v>0</v>
      </c>
      <c r="AV107" s="166">
        <v>0</v>
      </c>
      <c r="AW107" s="166">
        <v>0</v>
      </c>
      <c r="AX107" s="166">
        <v>1</v>
      </c>
      <c r="AY107" s="166">
        <v>0</v>
      </c>
      <c r="AZ107" s="166">
        <v>0</v>
      </c>
      <c r="BA107" s="166">
        <v>0</v>
      </c>
      <c r="BB107" s="166">
        <v>0</v>
      </c>
      <c r="BC107" s="166">
        <v>0</v>
      </c>
      <c r="BD107" s="166">
        <v>0</v>
      </c>
      <c r="BE107" s="166">
        <v>0</v>
      </c>
      <c r="BF107" s="166">
        <v>0</v>
      </c>
      <c r="BG107" s="166">
        <v>0</v>
      </c>
      <c r="BH107" s="166">
        <v>0</v>
      </c>
      <c r="BI107" s="166">
        <v>0</v>
      </c>
      <c r="BJ107" s="166">
        <v>0</v>
      </c>
      <c r="BK107" s="166">
        <v>0</v>
      </c>
      <c r="BL107" s="166">
        <v>0</v>
      </c>
      <c r="BM107" s="166">
        <v>0</v>
      </c>
      <c r="BN107" s="166">
        <v>0</v>
      </c>
      <c r="BO107" s="166">
        <v>0</v>
      </c>
      <c r="BP107" s="166">
        <v>0</v>
      </c>
      <c r="BQ107" s="81" t="s">
        <v>1757</v>
      </c>
      <c r="BZ107" s="81" t="s">
        <v>155</v>
      </c>
      <c r="CA107" s="81">
        <v>7</v>
      </c>
      <c r="CC107" s="167">
        <f>N107</f>
        <v>1</v>
      </c>
      <c r="CD107" s="167">
        <v>0</v>
      </c>
      <c r="CE107" s="167">
        <v>0</v>
      </c>
      <c r="CF107" s="167">
        <v>0</v>
      </c>
      <c r="CG107" s="167">
        <v>0</v>
      </c>
      <c r="CH107" s="167">
        <v>0</v>
      </c>
      <c r="CI107" s="167">
        <v>0</v>
      </c>
      <c r="CJ107" s="167">
        <v>0</v>
      </c>
      <c r="CK107" s="167">
        <v>0</v>
      </c>
      <c r="CL107" s="167">
        <v>0</v>
      </c>
      <c r="CM107" s="167">
        <v>0</v>
      </c>
      <c r="CN107" s="167">
        <v>0</v>
      </c>
      <c r="CO107" s="167">
        <v>0</v>
      </c>
      <c r="CP107" s="167">
        <v>0</v>
      </c>
      <c r="CQ107" s="167">
        <v>0</v>
      </c>
      <c r="CR107" s="167">
        <v>0</v>
      </c>
      <c r="CS107" s="167">
        <v>0</v>
      </c>
      <c r="CT107" s="167">
        <v>0</v>
      </c>
      <c r="CU107" s="167">
        <v>0</v>
      </c>
      <c r="CV107" s="167">
        <v>0</v>
      </c>
      <c r="CW107" s="167">
        <v>0</v>
      </c>
      <c r="CX107" s="167">
        <f>SUM(CD107:CH107)</f>
        <v>0</v>
      </c>
      <c r="CY107" s="167">
        <f>SUM(CD107:CM107)</f>
        <v>0</v>
      </c>
    </row>
    <row r="108" spans="1:103" ht="12.75" customHeight="1" x14ac:dyDescent="0.2">
      <c r="A108" s="81">
        <v>5746</v>
      </c>
      <c r="B108" s="165" t="s">
        <v>1924</v>
      </c>
      <c r="C108" s="165" t="s">
        <v>369</v>
      </c>
      <c r="E108" s="165" t="s">
        <v>3158</v>
      </c>
      <c r="G108" s="81">
        <v>528552</v>
      </c>
      <c r="H108" s="81">
        <v>173138</v>
      </c>
      <c r="I108" s="165" t="s">
        <v>254</v>
      </c>
      <c r="J108" s="349">
        <v>42423</v>
      </c>
      <c r="K108" s="349">
        <v>43045</v>
      </c>
      <c r="L108" s="166">
        <v>0</v>
      </c>
      <c r="M108" s="166">
        <v>4</v>
      </c>
      <c r="N108" s="166">
        <v>4</v>
      </c>
      <c r="O108" s="166">
        <v>4</v>
      </c>
      <c r="P108" s="166">
        <v>4</v>
      </c>
      <c r="R108" s="165" t="s">
        <v>315</v>
      </c>
      <c r="S108" s="81" t="s">
        <v>113</v>
      </c>
      <c r="T108" s="349">
        <v>41922</v>
      </c>
      <c r="U108" s="349">
        <v>42114</v>
      </c>
      <c r="W108" s="81" t="s">
        <v>114</v>
      </c>
      <c r="Y108" s="81" t="s">
        <v>115</v>
      </c>
      <c r="Z108" s="81" t="s">
        <v>116</v>
      </c>
      <c r="AA108" s="81" t="s">
        <v>117</v>
      </c>
      <c r="AB108" s="81" t="s">
        <v>218</v>
      </c>
      <c r="AC108" s="166">
        <v>1.7000000923872001E-2</v>
      </c>
      <c r="AD108" s="349">
        <v>42423</v>
      </c>
      <c r="AF108" s="349">
        <v>43045</v>
      </c>
      <c r="AG108" s="81" t="s">
        <v>238</v>
      </c>
      <c r="AH108" s="81" t="s">
        <v>118</v>
      </c>
      <c r="AK108" s="166">
        <v>4</v>
      </c>
      <c r="AM108" s="166">
        <v>0</v>
      </c>
      <c r="AO108" s="166">
        <v>0</v>
      </c>
      <c r="AP108" s="166">
        <v>2</v>
      </c>
      <c r="AQ108" s="166">
        <v>2</v>
      </c>
      <c r="AR108" s="166">
        <v>0</v>
      </c>
      <c r="AS108" s="166">
        <v>0</v>
      </c>
      <c r="AT108" s="166">
        <v>0</v>
      </c>
      <c r="AU108" s="166">
        <v>0</v>
      </c>
      <c r="AV108" s="166">
        <v>0</v>
      </c>
      <c r="AW108" s="166">
        <v>2</v>
      </c>
      <c r="AX108" s="166">
        <v>2</v>
      </c>
      <c r="AY108" s="166">
        <v>0</v>
      </c>
      <c r="AZ108" s="166">
        <v>0</v>
      </c>
      <c r="BA108" s="166">
        <v>0</v>
      </c>
      <c r="BB108" s="166">
        <v>0</v>
      </c>
      <c r="BC108" s="166">
        <v>0</v>
      </c>
      <c r="BD108" s="166">
        <v>0</v>
      </c>
      <c r="BE108" s="166">
        <v>0</v>
      </c>
      <c r="BF108" s="166">
        <v>0</v>
      </c>
      <c r="BG108" s="166">
        <v>0</v>
      </c>
      <c r="BH108" s="166">
        <v>0</v>
      </c>
      <c r="BI108" s="166">
        <v>0</v>
      </c>
      <c r="BJ108" s="166">
        <v>0</v>
      </c>
      <c r="BK108" s="166">
        <v>0</v>
      </c>
      <c r="BL108" s="166">
        <v>0</v>
      </c>
      <c r="BM108" s="166">
        <v>0</v>
      </c>
      <c r="BN108" s="166">
        <v>0</v>
      </c>
      <c r="BO108" s="166">
        <v>0</v>
      </c>
      <c r="BP108" s="166">
        <v>0</v>
      </c>
      <c r="BQ108" s="81" t="s">
        <v>1757</v>
      </c>
      <c r="BZ108" s="81" t="s">
        <v>155</v>
      </c>
      <c r="CA108" s="81">
        <v>1</v>
      </c>
      <c r="CC108" s="167">
        <f>N108</f>
        <v>4</v>
      </c>
      <c r="CD108" s="167">
        <v>0</v>
      </c>
      <c r="CE108" s="167">
        <v>0</v>
      </c>
      <c r="CF108" s="167">
        <v>0</v>
      </c>
      <c r="CG108" s="167">
        <v>0</v>
      </c>
      <c r="CH108" s="167">
        <v>0</v>
      </c>
      <c r="CI108" s="167">
        <v>0</v>
      </c>
      <c r="CJ108" s="167">
        <v>0</v>
      </c>
      <c r="CK108" s="167">
        <v>0</v>
      </c>
      <c r="CL108" s="167">
        <v>0</v>
      </c>
      <c r="CM108" s="167">
        <v>0</v>
      </c>
      <c r="CN108" s="167">
        <v>0</v>
      </c>
      <c r="CO108" s="167">
        <v>0</v>
      </c>
      <c r="CP108" s="167">
        <v>0</v>
      </c>
      <c r="CQ108" s="167">
        <v>0</v>
      </c>
      <c r="CR108" s="167">
        <v>0</v>
      </c>
      <c r="CS108" s="167">
        <v>0</v>
      </c>
      <c r="CT108" s="167">
        <v>0</v>
      </c>
      <c r="CU108" s="167">
        <v>0</v>
      </c>
      <c r="CV108" s="167">
        <v>0</v>
      </c>
      <c r="CW108" s="167">
        <v>0</v>
      </c>
      <c r="CX108" s="167">
        <f>SUM(CD108:CH108)</f>
        <v>0</v>
      </c>
      <c r="CY108" s="167">
        <f>SUM(CD108:CM108)</f>
        <v>0</v>
      </c>
    </row>
    <row r="109" spans="1:103" ht="12.75" customHeight="1" x14ac:dyDescent="0.2">
      <c r="A109" s="81">
        <v>5752</v>
      </c>
      <c r="B109" s="165" t="s">
        <v>1924</v>
      </c>
      <c r="C109" s="165" t="s">
        <v>656</v>
      </c>
      <c r="E109" s="165" t="s">
        <v>3159</v>
      </c>
      <c r="G109" s="81">
        <v>524731</v>
      </c>
      <c r="H109" s="81">
        <v>174845</v>
      </c>
      <c r="I109" s="165" t="s">
        <v>250</v>
      </c>
      <c r="J109" s="349">
        <v>42826</v>
      </c>
      <c r="K109" s="349">
        <v>43190</v>
      </c>
      <c r="L109" s="166">
        <v>0</v>
      </c>
      <c r="M109" s="166">
        <v>2</v>
      </c>
      <c r="N109" s="166">
        <v>2</v>
      </c>
      <c r="O109" s="166">
        <v>2</v>
      </c>
      <c r="P109" s="166">
        <v>2</v>
      </c>
      <c r="R109" s="165" t="s">
        <v>1144</v>
      </c>
      <c r="S109" s="81" t="s">
        <v>113</v>
      </c>
      <c r="T109" s="349">
        <v>42255</v>
      </c>
      <c r="U109" s="349">
        <v>42339</v>
      </c>
      <c r="W109" s="81" t="s">
        <v>114</v>
      </c>
      <c r="Y109" s="81" t="s">
        <v>115</v>
      </c>
      <c r="Z109" s="81" t="s">
        <v>398</v>
      </c>
      <c r="AA109" s="81" t="s">
        <v>117</v>
      </c>
      <c r="AB109" s="81" t="s">
        <v>218</v>
      </c>
      <c r="AC109" s="166">
        <v>6.0000000521540598E-3</v>
      </c>
      <c r="AD109" s="349">
        <v>42826</v>
      </c>
      <c r="AE109" s="81" t="s">
        <v>155</v>
      </c>
      <c r="AF109" s="349">
        <v>43190</v>
      </c>
      <c r="AG109" s="81" t="s">
        <v>154</v>
      </c>
      <c r="AH109" s="81" t="s">
        <v>276</v>
      </c>
      <c r="AK109" s="166">
        <v>0</v>
      </c>
      <c r="AM109" s="166">
        <v>0</v>
      </c>
      <c r="AO109" s="166">
        <v>0</v>
      </c>
      <c r="AP109" s="166">
        <v>2</v>
      </c>
      <c r="AQ109" s="166">
        <v>0</v>
      </c>
      <c r="AR109" s="166">
        <v>0</v>
      </c>
      <c r="AS109" s="166">
        <v>0</v>
      </c>
      <c r="AT109" s="166">
        <v>0</v>
      </c>
      <c r="AU109" s="166">
        <v>0</v>
      </c>
      <c r="AV109" s="166">
        <v>0</v>
      </c>
      <c r="AW109" s="166">
        <v>2</v>
      </c>
      <c r="AX109" s="166">
        <v>0</v>
      </c>
      <c r="AY109" s="166">
        <v>0</v>
      </c>
      <c r="AZ109" s="166">
        <v>0</v>
      </c>
      <c r="BA109" s="166">
        <v>0</v>
      </c>
      <c r="BB109" s="166">
        <v>0</v>
      </c>
      <c r="BC109" s="166">
        <v>0</v>
      </c>
      <c r="BD109" s="166">
        <v>0</v>
      </c>
      <c r="BE109" s="166">
        <v>0</v>
      </c>
      <c r="BF109" s="166">
        <v>0</v>
      </c>
      <c r="BG109" s="166">
        <v>0</v>
      </c>
      <c r="BH109" s="166">
        <v>0</v>
      </c>
      <c r="BI109" s="166">
        <v>0</v>
      </c>
      <c r="BJ109" s="166">
        <v>0</v>
      </c>
      <c r="BK109" s="166">
        <v>0</v>
      </c>
      <c r="BL109" s="166">
        <v>0</v>
      </c>
      <c r="BM109" s="166">
        <v>0</v>
      </c>
      <c r="BN109" s="166">
        <v>0</v>
      </c>
      <c r="BO109" s="166">
        <v>0</v>
      </c>
      <c r="BP109" s="166">
        <v>0</v>
      </c>
      <c r="BQ109" s="81" t="s">
        <v>1758</v>
      </c>
      <c r="BZ109" s="81" t="s">
        <v>155</v>
      </c>
      <c r="CA109" s="81">
        <v>7</v>
      </c>
      <c r="CC109" s="167">
        <f>N109</f>
        <v>2</v>
      </c>
      <c r="CD109" s="167">
        <v>0</v>
      </c>
      <c r="CE109" s="167">
        <v>0</v>
      </c>
      <c r="CF109" s="167">
        <v>0</v>
      </c>
      <c r="CG109" s="167">
        <v>0</v>
      </c>
      <c r="CH109" s="167">
        <v>0</v>
      </c>
      <c r="CI109" s="167">
        <v>0</v>
      </c>
      <c r="CJ109" s="167">
        <v>0</v>
      </c>
      <c r="CK109" s="167">
        <v>0</v>
      </c>
      <c r="CL109" s="167">
        <v>0</v>
      </c>
      <c r="CM109" s="167">
        <v>0</v>
      </c>
      <c r="CN109" s="167">
        <v>0</v>
      </c>
      <c r="CO109" s="167">
        <v>0</v>
      </c>
      <c r="CP109" s="167">
        <v>0</v>
      </c>
      <c r="CQ109" s="167">
        <v>0</v>
      </c>
      <c r="CR109" s="167">
        <v>0</v>
      </c>
      <c r="CS109" s="167">
        <v>0</v>
      </c>
      <c r="CT109" s="167">
        <v>0</v>
      </c>
      <c r="CU109" s="167">
        <v>0</v>
      </c>
      <c r="CV109" s="167">
        <v>0</v>
      </c>
      <c r="CW109" s="167">
        <v>0</v>
      </c>
      <c r="CX109" s="167">
        <f>SUM(CD109:CH109)</f>
        <v>0</v>
      </c>
      <c r="CY109" s="167">
        <f>SUM(CD109:CM109)</f>
        <v>0</v>
      </c>
    </row>
    <row r="110" spans="1:103" ht="12.75" customHeight="1" x14ac:dyDescent="0.2">
      <c r="A110" s="81">
        <v>5796</v>
      </c>
      <c r="B110" s="165" t="s">
        <v>1924</v>
      </c>
      <c r="C110" s="165" t="s">
        <v>339</v>
      </c>
      <c r="E110" s="165" t="s">
        <v>3415</v>
      </c>
      <c r="G110" s="81">
        <v>527522</v>
      </c>
      <c r="H110" s="81">
        <v>171673</v>
      </c>
      <c r="I110" s="165" t="s">
        <v>242</v>
      </c>
      <c r="J110" s="349">
        <v>43033</v>
      </c>
      <c r="K110" s="349">
        <v>43059</v>
      </c>
      <c r="L110" s="166">
        <v>0</v>
      </c>
      <c r="M110" s="166">
        <v>10</v>
      </c>
      <c r="N110" s="166">
        <v>10</v>
      </c>
      <c r="O110" s="166">
        <v>10</v>
      </c>
      <c r="P110" s="166">
        <v>10</v>
      </c>
      <c r="Q110" s="81" t="s">
        <v>155</v>
      </c>
      <c r="R110" s="165" t="s">
        <v>340</v>
      </c>
      <c r="S110" s="81" t="s">
        <v>110</v>
      </c>
      <c r="T110" s="349">
        <v>41985</v>
      </c>
      <c r="U110" s="349">
        <v>42041</v>
      </c>
      <c r="W110" s="81" t="s">
        <v>114</v>
      </c>
      <c r="Y110" s="81" t="s">
        <v>115</v>
      </c>
      <c r="Z110" s="81" t="s">
        <v>310</v>
      </c>
      <c r="AA110" s="81" t="s">
        <v>117</v>
      </c>
      <c r="AB110" s="81" t="s">
        <v>399</v>
      </c>
      <c r="AC110" s="166">
        <v>2.5000000372528999E-2</v>
      </c>
      <c r="AD110" s="349">
        <v>43033</v>
      </c>
      <c r="AE110" s="81" t="s">
        <v>155</v>
      </c>
      <c r="AF110" s="349">
        <v>43059</v>
      </c>
      <c r="AG110" s="81" t="s">
        <v>238</v>
      </c>
      <c r="AH110" s="81" t="s">
        <v>118</v>
      </c>
      <c r="AK110" s="166">
        <v>0</v>
      </c>
      <c r="AM110" s="166">
        <v>0</v>
      </c>
      <c r="AO110" s="166">
        <v>10</v>
      </c>
      <c r="AP110" s="166">
        <v>0</v>
      </c>
      <c r="AQ110" s="166">
        <v>0</v>
      </c>
      <c r="AR110" s="166">
        <v>0</v>
      </c>
      <c r="AS110" s="166">
        <v>0</v>
      </c>
      <c r="AT110" s="166">
        <v>0</v>
      </c>
      <c r="AU110" s="166">
        <v>0</v>
      </c>
      <c r="AV110" s="166">
        <v>10</v>
      </c>
      <c r="AW110" s="166">
        <v>0</v>
      </c>
      <c r="AX110" s="166">
        <v>0</v>
      </c>
      <c r="AY110" s="166">
        <v>0</v>
      </c>
      <c r="AZ110" s="166">
        <v>0</v>
      </c>
      <c r="BA110" s="166">
        <v>0</v>
      </c>
      <c r="BB110" s="166">
        <v>0</v>
      </c>
      <c r="BC110" s="166">
        <v>0</v>
      </c>
      <c r="BD110" s="166">
        <v>0</v>
      </c>
      <c r="BE110" s="166">
        <v>0</v>
      </c>
      <c r="BF110" s="166">
        <v>0</v>
      </c>
      <c r="BG110" s="166">
        <v>0</v>
      </c>
      <c r="BH110" s="166">
        <v>0</v>
      </c>
      <c r="BI110" s="166">
        <v>0</v>
      </c>
      <c r="BJ110" s="166">
        <v>0</v>
      </c>
      <c r="BK110" s="166">
        <v>0</v>
      </c>
      <c r="BL110" s="166">
        <v>0</v>
      </c>
      <c r="BM110" s="166">
        <v>0</v>
      </c>
      <c r="BN110" s="166">
        <v>0</v>
      </c>
      <c r="BO110" s="166">
        <v>0</v>
      </c>
      <c r="BP110" s="166">
        <v>0</v>
      </c>
      <c r="BQ110" s="81" t="s">
        <v>1757</v>
      </c>
      <c r="BR110" s="81" t="s">
        <v>242</v>
      </c>
      <c r="BZ110" s="81" t="s">
        <v>155</v>
      </c>
      <c r="CA110" s="81">
        <v>7</v>
      </c>
      <c r="CC110" s="167">
        <f>N110</f>
        <v>10</v>
      </c>
      <c r="CD110" s="167">
        <v>0</v>
      </c>
      <c r="CE110" s="167">
        <v>0</v>
      </c>
      <c r="CF110" s="167">
        <v>0</v>
      </c>
      <c r="CG110" s="167">
        <v>0</v>
      </c>
      <c r="CH110" s="167">
        <v>0</v>
      </c>
      <c r="CI110" s="167">
        <v>0</v>
      </c>
      <c r="CJ110" s="167">
        <v>0</v>
      </c>
      <c r="CK110" s="167">
        <v>0</v>
      </c>
      <c r="CL110" s="167">
        <v>0</v>
      </c>
      <c r="CM110" s="167">
        <v>0</v>
      </c>
      <c r="CN110" s="167">
        <v>0</v>
      </c>
      <c r="CO110" s="167">
        <v>0</v>
      </c>
      <c r="CP110" s="167">
        <v>0</v>
      </c>
      <c r="CQ110" s="167">
        <v>0</v>
      </c>
      <c r="CR110" s="167">
        <v>0</v>
      </c>
      <c r="CS110" s="167">
        <v>0</v>
      </c>
      <c r="CT110" s="167">
        <v>0</v>
      </c>
      <c r="CU110" s="167">
        <v>0</v>
      </c>
      <c r="CV110" s="167">
        <v>0</v>
      </c>
      <c r="CW110" s="167">
        <v>0</v>
      </c>
      <c r="CX110" s="167">
        <f>SUM(CD110:CH110)</f>
        <v>0</v>
      </c>
      <c r="CY110" s="167">
        <f>SUM(CD110:CM110)</f>
        <v>0</v>
      </c>
    </row>
    <row r="111" spans="1:103" ht="12.75" customHeight="1" x14ac:dyDescent="0.2">
      <c r="A111" s="81">
        <v>5813</v>
      </c>
      <c r="B111" s="165" t="s">
        <v>1924</v>
      </c>
      <c r="C111" s="165" t="s">
        <v>337</v>
      </c>
      <c r="E111" s="165" t="s">
        <v>3160</v>
      </c>
      <c r="G111" s="81">
        <v>527658</v>
      </c>
      <c r="H111" s="81">
        <v>175538</v>
      </c>
      <c r="I111" s="165" t="s">
        <v>256</v>
      </c>
      <c r="J111" s="349">
        <v>42354</v>
      </c>
      <c r="K111" s="349">
        <v>42859</v>
      </c>
      <c r="L111" s="166">
        <v>0</v>
      </c>
      <c r="M111" s="166">
        <v>2</v>
      </c>
      <c r="N111" s="166">
        <v>2</v>
      </c>
      <c r="O111" s="166">
        <v>2</v>
      </c>
      <c r="P111" s="166">
        <v>2</v>
      </c>
      <c r="R111" s="165" t="s">
        <v>338</v>
      </c>
      <c r="S111" s="81" t="s">
        <v>113</v>
      </c>
      <c r="T111" s="349">
        <v>41988</v>
      </c>
      <c r="U111" s="349">
        <v>42044</v>
      </c>
      <c r="W111" s="81" t="s">
        <v>114</v>
      </c>
      <c r="Y111" s="81" t="s">
        <v>115</v>
      </c>
      <c r="Z111" s="81" t="s">
        <v>398</v>
      </c>
      <c r="AA111" s="81" t="s">
        <v>117</v>
      </c>
      <c r="AB111" s="81" t="s">
        <v>399</v>
      </c>
      <c r="AC111" s="166">
        <v>6.0000000521540598E-3</v>
      </c>
      <c r="AD111" s="349">
        <v>42354</v>
      </c>
      <c r="AF111" s="349">
        <v>42859</v>
      </c>
      <c r="AG111" s="81" t="s">
        <v>238</v>
      </c>
      <c r="AH111" s="81" t="s">
        <v>118</v>
      </c>
      <c r="AK111" s="166">
        <v>0</v>
      </c>
      <c r="AM111" s="166">
        <v>0</v>
      </c>
      <c r="AO111" s="166">
        <v>1</v>
      </c>
      <c r="AP111" s="166">
        <v>1</v>
      </c>
      <c r="AQ111" s="166">
        <v>0</v>
      </c>
      <c r="AR111" s="166">
        <v>0</v>
      </c>
      <c r="AS111" s="166">
        <v>0</v>
      </c>
      <c r="AT111" s="166">
        <v>0</v>
      </c>
      <c r="AU111" s="166">
        <v>0</v>
      </c>
      <c r="AV111" s="166">
        <v>1</v>
      </c>
      <c r="AW111" s="166">
        <v>1</v>
      </c>
      <c r="AX111" s="166">
        <v>0</v>
      </c>
      <c r="AY111" s="166">
        <v>0</v>
      </c>
      <c r="AZ111" s="166">
        <v>0</v>
      </c>
      <c r="BA111" s="166">
        <v>0</v>
      </c>
      <c r="BB111" s="166">
        <v>0</v>
      </c>
      <c r="BC111" s="166">
        <v>0</v>
      </c>
      <c r="BD111" s="166">
        <v>0</v>
      </c>
      <c r="BE111" s="166">
        <v>0</v>
      </c>
      <c r="BF111" s="166">
        <v>0</v>
      </c>
      <c r="BG111" s="166">
        <v>0</v>
      </c>
      <c r="BH111" s="166">
        <v>0</v>
      </c>
      <c r="BI111" s="166">
        <v>0</v>
      </c>
      <c r="BJ111" s="166">
        <v>0</v>
      </c>
      <c r="BK111" s="166">
        <v>0</v>
      </c>
      <c r="BL111" s="166">
        <v>0</v>
      </c>
      <c r="BM111" s="166">
        <v>0</v>
      </c>
      <c r="BN111" s="166">
        <v>0</v>
      </c>
      <c r="BO111" s="166">
        <v>0</v>
      </c>
      <c r="BP111" s="166">
        <v>0</v>
      </c>
      <c r="BQ111" s="81" t="s">
        <v>1757</v>
      </c>
      <c r="BR111" s="81" t="s">
        <v>160</v>
      </c>
      <c r="BZ111" s="81" t="s">
        <v>155</v>
      </c>
      <c r="CA111" s="81">
        <v>7</v>
      </c>
      <c r="CC111" s="167">
        <f>N111</f>
        <v>2</v>
      </c>
      <c r="CD111" s="167">
        <v>0</v>
      </c>
      <c r="CE111" s="167">
        <v>0</v>
      </c>
      <c r="CF111" s="167">
        <v>0</v>
      </c>
      <c r="CG111" s="167">
        <v>0</v>
      </c>
      <c r="CH111" s="167">
        <v>0</v>
      </c>
      <c r="CI111" s="167">
        <v>0</v>
      </c>
      <c r="CJ111" s="167">
        <v>0</v>
      </c>
      <c r="CK111" s="167">
        <v>0</v>
      </c>
      <c r="CL111" s="167">
        <v>0</v>
      </c>
      <c r="CM111" s="167">
        <v>0</v>
      </c>
      <c r="CN111" s="167">
        <v>0</v>
      </c>
      <c r="CO111" s="167">
        <v>0</v>
      </c>
      <c r="CP111" s="167">
        <v>0</v>
      </c>
      <c r="CQ111" s="167">
        <v>0</v>
      </c>
      <c r="CR111" s="167">
        <v>0</v>
      </c>
      <c r="CS111" s="167">
        <v>0</v>
      </c>
      <c r="CT111" s="167">
        <v>0</v>
      </c>
      <c r="CU111" s="167">
        <v>0</v>
      </c>
      <c r="CV111" s="167">
        <v>0</v>
      </c>
      <c r="CW111" s="167">
        <v>0</v>
      </c>
      <c r="CX111" s="167">
        <f>SUM(CD111:CH111)</f>
        <v>0</v>
      </c>
      <c r="CY111" s="167">
        <f>SUM(CD111:CM111)</f>
        <v>0</v>
      </c>
    </row>
    <row r="112" spans="1:103" ht="12.75" customHeight="1" x14ac:dyDescent="0.2">
      <c r="A112" s="81">
        <v>5817</v>
      </c>
      <c r="B112" s="165" t="s">
        <v>1924</v>
      </c>
      <c r="C112" s="165" t="s">
        <v>1280</v>
      </c>
      <c r="E112" s="165" t="s">
        <v>3161</v>
      </c>
      <c r="G112" s="81">
        <v>525896</v>
      </c>
      <c r="H112" s="81">
        <v>173915</v>
      </c>
      <c r="I112" s="165" t="s">
        <v>249</v>
      </c>
      <c r="J112" s="349">
        <v>42614</v>
      </c>
      <c r="K112" s="349">
        <v>42856</v>
      </c>
      <c r="L112" s="166">
        <v>1</v>
      </c>
      <c r="M112" s="166">
        <v>1</v>
      </c>
      <c r="N112" s="166">
        <v>0</v>
      </c>
      <c r="O112" s="166">
        <v>1</v>
      </c>
      <c r="P112" s="166">
        <v>0</v>
      </c>
      <c r="R112" s="165" t="s">
        <v>1281</v>
      </c>
      <c r="S112" s="81" t="s">
        <v>113</v>
      </c>
      <c r="T112" s="349">
        <v>42534</v>
      </c>
      <c r="U112" s="349">
        <v>42587</v>
      </c>
      <c r="W112" s="81" t="s">
        <v>114</v>
      </c>
      <c r="Y112" s="81" t="s">
        <v>115</v>
      </c>
      <c r="Z112" s="81" t="s">
        <v>398</v>
      </c>
      <c r="AA112" s="81" t="s">
        <v>117</v>
      </c>
      <c r="AB112" s="81" t="s">
        <v>311</v>
      </c>
      <c r="AC112" s="166">
        <v>6.0000000521540598E-3</v>
      </c>
      <c r="AD112" s="349">
        <v>42614</v>
      </c>
      <c r="AF112" s="349">
        <v>42856</v>
      </c>
      <c r="AG112" s="81" t="s">
        <v>238</v>
      </c>
      <c r="AH112" s="81" t="s">
        <v>118</v>
      </c>
      <c r="AK112" s="166">
        <v>0</v>
      </c>
      <c r="AM112" s="166">
        <v>0</v>
      </c>
      <c r="AO112" s="166">
        <v>-1</v>
      </c>
      <c r="AP112" s="166">
        <v>1</v>
      </c>
      <c r="AQ112" s="166">
        <v>0</v>
      </c>
      <c r="AR112" s="166">
        <v>0</v>
      </c>
      <c r="AS112" s="166">
        <v>0</v>
      </c>
      <c r="AT112" s="166">
        <v>0</v>
      </c>
      <c r="AU112" s="166">
        <v>0</v>
      </c>
      <c r="AV112" s="166">
        <v>-1</v>
      </c>
      <c r="AW112" s="166">
        <v>1</v>
      </c>
      <c r="AX112" s="166">
        <v>0</v>
      </c>
      <c r="AY112" s="166">
        <v>0</v>
      </c>
      <c r="AZ112" s="166">
        <v>0</v>
      </c>
      <c r="BA112" s="166">
        <v>0</v>
      </c>
      <c r="BB112" s="166">
        <v>0</v>
      </c>
      <c r="BC112" s="166">
        <v>0</v>
      </c>
      <c r="BD112" s="166">
        <v>0</v>
      </c>
      <c r="BE112" s="166">
        <v>0</v>
      </c>
      <c r="BF112" s="166">
        <v>0</v>
      </c>
      <c r="BG112" s="166">
        <v>0</v>
      </c>
      <c r="BH112" s="166">
        <v>0</v>
      </c>
      <c r="BI112" s="166">
        <v>0</v>
      </c>
      <c r="BJ112" s="166">
        <v>0</v>
      </c>
      <c r="BK112" s="166">
        <v>0</v>
      </c>
      <c r="BL112" s="166">
        <v>0</v>
      </c>
      <c r="BM112" s="166">
        <v>0</v>
      </c>
      <c r="BN112" s="166">
        <v>0</v>
      </c>
      <c r="BO112" s="166">
        <v>0</v>
      </c>
      <c r="BP112" s="166">
        <v>0</v>
      </c>
      <c r="BQ112" s="81" t="s">
        <v>1758</v>
      </c>
      <c r="BZ112" s="81" t="s">
        <v>155</v>
      </c>
      <c r="CA112" s="81">
        <v>7</v>
      </c>
      <c r="CC112" s="167">
        <f>N112</f>
        <v>0</v>
      </c>
      <c r="CD112" s="167">
        <v>0</v>
      </c>
      <c r="CE112" s="167">
        <v>0</v>
      </c>
      <c r="CF112" s="167">
        <v>0</v>
      </c>
      <c r="CG112" s="167">
        <v>0</v>
      </c>
      <c r="CH112" s="167">
        <v>0</v>
      </c>
      <c r="CI112" s="167">
        <v>0</v>
      </c>
      <c r="CJ112" s="167">
        <v>0</v>
      </c>
      <c r="CK112" s="167">
        <v>0</v>
      </c>
      <c r="CL112" s="167">
        <v>0</v>
      </c>
      <c r="CM112" s="167">
        <v>0</v>
      </c>
      <c r="CN112" s="167">
        <v>0</v>
      </c>
      <c r="CO112" s="167">
        <v>0</v>
      </c>
      <c r="CP112" s="167">
        <v>0</v>
      </c>
      <c r="CQ112" s="167">
        <v>0</v>
      </c>
      <c r="CR112" s="167">
        <v>0</v>
      </c>
      <c r="CS112" s="167">
        <v>0</v>
      </c>
      <c r="CT112" s="167">
        <v>0</v>
      </c>
      <c r="CU112" s="167">
        <v>0</v>
      </c>
      <c r="CV112" s="167">
        <v>0</v>
      </c>
      <c r="CW112" s="167">
        <v>0</v>
      </c>
      <c r="CX112" s="167">
        <f>SUM(CD112:CH112)</f>
        <v>0</v>
      </c>
      <c r="CY112" s="167">
        <f>SUM(CD112:CM112)</f>
        <v>0</v>
      </c>
    </row>
    <row r="113" spans="1:103" ht="12.75" customHeight="1" x14ac:dyDescent="0.2">
      <c r="A113" s="81">
        <v>5822</v>
      </c>
      <c r="B113" s="165" t="s">
        <v>1924</v>
      </c>
      <c r="C113" s="165" t="s">
        <v>379</v>
      </c>
      <c r="E113" s="165" t="s">
        <v>3162</v>
      </c>
      <c r="G113" s="81">
        <v>527719</v>
      </c>
      <c r="H113" s="81">
        <v>174621</v>
      </c>
      <c r="I113" s="165" t="s">
        <v>255</v>
      </c>
      <c r="J113" s="349">
        <v>42221</v>
      </c>
      <c r="K113" s="349">
        <v>42826</v>
      </c>
      <c r="L113" s="166">
        <v>2</v>
      </c>
      <c r="M113" s="166">
        <v>1</v>
      </c>
      <c r="N113" s="166">
        <v>-1</v>
      </c>
      <c r="O113" s="166">
        <v>1</v>
      </c>
      <c r="P113" s="166">
        <v>-1</v>
      </c>
      <c r="R113" s="165" t="s">
        <v>759</v>
      </c>
      <c r="S113" s="81" t="s">
        <v>113</v>
      </c>
      <c r="T113" s="349">
        <v>41995</v>
      </c>
      <c r="U113" s="349">
        <v>42051</v>
      </c>
      <c r="W113" s="81" t="s">
        <v>114</v>
      </c>
      <c r="Y113" s="81" t="s">
        <v>115</v>
      </c>
      <c r="Z113" s="81" t="s">
        <v>119</v>
      </c>
      <c r="AA113" s="81" t="s">
        <v>117</v>
      </c>
      <c r="AB113" s="81" t="s">
        <v>336</v>
      </c>
      <c r="AC113" s="166">
        <v>1.2000000104308101E-2</v>
      </c>
      <c r="AD113" s="349">
        <v>42221</v>
      </c>
      <c r="AF113" s="349">
        <v>42826</v>
      </c>
      <c r="AG113" s="81" t="s">
        <v>238</v>
      </c>
      <c r="AH113" s="81" t="s">
        <v>118</v>
      </c>
      <c r="AK113" s="166">
        <v>0</v>
      </c>
      <c r="AM113" s="166">
        <v>0</v>
      </c>
      <c r="AO113" s="166">
        <v>0</v>
      </c>
      <c r="AP113" s="166">
        <v>0</v>
      </c>
      <c r="AQ113" s="166">
        <v>-1</v>
      </c>
      <c r="AR113" s="166">
        <v>0</v>
      </c>
      <c r="AS113" s="166">
        <v>0</v>
      </c>
      <c r="AT113" s="166">
        <v>0</v>
      </c>
      <c r="AU113" s="166">
        <v>0</v>
      </c>
      <c r="AV113" s="166">
        <v>0</v>
      </c>
      <c r="AW113" s="166">
        <v>0</v>
      </c>
      <c r="AX113" s="166">
        <v>-1</v>
      </c>
      <c r="AY113" s="166">
        <v>-1</v>
      </c>
      <c r="AZ113" s="166">
        <v>0</v>
      </c>
      <c r="BA113" s="166">
        <v>0</v>
      </c>
      <c r="BB113" s="166">
        <v>0</v>
      </c>
      <c r="BC113" s="166">
        <v>0</v>
      </c>
      <c r="BD113" s="166">
        <v>0</v>
      </c>
      <c r="BE113" s="166">
        <v>0</v>
      </c>
      <c r="BF113" s="166">
        <v>1</v>
      </c>
      <c r="BG113" s="166">
        <v>0</v>
      </c>
      <c r="BH113" s="166">
        <v>0</v>
      </c>
      <c r="BI113" s="166">
        <v>0</v>
      </c>
      <c r="BJ113" s="166">
        <v>0</v>
      </c>
      <c r="BK113" s="166">
        <v>0</v>
      </c>
      <c r="BL113" s="166">
        <v>0</v>
      </c>
      <c r="BM113" s="166">
        <v>0</v>
      </c>
      <c r="BN113" s="166">
        <v>0</v>
      </c>
      <c r="BO113" s="166">
        <v>0</v>
      </c>
      <c r="BP113" s="166">
        <v>0</v>
      </c>
      <c r="BQ113" s="81" t="s">
        <v>1757</v>
      </c>
      <c r="BZ113" s="81" t="s">
        <v>155</v>
      </c>
      <c r="CA113" s="81">
        <v>7</v>
      </c>
      <c r="CC113" s="167">
        <f>N113</f>
        <v>-1</v>
      </c>
      <c r="CD113" s="167">
        <v>0</v>
      </c>
      <c r="CE113" s="167">
        <v>0</v>
      </c>
      <c r="CF113" s="167">
        <v>0</v>
      </c>
      <c r="CG113" s="167">
        <v>0</v>
      </c>
      <c r="CH113" s="167">
        <v>0</v>
      </c>
      <c r="CI113" s="167">
        <v>0</v>
      </c>
      <c r="CJ113" s="167">
        <v>0</v>
      </c>
      <c r="CK113" s="167">
        <v>0</v>
      </c>
      <c r="CL113" s="167">
        <v>0</v>
      </c>
      <c r="CM113" s="167">
        <v>0</v>
      </c>
      <c r="CN113" s="167">
        <v>0</v>
      </c>
      <c r="CO113" s="167">
        <v>0</v>
      </c>
      <c r="CP113" s="167">
        <v>0</v>
      </c>
      <c r="CQ113" s="167">
        <v>0</v>
      </c>
      <c r="CR113" s="167">
        <v>0</v>
      </c>
      <c r="CS113" s="167">
        <v>0</v>
      </c>
      <c r="CT113" s="167">
        <v>0</v>
      </c>
      <c r="CU113" s="167">
        <v>0</v>
      </c>
      <c r="CV113" s="167">
        <v>0</v>
      </c>
      <c r="CW113" s="167">
        <v>0</v>
      </c>
      <c r="CX113" s="167">
        <f>SUM(CD113:CH113)</f>
        <v>0</v>
      </c>
      <c r="CY113" s="167">
        <f>SUM(CD113:CM113)</f>
        <v>0</v>
      </c>
    </row>
    <row r="114" spans="1:103" ht="12.75" customHeight="1" x14ac:dyDescent="0.2">
      <c r="A114" s="81">
        <v>5824</v>
      </c>
      <c r="B114" s="165" t="s">
        <v>1924</v>
      </c>
      <c r="C114" s="165" t="s">
        <v>342</v>
      </c>
      <c r="E114" s="165" t="s">
        <v>3163</v>
      </c>
      <c r="G114" s="81">
        <v>527513</v>
      </c>
      <c r="H114" s="81">
        <v>171624</v>
      </c>
      <c r="I114" s="165" t="s">
        <v>242</v>
      </c>
      <c r="J114" s="349">
        <v>42826</v>
      </c>
      <c r="K114" s="349">
        <v>43190</v>
      </c>
      <c r="L114" s="166">
        <v>0</v>
      </c>
      <c r="M114" s="166">
        <v>1</v>
      </c>
      <c r="N114" s="166">
        <v>1</v>
      </c>
      <c r="O114" s="166">
        <v>1</v>
      </c>
      <c r="P114" s="166">
        <v>1</v>
      </c>
      <c r="R114" s="165" t="s">
        <v>343</v>
      </c>
      <c r="S114" s="81" t="s">
        <v>113</v>
      </c>
      <c r="T114" s="349">
        <v>41985</v>
      </c>
      <c r="U114" s="349">
        <v>42041</v>
      </c>
      <c r="W114" s="81" t="s">
        <v>114</v>
      </c>
      <c r="Y114" s="81" t="s">
        <v>115</v>
      </c>
      <c r="Z114" s="81" t="s">
        <v>116</v>
      </c>
      <c r="AA114" s="81" t="s">
        <v>117</v>
      </c>
      <c r="AB114" s="81" t="s">
        <v>218</v>
      </c>
      <c r="AC114" s="166">
        <v>4.0000001899898104E-3</v>
      </c>
      <c r="AD114" s="349">
        <v>42826</v>
      </c>
      <c r="AE114" s="81" t="s">
        <v>155</v>
      </c>
      <c r="AF114" s="349">
        <v>43190</v>
      </c>
      <c r="AG114" s="81" t="s">
        <v>238</v>
      </c>
      <c r="AH114" s="81" t="s">
        <v>118</v>
      </c>
      <c r="AK114" s="166">
        <v>0</v>
      </c>
      <c r="AM114" s="166">
        <v>0</v>
      </c>
      <c r="AO114" s="166">
        <v>0</v>
      </c>
      <c r="AP114" s="166">
        <v>0</v>
      </c>
      <c r="AQ114" s="166">
        <v>1</v>
      </c>
      <c r="AR114" s="166">
        <v>0</v>
      </c>
      <c r="AS114" s="166">
        <v>0</v>
      </c>
      <c r="AT114" s="166">
        <v>0</v>
      </c>
      <c r="AU114" s="166">
        <v>0</v>
      </c>
      <c r="AV114" s="166">
        <v>0</v>
      </c>
      <c r="AW114" s="166">
        <v>0</v>
      </c>
      <c r="AX114" s="166">
        <v>1</v>
      </c>
      <c r="AY114" s="166">
        <v>0</v>
      </c>
      <c r="AZ114" s="166">
        <v>0</v>
      </c>
      <c r="BA114" s="166">
        <v>0</v>
      </c>
      <c r="BB114" s="166">
        <v>0</v>
      </c>
      <c r="BC114" s="166">
        <v>0</v>
      </c>
      <c r="BD114" s="166">
        <v>0</v>
      </c>
      <c r="BE114" s="166">
        <v>0</v>
      </c>
      <c r="BF114" s="166">
        <v>0</v>
      </c>
      <c r="BG114" s="166">
        <v>0</v>
      </c>
      <c r="BH114" s="166">
        <v>0</v>
      </c>
      <c r="BI114" s="166">
        <v>0</v>
      </c>
      <c r="BJ114" s="166">
        <v>0</v>
      </c>
      <c r="BK114" s="166">
        <v>0</v>
      </c>
      <c r="BL114" s="166">
        <v>0</v>
      </c>
      <c r="BM114" s="166">
        <v>0</v>
      </c>
      <c r="BN114" s="166">
        <v>0</v>
      </c>
      <c r="BO114" s="166">
        <v>0</v>
      </c>
      <c r="BP114" s="166">
        <v>0</v>
      </c>
      <c r="BQ114" s="81" t="s">
        <v>1757</v>
      </c>
      <c r="BR114" s="81" t="s">
        <v>242</v>
      </c>
      <c r="BZ114" s="81" t="s">
        <v>155</v>
      </c>
      <c r="CA114" s="81">
        <v>1</v>
      </c>
      <c r="CC114" s="167">
        <f>N114</f>
        <v>1</v>
      </c>
      <c r="CD114" s="167">
        <v>0</v>
      </c>
      <c r="CE114" s="167">
        <v>0</v>
      </c>
      <c r="CF114" s="167">
        <v>0</v>
      </c>
      <c r="CG114" s="167">
        <v>0</v>
      </c>
      <c r="CH114" s="167">
        <v>0</v>
      </c>
      <c r="CI114" s="167">
        <v>0</v>
      </c>
      <c r="CJ114" s="167">
        <v>0</v>
      </c>
      <c r="CK114" s="167">
        <v>0</v>
      </c>
      <c r="CL114" s="167">
        <v>0</v>
      </c>
      <c r="CM114" s="167">
        <v>0</v>
      </c>
      <c r="CN114" s="167">
        <v>0</v>
      </c>
      <c r="CO114" s="167">
        <v>0</v>
      </c>
      <c r="CP114" s="167">
        <v>0</v>
      </c>
      <c r="CQ114" s="167">
        <v>0</v>
      </c>
      <c r="CR114" s="167">
        <v>0</v>
      </c>
      <c r="CS114" s="167">
        <v>0</v>
      </c>
      <c r="CT114" s="167">
        <v>0</v>
      </c>
      <c r="CU114" s="167">
        <v>0</v>
      </c>
      <c r="CV114" s="167">
        <v>0</v>
      </c>
      <c r="CW114" s="167">
        <v>0</v>
      </c>
      <c r="CX114" s="167">
        <f>SUM(CD114:CH114)</f>
        <v>0</v>
      </c>
      <c r="CY114" s="167">
        <f>SUM(CD114:CM114)</f>
        <v>0</v>
      </c>
    </row>
    <row r="115" spans="1:103" ht="12.75" customHeight="1" x14ac:dyDescent="0.2">
      <c r="A115" s="81">
        <v>5837</v>
      </c>
      <c r="B115" s="165" t="s">
        <v>1924</v>
      </c>
      <c r="C115" s="165" t="s">
        <v>210</v>
      </c>
      <c r="E115" s="165" t="s">
        <v>3164</v>
      </c>
      <c r="G115" s="81">
        <v>526501</v>
      </c>
      <c r="H115" s="81">
        <v>174529</v>
      </c>
      <c r="I115" s="165" t="s">
        <v>260</v>
      </c>
      <c r="J115" s="349">
        <v>42094</v>
      </c>
      <c r="K115" s="349">
        <v>43190</v>
      </c>
      <c r="L115" s="166">
        <v>2</v>
      </c>
      <c r="M115" s="166">
        <v>1</v>
      </c>
      <c r="N115" s="166">
        <v>-1</v>
      </c>
      <c r="O115" s="166">
        <v>1</v>
      </c>
      <c r="P115" s="166">
        <v>-1</v>
      </c>
      <c r="R115" s="165" t="s">
        <v>211</v>
      </c>
      <c r="S115" s="81" t="s">
        <v>113</v>
      </c>
      <c r="T115" s="349">
        <v>42002</v>
      </c>
      <c r="U115" s="349">
        <v>42054</v>
      </c>
      <c r="W115" s="81" t="s">
        <v>114</v>
      </c>
      <c r="Y115" s="81" t="s">
        <v>115</v>
      </c>
      <c r="Z115" s="81" t="s">
        <v>398</v>
      </c>
      <c r="AA115" s="81" t="s">
        <v>117</v>
      </c>
      <c r="AB115" s="81" t="s">
        <v>336</v>
      </c>
      <c r="AC115" s="166">
        <v>1.8999999389052401E-2</v>
      </c>
      <c r="AD115" s="349">
        <v>42094</v>
      </c>
      <c r="AF115" s="349">
        <v>43190</v>
      </c>
      <c r="AG115" s="81" t="s">
        <v>238</v>
      </c>
      <c r="AH115" s="81" t="s">
        <v>118</v>
      </c>
      <c r="AK115" s="166">
        <v>0</v>
      </c>
      <c r="AM115" s="166">
        <v>0</v>
      </c>
      <c r="AO115" s="166">
        <v>0</v>
      </c>
      <c r="AP115" s="166">
        <v>-1</v>
      </c>
      <c r="AQ115" s="166">
        <v>-1</v>
      </c>
      <c r="AR115" s="166">
        <v>1</v>
      </c>
      <c r="AS115" s="166">
        <v>0</v>
      </c>
      <c r="AT115" s="166">
        <v>0</v>
      </c>
      <c r="AU115" s="166">
        <v>0</v>
      </c>
      <c r="AV115" s="166">
        <v>0</v>
      </c>
      <c r="AW115" s="166">
        <v>-1</v>
      </c>
      <c r="AX115" s="166">
        <v>-1</v>
      </c>
      <c r="AY115" s="166">
        <v>0</v>
      </c>
      <c r="AZ115" s="166">
        <v>0</v>
      </c>
      <c r="BA115" s="166">
        <v>0</v>
      </c>
      <c r="BB115" s="166">
        <v>0</v>
      </c>
      <c r="BC115" s="166">
        <v>0</v>
      </c>
      <c r="BD115" s="166">
        <v>0</v>
      </c>
      <c r="BE115" s="166">
        <v>0</v>
      </c>
      <c r="BF115" s="166">
        <v>1</v>
      </c>
      <c r="BG115" s="166">
        <v>0</v>
      </c>
      <c r="BH115" s="166">
        <v>0</v>
      </c>
      <c r="BI115" s="166">
        <v>0</v>
      </c>
      <c r="BJ115" s="166">
        <v>0</v>
      </c>
      <c r="BK115" s="166">
        <v>0</v>
      </c>
      <c r="BL115" s="166">
        <v>0</v>
      </c>
      <c r="BM115" s="166">
        <v>0</v>
      </c>
      <c r="BN115" s="166">
        <v>0</v>
      </c>
      <c r="BO115" s="166">
        <v>0</v>
      </c>
      <c r="BP115" s="166">
        <v>0</v>
      </c>
      <c r="BQ115" s="81" t="s">
        <v>1758</v>
      </c>
      <c r="BZ115" s="81" t="s">
        <v>155</v>
      </c>
      <c r="CA115" s="81">
        <v>7</v>
      </c>
      <c r="CC115" s="167">
        <f>N115</f>
        <v>-1</v>
      </c>
      <c r="CD115" s="167">
        <v>0</v>
      </c>
      <c r="CE115" s="167">
        <v>0</v>
      </c>
      <c r="CF115" s="167">
        <v>0</v>
      </c>
      <c r="CG115" s="167">
        <v>0</v>
      </c>
      <c r="CH115" s="167">
        <v>0</v>
      </c>
      <c r="CI115" s="167">
        <v>0</v>
      </c>
      <c r="CJ115" s="167">
        <v>0</v>
      </c>
      <c r="CK115" s="167">
        <v>0</v>
      </c>
      <c r="CL115" s="167">
        <v>0</v>
      </c>
      <c r="CM115" s="167">
        <v>0</v>
      </c>
      <c r="CN115" s="167">
        <v>0</v>
      </c>
      <c r="CO115" s="167">
        <v>0</v>
      </c>
      <c r="CP115" s="167">
        <v>0</v>
      </c>
      <c r="CQ115" s="167">
        <v>0</v>
      </c>
      <c r="CR115" s="167">
        <v>0</v>
      </c>
      <c r="CS115" s="167">
        <v>0</v>
      </c>
      <c r="CT115" s="167">
        <v>0</v>
      </c>
      <c r="CU115" s="167">
        <v>0</v>
      </c>
      <c r="CV115" s="167">
        <v>0</v>
      </c>
      <c r="CW115" s="167">
        <v>0</v>
      </c>
      <c r="CX115" s="167">
        <f>SUM(CD115:CH115)</f>
        <v>0</v>
      </c>
      <c r="CY115" s="167">
        <f>SUM(CD115:CM115)</f>
        <v>0</v>
      </c>
    </row>
    <row r="116" spans="1:103" ht="12.75" customHeight="1" x14ac:dyDescent="0.2">
      <c r="A116" s="81">
        <v>5839</v>
      </c>
      <c r="B116" s="165" t="s">
        <v>1924</v>
      </c>
      <c r="C116" s="165" t="s">
        <v>377</v>
      </c>
      <c r="E116" s="165" t="s">
        <v>3165</v>
      </c>
      <c r="G116" s="81">
        <v>528757</v>
      </c>
      <c r="H116" s="81">
        <v>173681</v>
      </c>
      <c r="I116" s="165" t="s">
        <v>247</v>
      </c>
      <c r="J116" s="349">
        <v>42522</v>
      </c>
      <c r="K116" s="349">
        <v>42885</v>
      </c>
      <c r="L116" s="166">
        <v>0</v>
      </c>
      <c r="M116" s="166">
        <v>1</v>
      </c>
      <c r="N116" s="166">
        <v>1</v>
      </c>
      <c r="O116" s="166">
        <v>1</v>
      </c>
      <c r="P116" s="166">
        <v>1</v>
      </c>
      <c r="R116" s="165" t="s">
        <v>378</v>
      </c>
      <c r="S116" s="81" t="s">
        <v>270</v>
      </c>
      <c r="T116" s="349">
        <v>41988</v>
      </c>
      <c r="U116" s="349">
        <v>42044</v>
      </c>
      <c r="W116" s="81" t="s">
        <v>114</v>
      </c>
      <c r="Y116" s="81" t="s">
        <v>115</v>
      </c>
      <c r="Z116" s="81" t="s">
        <v>310</v>
      </c>
      <c r="AA116" s="81" t="s">
        <v>117</v>
      </c>
      <c r="AB116" s="81" t="s">
        <v>102</v>
      </c>
      <c r="AC116" s="166">
        <v>1.00000004749745E-3</v>
      </c>
      <c r="AD116" s="349">
        <v>42522</v>
      </c>
      <c r="AF116" s="349">
        <v>42885</v>
      </c>
      <c r="AG116" s="81" t="s">
        <v>238</v>
      </c>
      <c r="AH116" s="81" t="s">
        <v>118</v>
      </c>
      <c r="AK116" s="166">
        <v>0</v>
      </c>
      <c r="AM116" s="166">
        <v>0</v>
      </c>
      <c r="AO116" s="166">
        <v>0</v>
      </c>
      <c r="AP116" s="166">
        <v>1</v>
      </c>
      <c r="AQ116" s="166">
        <v>0</v>
      </c>
      <c r="AR116" s="166">
        <v>0</v>
      </c>
      <c r="AS116" s="166">
        <v>0</v>
      </c>
      <c r="AT116" s="166">
        <v>0</v>
      </c>
      <c r="AU116" s="166">
        <v>0</v>
      </c>
      <c r="AV116" s="166">
        <v>0</v>
      </c>
      <c r="AW116" s="166">
        <v>1</v>
      </c>
      <c r="AX116" s="166">
        <v>0</v>
      </c>
      <c r="AY116" s="166">
        <v>0</v>
      </c>
      <c r="AZ116" s="166">
        <v>0</v>
      </c>
      <c r="BA116" s="166">
        <v>0</v>
      </c>
      <c r="BB116" s="166">
        <v>0</v>
      </c>
      <c r="BC116" s="166">
        <v>0</v>
      </c>
      <c r="BD116" s="166">
        <v>0</v>
      </c>
      <c r="BE116" s="166">
        <v>0</v>
      </c>
      <c r="BF116" s="166">
        <v>0</v>
      </c>
      <c r="BG116" s="166">
        <v>0</v>
      </c>
      <c r="BH116" s="166">
        <v>0</v>
      </c>
      <c r="BI116" s="166">
        <v>0</v>
      </c>
      <c r="BJ116" s="166">
        <v>0</v>
      </c>
      <c r="BK116" s="166">
        <v>0</v>
      </c>
      <c r="BL116" s="166">
        <v>0</v>
      </c>
      <c r="BM116" s="166">
        <v>0</v>
      </c>
      <c r="BN116" s="166">
        <v>0</v>
      </c>
      <c r="BO116" s="166">
        <v>0</v>
      </c>
      <c r="BP116" s="166">
        <v>0</v>
      </c>
      <c r="BQ116" s="81" t="s">
        <v>1757</v>
      </c>
      <c r="BR116" s="81" t="s">
        <v>247</v>
      </c>
      <c r="BZ116" s="81" t="s">
        <v>155</v>
      </c>
      <c r="CA116" s="81">
        <v>7</v>
      </c>
      <c r="CC116" s="167">
        <f>N116</f>
        <v>1</v>
      </c>
      <c r="CD116" s="167">
        <v>0</v>
      </c>
      <c r="CE116" s="167">
        <v>0</v>
      </c>
      <c r="CF116" s="167">
        <v>0</v>
      </c>
      <c r="CG116" s="167">
        <v>0</v>
      </c>
      <c r="CH116" s="167">
        <v>0</v>
      </c>
      <c r="CI116" s="167">
        <v>0</v>
      </c>
      <c r="CJ116" s="167">
        <v>0</v>
      </c>
      <c r="CK116" s="167">
        <v>0</v>
      </c>
      <c r="CL116" s="167">
        <v>0</v>
      </c>
      <c r="CM116" s="167">
        <v>0</v>
      </c>
      <c r="CN116" s="167">
        <v>0</v>
      </c>
      <c r="CO116" s="167">
        <v>0</v>
      </c>
      <c r="CP116" s="167">
        <v>0</v>
      </c>
      <c r="CQ116" s="167">
        <v>0</v>
      </c>
      <c r="CR116" s="167">
        <v>0</v>
      </c>
      <c r="CS116" s="167">
        <v>0</v>
      </c>
      <c r="CT116" s="167">
        <v>0</v>
      </c>
      <c r="CU116" s="167">
        <v>0</v>
      </c>
      <c r="CV116" s="167">
        <v>0</v>
      </c>
      <c r="CW116" s="167">
        <v>0</v>
      </c>
      <c r="CX116" s="167">
        <f>SUM(CD116:CH116)</f>
        <v>0</v>
      </c>
      <c r="CY116" s="167">
        <f>SUM(CD116:CM116)</f>
        <v>0</v>
      </c>
    </row>
    <row r="117" spans="1:103" ht="12.75" customHeight="1" x14ac:dyDescent="0.2">
      <c r="A117" s="81">
        <v>5843</v>
      </c>
      <c r="B117" s="165" t="s">
        <v>1924</v>
      </c>
      <c r="C117" s="165" t="s">
        <v>421</v>
      </c>
      <c r="E117" s="165" t="s">
        <v>3166</v>
      </c>
      <c r="G117" s="81">
        <v>528907</v>
      </c>
      <c r="H117" s="81">
        <v>173296</v>
      </c>
      <c r="I117" s="165" t="s">
        <v>247</v>
      </c>
      <c r="J117" s="349">
        <v>42041</v>
      </c>
      <c r="K117" s="349">
        <v>42838</v>
      </c>
      <c r="L117" s="166">
        <v>1</v>
      </c>
      <c r="M117" s="166">
        <v>3</v>
      </c>
      <c r="N117" s="166">
        <v>2</v>
      </c>
      <c r="O117" s="166">
        <v>3</v>
      </c>
      <c r="P117" s="166">
        <v>2</v>
      </c>
      <c r="R117" s="165" t="s">
        <v>495</v>
      </c>
      <c r="S117" s="81" t="s">
        <v>113</v>
      </c>
      <c r="T117" s="349">
        <v>42031</v>
      </c>
      <c r="U117" s="349">
        <v>42107</v>
      </c>
      <c r="W117" s="81" t="s">
        <v>114</v>
      </c>
      <c r="Y117" s="81" t="s">
        <v>115</v>
      </c>
      <c r="Z117" s="81" t="s">
        <v>119</v>
      </c>
      <c r="AA117" s="81" t="s">
        <v>117</v>
      </c>
      <c r="AB117" s="81" t="s">
        <v>120</v>
      </c>
      <c r="AC117" s="166">
        <v>1.7000000923872001E-2</v>
      </c>
      <c r="AD117" s="349">
        <v>42041</v>
      </c>
      <c r="AF117" s="349">
        <v>42838</v>
      </c>
      <c r="AG117" s="81" t="s">
        <v>238</v>
      </c>
      <c r="AH117" s="81" t="s">
        <v>118</v>
      </c>
      <c r="AK117" s="166">
        <v>0</v>
      </c>
      <c r="AM117" s="166">
        <v>0</v>
      </c>
      <c r="AO117" s="166">
        <v>0</v>
      </c>
      <c r="AP117" s="166">
        <v>2</v>
      </c>
      <c r="AQ117" s="166">
        <v>0</v>
      </c>
      <c r="AR117" s="166">
        <v>1</v>
      </c>
      <c r="AS117" s="166">
        <v>0</v>
      </c>
      <c r="AT117" s="166">
        <v>-1</v>
      </c>
      <c r="AU117" s="166">
        <v>0</v>
      </c>
      <c r="AV117" s="166">
        <v>0</v>
      </c>
      <c r="AW117" s="166">
        <v>2</v>
      </c>
      <c r="AX117" s="166">
        <v>0</v>
      </c>
      <c r="AY117" s="166">
        <v>1</v>
      </c>
      <c r="AZ117" s="166">
        <v>0</v>
      </c>
      <c r="BA117" s="166">
        <v>0</v>
      </c>
      <c r="BB117" s="166">
        <v>0</v>
      </c>
      <c r="BC117" s="166">
        <v>0</v>
      </c>
      <c r="BD117" s="166">
        <v>0</v>
      </c>
      <c r="BE117" s="166">
        <v>0</v>
      </c>
      <c r="BF117" s="166">
        <v>0</v>
      </c>
      <c r="BG117" s="166">
        <v>0</v>
      </c>
      <c r="BH117" s="166">
        <v>-1</v>
      </c>
      <c r="BI117" s="166">
        <v>0</v>
      </c>
      <c r="BJ117" s="166">
        <v>0</v>
      </c>
      <c r="BK117" s="166">
        <v>0</v>
      </c>
      <c r="BL117" s="166">
        <v>0</v>
      </c>
      <c r="BM117" s="166">
        <v>0</v>
      </c>
      <c r="BN117" s="166">
        <v>0</v>
      </c>
      <c r="BO117" s="166">
        <v>0</v>
      </c>
      <c r="BP117" s="166">
        <v>0</v>
      </c>
      <c r="BQ117" s="81" t="s">
        <v>1757</v>
      </c>
      <c r="BZ117" s="81" t="s">
        <v>155</v>
      </c>
      <c r="CA117" s="81">
        <v>7</v>
      </c>
      <c r="CC117" s="167">
        <f>N117</f>
        <v>2</v>
      </c>
      <c r="CD117" s="167">
        <v>0</v>
      </c>
      <c r="CE117" s="167">
        <v>0</v>
      </c>
      <c r="CF117" s="167">
        <v>0</v>
      </c>
      <c r="CG117" s="167">
        <v>0</v>
      </c>
      <c r="CH117" s="167">
        <v>0</v>
      </c>
      <c r="CI117" s="167">
        <v>0</v>
      </c>
      <c r="CJ117" s="167">
        <v>0</v>
      </c>
      <c r="CK117" s="167">
        <v>0</v>
      </c>
      <c r="CL117" s="167">
        <v>0</v>
      </c>
      <c r="CM117" s="167">
        <v>0</v>
      </c>
      <c r="CN117" s="167">
        <v>0</v>
      </c>
      <c r="CO117" s="167">
        <v>0</v>
      </c>
      <c r="CP117" s="167">
        <v>0</v>
      </c>
      <c r="CQ117" s="167">
        <v>0</v>
      </c>
      <c r="CR117" s="167">
        <v>0</v>
      </c>
      <c r="CS117" s="167">
        <v>0</v>
      </c>
      <c r="CT117" s="167">
        <v>0</v>
      </c>
      <c r="CU117" s="167">
        <v>0</v>
      </c>
      <c r="CV117" s="167">
        <v>0</v>
      </c>
      <c r="CW117" s="167">
        <v>0</v>
      </c>
      <c r="CX117" s="167">
        <f>SUM(CD117:CH117)</f>
        <v>0</v>
      </c>
      <c r="CY117" s="167">
        <f>SUM(CD117:CM117)</f>
        <v>0</v>
      </c>
    </row>
    <row r="118" spans="1:103" ht="12.75" customHeight="1" x14ac:dyDescent="0.2">
      <c r="A118" s="81">
        <v>5848</v>
      </c>
      <c r="B118" s="165" t="s">
        <v>1924</v>
      </c>
      <c r="C118" s="165" t="s">
        <v>370</v>
      </c>
      <c r="E118" s="165" t="s">
        <v>3167</v>
      </c>
      <c r="G118" s="81">
        <v>525374</v>
      </c>
      <c r="H118" s="81">
        <v>172805</v>
      </c>
      <c r="I118" s="165" t="s">
        <v>258</v>
      </c>
      <c r="J118" s="349">
        <v>42283</v>
      </c>
      <c r="K118" s="349">
        <v>43159</v>
      </c>
      <c r="L118" s="166">
        <v>0</v>
      </c>
      <c r="M118" s="166">
        <v>9</v>
      </c>
      <c r="N118" s="166">
        <v>9</v>
      </c>
      <c r="O118" s="166">
        <v>9</v>
      </c>
      <c r="P118" s="166">
        <v>9</v>
      </c>
      <c r="R118" s="165" t="s">
        <v>493</v>
      </c>
      <c r="S118" s="81" t="s">
        <v>113</v>
      </c>
      <c r="T118" s="349">
        <v>42010</v>
      </c>
      <c r="U118" s="349">
        <v>42116</v>
      </c>
      <c r="W118" s="81" t="s">
        <v>114</v>
      </c>
      <c r="Y118" s="81" t="s">
        <v>115</v>
      </c>
      <c r="Z118" s="81" t="s">
        <v>116</v>
      </c>
      <c r="AA118" s="81" t="s">
        <v>117</v>
      </c>
      <c r="AB118" s="81" t="s">
        <v>218</v>
      </c>
      <c r="AC118" s="166">
        <v>6.1000000685453401E-2</v>
      </c>
      <c r="AD118" s="349">
        <v>42283</v>
      </c>
      <c r="AF118" s="349">
        <v>43159</v>
      </c>
      <c r="AG118" s="81" t="s">
        <v>238</v>
      </c>
      <c r="AH118" s="81" t="s">
        <v>118</v>
      </c>
      <c r="AK118" s="166">
        <v>9</v>
      </c>
      <c r="AM118" s="166">
        <v>0</v>
      </c>
      <c r="AO118" s="166">
        <v>0</v>
      </c>
      <c r="AP118" s="166">
        <v>0</v>
      </c>
      <c r="AQ118" s="166">
        <v>2</v>
      </c>
      <c r="AR118" s="166">
        <v>7</v>
      </c>
      <c r="AS118" s="166">
        <v>0</v>
      </c>
      <c r="AT118" s="166">
        <v>0</v>
      </c>
      <c r="AU118" s="166">
        <v>0</v>
      </c>
      <c r="AV118" s="166">
        <v>0</v>
      </c>
      <c r="AW118" s="166">
        <v>0</v>
      </c>
      <c r="AX118" s="166">
        <v>2</v>
      </c>
      <c r="AY118" s="166">
        <v>7</v>
      </c>
      <c r="AZ118" s="166">
        <v>0</v>
      </c>
      <c r="BA118" s="166">
        <v>0</v>
      </c>
      <c r="BB118" s="166">
        <v>0</v>
      </c>
      <c r="BC118" s="166">
        <v>0</v>
      </c>
      <c r="BD118" s="166">
        <v>0</v>
      </c>
      <c r="BE118" s="166">
        <v>0</v>
      </c>
      <c r="BF118" s="166">
        <v>0</v>
      </c>
      <c r="BG118" s="166">
        <v>0</v>
      </c>
      <c r="BH118" s="166">
        <v>0</v>
      </c>
      <c r="BI118" s="166">
        <v>0</v>
      </c>
      <c r="BJ118" s="166">
        <v>0</v>
      </c>
      <c r="BK118" s="166">
        <v>0</v>
      </c>
      <c r="BL118" s="166">
        <v>0</v>
      </c>
      <c r="BM118" s="166">
        <v>0</v>
      </c>
      <c r="BN118" s="166">
        <v>0</v>
      </c>
      <c r="BO118" s="166">
        <v>0</v>
      </c>
      <c r="BP118" s="166">
        <v>0</v>
      </c>
      <c r="BQ118" s="81" t="s">
        <v>1758</v>
      </c>
      <c r="BY118" s="81" t="s">
        <v>155</v>
      </c>
      <c r="BZ118" s="81" t="s">
        <v>155</v>
      </c>
      <c r="CA118" s="81">
        <v>1</v>
      </c>
      <c r="CC118" s="167">
        <f>N118</f>
        <v>9</v>
      </c>
      <c r="CD118" s="167">
        <v>0</v>
      </c>
      <c r="CE118" s="167">
        <v>0</v>
      </c>
      <c r="CF118" s="167">
        <v>0</v>
      </c>
      <c r="CG118" s="167">
        <v>0</v>
      </c>
      <c r="CH118" s="167">
        <v>0</v>
      </c>
      <c r="CI118" s="167">
        <v>0</v>
      </c>
      <c r="CJ118" s="167">
        <v>0</v>
      </c>
      <c r="CK118" s="167">
        <v>0</v>
      </c>
      <c r="CL118" s="167">
        <v>0</v>
      </c>
      <c r="CM118" s="167">
        <v>0</v>
      </c>
      <c r="CN118" s="167">
        <v>0</v>
      </c>
      <c r="CO118" s="167">
        <v>0</v>
      </c>
      <c r="CP118" s="167">
        <v>0</v>
      </c>
      <c r="CQ118" s="167">
        <v>0</v>
      </c>
      <c r="CR118" s="167">
        <v>0</v>
      </c>
      <c r="CS118" s="167">
        <v>0</v>
      </c>
      <c r="CT118" s="167">
        <v>0</v>
      </c>
      <c r="CU118" s="167">
        <v>0</v>
      </c>
      <c r="CV118" s="167">
        <v>0</v>
      </c>
      <c r="CW118" s="167">
        <v>0</v>
      </c>
      <c r="CX118" s="167">
        <f>SUM(CD118:CH118)</f>
        <v>0</v>
      </c>
      <c r="CY118" s="167">
        <f>SUM(CD118:CM118)</f>
        <v>0</v>
      </c>
    </row>
    <row r="119" spans="1:103" ht="12.75" customHeight="1" x14ac:dyDescent="0.2">
      <c r="A119" s="81">
        <v>5886</v>
      </c>
      <c r="B119" s="165" t="s">
        <v>1924</v>
      </c>
      <c r="C119" s="165" t="s">
        <v>1487</v>
      </c>
      <c r="E119" s="165" t="s">
        <v>3168</v>
      </c>
      <c r="G119" s="81">
        <v>523460</v>
      </c>
      <c r="H119" s="81">
        <v>175163</v>
      </c>
      <c r="I119" s="165" t="s">
        <v>59</v>
      </c>
      <c r="J119" s="349">
        <v>42826</v>
      </c>
      <c r="K119" s="349">
        <v>42903</v>
      </c>
      <c r="L119" s="166">
        <v>2</v>
      </c>
      <c r="M119" s="166">
        <v>1</v>
      </c>
      <c r="N119" s="166">
        <v>-1</v>
      </c>
      <c r="O119" s="166">
        <v>1</v>
      </c>
      <c r="P119" s="166">
        <v>-1</v>
      </c>
      <c r="R119" s="165" t="s">
        <v>1488</v>
      </c>
      <c r="S119" s="81" t="s">
        <v>113</v>
      </c>
      <c r="T119" s="349">
        <v>42712</v>
      </c>
      <c r="U119" s="349">
        <v>42768</v>
      </c>
      <c r="W119" s="81" t="s">
        <v>114</v>
      </c>
      <c r="Y119" s="81" t="s">
        <v>115</v>
      </c>
      <c r="Z119" s="81" t="s">
        <v>119</v>
      </c>
      <c r="AA119" s="81" t="s">
        <v>117</v>
      </c>
      <c r="AB119" s="81" t="s">
        <v>300</v>
      </c>
      <c r="AC119" s="166">
        <v>1.2000000104308101E-2</v>
      </c>
      <c r="AD119" s="349">
        <v>42826</v>
      </c>
      <c r="AE119" s="81" t="s">
        <v>155</v>
      </c>
      <c r="AF119" s="349">
        <v>42903</v>
      </c>
      <c r="AG119" s="81" t="s">
        <v>238</v>
      </c>
      <c r="AH119" s="81" t="s">
        <v>118</v>
      </c>
      <c r="AK119" s="166">
        <v>0</v>
      </c>
      <c r="AM119" s="166">
        <v>0</v>
      </c>
      <c r="AO119" s="166">
        <v>0</v>
      </c>
      <c r="AP119" s="166">
        <v>-1</v>
      </c>
      <c r="AQ119" s="166">
        <v>0</v>
      </c>
      <c r="AR119" s="166">
        <v>0</v>
      </c>
      <c r="AS119" s="166">
        <v>0</v>
      </c>
      <c r="AT119" s="166">
        <v>0</v>
      </c>
      <c r="AU119" s="166">
        <v>0</v>
      </c>
      <c r="AV119" s="166">
        <v>0</v>
      </c>
      <c r="AW119" s="166">
        <v>-1</v>
      </c>
      <c r="AX119" s="166">
        <v>0</v>
      </c>
      <c r="AY119" s="166">
        <v>0</v>
      </c>
      <c r="AZ119" s="166">
        <v>0</v>
      </c>
      <c r="BA119" s="166">
        <v>0</v>
      </c>
      <c r="BB119" s="166">
        <v>0</v>
      </c>
      <c r="BC119" s="166">
        <v>0</v>
      </c>
      <c r="BD119" s="166">
        <v>0</v>
      </c>
      <c r="BE119" s="166">
        <v>0</v>
      </c>
      <c r="BF119" s="166">
        <v>0</v>
      </c>
      <c r="BG119" s="166">
        <v>0</v>
      </c>
      <c r="BH119" s="166">
        <v>0</v>
      </c>
      <c r="BI119" s="166">
        <v>0</v>
      </c>
      <c r="BJ119" s="166">
        <v>0</v>
      </c>
      <c r="BK119" s="166">
        <v>0</v>
      </c>
      <c r="BL119" s="166">
        <v>0</v>
      </c>
      <c r="BM119" s="166">
        <v>0</v>
      </c>
      <c r="BN119" s="166">
        <v>0</v>
      </c>
      <c r="BO119" s="166">
        <v>0</v>
      </c>
      <c r="BP119" s="166">
        <v>0</v>
      </c>
      <c r="BQ119" s="81" t="s">
        <v>1758</v>
      </c>
      <c r="BZ119" s="81" t="s">
        <v>155</v>
      </c>
      <c r="CA119" s="81">
        <v>7</v>
      </c>
      <c r="CC119" s="167">
        <f>N119</f>
        <v>-1</v>
      </c>
      <c r="CD119" s="167">
        <v>0</v>
      </c>
      <c r="CE119" s="167">
        <v>0</v>
      </c>
      <c r="CF119" s="167">
        <v>0</v>
      </c>
      <c r="CG119" s="167">
        <v>0</v>
      </c>
      <c r="CH119" s="167">
        <v>0</v>
      </c>
      <c r="CI119" s="167">
        <v>0</v>
      </c>
      <c r="CJ119" s="167">
        <v>0</v>
      </c>
      <c r="CK119" s="167">
        <v>0</v>
      </c>
      <c r="CL119" s="167">
        <v>0</v>
      </c>
      <c r="CM119" s="167">
        <v>0</v>
      </c>
      <c r="CN119" s="167">
        <v>0</v>
      </c>
      <c r="CO119" s="167">
        <v>0</v>
      </c>
      <c r="CP119" s="167">
        <v>0</v>
      </c>
      <c r="CQ119" s="167">
        <v>0</v>
      </c>
      <c r="CR119" s="167">
        <v>0</v>
      </c>
      <c r="CS119" s="167">
        <v>0</v>
      </c>
      <c r="CT119" s="167">
        <v>0</v>
      </c>
      <c r="CU119" s="167">
        <v>0</v>
      </c>
      <c r="CV119" s="167">
        <v>0</v>
      </c>
      <c r="CW119" s="167">
        <v>0</v>
      </c>
      <c r="CX119" s="167">
        <f>SUM(CD119:CH119)</f>
        <v>0</v>
      </c>
      <c r="CY119" s="167">
        <f>SUM(CD119:CM119)</f>
        <v>0</v>
      </c>
    </row>
    <row r="120" spans="1:103" ht="12.75" customHeight="1" x14ac:dyDescent="0.2">
      <c r="A120" s="81">
        <v>5930</v>
      </c>
      <c r="B120" s="165" t="s">
        <v>1924</v>
      </c>
      <c r="C120" s="165" t="s">
        <v>519</v>
      </c>
      <c r="E120" s="165" t="s">
        <v>3169</v>
      </c>
      <c r="G120" s="81">
        <v>526145</v>
      </c>
      <c r="H120" s="81">
        <v>172581</v>
      </c>
      <c r="I120" s="165" t="s">
        <v>249</v>
      </c>
      <c r="J120" s="349">
        <v>42326</v>
      </c>
      <c r="K120" s="349">
        <v>43189</v>
      </c>
      <c r="L120" s="166">
        <v>0</v>
      </c>
      <c r="M120" s="166">
        <v>4</v>
      </c>
      <c r="N120" s="166">
        <v>4</v>
      </c>
      <c r="O120" s="166">
        <v>4</v>
      </c>
      <c r="P120" s="166">
        <v>4</v>
      </c>
      <c r="R120" s="165" t="s">
        <v>760</v>
      </c>
      <c r="S120" s="81" t="s">
        <v>113</v>
      </c>
      <c r="T120" s="349">
        <v>42135</v>
      </c>
      <c r="U120" s="349">
        <v>42187</v>
      </c>
      <c r="W120" s="81" t="s">
        <v>114</v>
      </c>
      <c r="Y120" s="81" t="s">
        <v>115</v>
      </c>
      <c r="Z120" s="81" t="s">
        <v>398</v>
      </c>
      <c r="AA120" s="81" t="s">
        <v>117</v>
      </c>
      <c r="AB120" s="81" t="s">
        <v>218</v>
      </c>
      <c r="AC120" s="166">
        <v>2.3000000044703501E-2</v>
      </c>
      <c r="AD120" s="349">
        <v>42326</v>
      </c>
      <c r="AF120" s="349">
        <v>43189</v>
      </c>
      <c r="AG120" s="81" t="s">
        <v>238</v>
      </c>
      <c r="AH120" s="81" t="s">
        <v>118</v>
      </c>
      <c r="AK120" s="166">
        <v>0</v>
      </c>
      <c r="AM120" s="166">
        <v>0</v>
      </c>
      <c r="AO120" s="166">
        <v>0</v>
      </c>
      <c r="AP120" s="166">
        <v>2</v>
      </c>
      <c r="AQ120" s="166">
        <v>2</v>
      </c>
      <c r="AR120" s="166">
        <v>0</v>
      </c>
      <c r="AS120" s="166">
        <v>0</v>
      </c>
      <c r="AT120" s="166">
        <v>0</v>
      </c>
      <c r="AU120" s="166">
        <v>0</v>
      </c>
      <c r="AV120" s="166">
        <v>0</v>
      </c>
      <c r="AW120" s="166">
        <v>2</v>
      </c>
      <c r="AX120" s="166">
        <v>2</v>
      </c>
      <c r="AY120" s="166">
        <v>0</v>
      </c>
      <c r="AZ120" s="166">
        <v>0</v>
      </c>
      <c r="BA120" s="166">
        <v>0</v>
      </c>
      <c r="BB120" s="166">
        <v>0</v>
      </c>
      <c r="BC120" s="166">
        <v>0</v>
      </c>
      <c r="BD120" s="166">
        <v>0</v>
      </c>
      <c r="BE120" s="166">
        <v>0</v>
      </c>
      <c r="BF120" s="166">
        <v>0</v>
      </c>
      <c r="BG120" s="166">
        <v>0</v>
      </c>
      <c r="BH120" s="166">
        <v>0</v>
      </c>
      <c r="BI120" s="166">
        <v>0</v>
      </c>
      <c r="BJ120" s="166">
        <v>0</v>
      </c>
      <c r="BK120" s="166">
        <v>0</v>
      </c>
      <c r="BL120" s="166">
        <v>0</v>
      </c>
      <c r="BM120" s="166">
        <v>0</v>
      </c>
      <c r="BN120" s="166">
        <v>0</v>
      </c>
      <c r="BO120" s="166">
        <v>0</v>
      </c>
      <c r="BP120" s="166">
        <v>0</v>
      </c>
      <c r="BQ120" s="81" t="s">
        <v>1758</v>
      </c>
      <c r="BZ120" s="81" t="s">
        <v>155</v>
      </c>
      <c r="CA120" s="81">
        <v>7</v>
      </c>
      <c r="CC120" s="167">
        <f>N120</f>
        <v>4</v>
      </c>
      <c r="CD120" s="167">
        <v>0</v>
      </c>
      <c r="CE120" s="167">
        <v>0</v>
      </c>
      <c r="CF120" s="167">
        <v>0</v>
      </c>
      <c r="CG120" s="167">
        <v>0</v>
      </c>
      <c r="CH120" s="167">
        <v>0</v>
      </c>
      <c r="CI120" s="167">
        <v>0</v>
      </c>
      <c r="CJ120" s="167">
        <v>0</v>
      </c>
      <c r="CK120" s="167">
        <v>0</v>
      </c>
      <c r="CL120" s="167">
        <v>0</v>
      </c>
      <c r="CM120" s="167">
        <v>0</v>
      </c>
      <c r="CN120" s="167">
        <v>0</v>
      </c>
      <c r="CO120" s="167">
        <v>0</v>
      </c>
      <c r="CP120" s="167">
        <v>0</v>
      </c>
      <c r="CQ120" s="167">
        <v>0</v>
      </c>
      <c r="CR120" s="167">
        <v>0</v>
      </c>
      <c r="CS120" s="167">
        <v>0</v>
      </c>
      <c r="CT120" s="167">
        <v>0</v>
      </c>
      <c r="CU120" s="167">
        <v>0</v>
      </c>
      <c r="CV120" s="167">
        <v>0</v>
      </c>
      <c r="CW120" s="167">
        <v>0</v>
      </c>
      <c r="CX120" s="167">
        <f>SUM(CD120:CH120)</f>
        <v>0</v>
      </c>
      <c r="CY120" s="167">
        <f>SUM(CD120:CM120)</f>
        <v>0</v>
      </c>
    </row>
    <row r="121" spans="1:103" ht="12.75" customHeight="1" x14ac:dyDescent="0.2">
      <c r="A121" s="81">
        <v>5931</v>
      </c>
      <c r="B121" s="165" t="s">
        <v>1924</v>
      </c>
      <c r="C121" s="165" t="s">
        <v>550</v>
      </c>
      <c r="E121" s="165" t="s">
        <v>3170</v>
      </c>
      <c r="G121" s="81">
        <v>529306</v>
      </c>
      <c r="H121" s="81">
        <v>171047</v>
      </c>
      <c r="I121" s="165" t="s">
        <v>252</v>
      </c>
      <c r="J121" s="349">
        <v>42825</v>
      </c>
      <c r="K121" s="349">
        <v>43190</v>
      </c>
      <c r="L121" s="166">
        <v>0</v>
      </c>
      <c r="M121" s="166">
        <v>9</v>
      </c>
      <c r="N121" s="166">
        <v>9</v>
      </c>
      <c r="O121" s="166">
        <v>9</v>
      </c>
      <c r="P121" s="166">
        <v>9</v>
      </c>
      <c r="R121" s="165" t="s">
        <v>551</v>
      </c>
      <c r="S121" s="81" t="s">
        <v>113</v>
      </c>
      <c r="T121" s="349">
        <v>42109</v>
      </c>
      <c r="U121" s="349">
        <v>42230</v>
      </c>
      <c r="W121" s="81" t="s">
        <v>114</v>
      </c>
      <c r="Y121" s="81" t="s">
        <v>115</v>
      </c>
      <c r="Z121" s="81" t="s">
        <v>116</v>
      </c>
      <c r="AA121" s="81" t="s">
        <v>117</v>
      </c>
      <c r="AB121" s="81" t="s">
        <v>218</v>
      </c>
      <c r="AC121" s="166">
        <v>0.12600000202655801</v>
      </c>
      <c r="AD121" s="349">
        <v>42825</v>
      </c>
      <c r="AF121" s="349">
        <v>43190</v>
      </c>
      <c r="AG121" s="81" t="s">
        <v>238</v>
      </c>
      <c r="AH121" s="81" t="s">
        <v>118</v>
      </c>
      <c r="AK121" s="166">
        <v>9</v>
      </c>
      <c r="AM121" s="166">
        <v>0</v>
      </c>
      <c r="AO121" s="166">
        <v>0</v>
      </c>
      <c r="AP121" s="166">
        <v>0</v>
      </c>
      <c r="AQ121" s="166">
        <v>0</v>
      </c>
      <c r="AR121" s="166">
        <v>9</v>
      </c>
      <c r="AS121" s="166">
        <v>0</v>
      </c>
      <c r="AT121" s="166">
        <v>0</v>
      </c>
      <c r="AU121" s="166">
        <v>0</v>
      </c>
      <c r="AV121" s="166">
        <v>0</v>
      </c>
      <c r="AW121" s="166">
        <v>0</v>
      </c>
      <c r="AX121" s="166">
        <v>0</v>
      </c>
      <c r="AY121" s="166">
        <v>0</v>
      </c>
      <c r="AZ121" s="166">
        <v>0</v>
      </c>
      <c r="BA121" s="166">
        <v>0</v>
      </c>
      <c r="BB121" s="166">
        <v>0</v>
      </c>
      <c r="BC121" s="166">
        <v>0</v>
      </c>
      <c r="BD121" s="166">
        <v>0</v>
      </c>
      <c r="BE121" s="166">
        <v>0</v>
      </c>
      <c r="BF121" s="166">
        <v>9</v>
      </c>
      <c r="BG121" s="166">
        <v>0</v>
      </c>
      <c r="BH121" s="166">
        <v>0</v>
      </c>
      <c r="BI121" s="166">
        <v>0</v>
      </c>
      <c r="BJ121" s="166">
        <v>0</v>
      </c>
      <c r="BK121" s="166">
        <v>0</v>
      </c>
      <c r="BL121" s="166">
        <v>0</v>
      </c>
      <c r="BM121" s="166">
        <v>0</v>
      </c>
      <c r="BN121" s="166">
        <v>0</v>
      </c>
      <c r="BO121" s="166">
        <v>0</v>
      </c>
      <c r="BP121" s="166">
        <v>0</v>
      </c>
      <c r="BQ121" s="81" t="s">
        <v>1757</v>
      </c>
      <c r="BZ121" s="81" t="s">
        <v>155</v>
      </c>
      <c r="CA121" s="81">
        <v>1</v>
      </c>
      <c r="CC121" s="167">
        <f>N121</f>
        <v>9</v>
      </c>
      <c r="CD121" s="167">
        <v>0</v>
      </c>
      <c r="CE121" s="167">
        <v>0</v>
      </c>
      <c r="CF121" s="167">
        <v>0</v>
      </c>
      <c r="CG121" s="167">
        <v>0</v>
      </c>
      <c r="CH121" s="167">
        <v>0</v>
      </c>
      <c r="CI121" s="167">
        <v>0</v>
      </c>
      <c r="CJ121" s="167">
        <v>0</v>
      </c>
      <c r="CK121" s="167">
        <v>0</v>
      </c>
      <c r="CL121" s="167">
        <v>0</v>
      </c>
      <c r="CM121" s="167">
        <v>0</v>
      </c>
      <c r="CN121" s="167">
        <v>0</v>
      </c>
      <c r="CO121" s="167">
        <v>0</v>
      </c>
      <c r="CP121" s="167">
        <v>0</v>
      </c>
      <c r="CQ121" s="167">
        <v>0</v>
      </c>
      <c r="CR121" s="167">
        <v>0</v>
      </c>
      <c r="CS121" s="167">
        <v>0</v>
      </c>
      <c r="CT121" s="167">
        <v>0</v>
      </c>
      <c r="CU121" s="167">
        <v>0</v>
      </c>
      <c r="CV121" s="167">
        <v>0</v>
      </c>
      <c r="CW121" s="167">
        <v>0</v>
      </c>
      <c r="CX121" s="167">
        <f>SUM(CD121:CH121)</f>
        <v>0</v>
      </c>
      <c r="CY121" s="167">
        <f>SUM(CD121:CM121)</f>
        <v>0</v>
      </c>
    </row>
    <row r="122" spans="1:103" ht="12.75" customHeight="1" x14ac:dyDescent="0.2">
      <c r="A122" s="81">
        <v>5933</v>
      </c>
      <c r="B122" s="165" t="s">
        <v>1924</v>
      </c>
      <c r="C122" s="165" t="s">
        <v>557</v>
      </c>
      <c r="E122" s="165" t="s">
        <v>3171</v>
      </c>
      <c r="G122" s="81">
        <v>527226</v>
      </c>
      <c r="H122" s="81">
        <v>175356</v>
      </c>
      <c r="I122" s="165" t="s">
        <v>255</v>
      </c>
      <c r="J122" s="349">
        <v>42254</v>
      </c>
      <c r="K122" s="349">
        <v>42844</v>
      </c>
      <c r="L122" s="166">
        <v>0</v>
      </c>
      <c r="M122" s="166">
        <v>1</v>
      </c>
      <c r="N122" s="166">
        <v>1</v>
      </c>
      <c r="O122" s="166">
        <v>1</v>
      </c>
      <c r="P122" s="166">
        <v>1</v>
      </c>
      <c r="R122" s="165" t="s">
        <v>558</v>
      </c>
      <c r="S122" s="81" t="s">
        <v>110</v>
      </c>
      <c r="T122" s="349">
        <v>42117</v>
      </c>
      <c r="U122" s="349">
        <v>42173</v>
      </c>
      <c r="W122" s="81" t="s">
        <v>114</v>
      </c>
      <c r="Y122" s="81" t="s">
        <v>115</v>
      </c>
      <c r="Z122" s="81" t="s">
        <v>310</v>
      </c>
      <c r="AA122" s="81" t="s">
        <v>117</v>
      </c>
      <c r="AB122" s="81" t="s">
        <v>399</v>
      </c>
      <c r="AC122" s="166">
        <v>4.9999998882412902E-3</v>
      </c>
      <c r="AD122" s="349">
        <v>42254</v>
      </c>
      <c r="AF122" s="349">
        <v>42844</v>
      </c>
      <c r="AG122" s="81" t="s">
        <v>238</v>
      </c>
      <c r="AH122" s="81" t="s">
        <v>118</v>
      </c>
      <c r="AK122" s="166">
        <v>0</v>
      </c>
      <c r="AM122" s="166">
        <v>0</v>
      </c>
      <c r="AO122" s="166">
        <v>0</v>
      </c>
      <c r="AP122" s="166">
        <v>1</v>
      </c>
      <c r="AQ122" s="166">
        <v>0</v>
      </c>
      <c r="AR122" s="166">
        <v>0</v>
      </c>
      <c r="AS122" s="166">
        <v>0</v>
      </c>
      <c r="AT122" s="166">
        <v>0</v>
      </c>
      <c r="AU122" s="166">
        <v>0</v>
      </c>
      <c r="AV122" s="166">
        <v>0</v>
      </c>
      <c r="AW122" s="166">
        <v>1</v>
      </c>
      <c r="AX122" s="166">
        <v>0</v>
      </c>
      <c r="AY122" s="166">
        <v>0</v>
      </c>
      <c r="AZ122" s="166">
        <v>0</v>
      </c>
      <c r="BA122" s="166">
        <v>0</v>
      </c>
      <c r="BB122" s="166">
        <v>0</v>
      </c>
      <c r="BC122" s="166">
        <v>0</v>
      </c>
      <c r="BD122" s="166">
        <v>0</v>
      </c>
      <c r="BE122" s="166">
        <v>0</v>
      </c>
      <c r="BF122" s="166">
        <v>0</v>
      </c>
      <c r="BG122" s="166">
        <v>0</v>
      </c>
      <c r="BH122" s="166">
        <v>0</v>
      </c>
      <c r="BI122" s="166">
        <v>0</v>
      </c>
      <c r="BJ122" s="166">
        <v>0</v>
      </c>
      <c r="BK122" s="166">
        <v>0</v>
      </c>
      <c r="BL122" s="166">
        <v>0</v>
      </c>
      <c r="BM122" s="166">
        <v>0</v>
      </c>
      <c r="BN122" s="166">
        <v>0</v>
      </c>
      <c r="BO122" s="166">
        <v>0</v>
      </c>
      <c r="BP122" s="166">
        <v>0</v>
      </c>
      <c r="BQ122" s="81" t="s">
        <v>1757</v>
      </c>
      <c r="BR122" s="81" t="s">
        <v>160</v>
      </c>
      <c r="BZ122" s="81" t="s">
        <v>155</v>
      </c>
      <c r="CA122" s="81">
        <v>7</v>
      </c>
      <c r="CC122" s="167">
        <f>N122</f>
        <v>1</v>
      </c>
      <c r="CD122" s="167">
        <v>0</v>
      </c>
      <c r="CE122" s="167">
        <v>0</v>
      </c>
      <c r="CF122" s="167">
        <v>0</v>
      </c>
      <c r="CG122" s="167">
        <v>0</v>
      </c>
      <c r="CH122" s="167">
        <v>0</v>
      </c>
      <c r="CI122" s="167">
        <v>0</v>
      </c>
      <c r="CJ122" s="167">
        <v>0</v>
      </c>
      <c r="CK122" s="167">
        <v>0</v>
      </c>
      <c r="CL122" s="167">
        <v>0</v>
      </c>
      <c r="CM122" s="167">
        <v>0</v>
      </c>
      <c r="CN122" s="167">
        <v>0</v>
      </c>
      <c r="CO122" s="167">
        <v>0</v>
      </c>
      <c r="CP122" s="167">
        <v>0</v>
      </c>
      <c r="CQ122" s="167">
        <v>0</v>
      </c>
      <c r="CR122" s="167">
        <v>0</v>
      </c>
      <c r="CS122" s="167">
        <v>0</v>
      </c>
      <c r="CT122" s="167">
        <v>0</v>
      </c>
      <c r="CU122" s="167">
        <v>0</v>
      </c>
      <c r="CV122" s="167">
        <v>0</v>
      </c>
      <c r="CW122" s="167">
        <v>0</v>
      </c>
      <c r="CX122" s="167">
        <f>SUM(CD122:CH122)</f>
        <v>0</v>
      </c>
      <c r="CY122" s="167">
        <f>SUM(CD122:CM122)</f>
        <v>0</v>
      </c>
    </row>
    <row r="123" spans="1:103" ht="12.75" customHeight="1" x14ac:dyDescent="0.2">
      <c r="A123" s="81">
        <v>5933</v>
      </c>
      <c r="B123" s="165" t="s">
        <v>1924</v>
      </c>
      <c r="C123" s="165" t="s">
        <v>1692</v>
      </c>
      <c r="E123" s="165" t="s">
        <v>3171</v>
      </c>
      <c r="G123" s="81">
        <v>527226</v>
      </c>
      <c r="H123" s="81">
        <v>175356</v>
      </c>
      <c r="I123" s="165" t="s">
        <v>255</v>
      </c>
      <c r="J123" s="349">
        <v>42254</v>
      </c>
      <c r="K123" s="349">
        <v>42844</v>
      </c>
      <c r="L123" s="166">
        <v>0</v>
      </c>
      <c r="M123" s="166">
        <v>1</v>
      </c>
      <c r="N123" s="166">
        <v>1</v>
      </c>
      <c r="O123" s="166">
        <v>2</v>
      </c>
      <c r="P123" s="166">
        <v>2</v>
      </c>
      <c r="R123" s="165" t="s">
        <v>1693</v>
      </c>
      <c r="S123" s="81" t="s">
        <v>113</v>
      </c>
      <c r="T123" s="349">
        <v>42473</v>
      </c>
      <c r="U123" s="349">
        <v>42529</v>
      </c>
      <c r="W123" s="81" t="s">
        <v>114</v>
      </c>
      <c r="Y123" s="81" t="s">
        <v>115</v>
      </c>
      <c r="Z123" s="81" t="s">
        <v>398</v>
      </c>
      <c r="AA123" s="81" t="s">
        <v>117</v>
      </c>
      <c r="AB123" s="81" t="s">
        <v>102</v>
      </c>
      <c r="AC123" s="166">
        <v>4.9999998882412902E-3</v>
      </c>
      <c r="AD123" s="349">
        <v>42254</v>
      </c>
      <c r="AF123" s="349">
        <v>42844</v>
      </c>
      <c r="AG123" s="81" t="s">
        <v>238</v>
      </c>
      <c r="AH123" s="81" t="s">
        <v>118</v>
      </c>
      <c r="AK123" s="166">
        <v>0</v>
      </c>
      <c r="AM123" s="166">
        <v>0</v>
      </c>
      <c r="AO123" s="166">
        <v>1</v>
      </c>
      <c r="AP123" s="166">
        <v>0</v>
      </c>
      <c r="AQ123" s="166">
        <v>0</v>
      </c>
      <c r="AR123" s="166">
        <v>0</v>
      </c>
      <c r="AS123" s="166">
        <v>0</v>
      </c>
      <c r="AT123" s="166">
        <v>0</v>
      </c>
      <c r="AU123" s="166">
        <v>0</v>
      </c>
      <c r="AV123" s="166">
        <v>1</v>
      </c>
      <c r="AW123" s="166">
        <v>0</v>
      </c>
      <c r="AX123" s="166">
        <v>0</v>
      </c>
      <c r="AY123" s="166">
        <v>0</v>
      </c>
      <c r="AZ123" s="166">
        <v>0</v>
      </c>
      <c r="BA123" s="166">
        <v>0</v>
      </c>
      <c r="BB123" s="166">
        <v>0</v>
      </c>
      <c r="BC123" s="166">
        <v>0</v>
      </c>
      <c r="BD123" s="166">
        <v>0</v>
      </c>
      <c r="BE123" s="166">
        <v>0</v>
      </c>
      <c r="BF123" s="166">
        <v>0</v>
      </c>
      <c r="BG123" s="166">
        <v>0</v>
      </c>
      <c r="BH123" s="166">
        <v>0</v>
      </c>
      <c r="BI123" s="166">
        <v>0</v>
      </c>
      <c r="BJ123" s="166">
        <v>0</v>
      </c>
      <c r="BK123" s="166">
        <v>0</v>
      </c>
      <c r="BL123" s="166">
        <v>0</v>
      </c>
      <c r="BM123" s="166">
        <v>0</v>
      </c>
      <c r="BN123" s="166">
        <v>0</v>
      </c>
      <c r="BO123" s="166">
        <v>0</v>
      </c>
      <c r="BP123" s="166">
        <v>0</v>
      </c>
      <c r="BQ123" s="81" t="s">
        <v>1757</v>
      </c>
      <c r="BR123" s="81" t="s">
        <v>160</v>
      </c>
      <c r="BZ123" s="81" t="s">
        <v>155</v>
      </c>
      <c r="CA123" s="81">
        <v>7</v>
      </c>
      <c r="CC123" s="167">
        <f>N123</f>
        <v>1</v>
      </c>
      <c r="CD123" s="167">
        <v>0</v>
      </c>
      <c r="CE123" s="167">
        <v>0</v>
      </c>
      <c r="CF123" s="167">
        <v>0</v>
      </c>
      <c r="CG123" s="167">
        <v>0</v>
      </c>
      <c r="CH123" s="167">
        <v>0</v>
      </c>
      <c r="CI123" s="167">
        <v>0</v>
      </c>
      <c r="CJ123" s="167">
        <v>0</v>
      </c>
      <c r="CK123" s="167">
        <v>0</v>
      </c>
      <c r="CL123" s="167">
        <v>0</v>
      </c>
      <c r="CM123" s="167">
        <v>0</v>
      </c>
      <c r="CN123" s="167">
        <v>0</v>
      </c>
      <c r="CO123" s="167">
        <v>0</v>
      </c>
      <c r="CP123" s="167">
        <v>0</v>
      </c>
      <c r="CQ123" s="167">
        <v>0</v>
      </c>
      <c r="CR123" s="167">
        <v>0</v>
      </c>
      <c r="CS123" s="167">
        <v>0</v>
      </c>
      <c r="CT123" s="167">
        <v>0</v>
      </c>
      <c r="CU123" s="167">
        <v>0</v>
      </c>
      <c r="CV123" s="167">
        <v>0</v>
      </c>
      <c r="CW123" s="167">
        <v>0</v>
      </c>
      <c r="CX123" s="167">
        <f>SUM(CD123:CH123)</f>
        <v>0</v>
      </c>
      <c r="CY123" s="167">
        <f>SUM(CD123:CM123)</f>
        <v>0</v>
      </c>
    </row>
    <row r="124" spans="1:103" ht="12.75" customHeight="1" x14ac:dyDescent="0.2">
      <c r="A124" s="81">
        <v>5933</v>
      </c>
      <c r="B124" s="165" t="s">
        <v>1924</v>
      </c>
      <c r="C124" s="165" t="s">
        <v>1692</v>
      </c>
      <c r="E124" s="165" t="s">
        <v>3171</v>
      </c>
      <c r="G124" s="81">
        <v>527226</v>
      </c>
      <c r="H124" s="81">
        <v>175356</v>
      </c>
      <c r="I124" s="165" t="s">
        <v>255</v>
      </c>
      <c r="J124" s="349">
        <v>42254</v>
      </c>
      <c r="K124" s="349">
        <v>42844</v>
      </c>
      <c r="L124" s="166">
        <v>0</v>
      </c>
      <c r="M124" s="166">
        <v>1</v>
      </c>
      <c r="N124" s="166">
        <v>1</v>
      </c>
      <c r="O124" s="166">
        <v>2</v>
      </c>
      <c r="P124" s="166">
        <v>2</v>
      </c>
      <c r="R124" s="165" t="s">
        <v>1693</v>
      </c>
      <c r="S124" s="81" t="s">
        <v>113</v>
      </c>
      <c r="T124" s="349">
        <v>42473</v>
      </c>
      <c r="U124" s="349">
        <v>42529</v>
      </c>
      <c r="W124" s="81" t="s">
        <v>114</v>
      </c>
      <c r="Y124" s="81" t="s">
        <v>115</v>
      </c>
      <c r="Z124" s="81" t="s">
        <v>398</v>
      </c>
      <c r="AA124" s="81" t="s">
        <v>117</v>
      </c>
      <c r="AB124" s="81" t="s">
        <v>218</v>
      </c>
      <c r="AC124" s="166">
        <v>4.9999998882412902E-3</v>
      </c>
      <c r="AD124" s="349">
        <v>42254</v>
      </c>
      <c r="AF124" s="349">
        <v>42844</v>
      </c>
      <c r="AG124" s="81" t="s">
        <v>238</v>
      </c>
      <c r="AH124" s="81" t="s">
        <v>118</v>
      </c>
      <c r="AK124" s="166">
        <v>0</v>
      </c>
      <c r="AM124" s="166">
        <v>0</v>
      </c>
      <c r="AO124" s="166">
        <v>1</v>
      </c>
      <c r="AP124" s="166">
        <v>0</v>
      </c>
      <c r="AQ124" s="166">
        <v>0</v>
      </c>
      <c r="AR124" s="166">
        <v>0</v>
      </c>
      <c r="AS124" s="166">
        <v>0</v>
      </c>
      <c r="AT124" s="166">
        <v>0</v>
      </c>
      <c r="AU124" s="166">
        <v>0</v>
      </c>
      <c r="AV124" s="166">
        <v>1</v>
      </c>
      <c r="AW124" s="166">
        <v>0</v>
      </c>
      <c r="AX124" s="166">
        <v>0</v>
      </c>
      <c r="AY124" s="166">
        <v>0</v>
      </c>
      <c r="AZ124" s="166">
        <v>0</v>
      </c>
      <c r="BA124" s="166">
        <v>0</v>
      </c>
      <c r="BB124" s="166">
        <v>0</v>
      </c>
      <c r="BC124" s="166">
        <v>0</v>
      </c>
      <c r="BD124" s="166">
        <v>0</v>
      </c>
      <c r="BE124" s="166">
        <v>0</v>
      </c>
      <c r="BF124" s="166">
        <v>0</v>
      </c>
      <c r="BG124" s="166">
        <v>0</v>
      </c>
      <c r="BH124" s="166">
        <v>0</v>
      </c>
      <c r="BI124" s="166">
        <v>0</v>
      </c>
      <c r="BJ124" s="166">
        <v>0</v>
      </c>
      <c r="BK124" s="166">
        <v>0</v>
      </c>
      <c r="BL124" s="166">
        <v>0</v>
      </c>
      <c r="BM124" s="166">
        <v>0</v>
      </c>
      <c r="BN124" s="166">
        <v>0</v>
      </c>
      <c r="BO124" s="166">
        <v>0</v>
      </c>
      <c r="BP124" s="166">
        <v>0</v>
      </c>
      <c r="BQ124" s="81" t="s">
        <v>1757</v>
      </c>
      <c r="BR124" s="81" t="s">
        <v>160</v>
      </c>
      <c r="BZ124" s="81" t="s">
        <v>155</v>
      </c>
      <c r="CA124" s="81">
        <v>7</v>
      </c>
      <c r="CC124" s="167">
        <f>N124</f>
        <v>1</v>
      </c>
      <c r="CD124" s="167">
        <v>0</v>
      </c>
      <c r="CE124" s="167">
        <v>0</v>
      </c>
      <c r="CF124" s="167">
        <v>0</v>
      </c>
      <c r="CG124" s="167">
        <v>0</v>
      </c>
      <c r="CH124" s="167">
        <v>0</v>
      </c>
      <c r="CI124" s="167">
        <v>0</v>
      </c>
      <c r="CJ124" s="167">
        <v>0</v>
      </c>
      <c r="CK124" s="167">
        <v>0</v>
      </c>
      <c r="CL124" s="167">
        <v>0</v>
      </c>
      <c r="CM124" s="167">
        <v>0</v>
      </c>
      <c r="CN124" s="167">
        <v>0</v>
      </c>
      <c r="CO124" s="167">
        <v>0</v>
      </c>
      <c r="CP124" s="167">
        <v>0</v>
      </c>
      <c r="CQ124" s="167">
        <v>0</v>
      </c>
      <c r="CR124" s="167">
        <v>0</v>
      </c>
      <c r="CS124" s="167">
        <v>0</v>
      </c>
      <c r="CT124" s="167">
        <v>0</v>
      </c>
      <c r="CU124" s="167">
        <v>0</v>
      </c>
      <c r="CV124" s="167">
        <v>0</v>
      </c>
      <c r="CW124" s="167">
        <v>0</v>
      </c>
      <c r="CX124" s="167">
        <f>SUM(CD124:CH124)</f>
        <v>0</v>
      </c>
      <c r="CY124" s="167">
        <f>SUM(CD124:CM124)</f>
        <v>0</v>
      </c>
    </row>
    <row r="125" spans="1:103" ht="12.75" customHeight="1" x14ac:dyDescent="0.2">
      <c r="A125" s="81">
        <v>5941</v>
      </c>
      <c r="B125" s="165" t="s">
        <v>1924</v>
      </c>
      <c r="C125" s="165" t="s">
        <v>1003</v>
      </c>
      <c r="E125" s="165" t="s">
        <v>3172</v>
      </c>
      <c r="G125" s="81">
        <v>527877</v>
      </c>
      <c r="H125" s="81">
        <v>175208</v>
      </c>
      <c r="I125" s="165" t="s">
        <v>256</v>
      </c>
      <c r="J125" s="349">
        <v>42825</v>
      </c>
      <c r="K125" s="349">
        <v>43190</v>
      </c>
      <c r="L125" s="166">
        <v>1</v>
      </c>
      <c r="M125" s="166">
        <v>4</v>
      </c>
      <c r="N125" s="166">
        <v>3</v>
      </c>
      <c r="O125" s="166">
        <v>4</v>
      </c>
      <c r="P125" s="166">
        <v>3</v>
      </c>
      <c r="R125" s="165" t="s">
        <v>1004</v>
      </c>
      <c r="S125" s="81" t="s">
        <v>113</v>
      </c>
      <c r="T125" s="349">
        <v>42509</v>
      </c>
      <c r="U125" s="349">
        <v>42565</v>
      </c>
      <c r="W125" s="81" t="s">
        <v>114</v>
      </c>
      <c r="Y125" s="81" t="s">
        <v>115</v>
      </c>
      <c r="Z125" s="81" t="s">
        <v>398</v>
      </c>
      <c r="AA125" s="81" t="s">
        <v>117</v>
      </c>
      <c r="AB125" s="81" t="s">
        <v>120</v>
      </c>
      <c r="AC125" s="166">
        <v>2.5000000372528999E-2</v>
      </c>
      <c r="AD125" s="349">
        <v>42825</v>
      </c>
      <c r="AF125" s="349">
        <v>43190</v>
      </c>
      <c r="AG125" s="81" t="s">
        <v>238</v>
      </c>
      <c r="AH125" s="81" t="s">
        <v>118</v>
      </c>
      <c r="AK125" s="166">
        <v>0</v>
      </c>
      <c r="AM125" s="166">
        <v>0</v>
      </c>
      <c r="AO125" s="166">
        <v>0</v>
      </c>
      <c r="AP125" s="166">
        <v>1</v>
      </c>
      <c r="AQ125" s="166">
        <v>2</v>
      </c>
      <c r="AR125" s="166">
        <v>1</v>
      </c>
      <c r="AS125" s="166">
        <v>-1</v>
      </c>
      <c r="AT125" s="166">
        <v>0</v>
      </c>
      <c r="AU125" s="166">
        <v>0</v>
      </c>
      <c r="AV125" s="166">
        <v>0</v>
      </c>
      <c r="AW125" s="166">
        <v>1</v>
      </c>
      <c r="AX125" s="166">
        <v>2</v>
      </c>
      <c r="AY125" s="166">
        <v>1</v>
      </c>
      <c r="AZ125" s="166">
        <v>0</v>
      </c>
      <c r="BA125" s="166">
        <v>0</v>
      </c>
      <c r="BB125" s="166">
        <v>0</v>
      </c>
      <c r="BC125" s="166">
        <v>0</v>
      </c>
      <c r="BD125" s="166">
        <v>0</v>
      </c>
      <c r="BE125" s="166">
        <v>0</v>
      </c>
      <c r="BF125" s="166">
        <v>0</v>
      </c>
      <c r="BG125" s="166">
        <v>-1</v>
      </c>
      <c r="BH125" s="166">
        <v>0</v>
      </c>
      <c r="BI125" s="166">
        <v>0</v>
      </c>
      <c r="BJ125" s="166">
        <v>0</v>
      </c>
      <c r="BK125" s="166">
        <v>0</v>
      </c>
      <c r="BL125" s="166">
        <v>0</v>
      </c>
      <c r="BM125" s="166">
        <v>0</v>
      </c>
      <c r="BN125" s="166">
        <v>0</v>
      </c>
      <c r="BO125" s="166">
        <v>0</v>
      </c>
      <c r="BP125" s="166">
        <v>0</v>
      </c>
      <c r="BQ125" s="81" t="s">
        <v>1757</v>
      </c>
      <c r="BZ125" s="81" t="s">
        <v>155</v>
      </c>
      <c r="CA125" s="81">
        <v>7</v>
      </c>
      <c r="CC125" s="167">
        <f>N125</f>
        <v>3</v>
      </c>
      <c r="CD125" s="167">
        <v>0</v>
      </c>
      <c r="CE125" s="167">
        <v>0</v>
      </c>
      <c r="CF125" s="167">
        <v>0</v>
      </c>
      <c r="CG125" s="167">
        <v>0</v>
      </c>
      <c r="CH125" s="167">
        <v>0</v>
      </c>
      <c r="CI125" s="167">
        <v>0</v>
      </c>
      <c r="CJ125" s="167">
        <v>0</v>
      </c>
      <c r="CK125" s="167">
        <v>0</v>
      </c>
      <c r="CL125" s="167">
        <v>0</v>
      </c>
      <c r="CM125" s="167">
        <v>0</v>
      </c>
      <c r="CN125" s="167">
        <v>0</v>
      </c>
      <c r="CO125" s="167">
        <v>0</v>
      </c>
      <c r="CP125" s="167">
        <v>0</v>
      </c>
      <c r="CQ125" s="167">
        <v>0</v>
      </c>
      <c r="CR125" s="167">
        <v>0</v>
      </c>
      <c r="CS125" s="167">
        <v>0</v>
      </c>
      <c r="CT125" s="167">
        <v>0</v>
      </c>
      <c r="CU125" s="167">
        <v>0</v>
      </c>
      <c r="CV125" s="167">
        <v>0</v>
      </c>
      <c r="CW125" s="167">
        <v>0</v>
      </c>
      <c r="CX125" s="167">
        <f>SUM(CD125:CH125)</f>
        <v>0</v>
      </c>
      <c r="CY125" s="167">
        <f>SUM(CD125:CM125)</f>
        <v>0</v>
      </c>
    </row>
    <row r="126" spans="1:103" ht="12.75" customHeight="1" x14ac:dyDescent="0.2">
      <c r="A126" s="81">
        <v>5943</v>
      </c>
      <c r="B126" s="165" t="s">
        <v>1924</v>
      </c>
      <c r="C126" s="165" t="s">
        <v>554</v>
      </c>
      <c r="E126" s="165" t="s">
        <v>3173</v>
      </c>
      <c r="G126" s="81">
        <v>527832</v>
      </c>
      <c r="H126" s="81">
        <v>172523</v>
      </c>
      <c r="I126" s="165" t="s">
        <v>254</v>
      </c>
      <c r="J126" s="349">
        <v>42825</v>
      </c>
      <c r="K126" s="349">
        <v>43190</v>
      </c>
      <c r="L126" s="166">
        <v>0</v>
      </c>
      <c r="M126" s="166">
        <v>9</v>
      </c>
      <c r="N126" s="166">
        <v>9</v>
      </c>
      <c r="O126" s="166">
        <v>9</v>
      </c>
      <c r="P126" s="166">
        <v>9</v>
      </c>
      <c r="R126" s="165" t="s">
        <v>555</v>
      </c>
      <c r="S126" s="81" t="s">
        <v>113</v>
      </c>
      <c r="T126" s="349">
        <v>42114</v>
      </c>
      <c r="U126" s="349">
        <v>42206</v>
      </c>
      <c r="W126" s="81" t="s">
        <v>114</v>
      </c>
      <c r="Y126" s="81" t="s">
        <v>115</v>
      </c>
      <c r="Z126" s="81" t="s">
        <v>398</v>
      </c>
      <c r="AA126" s="81" t="s">
        <v>117</v>
      </c>
      <c r="AB126" s="81" t="s">
        <v>218</v>
      </c>
      <c r="AC126" s="166">
        <v>0.103000000119209</v>
      </c>
      <c r="AD126" s="349">
        <v>42825</v>
      </c>
      <c r="AF126" s="349">
        <v>43190</v>
      </c>
      <c r="AG126" s="81" t="s">
        <v>238</v>
      </c>
      <c r="AH126" s="81" t="s">
        <v>118</v>
      </c>
      <c r="AK126" s="166">
        <v>0</v>
      </c>
      <c r="AM126" s="166">
        <v>0</v>
      </c>
      <c r="AO126" s="166">
        <v>0</v>
      </c>
      <c r="AP126" s="166">
        <v>3</v>
      </c>
      <c r="AQ126" s="166">
        <v>6</v>
      </c>
      <c r="AR126" s="166">
        <v>0</v>
      </c>
      <c r="AS126" s="166">
        <v>0</v>
      </c>
      <c r="AT126" s="166">
        <v>0</v>
      </c>
      <c r="AU126" s="166">
        <v>0</v>
      </c>
      <c r="AV126" s="166">
        <v>0</v>
      </c>
      <c r="AW126" s="166">
        <v>3</v>
      </c>
      <c r="AX126" s="166">
        <v>6</v>
      </c>
      <c r="AY126" s="166">
        <v>0</v>
      </c>
      <c r="AZ126" s="166">
        <v>0</v>
      </c>
      <c r="BA126" s="166">
        <v>0</v>
      </c>
      <c r="BB126" s="166">
        <v>0</v>
      </c>
      <c r="BC126" s="166">
        <v>0</v>
      </c>
      <c r="BD126" s="166">
        <v>0</v>
      </c>
      <c r="BE126" s="166">
        <v>0</v>
      </c>
      <c r="BF126" s="166">
        <v>0</v>
      </c>
      <c r="BG126" s="166">
        <v>0</v>
      </c>
      <c r="BH126" s="166">
        <v>0</v>
      </c>
      <c r="BI126" s="166">
        <v>0</v>
      </c>
      <c r="BJ126" s="166">
        <v>0</v>
      </c>
      <c r="BK126" s="166">
        <v>0</v>
      </c>
      <c r="BL126" s="166">
        <v>0</v>
      </c>
      <c r="BM126" s="166">
        <v>0</v>
      </c>
      <c r="BN126" s="166">
        <v>0</v>
      </c>
      <c r="BO126" s="166">
        <v>0</v>
      </c>
      <c r="BP126" s="166">
        <v>0</v>
      </c>
      <c r="BQ126" s="81" t="s">
        <v>1757</v>
      </c>
      <c r="BZ126" s="81" t="s">
        <v>155</v>
      </c>
      <c r="CA126" s="81">
        <v>7</v>
      </c>
      <c r="CC126" s="167">
        <f>N126</f>
        <v>9</v>
      </c>
      <c r="CD126" s="167">
        <v>0</v>
      </c>
      <c r="CE126" s="167">
        <v>0</v>
      </c>
      <c r="CF126" s="167">
        <v>0</v>
      </c>
      <c r="CG126" s="167">
        <v>0</v>
      </c>
      <c r="CH126" s="167">
        <v>0</v>
      </c>
      <c r="CI126" s="167">
        <v>0</v>
      </c>
      <c r="CJ126" s="167">
        <v>0</v>
      </c>
      <c r="CK126" s="167">
        <v>0</v>
      </c>
      <c r="CL126" s="167">
        <v>0</v>
      </c>
      <c r="CM126" s="167">
        <v>0</v>
      </c>
      <c r="CN126" s="167">
        <v>0</v>
      </c>
      <c r="CO126" s="167">
        <v>0</v>
      </c>
      <c r="CP126" s="167">
        <v>0</v>
      </c>
      <c r="CQ126" s="167">
        <v>0</v>
      </c>
      <c r="CR126" s="167">
        <v>0</v>
      </c>
      <c r="CS126" s="167">
        <v>0</v>
      </c>
      <c r="CT126" s="167">
        <v>0</v>
      </c>
      <c r="CU126" s="167">
        <v>0</v>
      </c>
      <c r="CV126" s="167">
        <v>0</v>
      </c>
      <c r="CW126" s="167">
        <v>0</v>
      </c>
      <c r="CX126" s="167">
        <f>SUM(CD126:CH126)</f>
        <v>0</v>
      </c>
      <c r="CY126" s="167">
        <f>SUM(CD126:CM126)</f>
        <v>0</v>
      </c>
    </row>
    <row r="127" spans="1:103" ht="12.75" customHeight="1" x14ac:dyDescent="0.2">
      <c r="A127" s="81">
        <v>5946</v>
      </c>
      <c r="B127" s="165" t="s">
        <v>1924</v>
      </c>
      <c r="C127" s="165" t="s">
        <v>563</v>
      </c>
      <c r="E127" s="165" t="s">
        <v>3174</v>
      </c>
      <c r="G127" s="81">
        <v>528334</v>
      </c>
      <c r="H127" s="81">
        <v>175747</v>
      </c>
      <c r="I127" s="165" t="s">
        <v>256</v>
      </c>
      <c r="J127" s="349">
        <v>42825</v>
      </c>
      <c r="L127" s="166">
        <v>0</v>
      </c>
      <c r="M127" s="166">
        <v>1</v>
      </c>
      <c r="N127" s="166">
        <v>1</v>
      </c>
      <c r="O127" s="166">
        <v>3</v>
      </c>
      <c r="P127" s="166">
        <v>2</v>
      </c>
      <c r="R127" s="165" t="s">
        <v>911</v>
      </c>
      <c r="S127" s="81" t="s">
        <v>113</v>
      </c>
      <c r="T127" s="349">
        <v>42123</v>
      </c>
      <c r="U127" s="349">
        <v>42299</v>
      </c>
      <c r="W127" s="81" t="s">
        <v>114</v>
      </c>
      <c r="Y127" s="81" t="s">
        <v>115</v>
      </c>
      <c r="Z127" s="81" t="s">
        <v>398</v>
      </c>
      <c r="AA127" s="81" t="s">
        <v>117</v>
      </c>
      <c r="AB127" s="81" t="s">
        <v>102</v>
      </c>
      <c r="AC127" s="166">
        <v>0</v>
      </c>
      <c r="AD127" s="349">
        <v>42825</v>
      </c>
      <c r="AF127" s="349">
        <v>43157</v>
      </c>
      <c r="AG127" s="81" t="s">
        <v>238</v>
      </c>
      <c r="AH127" s="81" t="s">
        <v>118</v>
      </c>
      <c r="AK127" s="166">
        <v>0</v>
      </c>
      <c r="AM127" s="166">
        <v>0</v>
      </c>
      <c r="AO127" s="166">
        <v>0</v>
      </c>
      <c r="AP127" s="166">
        <v>0</v>
      </c>
      <c r="AQ127" s="166">
        <v>1</v>
      </c>
      <c r="AR127" s="166">
        <v>0</v>
      </c>
      <c r="AS127" s="166">
        <v>0</v>
      </c>
      <c r="AT127" s="166">
        <v>0</v>
      </c>
      <c r="AU127" s="166">
        <v>0</v>
      </c>
      <c r="AV127" s="166">
        <v>0</v>
      </c>
      <c r="AW127" s="166">
        <v>0</v>
      </c>
      <c r="AX127" s="166">
        <v>1</v>
      </c>
      <c r="AY127" s="166">
        <v>0</v>
      </c>
      <c r="AZ127" s="166">
        <v>0</v>
      </c>
      <c r="BA127" s="166">
        <v>0</v>
      </c>
      <c r="BB127" s="166">
        <v>0</v>
      </c>
      <c r="BC127" s="166">
        <v>0</v>
      </c>
      <c r="BD127" s="166">
        <v>0</v>
      </c>
      <c r="BE127" s="166">
        <v>0</v>
      </c>
      <c r="BF127" s="166">
        <v>0</v>
      </c>
      <c r="BG127" s="166">
        <v>0</v>
      </c>
      <c r="BH127" s="166">
        <v>0</v>
      </c>
      <c r="BI127" s="166">
        <v>0</v>
      </c>
      <c r="BJ127" s="166">
        <v>0</v>
      </c>
      <c r="BK127" s="166">
        <v>0</v>
      </c>
      <c r="BL127" s="166">
        <v>0</v>
      </c>
      <c r="BM127" s="166">
        <v>0</v>
      </c>
      <c r="BN127" s="166">
        <v>0</v>
      </c>
      <c r="BO127" s="166">
        <v>0</v>
      </c>
      <c r="BP127" s="166">
        <v>0</v>
      </c>
      <c r="BQ127" s="81" t="s">
        <v>1757</v>
      </c>
      <c r="BZ127" s="81" t="s">
        <v>155</v>
      </c>
      <c r="CA127" s="81">
        <v>7</v>
      </c>
      <c r="CC127" s="167">
        <f>N127</f>
        <v>1</v>
      </c>
      <c r="CD127" s="167">
        <v>0</v>
      </c>
      <c r="CE127" s="167">
        <v>0</v>
      </c>
      <c r="CF127" s="167">
        <v>0</v>
      </c>
      <c r="CG127" s="167">
        <v>0</v>
      </c>
      <c r="CH127" s="167">
        <v>0</v>
      </c>
      <c r="CI127" s="167">
        <v>0</v>
      </c>
      <c r="CJ127" s="167">
        <v>0</v>
      </c>
      <c r="CK127" s="167">
        <v>0</v>
      </c>
      <c r="CL127" s="167">
        <v>0</v>
      </c>
      <c r="CM127" s="167">
        <v>0</v>
      </c>
      <c r="CN127" s="167">
        <v>0</v>
      </c>
      <c r="CO127" s="167">
        <v>0</v>
      </c>
      <c r="CP127" s="167">
        <v>0</v>
      </c>
      <c r="CQ127" s="167">
        <v>0</v>
      </c>
      <c r="CR127" s="167">
        <v>0</v>
      </c>
      <c r="CS127" s="167">
        <v>0</v>
      </c>
      <c r="CT127" s="167">
        <v>0</v>
      </c>
      <c r="CU127" s="167">
        <v>0</v>
      </c>
      <c r="CV127" s="167">
        <v>0</v>
      </c>
      <c r="CW127" s="167">
        <v>0</v>
      </c>
      <c r="CX127" s="167">
        <f>SUM(CD127:CH127)</f>
        <v>0</v>
      </c>
      <c r="CY127" s="167">
        <f>SUM(CD127:CM127)</f>
        <v>0</v>
      </c>
    </row>
    <row r="128" spans="1:103" ht="12.75" customHeight="1" x14ac:dyDescent="0.2">
      <c r="A128" s="81">
        <v>5954</v>
      </c>
      <c r="B128" s="165" t="s">
        <v>1924</v>
      </c>
      <c r="C128" s="165" t="s">
        <v>520</v>
      </c>
      <c r="E128" s="165" t="s">
        <v>3175</v>
      </c>
      <c r="G128" s="81">
        <v>526836</v>
      </c>
      <c r="H128" s="81">
        <v>175207</v>
      </c>
      <c r="I128" s="165" t="s">
        <v>251</v>
      </c>
      <c r="J128" s="349">
        <v>42284</v>
      </c>
      <c r="K128" s="349">
        <v>43190</v>
      </c>
      <c r="L128" s="166">
        <v>2</v>
      </c>
      <c r="M128" s="166">
        <v>1</v>
      </c>
      <c r="N128" s="166">
        <v>-1</v>
      </c>
      <c r="O128" s="166">
        <v>1</v>
      </c>
      <c r="P128" s="166">
        <v>-1</v>
      </c>
      <c r="R128" s="165" t="s">
        <v>761</v>
      </c>
      <c r="S128" s="81" t="s">
        <v>113</v>
      </c>
      <c r="T128" s="349">
        <v>42160</v>
      </c>
      <c r="U128" s="349">
        <v>42212</v>
      </c>
      <c r="W128" s="81" t="s">
        <v>114</v>
      </c>
      <c r="Y128" s="81" t="s">
        <v>115</v>
      </c>
      <c r="Z128" s="81" t="s">
        <v>398</v>
      </c>
      <c r="AA128" s="81" t="s">
        <v>117</v>
      </c>
      <c r="AB128" s="81" t="s">
        <v>336</v>
      </c>
      <c r="AC128" s="166">
        <v>1.4000000432133701E-2</v>
      </c>
      <c r="AD128" s="349">
        <v>42285</v>
      </c>
      <c r="AF128" s="349">
        <v>43190</v>
      </c>
      <c r="AG128" s="81" t="s">
        <v>238</v>
      </c>
      <c r="AH128" s="81" t="s">
        <v>118</v>
      </c>
      <c r="AK128" s="166">
        <v>0</v>
      </c>
      <c r="AM128" s="166">
        <v>0</v>
      </c>
      <c r="AO128" s="166">
        <v>0</v>
      </c>
      <c r="AP128" s="166">
        <v>-1</v>
      </c>
      <c r="AQ128" s="166">
        <v>0</v>
      </c>
      <c r="AR128" s="166">
        <v>0</v>
      </c>
      <c r="AS128" s="166">
        <v>-1</v>
      </c>
      <c r="AT128" s="166">
        <v>1</v>
      </c>
      <c r="AU128" s="166">
        <v>0</v>
      </c>
      <c r="AV128" s="166">
        <v>0</v>
      </c>
      <c r="AW128" s="166">
        <v>-1</v>
      </c>
      <c r="AX128" s="166">
        <v>0</v>
      </c>
      <c r="AY128" s="166">
        <v>0</v>
      </c>
      <c r="AZ128" s="166">
        <v>-1</v>
      </c>
      <c r="BA128" s="166">
        <v>0</v>
      </c>
      <c r="BB128" s="166">
        <v>0</v>
      </c>
      <c r="BC128" s="166">
        <v>0</v>
      </c>
      <c r="BD128" s="166">
        <v>0</v>
      </c>
      <c r="BE128" s="166">
        <v>0</v>
      </c>
      <c r="BF128" s="166">
        <v>0</v>
      </c>
      <c r="BG128" s="166">
        <v>0</v>
      </c>
      <c r="BH128" s="166">
        <v>1</v>
      </c>
      <c r="BI128" s="166">
        <v>0</v>
      </c>
      <c r="BJ128" s="166">
        <v>0</v>
      </c>
      <c r="BK128" s="166">
        <v>0</v>
      </c>
      <c r="BL128" s="166">
        <v>0</v>
      </c>
      <c r="BM128" s="166">
        <v>0</v>
      </c>
      <c r="BN128" s="166">
        <v>0</v>
      </c>
      <c r="BO128" s="166">
        <v>0</v>
      </c>
      <c r="BP128" s="166">
        <v>0</v>
      </c>
      <c r="BQ128" s="81" t="s">
        <v>1758</v>
      </c>
      <c r="BZ128" s="81" t="s">
        <v>155</v>
      </c>
      <c r="CA128" s="81">
        <v>7</v>
      </c>
      <c r="CC128" s="167">
        <f>N128</f>
        <v>-1</v>
      </c>
      <c r="CD128" s="167">
        <v>0</v>
      </c>
      <c r="CE128" s="167">
        <v>0</v>
      </c>
      <c r="CF128" s="167">
        <v>0</v>
      </c>
      <c r="CG128" s="167">
        <v>0</v>
      </c>
      <c r="CH128" s="167">
        <v>0</v>
      </c>
      <c r="CI128" s="167">
        <v>0</v>
      </c>
      <c r="CJ128" s="167">
        <v>0</v>
      </c>
      <c r="CK128" s="167">
        <v>0</v>
      </c>
      <c r="CL128" s="167">
        <v>0</v>
      </c>
      <c r="CM128" s="167">
        <v>0</v>
      </c>
      <c r="CN128" s="167">
        <v>0</v>
      </c>
      <c r="CO128" s="167">
        <v>0</v>
      </c>
      <c r="CP128" s="167">
        <v>0</v>
      </c>
      <c r="CQ128" s="167">
        <v>0</v>
      </c>
      <c r="CR128" s="167">
        <v>0</v>
      </c>
      <c r="CS128" s="167">
        <v>0</v>
      </c>
      <c r="CT128" s="167">
        <v>0</v>
      </c>
      <c r="CU128" s="167">
        <v>0</v>
      </c>
      <c r="CV128" s="167">
        <v>0</v>
      </c>
      <c r="CW128" s="167">
        <v>0</v>
      </c>
      <c r="CX128" s="167">
        <f>SUM(CD128:CH128)</f>
        <v>0</v>
      </c>
      <c r="CY128" s="167">
        <f>SUM(CD128:CM128)</f>
        <v>0</v>
      </c>
    </row>
    <row r="129" spans="1:103" ht="12.75" customHeight="1" x14ac:dyDescent="0.2">
      <c r="A129" s="81">
        <v>5956</v>
      </c>
      <c r="B129" s="165" t="s">
        <v>1924</v>
      </c>
      <c r="C129" s="165" t="s">
        <v>572</v>
      </c>
      <c r="E129" s="165" t="s">
        <v>3176</v>
      </c>
      <c r="G129" s="81">
        <v>523775</v>
      </c>
      <c r="H129" s="81">
        <v>175783</v>
      </c>
      <c r="I129" s="165" t="s">
        <v>259</v>
      </c>
      <c r="J129" s="349">
        <v>42305</v>
      </c>
      <c r="K129" s="349">
        <v>43190</v>
      </c>
      <c r="L129" s="166">
        <v>1</v>
      </c>
      <c r="M129" s="166">
        <v>2</v>
      </c>
      <c r="N129" s="166">
        <v>1</v>
      </c>
      <c r="O129" s="166">
        <v>2</v>
      </c>
      <c r="P129" s="166">
        <v>1</v>
      </c>
      <c r="R129" s="165" t="s">
        <v>1133</v>
      </c>
      <c r="S129" s="81" t="s">
        <v>113</v>
      </c>
      <c r="T129" s="349">
        <v>42109</v>
      </c>
      <c r="U129" s="349">
        <v>42305</v>
      </c>
      <c r="W129" s="81" t="s">
        <v>114</v>
      </c>
      <c r="Y129" s="81" t="s">
        <v>115</v>
      </c>
      <c r="Z129" s="81" t="s">
        <v>398</v>
      </c>
      <c r="AA129" s="81" t="s">
        <v>117</v>
      </c>
      <c r="AB129" s="81" t="s">
        <v>220</v>
      </c>
      <c r="AC129" s="166">
        <v>7.0000002160668399E-3</v>
      </c>
      <c r="AD129" s="349">
        <v>42305</v>
      </c>
      <c r="AF129" s="349">
        <v>43190</v>
      </c>
      <c r="AG129" s="81" t="s">
        <v>238</v>
      </c>
      <c r="AH129" s="81" t="s">
        <v>118</v>
      </c>
      <c r="AK129" s="166">
        <v>0</v>
      </c>
      <c r="AM129" s="166">
        <v>0</v>
      </c>
      <c r="AO129" s="166">
        <v>0</v>
      </c>
      <c r="AP129" s="166">
        <v>2</v>
      </c>
      <c r="AQ129" s="166">
        <v>0</v>
      </c>
      <c r="AR129" s="166">
        <v>-1</v>
      </c>
      <c r="AS129" s="166">
        <v>0</v>
      </c>
      <c r="AT129" s="166">
        <v>0</v>
      </c>
      <c r="AU129" s="166">
        <v>0</v>
      </c>
      <c r="AV129" s="166">
        <v>0</v>
      </c>
      <c r="AW129" s="166">
        <v>2</v>
      </c>
      <c r="AX129" s="166">
        <v>0</v>
      </c>
      <c r="AY129" s="166">
        <v>-1</v>
      </c>
      <c r="AZ129" s="166">
        <v>0</v>
      </c>
      <c r="BA129" s="166">
        <v>0</v>
      </c>
      <c r="BB129" s="166">
        <v>0</v>
      </c>
      <c r="BC129" s="166">
        <v>0</v>
      </c>
      <c r="BD129" s="166">
        <v>0</v>
      </c>
      <c r="BE129" s="166">
        <v>0</v>
      </c>
      <c r="BF129" s="166">
        <v>0</v>
      </c>
      <c r="BG129" s="166">
        <v>0</v>
      </c>
      <c r="BH129" s="166">
        <v>0</v>
      </c>
      <c r="BI129" s="166">
        <v>0</v>
      </c>
      <c r="BJ129" s="166">
        <v>0</v>
      </c>
      <c r="BK129" s="166">
        <v>0</v>
      </c>
      <c r="BL129" s="166">
        <v>0</v>
      </c>
      <c r="BM129" s="166">
        <v>0</v>
      </c>
      <c r="BN129" s="166">
        <v>0</v>
      </c>
      <c r="BO129" s="166">
        <v>0</v>
      </c>
      <c r="BP129" s="166">
        <v>0</v>
      </c>
      <c r="BQ129" s="81" t="s">
        <v>1758</v>
      </c>
      <c r="BZ129" s="81" t="s">
        <v>155</v>
      </c>
      <c r="CA129" s="81">
        <v>7</v>
      </c>
      <c r="CC129" s="167">
        <f>N129</f>
        <v>1</v>
      </c>
      <c r="CD129" s="167">
        <v>0</v>
      </c>
      <c r="CE129" s="167">
        <v>0</v>
      </c>
      <c r="CF129" s="167">
        <v>0</v>
      </c>
      <c r="CG129" s="167">
        <v>0</v>
      </c>
      <c r="CH129" s="167">
        <v>0</v>
      </c>
      <c r="CI129" s="167">
        <v>0</v>
      </c>
      <c r="CJ129" s="167">
        <v>0</v>
      </c>
      <c r="CK129" s="167">
        <v>0</v>
      </c>
      <c r="CL129" s="167">
        <v>0</v>
      </c>
      <c r="CM129" s="167">
        <v>0</v>
      </c>
      <c r="CN129" s="167">
        <v>0</v>
      </c>
      <c r="CO129" s="167">
        <v>0</v>
      </c>
      <c r="CP129" s="167">
        <v>0</v>
      </c>
      <c r="CQ129" s="167">
        <v>0</v>
      </c>
      <c r="CR129" s="167">
        <v>0</v>
      </c>
      <c r="CS129" s="167">
        <v>0</v>
      </c>
      <c r="CT129" s="167">
        <v>0</v>
      </c>
      <c r="CU129" s="167">
        <v>0</v>
      </c>
      <c r="CV129" s="167">
        <v>0</v>
      </c>
      <c r="CW129" s="167">
        <v>0</v>
      </c>
      <c r="CX129" s="167">
        <f>SUM(CD129:CH129)</f>
        <v>0</v>
      </c>
      <c r="CY129" s="167">
        <f>SUM(CD129:CM129)</f>
        <v>0</v>
      </c>
    </row>
    <row r="130" spans="1:103" ht="12.75" customHeight="1" x14ac:dyDescent="0.2">
      <c r="A130" s="81">
        <v>5964</v>
      </c>
      <c r="B130" s="165" t="s">
        <v>1924</v>
      </c>
      <c r="C130" s="165" t="s">
        <v>1696</v>
      </c>
      <c r="E130" s="165" t="s">
        <v>3177</v>
      </c>
      <c r="G130" s="81">
        <v>527305</v>
      </c>
      <c r="H130" s="81">
        <v>176281</v>
      </c>
      <c r="I130" s="165" t="s">
        <v>241</v>
      </c>
      <c r="J130" s="349">
        <v>42605</v>
      </c>
      <c r="K130" s="349">
        <v>42894</v>
      </c>
      <c r="L130" s="166">
        <v>0</v>
      </c>
      <c r="M130" s="166">
        <v>1</v>
      </c>
      <c r="N130" s="166">
        <v>1</v>
      </c>
      <c r="O130" s="166">
        <v>1</v>
      </c>
      <c r="P130" s="166">
        <v>1</v>
      </c>
      <c r="R130" s="165" t="s">
        <v>671</v>
      </c>
      <c r="S130" s="81" t="s">
        <v>270</v>
      </c>
      <c r="T130" s="349">
        <v>42461</v>
      </c>
      <c r="U130" s="349">
        <v>42514</v>
      </c>
      <c r="W130" s="81" t="s">
        <v>114</v>
      </c>
      <c r="Y130" s="81" t="s">
        <v>115</v>
      </c>
      <c r="Z130" s="81" t="s">
        <v>310</v>
      </c>
      <c r="AA130" s="81" t="s">
        <v>117</v>
      </c>
      <c r="AB130" s="81" t="s">
        <v>399</v>
      </c>
      <c r="AC130" s="166">
        <v>4.0000001899898104E-3</v>
      </c>
      <c r="AD130" s="349">
        <v>42605</v>
      </c>
      <c r="AF130" s="349">
        <v>42863</v>
      </c>
      <c r="AG130" s="81" t="s">
        <v>238</v>
      </c>
      <c r="AH130" s="81" t="s">
        <v>118</v>
      </c>
      <c r="AK130" s="166">
        <v>0</v>
      </c>
      <c r="AM130" s="166">
        <v>0</v>
      </c>
      <c r="AO130" s="166">
        <v>0</v>
      </c>
      <c r="AP130" s="166">
        <v>1</v>
      </c>
      <c r="AQ130" s="166">
        <v>0</v>
      </c>
      <c r="AR130" s="166">
        <v>0</v>
      </c>
      <c r="AS130" s="166">
        <v>0</v>
      </c>
      <c r="AT130" s="166">
        <v>0</v>
      </c>
      <c r="AU130" s="166">
        <v>0</v>
      </c>
      <c r="AV130" s="166">
        <v>0</v>
      </c>
      <c r="AW130" s="166">
        <v>1</v>
      </c>
      <c r="AX130" s="166">
        <v>0</v>
      </c>
      <c r="AY130" s="166">
        <v>0</v>
      </c>
      <c r="AZ130" s="166">
        <v>0</v>
      </c>
      <c r="BA130" s="166">
        <v>0</v>
      </c>
      <c r="BB130" s="166">
        <v>0</v>
      </c>
      <c r="BC130" s="166">
        <v>0</v>
      </c>
      <c r="BD130" s="166">
        <v>0</v>
      </c>
      <c r="BE130" s="166">
        <v>0</v>
      </c>
      <c r="BF130" s="166">
        <v>0</v>
      </c>
      <c r="BG130" s="166">
        <v>0</v>
      </c>
      <c r="BH130" s="166">
        <v>0</v>
      </c>
      <c r="BI130" s="166">
        <v>0</v>
      </c>
      <c r="BJ130" s="166">
        <v>0</v>
      </c>
      <c r="BK130" s="166">
        <v>0</v>
      </c>
      <c r="BL130" s="166">
        <v>0</v>
      </c>
      <c r="BM130" s="166">
        <v>0</v>
      </c>
      <c r="BN130" s="166">
        <v>0</v>
      </c>
      <c r="BO130" s="166">
        <v>0</v>
      </c>
      <c r="BP130" s="166">
        <v>0</v>
      </c>
      <c r="BQ130" s="81" t="s">
        <v>1757</v>
      </c>
      <c r="BZ130" s="81" t="s">
        <v>155</v>
      </c>
      <c r="CA130" s="81">
        <v>7</v>
      </c>
      <c r="CC130" s="167">
        <f>N130</f>
        <v>1</v>
      </c>
      <c r="CD130" s="167">
        <v>0</v>
      </c>
      <c r="CE130" s="167">
        <v>0</v>
      </c>
      <c r="CF130" s="167">
        <v>0</v>
      </c>
      <c r="CG130" s="167">
        <v>0</v>
      </c>
      <c r="CH130" s="167">
        <v>0</v>
      </c>
      <c r="CI130" s="167">
        <v>0</v>
      </c>
      <c r="CJ130" s="167">
        <v>0</v>
      </c>
      <c r="CK130" s="167">
        <v>0</v>
      </c>
      <c r="CL130" s="167">
        <v>0</v>
      </c>
      <c r="CM130" s="167">
        <v>0</v>
      </c>
      <c r="CN130" s="167">
        <v>0</v>
      </c>
      <c r="CO130" s="167">
        <v>0</v>
      </c>
      <c r="CP130" s="167">
        <v>0</v>
      </c>
      <c r="CQ130" s="167">
        <v>0</v>
      </c>
      <c r="CR130" s="167">
        <v>0</v>
      </c>
      <c r="CS130" s="167">
        <v>0</v>
      </c>
      <c r="CT130" s="167">
        <v>0</v>
      </c>
      <c r="CU130" s="167">
        <v>0</v>
      </c>
      <c r="CV130" s="167">
        <v>0</v>
      </c>
      <c r="CW130" s="167">
        <v>0</v>
      </c>
      <c r="CX130" s="167">
        <f>SUM(CD130:CH130)</f>
        <v>0</v>
      </c>
      <c r="CY130" s="167">
        <f>SUM(CD130:CM130)</f>
        <v>0</v>
      </c>
    </row>
    <row r="131" spans="1:103" ht="12.75" customHeight="1" x14ac:dyDescent="0.2">
      <c r="A131" s="81">
        <v>5966</v>
      </c>
      <c r="B131" s="165" t="s">
        <v>1924</v>
      </c>
      <c r="C131" s="165" t="s">
        <v>719</v>
      </c>
      <c r="D131" s="165" t="s">
        <v>2107</v>
      </c>
      <c r="E131" s="165" t="s">
        <v>3178</v>
      </c>
      <c r="G131" s="81">
        <v>527304</v>
      </c>
      <c r="H131" s="81">
        <v>177160</v>
      </c>
      <c r="I131" s="165" t="s">
        <v>257</v>
      </c>
      <c r="J131" s="349">
        <v>42825</v>
      </c>
      <c r="L131" s="166">
        <v>0</v>
      </c>
      <c r="M131" s="166">
        <v>1</v>
      </c>
      <c r="N131" s="166">
        <v>1</v>
      </c>
      <c r="O131" s="166">
        <v>2</v>
      </c>
      <c r="P131" s="166">
        <v>2</v>
      </c>
      <c r="R131" s="165" t="s">
        <v>720</v>
      </c>
      <c r="S131" s="81" t="s">
        <v>110</v>
      </c>
      <c r="T131" s="349">
        <v>42351</v>
      </c>
      <c r="U131" s="349">
        <v>42443</v>
      </c>
      <c r="W131" s="81" t="s">
        <v>114</v>
      </c>
      <c r="Y131" s="81" t="s">
        <v>115</v>
      </c>
      <c r="Z131" s="81" t="s">
        <v>310</v>
      </c>
      <c r="AA131" s="81" t="s">
        <v>117</v>
      </c>
      <c r="AB131" s="81" t="s">
        <v>399</v>
      </c>
      <c r="AC131" s="166">
        <v>2.8999999165535001E-2</v>
      </c>
      <c r="AD131" s="349">
        <v>42825</v>
      </c>
      <c r="AF131" s="349">
        <v>42826</v>
      </c>
      <c r="AG131" s="81" t="s">
        <v>238</v>
      </c>
      <c r="AH131" s="81" t="s">
        <v>118</v>
      </c>
      <c r="AK131" s="166">
        <v>0</v>
      </c>
      <c r="AM131" s="166">
        <v>0</v>
      </c>
      <c r="AO131" s="166">
        <v>1</v>
      </c>
      <c r="AP131" s="166">
        <v>0</v>
      </c>
      <c r="AQ131" s="166">
        <v>0</v>
      </c>
      <c r="AR131" s="166">
        <v>0</v>
      </c>
      <c r="AS131" s="166">
        <v>0</v>
      </c>
      <c r="AT131" s="166">
        <v>0</v>
      </c>
      <c r="AU131" s="166">
        <v>0</v>
      </c>
      <c r="AV131" s="166">
        <v>1</v>
      </c>
      <c r="AW131" s="166">
        <v>0</v>
      </c>
      <c r="AX131" s="166">
        <v>0</v>
      </c>
      <c r="AY131" s="166">
        <v>0</v>
      </c>
      <c r="AZ131" s="166">
        <v>0</v>
      </c>
      <c r="BA131" s="166">
        <v>0</v>
      </c>
      <c r="BB131" s="166">
        <v>0</v>
      </c>
      <c r="BC131" s="166">
        <v>0</v>
      </c>
      <c r="BD131" s="166">
        <v>0</v>
      </c>
      <c r="BE131" s="166">
        <v>0</v>
      </c>
      <c r="BF131" s="166">
        <v>0</v>
      </c>
      <c r="BG131" s="166">
        <v>0</v>
      </c>
      <c r="BH131" s="166">
        <v>0</v>
      </c>
      <c r="BI131" s="166">
        <v>0</v>
      </c>
      <c r="BJ131" s="166">
        <v>0</v>
      </c>
      <c r="BK131" s="166">
        <v>0</v>
      </c>
      <c r="BL131" s="166">
        <v>0</v>
      </c>
      <c r="BM131" s="166">
        <v>0</v>
      </c>
      <c r="BN131" s="166">
        <v>0</v>
      </c>
      <c r="BO131" s="166">
        <v>0</v>
      </c>
      <c r="BP131" s="166">
        <v>0</v>
      </c>
      <c r="BQ131" s="81" t="s">
        <v>1757</v>
      </c>
      <c r="BX131" s="81" t="s">
        <v>155</v>
      </c>
      <c r="BZ131" s="81" t="s">
        <v>155</v>
      </c>
      <c r="CA131" s="81">
        <v>7</v>
      </c>
      <c r="CC131" s="167">
        <f>N131</f>
        <v>1</v>
      </c>
      <c r="CD131" s="167">
        <v>0</v>
      </c>
      <c r="CE131" s="167">
        <v>0</v>
      </c>
      <c r="CF131" s="167">
        <v>0</v>
      </c>
      <c r="CG131" s="167">
        <v>0</v>
      </c>
      <c r="CH131" s="167">
        <v>0</v>
      </c>
      <c r="CI131" s="167">
        <v>0</v>
      </c>
      <c r="CJ131" s="167">
        <v>0</v>
      </c>
      <c r="CK131" s="167">
        <v>0</v>
      </c>
      <c r="CL131" s="167">
        <v>0</v>
      </c>
      <c r="CM131" s="167">
        <v>0</v>
      </c>
      <c r="CN131" s="167">
        <v>0</v>
      </c>
      <c r="CO131" s="167">
        <v>0</v>
      </c>
      <c r="CP131" s="167">
        <v>0</v>
      </c>
      <c r="CQ131" s="167">
        <v>0</v>
      </c>
      <c r="CR131" s="167">
        <v>0</v>
      </c>
      <c r="CS131" s="167">
        <v>0</v>
      </c>
      <c r="CT131" s="167">
        <v>0</v>
      </c>
      <c r="CU131" s="167">
        <v>0</v>
      </c>
      <c r="CV131" s="167">
        <v>0</v>
      </c>
      <c r="CW131" s="167">
        <v>0</v>
      </c>
      <c r="CX131" s="167">
        <f>SUM(CD131:CH131)</f>
        <v>0</v>
      </c>
      <c r="CY131" s="167">
        <f>SUM(CD131:CM131)</f>
        <v>0</v>
      </c>
    </row>
    <row r="132" spans="1:103" ht="12.75" customHeight="1" x14ac:dyDescent="0.2">
      <c r="A132" s="81">
        <v>5977</v>
      </c>
      <c r="B132" s="165" t="s">
        <v>1924</v>
      </c>
      <c r="C132" s="165" t="s">
        <v>580</v>
      </c>
      <c r="E132" s="165" t="s">
        <v>3179</v>
      </c>
      <c r="G132" s="81">
        <v>527954</v>
      </c>
      <c r="H132" s="81">
        <v>173242</v>
      </c>
      <c r="I132" s="165" t="s">
        <v>254</v>
      </c>
      <c r="J132" s="349">
        <v>42825</v>
      </c>
      <c r="K132" s="349">
        <v>43190</v>
      </c>
      <c r="L132" s="166">
        <v>3</v>
      </c>
      <c r="M132" s="166">
        <v>1</v>
      </c>
      <c r="N132" s="166">
        <v>-2</v>
      </c>
      <c r="O132" s="166">
        <v>1</v>
      </c>
      <c r="P132" s="166">
        <v>-2</v>
      </c>
      <c r="R132" s="165" t="s">
        <v>581</v>
      </c>
      <c r="S132" s="81" t="s">
        <v>113</v>
      </c>
      <c r="T132" s="349">
        <v>42144</v>
      </c>
      <c r="U132" s="349">
        <v>42200</v>
      </c>
      <c r="W132" s="81" t="s">
        <v>114</v>
      </c>
      <c r="Y132" s="81" t="s">
        <v>115</v>
      </c>
      <c r="Z132" s="81" t="s">
        <v>119</v>
      </c>
      <c r="AA132" s="81" t="s">
        <v>117</v>
      </c>
      <c r="AB132" s="81" t="s">
        <v>336</v>
      </c>
      <c r="AC132" s="166">
        <v>3.4000001847744002E-2</v>
      </c>
      <c r="AD132" s="349">
        <v>42825</v>
      </c>
      <c r="AF132" s="349">
        <v>43190</v>
      </c>
      <c r="AG132" s="81" t="s">
        <v>238</v>
      </c>
      <c r="AH132" s="81" t="s">
        <v>118</v>
      </c>
      <c r="AK132" s="166">
        <v>0</v>
      </c>
      <c r="AM132" s="166">
        <v>0</v>
      </c>
      <c r="AO132" s="166">
        <v>0</v>
      </c>
      <c r="AP132" s="166">
        <v>-2</v>
      </c>
      <c r="AQ132" s="166">
        <v>-1</v>
      </c>
      <c r="AR132" s="166">
        <v>1</v>
      </c>
      <c r="AS132" s="166">
        <v>0</v>
      </c>
      <c r="AT132" s="166">
        <v>0</v>
      </c>
      <c r="AU132" s="166">
        <v>0</v>
      </c>
      <c r="AV132" s="166">
        <v>0</v>
      </c>
      <c r="AW132" s="166">
        <v>-2</v>
      </c>
      <c r="AX132" s="166">
        <v>-1</v>
      </c>
      <c r="AY132" s="166">
        <v>0</v>
      </c>
      <c r="AZ132" s="166">
        <v>0</v>
      </c>
      <c r="BA132" s="166">
        <v>0</v>
      </c>
      <c r="BB132" s="166">
        <v>0</v>
      </c>
      <c r="BC132" s="166">
        <v>0</v>
      </c>
      <c r="BD132" s="166">
        <v>0</v>
      </c>
      <c r="BE132" s="166">
        <v>0</v>
      </c>
      <c r="BF132" s="166">
        <v>1</v>
      </c>
      <c r="BG132" s="166">
        <v>0</v>
      </c>
      <c r="BH132" s="166">
        <v>0</v>
      </c>
      <c r="BI132" s="166">
        <v>0</v>
      </c>
      <c r="BJ132" s="166">
        <v>0</v>
      </c>
      <c r="BK132" s="166">
        <v>0</v>
      </c>
      <c r="BL132" s="166">
        <v>0</v>
      </c>
      <c r="BM132" s="166">
        <v>0</v>
      </c>
      <c r="BN132" s="166">
        <v>0</v>
      </c>
      <c r="BO132" s="166">
        <v>0</v>
      </c>
      <c r="BP132" s="166">
        <v>0</v>
      </c>
      <c r="BQ132" s="81" t="s">
        <v>1757</v>
      </c>
      <c r="BZ132" s="81" t="s">
        <v>155</v>
      </c>
      <c r="CA132" s="81">
        <v>7</v>
      </c>
      <c r="CC132" s="167">
        <f>N132</f>
        <v>-2</v>
      </c>
      <c r="CD132" s="167">
        <v>0</v>
      </c>
      <c r="CE132" s="167">
        <v>0</v>
      </c>
      <c r="CF132" s="167">
        <v>0</v>
      </c>
      <c r="CG132" s="167">
        <v>0</v>
      </c>
      <c r="CH132" s="167">
        <v>0</v>
      </c>
      <c r="CI132" s="167">
        <v>0</v>
      </c>
      <c r="CJ132" s="167">
        <v>0</v>
      </c>
      <c r="CK132" s="167">
        <v>0</v>
      </c>
      <c r="CL132" s="167">
        <v>0</v>
      </c>
      <c r="CM132" s="167">
        <v>0</v>
      </c>
      <c r="CN132" s="167">
        <v>0</v>
      </c>
      <c r="CO132" s="167">
        <v>0</v>
      </c>
      <c r="CP132" s="167">
        <v>0</v>
      </c>
      <c r="CQ132" s="167">
        <v>0</v>
      </c>
      <c r="CR132" s="167">
        <v>0</v>
      </c>
      <c r="CS132" s="167">
        <v>0</v>
      </c>
      <c r="CT132" s="167">
        <v>0</v>
      </c>
      <c r="CU132" s="167">
        <v>0</v>
      </c>
      <c r="CV132" s="167">
        <v>0</v>
      </c>
      <c r="CW132" s="167">
        <v>0</v>
      </c>
      <c r="CX132" s="167">
        <f>SUM(CD132:CH132)</f>
        <v>0</v>
      </c>
      <c r="CY132" s="167">
        <f>SUM(CD132:CM132)</f>
        <v>0</v>
      </c>
    </row>
    <row r="133" spans="1:103" ht="12.75" customHeight="1" x14ac:dyDescent="0.2">
      <c r="A133" s="81">
        <v>5989</v>
      </c>
      <c r="B133" s="165" t="s">
        <v>1924</v>
      </c>
      <c r="C133" s="165" t="s">
        <v>620</v>
      </c>
      <c r="E133" s="165" t="s">
        <v>3180</v>
      </c>
      <c r="G133" s="81">
        <v>528980</v>
      </c>
      <c r="H133" s="81">
        <v>173751</v>
      </c>
      <c r="I133" s="165" t="s">
        <v>247</v>
      </c>
      <c r="J133" s="349">
        <v>42825</v>
      </c>
      <c r="K133" s="349">
        <v>43048</v>
      </c>
      <c r="L133" s="166">
        <v>2</v>
      </c>
      <c r="M133" s="166">
        <v>1</v>
      </c>
      <c r="N133" s="166">
        <v>-1</v>
      </c>
      <c r="O133" s="166">
        <v>1</v>
      </c>
      <c r="P133" s="166">
        <v>-1</v>
      </c>
      <c r="R133" s="165" t="s">
        <v>621</v>
      </c>
      <c r="S133" s="81" t="s">
        <v>113</v>
      </c>
      <c r="T133" s="349">
        <v>42188</v>
      </c>
      <c r="U133" s="349">
        <v>42243</v>
      </c>
      <c r="W133" s="81" t="s">
        <v>114</v>
      </c>
      <c r="Y133" s="81" t="s">
        <v>115</v>
      </c>
      <c r="Z133" s="81" t="s">
        <v>119</v>
      </c>
      <c r="AA133" s="81" t="s">
        <v>117</v>
      </c>
      <c r="AB133" s="81" t="s">
        <v>336</v>
      </c>
      <c r="AC133" s="166">
        <v>1.7999999225139601E-2</v>
      </c>
      <c r="AD133" s="349">
        <v>42825</v>
      </c>
      <c r="AF133" s="349">
        <v>43048</v>
      </c>
      <c r="AG133" s="81" t="s">
        <v>238</v>
      </c>
      <c r="AH133" s="81" t="s">
        <v>118</v>
      </c>
      <c r="AK133" s="166">
        <v>0</v>
      </c>
      <c r="AM133" s="166">
        <v>0</v>
      </c>
      <c r="AO133" s="166">
        <v>0</v>
      </c>
      <c r="AP133" s="166">
        <v>-1</v>
      </c>
      <c r="AQ133" s="166">
        <v>0</v>
      </c>
      <c r="AR133" s="166">
        <v>-1</v>
      </c>
      <c r="AS133" s="166">
        <v>1</v>
      </c>
      <c r="AT133" s="166">
        <v>0</v>
      </c>
      <c r="AU133" s="166">
        <v>0</v>
      </c>
      <c r="AV133" s="166">
        <v>0</v>
      </c>
      <c r="AW133" s="166">
        <v>-1</v>
      </c>
      <c r="AX133" s="166">
        <v>0</v>
      </c>
      <c r="AY133" s="166">
        <v>-1</v>
      </c>
      <c r="AZ133" s="166">
        <v>0</v>
      </c>
      <c r="BA133" s="166">
        <v>0</v>
      </c>
      <c r="BB133" s="166">
        <v>0</v>
      </c>
      <c r="BC133" s="166">
        <v>0</v>
      </c>
      <c r="BD133" s="166">
        <v>0</v>
      </c>
      <c r="BE133" s="166">
        <v>0</v>
      </c>
      <c r="BF133" s="166">
        <v>0</v>
      </c>
      <c r="BG133" s="166">
        <v>1</v>
      </c>
      <c r="BH133" s="166">
        <v>0</v>
      </c>
      <c r="BI133" s="166">
        <v>0</v>
      </c>
      <c r="BJ133" s="166">
        <v>0</v>
      </c>
      <c r="BK133" s="166">
        <v>0</v>
      </c>
      <c r="BL133" s="166">
        <v>0</v>
      </c>
      <c r="BM133" s="166">
        <v>0</v>
      </c>
      <c r="BN133" s="166">
        <v>0</v>
      </c>
      <c r="BO133" s="166">
        <v>0</v>
      </c>
      <c r="BP133" s="166">
        <v>0</v>
      </c>
      <c r="BQ133" s="81" t="s">
        <v>1757</v>
      </c>
      <c r="BZ133" s="81" t="s">
        <v>155</v>
      </c>
      <c r="CA133" s="81">
        <v>7</v>
      </c>
      <c r="CC133" s="167">
        <f>N133</f>
        <v>-1</v>
      </c>
      <c r="CD133" s="167">
        <v>0</v>
      </c>
      <c r="CE133" s="167">
        <v>0</v>
      </c>
      <c r="CF133" s="167">
        <v>0</v>
      </c>
      <c r="CG133" s="167">
        <v>0</v>
      </c>
      <c r="CH133" s="167">
        <v>0</v>
      </c>
      <c r="CI133" s="167">
        <v>0</v>
      </c>
      <c r="CJ133" s="167">
        <v>0</v>
      </c>
      <c r="CK133" s="167">
        <v>0</v>
      </c>
      <c r="CL133" s="167">
        <v>0</v>
      </c>
      <c r="CM133" s="167">
        <v>0</v>
      </c>
      <c r="CN133" s="167">
        <v>0</v>
      </c>
      <c r="CO133" s="167">
        <v>0</v>
      </c>
      <c r="CP133" s="167">
        <v>0</v>
      </c>
      <c r="CQ133" s="167">
        <v>0</v>
      </c>
      <c r="CR133" s="167">
        <v>0</v>
      </c>
      <c r="CS133" s="167">
        <v>0</v>
      </c>
      <c r="CT133" s="167">
        <v>0</v>
      </c>
      <c r="CU133" s="167">
        <v>0</v>
      </c>
      <c r="CV133" s="167">
        <v>0</v>
      </c>
      <c r="CW133" s="167">
        <v>0</v>
      </c>
      <c r="CX133" s="167">
        <f>SUM(CD133:CH133)</f>
        <v>0</v>
      </c>
      <c r="CY133" s="167">
        <f>SUM(CD133:CM133)</f>
        <v>0</v>
      </c>
    </row>
    <row r="134" spans="1:103" ht="12.75" customHeight="1" x14ac:dyDescent="0.2">
      <c r="A134" s="81">
        <v>6004</v>
      </c>
      <c r="B134" s="165" t="s">
        <v>1924</v>
      </c>
      <c r="C134" s="165" t="s">
        <v>577</v>
      </c>
      <c r="E134" s="165" t="s">
        <v>3181</v>
      </c>
      <c r="G134" s="81">
        <v>527498</v>
      </c>
      <c r="H134" s="81">
        <v>171520</v>
      </c>
      <c r="I134" s="165" t="s">
        <v>253</v>
      </c>
      <c r="J134" s="349">
        <v>42472</v>
      </c>
      <c r="K134" s="349">
        <v>42965</v>
      </c>
      <c r="L134" s="166">
        <v>0</v>
      </c>
      <c r="M134" s="166">
        <v>6</v>
      </c>
      <c r="N134" s="166">
        <v>6</v>
      </c>
      <c r="O134" s="166">
        <v>6</v>
      </c>
      <c r="P134" s="166">
        <v>6</v>
      </c>
      <c r="R134" s="165" t="s">
        <v>1135</v>
      </c>
      <c r="S134" s="81" t="s">
        <v>113</v>
      </c>
      <c r="T134" s="349">
        <v>42179</v>
      </c>
      <c r="U134" s="349">
        <v>42347</v>
      </c>
      <c r="W134" s="81" t="s">
        <v>114</v>
      </c>
      <c r="Y134" s="81" t="s">
        <v>115</v>
      </c>
      <c r="Z134" s="81" t="s">
        <v>398</v>
      </c>
      <c r="AA134" s="81" t="s">
        <v>117</v>
      </c>
      <c r="AB134" s="81" t="s">
        <v>218</v>
      </c>
      <c r="AC134" s="166">
        <v>1.7000000923872001E-2</v>
      </c>
      <c r="AD134" s="349">
        <v>42472</v>
      </c>
      <c r="AF134" s="349">
        <v>42965</v>
      </c>
      <c r="AG134" s="81" t="s">
        <v>238</v>
      </c>
      <c r="AH134" s="81" t="s">
        <v>118</v>
      </c>
      <c r="AI134" s="81" t="s">
        <v>2448</v>
      </c>
      <c r="AK134" s="166">
        <v>0</v>
      </c>
      <c r="AM134" s="166">
        <v>0</v>
      </c>
      <c r="AO134" s="166">
        <v>0</v>
      </c>
      <c r="AP134" s="166">
        <v>3</v>
      </c>
      <c r="AQ134" s="166">
        <v>3</v>
      </c>
      <c r="AR134" s="166">
        <v>0</v>
      </c>
      <c r="AS134" s="166">
        <v>0</v>
      </c>
      <c r="AT134" s="166">
        <v>0</v>
      </c>
      <c r="AU134" s="166">
        <v>0</v>
      </c>
      <c r="AV134" s="166">
        <v>0</v>
      </c>
      <c r="AW134" s="166">
        <v>3</v>
      </c>
      <c r="AX134" s="166">
        <v>3</v>
      </c>
      <c r="AY134" s="166">
        <v>0</v>
      </c>
      <c r="AZ134" s="166">
        <v>0</v>
      </c>
      <c r="BA134" s="166">
        <v>0</v>
      </c>
      <c r="BB134" s="166">
        <v>0</v>
      </c>
      <c r="BC134" s="166">
        <v>0</v>
      </c>
      <c r="BD134" s="166">
        <v>0</v>
      </c>
      <c r="BE134" s="166">
        <v>0</v>
      </c>
      <c r="BF134" s="166">
        <v>0</v>
      </c>
      <c r="BG134" s="166">
        <v>0</v>
      </c>
      <c r="BH134" s="166">
        <v>0</v>
      </c>
      <c r="BI134" s="166">
        <v>0</v>
      </c>
      <c r="BJ134" s="166">
        <v>0</v>
      </c>
      <c r="BK134" s="166">
        <v>0</v>
      </c>
      <c r="BL134" s="166">
        <v>0</v>
      </c>
      <c r="BM134" s="166">
        <v>0</v>
      </c>
      <c r="BN134" s="166">
        <v>0</v>
      </c>
      <c r="BO134" s="166">
        <v>0</v>
      </c>
      <c r="BP134" s="166">
        <v>0</v>
      </c>
      <c r="BQ134" s="81" t="s">
        <v>1757</v>
      </c>
      <c r="BR134" s="81" t="s">
        <v>242</v>
      </c>
      <c r="BZ134" s="81" t="s">
        <v>155</v>
      </c>
      <c r="CA134" s="81">
        <v>7</v>
      </c>
      <c r="CC134" s="167">
        <f>N134</f>
        <v>6</v>
      </c>
      <c r="CD134" s="167">
        <v>0</v>
      </c>
      <c r="CE134" s="167">
        <v>0</v>
      </c>
      <c r="CF134" s="167">
        <v>0</v>
      </c>
      <c r="CG134" s="167">
        <v>0</v>
      </c>
      <c r="CH134" s="167">
        <v>0</v>
      </c>
      <c r="CI134" s="167">
        <v>0</v>
      </c>
      <c r="CJ134" s="167">
        <v>0</v>
      </c>
      <c r="CK134" s="167">
        <v>0</v>
      </c>
      <c r="CL134" s="167">
        <v>0</v>
      </c>
      <c r="CM134" s="167">
        <v>0</v>
      </c>
      <c r="CN134" s="167">
        <v>0</v>
      </c>
      <c r="CO134" s="167">
        <v>0</v>
      </c>
      <c r="CP134" s="167">
        <v>0</v>
      </c>
      <c r="CQ134" s="167">
        <v>0</v>
      </c>
      <c r="CR134" s="167">
        <v>0</v>
      </c>
      <c r="CS134" s="167">
        <v>0</v>
      </c>
      <c r="CT134" s="167">
        <v>0</v>
      </c>
      <c r="CU134" s="167">
        <v>0</v>
      </c>
      <c r="CV134" s="167">
        <v>0</v>
      </c>
      <c r="CW134" s="167">
        <v>0</v>
      </c>
      <c r="CX134" s="167">
        <f>SUM(CD134:CH134)</f>
        <v>0</v>
      </c>
      <c r="CY134" s="167">
        <f>SUM(CD134:CM134)</f>
        <v>0</v>
      </c>
    </row>
    <row r="135" spans="1:103" ht="12.75" customHeight="1" x14ac:dyDescent="0.2">
      <c r="A135" s="81">
        <v>6005</v>
      </c>
      <c r="B135" s="165" t="s">
        <v>1924</v>
      </c>
      <c r="C135" s="165" t="s">
        <v>589</v>
      </c>
      <c r="E135" s="165" t="s">
        <v>3182</v>
      </c>
      <c r="G135" s="81">
        <v>523785</v>
      </c>
      <c r="H135" s="81">
        <v>174060</v>
      </c>
      <c r="I135" s="165" t="s">
        <v>250</v>
      </c>
      <c r="J135" s="349">
        <v>42826</v>
      </c>
      <c r="K135" s="349">
        <v>43190</v>
      </c>
      <c r="L135" s="166">
        <v>1</v>
      </c>
      <c r="M135" s="166">
        <v>2</v>
      </c>
      <c r="N135" s="166">
        <v>1</v>
      </c>
      <c r="O135" s="166">
        <v>2</v>
      </c>
      <c r="P135" s="166">
        <v>1</v>
      </c>
      <c r="R135" s="165" t="s">
        <v>590</v>
      </c>
      <c r="S135" s="81" t="s">
        <v>113</v>
      </c>
      <c r="T135" s="349">
        <v>42163</v>
      </c>
      <c r="U135" s="349">
        <v>42270</v>
      </c>
      <c r="W135" s="81" t="s">
        <v>114</v>
      </c>
      <c r="Y135" s="81" t="s">
        <v>115</v>
      </c>
      <c r="Z135" s="81" t="s">
        <v>119</v>
      </c>
      <c r="AA135" s="81" t="s">
        <v>117</v>
      </c>
      <c r="AB135" s="81" t="s">
        <v>3890</v>
      </c>
      <c r="AC135" s="166">
        <v>4.1999999433755902E-2</v>
      </c>
      <c r="AD135" s="349">
        <v>42826</v>
      </c>
      <c r="AE135" s="81" t="s">
        <v>155</v>
      </c>
      <c r="AF135" s="349">
        <v>43190</v>
      </c>
      <c r="AG135" s="81" t="s">
        <v>238</v>
      </c>
      <c r="AH135" s="81" t="s">
        <v>118</v>
      </c>
      <c r="AK135" s="166">
        <v>0</v>
      </c>
      <c r="AM135" s="166">
        <v>0</v>
      </c>
      <c r="AO135" s="166">
        <v>0</v>
      </c>
      <c r="AP135" s="166">
        <v>1</v>
      </c>
      <c r="AQ135" s="166">
        <v>0</v>
      </c>
      <c r="AR135" s="166">
        <v>0</v>
      </c>
      <c r="AS135" s="166">
        <v>1</v>
      </c>
      <c r="AT135" s="166">
        <v>-1</v>
      </c>
      <c r="AU135" s="166">
        <v>0</v>
      </c>
      <c r="AV135" s="166">
        <v>0</v>
      </c>
      <c r="AW135" s="166">
        <v>0</v>
      </c>
      <c r="AX135" s="166">
        <v>0</v>
      </c>
      <c r="AY135" s="166">
        <v>0</v>
      </c>
      <c r="AZ135" s="166">
        <v>0</v>
      </c>
      <c r="BA135" s="166">
        <v>0</v>
      </c>
      <c r="BB135" s="166">
        <v>0</v>
      </c>
      <c r="BC135" s="166">
        <v>0</v>
      </c>
      <c r="BD135" s="166">
        <v>1</v>
      </c>
      <c r="BE135" s="166">
        <v>0</v>
      </c>
      <c r="BF135" s="166">
        <v>0</v>
      </c>
      <c r="BG135" s="166">
        <v>1</v>
      </c>
      <c r="BH135" s="166">
        <v>-1</v>
      </c>
      <c r="BI135" s="166">
        <v>0</v>
      </c>
      <c r="BJ135" s="166">
        <v>0</v>
      </c>
      <c r="BK135" s="166">
        <v>0</v>
      </c>
      <c r="BL135" s="166">
        <v>0</v>
      </c>
      <c r="BM135" s="166">
        <v>0</v>
      </c>
      <c r="BN135" s="166">
        <v>0</v>
      </c>
      <c r="BO135" s="166">
        <v>0</v>
      </c>
      <c r="BP135" s="166">
        <v>0</v>
      </c>
      <c r="BQ135" s="81" t="s">
        <v>1758</v>
      </c>
      <c r="BZ135" s="81" t="s">
        <v>155</v>
      </c>
      <c r="CA135" s="81">
        <v>7</v>
      </c>
      <c r="CC135" s="167">
        <f>N135</f>
        <v>1</v>
      </c>
      <c r="CD135" s="167">
        <v>0</v>
      </c>
      <c r="CE135" s="167">
        <v>0</v>
      </c>
      <c r="CF135" s="167">
        <v>0</v>
      </c>
      <c r="CG135" s="167">
        <v>0</v>
      </c>
      <c r="CH135" s="167">
        <v>0</v>
      </c>
      <c r="CI135" s="167">
        <v>0</v>
      </c>
      <c r="CJ135" s="167">
        <v>0</v>
      </c>
      <c r="CK135" s="167">
        <v>0</v>
      </c>
      <c r="CL135" s="167">
        <v>0</v>
      </c>
      <c r="CM135" s="167">
        <v>0</v>
      </c>
      <c r="CN135" s="167">
        <v>0</v>
      </c>
      <c r="CO135" s="167">
        <v>0</v>
      </c>
      <c r="CP135" s="167">
        <v>0</v>
      </c>
      <c r="CQ135" s="167">
        <v>0</v>
      </c>
      <c r="CR135" s="167">
        <v>0</v>
      </c>
      <c r="CS135" s="167">
        <v>0</v>
      </c>
      <c r="CT135" s="167">
        <v>0</v>
      </c>
      <c r="CU135" s="167">
        <v>0</v>
      </c>
      <c r="CV135" s="167">
        <v>0</v>
      </c>
      <c r="CW135" s="167">
        <v>0</v>
      </c>
      <c r="CX135" s="167">
        <f>SUM(CD135:CH135)</f>
        <v>0</v>
      </c>
      <c r="CY135" s="167">
        <f>SUM(CD135:CM135)</f>
        <v>0</v>
      </c>
    </row>
    <row r="136" spans="1:103" ht="12.75" customHeight="1" x14ac:dyDescent="0.2">
      <c r="A136" s="81">
        <v>6012</v>
      </c>
      <c r="B136" s="165" t="s">
        <v>1924</v>
      </c>
      <c r="C136" s="165" t="s">
        <v>592</v>
      </c>
      <c r="E136" s="165" t="s">
        <v>3952</v>
      </c>
      <c r="G136" s="81">
        <v>523712</v>
      </c>
      <c r="H136" s="81">
        <v>172976</v>
      </c>
      <c r="I136" s="165" t="s">
        <v>111</v>
      </c>
      <c r="J136" s="349">
        <v>42640</v>
      </c>
      <c r="K136" s="349">
        <v>42944</v>
      </c>
      <c r="L136" s="166">
        <v>0</v>
      </c>
      <c r="M136" s="166">
        <v>2</v>
      </c>
      <c r="N136" s="166">
        <v>2</v>
      </c>
      <c r="O136" s="166">
        <v>2</v>
      </c>
      <c r="P136" s="166">
        <v>2</v>
      </c>
      <c r="R136" s="165" t="s">
        <v>593</v>
      </c>
      <c r="S136" s="81" t="s">
        <v>113</v>
      </c>
      <c r="T136" s="349">
        <v>42191</v>
      </c>
      <c r="U136" s="349">
        <v>42257</v>
      </c>
      <c r="W136" s="81" t="s">
        <v>114</v>
      </c>
      <c r="Y136" s="81" t="s">
        <v>115</v>
      </c>
      <c r="Z136" s="81" t="s">
        <v>116</v>
      </c>
      <c r="AA136" s="81" t="s">
        <v>117</v>
      </c>
      <c r="AB136" s="81" t="s">
        <v>218</v>
      </c>
      <c r="AC136" s="166">
        <v>3.4000001847744002E-2</v>
      </c>
      <c r="AD136" s="349">
        <v>42640</v>
      </c>
      <c r="AF136" s="349">
        <v>42944</v>
      </c>
      <c r="AG136" s="81" t="s">
        <v>154</v>
      </c>
      <c r="AH136" s="81" t="s">
        <v>38</v>
      </c>
      <c r="AK136" s="166">
        <v>2</v>
      </c>
      <c r="AM136" s="166">
        <v>0</v>
      </c>
      <c r="AO136" s="166">
        <v>0</v>
      </c>
      <c r="AP136" s="166">
        <v>0</v>
      </c>
      <c r="AQ136" s="166">
        <v>0</v>
      </c>
      <c r="AR136" s="166">
        <v>2</v>
      </c>
      <c r="AS136" s="166">
        <v>0</v>
      </c>
      <c r="AT136" s="166">
        <v>0</v>
      </c>
      <c r="AU136" s="166">
        <v>0</v>
      </c>
      <c r="AV136" s="166">
        <v>0</v>
      </c>
      <c r="AW136" s="166">
        <v>0</v>
      </c>
      <c r="AX136" s="166">
        <v>0</v>
      </c>
      <c r="AY136" s="166">
        <v>0</v>
      </c>
      <c r="AZ136" s="166">
        <v>0</v>
      </c>
      <c r="BA136" s="166">
        <v>0</v>
      </c>
      <c r="BB136" s="166">
        <v>0</v>
      </c>
      <c r="BC136" s="166">
        <v>0</v>
      </c>
      <c r="BD136" s="166">
        <v>0</v>
      </c>
      <c r="BE136" s="166">
        <v>0</v>
      </c>
      <c r="BF136" s="166">
        <v>2</v>
      </c>
      <c r="BG136" s="166">
        <v>0</v>
      </c>
      <c r="BH136" s="166">
        <v>0</v>
      </c>
      <c r="BI136" s="166">
        <v>0</v>
      </c>
      <c r="BJ136" s="166">
        <v>0</v>
      </c>
      <c r="BK136" s="166">
        <v>0</v>
      </c>
      <c r="BL136" s="166">
        <v>0</v>
      </c>
      <c r="BM136" s="166">
        <v>0</v>
      </c>
      <c r="BN136" s="166">
        <v>0</v>
      </c>
      <c r="BO136" s="166">
        <v>0</v>
      </c>
      <c r="BP136" s="166">
        <v>0</v>
      </c>
      <c r="BQ136" s="81" t="s">
        <v>1758</v>
      </c>
      <c r="BZ136" s="81" t="s">
        <v>155</v>
      </c>
      <c r="CA136" s="81">
        <v>1</v>
      </c>
      <c r="CC136" s="167">
        <f>N136</f>
        <v>2</v>
      </c>
      <c r="CD136" s="167">
        <v>0</v>
      </c>
      <c r="CE136" s="167">
        <v>0</v>
      </c>
      <c r="CF136" s="167">
        <v>0</v>
      </c>
      <c r="CG136" s="167">
        <v>0</v>
      </c>
      <c r="CH136" s="167">
        <v>0</v>
      </c>
      <c r="CI136" s="167">
        <v>0</v>
      </c>
      <c r="CJ136" s="167">
        <v>0</v>
      </c>
      <c r="CK136" s="167">
        <v>0</v>
      </c>
      <c r="CL136" s="167">
        <v>0</v>
      </c>
      <c r="CM136" s="167">
        <v>0</v>
      </c>
      <c r="CN136" s="167">
        <v>0</v>
      </c>
      <c r="CO136" s="167">
        <v>0</v>
      </c>
      <c r="CP136" s="167">
        <v>0</v>
      </c>
      <c r="CQ136" s="167">
        <v>0</v>
      </c>
      <c r="CR136" s="167">
        <v>0</v>
      </c>
      <c r="CS136" s="167">
        <v>0</v>
      </c>
      <c r="CT136" s="167">
        <v>0</v>
      </c>
      <c r="CU136" s="167">
        <v>0</v>
      </c>
      <c r="CV136" s="167">
        <v>0</v>
      </c>
      <c r="CW136" s="167">
        <v>0</v>
      </c>
      <c r="CX136" s="167">
        <f>SUM(CD136:CH136)</f>
        <v>0</v>
      </c>
      <c r="CY136" s="167">
        <f>SUM(CD136:CM136)</f>
        <v>0</v>
      </c>
    </row>
    <row r="137" spans="1:103" ht="12.75" customHeight="1" x14ac:dyDescent="0.2">
      <c r="A137" s="81">
        <v>6014</v>
      </c>
      <c r="B137" s="165" t="s">
        <v>1924</v>
      </c>
      <c r="C137" s="165" t="s">
        <v>961</v>
      </c>
      <c r="E137" s="165" t="s">
        <v>3183</v>
      </c>
      <c r="G137" s="81">
        <v>527855</v>
      </c>
      <c r="H137" s="81">
        <v>174092</v>
      </c>
      <c r="I137" s="165" t="s">
        <v>255</v>
      </c>
      <c r="J137" s="349">
        <v>42702</v>
      </c>
      <c r="K137" s="349">
        <v>43116</v>
      </c>
      <c r="L137" s="166">
        <v>0</v>
      </c>
      <c r="M137" s="166">
        <v>1</v>
      </c>
      <c r="N137" s="166">
        <v>1</v>
      </c>
      <c r="O137" s="166">
        <v>1</v>
      </c>
      <c r="P137" s="166">
        <v>1</v>
      </c>
      <c r="R137" s="165" t="s">
        <v>962</v>
      </c>
      <c r="S137" s="81" t="s">
        <v>296</v>
      </c>
      <c r="T137" s="349">
        <v>42299</v>
      </c>
      <c r="U137" s="349">
        <v>42391</v>
      </c>
      <c r="W137" s="81" t="s">
        <v>297</v>
      </c>
      <c r="X137" s="349">
        <v>42577</v>
      </c>
      <c r="Y137" s="81" t="s">
        <v>115</v>
      </c>
      <c r="Z137" s="81" t="s">
        <v>398</v>
      </c>
      <c r="AA137" s="81" t="s">
        <v>117</v>
      </c>
      <c r="AB137" s="81" t="s">
        <v>311</v>
      </c>
      <c r="AC137" s="166">
        <v>2.4000000208616298E-2</v>
      </c>
      <c r="AD137" s="349">
        <v>42702</v>
      </c>
      <c r="AF137" s="349">
        <v>43116</v>
      </c>
      <c r="AG137" s="81" t="s">
        <v>238</v>
      </c>
      <c r="AH137" s="81" t="s">
        <v>118</v>
      </c>
      <c r="AK137" s="166">
        <v>0</v>
      </c>
      <c r="AM137" s="166">
        <v>0</v>
      </c>
      <c r="AO137" s="166">
        <v>0</v>
      </c>
      <c r="AP137" s="166">
        <v>0</v>
      </c>
      <c r="AQ137" s="166">
        <v>0</v>
      </c>
      <c r="AR137" s="166">
        <v>0</v>
      </c>
      <c r="AS137" s="166">
        <v>0</v>
      </c>
      <c r="AT137" s="166">
        <v>1</v>
      </c>
      <c r="AU137" s="166">
        <v>0</v>
      </c>
      <c r="AV137" s="166">
        <v>0</v>
      </c>
      <c r="AW137" s="166">
        <v>0</v>
      </c>
      <c r="AX137" s="166">
        <v>0</v>
      </c>
      <c r="AY137" s="166">
        <v>0</v>
      </c>
      <c r="AZ137" s="166">
        <v>0</v>
      </c>
      <c r="BA137" s="166">
        <v>0</v>
      </c>
      <c r="BB137" s="166">
        <v>0</v>
      </c>
      <c r="BC137" s="166">
        <v>0</v>
      </c>
      <c r="BD137" s="166">
        <v>0</v>
      </c>
      <c r="BE137" s="166">
        <v>0</v>
      </c>
      <c r="BF137" s="166">
        <v>0</v>
      </c>
      <c r="BG137" s="166">
        <v>0</v>
      </c>
      <c r="BH137" s="166">
        <v>1</v>
      </c>
      <c r="BI137" s="166">
        <v>0</v>
      </c>
      <c r="BJ137" s="166">
        <v>0</v>
      </c>
      <c r="BK137" s="166">
        <v>0</v>
      </c>
      <c r="BL137" s="166">
        <v>0</v>
      </c>
      <c r="BM137" s="166">
        <v>0</v>
      </c>
      <c r="BN137" s="166">
        <v>0</v>
      </c>
      <c r="BO137" s="166">
        <v>0</v>
      </c>
      <c r="BP137" s="166">
        <v>0</v>
      </c>
      <c r="BQ137" s="81" t="s">
        <v>1757</v>
      </c>
      <c r="BZ137" s="81" t="s">
        <v>155</v>
      </c>
      <c r="CA137" s="81">
        <v>7</v>
      </c>
      <c r="CC137" s="167">
        <f>N137</f>
        <v>1</v>
      </c>
      <c r="CD137" s="167">
        <v>0</v>
      </c>
      <c r="CE137" s="167">
        <v>0</v>
      </c>
      <c r="CF137" s="167">
        <v>0</v>
      </c>
      <c r="CG137" s="167">
        <v>0</v>
      </c>
      <c r="CH137" s="167">
        <v>0</v>
      </c>
      <c r="CI137" s="167">
        <v>0</v>
      </c>
      <c r="CJ137" s="167">
        <v>0</v>
      </c>
      <c r="CK137" s="167">
        <v>0</v>
      </c>
      <c r="CL137" s="167">
        <v>0</v>
      </c>
      <c r="CM137" s="167">
        <v>0</v>
      </c>
      <c r="CN137" s="167">
        <v>0</v>
      </c>
      <c r="CO137" s="167">
        <v>0</v>
      </c>
      <c r="CP137" s="167">
        <v>0</v>
      </c>
      <c r="CQ137" s="167">
        <v>0</v>
      </c>
      <c r="CR137" s="167">
        <v>0</v>
      </c>
      <c r="CS137" s="167">
        <v>0</v>
      </c>
      <c r="CT137" s="167">
        <v>0</v>
      </c>
      <c r="CU137" s="167">
        <v>0</v>
      </c>
      <c r="CV137" s="167">
        <v>0</v>
      </c>
      <c r="CW137" s="167">
        <v>0</v>
      </c>
      <c r="CX137" s="167">
        <f>SUM(CD137:CH137)</f>
        <v>0</v>
      </c>
      <c r="CY137" s="167">
        <f>SUM(CD137:CM137)</f>
        <v>0</v>
      </c>
    </row>
    <row r="138" spans="1:103" ht="12.75" customHeight="1" x14ac:dyDescent="0.2">
      <c r="A138" s="81">
        <v>6019</v>
      </c>
      <c r="B138" s="165" t="s">
        <v>1924</v>
      </c>
      <c r="C138" s="165" t="s">
        <v>622</v>
      </c>
      <c r="E138" s="165" t="s">
        <v>3184</v>
      </c>
      <c r="G138" s="81">
        <v>525160</v>
      </c>
      <c r="H138" s="81">
        <v>174246</v>
      </c>
      <c r="I138" s="165" t="s">
        <v>250</v>
      </c>
      <c r="J138" s="349">
        <v>42825</v>
      </c>
      <c r="K138" s="349">
        <v>42891</v>
      </c>
      <c r="L138" s="166">
        <v>2</v>
      </c>
      <c r="M138" s="166">
        <v>1</v>
      </c>
      <c r="N138" s="166">
        <v>-1</v>
      </c>
      <c r="O138" s="166">
        <v>1</v>
      </c>
      <c r="P138" s="166">
        <v>-1</v>
      </c>
      <c r="R138" s="165" t="s">
        <v>623</v>
      </c>
      <c r="S138" s="81" t="s">
        <v>113</v>
      </c>
      <c r="T138" s="349">
        <v>42205</v>
      </c>
      <c r="U138" s="349">
        <v>42320</v>
      </c>
      <c r="W138" s="81" t="s">
        <v>114</v>
      </c>
      <c r="Y138" s="81" t="s">
        <v>115</v>
      </c>
      <c r="Z138" s="81" t="s">
        <v>398</v>
      </c>
      <c r="AA138" s="81" t="s">
        <v>117</v>
      </c>
      <c r="AB138" s="81" t="s">
        <v>336</v>
      </c>
      <c r="AC138" s="166">
        <v>1.4999999664723899E-2</v>
      </c>
      <c r="AD138" s="349">
        <v>42825</v>
      </c>
      <c r="AF138" s="349">
        <v>42891</v>
      </c>
      <c r="AG138" s="81" t="s">
        <v>238</v>
      </c>
      <c r="AH138" s="81" t="s">
        <v>118</v>
      </c>
      <c r="AK138" s="166">
        <v>0</v>
      </c>
      <c r="AM138" s="166">
        <v>0</v>
      </c>
      <c r="AO138" s="166">
        <v>0</v>
      </c>
      <c r="AP138" s="166">
        <v>-1</v>
      </c>
      <c r="AQ138" s="166">
        <v>-1</v>
      </c>
      <c r="AR138" s="166">
        <v>1</v>
      </c>
      <c r="AS138" s="166">
        <v>0</v>
      </c>
      <c r="AT138" s="166">
        <v>0</v>
      </c>
      <c r="AU138" s="166">
        <v>0</v>
      </c>
      <c r="AV138" s="166">
        <v>0</v>
      </c>
      <c r="AW138" s="166">
        <v>-1</v>
      </c>
      <c r="AX138" s="166">
        <v>-1</v>
      </c>
      <c r="AY138" s="166">
        <v>0</v>
      </c>
      <c r="AZ138" s="166">
        <v>0</v>
      </c>
      <c r="BA138" s="166">
        <v>0</v>
      </c>
      <c r="BB138" s="166">
        <v>0</v>
      </c>
      <c r="BC138" s="166">
        <v>0</v>
      </c>
      <c r="BD138" s="166">
        <v>0</v>
      </c>
      <c r="BE138" s="166">
        <v>0</v>
      </c>
      <c r="BF138" s="166">
        <v>1</v>
      </c>
      <c r="BG138" s="166">
        <v>0</v>
      </c>
      <c r="BH138" s="166">
        <v>0</v>
      </c>
      <c r="BI138" s="166">
        <v>0</v>
      </c>
      <c r="BJ138" s="166">
        <v>0</v>
      </c>
      <c r="BK138" s="166">
        <v>0</v>
      </c>
      <c r="BL138" s="166">
        <v>0</v>
      </c>
      <c r="BM138" s="166">
        <v>0</v>
      </c>
      <c r="BN138" s="166">
        <v>0</v>
      </c>
      <c r="BO138" s="166">
        <v>0</v>
      </c>
      <c r="BP138" s="166">
        <v>0</v>
      </c>
      <c r="BQ138" s="81" t="s">
        <v>1758</v>
      </c>
      <c r="BZ138" s="81" t="s">
        <v>155</v>
      </c>
      <c r="CA138" s="81">
        <v>7</v>
      </c>
      <c r="CC138" s="167">
        <f>N138</f>
        <v>-1</v>
      </c>
      <c r="CD138" s="167">
        <v>0</v>
      </c>
      <c r="CE138" s="167">
        <v>0</v>
      </c>
      <c r="CF138" s="167">
        <v>0</v>
      </c>
      <c r="CG138" s="167">
        <v>0</v>
      </c>
      <c r="CH138" s="167">
        <v>0</v>
      </c>
      <c r="CI138" s="167">
        <v>0</v>
      </c>
      <c r="CJ138" s="167">
        <v>0</v>
      </c>
      <c r="CK138" s="167">
        <v>0</v>
      </c>
      <c r="CL138" s="167">
        <v>0</v>
      </c>
      <c r="CM138" s="167">
        <v>0</v>
      </c>
      <c r="CN138" s="167">
        <v>0</v>
      </c>
      <c r="CO138" s="167">
        <v>0</v>
      </c>
      <c r="CP138" s="167">
        <v>0</v>
      </c>
      <c r="CQ138" s="167">
        <v>0</v>
      </c>
      <c r="CR138" s="167">
        <v>0</v>
      </c>
      <c r="CS138" s="167">
        <v>0</v>
      </c>
      <c r="CT138" s="167">
        <v>0</v>
      </c>
      <c r="CU138" s="167">
        <v>0</v>
      </c>
      <c r="CV138" s="167">
        <v>0</v>
      </c>
      <c r="CW138" s="167">
        <v>0</v>
      </c>
      <c r="CX138" s="167">
        <f>SUM(CD138:CH138)</f>
        <v>0</v>
      </c>
      <c r="CY138" s="167">
        <f>SUM(CD138:CM138)</f>
        <v>0</v>
      </c>
    </row>
    <row r="139" spans="1:103" ht="12.75" customHeight="1" x14ac:dyDescent="0.2">
      <c r="A139" s="81">
        <v>6026</v>
      </c>
      <c r="B139" s="165" t="s">
        <v>1924</v>
      </c>
      <c r="C139" s="165" t="s">
        <v>632</v>
      </c>
      <c r="E139" s="165" t="s">
        <v>3185</v>
      </c>
      <c r="G139" s="81">
        <v>528765</v>
      </c>
      <c r="H139" s="81">
        <v>174023</v>
      </c>
      <c r="I139" s="165" t="s">
        <v>247</v>
      </c>
      <c r="J139" s="349">
        <v>42825</v>
      </c>
      <c r="K139" s="349">
        <v>43112</v>
      </c>
      <c r="L139" s="166">
        <v>0</v>
      </c>
      <c r="M139" s="166">
        <v>7</v>
      </c>
      <c r="N139" s="166">
        <v>7</v>
      </c>
      <c r="O139" s="166">
        <v>7</v>
      </c>
      <c r="P139" s="166">
        <v>7</v>
      </c>
      <c r="R139" s="165" t="s">
        <v>913</v>
      </c>
      <c r="S139" s="81" t="s">
        <v>113</v>
      </c>
      <c r="T139" s="349">
        <v>42227</v>
      </c>
      <c r="U139" s="349">
        <v>42304</v>
      </c>
      <c r="W139" s="81" t="s">
        <v>114</v>
      </c>
      <c r="Y139" s="81" t="s">
        <v>115</v>
      </c>
      <c r="Z139" s="81" t="s">
        <v>398</v>
      </c>
      <c r="AA139" s="81" t="s">
        <v>117</v>
      </c>
      <c r="AB139" s="81" t="s">
        <v>399</v>
      </c>
      <c r="AC139" s="166">
        <v>3.7999998778104803E-2</v>
      </c>
      <c r="AD139" s="349">
        <v>42825</v>
      </c>
      <c r="AF139" s="349">
        <v>43112</v>
      </c>
      <c r="AG139" s="81" t="s">
        <v>238</v>
      </c>
      <c r="AH139" s="81" t="s">
        <v>118</v>
      </c>
      <c r="AK139" s="166">
        <v>7</v>
      </c>
      <c r="AM139" s="166">
        <v>0</v>
      </c>
      <c r="AO139" s="166">
        <v>1</v>
      </c>
      <c r="AP139" s="166">
        <v>3</v>
      </c>
      <c r="AQ139" s="166">
        <v>3</v>
      </c>
      <c r="AR139" s="166">
        <v>0</v>
      </c>
      <c r="AS139" s="166">
        <v>0</v>
      </c>
      <c r="AT139" s="166">
        <v>0</v>
      </c>
      <c r="AU139" s="166">
        <v>0</v>
      </c>
      <c r="AV139" s="166">
        <v>1</v>
      </c>
      <c r="AW139" s="166">
        <v>3</v>
      </c>
      <c r="AX139" s="166">
        <v>3</v>
      </c>
      <c r="AY139" s="166">
        <v>0</v>
      </c>
      <c r="AZ139" s="166">
        <v>0</v>
      </c>
      <c r="BA139" s="166">
        <v>0</v>
      </c>
      <c r="BB139" s="166">
        <v>0</v>
      </c>
      <c r="BC139" s="166">
        <v>0</v>
      </c>
      <c r="BD139" s="166">
        <v>0</v>
      </c>
      <c r="BE139" s="166">
        <v>0</v>
      </c>
      <c r="BF139" s="166">
        <v>0</v>
      </c>
      <c r="BG139" s="166">
        <v>0</v>
      </c>
      <c r="BH139" s="166">
        <v>0</v>
      </c>
      <c r="BI139" s="166">
        <v>0</v>
      </c>
      <c r="BJ139" s="166">
        <v>0</v>
      </c>
      <c r="BK139" s="166">
        <v>0</v>
      </c>
      <c r="BL139" s="166">
        <v>0</v>
      </c>
      <c r="BM139" s="166">
        <v>0</v>
      </c>
      <c r="BN139" s="166">
        <v>0</v>
      </c>
      <c r="BO139" s="166">
        <v>0</v>
      </c>
      <c r="BP139" s="166">
        <v>0</v>
      </c>
      <c r="BQ139" s="81" t="s">
        <v>1757</v>
      </c>
      <c r="BZ139" s="81" t="s">
        <v>155</v>
      </c>
      <c r="CA139" s="81">
        <v>7</v>
      </c>
      <c r="CC139" s="167">
        <f>N139</f>
        <v>7</v>
      </c>
      <c r="CD139" s="167">
        <v>0</v>
      </c>
      <c r="CE139" s="167">
        <v>0</v>
      </c>
      <c r="CF139" s="167">
        <v>0</v>
      </c>
      <c r="CG139" s="167">
        <v>0</v>
      </c>
      <c r="CH139" s="167">
        <v>0</v>
      </c>
      <c r="CI139" s="167">
        <v>0</v>
      </c>
      <c r="CJ139" s="167">
        <v>0</v>
      </c>
      <c r="CK139" s="167">
        <v>0</v>
      </c>
      <c r="CL139" s="167">
        <v>0</v>
      </c>
      <c r="CM139" s="167">
        <v>0</v>
      </c>
      <c r="CN139" s="167">
        <v>0</v>
      </c>
      <c r="CO139" s="167">
        <v>0</v>
      </c>
      <c r="CP139" s="167">
        <v>0</v>
      </c>
      <c r="CQ139" s="167">
        <v>0</v>
      </c>
      <c r="CR139" s="167">
        <v>0</v>
      </c>
      <c r="CS139" s="167">
        <v>0</v>
      </c>
      <c r="CT139" s="167">
        <v>0</v>
      </c>
      <c r="CU139" s="167">
        <v>0</v>
      </c>
      <c r="CV139" s="167">
        <v>0</v>
      </c>
      <c r="CW139" s="167">
        <v>0</v>
      </c>
      <c r="CX139" s="167">
        <f>SUM(CD139:CH139)</f>
        <v>0</v>
      </c>
      <c r="CY139" s="167">
        <f>SUM(CD139:CM139)</f>
        <v>0</v>
      </c>
    </row>
    <row r="140" spans="1:103" ht="12.75" customHeight="1" x14ac:dyDescent="0.2">
      <c r="A140" s="81">
        <v>6041</v>
      </c>
      <c r="B140" s="165" t="s">
        <v>1924</v>
      </c>
      <c r="C140" s="165" t="s">
        <v>531</v>
      </c>
      <c r="E140" s="165" t="s">
        <v>3186</v>
      </c>
      <c r="F140" s="165" t="s">
        <v>532</v>
      </c>
      <c r="G140" s="81">
        <v>528421</v>
      </c>
      <c r="H140" s="81">
        <v>173244</v>
      </c>
      <c r="I140" s="165" t="s">
        <v>254</v>
      </c>
      <c r="J140" s="349">
        <v>42432</v>
      </c>
      <c r="K140" s="349">
        <v>42838</v>
      </c>
      <c r="L140" s="166">
        <v>1</v>
      </c>
      <c r="M140" s="166">
        <v>2</v>
      </c>
      <c r="N140" s="166">
        <v>1</v>
      </c>
      <c r="O140" s="166">
        <v>4</v>
      </c>
      <c r="P140" s="166">
        <v>1</v>
      </c>
      <c r="R140" s="165" t="s">
        <v>766</v>
      </c>
      <c r="S140" s="81" t="s">
        <v>113</v>
      </c>
      <c r="T140" s="349">
        <v>42348</v>
      </c>
      <c r="U140" s="349">
        <v>42404</v>
      </c>
      <c r="W140" s="81" t="s">
        <v>114</v>
      </c>
      <c r="Y140" s="81" t="s">
        <v>115</v>
      </c>
      <c r="Z140" s="81" t="s">
        <v>398</v>
      </c>
      <c r="AA140" s="81" t="s">
        <v>117</v>
      </c>
      <c r="AB140" s="81" t="s">
        <v>220</v>
      </c>
      <c r="AC140" s="166">
        <v>1.2000000104308101E-2</v>
      </c>
      <c r="AD140" s="349">
        <v>42432</v>
      </c>
      <c r="AF140" s="349">
        <v>42838</v>
      </c>
      <c r="AG140" s="81" t="s">
        <v>238</v>
      </c>
      <c r="AH140" s="81" t="s">
        <v>118</v>
      </c>
      <c r="AK140" s="166">
        <v>0</v>
      </c>
      <c r="AM140" s="166">
        <v>0</v>
      </c>
      <c r="AO140" s="166">
        <v>0</v>
      </c>
      <c r="AP140" s="166">
        <v>1</v>
      </c>
      <c r="AQ140" s="166">
        <v>0</v>
      </c>
      <c r="AR140" s="166">
        <v>0</v>
      </c>
      <c r="AS140" s="166">
        <v>0</v>
      </c>
      <c r="AT140" s="166">
        <v>0</v>
      </c>
      <c r="AU140" s="166">
        <v>0</v>
      </c>
      <c r="AV140" s="166">
        <v>0</v>
      </c>
      <c r="AW140" s="166">
        <v>1</v>
      </c>
      <c r="AX140" s="166">
        <v>0</v>
      </c>
      <c r="AY140" s="166">
        <v>0</v>
      </c>
      <c r="AZ140" s="166">
        <v>0</v>
      </c>
      <c r="BA140" s="166">
        <v>0</v>
      </c>
      <c r="BB140" s="166">
        <v>0</v>
      </c>
      <c r="BC140" s="166">
        <v>0</v>
      </c>
      <c r="BD140" s="166">
        <v>0</v>
      </c>
      <c r="BE140" s="166">
        <v>0</v>
      </c>
      <c r="BF140" s="166">
        <v>0</v>
      </c>
      <c r="BG140" s="166">
        <v>0</v>
      </c>
      <c r="BH140" s="166">
        <v>0</v>
      </c>
      <c r="BI140" s="166">
        <v>0</v>
      </c>
      <c r="BJ140" s="166">
        <v>0</v>
      </c>
      <c r="BK140" s="166">
        <v>0</v>
      </c>
      <c r="BL140" s="166">
        <v>0</v>
      </c>
      <c r="BM140" s="166">
        <v>0</v>
      </c>
      <c r="BN140" s="166">
        <v>0</v>
      </c>
      <c r="BO140" s="166">
        <v>0</v>
      </c>
      <c r="BP140" s="166">
        <v>0</v>
      </c>
      <c r="BQ140" s="81" t="s">
        <v>1757</v>
      </c>
      <c r="BR140" s="81" t="s">
        <v>247</v>
      </c>
      <c r="BZ140" s="81" t="s">
        <v>155</v>
      </c>
      <c r="CA140" s="81">
        <v>7</v>
      </c>
      <c r="CC140" s="167">
        <f>N140</f>
        <v>1</v>
      </c>
      <c r="CD140" s="167">
        <v>0</v>
      </c>
      <c r="CE140" s="167">
        <v>0</v>
      </c>
      <c r="CF140" s="167">
        <v>0</v>
      </c>
      <c r="CG140" s="167">
        <v>0</v>
      </c>
      <c r="CH140" s="167">
        <v>0</v>
      </c>
      <c r="CI140" s="167">
        <v>0</v>
      </c>
      <c r="CJ140" s="167">
        <v>0</v>
      </c>
      <c r="CK140" s="167">
        <v>0</v>
      </c>
      <c r="CL140" s="167">
        <v>0</v>
      </c>
      <c r="CM140" s="167">
        <v>0</v>
      </c>
      <c r="CN140" s="167">
        <v>0</v>
      </c>
      <c r="CO140" s="167">
        <v>0</v>
      </c>
      <c r="CP140" s="167">
        <v>0</v>
      </c>
      <c r="CQ140" s="167">
        <v>0</v>
      </c>
      <c r="CR140" s="167">
        <v>0</v>
      </c>
      <c r="CS140" s="167">
        <v>0</v>
      </c>
      <c r="CT140" s="167">
        <v>0</v>
      </c>
      <c r="CU140" s="167">
        <v>0</v>
      </c>
      <c r="CV140" s="167">
        <v>0</v>
      </c>
      <c r="CW140" s="167">
        <v>0</v>
      </c>
      <c r="CX140" s="167">
        <f>SUM(CD140:CH140)</f>
        <v>0</v>
      </c>
      <c r="CY140" s="167">
        <f>SUM(CD140:CM140)</f>
        <v>0</v>
      </c>
    </row>
    <row r="141" spans="1:103" ht="12.75" customHeight="1" x14ac:dyDescent="0.2">
      <c r="A141" s="81">
        <v>6041</v>
      </c>
      <c r="B141" s="165" t="s">
        <v>1924</v>
      </c>
      <c r="C141" s="165" t="s">
        <v>531</v>
      </c>
      <c r="E141" s="165" t="s">
        <v>3186</v>
      </c>
      <c r="F141" s="165" t="s">
        <v>533</v>
      </c>
      <c r="G141" s="81">
        <v>528421</v>
      </c>
      <c r="H141" s="81">
        <v>173244</v>
      </c>
      <c r="I141" s="165" t="s">
        <v>254</v>
      </c>
      <c r="J141" s="349">
        <v>42432</v>
      </c>
      <c r="K141" s="349">
        <v>42838</v>
      </c>
      <c r="L141" s="166">
        <v>2</v>
      </c>
      <c r="M141" s="166">
        <v>2</v>
      </c>
      <c r="N141" s="166">
        <v>0</v>
      </c>
      <c r="O141" s="166">
        <v>4</v>
      </c>
      <c r="P141" s="166">
        <v>1</v>
      </c>
      <c r="R141" s="165" t="s">
        <v>766</v>
      </c>
      <c r="S141" s="81" t="s">
        <v>113</v>
      </c>
      <c r="T141" s="349">
        <v>42348</v>
      </c>
      <c r="U141" s="349">
        <v>42404</v>
      </c>
      <c r="W141" s="81" t="s">
        <v>114</v>
      </c>
      <c r="Y141" s="81" t="s">
        <v>115</v>
      </c>
      <c r="Z141" s="81" t="s">
        <v>398</v>
      </c>
      <c r="AA141" s="81" t="s">
        <v>117</v>
      </c>
      <c r="AB141" s="81" t="s">
        <v>220</v>
      </c>
      <c r="AC141" s="166">
        <v>1.2000000104308101E-2</v>
      </c>
      <c r="AD141" s="349">
        <v>42432</v>
      </c>
      <c r="AF141" s="349">
        <v>42838</v>
      </c>
      <c r="AG141" s="81" t="s">
        <v>238</v>
      </c>
      <c r="AH141" s="81" t="s">
        <v>118</v>
      </c>
      <c r="AK141" s="166">
        <v>0</v>
      </c>
      <c r="AM141" s="166">
        <v>0</v>
      </c>
      <c r="AO141" s="166">
        <v>-1</v>
      </c>
      <c r="AP141" s="166">
        <v>1</v>
      </c>
      <c r="AQ141" s="166">
        <v>0</v>
      </c>
      <c r="AR141" s="166">
        <v>0</v>
      </c>
      <c r="AS141" s="166">
        <v>0</v>
      </c>
      <c r="AT141" s="166">
        <v>0</v>
      </c>
      <c r="AU141" s="166">
        <v>0</v>
      </c>
      <c r="AV141" s="166">
        <v>-1</v>
      </c>
      <c r="AW141" s="166">
        <v>1</v>
      </c>
      <c r="AX141" s="166">
        <v>0</v>
      </c>
      <c r="AY141" s="166">
        <v>0</v>
      </c>
      <c r="AZ141" s="166">
        <v>0</v>
      </c>
      <c r="BA141" s="166">
        <v>0</v>
      </c>
      <c r="BB141" s="166">
        <v>0</v>
      </c>
      <c r="BC141" s="166">
        <v>0</v>
      </c>
      <c r="BD141" s="166">
        <v>0</v>
      </c>
      <c r="BE141" s="166">
        <v>0</v>
      </c>
      <c r="BF141" s="166">
        <v>0</v>
      </c>
      <c r="BG141" s="166">
        <v>0</v>
      </c>
      <c r="BH141" s="166">
        <v>0</v>
      </c>
      <c r="BI141" s="166">
        <v>0</v>
      </c>
      <c r="BJ141" s="166">
        <v>0</v>
      </c>
      <c r="BK141" s="166">
        <v>0</v>
      </c>
      <c r="BL141" s="166">
        <v>0</v>
      </c>
      <c r="BM141" s="166">
        <v>0</v>
      </c>
      <c r="BN141" s="166">
        <v>0</v>
      </c>
      <c r="BO141" s="166">
        <v>0</v>
      </c>
      <c r="BP141" s="166">
        <v>0</v>
      </c>
      <c r="BQ141" s="81" t="s">
        <v>1757</v>
      </c>
      <c r="BR141" s="81" t="s">
        <v>247</v>
      </c>
      <c r="BZ141" s="81" t="s">
        <v>155</v>
      </c>
      <c r="CA141" s="81">
        <v>7</v>
      </c>
      <c r="CC141" s="167">
        <f>N141</f>
        <v>0</v>
      </c>
      <c r="CD141" s="167">
        <v>0</v>
      </c>
      <c r="CE141" s="167">
        <v>0</v>
      </c>
      <c r="CF141" s="167">
        <v>0</v>
      </c>
      <c r="CG141" s="167">
        <v>0</v>
      </c>
      <c r="CH141" s="167">
        <v>0</v>
      </c>
      <c r="CI141" s="167">
        <v>0</v>
      </c>
      <c r="CJ141" s="167">
        <v>0</v>
      </c>
      <c r="CK141" s="167">
        <v>0</v>
      </c>
      <c r="CL141" s="167">
        <v>0</v>
      </c>
      <c r="CM141" s="167">
        <v>0</v>
      </c>
      <c r="CN141" s="167">
        <v>0</v>
      </c>
      <c r="CO141" s="167">
        <v>0</v>
      </c>
      <c r="CP141" s="167">
        <v>0</v>
      </c>
      <c r="CQ141" s="167">
        <v>0</v>
      </c>
      <c r="CR141" s="167">
        <v>0</v>
      </c>
      <c r="CS141" s="167">
        <v>0</v>
      </c>
      <c r="CT141" s="167">
        <v>0</v>
      </c>
      <c r="CU141" s="167">
        <v>0</v>
      </c>
      <c r="CV141" s="167">
        <v>0</v>
      </c>
      <c r="CW141" s="167">
        <v>0</v>
      </c>
      <c r="CX141" s="167">
        <f>SUM(CD141:CH141)</f>
        <v>0</v>
      </c>
      <c r="CY141" s="167">
        <f>SUM(CD141:CM141)</f>
        <v>0</v>
      </c>
    </row>
    <row r="142" spans="1:103" ht="12.75" customHeight="1" x14ac:dyDescent="0.2">
      <c r="A142" s="81">
        <v>6056</v>
      </c>
      <c r="B142" s="165" t="s">
        <v>1924</v>
      </c>
      <c r="C142" s="165" t="s">
        <v>526</v>
      </c>
      <c r="E142" s="165" t="s">
        <v>3187</v>
      </c>
      <c r="G142" s="81">
        <v>525134</v>
      </c>
      <c r="H142" s="81">
        <v>173399</v>
      </c>
      <c r="I142" s="165" t="s">
        <v>258</v>
      </c>
      <c r="J142" s="349">
        <v>42388</v>
      </c>
      <c r="K142" s="349">
        <v>42830</v>
      </c>
      <c r="L142" s="166">
        <v>0</v>
      </c>
      <c r="M142" s="166">
        <v>2</v>
      </c>
      <c r="N142" s="166">
        <v>2</v>
      </c>
      <c r="O142" s="166">
        <v>2</v>
      </c>
      <c r="P142" s="166">
        <v>2</v>
      </c>
      <c r="R142" s="165" t="s">
        <v>763</v>
      </c>
      <c r="S142" s="81" t="s">
        <v>113</v>
      </c>
      <c r="T142" s="349">
        <v>42325</v>
      </c>
      <c r="U142" s="349">
        <v>42381</v>
      </c>
      <c r="W142" s="81" t="s">
        <v>114</v>
      </c>
      <c r="Y142" s="81" t="s">
        <v>115</v>
      </c>
      <c r="Z142" s="81" t="s">
        <v>398</v>
      </c>
      <c r="AA142" s="81" t="s">
        <v>117</v>
      </c>
      <c r="AB142" s="81" t="s">
        <v>311</v>
      </c>
      <c r="AC142" s="166">
        <v>1.7000000923872001E-2</v>
      </c>
      <c r="AD142" s="349">
        <v>42388</v>
      </c>
      <c r="AF142" s="349">
        <v>42830</v>
      </c>
      <c r="AG142" s="81" t="s">
        <v>238</v>
      </c>
      <c r="AH142" s="81" t="s">
        <v>118</v>
      </c>
      <c r="AK142" s="166">
        <v>0</v>
      </c>
      <c r="AM142" s="166">
        <v>0</v>
      </c>
      <c r="AO142" s="166">
        <v>1</v>
      </c>
      <c r="AP142" s="166">
        <v>0</v>
      </c>
      <c r="AQ142" s="166">
        <v>0</v>
      </c>
      <c r="AR142" s="166">
        <v>1</v>
      </c>
      <c r="AS142" s="166">
        <v>0</v>
      </c>
      <c r="AT142" s="166">
        <v>0</v>
      </c>
      <c r="AU142" s="166">
        <v>0</v>
      </c>
      <c r="AV142" s="166">
        <v>1</v>
      </c>
      <c r="AW142" s="166">
        <v>0</v>
      </c>
      <c r="AX142" s="166">
        <v>0</v>
      </c>
      <c r="AY142" s="166">
        <v>1</v>
      </c>
      <c r="AZ142" s="166">
        <v>0</v>
      </c>
      <c r="BA142" s="166">
        <v>0</v>
      </c>
      <c r="BB142" s="166">
        <v>0</v>
      </c>
      <c r="BC142" s="166">
        <v>0</v>
      </c>
      <c r="BD142" s="166">
        <v>0</v>
      </c>
      <c r="BE142" s="166">
        <v>0</v>
      </c>
      <c r="BF142" s="166">
        <v>0</v>
      </c>
      <c r="BG142" s="166">
        <v>0</v>
      </c>
      <c r="BH142" s="166">
        <v>0</v>
      </c>
      <c r="BI142" s="166">
        <v>0</v>
      </c>
      <c r="BJ142" s="166">
        <v>0</v>
      </c>
      <c r="BK142" s="166">
        <v>0</v>
      </c>
      <c r="BL142" s="166">
        <v>0</v>
      </c>
      <c r="BM142" s="166">
        <v>0</v>
      </c>
      <c r="BN142" s="166">
        <v>0</v>
      </c>
      <c r="BO142" s="166">
        <v>0</v>
      </c>
      <c r="BP142" s="166">
        <v>0</v>
      </c>
      <c r="BQ142" s="81" t="s">
        <v>1758</v>
      </c>
      <c r="BZ142" s="81" t="s">
        <v>155</v>
      </c>
      <c r="CA142" s="81">
        <v>7</v>
      </c>
      <c r="CC142" s="167">
        <f>N142</f>
        <v>2</v>
      </c>
      <c r="CD142" s="167">
        <v>0</v>
      </c>
      <c r="CE142" s="167">
        <v>0</v>
      </c>
      <c r="CF142" s="167">
        <v>0</v>
      </c>
      <c r="CG142" s="167">
        <v>0</v>
      </c>
      <c r="CH142" s="167">
        <v>0</v>
      </c>
      <c r="CI142" s="167">
        <v>0</v>
      </c>
      <c r="CJ142" s="167">
        <v>0</v>
      </c>
      <c r="CK142" s="167">
        <v>0</v>
      </c>
      <c r="CL142" s="167">
        <v>0</v>
      </c>
      <c r="CM142" s="167">
        <v>0</v>
      </c>
      <c r="CN142" s="167">
        <v>0</v>
      </c>
      <c r="CO142" s="167">
        <v>0</v>
      </c>
      <c r="CP142" s="167">
        <v>0</v>
      </c>
      <c r="CQ142" s="167">
        <v>0</v>
      </c>
      <c r="CR142" s="167">
        <v>0</v>
      </c>
      <c r="CS142" s="167">
        <v>0</v>
      </c>
      <c r="CT142" s="167">
        <v>0</v>
      </c>
      <c r="CU142" s="167">
        <v>0</v>
      </c>
      <c r="CV142" s="167">
        <v>0</v>
      </c>
      <c r="CW142" s="167">
        <v>0</v>
      </c>
      <c r="CX142" s="167">
        <f>SUM(CD142:CH142)</f>
        <v>0</v>
      </c>
      <c r="CY142" s="167">
        <f>SUM(CD142:CM142)</f>
        <v>0</v>
      </c>
    </row>
    <row r="143" spans="1:103" ht="12.75" customHeight="1" x14ac:dyDescent="0.2">
      <c r="A143" s="81">
        <v>6059</v>
      </c>
      <c r="B143" s="165" t="s">
        <v>1924</v>
      </c>
      <c r="C143" s="165" t="s">
        <v>645</v>
      </c>
      <c r="E143" s="165" t="s">
        <v>3188</v>
      </c>
      <c r="G143" s="81">
        <v>522113</v>
      </c>
      <c r="H143" s="81">
        <v>175402</v>
      </c>
      <c r="I143" s="165" t="s">
        <v>59</v>
      </c>
      <c r="J143" s="349">
        <v>42826</v>
      </c>
      <c r="K143" s="349">
        <v>43190</v>
      </c>
      <c r="L143" s="166">
        <v>1</v>
      </c>
      <c r="M143" s="166">
        <v>2</v>
      </c>
      <c r="N143" s="166">
        <v>1</v>
      </c>
      <c r="O143" s="166">
        <v>2</v>
      </c>
      <c r="P143" s="166">
        <v>1</v>
      </c>
      <c r="R143" s="165" t="s">
        <v>646</v>
      </c>
      <c r="S143" s="81" t="s">
        <v>113</v>
      </c>
      <c r="T143" s="349">
        <v>42262</v>
      </c>
      <c r="U143" s="349">
        <v>42321</v>
      </c>
      <c r="W143" s="81" t="s">
        <v>114</v>
      </c>
      <c r="Y143" s="81" t="s">
        <v>115</v>
      </c>
      <c r="Z143" s="81" t="s">
        <v>119</v>
      </c>
      <c r="AA143" s="81" t="s">
        <v>117</v>
      </c>
      <c r="AB143" s="81" t="s">
        <v>120</v>
      </c>
      <c r="AC143" s="166">
        <v>2.8000000864267301E-2</v>
      </c>
      <c r="AD143" s="349">
        <v>42826</v>
      </c>
      <c r="AE143" s="81" t="s">
        <v>155</v>
      </c>
      <c r="AF143" s="349">
        <v>43190</v>
      </c>
      <c r="AG143" s="81" t="s">
        <v>238</v>
      </c>
      <c r="AH143" s="81" t="s">
        <v>118</v>
      </c>
      <c r="AK143" s="166">
        <v>0</v>
      </c>
      <c r="AM143" s="166">
        <v>0</v>
      </c>
      <c r="AO143" s="166">
        <v>0</v>
      </c>
      <c r="AP143" s="166">
        <v>0</v>
      </c>
      <c r="AQ143" s="166">
        <v>1</v>
      </c>
      <c r="AR143" s="166">
        <v>1</v>
      </c>
      <c r="AS143" s="166">
        <v>0</v>
      </c>
      <c r="AT143" s="166">
        <v>-1</v>
      </c>
      <c r="AU143" s="166">
        <v>0</v>
      </c>
      <c r="AV143" s="166">
        <v>0</v>
      </c>
      <c r="AW143" s="166">
        <v>0</v>
      </c>
      <c r="AX143" s="166">
        <v>1</v>
      </c>
      <c r="AY143" s="166">
        <v>1</v>
      </c>
      <c r="AZ143" s="166">
        <v>0</v>
      </c>
      <c r="BA143" s="166">
        <v>0</v>
      </c>
      <c r="BB143" s="166">
        <v>0</v>
      </c>
      <c r="BC143" s="166">
        <v>0</v>
      </c>
      <c r="BD143" s="166">
        <v>0</v>
      </c>
      <c r="BE143" s="166">
        <v>0</v>
      </c>
      <c r="BF143" s="166">
        <v>0</v>
      </c>
      <c r="BG143" s="166">
        <v>0</v>
      </c>
      <c r="BH143" s="166">
        <v>-1</v>
      </c>
      <c r="BI143" s="166">
        <v>0</v>
      </c>
      <c r="BJ143" s="166">
        <v>0</v>
      </c>
      <c r="BK143" s="166">
        <v>0</v>
      </c>
      <c r="BL143" s="166">
        <v>0</v>
      </c>
      <c r="BM143" s="166">
        <v>0</v>
      </c>
      <c r="BN143" s="166">
        <v>0</v>
      </c>
      <c r="BO143" s="166">
        <v>0</v>
      </c>
      <c r="BP143" s="166">
        <v>0</v>
      </c>
      <c r="BQ143" s="81" t="s">
        <v>1758</v>
      </c>
      <c r="BZ143" s="81" t="s">
        <v>155</v>
      </c>
      <c r="CA143" s="81">
        <v>7</v>
      </c>
      <c r="CC143" s="167">
        <f>N143</f>
        <v>1</v>
      </c>
      <c r="CD143" s="167">
        <v>0</v>
      </c>
      <c r="CE143" s="167">
        <v>0</v>
      </c>
      <c r="CF143" s="167">
        <v>0</v>
      </c>
      <c r="CG143" s="167">
        <v>0</v>
      </c>
      <c r="CH143" s="167">
        <v>0</v>
      </c>
      <c r="CI143" s="167">
        <v>0</v>
      </c>
      <c r="CJ143" s="167">
        <v>0</v>
      </c>
      <c r="CK143" s="167">
        <v>0</v>
      </c>
      <c r="CL143" s="167">
        <v>0</v>
      </c>
      <c r="CM143" s="167">
        <v>0</v>
      </c>
      <c r="CN143" s="167">
        <v>0</v>
      </c>
      <c r="CO143" s="167">
        <v>0</v>
      </c>
      <c r="CP143" s="167">
        <v>0</v>
      </c>
      <c r="CQ143" s="167">
        <v>0</v>
      </c>
      <c r="CR143" s="167">
        <v>0</v>
      </c>
      <c r="CS143" s="167">
        <v>0</v>
      </c>
      <c r="CT143" s="167">
        <v>0</v>
      </c>
      <c r="CU143" s="167">
        <v>0</v>
      </c>
      <c r="CV143" s="167">
        <v>0</v>
      </c>
      <c r="CW143" s="167">
        <v>0</v>
      </c>
      <c r="CX143" s="167">
        <f>SUM(CD143:CH143)</f>
        <v>0</v>
      </c>
      <c r="CY143" s="167">
        <f>SUM(CD143:CM143)</f>
        <v>0</v>
      </c>
    </row>
    <row r="144" spans="1:103" ht="12.75" customHeight="1" x14ac:dyDescent="0.2">
      <c r="A144" s="81">
        <v>6062</v>
      </c>
      <c r="B144" s="165" t="s">
        <v>1924</v>
      </c>
      <c r="C144" s="165" t="s">
        <v>3189</v>
      </c>
      <c r="E144" s="165" t="s">
        <v>3190</v>
      </c>
      <c r="G144" s="81">
        <v>527568</v>
      </c>
      <c r="H144" s="81">
        <v>174693</v>
      </c>
      <c r="I144" s="165" t="s">
        <v>255</v>
      </c>
      <c r="J144" s="349">
        <v>43052</v>
      </c>
      <c r="K144" s="349">
        <v>43190</v>
      </c>
      <c r="L144" s="166">
        <v>1</v>
      </c>
      <c r="M144" s="166">
        <v>2</v>
      </c>
      <c r="N144" s="166">
        <v>1</v>
      </c>
      <c r="O144" s="166">
        <v>2</v>
      </c>
      <c r="P144" s="166">
        <v>1</v>
      </c>
      <c r="R144" s="165" t="s">
        <v>3191</v>
      </c>
      <c r="S144" s="81" t="s">
        <v>113</v>
      </c>
      <c r="T144" s="349">
        <v>42977</v>
      </c>
      <c r="U144" s="349">
        <v>43052</v>
      </c>
      <c r="V144" s="81" t="s">
        <v>155</v>
      </c>
      <c r="W144" s="81" t="s">
        <v>114</v>
      </c>
      <c r="Y144" s="81" t="s">
        <v>115</v>
      </c>
      <c r="Z144" s="81" t="s">
        <v>398</v>
      </c>
      <c r="AA144" s="81" t="s">
        <v>117</v>
      </c>
      <c r="AB144" s="81" t="s">
        <v>120</v>
      </c>
      <c r="AC144" s="166">
        <v>1.60000007599592E-2</v>
      </c>
      <c r="AD144" s="349">
        <v>43052</v>
      </c>
      <c r="AE144" s="81" t="s">
        <v>155</v>
      </c>
      <c r="AF144" s="349">
        <v>43190</v>
      </c>
      <c r="AG144" s="81" t="s">
        <v>238</v>
      </c>
      <c r="AH144" s="81" t="s">
        <v>118</v>
      </c>
      <c r="AK144" s="166">
        <v>0</v>
      </c>
      <c r="AM144" s="166">
        <v>0</v>
      </c>
      <c r="AO144" s="166">
        <v>0</v>
      </c>
      <c r="AP144" s="166">
        <v>0</v>
      </c>
      <c r="AQ144" s="166">
        <v>1</v>
      </c>
      <c r="AR144" s="166">
        <v>0</v>
      </c>
      <c r="AS144" s="166">
        <v>0</v>
      </c>
      <c r="AT144" s="166">
        <v>0</v>
      </c>
      <c r="AU144" s="166">
        <v>0</v>
      </c>
      <c r="AV144" s="166">
        <v>0</v>
      </c>
      <c r="AW144" s="166">
        <v>0</v>
      </c>
      <c r="AX144" s="166">
        <v>1</v>
      </c>
      <c r="AY144" s="166">
        <v>1</v>
      </c>
      <c r="AZ144" s="166">
        <v>0</v>
      </c>
      <c r="BA144" s="166">
        <v>0</v>
      </c>
      <c r="BB144" s="166">
        <v>0</v>
      </c>
      <c r="BC144" s="166">
        <v>0</v>
      </c>
      <c r="BD144" s="166">
        <v>0</v>
      </c>
      <c r="BE144" s="166">
        <v>0</v>
      </c>
      <c r="BF144" s="166">
        <v>-1</v>
      </c>
      <c r="BG144" s="166">
        <v>0</v>
      </c>
      <c r="BH144" s="166">
        <v>0</v>
      </c>
      <c r="BI144" s="166">
        <v>0</v>
      </c>
      <c r="BJ144" s="166">
        <v>0</v>
      </c>
      <c r="BK144" s="166">
        <v>0</v>
      </c>
      <c r="BL144" s="166">
        <v>0</v>
      </c>
      <c r="BM144" s="166">
        <v>0</v>
      </c>
      <c r="BN144" s="166">
        <v>0</v>
      </c>
      <c r="BO144" s="166">
        <v>0</v>
      </c>
      <c r="BP144" s="166">
        <v>0</v>
      </c>
      <c r="BQ144" s="81" t="s">
        <v>1757</v>
      </c>
      <c r="BZ144" s="81" t="s">
        <v>155</v>
      </c>
      <c r="CA144" s="81">
        <v>7</v>
      </c>
      <c r="CC144" s="167">
        <f>N144</f>
        <v>1</v>
      </c>
      <c r="CD144" s="167">
        <v>0</v>
      </c>
      <c r="CE144" s="167">
        <v>0</v>
      </c>
      <c r="CF144" s="167">
        <v>0</v>
      </c>
      <c r="CG144" s="167">
        <v>0</v>
      </c>
      <c r="CH144" s="167">
        <v>0</v>
      </c>
      <c r="CI144" s="167">
        <v>0</v>
      </c>
      <c r="CJ144" s="167">
        <v>0</v>
      </c>
      <c r="CK144" s="167">
        <v>0</v>
      </c>
      <c r="CL144" s="167">
        <v>0</v>
      </c>
      <c r="CM144" s="167">
        <v>0</v>
      </c>
      <c r="CN144" s="167">
        <v>0</v>
      </c>
      <c r="CO144" s="167">
        <v>0</v>
      </c>
      <c r="CP144" s="167">
        <v>0</v>
      </c>
      <c r="CQ144" s="167">
        <v>0</v>
      </c>
      <c r="CR144" s="167">
        <v>0</v>
      </c>
      <c r="CS144" s="167">
        <v>0</v>
      </c>
      <c r="CT144" s="167">
        <v>0</v>
      </c>
      <c r="CU144" s="167">
        <v>0</v>
      </c>
      <c r="CV144" s="167">
        <v>0</v>
      </c>
      <c r="CW144" s="167">
        <v>0</v>
      </c>
      <c r="CX144" s="167">
        <f>SUM(CD144:CH144)</f>
        <v>0</v>
      </c>
      <c r="CY144" s="167">
        <f>SUM(CD144:CM144)</f>
        <v>0</v>
      </c>
    </row>
    <row r="145" spans="1:103" ht="12.75" customHeight="1" x14ac:dyDescent="0.2">
      <c r="A145" s="81">
        <v>6065</v>
      </c>
      <c r="B145" s="165" t="s">
        <v>1924</v>
      </c>
      <c r="C145" s="165" t="s">
        <v>530</v>
      </c>
      <c r="E145" s="165" t="s">
        <v>3192</v>
      </c>
      <c r="G145" s="81">
        <v>528949</v>
      </c>
      <c r="H145" s="81">
        <v>173592</v>
      </c>
      <c r="I145" s="165" t="s">
        <v>247</v>
      </c>
      <c r="J145" s="349">
        <v>42401</v>
      </c>
      <c r="K145" s="349">
        <v>42885</v>
      </c>
      <c r="L145" s="166">
        <v>0</v>
      </c>
      <c r="M145" s="166">
        <v>5</v>
      </c>
      <c r="N145" s="166">
        <v>5</v>
      </c>
      <c r="O145" s="166">
        <v>9</v>
      </c>
      <c r="P145" s="166">
        <v>9</v>
      </c>
      <c r="R145" s="165" t="s">
        <v>765</v>
      </c>
      <c r="S145" s="81" t="s">
        <v>113</v>
      </c>
      <c r="T145" s="349">
        <v>42276</v>
      </c>
      <c r="U145" s="349">
        <v>42359</v>
      </c>
      <c r="W145" s="81" t="s">
        <v>114</v>
      </c>
      <c r="Y145" s="81" t="s">
        <v>115</v>
      </c>
      <c r="Z145" s="81" t="s">
        <v>398</v>
      </c>
      <c r="AA145" s="81" t="s">
        <v>117</v>
      </c>
      <c r="AB145" s="81" t="s">
        <v>218</v>
      </c>
      <c r="AC145" s="166">
        <v>9.9999997764825804E-3</v>
      </c>
      <c r="AD145" s="349">
        <v>42401</v>
      </c>
      <c r="AF145" s="349">
        <v>42885</v>
      </c>
      <c r="AG145" s="81" t="s">
        <v>238</v>
      </c>
      <c r="AH145" s="81" t="s">
        <v>118</v>
      </c>
      <c r="AK145" s="166">
        <v>5</v>
      </c>
      <c r="AM145" s="166">
        <v>0</v>
      </c>
      <c r="AO145" s="166">
        <v>0</v>
      </c>
      <c r="AP145" s="166">
        <v>0</v>
      </c>
      <c r="AQ145" s="166">
        <v>5</v>
      </c>
      <c r="AR145" s="166">
        <v>0</v>
      </c>
      <c r="AS145" s="166">
        <v>0</v>
      </c>
      <c r="AT145" s="166">
        <v>0</v>
      </c>
      <c r="AU145" s="166">
        <v>0</v>
      </c>
      <c r="AV145" s="166">
        <v>0</v>
      </c>
      <c r="AW145" s="166">
        <v>0</v>
      </c>
      <c r="AX145" s="166">
        <v>4</v>
      </c>
      <c r="AY145" s="166">
        <v>0</v>
      </c>
      <c r="AZ145" s="166">
        <v>0</v>
      </c>
      <c r="BA145" s="166">
        <v>0</v>
      </c>
      <c r="BB145" s="166">
        <v>0</v>
      </c>
      <c r="BC145" s="166">
        <v>0</v>
      </c>
      <c r="BD145" s="166">
        <v>0</v>
      </c>
      <c r="BE145" s="166">
        <v>1</v>
      </c>
      <c r="BF145" s="166">
        <v>0</v>
      </c>
      <c r="BG145" s="166">
        <v>0</v>
      </c>
      <c r="BH145" s="166">
        <v>0</v>
      </c>
      <c r="BI145" s="166">
        <v>0</v>
      </c>
      <c r="BJ145" s="166">
        <v>0</v>
      </c>
      <c r="BK145" s="166">
        <v>0</v>
      </c>
      <c r="BL145" s="166">
        <v>0</v>
      </c>
      <c r="BM145" s="166">
        <v>0</v>
      </c>
      <c r="BN145" s="166">
        <v>0</v>
      </c>
      <c r="BO145" s="166">
        <v>0</v>
      </c>
      <c r="BP145" s="166">
        <v>0</v>
      </c>
      <c r="BQ145" s="81" t="s">
        <v>1757</v>
      </c>
      <c r="BZ145" s="81" t="s">
        <v>155</v>
      </c>
      <c r="CA145" s="81">
        <v>7</v>
      </c>
      <c r="CC145" s="167">
        <f>N145</f>
        <v>5</v>
      </c>
      <c r="CD145" s="167">
        <v>0</v>
      </c>
      <c r="CE145" s="167">
        <v>0</v>
      </c>
      <c r="CF145" s="167">
        <v>0</v>
      </c>
      <c r="CG145" s="167">
        <v>0</v>
      </c>
      <c r="CH145" s="167">
        <v>0</v>
      </c>
      <c r="CI145" s="167">
        <v>0</v>
      </c>
      <c r="CJ145" s="167">
        <v>0</v>
      </c>
      <c r="CK145" s="167">
        <v>0</v>
      </c>
      <c r="CL145" s="167">
        <v>0</v>
      </c>
      <c r="CM145" s="167">
        <v>0</v>
      </c>
      <c r="CN145" s="167">
        <v>0</v>
      </c>
      <c r="CO145" s="167">
        <v>0</v>
      </c>
      <c r="CP145" s="167">
        <v>0</v>
      </c>
      <c r="CQ145" s="167">
        <v>0</v>
      </c>
      <c r="CR145" s="167">
        <v>0</v>
      </c>
      <c r="CS145" s="167">
        <v>0</v>
      </c>
      <c r="CT145" s="167">
        <v>0</v>
      </c>
      <c r="CU145" s="167">
        <v>0</v>
      </c>
      <c r="CV145" s="167">
        <v>0</v>
      </c>
      <c r="CW145" s="167">
        <v>0</v>
      </c>
      <c r="CX145" s="167">
        <f>SUM(CD145:CH145)</f>
        <v>0</v>
      </c>
      <c r="CY145" s="167">
        <f>SUM(CD145:CM145)</f>
        <v>0</v>
      </c>
    </row>
    <row r="146" spans="1:103" ht="12.75" customHeight="1" x14ac:dyDescent="0.2">
      <c r="A146" s="81">
        <v>6065</v>
      </c>
      <c r="B146" s="165" t="s">
        <v>1924</v>
      </c>
      <c r="C146" s="165" t="s">
        <v>530</v>
      </c>
      <c r="E146" s="165" t="s">
        <v>3192</v>
      </c>
      <c r="G146" s="81">
        <v>528949</v>
      </c>
      <c r="H146" s="81">
        <v>173592</v>
      </c>
      <c r="I146" s="165" t="s">
        <v>247</v>
      </c>
      <c r="J146" s="349">
        <v>42401</v>
      </c>
      <c r="K146" s="349">
        <v>42885</v>
      </c>
      <c r="L146" s="166">
        <v>0</v>
      </c>
      <c r="M146" s="166">
        <v>4</v>
      </c>
      <c r="N146" s="166">
        <v>4</v>
      </c>
      <c r="O146" s="166">
        <v>9</v>
      </c>
      <c r="P146" s="166">
        <v>9</v>
      </c>
      <c r="R146" s="165" t="s">
        <v>765</v>
      </c>
      <c r="S146" s="81" t="s">
        <v>113</v>
      </c>
      <c r="T146" s="349">
        <v>42276</v>
      </c>
      <c r="U146" s="349">
        <v>42359</v>
      </c>
      <c r="W146" s="81" t="s">
        <v>114</v>
      </c>
      <c r="Y146" s="81" t="s">
        <v>115</v>
      </c>
      <c r="Z146" s="81" t="s">
        <v>398</v>
      </c>
      <c r="AA146" s="81" t="s">
        <v>117</v>
      </c>
      <c r="AB146" s="81" t="s">
        <v>218</v>
      </c>
      <c r="AC146" s="166">
        <v>2.60000005364418E-2</v>
      </c>
      <c r="AD146" s="349">
        <v>42401</v>
      </c>
      <c r="AF146" s="349">
        <v>42885</v>
      </c>
      <c r="AG146" s="81" t="s">
        <v>238</v>
      </c>
      <c r="AH146" s="81" t="s">
        <v>118</v>
      </c>
      <c r="AK146" s="166">
        <v>0</v>
      </c>
      <c r="AM146" s="166">
        <v>0</v>
      </c>
      <c r="AO146" s="166">
        <v>0</v>
      </c>
      <c r="AP146" s="166">
        <v>1</v>
      </c>
      <c r="AQ146" s="166">
        <v>2</v>
      </c>
      <c r="AR146" s="166">
        <v>1</v>
      </c>
      <c r="AS146" s="166">
        <v>0</v>
      </c>
      <c r="AT146" s="166">
        <v>0</v>
      </c>
      <c r="AU146" s="166">
        <v>0</v>
      </c>
      <c r="AV146" s="166">
        <v>0</v>
      </c>
      <c r="AW146" s="166">
        <v>1</v>
      </c>
      <c r="AX146" s="166">
        <v>2</v>
      </c>
      <c r="AY146" s="166">
        <v>1</v>
      </c>
      <c r="AZ146" s="166">
        <v>0</v>
      </c>
      <c r="BA146" s="166">
        <v>0</v>
      </c>
      <c r="BB146" s="166">
        <v>0</v>
      </c>
      <c r="BC146" s="166">
        <v>0</v>
      </c>
      <c r="BD146" s="166">
        <v>0</v>
      </c>
      <c r="BE146" s="166">
        <v>0</v>
      </c>
      <c r="BF146" s="166">
        <v>0</v>
      </c>
      <c r="BG146" s="166">
        <v>0</v>
      </c>
      <c r="BH146" s="166">
        <v>0</v>
      </c>
      <c r="BI146" s="166">
        <v>0</v>
      </c>
      <c r="BJ146" s="166">
        <v>0</v>
      </c>
      <c r="BK146" s="166">
        <v>0</v>
      </c>
      <c r="BL146" s="166">
        <v>0</v>
      </c>
      <c r="BM146" s="166">
        <v>0</v>
      </c>
      <c r="BN146" s="166">
        <v>0</v>
      </c>
      <c r="BO146" s="166">
        <v>0</v>
      </c>
      <c r="BP146" s="166">
        <v>0</v>
      </c>
      <c r="BQ146" s="81" t="s">
        <v>1757</v>
      </c>
      <c r="BZ146" s="81" t="s">
        <v>155</v>
      </c>
      <c r="CA146" s="81">
        <v>7</v>
      </c>
      <c r="CC146" s="167">
        <f>N146</f>
        <v>4</v>
      </c>
      <c r="CD146" s="167">
        <v>0</v>
      </c>
      <c r="CE146" s="167">
        <v>0</v>
      </c>
      <c r="CF146" s="167">
        <v>0</v>
      </c>
      <c r="CG146" s="167">
        <v>0</v>
      </c>
      <c r="CH146" s="167">
        <v>0</v>
      </c>
      <c r="CI146" s="167">
        <v>0</v>
      </c>
      <c r="CJ146" s="167">
        <v>0</v>
      </c>
      <c r="CK146" s="167">
        <v>0</v>
      </c>
      <c r="CL146" s="167">
        <v>0</v>
      </c>
      <c r="CM146" s="167">
        <v>0</v>
      </c>
      <c r="CN146" s="167">
        <v>0</v>
      </c>
      <c r="CO146" s="167">
        <v>0</v>
      </c>
      <c r="CP146" s="167">
        <v>0</v>
      </c>
      <c r="CQ146" s="167">
        <v>0</v>
      </c>
      <c r="CR146" s="167">
        <v>0</v>
      </c>
      <c r="CS146" s="167">
        <v>0</v>
      </c>
      <c r="CT146" s="167">
        <v>0</v>
      </c>
      <c r="CU146" s="167">
        <v>0</v>
      </c>
      <c r="CV146" s="167">
        <v>0</v>
      </c>
      <c r="CW146" s="167">
        <v>0</v>
      </c>
      <c r="CX146" s="167">
        <f>SUM(CD146:CH146)</f>
        <v>0</v>
      </c>
      <c r="CY146" s="167">
        <f>SUM(CD146:CM146)</f>
        <v>0</v>
      </c>
    </row>
    <row r="147" spans="1:103" ht="12.75" customHeight="1" x14ac:dyDescent="0.2">
      <c r="A147" s="81">
        <v>6073</v>
      </c>
      <c r="B147" s="165" t="s">
        <v>1924</v>
      </c>
      <c r="C147" s="165" t="s">
        <v>782</v>
      </c>
      <c r="E147" s="165" t="s">
        <v>3193</v>
      </c>
      <c r="G147" s="81">
        <v>527023</v>
      </c>
      <c r="H147" s="81">
        <v>176159</v>
      </c>
      <c r="I147" s="165" t="s">
        <v>257</v>
      </c>
      <c r="J147" s="349">
        <v>42825</v>
      </c>
      <c r="K147" s="349">
        <v>43190</v>
      </c>
      <c r="L147" s="166">
        <v>2</v>
      </c>
      <c r="M147" s="166">
        <v>4</v>
      </c>
      <c r="N147" s="166">
        <v>2</v>
      </c>
      <c r="O147" s="166">
        <v>6</v>
      </c>
      <c r="P147" s="166">
        <v>4</v>
      </c>
      <c r="R147" s="165" t="s">
        <v>783</v>
      </c>
      <c r="S147" s="81" t="s">
        <v>113</v>
      </c>
      <c r="T147" s="349">
        <v>42284</v>
      </c>
      <c r="U147" s="349">
        <v>42524</v>
      </c>
      <c r="W147" s="81" t="s">
        <v>114</v>
      </c>
      <c r="Y147" s="81" t="s">
        <v>115</v>
      </c>
      <c r="Z147" s="81" t="s">
        <v>398</v>
      </c>
      <c r="AA147" s="81" t="s">
        <v>117</v>
      </c>
      <c r="AB147" s="81" t="s">
        <v>220</v>
      </c>
      <c r="AC147" s="166">
        <v>4.0000001899898104E-3</v>
      </c>
      <c r="AD147" s="349">
        <v>42825</v>
      </c>
      <c r="AF147" s="349">
        <v>43190</v>
      </c>
      <c r="AG147" s="81" t="s">
        <v>238</v>
      </c>
      <c r="AH147" s="81" t="s">
        <v>118</v>
      </c>
      <c r="AK147" s="166">
        <v>4</v>
      </c>
      <c r="AM147" s="166">
        <v>0</v>
      </c>
      <c r="AO147" s="166">
        <v>0</v>
      </c>
      <c r="AP147" s="166">
        <v>3</v>
      </c>
      <c r="AQ147" s="166">
        <v>-1</v>
      </c>
      <c r="AR147" s="166">
        <v>0</v>
      </c>
      <c r="AS147" s="166">
        <v>0</v>
      </c>
      <c r="AT147" s="166">
        <v>0</v>
      </c>
      <c r="AU147" s="166">
        <v>0</v>
      </c>
      <c r="AV147" s="166">
        <v>0</v>
      </c>
      <c r="AW147" s="166">
        <v>3</v>
      </c>
      <c r="AX147" s="166">
        <v>-1</v>
      </c>
      <c r="AY147" s="166">
        <v>0</v>
      </c>
      <c r="AZ147" s="166">
        <v>0</v>
      </c>
      <c r="BA147" s="166">
        <v>0</v>
      </c>
      <c r="BB147" s="166">
        <v>0</v>
      </c>
      <c r="BC147" s="166">
        <v>0</v>
      </c>
      <c r="BD147" s="166">
        <v>0</v>
      </c>
      <c r="BE147" s="166">
        <v>0</v>
      </c>
      <c r="BF147" s="166">
        <v>0</v>
      </c>
      <c r="BG147" s="166">
        <v>0</v>
      </c>
      <c r="BH147" s="166">
        <v>0</v>
      </c>
      <c r="BI147" s="166">
        <v>0</v>
      </c>
      <c r="BJ147" s="166">
        <v>0</v>
      </c>
      <c r="BK147" s="166">
        <v>0</v>
      </c>
      <c r="BL147" s="166">
        <v>0</v>
      </c>
      <c r="BM147" s="166">
        <v>0</v>
      </c>
      <c r="BN147" s="166">
        <v>0</v>
      </c>
      <c r="BO147" s="166">
        <v>0</v>
      </c>
      <c r="BP147" s="166">
        <v>0</v>
      </c>
      <c r="BQ147" s="81" t="s">
        <v>1757</v>
      </c>
      <c r="BZ147" s="81" t="s">
        <v>155</v>
      </c>
      <c r="CA147" s="81">
        <v>7</v>
      </c>
      <c r="CC147" s="167">
        <f>N147</f>
        <v>2</v>
      </c>
      <c r="CD147" s="167">
        <v>0</v>
      </c>
      <c r="CE147" s="167">
        <v>0</v>
      </c>
      <c r="CF147" s="167">
        <v>0</v>
      </c>
      <c r="CG147" s="167">
        <v>0</v>
      </c>
      <c r="CH147" s="167">
        <v>0</v>
      </c>
      <c r="CI147" s="167">
        <v>0</v>
      </c>
      <c r="CJ147" s="167">
        <v>0</v>
      </c>
      <c r="CK147" s="167">
        <v>0</v>
      </c>
      <c r="CL147" s="167">
        <v>0</v>
      </c>
      <c r="CM147" s="167">
        <v>0</v>
      </c>
      <c r="CN147" s="167">
        <v>0</v>
      </c>
      <c r="CO147" s="167">
        <v>0</v>
      </c>
      <c r="CP147" s="167">
        <v>0</v>
      </c>
      <c r="CQ147" s="167">
        <v>0</v>
      </c>
      <c r="CR147" s="167">
        <v>0</v>
      </c>
      <c r="CS147" s="167">
        <v>0</v>
      </c>
      <c r="CT147" s="167">
        <v>0</v>
      </c>
      <c r="CU147" s="167">
        <v>0</v>
      </c>
      <c r="CV147" s="167">
        <v>0</v>
      </c>
      <c r="CW147" s="167">
        <v>0</v>
      </c>
      <c r="CX147" s="167">
        <f>SUM(CD147:CH147)</f>
        <v>0</v>
      </c>
      <c r="CY147" s="167">
        <f>SUM(CD147:CM147)</f>
        <v>0</v>
      </c>
    </row>
    <row r="148" spans="1:103" ht="12.75" customHeight="1" x14ac:dyDescent="0.2">
      <c r="A148" s="81">
        <v>6073</v>
      </c>
      <c r="B148" s="165" t="s">
        <v>1924</v>
      </c>
      <c r="C148" s="165" t="s">
        <v>782</v>
      </c>
      <c r="E148" s="165" t="s">
        <v>3193</v>
      </c>
      <c r="G148" s="81">
        <v>527023</v>
      </c>
      <c r="H148" s="81">
        <v>176159</v>
      </c>
      <c r="I148" s="165" t="s">
        <v>257</v>
      </c>
      <c r="J148" s="349">
        <v>42825</v>
      </c>
      <c r="K148" s="349">
        <v>43190</v>
      </c>
      <c r="L148" s="166">
        <v>0</v>
      </c>
      <c r="M148" s="166">
        <v>2</v>
      </c>
      <c r="N148" s="166">
        <v>2</v>
      </c>
      <c r="O148" s="166">
        <v>6</v>
      </c>
      <c r="P148" s="166">
        <v>4</v>
      </c>
      <c r="R148" s="165" t="s">
        <v>783</v>
      </c>
      <c r="S148" s="81" t="s">
        <v>113</v>
      </c>
      <c r="T148" s="349">
        <v>42284</v>
      </c>
      <c r="U148" s="349">
        <v>42524</v>
      </c>
      <c r="W148" s="81" t="s">
        <v>114</v>
      </c>
      <c r="Y148" s="81" t="s">
        <v>115</v>
      </c>
      <c r="Z148" s="81" t="s">
        <v>398</v>
      </c>
      <c r="AA148" s="81" t="s">
        <v>117</v>
      </c>
      <c r="AB148" s="81" t="s">
        <v>311</v>
      </c>
      <c r="AC148" s="166">
        <v>2.0000000949949E-3</v>
      </c>
      <c r="AD148" s="349">
        <v>42825</v>
      </c>
      <c r="AF148" s="349">
        <v>43190</v>
      </c>
      <c r="AG148" s="81" t="s">
        <v>238</v>
      </c>
      <c r="AH148" s="81" t="s">
        <v>118</v>
      </c>
      <c r="AK148" s="166">
        <v>0</v>
      </c>
      <c r="AM148" s="166">
        <v>0</v>
      </c>
      <c r="AO148" s="166">
        <v>0</v>
      </c>
      <c r="AP148" s="166">
        <v>2</v>
      </c>
      <c r="AQ148" s="166">
        <v>0</v>
      </c>
      <c r="AR148" s="166">
        <v>0</v>
      </c>
      <c r="AS148" s="166">
        <v>0</v>
      </c>
      <c r="AT148" s="166">
        <v>0</v>
      </c>
      <c r="AU148" s="166">
        <v>0</v>
      </c>
      <c r="AV148" s="166">
        <v>0</v>
      </c>
      <c r="AW148" s="166">
        <v>2</v>
      </c>
      <c r="AX148" s="166">
        <v>0</v>
      </c>
      <c r="AY148" s="166">
        <v>0</v>
      </c>
      <c r="AZ148" s="166">
        <v>0</v>
      </c>
      <c r="BA148" s="166">
        <v>0</v>
      </c>
      <c r="BB148" s="166">
        <v>0</v>
      </c>
      <c r="BC148" s="166">
        <v>0</v>
      </c>
      <c r="BD148" s="166">
        <v>0</v>
      </c>
      <c r="BE148" s="166">
        <v>0</v>
      </c>
      <c r="BF148" s="166">
        <v>0</v>
      </c>
      <c r="BG148" s="166">
        <v>0</v>
      </c>
      <c r="BH148" s="166">
        <v>0</v>
      </c>
      <c r="BI148" s="166">
        <v>0</v>
      </c>
      <c r="BJ148" s="166">
        <v>0</v>
      </c>
      <c r="BK148" s="166">
        <v>0</v>
      </c>
      <c r="BL148" s="166">
        <v>0</v>
      </c>
      <c r="BM148" s="166">
        <v>0</v>
      </c>
      <c r="BN148" s="166">
        <v>0</v>
      </c>
      <c r="BO148" s="166">
        <v>0</v>
      </c>
      <c r="BP148" s="166">
        <v>0</v>
      </c>
      <c r="BQ148" s="81" t="s">
        <v>1757</v>
      </c>
      <c r="BZ148" s="81" t="s">
        <v>155</v>
      </c>
      <c r="CA148" s="81">
        <v>7</v>
      </c>
      <c r="CC148" s="167">
        <f>N148</f>
        <v>2</v>
      </c>
      <c r="CD148" s="167">
        <v>0</v>
      </c>
      <c r="CE148" s="167">
        <v>0</v>
      </c>
      <c r="CF148" s="167">
        <v>0</v>
      </c>
      <c r="CG148" s="167">
        <v>0</v>
      </c>
      <c r="CH148" s="167">
        <v>0</v>
      </c>
      <c r="CI148" s="167">
        <v>0</v>
      </c>
      <c r="CJ148" s="167">
        <v>0</v>
      </c>
      <c r="CK148" s="167">
        <v>0</v>
      </c>
      <c r="CL148" s="167">
        <v>0</v>
      </c>
      <c r="CM148" s="167">
        <v>0</v>
      </c>
      <c r="CN148" s="167">
        <v>0</v>
      </c>
      <c r="CO148" s="167">
        <v>0</v>
      </c>
      <c r="CP148" s="167">
        <v>0</v>
      </c>
      <c r="CQ148" s="167">
        <v>0</v>
      </c>
      <c r="CR148" s="167">
        <v>0</v>
      </c>
      <c r="CS148" s="167">
        <v>0</v>
      </c>
      <c r="CT148" s="167">
        <v>0</v>
      </c>
      <c r="CU148" s="167">
        <v>0</v>
      </c>
      <c r="CV148" s="167">
        <v>0</v>
      </c>
      <c r="CW148" s="167">
        <v>0</v>
      </c>
      <c r="CX148" s="167">
        <f>SUM(CD148:CH148)</f>
        <v>0</v>
      </c>
      <c r="CY148" s="167">
        <f>SUM(CD148:CM148)</f>
        <v>0</v>
      </c>
    </row>
    <row r="149" spans="1:103" ht="12.75" customHeight="1" x14ac:dyDescent="0.2">
      <c r="A149" s="81">
        <v>6074</v>
      </c>
      <c r="B149" s="165" t="s">
        <v>1924</v>
      </c>
      <c r="C149" s="165" t="s">
        <v>650</v>
      </c>
      <c r="E149" s="165" t="s">
        <v>3194</v>
      </c>
      <c r="G149" s="81">
        <v>527474</v>
      </c>
      <c r="H149" s="81">
        <v>177065</v>
      </c>
      <c r="I149" s="165" t="s">
        <v>257</v>
      </c>
      <c r="J149" s="349">
        <v>42762</v>
      </c>
      <c r="K149" s="349">
        <v>42956</v>
      </c>
      <c r="L149" s="166">
        <v>2</v>
      </c>
      <c r="M149" s="166">
        <v>1</v>
      </c>
      <c r="N149" s="166">
        <v>-1</v>
      </c>
      <c r="O149" s="166">
        <v>1</v>
      </c>
      <c r="P149" s="166">
        <v>-1</v>
      </c>
      <c r="R149" s="165" t="s">
        <v>1142</v>
      </c>
      <c r="S149" s="81" t="s">
        <v>296</v>
      </c>
      <c r="T149" s="349">
        <v>42243</v>
      </c>
      <c r="U149" s="349">
        <v>42355</v>
      </c>
      <c r="W149" s="81" t="s">
        <v>297</v>
      </c>
      <c r="X149" s="349">
        <v>42499</v>
      </c>
      <c r="Y149" s="81" t="s">
        <v>115</v>
      </c>
      <c r="Z149" s="81" t="s">
        <v>119</v>
      </c>
      <c r="AA149" s="81" t="s">
        <v>117</v>
      </c>
      <c r="AB149" s="81" t="s">
        <v>336</v>
      </c>
      <c r="AC149" s="166">
        <v>1.30000002682209E-2</v>
      </c>
      <c r="AD149" s="349">
        <v>42762</v>
      </c>
      <c r="AF149" s="349">
        <v>42956</v>
      </c>
      <c r="AG149" s="81" t="s">
        <v>238</v>
      </c>
      <c r="AH149" s="81" t="s">
        <v>118</v>
      </c>
      <c r="AK149" s="166">
        <v>0</v>
      </c>
      <c r="AM149" s="166">
        <v>0</v>
      </c>
      <c r="AO149" s="166">
        <v>0</v>
      </c>
      <c r="AP149" s="166">
        <v>0</v>
      </c>
      <c r="AQ149" s="166">
        <v>-2</v>
      </c>
      <c r="AR149" s="166">
        <v>0</v>
      </c>
      <c r="AS149" s="166">
        <v>1</v>
      </c>
      <c r="AT149" s="166">
        <v>0</v>
      </c>
      <c r="AU149" s="166">
        <v>0</v>
      </c>
      <c r="AV149" s="166">
        <v>0</v>
      </c>
      <c r="AW149" s="166">
        <v>0</v>
      </c>
      <c r="AX149" s="166">
        <v>-2</v>
      </c>
      <c r="AY149" s="166">
        <v>0</v>
      </c>
      <c r="AZ149" s="166">
        <v>0</v>
      </c>
      <c r="BA149" s="166">
        <v>0</v>
      </c>
      <c r="BB149" s="166">
        <v>0</v>
      </c>
      <c r="BC149" s="166">
        <v>0</v>
      </c>
      <c r="BD149" s="166">
        <v>0</v>
      </c>
      <c r="BE149" s="166">
        <v>0</v>
      </c>
      <c r="BF149" s="166">
        <v>0</v>
      </c>
      <c r="BG149" s="166">
        <v>1</v>
      </c>
      <c r="BH149" s="166">
        <v>0</v>
      </c>
      <c r="BI149" s="166">
        <v>0</v>
      </c>
      <c r="BJ149" s="166">
        <v>0</v>
      </c>
      <c r="BK149" s="166">
        <v>0</v>
      </c>
      <c r="BL149" s="166">
        <v>0</v>
      </c>
      <c r="BM149" s="166">
        <v>0</v>
      </c>
      <c r="BN149" s="166">
        <v>0</v>
      </c>
      <c r="BO149" s="166">
        <v>0</v>
      </c>
      <c r="BP149" s="166">
        <v>0</v>
      </c>
      <c r="BQ149" s="81" t="s">
        <v>1757</v>
      </c>
      <c r="BZ149" s="81" t="s">
        <v>155</v>
      </c>
      <c r="CA149" s="81">
        <v>7</v>
      </c>
      <c r="CC149" s="167">
        <f>N149</f>
        <v>-1</v>
      </c>
      <c r="CD149" s="167">
        <v>0</v>
      </c>
      <c r="CE149" s="167">
        <v>0</v>
      </c>
      <c r="CF149" s="167">
        <v>0</v>
      </c>
      <c r="CG149" s="167">
        <v>0</v>
      </c>
      <c r="CH149" s="167">
        <v>0</v>
      </c>
      <c r="CI149" s="167">
        <v>0</v>
      </c>
      <c r="CJ149" s="167">
        <v>0</v>
      </c>
      <c r="CK149" s="167">
        <v>0</v>
      </c>
      <c r="CL149" s="167">
        <v>0</v>
      </c>
      <c r="CM149" s="167">
        <v>0</v>
      </c>
      <c r="CN149" s="167">
        <v>0</v>
      </c>
      <c r="CO149" s="167">
        <v>0</v>
      </c>
      <c r="CP149" s="167">
        <v>0</v>
      </c>
      <c r="CQ149" s="167">
        <v>0</v>
      </c>
      <c r="CR149" s="167">
        <v>0</v>
      </c>
      <c r="CS149" s="167">
        <v>0</v>
      </c>
      <c r="CT149" s="167">
        <v>0</v>
      </c>
      <c r="CU149" s="167">
        <v>0</v>
      </c>
      <c r="CV149" s="167">
        <v>0</v>
      </c>
      <c r="CW149" s="167">
        <v>0</v>
      </c>
      <c r="CX149" s="167">
        <f>SUM(CD149:CH149)</f>
        <v>0</v>
      </c>
      <c r="CY149" s="167">
        <f>SUM(CD149:CM149)</f>
        <v>0</v>
      </c>
    </row>
    <row r="150" spans="1:103" ht="12.75" customHeight="1" x14ac:dyDescent="0.2">
      <c r="A150" s="81">
        <v>6087</v>
      </c>
      <c r="B150" s="165" t="s">
        <v>1924</v>
      </c>
      <c r="C150" s="165" t="s">
        <v>680</v>
      </c>
      <c r="E150" s="165" t="s">
        <v>3195</v>
      </c>
      <c r="G150" s="81">
        <v>523892</v>
      </c>
      <c r="H150" s="81">
        <v>175481</v>
      </c>
      <c r="I150" s="165" t="s">
        <v>259</v>
      </c>
      <c r="J150" s="349">
        <v>42826</v>
      </c>
      <c r="K150" s="349">
        <v>43190</v>
      </c>
      <c r="L150" s="166">
        <v>0</v>
      </c>
      <c r="M150" s="166">
        <v>1</v>
      </c>
      <c r="N150" s="166">
        <v>1</v>
      </c>
      <c r="O150" s="166">
        <v>1</v>
      </c>
      <c r="P150" s="166">
        <v>1</v>
      </c>
      <c r="R150" s="165" t="s">
        <v>1151</v>
      </c>
      <c r="S150" s="81" t="s">
        <v>113</v>
      </c>
      <c r="T150" s="349">
        <v>42299</v>
      </c>
      <c r="U150" s="349">
        <v>42354</v>
      </c>
      <c r="W150" s="81" t="s">
        <v>114</v>
      </c>
      <c r="Y150" s="81" t="s">
        <v>115</v>
      </c>
      <c r="Z150" s="81" t="s">
        <v>398</v>
      </c>
      <c r="AA150" s="81" t="s">
        <v>117</v>
      </c>
      <c r="AB150" s="81" t="s">
        <v>102</v>
      </c>
      <c r="AC150" s="166">
        <v>9.9999997764825804E-3</v>
      </c>
      <c r="AD150" s="349">
        <v>42826</v>
      </c>
      <c r="AE150" s="81" t="s">
        <v>155</v>
      </c>
      <c r="AF150" s="349">
        <v>43190</v>
      </c>
      <c r="AG150" s="81" t="s">
        <v>238</v>
      </c>
      <c r="AH150" s="81" t="s">
        <v>118</v>
      </c>
      <c r="AK150" s="166">
        <v>0</v>
      </c>
      <c r="AM150" s="166">
        <v>0</v>
      </c>
      <c r="AO150" s="166">
        <v>0</v>
      </c>
      <c r="AP150" s="166">
        <v>0</v>
      </c>
      <c r="AQ150" s="166">
        <v>0</v>
      </c>
      <c r="AR150" s="166">
        <v>1</v>
      </c>
      <c r="AS150" s="166">
        <v>0</v>
      </c>
      <c r="AT150" s="166">
        <v>0</v>
      </c>
      <c r="AU150" s="166">
        <v>0</v>
      </c>
      <c r="AV150" s="166">
        <v>0</v>
      </c>
      <c r="AW150" s="166">
        <v>0</v>
      </c>
      <c r="AX150" s="166">
        <v>0</v>
      </c>
      <c r="AY150" s="166">
        <v>1</v>
      </c>
      <c r="AZ150" s="166">
        <v>0</v>
      </c>
      <c r="BA150" s="166">
        <v>0</v>
      </c>
      <c r="BB150" s="166">
        <v>0</v>
      </c>
      <c r="BC150" s="166">
        <v>0</v>
      </c>
      <c r="BD150" s="166">
        <v>0</v>
      </c>
      <c r="BE150" s="166">
        <v>0</v>
      </c>
      <c r="BF150" s="166">
        <v>0</v>
      </c>
      <c r="BG150" s="166">
        <v>0</v>
      </c>
      <c r="BH150" s="166">
        <v>0</v>
      </c>
      <c r="BI150" s="166">
        <v>0</v>
      </c>
      <c r="BJ150" s="166">
        <v>0</v>
      </c>
      <c r="BK150" s="166">
        <v>0</v>
      </c>
      <c r="BL150" s="166">
        <v>0</v>
      </c>
      <c r="BM150" s="166">
        <v>0</v>
      </c>
      <c r="BN150" s="166">
        <v>0</v>
      </c>
      <c r="BO150" s="166">
        <v>0</v>
      </c>
      <c r="BP150" s="166">
        <v>0</v>
      </c>
      <c r="BQ150" s="81" t="s">
        <v>1758</v>
      </c>
      <c r="BZ150" s="81" t="s">
        <v>155</v>
      </c>
      <c r="CA150" s="81">
        <v>7</v>
      </c>
      <c r="CC150" s="167">
        <f>N150</f>
        <v>1</v>
      </c>
      <c r="CD150" s="167">
        <v>0</v>
      </c>
      <c r="CE150" s="167">
        <v>0</v>
      </c>
      <c r="CF150" s="167">
        <v>0</v>
      </c>
      <c r="CG150" s="167">
        <v>0</v>
      </c>
      <c r="CH150" s="167">
        <v>0</v>
      </c>
      <c r="CI150" s="167">
        <v>0</v>
      </c>
      <c r="CJ150" s="167">
        <v>0</v>
      </c>
      <c r="CK150" s="167">
        <v>0</v>
      </c>
      <c r="CL150" s="167">
        <v>0</v>
      </c>
      <c r="CM150" s="167">
        <v>0</v>
      </c>
      <c r="CN150" s="167">
        <v>0</v>
      </c>
      <c r="CO150" s="167">
        <v>0</v>
      </c>
      <c r="CP150" s="167">
        <v>0</v>
      </c>
      <c r="CQ150" s="167">
        <v>0</v>
      </c>
      <c r="CR150" s="167">
        <v>0</v>
      </c>
      <c r="CS150" s="167">
        <v>0</v>
      </c>
      <c r="CT150" s="167">
        <v>0</v>
      </c>
      <c r="CU150" s="167">
        <v>0</v>
      </c>
      <c r="CV150" s="167">
        <v>0</v>
      </c>
      <c r="CW150" s="167">
        <v>0</v>
      </c>
      <c r="CX150" s="167">
        <f>SUM(CD150:CH150)</f>
        <v>0</v>
      </c>
      <c r="CY150" s="167">
        <f>SUM(CD150:CM150)</f>
        <v>0</v>
      </c>
    </row>
    <row r="151" spans="1:103" ht="12.75" customHeight="1" x14ac:dyDescent="0.2">
      <c r="A151" s="81">
        <v>6101</v>
      </c>
      <c r="B151" s="165" t="s">
        <v>1924</v>
      </c>
      <c r="C151" s="165" t="s">
        <v>698</v>
      </c>
      <c r="E151" s="165" t="s">
        <v>3196</v>
      </c>
      <c r="G151" s="81">
        <v>527880</v>
      </c>
      <c r="H151" s="81">
        <v>174389</v>
      </c>
      <c r="I151" s="165" t="s">
        <v>247</v>
      </c>
      <c r="J151" s="349">
        <v>42825</v>
      </c>
      <c r="K151" s="349">
        <v>43190</v>
      </c>
      <c r="L151" s="166">
        <v>2</v>
      </c>
      <c r="M151" s="166">
        <v>1</v>
      </c>
      <c r="N151" s="166">
        <v>-1</v>
      </c>
      <c r="O151" s="166">
        <v>1</v>
      </c>
      <c r="P151" s="166">
        <v>-1</v>
      </c>
      <c r="R151" s="165" t="s">
        <v>699</v>
      </c>
      <c r="S151" s="81" t="s">
        <v>113</v>
      </c>
      <c r="T151" s="349">
        <v>42320</v>
      </c>
      <c r="U151" s="349">
        <v>42376</v>
      </c>
      <c r="W151" s="81" t="s">
        <v>114</v>
      </c>
      <c r="Y151" s="81" t="s">
        <v>115</v>
      </c>
      <c r="Z151" s="81" t="s">
        <v>119</v>
      </c>
      <c r="AA151" s="81" t="s">
        <v>117</v>
      </c>
      <c r="AB151" s="81" t="s">
        <v>336</v>
      </c>
      <c r="AC151" s="166">
        <v>2.8000000864267301E-2</v>
      </c>
      <c r="AD151" s="349">
        <v>42825</v>
      </c>
      <c r="AF151" s="349">
        <v>43190</v>
      </c>
      <c r="AG151" s="81" t="s">
        <v>238</v>
      </c>
      <c r="AH151" s="81" t="s">
        <v>118</v>
      </c>
      <c r="AK151" s="166">
        <v>0</v>
      </c>
      <c r="AM151" s="166">
        <v>0</v>
      </c>
      <c r="AO151" s="166">
        <v>0</v>
      </c>
      <c r="AP151" s="166">
        <v>0</v>
      </c>
      <c r="AQ151" s="166">
        <v>-1</v>
      </c>
      <c r="AR151" s="166">
        <v>0</v>
      </c>
      <c r="AS151" s="166">
        <v>0</v>
      </c>
      <c r="AT151" s="166">
        <v>0</v>
      </c>
      <c r="AU151" s="166">
        <v>0</v>
      </c>
      <c r="AV151" s="166">
        <v>0</v>
      </c>
      <c r="AW151" s="166">
        <v>0</v>
      </c>
      <c r="AX151" s="166">
        <v>-1</v>
      </c>
      <c r="AY151" s="166">
        <v>-1</v>
      </c>
      <c r="AZ151" s="166">
        <v>0</v>
      </c>
      <c r="BA151" s="166">
        <v>0</v>
      </c>
      <c r="BB151" s="166">
        <v>0</v>
      </c>
      <c r="BC151" s="166">
        <v>0</v>
      </c>
      <c r="BD151" s="166">
        <v>0</v>
      </c>
      <c r="BE151" s="166">
        <v>0</v>
      </c>
      <c r="BF151" s="166">
        <v>1</v>
      </c>
      <c r="BG151" s="166">
        <v>0</v>
      </c>
      <c r="BH151" s="166">
        <v>0</v>
      </c>
      <c r="BI151" s="166">
        <v>0</v>
      </c>
      <c r="BJ151" s="166">
        <v>0</v>
      </c>
      <c r="BK151" s="166">
        <v>0</v>
      </c>
      <c r="BL151" s="166">
        <v>0</v>
      </c>
      <c r="BM151" s="166">
        <v>0</v>
      </c>
      <c r="BN151" s="166">
        <v>0</v>
      </c>
      <c r="BO151" s="166">
        <v>0</v>
      </c>
      <c r="BP151" s="166">
        <v>0</v>
      </c>
      <c r="BQ151" s="81" t="s">
        <v>1757</v>
      </c>
      <c r="BZ151" s="81" t="s">
        <v>155</v>
      </c>
      <c r="CA151" s="81">
        <v>7</v>
      </c>
      <c r="CC151" s="167">
        <f>N151</f>
        <v>-1</v>
      </c>
      <c r="CD151" s="167">
        <v>0</v>
      </c>
      <c r="CE151" s="167">
        <v>0</v>
      </c>
      <c r="CF151" s="167">
        <v>0</v>
      </c>
      <c r="CG151" s="167">
        <v>0</v>
      </c>
      <c r="CH151" s="167">
        <v>0</v>
      </c>
      <c r="CI151" s="167">
        <v>0</v>
      </c>
      <c r="CJ151" s="167">
        <v>0</v>
      </c>
      <c r="CK151" s="167">
        <v>0</v>
      </c>
      <c r="CL151" s="167">
        <v>0</v>
      </c>
      <c r="CM151" s="167">
        <v>0</v>
      </c>
      <c r="CN151" s="167">
        <v>0</v>
      </c>
      <c r="CO151" s="167">
        <v>0</v>
      </c>
      <c r="CP151" s="167">
        <v>0</v>
      </c>
      <c r="CQ151" s="167">
        <v>0</v>
      </c>
      <c r="CR151" s="167">
        <v>0</v>
      </c>
      <c r="CS151" s="167">
        <v>0</v>
      </c>
      <c r="CT151" s="167">
        <v>0</v>
      </c>
      <c r="CU151" s="167">
        <v>0</v>
      </c>
      <c r="CV151" s="167">
        <v>0</v>
      </c>
      <c r="CW151" s="167">
        <v>0</v>
      </c>
      <c r="CX151" s="167">
        <f>SUM(CD151:CH151)</f>
        <v>0</v>
      </c>
      <c r="CY151" s="167">
        <f>SUM(CD151:CM151)</f>
        <v>0</v>
      </c>
    </row>
    <row r="152" spans="1:103" ht="12.75" customHeight="1" x14ac:dyDescent="0.2">
      <c r="A152" s="81">
        <v>6104</v>
      </c>
      <c r="B152" s="165" t="s">
        <v>1924</v>
      </c>
      <c r="C152" s="165" t="s">
        <v>690</v>
      </c>
      <c r="E152" s="165" t="s">
        <v>3197</v>
      </c>
      <c r="G152" s="81">
        <v>528434</v>
      </c>
      <c r="H152" s="81">
        <v>175621</v>
      </c>
      <c r="I152" s="165" t="s">
        <v>256</v>
      </c>
      <c r="J152" s="349">
        <v>42826</v>
      </c>
      <c r="K152" s="349">
        <v>43190</v>
      </c>
      <c r="L152" s="166">
        <v>2</v>
      </c>
      <c r="M152" s="166">
        <v>2</v>
      </c>
      <c r="N152" s="166">
        <v>0</v>
      </c>
      <c r="O152" s="166">
        <v>2</v>
      </c>
      <c r="P152" s="166">
        <v>0</v>
      </c>
      <c r="R152" s="165" t="s">
        <v>1153</v>
      </c>
      <c r="S152" s="81" t="s">
        <v>113</v>
      </c>
      <c r="T152" s="349">
        <v>42328</v>
      </c>
      <c r="U152" s="349">
        <v>42384</v>
      </c>
      <c r="W152" s="81" t="s">
        <v>114</v>
      </c>
      <c r="Y152" s="81" t="s">
        <v>115</v>
      </c>
      <c r="Z152" s="81" t="s">
        <v>398</v>
      </c>
      <c r="AA152" s="81" t="s">
        <v>117</v>
      </c>
      <c r="AB152" s="81" t="s">
        <v>220</v>
      </c>
      <c r="AC152" s="166">
        <v>1.30000002682209E-2</v>
      </c>
      <c r="AD152" s="349">
        <v>42826</v>
      </c>
      <c r="AE152" s="81" t="s">
        <v>155</v>
      </c>
      <c r="AF152" s="349">
        <v>43190</v>
      </c>
      <c r="AG152" s="81" t="s">
        <v>238</v>
      </c>
      <c r="AH152" s="81" t="s">
        <v>118</v>
      </c>
      <c r="AK152" s="166">
        <v>0</v>
      </c>
      <c r="AM152" s="166">
        <v>0</v>
      </c>
      <c r="AO152" s="166">
        <v>0</v>
      </c>
      <c r="AP152" s="166">
        <v>-1</v>
      </c>
      <c r="AQ152" s="166">
        <v>1</v>
      </c>
      <c r="AR152" s="166">
        <v>-1</v>
      </c>
      <c r="AS152" s="166">
        <v>1</v>
      </c>
      <c r="AT152" s="166">
        <v>0</v>
      </c>
      <c r="AU152" s="166">
        <v>0</v>
      </c>
      <c r="AV152" s="166">
        <v>0</v>
      </c>
      <c r="AW152" s="166">
        <v>-1</v>
      </c>
      <c r="AX152" s="166">
        <v>1</v>
      </c>
      <c r="AY152" s="166">
        <v>-1</v>
      </c>
      <c r="AZ152" s="166">
        <v>1</v>
      </c>
      <c r="BA152" s="166">
        <v>0</v>
      </c>
      <c r="BB152" s="166">
        <v>0</v>
      </c>
      <c r="BC152" s="166">
        <v>0</v>
      </c>
      <c r="BD152" s="166">
        <v>0</v>
      </c>
      <c r="BE152" s="166">
        <v>0</v>
      </c>
      <c r="BF152" s="166">
        <v>0</v>
      </c>
      <c r="BG152" s="166">
        <v>0</v>
      </c>
      <c r="BH152" s="166">
        <v>0</v>
      </c>
      <c r="BI152" s="166">
        <v>0</v>
      </c>
      <c r="BJ152" s="166">
        <v>0</v>
      </c>
      <c r="BK152" s="166">
        <v>0</v>
      </c>
      <c r="BL152" s="166">
        <v>0</v>
      </c>
      <c r="BM152" s="166">
        <v>0</v>
      </c>
      <c r="BN152" s="166">
        <v>0</v>
      </c>
      <c r="BO152" s="166">
        <v>0</v>
      </c>
      <c r="BP152" s="166">
        <v>0</v>
      </c>
      <c r="BQ152" s="81" t="s">
        <v>1757</v>
      </c>
      <c r="BZ152" s="81" t="s">
        <v>155</v>
      </c>
      <c r="CA152" s="81">
        <v>7</v>
      </c>
      <c r="CC152" s="167">
        <f>N152</f>
        <v>0</v>
      </c>
      <c r="CD152" s="167">
        <v>0</v>
      </c>
      <c r="CE152" s="167">
        <v>0</v>
      </c>
      <c r="CF152" s="167">
        <v>0</v>
      </c>
      <c r="CG152" s="167">
        <v>0</v>
      </c>
      <c r="CH152" s="167">
        <v>0</v>
      </c>
      <c r="CI152" s="167">
        <v>0</v>
      </c>
      <c r="CJ152" s="167">
        <v>0</v>
      </c>
      <c r="CK152" s="167">
        <v>0</v>
      </c>
      <c r="CL152" s="167">
        <v>0</v>
      </c>
      <c r="CM152" s="167">
        <v>0</v>
      </c>
      <c r="CN152" s="167">
        <v>0</v>
      </c>
      <c r="CO152" s="167">
        <v>0</v>
      </c>
      <c r="CP152" s="167">
        <v>0</v>
      </c>
      <c r="CQ152" s="167">
        <v>0</v>
      </c>
      <c r="CR152" s="167">
        <v>0</v>
      </c>
      <c r="CS152" s="167">
        <v>0</v>
      </c>
      <c r="CT152" s="167">
        <v>0</v>
      </c>
      <c r="CU152" s="167">
        <v>0</v>
      </c>
      <c r="CV152" s="167">
        <v>0</v>
      </c>
      <c r="CW152" s="167">
        <v>0</v>
      </c>
      <c r="CX152" s="167">
        <f>SUM(CD152:CH152)</f>
        <v>0</v>
      </c>
      <c r="CY152" s="167">
        <f>SUM(CD152:CM152)</f>
        <v>0</v>
      </c>
    </row>
    <row r="153" spans="1:103" ht="12.75" customHeight="1" x14ac:dyDescent="0.2">
      <c r="A153" s="81">
        <v>6113</v>
      </c>
      <c r="B153" s="165" t="s">
        <v>1924</v>
      </c>
      <c r="C153" s="165" t="s">
        <v>1690</v>
      </c>
      <c r="E153" s="165" t="s">
        <v>3198</v>
      </c>
      <c r="G153" s="81">
        <v>525900</v>
      </c>
      <c r="H153" s="81">
        <v>173881</v>
      </c>
      <c r="I153" s="165" t="s">
        <v>249</v>
      </c>
      <c r="J153" s="349">
        <v>42613</v>
      </c>
      <c r="K153" s="349">
        <v>42899</v>
      </c>
      <c r="L153" s="166">
        <v>0</v>
      </c>
      <c r="M153" s="166">
        <v>2</v>
      </c>
      <c r="N153" s="166">
        <v>2</v>
      </c>
      <c r="O153" s="166">
        <v>3</v>
      </c>
      <c r="P153" s="166">
        <v>0</v>
      </c>
      <c r="R153" s="165" t="s">
        <v>1691</v>
      </c>
      <c r="S153" s="81" t="s">
        <v>113</v>
      </c>
      <c r="T153" s="349">
        <v>42425</v>
      </c>
      <c r="U153" s="349">
        <v>42481</v>
      </c>
      <c r="W153" s="81" t="s">
        <v>114</v>
      </c>
      <c r="Y153" s="81" t="s">
        <v>115</v>
      </c>
      <c r="Z153" s="81" t="s">
        <v>398</v>
      </c>
      <c r="AA153" s="81" t="s">
        <v>117</v>
      </c>
      <c r="AB153" s="81" t="s">
        <v>220</v>
      </c>
      <c r="AC153" s="166">
        <v>4.9999998882412902E-3</v>
      </c>
      <c r="AD153" s="349">
        <v>42613</v>
      </c>
      <c r="AF153" s="349">
        <v>42899</v>
      </c>
      <c r="AG153" s="81" t="s">
        <v>238</v>
      </c>
      <c r="AH153" s="81" t="s">
        <v>118</v>
      </c>
      <c r="AK153" s="166">
        <v>0</v>
      </c>
      <c r="AM153" s="166">
        <v>0</v>
      </c>
      <c r="AO153" s="166">
        <v>0</v>
      </c>
      <c r="AP153" s="166">
        <v>1</v>
      </c>
      <c r="AQ153" s="166">
        <v>1</v>
      </c>
      <c r="AR153" s="166">
        <v>0</v>
      </c>
      <c r="AS153" s="166">
        <v>0</v>
      </c>
      <c r="AT153" s="166">
        <v>0</v>
      </c>
      <c r="AU153" s="166">
        <v>0</v>
      </c>
      <c r="AV153" s="166">
        <v>0</v>
      </c>
      <c r="AW153" s="166">
        <v>1</v>
      </c>
      <c r="AX153" s="166">
        <v>1</v>
      </c>
      <c r="AY153" s="166">
        <v>0</v>
      </c>
      <c r="AZ153" s="166">
        <v>0</v>
      </c>
      <c r="BA153" s="166">
        <v>0</v>
      </c>
      <c r="BB153" s="166">
        <v>0</v>
      </c>
      <c r="BC153" s="166">
        <v>0</v>
      </c>
      <c r="BD153" s="166">
        <v>0</v>
      </c>
      <c r="BE153" s="166">
        <v>0</v>
      </c>
      <c r="BF153" s="166">
        <v>0</v>
      </c>
      <c r="BG153" s="166">
        <v>0</v>
      </c>
      <c r="BH153" s="166">
        <v>0</v>
      </c>
      <c r="BI153" s="166">
        <v>0</v>
      </c>
      <c r="BJ153" s="166">
        <v>0</v>
      </c>
      <c r="BK153" s="166">
        <v>0</v>
      </c>
      <c r="BL153" s="166">
        <v>0</v>
      </c>
      <c r="BM153" s="166">
        <v>0</v>
      </c>
      <c r="BN153" s="166">
        <v>0</v>
      </c>
      <c r="BO153" s="166">
        <v>0</v>
      </c>
      <c r="BP153" s="166">
        <v>0</v>
      </c>
      <c r="BQ153" s="81" t="s">
        <v>1758</v>
      </c>
      <c r="BZ153" s="81" t="s">
        <v>155</v>
      </c>
      <c r="CA153" s="81">
        <v>7</v>
      </c>
      <c r="CC153" s="167">
        <f>N153</f>
        <v>2</v>
      </c>
      <c r="CD153" s="167">
        <v>0</v>
      </c>
      <c r="CE153" s="167">
        <v>0</v>
      </c>
      <c r="CF153" s="167">
        <v>0</v>
      </c>
      <c r="CG153" s="167">
        <v>0</v>
      </c>
      <c r="CH153" s="167">
        <v>0</v>
      </c>
      <c r="CI153" s="167">
        <v>0</v>
      </c>
      <c r="CJ153" s="167">
        <v>0</v>
      </c>
      <c r="CK153" s="167">
        <v>0</v>
      </c>
      <c r="CL153" s="167">
        <v>0</v>
      </c>
      <c r="CM153" s="167">
        <v>0</v>
      </c>
      <c r="CN153" s="167">
        <v>0</v>
      </c>
      <c r="CO153" s="167">
        <v>0</v>
      </c>
      <c r="CP153" s="167">
        <v>0</v>
      </c>
      <c r="CQ153" s="167">
        <v>0</v>
      </c>
      <c r="CR153" s="167">
        <v>0</v>
      </c>
      <c r="CS153" s="167">
        <v>0</v>
      </c>
      <c r="CT153" s="167">
        <v>0</v>
      </c>
      <c r="CU153" s="167">
        <v>0</v>
      </c>
      <c r="CV153" s="167">
        <v>0</v>
      </c>
      <c r="CW153" s="167">
        <v>0</v>
      </c>
      <c r="CX153" s="167">
        <f>SUM(CD153:CH153)</f>
        <v>0</v>
      </c>
      <c r="CY153" s="167">
        <f>SUM(CD153:CM153)</f>
        <v>0</v>
      </c>
    </row>
    <row r="154" spans="1:103" ht="12.75" customHeight="1" x14ac:dyDescent="0.2">
      <c r="A154" s="81">
        <v>6113</v>
      </c>
      <c r="B154" s="165" t="s">
        <v>1924</v>
      </c>
      <c r="C154" s="165" t="s">
        <v>1690</v>
      </c>
      <c r="E154" s="165" t="s">
        <v>3198</v>
      </c>
      <c r="G154" s="81">
        <v>525900</v>
      </c>
      <c r="H154" s="81">
        <v>173881</v>
      </c>
      <c r="I154" s="165" t="s">
        <v>249</v>
      </c>
      <c r="J154" s="349">
        <v>42613</v>
      </c>
      <c r="K154" s="349">
        <v>42899</v>
      </c>
      <c r="L154" s="166">
        <v>3</v>
      </c>
      <c r="M154" s="166">
        <v>1</v>
      </c>
      <c r="N154" s="166">
        <v>-2</v>
      </c>
      <c r="O154" s="166">
        <v>3</v>
      </c>
      <c r="P154" s="166">
        <v>0</v>
      </c>
      <c r="R154" s="165" t="s">
        <v>1691</v>
      </c>
      <c r="S154" s="81" t="s">
        <v>113</v>
      </c>
      <c r="T154" s="349">
        <v>42425</v>
      </c>
      <c r="U154" s="349">
        <v>42481</v>
      </c>
      <c r="W154" s="81" t="s">
        <v>114</v>
      </c>
      <c r="Y154" s="81" t="s">
        <v>115</v>
      </c>
      <c r="Z154" s="81" t="s">
        <v>398</v>
      </c>
      <c r="AA154" s="81" t="s">
        <v>117</v>
      </c>
      <c r="AB154" s="81" t="s">
        <v>399</v>
      </c>
      <c r="AC154" s="166">
        <v>2.0000000949949E-3</v>
      </c>
      <c r="AD154" s="349">
        <v>42613</v>
      </c>
      <c r="AF154" s="349">
        <v>42899</v>
      </c>
      <c r="AG154" s="81" t="s">
        <v>238</v>
      </c>
      <c r="AH154" s="81" t="s">
        <v>118</v>
      </c>
      <c r="AK154" s="166">
        <v>0</v>
      </c>
      <c r="AM154" s="166">
        <v>0</v>
      </c>
      <c r="AO154" s="166">
        <v>0</v>
      </c>
      <c r="AP154" s="166">
        <v>-1</v>
      </c>
      <c r="AQ154" s="166">
        <v>0</v>
      </c>
      <c r="AR154" s="166">
        <v>-1</v>
      </c>
      <c r="AS154" s="166">
        <v>0</v>
      </c>
      <c r="AT154" s="166">
        <v>0</v>
      </c>
      <c r="AU154" s="166">
        <v>0</v>
      </c>
      <c r="AV154" s="166">
        <v>0</v>
      </c>
      <c r="AW154" s="166">
        <v>-1</v>
      </c>
      <c r="AX154" s="166">
        <v>0</v>
      </c>
      <c r="AY154" s="166">
        <v>-1</v>
      </c>
      <c r="AZ154" s="166">
        <v>0</v>
      </c>
      <c r="BA154" s="166">
        <v>0</v>
      </c>
      <c r="BB154" s="166">
        <v>0</v>
      </c>
      <c r="BC154" s="166">
        <v>0</v>
      </c>
      <c r="BD154" s="166">
        <v>0</v>
      </c>
      <c r="BE154" s="166">
        <v>0</v>
      </c>
      <c r="BF154" s="166">
        <v>0</v>
      </c>
      <c r="BG154" s="166">
        <v>0</v>
      </c>
      <c r="BH154" s="166">
        <v>0</v>
      </c>
      <c r="BI154" s="166">
        <v>0</v>
      </c>
      <c r="BJ154" s="166">
        <v>0</v>
      </c>
      <c r="BK154" s="166">
        <v>0</v>
      </c>
      <c r="BL154" s="166">
        <v>0</v>
      </c>
      <c r="BM154" s="166">
        <v>0</v>
      </c>
      <c r="BN154" s="166">
        <v>0</v>
      </c>
      <c r="BO154" s="166">
        <v>0</v>
      </c>
      <c r="BP154" s="166">
        <v>0</v>
      </c>
      <c r="BQ154" s="81" t="s">
        <v>1758</v>
      </c>
      <c r="BZ154" s="81" t="s">
        <v>155</v>
      </c>
      <c r="CA154" s="81">
        <v>7</v>
      </c>
      <c r="CC154" s="167">
        <f>N154</f>
        <v>-2</v>
      </c>
      <c r="CD154" s="167">
        <v>0</v>
      </c>
      <c r="CE154" s="167">
        <v>0</v>
      </c>
      <c r="CF154" s="167">
        <v>0</v>
      </c>
      <c r="CG154" s="167">
        <v>0</v>
      </c>
      <c r="CH154" s="167">
        <v>0</v>
      </c>
      <c r="CI154" s="167">
        <v>0</v>
      </c>
      <c r="CJ154" s="167">
        <v>0</v>
      </c>
      <c r="CK154" s="167">
        <v>0</v>
      </c>
      <c r="CL154" s="167">
        <v>0</v>
      </c>
      <c r="CM154" s="167">
        <v>0</v>
      </c>
      <c r="CN154" s="167">
        <v>0</v>
      </c>
      <c r="CO154" s="167">
        <v>0</v>
      </c>
      <c r="CP154" s="167">
        <v>0</v>
      </c>
      <c r="CQ154" s="167">
        <v>0</v>
      </c>
      <c r="CR154" s="167">
        <v>0</v>
      </c>
      <c r="CS154" s="167">
        <v>0</v>
      </c>
      <c r="CT154" s="167">
        <v>0</v>
      </c>
      <c r="CU154" s="167">
        <v>0</v>
      </c>
      <c r="CV154" s="167">
        <v>0</v>
      </c>
      <c r="CW154" s="167">
        <v>0</v>
      </c>
      <c r="CX154" s="167">
        <f>SUM(CD154:CH154)</f>
        <v>0</v>
      </c>
      <c r="CY154" s="167">
        <f>SUM(CD154:CM154)</f>
        <v>0</v>
      </c>
    </row>
    <row r="155" spans="1:103" ht="12.75" customHeight="1" x14ac:dyDescent="0.2">
      <c r="A155" s="81">
        <v>6115</v>
      </c>
      <c r="B155" s="165" t="s">
        <v>1924</v>
      </c>
      <c r="C155" s="165" t="s">
        <v>709</v>
      </c>
      <c r="E155" s="165" t="s">
        <v>3199</v>
      </c>
      <c r="G155" s="81">
        <v>525079</v>
      </c>
      <c r="H155" s="81">
        <v>174007</v>
      </c>
      <c r="I155" s="165" t="s">
        <v>258</v>
      </c>
      <c r="J155" s="349">
        <v>42825</v>
      </c>
      <c r="K155" s="349">
        <v>43136</v>
      </c>
      <c r="L155" s="166">
        <v>2</v>
      </c>
      <c r="M155" s="166">
        <v>1</v>
      </c>
      <c r="N155" s="166">
        <v>-1</v>
      </c>
      <c r="O155" s="166">
        <v>1</v>
      </c>
      <c r="P155" s="166">
        <v>-1</v>
      </c>
      <c r="R155" s="165" t="s">
        <v>967</v>
      </c>
      <c r="S155" s="81" t="s">
        <v>113</v>
      </c>
      <c r="T155" s="349">
        <v>42349</v>
      </c>
      <c r="U155" s="349">
        <v>42405</v>
      </c>
      <c r="W155" s="81" t="s">
        <v>114</v>
      </c>
      <c r="Y155" s="81" t="s">
        <v>115</v>
      </c>
      <c r="Z155" s="81" t="s">
        <v>398</v>
      </c>
      <c r="AA155" s="81" t="s">
        <v>117</v>
      </c>
      <c r="AB155" s="81" t="s">
        <v>300</v>
      </c>
      <c r="AC155" s="166">
        <v>1.4999999664723899E-2</v>
      </c>
      <c r="AD155" s="349">
        <v>42825</v>
      </c>
      <c r="AF155" s="349">
        <v>43136</v>
      </c>
      <c r="AG155" s="81" t="s">
        <v>238</v>
      </c>
      <c r="AH155" s="81" t="s">
        <v>118</v>
      </c>
      <c r="AK155" s="166">
        <v>0</v>
      </c>
      <c r="AM155" s="166">
        <v>0</v>
      </c>
      <c r="AO155" s="166">
        <v>0</v>
      </c>
      <c r="AP155" s="166">
        <v>-2</v>
      </c>
      <c r="AQ155" s="166">
        <v>1</v>
      </c>
      <c r="AR155" s="166">
        <v>0</v>
      </c>
      <c r="AS155" s="166">
        <v>0</v>
      </c>
      <c r="AT155" s="166">
        <v>0</v>
      </c>
      <c r="AU155" s="166">
        <v>0</v>
      </c>
      <c r="AV155" s="166">
        <v>0</v>
      </c>
      <c r="AW155" s="166">
        <v>-2</v>
      </c>
      <c r="AX155" s="166">
        <v>1</v>
      </c>
      <c r="AY155" s="166">
        <v>0</v>
      </c>
      <c r="AZ155" s="166">
        <v>0</v>
      </c>
      <c r="BA155" s="166">
        <v>0</v>
      </c>
      <c r="BB155" s="166">
        <v>0</v>
      </c>
      <c r="BC155" s="166">
        <v>0</v>
      </c>
      <c r="BD155" s="166">
        <v>0</v>
      </c>
      <c r="BE155" s="166">
        <v>0</v>
      </c>
      <c r="BF155" s="166">
        <v>0</v>
      </c>
      <c r="BG155" s="166">
        <v>0</v>
      </c>
      <c r="BH155" s="166">
        <v>0</v>
      </c>
      <c r="BI155" s="166">
        <v>0</v>
      </c>
      <c r="BJ155" s="166">
        <v>0</v>
      </c>
      <c r="BK155" s="166">
        <v>0</v>
      </c>
      <c r="BL155" s="166">
        <v>0</v>
      </c>
      <c r="BM155" s="166">
        <v>0</v>
      </c>
      <c r="BN155" s="166">
        <v>0</v>
      </c>
      <c r="BO155" s="166">
        <v>0</v>
      </c>
      <c r="BP155" s="166">
        <v>0</v>
      </c>
      <c r="BQ155" s="81" t="s">
        <v>1758</v>
      </c>
      <c r="BZ155" s="81" t="s">
        <v>155</v>
      </c>
      <c r="CA155" s="81">
        <v>7</v>
      </c>
      <c r="CC155" s="167">
        <f>N155</f>
        <v>-1</v>
      </c>
      <c r="CD155" s="167">
        <v>0</v>
      </c>
      <c r="CE155" s="167">
        <v>0</v>
      </c>
      <c r="CF155" s="167">
        <v>0</v>
      </c>
      <c r="CG155" s="167">
        <v>0</v>
      </c>
      <c r="CH155" s="167">
        <v>0</v>
      </c>
      <c r="CI155" s="167">
        <v>0</v>
      </c>
      <c r="CJ155" s="167">
        <v>0</v>
      </c>
      <c r="CK155" s="167">
        <v>0</v>
      </c>
      <c r="CL155" s="167">
        <v>0</v>
      </c>
      <c r="CM155" s="167">
        <v>0</v>
      </c>
      <c r="CN155" s="167">
        <v>0</v>
      </c>
      <c r="CO155" s="167">
        <v>0</v>
      </c>
      <c r="CP155" s="167">
        <v>0</v>
      </c>
      <c r="CQ155" s="167">
        <v>0</v>
      </c>
      <c r="CR155" s="167">
        <v>0</v>
      </c>
      <c r="CS155" s="167">
        <v>0</v>
      </c>
      <c r="CT155" s="167">
        <v>0</v>
      </c>
      <c r="CU155" s="167">
        <v>0</v>
      </c>
      <c r="CV155" s="167">
        <v>0</v>
      </c>
      <c r="CW155" s="167">
        <v>0</v>
      </c>
      <c r="CX155" s="167">
        <f>SUM(CD155:CH155)</f>
        <v>0</v>
      </c>
      <c r="CY155" s="167">
        <f>SUM(CD155:CM155)</f>
        <v>0</v>
      </c>
    </row>
    <row r="156" spans="1:103" ht="12.75" customHeight="1" x14ac:dyDescent="0.2">
      <c r="A156" s="81">
        <v>6128</v>
      </c>
      <c r="B156" s="165" t="s">
        <v>1924</v>
      </c>
      <c r="C156" s="165" t="s">
        <v>716</v>
      </c>
      <c r="E156" s="165" t="s">
        <v>3200</v>
      </c>
      <c r="G156" s="81">
        <v>523465</v>
      </c>
      <c r="H156" s="81">
        <v>175592</v>
      </c>
      <c r="I156" s="165" t="s">
        <v>259</v>
      </c>
      <c r="J156" s="349">
        <v>42645</v>
      </c>
      <c r="K156" s="349">
        <v>42870</v>
      </c>
      <c r="L156" s="166">
        <v>3</v>
      </c>
      <c r="M156" s="166">
        <v>1</v>
      </c>
      <c r="N156" s="166">
        <v>-2</v>
      </c>
      <c r="O156" s="166">
        <v>1</v>
      </c>
      <c r="P156" s="166">
        <v>-2</v>
      </c>
      <c r="R156" s="165" t="s">
        <v>717</v>
      </c>
      <c r="S156" s="81" t="s">
        <v>113</v>
      </c>
      <c r="T156" s="349">
        <v>42374</v>
      </c>
      <c r="U156" s="349">
        <v>42429</v>
      </c>
      <c r="W156" s="81" t="s">
        <v>114</v>
      </c>
      <c r="Y156" s="81" t="s">
        <v>115</v>
      </c>
      <c r="Z156" s="81" t="s">
        <v>119</v>
      </c>
      <c r="AA156" s="81" t="s">
        <v>117</v>
      </c>
      <c r="AB156" s="81" t="s">
        <v>336</v>
      </c>
      <c r="AC156" s="166">
        <v>1.4000000432133701E-2</v>
      </c>
      <c r="AD156" s="349">
        <v>42645</v>
      </c>
      <c r="AF156" s="349">
        <v>42870</v>
      </c>
      <c r="AG156" s="81" t="s">
        <v>238</v>
      </c>
      <c r="AH156" s="81" t="s">
        <v>118</v>
      </c>
      <c r="AK156" s="166">
        <v>0</v>
      </c>
      <c r="AM156" s="166">
        <v>0</v>
      </c>
      <c r="AO156" s="166">
        <v>-1</v>
      </c>
      <c r="AP156" s="166">
        <v>-1</v>
      </c>
      <c r="AQ156" s="166">
        <v>-1</v>
      </c>
      <c r="AR156" s="166">
        <v>0</v>
      </c>
      <c r="AS156" s="166">
        <v>1</v>
      </c>
      <c r="AT156" s="166">
        <v>0</v>
      </c>
      <c r="AU156" s="166">
        <v>0</v>
      </c>
      <c r="AV156" s="166">
        <v>-1</v>
      </c>
      <c r="AW156" s="166">
        <v>-1</v>
      </c>
      <c r="AX156" s="166">
        <v>-1</v>
      </c>
      <c r="AY156" s="166">
        <v>0</v>
      </c>
      <c r="AZ156" s="166">
        <v>0</v>
      </c>
      <c r="BA156" s="166">
        <v>0</v>
      </c>
      <c r="BB156" s="166">
        <v>0</v>
      </c>
      <c r="BC156" s="166">
        <v>0</v>
      </c>
      <c r="BD156" s="166">
        <v>0</v>
      </c>
      <c r="BE156" s="166">
        <v>0</v>
      </c>
      <c r="BF156" s="166">
        <v>0</v>
      </c>
      <c r="BG156" s="166">
        <v>1</v>
      </c>
      <c r="BH156" s="166">
        <v>0</v>
      </c>
      <c r="BI156" s="166">
        <v>0</v>
      </c>
      <c r="BJ156" s="166">
        <v>0</v>
      </c>
      <c r="BK156" s="166">
        <v>0</v>
      </c>
      <c r="BL156" s="166">
        <v>0</v>
      </c>
      <c r="BM156" s="166">
        <v>0</v>
      </c>
      <c r="BN156" s="166">
        <v>0</v>
      </c>
      <c r="BO156" s="166">
        <v>0</v>
      </c>
      <c r="BP156" s="166">
        <v>0</v>
      </c>
      <c r="BQ156" s="81" t="s">
        <v>1758</v>
      </c>
      <c r="BZ156" s="81" t="s">
        <v>155</v>
      </c>
      <c r="CA156" s="81">
        <v>7</v>
      </c>
      <c r="CC156" s="167">
        <f>N156</f>
        <v>-2</v>
      </c>
      <c r="CD156" s="167">
        <v>0</v>
      </c>
      <c r="CE156" s="167">
        <v>0</v>
      </c>
      <c r="CF156" s="167">
        <v>0</v>
      </c>
      <c r="CG156" s="167">
        <v>0</v>
      </c>
      <c r="CH156" s="167">
        <v>0</v>
      </c>
      <c r="CI156" s="167">
        <v>0</v>
      </c>
      <c r="CJ156" s="167">
        <v>0</v>
      </c>
      <c r="CK156" s="167">
        <v>0</v>
      </c>
      <c r="CL156" s="167">
        <v>0</v>
      </c>
      <c r="CM156" s="167">
        <v>0</v>
      </c>
      <c r="CN156" s="167">
        <v>0</v>
      </c>
      <c r="CO156" s="167">
        <v>0</v>
      </c>
      <c r="CP156" s="167">
        <v>0</v>
      </c>
      <c r="CQ156" s="167">
        <v>0</v>
      </c>
      <c r="CR156" s="167">
        <v>0</v>
      </c>
      <c r="CS156" s="167">
        <v>0</v>
      </c>
      <c r="CT156" s="167">
        <v>0</v>
      </c>
      <c r="CU156" s="167">
        <v>0</v>
      </c>
      <c r="CV156" s="167">
        <v>0</v>
      </c>
      <c r="CW156" s="167">
        <v>0</v>
      </c>
      <c r="CX156" s="167">
        <f>SUM(CD156:CH156)</f>
        <v>0</v>
      </c>
      <c r="CY156" s="167">
        <f>SUM(CD156:CM156)</f>
        <v>0</v>
      </c>
    </row>
    <row r="157" spans="1:103" ht="12.75" customHeight="1" x14ac:dyDescent="0.2">
      <c r="A157" s="81">
        <v>6134</v>
      </c>
      <c r="B157" s="165" t="s">
        <v>1924</v>
      </c>
      <c r="C157" s="165" t="s">
        <v>986</v>
      </c>
      <c r="E157" s="165" t="s">
        <v>3201</v>
      </c>
      <c r="G157" s="81">
        <v>527684</v>
      </c>
      <c r="H157" s="81">
        <v>171150</v>
      </c>
      <c r="I157" s="165" t="s">
        <v>253</v>
      </c>
      <c r="J157" s="349">
        <v>42825</v>
      </c>
      <c r="K157" s="349">
        <v>43027</v>
      </c>
      <c r="L157" s="166">
        <v>0</v>
      </c>
      <c r="M157" s="166">
        <v>1</v>
      </c>
      <c r="N157" s="166">
        <v>1</v>
      </c>
      <c r="O157" s="166">
        <v>1</v>
      </c>
      <c r="P157" s="166">
        <v>1</v>
      </c>
      <c r="R157" s="165" t="s">
        <v>987</v>
      </c>
      <c r="S157" s="81" t="s">
        <v>113</v>
      </c>
      <c r="T157" s="349">
        <v>42459</v>
      </c>
      <c r="U157" s="349">
        <v>42516</v>
      </c>
      <c r="W157" s="81" t="s">
        <v>114</v>
      </c>
      <c r="Y157" s="81" t="s">
        <v>115</v>
      </c>
      <c r="Z157" s="81" t="s">
        <v>219</v>
      </c>
      <c r="AA157" s="81" t="s">
        <v>117</v>
      </c>
      <c r="AB157" s="81" t="s">
        <v>3889</v>
      </c>
      <c r="AC157" s="166">
        <v>4.0000001899898104E-3</v>
      </c>
      <c r="AD157" s="349">
        <v>42825</v>
      </c>
      <c r="AF157" s="349">
        <v>43027</v>
      </c>
      <c r="AG157" s="81" t="s">
        <v>238</v>
      </c>
      <c r="AH157" s="81" t="s">
        <v>118</v>
      </c>
      <c r="AK157" s="166">
        <v>0</v>
      </c>
      <c r="AM157" s="166">
        <v>0</v>
      </c>
      <c r="AO157" s="166">
        <v>0</v>
      </c>
      <c r="AP157" s="166">
        <v>1</v>
      </c>
      <c r="AQ157" s="166">
        <v>0</v>
      </c>
      <c r="AR157" s="166">
        <v>0</v>
      </c>
      <c r="AS157" s="166">
        <v>0</v>
      </c>
      <c r="AT157" s="166">
        <v>0</v>
      </c>
      <c r="AU157" s="166">
        <v>0</v>
      </c>
      <c r="AV157" s="166">
        <v>0</v>
      </c>
      <c r="AW157" s="166">
        <v>1</v>
      </c>
      <c r="AX157" s="166">
        <v>0</v>
      </c>
      <c r="AY157" s="166">
        <v>0</v>
      </c>
      <c r="AZ157" s="166">
        <v>0</v>
      </c>
      <c r="BA157" s="166">
        <v>0</v>
      </c>
      <c r="BB157" s="166">
        <v>0</v>
      </c>
      <c r="BC157" s="166">
        <v>0</v>
      </c>
      <c r="BD157" s="166">
        <v>0</v>
      </c>
      <c r="BE157" s="166">
        <v>0</v>
      </c>
      <c r="BF157" s="166">
        <v>0</v>
      </c>
      <c r="BG157" s="166">
        <v>0</v>
      </c>
      <c r="BH157" s="166">
        <v>0</v>
      </c>
      <c r="BI157" s="166">
        <v>0</v>
      </c>
      <c r="BJ157" s="166">
        <v>0</v>
      </c>
      <c r="BK157" s="166">
        <v>0</v>
      </c>
      <c r="BL157" s="166">
        <v>0</v>
      </c>
      <c r="BM157" s="166">
        <v>0</v>
      </c>
      <c r="BN157" s="166">
        <v>0</v>
      </c>
      <c r="BO157" s="166">
        <v>0</v>
      </c>
      <c r="BP157" s="166">
        <v>0</v>
      </c>
      <c r="BQ157" s="81" t="s">
        <v>1757</v>
      </c>
      <c r="BZ157" s="81" t="s">
        <v>155</v>
      </c>
      <c r="CA157" s="81">
        <v>7</v>
      </c>
      <c r="CC157" s="167">
        <f>N157</f>
        <v>1</v>
      </c>
      <c r="CD157" s="167">
        <v>0</v>
      </c>
      <c r="CE157" s="167">
        <v>0</v>
      </c>
      <c r="CF157" s="167">
        <v>0</v>
      </c>
      <c r="CG157" s="167">
        <v>0</v>
      </c>
      <c r="CH157" s="167">
        <v>0</v>
      </c>
      <c r="CI157" s="167">
        <v>0</v>
      </c>
      <c r="CJ157" s="167">
        <v>0</v>
      </c>
      <c r="CK157" s="167">
        <v>0</v>
      </c>
      <c r="CL157" s="167">
        <v>0</v>
      </c>
      <c r="CM157" s="167">
        <v>0</v>
      </c>
      <c r="CN157" s="167">
        <v>0</v>
      </c>
      <c r="CO157" s="167">
        <v>0</v>
      </c>
      <c r="CP157" s="167">
        <v>0</v>
      </c>
      <c r="CQ157" s="167">
        <v>0</v>
      </c>
      <c r="CR157" s="167">
        <v>0</v>
      </c>
      <c r="CS157" s="167">
        <v>0</v>
      </c>
      <c r="CT157" s="167">
        <v>0</v>
      </c>
      <c r="CU157" s="167">
        <v>0</v>
      </c>
      <c r="CV157" s="167">
        <v>0</v>
      </c>
      <c r="CW157" s="167">
        <v>0</v>
      </c>
      <c r="CX157" s="167">
        <f>SUM(CD157:CH157)</f>
        <v>0</v>
      </c>
      <c r="CY157" s="167">
        <f>SUM(CD157:CM157)</f>
        <v>0</v>
      </c>
    </row>
    <row r="158" spans="1:103" ht="12.75" customHeight="1" x14ac:dyDescent="0.2">
      <c r="A158" s="81">
        <v>6137</v>
      </c>
      <c r="B158" s="165" t="s">
        <v>1924</v>
      </c>
      <c r="C158" s="165" t="s">
        <v>705</v>
      </c>
      <c r="E158" s="165" t="s">
        <v>3202</v>
      </c>
      <c r="G158" s="81">
        <v>527520</v>
      </c>
      <c r="H158" s="81">
        <v>176602</v>
      </c>
      <c r="I158" s="165" t="s">
        <v>257</v>
      </c>
      <c r="J158" s="349">
        <v>42825</v>
      </c>
      <c r="K158" s="349">
        <v>43081</v>
      </c>
      <c r="L158" s="166">
        <v>2</v>
      </c>
      <c r="M158" s="166">
        <v>1</v>
      </c>
      <c r="N158" s="166">
        <v>-1</v>
      </c>
      <c r="O158" s="166">
        <v>1</v>
      </c>
      <c r="P158" s="166">
        <v>-1</v>
      </c>
      <c r="R158" s="165" t="s">
        <v>963</v>
      </c>
      <c r="S158" s="81" t="s">
        <v>113</v>
      </c>
      <c r="T158" s="349">
        <v>42334</v>
      </c>
      <c r="U158" s="349">
        <v>42447</v>
      </c>
      <c r="W158" s="81" t="s">
        <v>114</v>
      </c>
      <c r="Y158" s="81" t="s">
        <v>115</v>
      </c>
      <c r="Z158" s="81" t="s">
        <v>398</v>
      </c>
      <c r="AA158" s="81" t="s">
        <v>117</v>
      </c>
      <c r="AB158" s="81" t="s">
        <v>336</v>
      </c>
      <c r="AC158" s="166">
        <v>1.30000002682209E-2</v>
      </c>
      <c r="AD158" s="349">
        <v>42825</v>
      </c>
      <c r="AF158" s="349">
        <v>43081</v>
      </c>
      <c r="AG158" s="81" t="s">
        <v>238</v>
      </c>
      <c r="AH158" s="81" t="s">
        <v>118</v>
      </c>
      <c r="AK158" s="166">
        <v>0</v>
      </c>
      <c r="AM158" s="166">
        <v>0</v>
      </c>
      <c r="AO158" s="166">
        <v>0</v>
      </c>
      <c r="AP158" s="166">
        <v>-1</v>
      </c>
      <c r="AQ158" s="166">
        <v>0</v>
      </c>
      <c r="AR158" s="166">
        <v>-1</v>
      </c>
      <c r="AS158" s="166">
        <v>1</v>
      </c>
      <c r="AT158" s="166">
        <v>0</v>
      </c>
      <c r="AU158" s="166">
        <v>0</v>
      </c>
      <c r="AV158" s="166">
        <v>0</v>
      </c>
      <c r="AW158" s="166">
        <v>-1</v>
      </c>
      <c r="AX158" s="166">
        <v>0</v>
      </c>
      <c r="AY158" s="166">
        <v>-1</v>
      </c>
      <c r="AZ158" s="166">
        <v>0</v>
      </c>
      <c r="BA158" s="166">
        <v>0</v>
      </c>
      <c r="BB158" s="166">
        <v>0</v>
      </c>
      <c r="BC158" s="166">
        <v>0</v>
      </c>
      <c r="BD158" s="166">
        <v>0</v>
      </c>
      <c r="BE158" s="166">
        <v>0</v>
      </c>
      <c r="BF158" s="166">
        <v>0</v>
      </c>
      <c r="BG158" s="166">
        <v>1</v>
      </c>
      <c r="BH158" s="166">
        <v>0</v>
      </c>
      <c r="BI158" s="166">
        <v>0</v>
      </c>
      <c r="BJ158" s="166">
        <v>0</v>
      </c>
      <c r="BK158" s="166">
        <v>0</v>
      </c>
      <c r="BL158" s="166">
        <v>0</v>
      </c>
      <c r="BM158" s="166">
        <v>0</v>
      </c>
      <c r="BN158" s="166">
        <v>0</v>
      </c>
      <c r="BO158" s="166">
        <v>0</v>
      </c>
      <c r="BP158" s="166">
        <v>0</v>
      </c>
      <c r="BQ158" s="81" t="s">
        <v>1757</v>
      </c>
      <c r="BZ158" s="81" t="s">
        <v>155</v>
      </c>
      <c r="CA158" s="81">
        <v>7</v>
      </c>
      <c r="CC158" s="167">
        <f>N158</f>
        <v>-1</v>
      </c>
      <c r="CD158" s="167">
        <v>0</v>
      </c>
      <c r="CE158" s="167">
        <v>0</v>
      </c>
      <c r="CF158" s="167">
        <v>0</v>
      </c>
      <c r="CG158" s="167">
        <v>0</v>
      </c>
      <c r="CH158" s="167">
        <v>0</v>
      </c>
      <c r="CI158" s="167">
        <v>0</v>
      </c>
      <c r="CJ158" s="167">
        <v>0</v>
      </c>
      <c r="CK158" s="167">
        <v>0</v>
      </c>
      <c r="CL158" s="167">
        <v>0</v>
      </c>
      <c r="CM158" s="167">
        <v>0</v>
      </c>
      <c r="CN158" s="167">
        <v>0</v>
      </c>
      <c r="CO158" s="167">
        <v>0</v>
      </c>
      <c r="CP158" s="167">
        <v>0</v>
      </c>
      <c r="CQ158" s="167">
        <v>0</v>
      </c>
      <c r="CR158" s="167">
        <v>0</v>
      </c>
      <c r="CS158" s="167">
        <v>0</v>
      </c>
      <c r="CT158" s="167">
        <v>0</v>
      </c>
      <c r="CU158" s="167">
        <v>0</v>
      </c>
      <c r="CV158" s="167">
        <v>0</v>
      </c>
      <c r="CW158" s="167">
        <v>0</v>
      </c>
      <c r="CX158" s="167">
        <f>SUM(CD158:CH158)</f>
        <v>0</v>
      </c>
      <c r="CY158" s="167">
        <f>SUM(CD158:CM158)</f>
        <v>0</v>
      </c>
    </row>
    <row r="159" spans="1:103" ht="12.75" customHeight="1" x14ac:dyDescent="0.2">
      <c r="A159" s="81">
        <v>6139</v>
      </c>
      <c r="B159" s="165" t="s">
        <v>1924</v>
      </c>
      <c r="C159" s="165" t="s">
        <v>726</v>
      </c>
      <c r="E159" s="165" t="s">
        <v>3203</v>
      </c>
      <c r="G159" s="81">
        <v>522866</v>
      </c>
      <c r="H159" s="81">
        <v>175962</v>
      </c>
      <c r="I159" s="165" t="s">
        <v>259</v>
      </c>
      <c r="J159" s="349">
        <v>42667</v>
      </c>
      <c r="K159" s="349">
        <v>42948</v>
      </c>
      <c r="L159" s="166">
        <v>0</v>
      </c>
      <c r="M159" s="166">
        <v>1</v>
      </c>
      <c r="N159" s="166">
        <v>1</v>
      </c>
      <c r="O159" s="166">
        <v>1</v>
      </c>
      <c r="P159" s="166">
        <v>1</v>
      </c>
      <c r="R159" s="165" t="s">
        <v>727</v>
      </c>
      <c r="S159" s="81" t="s">
        <v>113</v>
      </c>
      <c r="T159" s="349">
        <v>42390</v>
      </c>
      <c r="U159" s="349">
        <v>42446</v>
      </c>
      <c r="W159" s="81" t="s">
        <v>114</v>
      </c>
      <c r="Y159" s="81" t="s">
        <v>115</v>
      </c>
      <c r="Z159" s="81" t="s">
        <v>310</v>
      </c>
      <c r="AA159" s="81" t="s">
        <v>117</v>
      </c>
      <c r="AB159" s="81" t="s">
        <v>311</v>
      </c>
      <c r="AC159" s="166">
        <v>8.0000003799796104E-3</v>
      </c>
      <c r="AD159" s="349">
        <v>42667</v>
      </c>
      <c r="AF159" s="349">
        <v>42948</v>
      </c>
      <c r="AG159" s="81" t="s">
        <v>238</v>
      </c>
      <c r="AH159" s="81" t="s">
        <v>118</v>
      </c>
      <c r="AK159" s="166">
        <v>0</v>
      </c>
      <c r="AM159" s="166">
        <v>0</v>
      </c>
      <c r="AO159" s="166">
        <v>0</v>
      </c>
      <c r="AP159" s="166">
        <v>1</v>
      </c>
      <c r="AQ159" s="166">
        <v>0</v>
      </c>
      <c r="AR159" s="166">
        <v>0</v>
      </c>
      <c r="AS159" s="166">
        <v>0</v>
      </c>
      <c r="AT159" s="166">
        <v>0</v>
      </c>
      <c r="AU159" s="166">
        <v>0</v>
      </c>
      <c r="AV159" s="166">
        <v>0</v>
      </c>
      <c r="AW159" s="166">
        <v>1</v>
      </c>
      <c r="AX159" s="166">
        <v>0</v>
      </c>
      <c r="AY159" s="166">
        <v>0</v>
      </c>
      <c r="AZ159" s="166">
        <v>0</v>
      </c>
      <c r="BA159" s="166">
        <v>0</v>
      </c>
      <c r="BB159" s="166">
        <v>0</v>
      </c>
      <c r="BC159" s="166">
        <v>0</v>
      </c>
      <c r="BD159" s="166">
        <v>0</v>
      </c>
      <c r="BE159" s="166">
        <v>0</v>
      </c>
      <c r="BF159" s="166">
        <v>0</v>
      </c>
      <c r="BG159" s="166">
        <v>0</v>
      </c>
      <c r="BH159" s="166">
        <v>0</v>
      </c>
      <c r="BI159" s="166">
        <v>0</v>
      </c>
      <c r="BJ159" s="166">
        <v>0</v>
      </c>
      <c r="BK159" s="166">
        <v>0</v>
      </c>
      <c r="BL159" s="166">
        <v>0</v>
      </c>
      <c r="BM159" s="166">
        <v>0</v>
      </c>
      <c r="BN159" s="166">
        <v>0</v>
      </c>
      <c r="BO159" s="166">
        <v>0</v>
      </c>
      <c r="BP159" s="166">
        <v>0</v>
      </c>
      <c r="BQ159" s="81" t="s">
        <v>1758</v>
      </c>
      <c r="BZ159" s="81" t="s">
        <v>155</v>
      </c>
      <c r="CA159" s="81">
        <v>7</v>
      </c>
      <c r="CC159" s="167">
        <f>N159</f>
        <v>1</v>
      </c>
      <c r="CD159" s="167">
        <v>0</v>
      </c>
      <c r="CE159" s="167">
        <v>0</v>
      </c>
      <c r="CF159" s="167">
        <v>0</v>
      </c>
      <c r="CG159" s="167">
        <v>0</v>
      </c>
      <c r="CH159" s="167">
        <v>0</v>
      </c>
      <c r="CI159" s="167">
        <v>0</v>
      </c>
      <c r="CJ159" s="167">
        <v>0</v>
      </c>
      <c r="CK159" s="167">
        <v>0</v>
      </c>
      <c r="CL159" s="167">
        <v>0</v>
      </c>
      <c r="CM159" s="167">
        <v>0</v>
      </c>
      <c r="CN159" s="167">
        <v>0</v>
      </c>
      <c r="CO159" s="167">
        <v>0</v>
      </c>
      <c r="CP159" s="167">
        <v>0</v>
      </c>
      <c r="CQ159" s="167">
        <v>0</v>
      </c>
      <c r="CR159" s="167">
        <v>0</v>
      </c>
      <c r="CS159" s="167">
        <v>0</v>
      </c>
      <c r="CT159" s="167">
        <v>0</v>
      </c>
      <c r="CU159" s="167">
        <v>0</v>
      </c>
      <c r="CV159" s="167">
        <v>0</v>
      </c>
      <c r="CW159" s="167">
        <v>0</v>
      </c>
      <c r="CX159" s="167">
        <f>SUM(CD159:CH159)</f>
        <v>0</v>
      </c>
      <c r="CY159" s="167">
        <f>SUM(CD159:CM159)</f>
        <v>0</v>
      </c>
    </row>
    <row r="160" spans="1:103" ht="12.75" customHeight="1" x14ac:dyDescent="0.2">
      <c r="A160" s="81">
        <v>6140</v>
      </c>
      <c r="B160" s="165" t="s">
        <v>1924</v>
      </c>
      <c r="C160" s="165" t="s">
        <v>696</v>
      </c>
      <c r="E160" s="165" t="s">
        <v>3204</v>
      </c>
      <c r="G160" s="81">
        <v>524679</v>
      </c>
      <c r="H160" s="81">
        <v>174038</v>
      </c>
      <c r="I160" s="165" t="s">
        <v>250</v>
      </c>
      <c r="J160" s="349">
        <v>42825</v>
      </c>
      <c r="K160" s="349">
        <v>43190</v>
      </c>
      <c r="L160" s="166">
        <v>0</v>
      </c>
      <c r="M160" s="166">
        <v>1</v>
      </c>
      <c r="N160" s="166">
        <v>1</v>
      </c>
      <c r="O160" s="166">
        <v>1</v>
      </c>
      <c r="P160" s="166">
        <v>1</v>
      </c>
      <c r="R160" s="165" t="s">
        <v>697</v>
      </c>
      <c r="S160" s="81" t="s">
        <v>113</v>
      </c>
      <c r="T160" s="349">
        <v>42324</v>
      </c>
      <c r="U160" s="349">
        <v>42453</v>
      </c>
      <c r="W160" s="81" t="s">
        <v>114</v>
      </c>
      <c r="Y160" s="81" t="s">
        <v>115</v>
      </c>
      <c r="Z160" s="81" t="s">
        <v>398</v>
      </c>
      <c r="AA160" s="81" t="s">
        <v>117</v>
      </c>
      <c r="AB160" s="81" t="s">
        <v>399</v>
      </c>
      <c r="AC160" s="166">
        <v>2.60000005364418E-2</v>
      </c>
      <c r="AD160" s="349">
        <v>42825</v>
      </c>
      <c r="AF160" s="349">
        <v>43190</v>
      </c>
      <c r="AG160" s="81" t="s">
        <v>238</v>
      </c>
      <c r="AH160" s="81" t="s">
        <v>118</v>
      </c>
      <c r="AK160" s="166">
        <v>0</v>
      </c>
      <c r="AM160" s="166">
        <v>0</v>
      </c>
      <c r="AO160" s="166">
        <v>0</v>
      </c>
      <c r="AP160" s="166">
        <v>0</v>
      </c>
      <c r="AQ160" s="166">
        <v>0</v>
      </c>
      <c r="AR160" s="166">
        <v>1</v>
      </c>
      <c r="AS160" s="166">
        <v>0</v>
      </c>
      <c r="AT160" s="166">
        <v>0</v>
      </c>
      <c r="AU160" s="166">
        <v>0</v>
      </c>
      <c r="AV160" s="166">
        <v>0</v>
      </c>
      <c r="AW160" s="166">
        <v>0</v>
      </c>
      <c r="AX160" s="166">
        <v>0</v>
      </c>
      <c r="AY160" s="166">
        <v>0</v>
      </c>
      <c r="AZ160" s="166">
        <v>0</v>
      </c>
      <c r="BA160" s="166">
        <v>0</v>
      </c>
      <c r="BB160" s="166">
        <v>0</v>
      </c>
      <c r="BC160" s="166">
        <v>0</v>
      </c>
      <c r="BD160" s="166">
        <v>0</v>
      </c>
      <c r="BE160" s="166">
        <v>0</v>
      </c>
      <c r="BF160" s="166">
        <v>1</v>
      </c>
      <c r="BG160" s="166">
        <v>0</v>
      </c>
      <c r="BH160" s="166">
        <v>0</v>
      </c>
      <c r="BI160" s="166">
        <v>0</v>
      </c>
      <c r="BJ160" s="166">
        <v>0</v>
      </c>
      <c r="BK160" s="166">
        <v>0</v>
      </c>
      <c r="BL160" s="166">
        <v>0</v>
      </c>
      <c r="BM160" s="166">
        <v>0</v>
      </c>
      <c r="BN160" s="166">
        <v>0</v>
      </c>
      <c r="BO160" s="166">
        <v>0</v>
      </c>
      <c r="BP160" s="166">
        <v>0</v>
      </c>
      <c r="BQ160" s="81" t="s">
        <v>1758</v>
      </c>
      <c r="BZ160" s="81" t="s">
        <v>155</v>
      </c>
      <c r="CA160" s="81">
        <v>7</v>
      </c>
      <c r="CC160" s="167">
        <f>N160</f>
        <v>1</v>
      </c>
      <c r="CD160" s="167">
        <v>0</v>
      </c>
      <c r="CE160" s="167">
        <v>0</v>
      </c>
      <c r="CF160" s="167">
        <v>0</v>
      </c>
      <c r="CG160" s="167">
        <v>0</v>
      </c>
      <c r="CH160" s="167">
        <v>0</v>
      </c>
      <c r="CI160" s="167">
        <v>0</v>
      </c>
      <c r="CJ160" s="167">
        <v>0</v>
      </c>
      <c r="CK160" s="167">
        <v>0</v>
      </c>
      <c r="CL160" s="167">
        <v>0</v>
      </c>
      <c r="CM160" s="167">
        <v>0</v>
      </c>
      <c r="CN160" s="167">
        <v>0</v>
      </c>
      <c r="CO160" s="167">
        <v>0</v>
      </c>
      <c r="CP160" s="167">
        <v>0</v>
      </c>
      <c r="CQ160" s="167">
        <v>0</v>
      </c>
      <c r="CR160" s="167">
        <v>0</v>
      </c>
      <c r="CS160" s="167">
        <v>0</v>
      </c>
      <c r="CT160" s="167">
        <v>0</v>
      </c>
      <c r="CU160" s="167">
        <v>0</v>
      </c>
      <c r="CV160" s="167">
        <v>0</v>
      </c>
      <c r="CW160" s="167">
        <v>0</v>
      </c>
      <c r="CX160" s="167">
        <f>SUM(CD160:CH160)</f>
        <v>0</v>
      </c>
      <c r="CY160" s="167">
        <f>SUM(CD160:CM160)</f>
        <v>0</v>
      </c>
    </row>
    <row r="161" spans="1:103" ht="12.75" customHeight="1" x14ac:dyDescent="0.2">
      <c r="A161" s="81">
        <v>6143</v>
      </c>
      <c r="B161" s="165" t="s">
        <v>1924</v>
      </c>
      <c r="C161" s="165" t="s">
        <v>718</v>
      </c>
      <c r="E161" s="165" t="s">
        <v>3205</v>
      </c>
      <c r="G161" s="81">
        <v>526209</v>
      </c>
      <c r="H161" s="81">
        <v>174730</v>
      </c>
      <c r="I161" s="165" t="s">
        <v>260</v>
      </c>
      <c r="J161" s="349">
        <v>42485</v>
      </c>
      <c r="K161" s="349">
        <v>42944</v>
      </c>
      <c r="L161" s="166">
        <v>1</v>
      </c>
      <c r="M161" s="166">
        <v>2</v>
      </c>
      <c r="N161" s="166">
        <v>1</v>
      </c>
      <c r="O161" s="166">
        <v>2</v>
      </c>
      <c r="P161" s="166">
        <v>1</v>
      </c>
      <c r="R161" s="165" t="s">
        <v>1176</v>
      </c>
      <c r="S161" s="81" t="s">
        <v>113</v>
      </c>
      <c r="T161" s="349">
        <v>42401</v>
      </c>
      <c r="U161" s="349">
        <v>42453</v>
      </c>
      <c r="W161" s="81" t="s">
        <v>114</v>
      </c>
      <c r="Y161" s="81" t="s">
        <v>115</v>
      </c>
      <c r="Z161" s="81" t="s">
        <v>398</v>
      </c>
      <c r="AA161" s="81" t="s">
        <v>117</v>
      </c>
      <c r="AB161" s="81" t="s">
        <v>220</v>
      </c>
      <c r="AC161" s="166">
        <v>8.9999996125698107E-3</v>
      </c>
      <c r="AD161" s="349">
        <v>42485</v>
      </c>
      <c r="AF161" s="349">
        <v>42944</v>
      </c>
      <c r="AG161" s="81" t="s">
        <v>238</v>
      </c>
      <c r="AH161" s="81" t="s">
        <v>118</v>
      </c>
      <c r="AK161" s="166">
        <v>0</v>
      </c>
      <c r="AM161" s="166">
        <v>0</v>
      </c>
      <c r="AO161" s="166">
        <v>0</v>
      </c>
      <c r="AP161" s="166">
        <v>0</v>
      </c>
      <c r="AQ161" s="166">
        <v>1</v>
      </c>
      <c r="AR161" s="166">
        <v>0</v>
      </c>
      <c r="AS161" s="166">
        <v>0</v>
      </c>
      <c r="AT161" s="166">
        <v>0</v>
      </c>
      <c r="AU161" s="166">
        <v>0</v>
      </c>
      <c r="AV161" s="166">
        <v>0</v>
      </c>
      <c r="AW161" s="166">
        <v>0</v>
      </c>
      <c r="AX161" s="166">
        <v>1</v>
      </c>
      <c r="AY161" s="166">
        <v>0</v>
      </c>
      <c r="AZ161" s="166">
        <v>0</v>
      </c>
      <c r="BA161" s="166">
        <v>0</v>
      </c>
      <c r="BB161" s="166">
        <v>0</v>
      </c>
      <c r="BC161" s="166">
        <v>0</v>
      </c>
      <c r="BD161" s="166">
        <v>0</v>
      </c>
      <c r="BE161" s="166">
        <v>0</v>
      </c>
      <c r="BF161" s="166">
        <v>0</v>
      </c>
      <c r="BG161" s="166">
        <v>0</v>
      </c>
      <c r="BH161" s="166">
        <v>0</v>
      </c>
      <c r="BI161" s="166">
        <v>0</v>
      </c>
      <c r="BJ161" s="166">
        <v>0</v>
      </c>
      <c r="BK161" s="166">
        <v>0</v>
      </c>
      <c r="BL161" s="166">
        <v>0</v>
      </c>
      <c r="BM161" s="166">
        <v>0</v>
      </c>
      <c r="BN161" s="166">
        <v>0</v>
      </c>
      <c r="BO161" s="166">
        <v>0</v>
      </c>
      <c r="BP161" s="166">
        <v>0</v>
      </c>
      <c r="BQ161" s="81" t="s">
        <v>1758</v>
      </c>
      <c r="BZ161" s="81" t="s">
        <v>155</v>
      </c>
      <c r="CA161" s="81">
        <v>7</v>
      </c>
      <c r="CC161" s="167">
        <f>N161</f>
        <v>1</v>
      </c>
      <c r="CD161" s="167">
        <v>0</v>
      </c>
      <c r="CE161" s="167">
        <v>0</v>
      </c>
      <c r="CF161" s="167">
        <v>0</v>
      </c>
      <c r="CG161" s="167">
        <v>0</v>
      </c>
      <c r="CH161" s="167">
        <v>0</v>
      </c>
      <c r="CI161" s="167">
        <v>0</v>
      </c>
      <c r="CJ161" s="167">
        <v>0</v>
      </c>
      <c r="CK161" s="167">
        <v>0</v>
      </c>
      <c r="CL161" s="167">
        <v>0</v>
      </c>
      <c r="CM161" s="167">
        <v>0</v>
      </c>
      <c r="CN161" s="167">
        <v>0</v>
      </c>
      <c r="CO161" s="167">
        <v>0</v>
      </c>
      <c r="CP161" s="167">
        <v>0</v>
      </c>
      <c r="CQ161" s="167">
        <v>0</v>
      </c>
      <c r="CR161" s="167">
        <v>0</v>
      </c>
      <c r="CS161" s="167">
        <v>0</v>
      </c>
      <c r="CT161" s="167">
        <v>0</v>
      </c>
      <c r="CU161" s="167">
        <v>0</v>
      </c>
      <c r="CV161" s="167">
        <v>0</v>
      </c>
      <c r="CW161" s="167">
        <v>0</v>
      </c>
      <c r="CX161" s="167">
        <f>SUM(CD161:CH161)</f>
        <v>0</v>
      </c>
      <c r="CY161" s="167">
        <f>SUM(CD161:CM161)</f>
        <v>0</v>
      </c>
    </row>
    <row r="162" spans="1:103" ht="12.75" customHeight="1" x14ac:dyDescent="0.2">
      <c r="A162" s="81">
        <v>6146</v>
      </c>
      <c r="B162" s="165" t="s">
        <v>1924</v>
      </c>
      <c r="C162" s="165" t="s">
        <v>1644</v>
      </c>
      <c r="E162" s="165" t="s">
        <v>3206</v>
      </c>
      <c r="G162" s="81">
        <v>527723</v>
      </c>
      <c r="H162" s="81">
        <v>176500</v>
      </c>
      <c r="I162" s="165" t="s">
        <v>241</v>
      </c>
      <c r="J162" s="349">
        <v>43018</v>
      </c>
      <c r="K162" s="349">
        <v>43190</v>
      </c>
      <c r="L162" s="166">
        <v>1</v>
      </c>
      <c r="M162" s="166">
        <v>2</v>
      </c>
      <c r="N162" s="166">
        <v>1</v>
      </c>
      <c r="O162" s="166">
        <v>2</v>
      </c>
      <c r="P162" s="166">
        <v>1</v>
      </c>
      <c r="R162" s="165" t="s">
        <v>1645</v>
      </c>
      <c r="S162" s="81" t="s">
        <v>113</v>
      </c>
      <c r="T162" s="349">
        <v>42794</v>
      </c>
      <c r="U162" s="349">
        <v>42947</v>
      </c>
      <c r="V162" s="81" t="s">
        <v>155</v>
      </c>
      <c r="W162" s="81" t="s">
        <v>114</v>
      </c>
      <c r="Y162" s="81" t="s">
        <v>115</v>
      </c>
      <c r="Z162" s="81" t="s">
        <v>119</v>
      </c>
      <c r="AA162" s="81" t="s">
        <v>117</v>
      </c>
      <c r="AB162" s="81" t="s">
        <v>220</v>
      </c>
      <c r="AC162" s="166">
        <v>8.0000003799796104E-3</v>
      </c>
      <c r="AD162" s="349">
        <v>43018</v>
      </c>
      <c r="AE162" s="81" t="s">
        <v>155</v>
      </c>
      <c r="AF162" s="349">
        <v>43190</v>
      </c>
      <c r="AG162" s="81" t="s">
        <v>238</v>
      </c>
      <c r="AH162" s="81" t="s">
        <v>118</v>
      </c>
      <c r="AK162" s="166">
        <v>0</v>
      </c>
      <c r="AM162" s="166">
        <v>0</v>
      </c>
      <c r="AO162" s="166">
        <v>0</v>
      </c>
      <c r="AP162" s="166">
        <v>0</v>
      </c>
      <c r="AQ162" s="166">
        <v>2</v>
      </c>
      <c r="AR162" s="166">
        <v>-1</v>
      </c>
      <c r="AS162" s="166">
        <v>0</v>
      </c>
      <c r="AT162" s="166">
        <v>0</v>
      </c>
      <c r="AU162" s="166">
        <v>0</v>
      </c>
      <c r="AV162" s="166">
        <v>0</v>
      </c>
      <c r="AW162" s="166">
        <v>0</v>
      </c>
      <c r="AX162" s="166">
        <v>2</v>
      </c>
      <c r="AY162" s="166">
        <v>-1</v>
      </c>
      <c r="AZ162" s="166">
        <v>0</v>
      </c>
      <c r="BA162" s="166">
        <v>0</v>
      </c>
      <c r="BB162" s="166">
        <v>0</v>
      </c>
      <c r="BC162" s="166">
        <v>0</v>
      </c>
      <c r="BD162" s="166">
        <v>0</v>
      </c>
      <c r="BE162" s="166">
        <v>0</v>
      </c>
      <c r="BF162" s="166">
        <v>0</v>
      </c>
      <c r="BG162" s="166">
        <v>0</v>
      </c>
      <c r="BH162" s="166">
        <v>0</v>
      </c>
      <c r="BI162" s="166">
        <v>0</v>
      </c>
      <c r="BJ162" s="166">
        <v>0</v>
      </c>
      <c r="BK162" s="166">
        <v>0</v>
      </c>
      <c r="BL162" s="166">
        <v>0</v>
      </c>
      <c r="BM162" s="166">
        <v>0</v>
      </c>
      <c r="BN162" s="166">
        <v>0</v>
      </c>
      <c r="BO162" s="166">
        <v>0</v>
      </c>
      <c r="BP162" s="166">
        <v>0</v>
      </c>
      <c r="BQ162" s="81" t="s">
        <v>1757</v>
      </c>
      <c r="BZ162" s="81" t="s">
        <v>155</v>
      </c>
      <c r="CA162" s="81">
        <v>7</v>
      </c>
      <c r="CC162" s="167">
        <f>N162</f>
        <v>1</v>
      </c>
      <c r="CD162" s="167">
        <v>0</v>
      </c>
      <c r="CE162" s="167">
        <v>0</v>
      </c>
      <c r="CF162" s="167">
        <v>0</v>
      </c>
      <c r="CG162" s="167">
        <v>0</v>
      </c>
      <c r="CH162" s="167">
        <v>0</v>
      </c>
      <c r="CI162" s="167">
        <v>0</v>
      </c>
      <c r="CJ162" s="167">
        <v>0</v>
      </c>
      <c r="CK162" s="167">
        <v>0</v>
      </c>
      <c r="CL162" s="167">
        <v>0</v>
      </c>
      <c r="CM162" s="167">
        <v>0</v>
      </c>
      <c r="CN162" s="167">
        <v>0</v>
      </c>
      <c r="CO162" s="167">
        <v>0</v>
      </c>
      <c r="CP162" s="167">
        <v>0</v>
      </c>
      <c r="CQ162" s="167">
        <v>0</v>
      </c>
      <c r="CR162" s="167">
        <v>0</v>
      </c>
      <c r="CS162" s="167">
        <v>0</v>
      </c>
      <c r="CT162" s="167">
        <v>0</v>
      </c>
      <c r="CU162" s="167">
        <v>0</v>
      </c>
      <c r="CV162" s="167">
        <v>0</v>
      </c>
      <c r="CW162" s="167">
        <v>0</v>
      </c>
      <c r="CX162" s="167">
        <f>SUM(CD162:CH162)</f>
        <v>0</v>
      </c>
      <c r="CY162" s="167">
        <f>SUM(CD162:CM162)</f>
        <v>0</v>
      </c>
    </row>
    <row r="163" spans="1:103" ht="12.75" customHeight="1" x14ac:dyDescent="0.2">
      <c r="A163" s="81">
        <v>6152</v>
      </c>
      <c r="B163" s="165" t="s">
        <v>1924</v>
      </c>
      <c r="C163" s="165" t="s">
        <v>3207</v>
      </c>
      <c r="E163" s="165" t="s">
        <v>3208</v>
      </c>
      <c r="G163" s="81">
        <v>528379</v>
      </c>
      <c r="H163" s="81">
        <v>172983</v>
      </c>
      <c r="I163" s="165" t="s">
        <v>248</v>
      </c>
      <c r="J163" s="349">
        <v>42909</v>
      </c>
      <c r="K163" s="349">
        <v>43182</v>
      </c>
      <c r="L163" s="166">
        <v>0</v>
      </c>
      <c r="M163" s="166">
        <v>2</v>
      </c>
      <c r="N163" s="166">
        <v>2</v>
      </c>
      <c r="O163" s="166">
        <v>2</v>
      </c>
      <c r="P163" s="166">
        <v>2</v>
      </c>
      <c r="R163" s="165" t="s">
        <v>3209</v>
      </c>
      <c r="S163" s="81" t="s">
        <v>113</v>
      </c>
      <c r="T163" s="349">
        <v>42822</v>
      </c>
      <c r="U163" s="349">
        <v>42878</v>
      </c>
      <c r="V163" s="81" t="s">
        <v>155</v>
      </c>
      <c r="W163" s="81" t="s">
        <v>114</v>
      </c>
      <c r="Y163" s="81" t="s">
        <v>115</v>
      </c>
      <c r="Z163" s="81" t="s">
        <v>219</v>
      </c>
      <c r="AA163" s="81" t="s">
        <v>117</v>
      </c>
      <c r="AB163" s="81" t="s">
        <v>3889</v>
      </c>
      <c r="AC163" s="166">
        <v>1.09999999403954E-2</v>
      </c>
      <c r="AD163" s="349">
        <v>42909</v>
      </c>
      <c r="AE163" s="81" t="s">
        <v>155</v>
      </c>
      <c r="AF163" s="349">
        <v>43182</v>
      </c>
      <c r="AG163" s="81" t="s">
        <v>238</v>
      </c>
      <c r="AH163" s="81" t="s">
        <v>118</v>
      </c>
      <c r="AK163" s="166">
        <v>0</v>
      </c>
      <c r="AM163" s="166">
        <v>0</v>
      </c>
      <c r="AO163" s="166">
        <v>0</v>
      </c>
      <c r="AP163" s="166">
        <v>2</v>
      </c>
      <c r="AQ163" s="166">
        <v>0</v>
      </c>
      <c r="AR163" s="166">
        <v>0</v>
      </c>
      <c r="AS163" s="166">
        <v>0</v>
      </c>
      <c r="AT163" s="166">
        <v>0</v>
      </c>
      <c r="AU163" s="166">
        <v>0</v>
      </c>
      <c r="AV163" s="166">
        <v>0</v>
      </c>
      <c r="AW163" s="166">
        <v>2</v>
      </c>
      <c r="AX163" s="166">
        <v>0</v>
      </c>
      <c r="AY163" s="166">
        <v>0</v>
      </c>
      <c r="AZ163" s="166">
        <v>0</v>
      </c>
      <c r="BA163" s="166">
        <v>0</v>
      </c>
      <c r="BB163" s="166">
        <v>0</v>
      </c>
      <c r="BC163" s="166">
        <v>0</v>
      </c>
      <c r="BD163" s="166">
        <v>0</v>
      </c>
      <c r="BE163" s="166">
        <v>0</v>
      </c>
      <c r="BF163" s="166">
        <v>0</v>
      </c>
      <c r="BG163" s="166">
        <v>0</v>
      </c>
      <c r="BH163" s="166">
        <v>0</v>
      </c>
      <c r="BI163" s="166">
        <v>0</v>
      </c>
      <c r="BJ163" s="166">
        <v>0</v>
      </c>
      <c r="BK163" s="166">
        <v>0</v>
      </c>
      <c r="BL163" s="166">
        <v>0</v>
      </c>
      <c r="BM163" s="166">
        <v>0</v>
      </c>
      <c r="BN163" s="166">
        <v>0</v>
      </c>
      <c r="BO163" s="166">
        <v>0</v>
      </c>
      <c r="BP163" s="166">
        <v>0</v>
      </c>
      <c r="BQ163" s="81" t="s">
        <v>1757</v>
      </c>
      <c r="BZ163" s="81" t="s">
        <v>155</v>
      </c>
      <c r="CA163" s="81">
        <v>7</v>
      </c>
      <c r="CC163" s="167">
        <f>N163</f>
        <v>2</v>
      </c>
      <c r="CD163" s="167">
        <v>0</v>
      </c>
      <c r="CE163" s="167">
        <v>0</v>
      </c>
      <c r="CF163" s="167">
        <v>0</v>
      </c>
      <c r="CG163" s="167">
        <v>0</v>
      </c>
      <c r="CH163" s="167">
        <v>0</v>
      </c>
      <c r="CI163" s="167">
        <v>0</v>
      </c>
      <c r="CJ163" s="167">
        <v>0</v>
      </c>
      <c r="CK163" s="167">
        <v>0</v>
      </c>
      <c r="CL163" s="167">
        <v>0</v>
      </c>
      <c r="CM163" s="167">
        <v>0</v>
      </c>
      <c r="CN163" s="167">
        <v>0</v>
      </c>
      <c r="CO163" s="167">
        <v>0</v>
      </c>
      <c r="CP163" s="167">
        <v>0</v>
      </c>
      <c r="CQ163" s="167">
        <v>0</v>
      </c>
      <c r="CR163" s="167">
        <v>0</v>
      </c>
      <c r="CS163" s="167">
        <v>0</v>
      </c>
      <c r="CT163" s="167">
        <v>0</v>
      </c>
      <c r="CU163" s="167">
        <v>0</v>
      </c>
      <c r="CV163" s="167">
        <v>0</v>
      </c>
      <c r="CW163" s="167">
        <v>0</v>
      </c>
      <c r="CX163" s="167">
        <f>SUM(CD163:CH163)</f>
        <v>0</v>
      </c>
      <c r="CY163" s="167">
        <f>SUM(CD163:CM163)</f>
        <v>0</v>
      </c>
    </row>
    <row r="164" spans="1:103" ht="12.75" customHeight="1" x14ac:dyDescent="0.2">
      <c r="A164" s="81">
        <v>6155</v>
      </c>
      <c r="B164" s="165" t="s">
        <v>1924</v>
      </c>
      <c r="C164" s="165" t="s">
        <v>1051</v>
      </c>
      <c r="E164" s="165" t="s">
        <v>3210</v>
      </c>
      <c r="G164" s="81">
        <v>527814</v>
      </c>
      <c r="H164" s="81">
        <v>175648</v>
      </c>
      <c r="I164" s="165" t="s">
        <v>256</v>
      </c>
      <c r="J164" s="349">
        <v>42825</v>
      </c>
      <c r="K164" s="349">
        <v>43112</v>
      </c>
      <c r="L164" s="166">
        <v>0</v>
      </c>
      <c r="M164" s="166">
        <v>1</v>
      </c>
      <c r="N164" s="166">
        <v>1</v>
      </c>
      <c r="O164" s="166">
        <v>1</v>
      </c>
      <c r="P164" s="166">
        <v>1</v>
      </c>
      <c r="R164" s="165" t="s">
        <v>1052</v>
      </c>
      <c r="S164" s="81" t="s">
        <v>113</v>
      </c>
      <c r="T164" s="349">
        <v>42629</v>
      </c>
      <c r="U164" s="349">
        <v>42685</v>
      </c>
      <c r="W164" s="81" t="s">
        <v>114</v>
      </c>
      <c r="Y164" s="81" t="s">
        <v>115</v>
      </c>
      <c r="Z164" s="81" t="s">
        <v>219</v>
      </c>
      <c r="AA164" s="81" t="s">
        <v>117</v>
      </c>
      <c r="AB164" s="81" t="s">
        <v>3889</v>
      </c>
      <c r="AC164" s="166">
        <v>3.0000000260770299E-3</v>
      </c>
      <c r="AD164" s="349">
        <v>42825</v>
      </c>
      <c r="AF164" s="349">
        <v>43112</v>
      </c>
      <c r="AG164" s="81" t="s">
        <v>238</v>
      </c>
      <c r="AH164" s="81" t="s">
        <v>118</v>
      </c>
      <c r="AK164" s="166">
        <v>0</v>
      </c>
      <c r="AM164" s="166">
        <v>0</v>
      </c>
      <c r="AO164" s="166">
        <v>0</v>
      </c>
      <c r="AP164" s="166">
        <v>1</v>
      </c>
      <c r="AQ164" s="166">
        <v>0</v>
      </c>
      <c r="AR164" s="166">
        <v>0</v>
      </c>
      <c r="AS164" s="166">
        <v>0</v>
      </c>
      <c r="AT164" s="166">
        <v>0</v>
      </c>
      <c r="AU164" s="166">
        <v>0</v>
      </c>
      <c r="AV164" s="166">
        <v>0</v>
      </c>
      <c r="AW164" s="166">
        <v>1</v>
      </c>
      <c r="AX164" s="166">
        <v>0</v>
      </c>
      <c r="AY164" s="166">
        <v>0</v>
      </c>
      <c r="AZ164" s="166">
        <v>0</v>
      </c>
      <c r="BA164" s="166">
        <v>0</v>
      </c>
      <c r="BB164" s="166">
        <v>0</v>
      </c>
      <c r="BC164" s="166">
        <v>0</v>
      </c>
      <c r="BD164" s="166">
        <v>0</v>
      </c>
      <c r="BE164" s="166">
        <v>0</v>
      </c>
      <c r="BF164" s="166">
        <v>0</v>
      </c>
      <c r="BG164" s="166">
        <v>0</v>
      </c>
      <c r="BH164" s="166">
        <v>0</v>
      </c>
      <c r="BI164" s="166">
        <v>0</v>
      </c>
      <c r="BJ164" s="166">
        <v>0</v>
      </c>
      <c r="BK164" s="166">
        <v>0</v>
      </c>
      <c r="BL164" s="166">
        <v>0</v>
      </c>
      <c r="BM164" s="166">
        <v>0</v>
      </c>
      <c r="BN164" s="166">
        <v>0</v>
      </c>
      <c r="BO164" s="166">
        <v>0</v>
      </c>
      <c r="BP164" s="166">
        <v>0</v>
      </c>
      <c r="BQ164" s="81" t="s">
        <v>1757</v>
      </c>
      <c r="BZ164" s="81" t="s">
        <v>155</v>
      </c>
      <c r="CA164" s="81">
        <v>7</v>
      </c>
      <c r="CC164" s="167">
        <f>N164</f>
        <v>1</v>
      </c>
      <c r="CD164" s="167">
        <v>0</v>
      </c>
      <c r="CE164" s="167">
        <v>0</v>
      </c>
      <c r="CF164" s="167">
        <v>0</v>
      </c>
      <c r="CG164" s="167">
        <v>0</v>
      </c>
      <c r="CH164" s="167">
        <v>0</v>
      </c>
      <c r="CI164" s="167">
        <v>0</v>
      </c>
      <c r="CJ164" s="167">
        <v>0</v>
      </c>
      <c r="CK164" s="167">
        <v>0</v>
      </c>
      <c r="CL164" s="167">
        <v>0</v>
      </c>
      <c r="CM164" s="167">
        <v>0</v>
      </c>
      <c r="CN164" s="167">
        <v>0</v>
      </c>
      <c r="CO164" s="167">
        <v>0</v>
      </c>
      <c r="CP164" s="167">
        <v>0</v>
      </c>
      <c r="CQ164" s="167">
        <v>0</v>
      </c>
      <c r="CR164" s="167">
        <v>0</v>
      </c>
      <c r="CS164" s="167">
        <v>0</v>
      </c>
      <c r="CT164" s="167">
        <v>0</v>
      </c>
      <c r="CU164" s="167">
        <v>0</v>
      </c>
      <c r="CV164" s="167">
        <v>0</v>
      </c>
      <c r="CW164" s="167">
        <v>0</v>
      </c>
      <c r="CX164" s="167">
        <f>SUM(CD164:CH164)</f>
        <v>0</v>
      </c>
      <c r="CY164" s="167">
        <f>SUM(CD164:CM164)</f>
        <v>0</v>
      </c>
    </row>
    <row r="165" spans="1:103" ht="12.75" customHeight="1" x14ac:dyDescent="0.2">
      <c r="A165" s="81">
        <v>6156</v>
      </c>
      <c r="B165" s="165" t="s">
        <v>1924</v>
      </c>
      <c r="C165" s="165" t="s">
        <v>794</v>
      </c>
      <c r="E165" s="165" t="s">
        <v>3211</v>
      </c>
      <c r="G165" s="81">
        <v>526138</v>
      </c>
      <c r="H165" s="81">
        <v>172736</v>
      </c>
      <c r="I165" s="165" t="s">
        <v>249</v>
      </c>
      <c r="J165" s="349">
        <v>42577</v>
      </c>
      <c r="K165" s="349">
        <v>43060</v>
      </c>
      <c r="L165" s="166">
        <v>0</v>
      </c>
      <c r="M165" s="166">
        <v>1</v>
      </c>
      <c r="N165" s="166">
        <v>1</v>
      </c>
      <c r="O165" s="166">
        <v>1</v>
      </c>
      <c r="P165" s="166">
        <v>1</v>
      </c>
      <c r="R165" s="165" t="s">
        <v>795</v>
      </c>
      <c r="S165" s="81" t="s">
        <v>113</v>
      </c>
      <c r="T165" s="349">
        <v>42458</v>
      </c>
      <c r="U165" s="349">
        <v>42474</v>
      </c>
      <c r="W165" s="81" t="s">
        <v>114</v>
      </c>
      <c r="Y165" s="81" t="s">
        <v>115</v>
      </c>
      <c r="Z165" s="81" t="s">
        <v>398</v>
      </c>
      <c r="AA165" s="81" t="s">
        <v>117</v>
      </c>
      <c r="AB165" s="81" t="s">
        <v>102</v>
      </c>
      <c r="AC165" s="166">
        <v>6.0000000521540598E-3</v>
      </c>
      <c r="AD165" s="349">
        <v>42577</v>
      </c>
      <c r="AF165" s="349">
        <v>43060</v>
      </c>
      <c r="AG165" s="81" t="s">
        <v>238</v>
      </c>
      <c r="AH165" s="81" t="s">
        <v>118</v>
      </c>
      <c r="AK165" s="166">
        <v>0</v>
      </c>
      <c r="AM165" s="166">
        <v>0</v>
      </c>
      <c r="AO165" s="166">
        <v>0</v>
      </c>
      <c r="AP165" s="166">
        <v>0</v>
      </c>
      <c r="AQ165" s="166">
        <v>1</v>
      </c>
      <c r="AR165" s="166">
        <v>0</v>
      </c>
      <c r="AS165" s="166">
        <v>0</v>
      </c>
      <c r="AT165" s="166">
        <v>0</v>
      </c>
      <c r="AU165" s="166">
        <v>0</v>
      </c>
      <c r="AV165" s="166">
        <v>0</v>
      </c>
      <c r="AW165" s="166">
        <v>0</v>
      </c>
      <c r="AX165" s="166">
        <v>1</v>
      </c>
      <c r="AY165" s="166">
        <v>0</v>
      </c>
      <c r="AZ165" s="166">
        <v>0</v>
      </c>
      <c r="BA165" s="166">
        <v>0</v>
      </c>
      <c r="BB165" s="166">
        <v>0</v>
      </c>
      <c r="BC165" s="166">
        <v>0</v>
      </c>
      <c r="BD165" s="166">
        <v>0</v>
      </c>
      <c r="BE165" s="166">
        <v>0</v>
      </c>
      <c r="BF165" s="166">
        <v>0</v>
      </c>
      <c r="BG165" s="166">
        <v>0</v>
      </c>
      <c r="BH165" s="166">
        <v>0</v>
      </c>
      <c r="BI165" s="166">
        <v>0</v>
      </c>
      <c r="BJ165" s="166">
        <v>0</v>
      </c>
      <c r="BK165" s="166">
        <v>0</v>
      </c>
      <c r="BL165" s="166">
        <v>0</v>
      </c>
      <c r="BM165" s="166">
        <v>0</v>
      </c>
      <c r="BN165" s="166">
        <v>0</v>
      </c>
      <c r="BO165" s="166">
        <v>0</v>
      </c>
      <c r="BP165" s="166">
        <v>0</v>
      </c>
      <c r="BQ165" s="81" t="s">
        <v>1758</v>
      </c>
      <c r="BZ165" s="81" t="s">
        <v>155</v>
      </c>
      <c r="CA165" s="81">
        <v>7</v>
      </c>
      <c r="CC165" s="167">
        <f>N165</f>
        <v>1</v>
      </c>
      <c r="CD165" s="167">
        <v>0</v>
      </c>
      <c r="CE165" s="167">
        <v>0</v>
      </c>
      <c r="CF165" s="167">
        <v>0</v>
      </c>
      <c r="CG165" s="167">
        <v>0</v>
      </c>
      <c r="CH165" s="167">
        <v>0</v>
      </c>
      <c r="CI165" s="167">
        <v>0</v>
      </c>
      <c r="CJ165" s="167">
        <v>0</v>
      </c>
      <c r="CK165" s="167">
        <v>0</v>
      </c>
      <c r="CL165" s="167">
        <v>0</v>
      </c>
      <c r="CM165" s="167">
        <v>0</v>
      </c>
      <c r="CN165" s="167">
        <v>0</v>
      </c>
      <c r="CO165" s="167">
        <v>0</v>
      </c>
      <c r="CP165" s="167">
        <v>0</v>
      </c>
      <c r="CQ165" s="167">
        <v>0</v>
      </c>
      <c r="CR165" s="167">
        <v>0</v>
      </c>
      <c r="CS165" s="167">
        <v>0</v>
      </c>
      <c r="CT165" s="167">
        <v>0</v>
      </c>
      <c r="CU165" s="167">
        <v>0</v>
      </c>
      <c r="CV165" s="167">
        <v>0</v>
      </c>
      <c r="CW165" s="167">
        <v>0</v>
      </c>
      <c r="CX165" s="167">
        <f>SUM(CD165:CH165)</f>
        <v>0</v>
      </c>
      <c r="CY165" s="167">
        <f>SUM(CD165:CM165)</f>
        <v>0</v>
      </c>
    </row>
    <row r="166" spans="1:103" ht="12.75" customHeight="1" x14ac:dyDescent="0.2">
      <c r="A166" s="81">
        <v>6166</v>
      </c>
      <c r="B166" s="165" t="s">
        <v>1924</v>
      </c>
      <c r="C166" s="165" t="s">
        <v>722</v>
      </c>
      <c r="E166" s="165" t="s">
        <v>3212</v>
      </c>
      <c r="G166" s="81">
        <v>527326</v>
      </c>
      <c r="H166" s="81">
        <v>171532</v>
      </c>
      <c r="I166" s="165" t="s">
        <v>242</v>
      </c>
      <c r="J166" s="349">
        <v>42620</v>
      </c>
      <c r="K166" s="349">
        <v>42907</v>
      </c>
      <c r="L166" s="166">
        <v>0</v>
      </c>
      <c r="M166" s="166">
        <v>1</v>
      </c>
      <c r="N166" s="166">
        <v>1</v>
      </c>
      <c r="O166" s="166">
        <v>1</v>
      </c>
      <c r="P166" s="166">
        <v>1</v>
      </c>
      <c r="R166" s="165" t="s">
        <v>723</v>
      </c>
      <c r="S166" s="81" t="s">
        <v>113</v>
      </c>
      <c r="T166" s="349">
        <v>42382</v>
      </c>
      <c r="U166" s="349">
        <v>42437</v>
      </c>
      <c r="W166" s="81" t="s">
        <v>114</v>
      </c>
      <c r="Y166" s="81" t="s">
        <v>115</v>
      </c>
      <c r="Z166" s="81" t="s">
        <v>116</v>
      </c>
      <c r="AA166" s="81" t="s">
        <v>117</v>
      </c>
      <c r="AB166" s="81" t="s">
        <v>218</v>
      </c>
      <c r="AC166" s="166">
        <v>2.3000000044703501E-2</v>
      </c>
      <c r="AD166" s="349">
        <v>42620</v>
      </c>
      <c r="AF166" s="349">
        <v>42907</v>
      </c>
      <c r="AG166" s="81" t="s">
        <v>238</v>
      </c>
      <c r="AH166" s="81" t="s">
        <v>118</v>
      </c>
      <c r="AK166" s="166">
        <v>1</v>
      </c>
      <c r="AM166" s="166">
        <v>0</v>
      </c>
      <c r="AO166" s="166">
        <v>0</v>
      </c>
      <c r="AP166" s="166">
        <v>0</v>
      </c>
      <c r="AQ166" s="166">
        <v>1</v>
      </c>
      <c r="AR166" s="166">
        <v>0</v>
      </c>
      <c r="AS166" s="166">
        <v>0</v>
      </c>
      <c r="AT166" s="166">
        <v>0</v>
      </c>
      <c r="AU166" s="166">
        <v>0</v>
      </c>
      <c r="AV166" s="166">
        <v>0</v>
      </c>
      <c r="AW166" s="166">
        <v>0</v>
      </c>
      <c r="AX166" s="166">
        <v>0</v>
      </c>
      <c r="AY166" s="166">
        <v>0</v>
      </c>
      <c r="AZ166" s="166">
        <v>0</v>
      </c>
      <c r="BA166" s="166">
        <v>0</v>
      </c>
      <c r="BB166" s="166">
        <v>0</v>
      </c>
      <c r="BC166" s="166">
        <v>0</v>
      </c>
      <c r="BD166" s="166">
        <v>0</v>
      </c>
      <c r="BE166" s="166">
        <v>1</v>
      </c>
      <c r="BF166" s="166">
        <v>0</v>
      </c>
      <c r="BG166" s="166">
        <v>0</v>
      </c>
      <c r="BH166" s="166">
        <v>0</v>
      </c>
      <c r="BI166" s="166">
        <v>0</v>
      </c>
      <c r="BJ166" s="166">
        <v>0</v>
      </c>
      <c r="BK166" s="166">
        <v>0</v>
      </c>
      <c r="BL166" s="166">
        <v>0</v>
      </c>
      <c r="BM166" s="166">
        <v>0</v>
      </c>
      <c r="BN166" s="166">
        <v>0</v>
      </c>
      <c r="BO166" s="166">
        <v>0</v>
      </c>
      <c r="BP166" s="166">
        <v>0</v>
      </c>
      <c r="BQ166" s="81" t="s">
        <v>1757</v>
      </c>
      <c r="BZ166" s="81" t="s">
        <v>155</v>
      </c>
      <c r="CA166" s="81">
        <v>1</v>
      </c>
      <c r="CC166" s="167">
        <f>N166</f>
        <v>1</v>
      </c>
      <c r="CD166" s="167">
        <v>0</v>
      </c>
      <c r="CE166" s="167">
        <v>0</v>
      </c>
      <c r="CF166" s="167">
        <v>0</v>
      </c>
      <c r="CG166" s="167">
        <v>0</v>
      </c>
      <c r="CH166" s="167">
        <v>0</v>
      </c>
      <c r="CI166" s="167">
        <v>0</v>
      </c>
      <c r="CJ166" s="167">
        <v>0</v>
      </c>
      <c r="CK166" s="167">
        <v>0</v>
      </c>
      <c r="CL166" s="167">
        <v>0</v>
      </c>
      <c r="CM166" s="167">
        <v>0</v>
      </c>
      <c r="CN166" s="167">
        <v>0</v>
      </c>
      <c r="CO166" s="167">
        <v>0</v>
      </c>
      <c r="CP166" s="167">
        <v>0</v>
      </c>
      <c r="CQ166" s="167">
        <v>0</v>
      </c>
      <c r="CR166" s="167">
        <v>0</v>
      </c>
      <c r="CS166" s="167">
        <v>0</v>
      </c>
      <c r="CT166" s="167">
        <v>0</v>
      </c>
      <c r="CU166" s="167">
        <v>0</v>
      </c>
      <c r="CV166" s="167">
        <v>0</v>
      </c>
      <c r="CW166" s="167">
        <v>0</v>
      </c>
      <c r="CX166" s="167">
        <f>SUM(CD166:CH166)</f>
        <v>0</v>
      </c>
      <c r="CY166" s="167">
        <f>SUM(CD166:CM166)</f>
        <v>0</v>
      </c>
    </row>
    <row r="167" spans="1:103" ht="12.75" customHeight="1" x14ac:dyDescent="0.2">
      <c r="A167" s="81">
        <v>6178</v>
      </c>
      <c r="B167" s="165" t="s">
        <v>1924</v>
      </c>
      <c r="C167" s="165" t="s">
        <v>991</v>
      </c>
      <c r="E167" s="165" t="s">
        <v>3213</v>
      </c>
      <c r="G167" s="81">
        <v>521677</v>
      </c>
      <c r="H167" s="81">
        <v>172434</v>
      </c>
      <c r="I167" s="165" t="s">
        <v>877</v>
      </c>
      <c r="J167" s="349">
        <v>42657</v>
      </c>
      <c r="K167" s="349">
        <v>43087</v>
      </c>
      <c r="L167" s="166">
        <v>1</v>
      </c>
      <c r="M167" s="166">
        <v>4</v>
      </c>
      <c r="N167" s="166">
        <v>3</v>
      </c>
      <c r="O167" s="166">
        <v>4</v>
      </c>
      <c r="P167" s="166">
        <v>3</v>
      </c>
      <c r="R167" s="165" t="s">
        <v>992</v>
      </c>
      <c r="S167" s="81" t="s">
        <v>113</v>
      </c>
      <c r="T167" s="349">
        <v>42500</v>
      </c>
      <c r="U167" s="349">
        <v>42556</v>
      </c>
      <c r="W167" s="81" t="s">
        <v>114</v>
      </c>
      <c r="Y167" s="81" t="s">
        <v>115</v>
      </c>
      <c r="Z167" s="81" t="s">
        <v>398</v>
      </c>
      <c r="AA167" s="81" t="s">
        <v>117</v>
      </c>
      <c r="AB167" s="81" t="s">
        <v>120</v>
      </c>
      <c r="AC167" s="166">
        <v>5.4999999701976797E-2</v>
      </c>
      <c r="AD167" s="349">
        <v>42657</v>
      </c>
      <c r="AF167" s="349">
        <v>43087</v>
      </c>
      <c r="AG167" s="81" t="s">
        <v>238</v>
      </c>
      <c r="AH167" s="81" t="s">
        <v>118</v>
      </c>
      <c r="AK167" s="166">
        <v>0</v>
      </c>
      <c r="AM167" s="166">
        <v>0</v>
      </c>
      <c r="AO167" s="166">
        <v>1</v>
      </c>
      <c r="AP167" s="166">
        <v>0</v>
      </c>
      <c r="AQ167" s="166">
        <v>1</v>
      </c>
      <c r="AR167" s="166">
        <v>2</v>
      </c>
      <c r="AS167" s="166">
        <v>-1</v>
      </c>
      <c r="AT167" s="166">
        <v>0</v>
      </c>
      <c r="AU167" s="166">
        <v>0</v>
      </c>
      <c r="AV167" s="166">
        <v>1</v>
      </c>
      <c r="AW167" s="166">
        <v>0</v>
      </c>
      <c r="AX167" s="166">
        <v>1</v>
      </c>
      <c r="AY167" s="166">
        <v>2</v>
      </c>
      <c r="AZ167" s="166">
        <v>0</v>
      </c>
      <c r="BA167" s="166">
        <v>0</v>
      </c>
      <c r="BB167" s="166">
        <v>0</v>
      </c>
      <c r="BC167" s="166">
        <v>0</v>
      </c>
      <c r="BD167" s="166">
        <v>0</v>
      </c>
      <c r="BE167" s="166">
        <v>0</v>
      </c>
      <c r="BF167" s="166">
        <v>0</v>
      </c>
      <c r="BG167" s="166">
        <v>-1</v>
      </c>
      <c r="BH167" s="166">
        <v>0</v>
      </c>
      <c r="BI167" s="166">
        <v>0</v>
      </c>
      <c r="BJ167" s="166">
        <v>0</v>
      </c>
      <c r="BK167" s="166">
        <v>0</v>
      </c>
      <c r="BL167" s="166">
        <v>0</v>
      </c>
      <c r="BM167" s="166">
        <v>0</v>
      </c>
      <c r="BN167" s="166">
        <v>0</v>
      </c>
      <c r="BO167" s="166">
        <v>0</v>
      </c>
      <c r="BP167" s="166">
        <v>0</v>
      </c>
      <c r="BQ167" s="81" t="s">
        <v>1758</v>
      </c>
      <c r="BZ167" s="81" t="s">
        <v>155</v>
      </c>
      <c r="CA167" s="81">
        <v>7</v>
      </c>
      <c r="CC167" s="167">
        <f>N167</f>
        <v>3</v>
      </c>
      <c r="CD167" s="167">
        <v>0</v>
      </c>
      <c r="CE167" s="167">
        <v>0</v>
      </c>
      <c r="CF167" s="167">
        <v>0</v>
      </c>
      <c r="CG167" s="167">
        <v>0</v>
      </c>
      <c r="CH167" s="167">
        <v>0</v>
      </c>
      <c r="CI167" s="167">
        <v>0</v>
      </c>
      <c r="CJ167" s="167">
        <v>0</v>
      </c>
      <c r="CK167" s="167">
        <v>0</v>
      </c>
      <c r="CL167" s="167">
        <v>0</v>
      </c>
      <c r="CM167" s="167">
        <v>0</v>
      </c>
      <c r="CN167" s="167">
        <v>0</v>
      </c>
      <c r="CO167" s="167">
        <v>0</v>
      </c>
      <c r="CP167" s="167">
        <v>0</v>
      </c>
      <c r="CQ167" s="167">
        <v>0</v>
      </c>
      <c r="CR167" s="167">
        <v>0</v>
      </c>
      <c r="CS167" s="167">
        <v>0</v>
      </c>
      <c r="CT167" s="167">
        <v>0</v>
      </c>
      <c r="CU167" s="167">
        <v>0</v>
      </c>
      <c r="CV167" s="167">
        <v>0</v>
      </c>
      <c r="CW167" s="167">
        <v>0</v>
      </c>
      <c r="CX167" s="167">
        <f>SUM(CD167:CH167)</f>
        <v>0</v>
      </c>
      <c r="CY167" s="167">
        <f>SUM(CD167:CM167)</f>
        <v>0</v>
      </c>
    </row>
    <row r="168" spans="1:103" ht="12.75" customHeight="1" x14ac:dyDescent="0.2">
      <c r="A168" s="81">
        <v>6186</v>
      </c>
      <c r="B168" s="165" t="s">
        <v>1924</v>
      </c>
      <c r="C168" s="165" t="s">
        <v>3214</v>
      </c>
      <c r="E168" s="165" t="s">
        <v>3215</v>
      </c>
      <c r="G168" s="81">
        <v>527237</v>
      </c>
      <c r="H168" s="81">
        <v>171543</v>
      </c>
      <c r="I168" s="165" t="s">
        <v>242</v>
      </c>
      <c r="J168" s="349">
        <v>42941</v>
      </c>
      <c r="K168" s="349">
        <v>43160</v>
      </c>
      <c r="L168" s="166">
        <v>2</v>
      </c>
      <c r="M168" s="166">
        <v>1</v>
      </c>
      <c r="N168" s="166">
        <v>-1</v>
      </c>
      <c r="O168" s="166">
        <v>1</v>
      </c>
      <c r="P168" s="166">
        <v>-1</v>
      </c>
      <c r="R168" s="165" t="s">
        <v>3216</v>
      </c>
      <c r="S168" s="81" t="s">
        <v>113</v>
      </c>
      <c r="T168" s="349">
        <v>42885</v>
      </c>
      <c r="U168" s="349">
        <v>42941</v>
      </c>
      <c r="V168" s="81" t="s">
        <v>155</v>
      </c>
      <c r="W168" s="81" t="s">
        <v>114</v>
      </c>
      <c r="Y168" s="81" t="s">
        <v>115</v>
      </c>
      <c r="Z168" s="81" t="s">
        <v>119</v>
      </c>
      <c r="AA168" s="81" t="s">
        <v>117</v>
      </c>
      <c r="AB168" s="81" t="s">
        <v>336</v>
      </c>
      <c r="AC168" s="166">
        <v>1.4000000432133701E-2</v>
      </c>
      <c r="AD168" s="349">
        <v>42941</v>
      </c>
      <c r="AE168" s="81" t="s">
        <v>155</v>
      </c>
      <c r="AF168" s="349">
        <v>43160</v>
      </c>
      <c r="AG168" s="81" t="s">
        <v>238</v>
      </c>
      <c r="AH168" s="81" t="s">
        <v>118</v>
      </c>
      <c r="AK168" s="166">
        <v>0</v>
      </c>
      <c r="AM168" s="166">
        <v>0</v>
      </c>
      <c r="AO168" s="166">
        <v>0</v>
      </c>
      <c r="AP168" s="166">
        <v>-1</v>
      </c>
      <c r="AQ168" s="166">
        <v>0</v>
      </c>
      <c r="AR168" s="166">
        <v>-1</v>
      </c>
      <c r="AS168" s="166">
        <v>0</v>
      </c>
      <c r="AT168" s="166">
        <v>1</v>
      </c>
      <c r="AU168" s="166">
        <v>0</v>
      </c>
      <c r="AV168" s="166">
        <v>0</v>
      </c>
      <c r="AW168" s="166">
        <v>-1</v>
      </c>
      <c r="AX168" s="166">
        <v>0</v>
      </c>
      <c r="AY168" s="166">
        <v>-1</v>
      </c>
      <c r="AZ168" s="166">
        <v>0</v>
      </c>
      <c r="BA168" s="166">
        <v>0</v>
      </c>
      <c r="BB168" s="166">
        <v>0</v>
      </c>
      <c r="BC168" s="166">
        <v>0</v>
      </c>
      <c r="BD168" s="166">
        <v>0</v>
      </c>
      <c r="BE168" s="166">
        <v>0</v>
      </c>
      <c r="BF168" s="166">
        <v>0</v>
      </c>
      <c r="BG168" s="166">
        <v>0</v>
      </c>
      <c r="BH168" s="166">
        <v>1</v>
      </c>
      <c r="BI168" s="166">
        <v>0</v>
      </c>
      <c r="BJ168" s="166">
        <v>0</v>
      </c>
      <c r="BK168" s="166">
        <v>0</v>
      </c>
      <c r="BL168" s="166">
        <v>0</v>
      </c>
      <c r="BM168" s="166">
        <v>0</v>
      </c>
      <c r="BN168" s="166">
        <v>0</v>
      </c>
      <c r="BO168" s="166">
        <v>0</v>
      </c>
      <c r="BP168" s="166">
        <v>0</v>
      </c>
      <c r="BQ168" s="81" t="s">
        <v>1757</v>
      </c>
      <c r="BZ168" s="81" t="s">
        <v>155</v>
      </c>
      <c r="CA168" s="81">
        <v>7</v>
      </c>
      <c r="CC168" s="167">
        <f>N168</f>
        <v>-1</v>
      </c>
      <c r="CD168" s="167">
        <v>0</v>
      </c>
      <c r="CE168" s="167">
        <v>0</v>
      </c>
      <c r="CF168" s="167">
        <v>0</v>
      </c>
      <c r="CG168" s="167">
        <v>0</v>
      </c>
      <c r="CH168" s="167">
        <v>0</v>
      </c>
      <c r="CI168" s="167">
        <v>0</v>
      </c>
      <c r="CJ168" s="167">
        <v>0</v>
      </c>
      <c r="CK168" s="167">
        <v>0</v>
      </c>
      <c r="CL168" s="167">
        <v>0</v>
      </c>
      <c r="CM168" s="167">
        <v>0</v>
      </c>
      <c r="CN168" s="167">
        <v>0</v>
      </c>
      <c r="CO168" s="167">
        <v>0</v>
      </c>
      <c r="CP168" s="167">
        <v>0</v>
      </c>
      <c r="CQ168" s="167">
        <v>0</v>
      </c>
      <c r="CR168" s="167">
        <v>0</v>
      </c>
      <c r="CS168" s="167">
        <v>0</v>
      </c>
      <c r="CT168" s="167">
        <v>0</v>
      </c>
      <c r="CU168" s="167">
        <v>0</v>
      </c>
      <c r="CV168" s="167">
        <v>0</v>
      </c>
      <c r="CW168" s="167">
        <v>0</v>
      </c>
      <c r="CX168" s="167">
        <f>SUM(CD168:CH168)</f>
        <v>0</v>
      </c>
      <c r="CY168" s="167">
        <f>SUM(CD168:CM168)</f>
        <v>0</v>
      </c>
    </row>
    <row r="169" spans="1:103" ht="12.75" customHeight="1" x14ac:dyDescent="0.2">
      <c r="A169" s="81">
        <v>6187</v>
      </c>
      <c r="B169" s="165" t="s">
        <v>1924</v>
      </c>
      <c r="C169" s="165" t="s">
        <v>1660</v>
      </c>
      <c r="E169" s="165" t="s">
        <v>3217</v>
      </c>
      <c r="G169" s="81">
        <v>528827</v>
      </c>
      <c r="H169" s="81">
        <v>173841</v>
      </c>
      <c r="I169" s="165" t="s">
        <v>247</v>
      </c>
      <c r="J169" s="349">
        <v>42936</v>
      </c>
      <c r="K169" s="349">
        <v>43190</v>
      </c>
      <c r="L169" s="166">
        <v>0</v>
      </c>
      <c r="M169" s="166">
        <v>8</v>
      </c>
      <c r="N169" s="166">
        <v>8</v>
      </c>
      <c r="O169" s="166">
        <v>8</v>
      </c>
      <c r="P169" s="166">
        <v>8</v>
      </c>
      <c r="R169" s="165" t="s">
        <v>1661</v>
      </c>
      <c r="S169" s="81" t="s">
        <v>113</v>
      </c>
      <c r="T169" s="349">
        <v>42795</v>
      </c>
      <c r="U169" s="349">
        <v>42877</v>
      </c>
      <c r="V169" s="81" t="s">
        <v>155</v>
      </c>
      <c r="W169" s="81" t="s">
        <v>114</v>
      </c>
      <c r="Y169" s="81" t="s">
        <v>115</v>
      </c>
      <c r="Z169" s="81" t="s">
        <v>398</v>
      </c>
      <c r="AA169" s="81" t="s">
        <v>117</v>
      </c>
      <c r="AB169" s="81" t="s">
        <v>399</v>
      </c>
      <c r="AC169" s="166">
        <v>2.9999999329447701E-2</v>
      </c>
      <c r="AD169" s="349">
        <v>42936</v>
      </c>
      <c r="AE169" s="81" t="s">
        <v>155</v>
      </c>
      <c r="AF169" s="349">
        <v>43190</v>
      </c>
      <c r="AG169" s="81" t="s">
        <v>238</v>
      </c>
      <c r="AH169" s="81" t="s">
        <v>118</v>
      </c>
      <c r="AK169" s="166">
        <v>0</v>
      </c>
      <c r="AM169" s="166">
        <v>0</v>
      </c>
      <c r="AO169" s="166">
        <v>4</v>
      </c>
      <c r="AP169" s="166">
        <v>0</v>
      </c>
      <c r="AQ169" s="166">
        <v>2</v>
      </c>
      <c r="AR169" s="166">
        <v>2</v>
      </c>
      <c r="AS169" s="166">
        <v>0</v>
      </c>
      <c r="AT169" s="166">
        <v>0</v>
      </c>
      <c r="AU169" s="166">
        <v>0</v>
      </c>
      <c r="AV169" s="166">
        <v>4</v>
      </c>
      <c r="AW169" s="166">
        <v>0</v>
      </c>
      <c r="AX169" s="166">
        <v>2</v>
      </c>
      <c r="AY169" s="166">
        <v>2</v>
      </c>
      <c r="AZ169" s="166">
        <v>0</v>
      </c>
      <c r="BA169" s="166">
        <v>0</v>
      </c>
      <c r="BB169" s="166">
        <v>0</v>
      </c>
      <c r="BC169" s="166">
        <v>0</v>
      </c>
      <c r="BD169" s="166">
        <v>0</v>
      </c>
      <c r="BE169" s="166">
        <v>0</v>
      </c>
      <c r="BF169" s="166">
        <v>0</v>
      </c>
      <c r="BG169" s="166">
        <v>0</v>
      </c>
      <c r="BH169" s="166">
        <v>0</v>
      </c>
      <c r="BI169" s="166">
        <v>0</v>
      </c>
      <c r="BJ169" s="166">
        <v>0</v>
      </c>
      <c r="BK169" s="166">
        <v>0</v>
      </c>
      <c r="BL169" s="166">
        <v>0</v>
      </c>
      <c r="BM169" s="166">
        <v>0</v>
      </c>
      <c r="BN169" s="166">
        <v>0</v>
      </c>
      <c r="BO169" s="166">
        <v>0</v>
      </c>
      <c r="BP169" s="166">
        <v>0</v>
      </c>
      <c r="BQ169" s="81" t="s">
        <v>1757</v>
      </c>
      <c r="BZ169" s="81" t="s">
        <v>155</v>
      </c>
      <c r="CA169" s="81">
        <v>7</v>
      </c>
      <c r="CC169" s="167">
        <f>N169</f>
        <v>8</v>
      </c>
      <c r="CD169" s="167">
        <v>0</v>
      </c>
      <c r="CE169" s="167">
        <v>0</v>
      </c>
      <c r="CF169" s="167">
        <v>0</v>
      </c>
      <c r="CG169" s="167">
        <v>0</v>
      </c>
      <c r="CH169" s="167">
        <v>0</v>
      </c>
      <c r="CI169" s="167">
        <v>0</v>
      </c>
      <c r="CJ169" s="167">
        <v>0</v>
      </c>
      <c r="CK169" s="167">
        <v>0</v>
      </c>
      <c r="CL169" s="167">
        <v>0</v>
      </c>
      <c r="CM169" s="167">
        <v>0</v>
      </c>
      <c r="CN169" s="167">
        <v>0</v>
      </c>
      <c r="CO169" s="167">
        <v>0</v>
      </c>
      <c r="CP169" s="167">
        <v>0</v>
      </c>
      <c r="CQ169" s="167">
        <v>0</v>
      </c>
      <c r="CR169" s="167">
        <v>0</v>
      </c>
      <c r="CS169" s="167">
        <v>0</v>
      </c>
      <c r="CT169" s="167">
        <v>0</v>
      </c>
      <c r="CU169" s="167">
        <v>0</v>
      </c>
      <c r="CV169" s="167">
        <v>0</v>
      </c>
      <c r="CW169" s="167">
        <v>0</v>
      </c>
      <c r="CX169" s="167">
        <f>SUM(CD169:CH169)</f>
        <v>0</v>
      </c>
      <c r="CY169" s="167">
        <f>SUM(CD169:CM169)</f>
        <v>0</v>
      </c>
    </row>
    <row r="170" spans="1:103" ht="12.75" customHeight="1" x14ac:dyDescent="0.2">
      <c r="A170" s="81">
        <v>6190</v>
      </c>
      <c r="B170" s="165" t="s">
        <v>1924</v>
      </c>
      <c r="C170" s="165" t="s">
        <v>828</v>
      </c>
      <c r="E170" s="165" t="s">
        <v>3218</v>
      </c>
      <c r="G170" s="81">
        <v>528499</v>
      </c>
      <c r="H170" s="81">
        <v>173373</v>
      </c>
      <c r="I170" s="165" t="s">
        <v>254</v>
      </c>
      <c r="J170" s="349">
        <v>42825</v>
      </c>
      <c r="K170" s="349">
        <v>43081</v>
      </c>
      <c r="L170" s="166">
        <v>1</v>
      </c>
      <c r="M170" s="166">
        <v>2</v>
      </c>
      <c r="N170" s="166">
        <v>1</v>
      </c>
      <c r="O170" s="166">
        <v>2</v>
      </c>
      <c r="P170" s="166">
        <v>1</v>
      </c>
      <c r="R170" s="165" t="s">
        <v>981</v>
      </c>
      <c r="S170" s="81" t="s">
        <v>113</v>
      </c>
      <c r="T170" s="349">
        <v>42482</v>
      </c>
      <c r="U170" s="349">
        <v>42537</v>
      </c>
      <c r="W170" s="81" t="s">
        <v>114</v>
      </c>
      <c r="Y170" s="81" t="s">
        <v>115</v>
      </c>
      <c r="Z170" s="81" t="s">
        <v>398</v>
      </c>
      <c r="AA170" s="81" t="s">
        <v>117</v>
      </c>
      <c r="AB170" s="81" t="s">
        <v>220</v>
      </c>
      <c r="AC170" s="166">
        <v>7.0000002160668399E-3</v>
      </c>
      <c r="AD170" s="349">
        <v>42825</v>
      </c>
      <c r="AF170" s="349">
        <v>43081</v>
      </c>
      <c r="AG170" s="81" t="s">
        <v>238</v>
      </c>
      <c r="AH170" s="81" t="s">
        <v>118</v>
      </c>
      <c r="AK170" s="166">
        <v>0</v>
      </c>
      <c r="AM170" s="166">
        <v>0</v>
      </c>
      <c r="AO170" s="166">
        <v>1</v>
      </c>
      <c r="AP170" s="166">
        <v>0</v>
      </c>
      <c r="AQ170" s="166">
        <v>0</v>
      </c>
      <c r="AR170" s="166">
        <v>0</v>
      </c>
      <c r="AS170" s="166">
        <v>0</v>
      </c>
      <c r="AT170" s="166">
        <v>0</v>
      </c>
      <c r="AU170" s="166">
        <v>0</v>
      </c>
      <c r="AV170" s="166">
        <v>1</v>
      </c>
      <c r="AW170" s="166">
        <v>0</v>
      </c>
      <c r="AX170" s="166">
        <v>0</v>
      </c>
      <c r="AY170" s="166">
        <v>0</v>
      </c>
      <c r="AZ170" s="166">
        <v>0</v>
      </c>
      <c r="BA170" s="166">
        <v>0</v>
      </c>
      <c r="BB170" s="166">
        <v>0</v>
      </c>
      <c r="BC170" s="166">
        <v>0</v>
      </c>
      <c r="BD170" s="166">
        <v>0</v>
      </c>
      <c r="BE170" s="166">
        <v>0</v>
      </c>
      <c r="BF170" s="166">
        <v>0</v>
      </c>
      <c r="BG170" s="166">
        <v>0</v>
      </c>
      <c r="BH170" s="166">
        <v>0</v>
      </c>
      <c r="BI170" s="166">
        <v>0</v>
      </c>
      <c r="BJ170" s="166">
        <v>0</v>
      </c>
      <c r="BK170" s="166">
        <v>0</v>
      </c>
      <c r="BL170" s="166">
        <v>0</v>
      </c>
      <c r="BM170" s="166">
        <v>0</v>
      </c>
      <c r="BN170" s="166">
        <v>0</v>
      </c>
      <c r="BO170" s="166">
        <v>0</v>
      </c>
      <c r="BP170" s="166">
        <v>0</v>
      </c>
      <c r="BQ170" s="81" t="s">
        <v>1757</v>
      </c>
      <c r="BR170" s="81" t="s">
        <v>247</v>
      </c>
      <c r="BZ170" s="81" t="s">
        <v>155</v>
      </c>
      <c r="CA170" s="81">
        <v>7</v>
      </c>
      <c r="CC170" s="167">
        <f>N170</f>
        <v>1</v>
      </c>
      <c r="CD170" s="167">
        <v>0</v>
      </c>
      <c r="CE170" s="167">
        <v>0</v>
      </c>
      <c r="CF170" s="167">
        <v>0</v>
      </c>
      <c r="CG170" s="167">
        <v>0</v>
      </c>
      <c r="CH170" s="167">
        <v>0</v>
      </c>
      <c r="CI170" s="167">
        <v>0</v>
      </c>
      <c r="CJ170" s="167">
        <v>0</v>
      </c>
      <c r="CK170" s="167">
        <v>0</v>
      </c>
      <c r="CL170" s="167">
        <v>0</v>
      </c>
      <c r="CM170" s="167">
        <v>0</v>
      </c>
      <c r="CN170" s="167">
        <v>0</v>
      </c>
      <c r="CO170" s="167">
        <v>0</v>
      </c>
      <c r="CP170" s="167">
        <v>0</v>
      </c>
      <c r="CQ170" s="167">
        <v>0</v>
      </c>
      <c r="CR170" s="167">
        <v>0</v>
      </c>
      <c r="CS170" s="167">
        <v>0</v>
      </c>
      <c r="CT170" s="167">
        <v>0</v>
      </c>
      <c r="CU170" s="167">
        <v>0</v>
      </c>
      <c r="CV170" s="167">
        <v>0</v>
      </c>
      <c r="CW170" s="167">
        <v>0</v>
      </c>
      <c r="CX170" s="167">
        <f>SUM(CD170:CH170)</f>
        <v>0</v>
      </c>
      <c r="CY170" s="167">
        <f>SUM(CD170:CM170)</f>
        <v>0</v>
      </c>
    </row>
    <row r="171" spans="1:103" ht="12.75" customHeight="1" x14ac:dyDescent="0.2">
      <c r="A171" s="81">
        <v>6192</v>
      </c>
      <c r="B171" s="165" t="s">
        <v>1924</v>
      </c>
      <c r="C171" s="165" t="s">
        <v>816</v>
      </c>
      <c r="E171" s="165" t="s">
        <v>3219</v>
      </c>
      <c r="G171" s="81">
        <v>527973</v>
      </c>
      <c r="H171" s="81">
        <v>175299</v>
      </c>
      <c r="I171" s="165" t="s">
        <v>256</v>
      </c>
      <c r="J171" s="349">
        <v>42936</v>
      </c>
      <c r="K171" s="349">
        <v>43190</v>
      </c>
      <c r="L171" s="166">
        <v>1</v>
      </c>
      <c r="M171" s="166">
        <v>1</v>
      </c>
      <c r="N171" s="166">
        <v>0</v>
      </c>
      <c r="O171" s="166">
        <v>1</v>
      </c>
      <c r="P171" s="166">
        <v>0</v>
      </c>
      <c r="R171" s="165" t="s">
        <v>817</v>
      </c>
      <c r="S171" s="81" t="s">
        <v>113</v>
      </c>
      <c r="T171" s="349">
        <v>42419</v>
      </c>
      <c r="U171" s="349">
        <v>42551</v>
      </c>
      <c r="W171" s="81" t="s">
        <v>114</v>
      </c>
      <c r="Y171" s="81" t="s">
        <v>115</v>
      </c>
      <c r="Z171" s="81" t="s">
        <v>116</v>
      </c>
      <c r="AA171" s="81" t="s">
        <v>117</v>
      </c>
      <c r="AB171" s="81" t="s">
        <v>218</v>
      </c>
      <c r="AC171" s="166">
        <v>3.0000000260770299E-3</v>
      </c>
      <c r="AD171" s="349">
        <v>42936</v>
      </c>
      <c r="AE171" s="81" t="s">
        <v>155</v>
      </c>
      <c r="AF171" s="349">
        <v>43190</v>
      </c>
      <c r="AG171" s="81" t="s">
        <v>238</v>
      </c>
      <c r="AH171" s="81" t="s">
        <v>118</v>
      </c>
      <c r="AK171" s="166">
        <v>1</v>
      </c>
      <c r="AM171" s="166">
        <v>0</v>
      </c>
      <c r="AO171" s="166">
        <v>0</v>
      </c>
      <c r="AP171" s="166">
        <v>-1</v>
      </c>
      <c r="AQ171" s="166">
        <v>1</v>
      </c>
      <c r="AR171" s="166">
        <v>0</v>
      </c>
      <c r="AS171" s="166">
        <v>0</v>
      </c>
      <c r="AT171" s="166">
        <v>0</v>
      </c>
      <c r="AU171" s="166">
        <v>0</v>
      </c>
      <c r="AV171" s="166">
        <v>0</v>
      </c>
      <c r="AW171" s="166">
        <v>0</v>
      </c>
      <c r="AX171" s="166">
        <v>0</v>
      </c>
      <c r="AY171" s="166">
        <v>0</v>
      </c>
      <c r="AZ171" s="166">
        <v>0</v>
      </c>
      <c r="BA171" s="166">
        <v>0</v>
      </c>
      <c r="BB171" s="166">
        <v>0</v>
      </c>
      <c r="BC171" s="166">
        <v>0</v>
      </c>
      <c r="BD171" s="166">
        <v>-1</v>
      </c>
      <c r="BE171" s="166">
        <v>1</v>
      </c>
      <c r="BF171" s="166">
        <v>0</v>
      </c>
      <c r="BG171" s="166">
        <v>0</v>
      </c>
      <c r="BH171" s="166">
        <v>0</v>
      </c>
      <c r="BI171" s="166">
        <v>0</v>
      </c>
      <c r="BJ171" s="166">
        <v>0</v>
      </c>
      <c r="BK171" s="166">
        <v>0</v>
      </c>
      <c r="BL171" s="166">
        <v>0</v>
      </c>
      <c r="BM171" s="166">
        <v>0</v>
      </c>
      <c r="BN171" s="166">
        <v>0</v>
      </c>
      <c r="BO171" s="166">
        <v>0</v>
      </c>
      <c r="BP171" s="166">
        <v>0</v>
      </c>
      <c r="BQ171" s="81" t="s">
        <v>1757</v>
      </c>
      <c r="BZ171" s="81" t="s">
        <v>155</v>
      </c>
      <c r="CA171" s="81">
        <v>1</v>
      </c>
      <c r="CC171" s="167">
        <f>N171</f>
        <v>0</v>
      </c>
      <c r="CD171" s="167">
        <v>0</v>
      </c>
      <c r="CE171" s="167">
        <v>0</v>
      </c>
      <c r="CF171" s="167">
        <v>0</v>
      </c>
      <c r="CG171" s="167">
        <v>0</v>
      </c>
      <c r="CH171" s="167">
        <v>0</v>
      </c>
      <c r="CI171" s="167">
        <v>0</v>
      </c>
      <c r="CJ171" s="167">
        <v>0</v>
      </c>
      <c r="CK171" s="167">
        <v>0</v>
      </c>
      <c r="CL171" s="167">
        <v>0</v>
      </c>
      <c r="CM171" s="167">
        <v>0</v>
      </c>
      <c r="CN171" s="167">
        <v>0</v>
      </c>
      <c r="CO171" s="167">
        <v>0</v>
      </c>
      <c r="CP171" s="167">
        <v>0</v>
      </c>
      <c r="CQ171" s="167">
        <v>0</v>
      </c>
      <c r="CR171" s="167">
        <v>0</v>
      </c>
      <c r="CS171" s="167">
        <v>0</v>
      </c>
      <c r="CT171" s="167">
        <v>0</v>
      </c>
      <c r="CU171" s="167">
        <v>0</v>
      </c>
      <c r="CV171" s="167">
        <v>0</v>
      </c>
      <c r="CW171" s="167">
        <v>0</v>
      </c>
      <c r="CX171" s="167">
        <f>SUM(CD171:CH171)</f>
        <v>0</v>
      </c>
      <c r="CY171" s="167">
        <f>SUM(CD171:CM171)</f>
        <v>0</v>
      </c>
    </row>
    <row r="172" spans="1:103" ht="12.75" customHeight="1" x14ac:dyDescent="0.2">
      <c r="A172" s="81">
        <v>6199</v>
      </c>
      <c r="B172" s="165" t="s">
        <v>1924</v>
      </c>
      <c r="C172" s="165" t="s">
        <v>821</v>
      </c>
      <c r="E172" s="165" t="s">
        <v>3220</v>
      </c>
      <c r="G172" s="81">
        <v>524205</v>
      </c>
      <c r="H172" s="81">
        <v>175335</v>
      </c>
      <c r="I172" s="165" t="s">
        <v>259</v>
      </c>
      <c r="J172" s="349">
        <v>42585</v>
      </c>
      <c r="K172" s="349">
        <v>43048</v>
      </c>
      <c r="L172" s="166">
        <v>2</v>
      </c>
      <c r="M172" s="166">
        <v>1</v>
      </c>
      <c r="N172" s="166">
        <v>-1</v>
      </c>
      <c r="O172" s="166">
        <v>1</v>
      </c>
      <c r="P172" s="166">
        <v>-1</v>
      </c>
      <c r="R172" s="165" t="s">
        <v>1182</v>
      </c>
      <c r="S172" s="81" t="s">
        <v>113</v>
      </c>
      <c r="T172" s="349">
        <v>42439</v>
      </c>
      <c r="U172" s="349">
        <v>42502</v>
      </c>
      <c r="W172" s="81" t="s">
        <v>114</v>
      </c>
      <c r="Y172" s="81" t="s">
        <v>115</v>
      </c>
      <c r="Z172" s="81" t="s">
        <v>398</v>
      </c>
      <c r="AA172" s="81" t="s">
        <v>117</v>
      </c>
      <c r="AB172" s="81" t="s">
        <v>336</v>
      </c>
      <c r="AC172" s="166">
        <v>2.8000000864267301E-2</v>
      </c>
      <c r="AD172" s="349">
        <v>42585</v>
      </c>
      <c r="AF172" s="349">
        <v>43048</v>
      </c>
      <c r="AG172" s="81" t="s">
        <v>238</v>
      </c>
      <c r="AH172" s="81" t="s">
        <v>118</v>
      </c>
      <c r="AK172" s="166">
        <v>0</v>
      </c>
      <c r="AM172" s="166">
        <v>0</v>
      </c>
      <c r="AO172" s="166">
        <v>0</v>
      </c>
      <c r="AP172" s="166">
        <v>-1</v>
      </c>
      <c r="AQ172" s="166">
        <v>0</v>
      </c>
      <c r="AR172" s="166">
        <v>0</v>
      </c>
      <c r="AS172" s="166">
        <v>0</v>
      </c>
      <c r="AT172" s="166">
        <v>0</v>
      </c>
      <c r="AU172" s="166">
        <v>0</v>
      </c>
      <c r="AV172" s="166">
        <v>0</v>
      </c>
      <c r="AW172" s="166">
        <v>-1</v>
      </c>
      <c r="AX172" s="166">
        <v>0</v>
      </c>
      <c r="AY172" s="166">
        <v>0</v>
      </c>
      <c r="AZ172" s="166">
        <v>-1</v>
      </c>
      <c r="BA172" s="166">
        <v>0</v>
      </c>
      <c r="BB172" s="166">
        <v>0</v>
      </c>
      <c r="BC172" s="166">
        <v>0</v>
      </c>
      <c r="BD172" s="166">
        <v>0</v>
      </c>
      <c r="BE172" s="166">
        <v>0</v>
      </c>
      <c r="BF172" s="166">
        <v>0</v>
      </c>
      <c r="BG172" s="166">
        <v>1</v>
      </c>
      <c r="BH172" s="166">
        <v>0</v>
      </c>
      <c r="BI172" s="166">
        <v>0</v>
      </c>
      <c r="BJ172" s="166">
        <v>0</v>
      </c>
      <c r="BK172" s="166">
        <v>0</v>
      </c>
      <c r="BL172" s="166">
        <v>0</v>
      </c>
      <c r="BM172" s="166">
        <v>0</v>
      </c>
      <c r="BN172" s="166">
        <v>0</v>
      </c>
      <c r="BO172" s="166">
        <v>0</v>
      </c>
      <c r="BP172" s="166">
        <v>0</v>
      </c>
      <c r="BQ172" s="81" t="s">
        <v>1758</v>
      </c>
      <c r="BZ172" s="81" t="s">
        <v>155</v>
      </c>
      <c r="CA172" s="81">
        <v>7</v>
      </c>
      <c r="CC172" s="167">
        <f>N172</f>
        <v>-1</v>
      </c>
      <c r="CD172" s="167">
        <v>0</v>
      </c>
      <c r="CE172" s="167">
        <v>0</v>
      </c>
      <c r="CF172" s="167">
        <v>0</v>
      </c>
      <c r="CG172" s="167">
        <v>0</v>
      </c>
      <c r="CH172" s="167">
        <v>0</v>
      </c>
      <c r="CI172" s="167">
        <v>0</v>
      </c>
      <c r="CJ172" s="167">
        <v>0</v>
      </c>
      <c r="CK172" s="167">
        <v>0</v>
      </c>
      <c r="CL172" s="167">
        <v>0</v>
      </c>
      <c r="CM172" s="167">
        <v>0</v>
      </c>
      <c r="CN172" s="167">
        <v>0</v>
      </c>
      <c r="CO172" s="167">
        <v>0</v>
      </c>
      <c r="CP172" s="167">
        <v>0</v>
      </c>
      <c r="CQ172" s="167">
        <v>0</v>
      </c>
      <c r="CR172" s="167">
        <v>0</v>
      </c>
      <c r="CS172" s="167">
        <v>0</v>
      </c>
      <c r="CT172" s="167">
        <v>0</v>
      </c>
      <c r="CU172" s="167">
        <v>0</v>
      </c>
      <c r="CV172" s="167">
        <v>0</v>
      </c>
      <c r="CW172" s="167">
        <v>0</v>
      </c>
      <c r="CX172" s="167">
        <f>SUM(CD172:CH172)</f>
        <v>0</v>
      </c>
      <c r="CY172" s="167">
        <f>SUM(CD172:CM172)</f>
        <v>0</v>
      </c>
    </row>
    <row r="173" spans="1:103" ht="12.75" customHeight="1" x14ac:dyDescent="0.2">
      <c r="A173" s="81">
        <v>6202</v>
      </c>
      <c r="B173" s="165" t="s">
        <v>1924</v>
      </c>
      <c r="C173" s="165" t="s">
        <v>829</v>
      </c>
      <c r="E173" s="165" t="s">
        <v>3221</v>
      </c>
      <c r="G173" s="81">
        <v>528267</v>
      </c>
      <c r="H173" s="81">
        <v>173503</v>
      </c>
      <c r="I173" s="165" t="s">
        <v>254</v>
      </c>
      <c r="J173" s="349">
        <v>42503</v>
      </c>
      <c r="K173" s="349">
        <v>43009</v>
      </c>
      <c r="L173" s="166">
        <v>2</v>
      </c>
      <c r="M173" s="166">
        <v>1</v>
      </c>
      <c r="N173" s="166">
        <v>-1</v>
      </c>
      <c r="O173" s="166">
        <v>1</v>
      </c>
      <c r="P173" s="166">
        <v>-1</v>
      </c>
      <c r="R173" s="165" t="s">
        <v>830</v>
      </c>
      <c r="S173" s="81" t="s">
        <v>113</v>
      </c>
      <c r="T173" s="349">
        <v>42439</v>
      </c>
      <c r="U173" s="349">
        <v>42495</v>
      </c>
      <c r="W173" s="81" t="s">
        <v>114</v>
      </c>
      <c r="Y173" s="81" t="s">
        <v>115</v>
      </c>
      <c r="Z173" s="81" t="s">
        <v>119</v>
      </c>
      <c r="AA173" s="81" t="s">
        <v>117</v>
      </c>
      <c r="AB173" s="81" t="s">
        <v>336</v>
      </c>
      <c r="AC173" s="166">
        <v>1.30000002682209E-2</v>
      </c>
      <c r="AD173" s="349">
        <v>42503</v>
      </c>
      <c r="AF173" s="349">
        <v>43009</v>
      </c>
      <c r="AG173" s="81" t="s">
        <v>238</v>
      </c>
      <c r="AH173" s="81" t="s">
        <v>118</v>
      </c>
      <c r="AK173" s="166">
        <v>0</v>
      </c>
      <c r="AM173" s="166">
        <v>0</v>
      </c>
      <c r="AO173" s="166">
        <v>0</v>
      </c>
      <c r="AP173" s="166">
        <v>-1</v>
      </c>
      <c r="AQ173" s="166">
        <v>0</v>
      </c>
      <c r="AR173" s="166">
        <v>0</v>
      </c>
      <c r="AS173" s="166">
        <v>0</v>
      </c>
      <c r="AT173" s="166">
        <v>0</v>
      </c>
      <c r="AU173" s="166">
        <v>0</v>
      </c>
      <c r="AV173" s="166">
        <v>0</v>
      </c>
      <c r="AW173" s="166">
        <v>-1</v>
      </c>
      <c r="AX173" s="166">
        <v>0</v>
      </c>
      <c r="AY173" s="166">
        <v>0</v>
      </c>
      <c r="AZ173" s="166">
        <v>-1</v>
      </c>
      <c r="BA173" s="166">
        <v>0</v>
      </c>
      <c r="BB173" s="166">
        <v>0</v>
      </c>
      <c r="BC173" s="166">
        <v>0</v>
      </c>
      <c r="BD173" s="166">
        <v>0</v>
      </c>
      <c r="BE173" s="166">
        <v>0</v>
      </c>
      <c r="BF173" s="166">
        <v>0</v>
      </c>
      <c r="BG173" s="166">
        <v>1</v>
      </c>
      <c r="BH173" s="166">
        <v>0</v>
      </c>
      <c r="BI173" s="166">
        <v>0</v>
      </c>
      <c r="BJ173" s="166">
        <v>0</v>
      </c>
      <c r="BK173" s="166">
        <v>0</v>
      </c>
      <c r="BL173" s="166">
        <v>0</v>
      </c>
      <c r="BM173" s="166">
        <v>0</v>
      </c>
      <c r="BN173" s="166">
        <v>0</v>
      </c>
      <c r="BO173" s="166">
        <v>0</v>
      </c>
      <c r="BP173" s="166">
        <v>0</v>
      </c>
      <c r="BQ173" s="81" t="s">
        <v>1757</v>
      </c>
      <c r="BZ173" s="81" t="s">
        <v>155</v>
      </c>
      <c r="CA173" s="81">
        <v>7</v>
      </c>
      <c r="CC173" s="167">
        <f>N173</f>
        <v>-1</v>
      </c>
      <c r="CD173" s="167">
        <v>0</v>
      </c>
      <c r="CE173" s="167">
        <v>0</v>
      </c>
      <c r="CF173" s="167">
        <v>0</v>
      </c>
      <c r="CG173" s="167">
        <v>0</v>
      </c>
      <c r="CH173" s="167">
        <v>0</v>
      </c>
      <c r="CI173" s="167">
        <v>0</v>
      </c>
      <c r="CJ173" s="167">
        <v>0</v>
      </c>
      <c r="CK173" s="167">
        <v>0</v>
      </c>
      <c r="CL173" s="167">
        <v>0</v>
      </c>
      <c r="CM173" s="167">
        <v>0</v>
      </c>
      <c r="CN173" s="167">
        <v>0</v>
      </c>
      <c r="CO173" s="167">
        <v>0</v>
      </c>
      <c r="CP173" s="167">
        <v>0</v>
      </c>
      <c r="CQ173" s="167">
        <v>0</v>
      </c>
      <c r="CR173" s="167">
        <v>0</v>
      </c>
      <c r="CS173" s="167">
        <v>0</v>
      </c>
      <c r="CT173" s="167">
        <v>0</v>
      </c>
      <c r="CU173" s="167">
        <v>0</v>
      </c>
      <c r="CV173" s="167">
        <v>0</v>
      </c>
      <c r="CW173" s="167">
        <v>0</v>
      </c>
      <c r="CX173" s="167">
        <f>SUM(CD173:CH173)</f>
        <v>0</v>
      </c>
      <c r="CY173" s="167">
        <f>SUM(CD173:CM173)</f>
        <v>0</v>
      </c>
    </row>
    <row r="174" spans="1:103" ht="12.75" customHeight="1" x14ac:dyDescent="0.2">
      <c r="A174" s="81">
        <v>6206</v>
      </c>
      <c r="B174" s="165" t="s">
        <v>1924</v>
      </c>
      <c r="C174" s="165" t="s">
        <v>694</v>
      </c>
      <c r="E174" s="165" t="s">
        <v>3222</v>
      </c>
      <c r="G174" s="81">
        <v>527738</v>
      </c>
      <c r="H174" s="81">
        <v>175467</v>
      </c>
      <c r="I174" s="165" t="s">
        <v>256</v>
      </c>
      <c r="J174" s="349">
        <v>42825</v>
      </c>
      <c r="K174" s="349">
        <v>43190</v>
      </c>
      <c r="L174" s="166">
        <v>3</v>
      </c>
      <c r="M174" s="166">
        <v>5</v>
      </c>
      <c r="N174" s="166">
        <v>2</v>
      </c>
      <c r="O174" s="166">
        <v>5</v>
      </c>
      <c r="P174" s="166">
        <v>2</v>
      </c>
      <c r="R174" s="165" t="s">
        <v>695</v>
      </c>
      <c r="S174" s="81" t="s">
        <v>296</v>
      </c>
      <c r="T174" s="349">
        <v>42335</v>
      </c>
      <c r="U174" s="349">
        <v>42391</v>
      </c>
      <c r="W174" s="81" t="s">
        <v>297</v>
      </c>
      <c r="X174" s="349">
        <v>42500</v>
      </c>
      <c r="Y174" s="81" t="s">
        <v>115</v>
      </c>
      <c r="Z174" s="81" t="s">
        <v>398</v>
      </c>
      <c r="AA174" s="81" t="s">
        <v>117</v>
      </c>
      <c r="AB174" s="81" t="s">
        <v>220</v>
      </c>
      <c r="AC174" s="166">
        <v>2.9999999329447701E-2</v>
      </c>
      <c r="AD174" s="349">
        <v>42825</v>
      </c>
      <c r="AF174" s="349">
        <v>43190</v>
      </c>
      <c r="AG174" s="81" t="s">
        <v>238</v>
      </c>
      <c r="AH174" s="81" t="s">
        <v>118</v>
      </c>
      <c r="AK174" s="166">
        <v>0</v>
      </c>
      <c r="AM174" s="166">
        <v>0</v>
      </c>
      <c r="AO174" s="166">
        <v>0</v>
      </c>
      <c r="AP174" s="166">
        <v>0</v>
      </c>
      <c r="AQ174" s="166">
        <v>0</v>
      </c>
      <c r="AR174" s="166">
        <v>2</v>
      </c>
      <c r="AS174" s="166">
        <v>0</v>
      </c>
      <c r="AT174" s="166">
        <v>0</v>
      </c>
      <c r="AU174" s="166">
        <v>0</v>
      </c>
      <c r="AV174" s="166">
        <v>0</v>
      </c>
      <c r="AW174" s="166">
        <v>0</v>
      </c>
      <c r="AX174" s="166">
        <v>0</v>
      </c>
      <c r="AY174" s="166">
        <v>2</v>
      </c>
      <c r="AZ174" s="166">
        <v>0</v>
      </c>
      <c r="BA174" s="166">
        <v>0</v>
      </c>
      <c r="BB174" s="166">
        <v>0</v>
      </c>
      <c r="BC174" s="166">
        <v>0</v>
      </c>
      <c r="BD174" s="166">
        <v>0</v>
      </c>
      <c r="BE174" s="166">
        <v>0</v>
      </c>
      <c r="BF174" s="166">
        <v>0</v>
      </c>
      <c r="BG174" s="166">
        <v>0</v>
      </c>
      <c r="BH174" s="166">
        <v>0</v>
      </c>
      <c r="BI174" s="166">
        <v>0</v>
      </c>
      <c r="BJ174" s="166">
        <v>0</v>
      </c>
      <c r="BK174" s="166">
        <v>0</v>
      </c>
      <c r="BL174" s="166">
        <v>0</v>
      </c>
      <c r="BM174" s="166">
        <v>0</v>
      </c>
      <c r="BN174" s="166">
        <v>0</v>
      </c>
      <c r="BO174" s="166">
        <v>0</v>
      </c>
      <c r="BP174" s="166">
        <v>0</v>
      </c>
      <c r="BQ174" s="81" t="s">
        <v>1757</v>
      </c>
      <c r="BZ174" s="81" t="s">
        <v>155</v>
      </c>
      <c r="CA174" s="81">
        <v>7</v>
      </c>
      <c r="CC174" s="167">
        <f>N174</f>
        <v>2</v>
      </c>
      <c r="CD174" s="167">
        <v>0</v>
      </c>
      <c r="CE174" s="167">
        <v>0</v>
      </c>
      <c r="CF174" s="167">
        <v>0</v>
      </c>
      <c r="CG174" s="167">
        <v>0</v>
      </c>
      <c r="CH174" s="167">
        <v>0</v>
      </c>
      <c r="CI174" s="167">
        <v>0</v>
      </c>
      <c r="CJ174" s="167">
        <v>0</v>
      </c>
      <c r="CK174" s="167">
        <v>0</v>
      </c>
      <c r="CL174" s="167">
        <v>0</v>
      </c>
      <c r="CM174" s="167">
        <v>0</v>
      </c>
      <c r="CN174" s="167">
        <v>0</v>
      </c>
      <c r="CO174" s="167">
        <v>0</v>
      </c>
      <c r="CP174" s="167">
        <v>0</v>
      </c>
      <c r="CQ174" s="167">
        <v>0</v>
      </c>
      <c r="CR174" s="167">
        <v>0</v>
      </c>
      <c r="CS174" s="167">
        <v>0</v>
      </c>
      <c r="CT174" s="167">
        <v>0</v>
      </c>
      <c r="CU174" s="167">
        <v>0</v>
      </c>
      <c r="CV174" s="167">
        <v>0</v>
      </c>
      <c r="CW174" s="167">
        <v>0</v>
      </c>
      <c r="CX174" s="167">
        <f>SUM(CD174:CH174)</f>
        <v>0</v>
      </c>
      <c r="CY174" s="167">
        <f>SUM(CD174:CM174)</f>
        <v>0</v>
      </c>
    </row>
    <row r="175" spans="1:103" ht="12.75" customHeight="1" x14ac:dyDescent="0.2">
      <c r="A175" s="81">
        <v>6217</v>
      </c>
      <c r="B175" s="165" t="s">
        <v>1924</v>
      </c>
      <c r="C175" s="165" t="s">
        <v>1035</v>
      </c>
      <c r="E175" s="165" t="s">
        <v>3223</v>
      </c>
      <c r="G175" s="81">
        <v>527469</v>
      </c>
      <c r="H175" s="81">
        <v>176355</v>
      </c>
      <c r="I175" s="165" t="s">
        <v>241</v>
      </c>
      <c r="J175" s="349">
        <v>42648</v>
      </c>
      <c r="K175" s="349">
        <v>42928</v>
      </c>
      <c r="L175" s="166">
        <v>1</v>
      </c>
      <c r="M175" s="166">
        <v>4</v>
      </c>
      <c r="N175" s="166">
        <v>3</v>
      </c>
      <c r="O175" s="166">
        <v>4</v>
      </c>
      <c r="P175" s="166">
        <v>3</v>
      </c>
      <c r="R175" s="165" t="s">
        <v>1036</v>
      </c>
      <c r="S175" s="81" t="s">
        <v>113</v>
      </c>
      <c r="T175" s="349">
        <v>42586</v>
      </c>
      <c r="U175" s="349">
        <v>42702</v>
      </c>
      <c r="W175" s="81" t="s">
        <v>114</v>
      </c>
      <c r="Y175" s="81" t="s">
        <v>115</v>
      </c>
      <c r="Z175" s="81" t="s">
        <v>398</v>
      </c>
      <c r="AA175" s="81" t="s">
        <v>117</v>
      </c>
      <c r="AB175" s="81" t="s">
        <v>218</v>
      </c>
      <c r="AC175" s="166">
        <v>8.9999996125698107E-3</v>
      </c>
      <c r="AD175" s="349">
        <v>42648</v>
      </c>
      <c r="AF175" s="349">
        <v>42928</v>
      </c>
      <c r="AG175" s="81" t="s">
        <v>238</v>
      </c>
      <c r="AH175" s="81" t="s">
        <v>118</v>
      </c>
      <c r="AK175" s="166">
        <v>0</v>
      </c>
      <c r="AM175" s="166">
        <v>0</v>
      </c>
      <c r="AO175" s="166">
        <v>0</v>
      </c>
      <c r="AP175" s="166">
        <v>2</v>
      </c>
      <c r="AQ175" s="166">
        <v>1</v>
      </c>
      <c r="AR175" s="166">
        <v>0</v>
      </c>
      <c r="AS175" s="166">
        <v>0</v>
      </c>
      <c r="AT175" s="166">
        <v>0</v>
      </c>
      <c r="AU175" s="166">
        <v>0</v>
      </c>
      <c r="AV175" s="166">
        <v>0</v>
      </c>
      <c r="AW175" s="166">
        <v>2</v>
      </c>
      <c r="AX175" s="166">
        <v>1</v>
      </c>
      <c r="AY175" s="166">
        <v>0</v>
      </c>
      <c r="AZ175" s="166">
        <v>0</v>
      </c>
      <c r="BA175" s="166">
        <v>0</v>
      </c>
      <c r="BB175" s="166">
        <v>0</v>
      </c>
      <c r="BC175" s="166">
        <v>0</v>
      </c>
      <c r="BD175" s="166">
        <v>0</v>
      </c>
      <c r="BE175" s="166">
        <v>0</v>
      </c>
      <c r="BF175" s="166">
        <v>0</v>
      </c>
      <c r="BG175" s="166">
        <v>0</v>
      </c>
      <c r="BH175" s="166">
        <v>0</v>
      </c>
      <c r="BI175" s="166">
        <v>0</v>
      </c>
      <c r="BJ175" s="166">
        <v>0</v>
      </c>
      <c r="BK175" s="166">
        <v>0</v>
      </c>
      <c r="BL175" s="166">
        <v>0</v>
      </c>
      <c r="BM175" s="166">
        <v>0</v>
      </c>
      <c r="BN175" s="166">
        <v>0</v>
      </c>
      <c r="BO175" s="166">
        <v>0</v>
      </c>
      <c r="BP175" s="166">
        <v>0</v>
      </c>
      <c r="BQ175" s="81" t="s">
        <v>1757</v>
      </c>
      <c r="BZ175" s="81" t="s">
        <v>155</v>
      </c>
      <c r="CA175" s="81">
        <v>7</v>
      </c>
      <c r="CC175" s="167">
        <f>N175</f>
        <v>3</v>
      </c>
      <c r="CD175" s="167">
        <v>0</v>
      </c>
      <c r="CE175" s="167">
        <v>0</v>
      </c>
      <c r="CF175" s="167">
        <v>0</v>
      </c>
      <c r="CG175" s="167">
        <v>0</v>
      </c>
      <c r="CH175" s="167">
        <v>0</v>
      </c>
      <c r="CI175" s="167">
        <v>0</v>
      </c>
      <c r="CJ175" s="167">
        <v>0</v>
      </c>
      <c r="CK175" s="167">
        <v>0</v>
      </c>
      <c r="CL175" s="167">
        <v>0</v>
      </c>
      <c r="CM175" s="167">
        <v>0</v>
      </c>
      <c r="CN175" s="167">
        <v>0</v>
      </c>
      <c r="CO175" s="167">
        <v>0</v>
      </c>
      <c r="CP175" s="167">
        <v>0</v>
      </c>
      <c r="CQ175" s="167">
        <v>0</v>
      </c>
      <c r="CR175" s="167">
        <v>0</v>
      </c>
      <c r="CS175" s="167">
        <v>0</v>
      </c>
      <c r="CT175" s="167">
        <v>0</v>
      </c>
      <c r="CU175" s="167">
        <v>0</v>
      </c>
      <c r="CV175" s="167">
        <v>0</v>
      </c>
      <c r="CW175" s="167">
        <v>0</v>
      </c>
      <c r="CX175" s="167">
        <f>SUM(CD175:CH175)</f>
        <v>0</v>
      </c>
      <c r="CY175" s="167">
        <f>SUM(CD175:CM175)</f>
        <v>0</v>
      </c>
    </row>
    <row r="176" spans="1:103" ht="12.75" customHeight="1" x14ac:dyDescent="0.2">
      <c r="A176" s="81">
        <v>6220</v>
      </c>
      <c r="B176" s="165" t="s">
        <v>1924</v>
      </c>
      <c r="C176" s="165" t="s">
        <v>1242</v>
      </c>
      <c r="E176" s="165" t="s">
        <v>3224</v>
      </c>
      <c r="G176" s="81">
        <v>524758</v>
      </c>
      <c r="H176" s="81">
        <v>175113</v>
      </c>
      <c r="I176" s="165" t="s">
        <v>259</v>
      </c>
      <c r="J176" s="349">
        <v>42552</v>
      </c>
      <c r="K176" s="349">
        <v>43190</v>
      </c>
      <c r="L176" s="166">
        <v>2</v>
      </c>
      <c r="M176" s="166">
        <v>1</v>
      </c>
      <c r="N176" s="166">
        <v>-1</v>
      </c>
      <c r="O176" s="166">
        <v>1</v>
      </c>
      <c r="P176" s="166">
        <v>-1</v>
      </c>
      <c r="R176" s="165" t="s">
        <v>1243</v>
      </c>
      <c r="S176" s="81" t="s">
        <v>113</v>
      </c>
      <c r="T176" s="349">
        <v>42486</v>
      </c>
      <c r="U176" s="349">
        <v>42537</v>
      </c>
      <c r="W176" s="81" t="s">
        <v>114</v>
      </c>
      <c r="Y176" s="81" t="s">
        <v>115</v>
      </c>
      <c r="Z176" s="81" t="s">
        <v>398</v>
      </c>
      <c r="AA176" s="81" t="s">
        <v>117</v>
      </c>
      <c r="AB176" s="81" t="s">
        <v>336</v>
      </c>
      <c r="AC176" s="166">
        <v>1.4999999664723899E-2</v>
      </c>
      <c r="AD176" s="349">
        <v>42552</v>
      </c>
      <c r="AF176" s="349">
        <v>43190</v>
      </c>
      <c r="AG176" s="81" t="s">
        <v>238</v>
      </c>
      <c r="AH176" s="81" t="s">
        <v>118</v>
      </c>
      <c r="AK176" s="166">
        <v>0</v>
      </c>
      <c r="AM176" s="166">
        <v>0</v>
      </c>
      <c r="AO176" s="166">
        <v>0</v>
      </c>
      <c r="AP176" s="166">
        <v>-1</v>
      </c>
      <c r="AQ176" s="166">
        <v>-1</v>
      </c>
      <c r="AR176" s="166">
        <v>0</v>
      </c>
      <c r="AS176" s="166">
        <v>1</v>
      </c>
      <c r="AT176" s="166">
        <v>0</v>
      </c>
      <c r="AU176" s="166">
        <v>0</v>
      </c>
      <c r="AV176" s="166">
        <v>0</v>
      </c>
      <c r="AW176" s="166">
        <v>-1</v>
      </c>
      <c r="AX176" s="166">
        <v>-1</v>
      </c>
      <c r="AY176" s="166">
        <v>0</v>
      </c>
      <c r="AZ176" s="166">
        <v>0</v>
      </c>
      <c r="BA176" s="166">
        <v>0</v>
      </c>
      <c r="BB176" s="166">
        <v>0</v>
      </c>
      <c r="BC176" s="166">
        <v>0</v>
      </c>
      <c r="BD176" s="166">
        <v>0</v>
      </c>
      <c r="BE176" s="166">
        <v>0</v>
      </c>
      <c r="BF176" s="166">
        <v>0</v>
      </c>
      <c r="BG176" s="166">
        <v>1</v>
      </c>
      <c r="BH176" s="166">
        <v>0</v>
      </c>
      <c r="BI176" s="166">
        <v>0</v>
      </c>
      <c r="BJ176" s="166">
        <v>0</v>
      </c>
      <c r="BK176" s="166">
        <v>0</v>
      </c>
      <c r="BL176" s="166">
        <v>0</v>
      </c>
      <c r="BM176" s="166">
        <v>0</v>
      </c>
      <c r="BN176" s="166">
        <v>0</v>
      </c>
      <c r="BO176" s="166">
        <v>0</v>
      </c>
      <c r="BP176" s="166">
        <v>0</v>
      </c>
      <c r="BQ176" s="81" t="s">
        <v>1758</v>
      </c>
      <c r="BZ176" s="81" t="s">
        <v>155</v>
      </c>
      <c r="CA176" s="81">
        <v>7</v>
      </c>
      <c r="CC176" s="167">
        <f>N176</f>
        <v>-1</v>
      </c>
      <c r="CD176" s="167">
        <v>0</v>
      </c>
      <c r="CE176" s="167">
        <v>0</v>
      </c>
      <c r="CF176" s="167">
        <v>0</v>
      </c>
      <c r="CG176" s="167">
        <v>0</v>
      </c>
      <c r="CH176" s="167">
        <v>0</v>
      </c>
      <c r="CI176" s="167">
        <v>0</v>
      </c>
      <c r="CJ176" s="167">
        <v>0</v>
      </c>
      <c r="CK176" s="167">
        <v>0</v>
      </c>
      <c r="CL176" s="167">
        <v>0</v>
      </c>
      <c r="CM176" s="167">
        <v>0</v>
      </c>
      <c r="CN176" s="167">
        <v>0</v>
      </c>
      <c r="CO176" s="167">
        <v>0</v>
      </c>
      <c r="CP176" s="167">
        <v>0</v>
      </c>
      <c r="CQ176" s="167">
        <v>0</v>
      </c>
      <c r="CR176" s="167">
        <v>0</v>
      </c>
      <c r="CS176" s="167">
        <v>0</v>
      </c>
      <c r="CT176" s="167">
        <v>0</v>
      </c>
      <c r="CU176" s="167">
        <v>0</v>
      </c>
      <c r="CV176" s="167">
        <v>0</v>
      </c>
      <c r="CW176" s="167">
        <v>0</v>
      </c>
      <c r="CX176" s="167">
        <f>SUM(CD176:CH176)</f>
        <v>0</v>
      </c>
      <c r="CY176" s="167">
        <f>SUM(CD176:CM176)</f>
        <v>0</v>
      </c>
    </row>
    <row r="177" spans="1:103" ht="12.75" customHeight="1" x14ac:dyDescent="0.2">
      <c r="A177" s="81">
        <v>6228</v>
      </c>
      <c r="B177" s="165" t="s">
        <v>1924</v>
      </c>
      <c r="C177" s="165" t="s">
        <v>1005</v>
      </c>
      <c r="E177" s="165" t="s">
        <v>3225</v>
      </c>
      <c r="G177" s="81">
        <v>527349</v>
      </c>
      <c r="H177" s="81">
        <v>171441</v>
      </c>
      <c r="I177" s="165" t="s">
        <v>242</v>
      </c>
      <c r="J177" s="349">
        <v>42619</v>
      </c>
      <c r="K177" s="349">
        <v>42929</v>
      </c>
      <c r="L177" s="166">
        <v>1</v>
      </c>
      <c r="M177" s="166">
        <v>3</v>
      </c>
      <c r="N177" s="166">
        <v>2</v>
      </c>
      <c r="O177" s="166">
        <v>3</v>
      </c>
      <c r="P177" s="166">
        <v>2</v>
      </c>
      <c r="R177" s="165" t="s">
        <v>1006</v>
      </c>
      <c r="S177" s="81" t="s">
        <v>113</v>
      </c>
      <c r="T177" s="349">
        <v>42495</v>
      </c>
      <c r="U177" s="349">
        <v>42551</v>
      </c>
      <c r="W177" s="81" t="s">
        <v>114</v>
      </c>
      <c r="Y177" s="81" t="s">
        <v>115</v>
      </c>
      <c r="Z177" s="81" t="s">
        <v>398</v>
      </c>
      <c r="AA177" s="81" t="s">
        <v>117</v>
      </c>
      <c r="AB177" s="81" t="s">
        <v>120</v>
      </c>
      <c r="AC177" s="166">
        <v>1.30000002682209E-2</v>
      </c>
      <c r="AD177" s="349">
        <v>42619</v>
      </c>
      <c r="AF177" s="349">
        <v>42929</v>
      </c>
      <c r="AG177" s="81" t="s">
        <v>238</v>
      </c>
      <c r="AH177" s="81" t="s">
        <v>118</v>
      </c>
      <c r="AK177" s="166">
        <v>0</v>
      </c>
      <c r="AM177" s="166">
        <v>0</v>
      </c>
      <c r="AO177" s="166">
        <v>1</v>
      </c>
      <c r="AP177" s="166">
        <v>1</v>
      </c>
      <c r="AQ177" s="166">
        <v>0</v>
      </c>
      <c r="AR177" s="166">
        <v>1</v>
      </c>
      <c r="AS177" s="166">
        <v>0</v>
      </c>
      <c r="AT177" s="166">
        <v>-1</v>
      </c>
      <c r="AU177" s="166">
        <v>0</v>
      </c>
      <c r="AV177" s="166">
        <v>1</v>
      </c>
      <c r="AW177" s="166">
        <v>1</v>
      </c>
      <c r="AX177" s="166">
        <v>0</v>
      </c>
      <c r="AY177" s="166">
        <v>1</v>
      </c>
      <c r="AZ177" s="166">
        <v>0</v>
      </c>
      <c r="BA177" s="166">
        <v>0</v>
      </c>
      <c r="BB177" s="166">
        <v>0</v>
      </c>
      <c r="BC177" s="166">
        <v>0</v>
      </c>
      <c r="BD177" s="166">
        <v>0</v>
      </c>
      <c r="BE177" s="166">
        <v>0</v>
      </c>
      <c r="BF177" s="166">
        <v>0</v>
      </c>
      <c r="BG177" s="166">
        <v>0</v>
      </c>
      <c r="BH177" s="166">
        <v>-1</v>
      </c>
      <c r="BI177" s="166">
        <v>0</v>
      </c>
      <c r="BJ177" s="166">
        <v>0</v>
      </c>
      <c r="BK177" s="166">
        <v>0</v>
      </c>
      <c r="BL177" s="166">
        <v>0</v>
      </c>
      <c r="BM177" s="166">
        <v>0</v>
      </c>
      <c r="BN177" s="166">
        <v>0</v>
      </c>
      <c r="BO177" s="166">
        <v>0</v>
      </c>
      <c r="BP177" s="166">
        <v>0</v>
      </c>
      <c r="BQ177" s="81" t="s">
        <v>1757</v>
      </c>
      <c r="BZ177" s="81" t="s">
        <v>155</v>
      </c>
      <c r="CA177" s="81">
        <v>7</v>
      </c>
      <c r="CC177" s="167">
        <f>N177</f>
        <v>2</v>
      </c>
      <c r="CD177" s="167">
        <v>0</v>
      </c>
      <c r="CE177" s="167">
        <v>0</v>
      </c>
      <c r="CF177" s="167">
        <v>0</v>
      </c>
      <c r="CG177" s="167">
        <v>0</v>
      </c>
      <c r="CH177" s="167">
        <v>0</v>
      </c>
      <c r="CI177" s="167">
        <v>0</v>
      </c>
      <c r="CJ177" s="167">
        <v>0</v>
      </c>
      <c r="CK177" s="167">
        <v>0</v>
      </c>
      <c r="CL177" s="167">
        <v>0</v>
      </c>
      <c r="CM177" s="167">
        <v>0</v>
      </c>
      <c r="CN177" s="167">
        <v>0</v>
      </c>
      <c r="CO177" s="167">
        <v>0</v>
      </c>
      <c r="CP177" s="167">
        <v>0</v>
      </c>
      <c r="CQ177" s="167">
        <v>0</v>
      </c>
      <c r="CR177" s="167">
        <v>0</v>
      </c>
      <c r="CS177" s="167">
        <v>0</v>
      </c>
      <c r="CT177" s="167">
        <v>0</v>
      </c>
      <c r="CU177" s="167">
        <v>0</v>
      </c>
      <c r="CV177" s="167">
        <v>0</v>
      </c>
      <c r="CW177" s="167">
        <v>0</v>
      </c>
      <c r="CX177" s="167">
        <f>SUM(CD177:CH177)</f>
        <v>0</v>
      </c>
      <c r="CY177" s="167">
        <f>SUM(CD177:CM177)</f>
        <v>0</v>
      </c>
    </row>
    <row r="178" spans="1:103" ht="12.75" customHeight="1" x14ac:dyDescent="0.2">
      <c r="A178" s="81">
        <v>6235</v>
      </c>
      <c r="B178" s="165" t="s">
        <v>1924</v>
      </c>
      <c r="C178" s="165" t="s">
        <v>1701</v>
      </c>
      <c r="E178" s="165" t="s">
        <v>3226</v>
      </c>
      <c r="G178" s="81">
        <v>526082</v>
      </c>
      <c r="H178" s="81">
        <v>172867</v>
      </c>
      <c r="I178" s="165" t="s">
        <v>249</v>
      </c>
      <c r="J178" s="349">
        <v>42758</v>
      </c>
      <c r="K178" s="349">
        <v>42898</v>
      </c>
      <c r="L178" s="166">
        <v>1</v>
      </c>
      <c r="M178" s="166">
        <v>3</v>
      </c>
      <c r="N178" s="166">
        <v>2</v>
      </c>
      <c r="O178" s="166">
        <v>3</v>
      </c>
      <c r="P178" s="166">
        <v>2</v>
      </c>
      <c r="R178" s="165" t="s">
        <v>1702</v>
      </c>
      <c r="S178" s="81" t="s">
        <v>113</v>
      </c>
      <c r="T178" s="349">
        <v>42499</v>
      </c>
      <c r="U178" s="349">
        <v>42640</v>
      </c>
      <c r="W178" s="81" t="s">
        <v>114</v>
      </c>
      <c r="Y178" s="81" t="s">
        <v>115</v>
      </c>
      <c r="Z178" s="81" t="s">
        <v>398</v>
      </c>
      <c r="AA178" s="81" t="s">
        <v>117</v>
      </c>
      <c r="AB178" s="81" t="s">
        <v>311</v>
      </c>
      <c r="AC178" s="166">
        <v>2.8999999165535001E-2</v>
      </c>
      <c r="AD178" s="349">
        <v>42758</v>
      </c>
      <c r="AF178" s="349">
        <v>42898</v>
      </c>
      <c r="AG178" s="81" t="s">
        <v>238</v>
      </c>
      <c r="AH178" s="81" t="s">
        <v>118</v>
      </c>
      <c r="AK178" s="166">
        <v>0</v>
      </c>
      <c r="AM178" s="166">
        <v>0</v>
      </c>
      <c r="AO178" s="166">
        <v>0</v>
      </c>
      <c r="AP178" s="166">
        <v>2</v>
      </c>
      <c r="AQ178" s="166">
        <v>1</v>
      </c>
      <c r="AR178" s="166">
        <v>0</v>
      </c>
      <c r="AS178" s="166">
        <v>-1</v>
      </c>
      <c r="AT178" s="166">
        <v>0</v>
      </c>
      <c r="AU178" s="166">
        <v>0</v>
      </c>
      <c r="AV178" s="166">
        <v>0</v>
      </c>
      <c r="AW178" s="166">
        <v>2</v>
      </c>
      <c r="AX178" s="166">
        <v>1</v>
      </c>
      <c r="AY178" s="166">
        <v>0</v>
      </c>
      <c r="AZ178" s="166">
        <v>-1</v>
      </c>
      <c r="BA178" s="166">
        <v>0</v>
      </c>
      <c r="BB178" s="166">
        <v>0</v>
      </c>
      <c r="BC178" s="166">
        <v>0</v>
      </c>
      <c r="BD178" s="166">
        <v>0</v>
      </c>
      <c r="BE178" s="166">
        <v>0</v>
      </c>
      <c r="BF178" s="166">
        <v>0</v>
      </c>
      <c r="BG178" s="166">
        <v>0</v>
      </c>
      <c r="BH178" s="166">
        <v>0</v>
      </c>
      <c r="BI178" s="166">
        <v>0</v>
      </c>
      <c r="BJ178" s="166">
        <v>0</v>
      </c>
      <c r="BK178" s="166">
        <v>0</v>
      </c>
      <c r="BL178" s="166">
        <v>0</v>
      </c>
      <c r="BM178" s="166">
        <v>0</v>
      </c>
      <c r="BN178" s="166">
        <v>0</v>
      </c>
      <c r="BO178" s="166">
        <v>0</v>
      </c>
      <c r="BP178" s="166">
        <v>0</v>
      </c>
      <c r="BQ178" s="81" t="s">
        <v>1758</v>
      </c>
      <c r="BZ178" s="81" t="s">
        <v>155</v>
      </c>
      <c r="CA178" s="81">
        <v>7</v>
      </c>
      <c r="CC178" s="167">
        <f>N178</f>
        <v>2</v>
      </c>
      <c r="CD178" s="167">
        <v>0</v>
      </c>
      <c r="CE178" s="167">
        <v>0</v>
      </c>
      <c r="CF178" s="167">
        <v>0</v>
      </c>
      <c r="CG178" s="167">
        <v>0</v>
      </c>
      <c r="CH178" s="167">
        <v>0</v>
      </c>
      <c r="CI178" s="167">
        <v>0</v>
      </c>
      <c r="CJ178" s="167">
        <v>0</v>
      </c>
      <c r="CK178" s="167">
        <v>0</v>
      </c>
      <c r="CL178" s="167">
        <v>0</v>
      </c>
      <c r="CM178" s="167">
        <v>0</v>
      </c>
      <c r="CN178" s="167">
        <v>0</v>
      </c>
      <c r="CO178" s="167">
        <v>0</v>
      </c>
      <c r="CP178" s="167">
        <v>0</v>
      </c>
      <c r="CQ178" s="167">
        <v>0</v>
      </c>
      <c r="CR178" s="167">
        <v>0</v>
      </c>
      <c r="CS178" s="167">
        <v>0</v>
      </c>
      <c r="CT178" s="167">
        <v>0</v>
      </c>
      <c r="CU178" s="167">
        <v>0</v>
      </c>
      <c r="CV178" s="167">
        <v>0</v>
      </c>
      <c r="CW178" s="167">
        <v>0</v>
      </c>
      <c r="CX178" s="167">
        <f>SUM(CD178:CH178)</f>
        <v>0</v>
      </c>
      <c r="CY178" s="167">
        <f>SUM(CD178:CM178)</f>
        <v>0</v>
      </c>
    </row>
    <row r="179" spans="1:103" ht="12.75" customHeight="1" x14ac:dyDescent="0.2">
      <c r="A179" s="81">
        <v>6245</v>
      </c>
      <c r="B179" s="165" t="s">
        <v>1924</v>
      </c>
      <c r="C179" s="165" t="s">
        <v>984</v>
      </c>
      <c r="E179" s="165" t="s">
        <v>3227</v>
      </c>
      <c r="G179" s="81">
        <v>526018</v>
      </c>
      <c r="H179" s="81">
        <v>173059</v>
      </c>
      <c r="I179" s="165" t="s">
        <v>249</v>
      </c>
      <c r="J179" s="349">
        <v>42585</v>
      </c>
      <c r="K179" s="349">
        <v>43190</v>
      </c>
      <c r="L179" s="166">
        <v>2</v>
      </c>
      <c r="M179" s="166">
        <v>8</v>
      </c>
      <c r="N179" s="166">
        <v>6</v>
      </c>
      <c r="O179" s="166">
        <v>8</v>
      </c>
      <c r="P179" s="166">
        <v>6</v>
      </c>
      <c r="R179" s="165" t="s">
        <v>985</v>
      </c>
      <c r="S179" s="81" t="s">
        <v>113</v>
      </c>
      <c r="T179" s="349">
        <v>42480</v>
      </c>
      <c r="U179" s="349">
        <v>42536</v>
      </c>
      <c r="W179" s="81" t="s">
        <v>114</v>
      </c>
      <c r="Y179" s="81" t="s">
        <v>115</v>
      </c>
      <c r="Z179" s="81" t="s">
        <v>398</v>
      </c>
      <c r="AA179" s="81" t="s">
        <v>117</v>
      </c>
      <c r="AB179" s="81" t="s">
        <v>102</v>
      </c>
      <c r="AC179" s="166">
        <v>2.0999999716877899E-2</v>
      </c>
      <c r="AD179" s="349">
        <v>42585</v>
      </c>
      <c r="AF179" s="349">
        <v>43190</v>
      </c>
      <c r="AG179" s="81" t="s">
        <v>238</v>
      </c>
      <c r="AH179" s="81" t="s">
        <v>118</v>
      </c>
      <c r="AK179" s="166">
        <v>0</v>
      </c>
      <c r="AM179" s="166">
        <v>0</v>
      </c>
      <c r="AO179" s="166">
        <v>0</v>
      </c>
      <c r="AP179" s="166">
        <v>5</v>
      </c>
      <c r="AQ179" s="166">
        <v>3</v>
      </c>
      <c r="AR179" s="166">
        <v>0</v>
      </c>
      <c r="AS179" s="166">
        <v>-2</v>
      </c>
      <c r="AT179" s="166">
        <v>0</v>
      </c>
      <c r="AU179" s="166">
        <v>0</v>
      </c>
      <c r="AV179" s="166">
        <v>0</v>
      </c>
      <c r="AW179" s="166">
        <v>5</v>
      </c>
      <c r="AX179" s="166">
        <v>3</v>
      </c>
      <c r="AY179" s="166">
        <v>0</v>
      </c>
      <c r="AZ179" s="166">
        <v>-2</v>
      </c>
      <c r="BA179" s="166">
        <v>0</v>
      </c>
      <c r="BB179" s="166">
        <v>0</v>
      </c>
      <c r="BC179" s="166">
        <v>0</v>
      </c>
      <c r="BD179" s="166">
        <v>0</v>
      </c>
      <c r="BE179" s="166">
        <v>0</v>
      </c>
      <c r="BF179" s="166">
        <v>0</v>
      </c>
      <c r="BG179" s="166">
        <v>0</v>
      </c>
      <c r="BH179" s="166">
        <v>0</v>
      </c>
      <c r="BI179" s="166">
        <v>0</v>
      </c>
      <c r="BJ179" s="166">
        <v>0</v>
      </c>
      <c r="BK179" s="166">
        <v>0</v>
      </c>
      <c r="BL179" s="166">
        <v>0</v>
      </c>
      <c r="BM179" s="166">
        <v>0</v>
      </c>
      <c r="BN179" s="166">
        <v>0</v>
      </c>
      <c r="BO179" s="166">
        <v>0</v>
      </c>
      <c r="BP179" s="166">
        <v>0</v>
      </c>
      <c r="BQ179" s="81" t="s">
        <v>1758</v>
      </c>
      <c r="BZ179" s="81" t="s">
        <v>155</v>
      </c>
      <c r="CA179" s="81">
        <v>7</v>
      </c>
      <c r="CC179" s="167">
        <f>N179</f>
        <v>6</v>
      </c>
      <c r="CD179" s="167">
        <v>0</v>
      </c>
      <c r="CE179" s="167">
        <v>0</v>
      </c>
      <c r="CF179" s="167">
        <v>0</v>
      </c>
      <c r="CG179" s="167">
        <v>0</v>
      </c>
      <c r="CH179" s="167">
        <v>0</v>
      </c>
      <c r="CI179" s="167">
        <v>0</v>
      </c>
      <c r="CJ179" s="167">
        <v>0</v>
      </c>
      <c r="CK179" s="167">
        <v>0</v>
      </c>
      <c r="CL179" s="167">
        <v>0</v>
      </c>
      <c r="CM179" s="167">
        <v>0</v>
      </c>
      <c r="CN179" s="167">
        <v>0</v>
      </c>
      <c r="CO179" s="167">
        <v>0</v>
      </c>
      <c r="CP179" s="167">
        <v>0</v>
      </c>
      <c r="CQ179" s="167">
        <v>0</v>
      </c>
      <c r="CR179" s="167">
        <v>0</v>
      </c>
      <c r="CS179" s="167">
        <v>0</v>
      </c>
      <c r="CT179" s="167">
        <v>0</v>
      </c>
      <c r="CU179" s="167">
        <v>0</v>
      </c>
      <c r="CV179" s="167">
        <v>0</v>
      </c>
      <c r="CW179" s="167">
        <v>0</v>
      </c>
      <c r="CX179" s="167">
        <f>SUM(CD179:CH179)</f>
        <v>0</v>
      </c>
      <c r="CY179" s="167">
        <f>SUM(CD179:CM179)</f>
        <v>0</v>
      </c>
    </row>
    <row r="180" spans="1:103" ht="12.75" customHeight="1" x14ac:dyDescent="0.2">
      <c r="A180" s="81">
        <v>6245</v>
      </c>
      <c r="B180" s="165" t="s">
        <v>1924</v>
      </c>
      <c r="C180" s="165" t="s">
        <v>3228</v>
      </c>
      <c r="E180" s="165" t="s">
        <v>3227</v>
      </c>
      <c r="G180" s="81">
        <v>526018</v>
      </c>
      <c r="H180" s="81">
        <v>173059</v>
      </c>
      <c r="I180" s="165" t="s">
        <v>249</v>
      </c>
      <c r="J180" s="349">
        <v>42585</v>
      </c>
      <c r="K180" s="349">
        <v>43190</v>
      </c>
      <c r="L180" s="166">
        <v>2</v>
      </c>
      <c r="M180" s="166">
        <v>2</v>
      </c>
      <c r="N180" s="166">
        <v>0</v>
      </c>
      <c r="O180" s="166">
        <v>2</v>
      </c>
      <c r="P180" s="166">
        <v>0</v>
      </c>
      <c r="R180" s="165" t="s">
        <v>3229</v>
      </c>
      <c r="S180" s="81" t="s">
        <v>113</v>
      </c>
      <c r="T180" s="349">
        <v>42837</v>
      </c>
      <c r="U180" s="349">
        <v>42893</v>
      </c>
      <c r="V180" s="81" t="s">
        <v>155</v>
      </c>
      <c r="W180" s="81" t="s">
        <v>114</v>
      </c>
      <c r="Y180" s="81" t="s">
        <v>115</v>
      </c>
      <c r="Z180" s="81" t="s">
        <v>219</v>
      </c>
      <c r="AA180" s="81" t="s">
        <v>117</v>
      </c>
      <c r="AB180" s="81" t="s">
        <v>3889</v>
      </c>
      <c r="AC180" s="166">
        <v>1.2000000104308101E-2</v>
      </c>
      <c r="AD180" s="349">
        <v>42585</v>
      </c>
      <c r="AF180" s="349">
        <v>43190</v>
      </c>
      <c r="AG180" s="81" t="s">
        <v>238</v>
      </c>
      <c r="AH180" s="81" t="s">
        <v>118</v>
      </c>
      <c r="AK180" s="166">
        <v>0</v>
      </c>
      <c r="AM180" s="166">
        <v>0</v>
      </c>
      <c r="AO180" s="166">
        <v>0</v>
      </c>
      <c r="AP180" s="166">
        <v>-2</v>
      </c>
      <c r="AQ180" s="166">
        <v>2</v>
      </c>
      <c r="AR180" s="166">
        <v>0</v>
      </c>
      <c r="AS180" s="166">
        <v>0</v>
      </c>
      <c r="AT180" s="166">
        <v>0</v>
      </c>
      <c r="AU180" s="166">
        <v>0</v>
      </c>
      <c r="AV180" s="166">
        <v>0</v>
      </c>
      <c r="AW180" s="166">
        <v>-2</v>
      </c>
      <c r="AX180" s="166">
        <v>2</v>
      </c>
      <c r="AY180" s="166">
        <v>0</v>
      </c>
      <c r="AZ180" s="166">
        <v>0</v>
      </c>
      <c r="BA180" s="166">
        <v>0</v>
      </c>
      <c r="BB180" s="166">
        <v>0</v>
      </c>
      <c r="BC180" s="166">
        <v>0</v>
      </c>
      <c r="BD180" s="166">
        <v>0</v>
      </c>
      <c r="BE180" s="166">
        <v>0</v>
      </c>
      <c r="BF180" s="166">
        <v>0</v>
      </c>
      <c r="BG180" s="166">
        <v>0</v>
      </c>
      <c r="BH180" s="166">
        <v>0</v>
      </c>
      <c r="BI180" s="166">
        <v>0</v>
      </c>
      <c r="BJ180" s="166">
        <v>0</v>
      </c>
      <c r="BK180" s="166">
        <v>0</v>
      </c>
      <c r="BL180" s="166">
        <v>0</v>
      </c>
      <c r="BM180" s="166">
        <v>0</v>
      </c>
      <c r="BN180" s="166">
        <v>0</v>
      </c>
      <c r="BO180" s="166">
        <v>0</v>
      </c>
      <c r="BP180" s="166">
        <v>0</v>
      </c>
      <c r="BQ180" s="81" t="s">
        <v>1758</v>
      </c>
      <c r="BZ180" s="81" t="s">
        <v>155</v>
      </c>
      <c r="CA180" s="81">
        <v>7</v>
      </c>
      <c r="CC180" s="167">
        <f>N180</f>
        <v>0</v>
      </c>
      <c r="CD180" s="167">
        <v>0</v>
      </c>
      <c r="CE180" s="167">
        <v>0</v>
      </c>
      <c r="CF180" s="167">
        <v>0</v>
      </c>
      <c r="CG180" s="167">
        <v>0</v>
      </c>
      <c r="CH180" s="167">
        <v>0</v>
      </c>
      <c r="CI180" s="167">
        <v>0</v>
      </c>
      <c r="CJ180" s="167">
        <v>0</v>
      </c>
      <c r="CK180" s="167">
        <v>0</v>
      </c>
      <c r="CL180" s="167">
        <v>0</v>
      </c>
      <c r="CM180" s="167">
        <v>0</v>
      </c>
      <c r="CN180" s="167">
        <v>0</v>
      </c>
      <c r="CO180" s="167">
        <v>0</v>
      </c>
      <c r="CP180" s="167">
        <v>0</v>
      </c>
      <c r="CQ180" s="167">
        <v>0</v>
      </c>
      <c r="CR180" s="167">
        <v>0</v>
      </c>
      <c r="CS180" s="167">
        <v>0</v>
      </c>
      <c r="CT180" s="167">
        <v>0</v>
      </c>
      <c r="CU180" s="167">
        <v>0</v>
      </c>
      <c r="CV180" s="167">
        <v>0</v>
      </c>
      <c r="CW180" s="167">
        <v>0</v>
      </c>
      <c r="CX180" s="167">
        <f>SUM(CD180:CH180)</f>
        <v>0</v>
      </c>
      <c r="CY180" s="167">
        <f>SUM(CD180:CM180)</f>
        <v>0</v>
      </c>
    </row>
    <row r="181" spans="1:103" ht="12.75" customHeight="1" x14ac:dyDescent="0.2">
      <c r="A181" s="81">
        <v>6246</v>
      </c>
      <c r="B181" s="165" t="s">
        <v>1924</v>
      </c>
      <c r="C181" s="165" t="s">
        <v>1694</v>
      </c>
      <c r="E181" s="165" t="s">
        <v>3230</v>
      </c>
      <c r="G181" s="81">
        <v>525229</v>
      </c>
      <c r="H181" s="81">
        <v>173893</v>
      </c>
      <c r="I181" s="165" t="s">
        <v>258</v>
      </c>
      <c r="J181" s="349">
        <v>42675</v>
      </c>
      <c r="K181" s="349">
        <v>42851</v>
      </c>
      <c r="L181" s="166">
        <v>1</v>
      </c>
      <c r="M181" s="166">
        <v>2</v>
      </c>
      <c r="N181" s="166">
        <v>1</v>
      </c>
      <c r="O181" s="166">
        <v>3</v>
      </c>
      <c r="P181" s="166">
        <v>2</v>
      </c>
      <c r="R181" s="165" t="s">
        <v>1695</v>
      </c>
      <c r="S181" s="81" t="s">
        <v>113</v>
      </c>
      <c r="T181" s="349">
        <v>42459</v>
      </c>
      <c r="U181" s="349">
        <v>42541</v>
      </c>
      <c r="W181" s="81" t="s">
        <v>114</v>
      </c>
      <c r="Y181" s="81" t="s">
        <v>115</v>
      </c>
      <c r="Z181" s="81" t="s">
        <v>398</v>
      </c>
      <c r="AA181" s="81" t="s">
        <v>117</v>
      </c>
      <c r="AB181" s="81" t="s">
        <v>220</v>
      </c>
      <c r="AC181" s="166">
        <v>4.0000001899898104E-3</v>
      </c>
      <c r="AD181" s="349">
        <v>42675</v>
      </c>
      <c r="AF181" s="349">
        <v>42851</v>
      </c>
      <c r="AG181" s="81" t="s">
        <v>238</v>
      </c>
      <c r="AH181" s="81" t="s">
        <v>118</v>
      </c>
      <c r="AK181" s="166">
        <v>0</v>
      </c>
      <c r="AM181" s="166">
        <v>0</v>
      </c>
      <c r="AO181" s="166">
        <v>0</v>
      </c>
      <c r="AP181" s="166">
        <v>1</v>
      </c>
      <c r="AQ181" s="166">
        <v>1</v>
      </c>
      <c r="AR181" s="166">
        <v>-1</v>
      </c>
      <c r="AS181" s="166">
        <v>0</v>
      </c>
      <c r="AT181" s="166">
        <v>0</v>
      </c>
      <c r="AU181" s="166">
        <v>0</v>
      </c>
      <c r="AV181" s="166">
        <v>0</v>
      </c>
      <c r="AW181" s="166">
        <v>1</v>
      </c>
      <c r="AX181" s="166">
        <v>1</v>
      </c>
      <c r="AY181" s="166">
        <v>-1</v>
      </c>
      <c r="AZ181" s="166">
        <v>0</v>
      </c>
      <c r="BA181" s="166">
        <v>0</v>
      </c>
      <c r="BB181" s="166">
        <v>0</v>
      </c>
      <c r="BC181" s="166">
        <v>0</v>
      </c>
      <c r="BD181" s="166">
        <v>0</v>
      </c>
      <c r="BE181" s="166">
        <v>0</v>
      </c>
      <c r="BF181" s="166">
        <v>0</v>
      </c>
      <c r="BG181" s="166">
        <v>0</v>
      </c>
      <c r="BH181" s="166">
        <v>0</v>
      </c>
      <c r="BI181" s="166">
        <v>0</v>
      </c>
      <c r="BJ181" s="166">
        <v>0</v>
      </c>
      <c r="BK181" s="166">
        <v>0</v>
      </c>
      <c r="BL181" s="166">
        <v>0</v>
      </c>
      <c r="BM181" s="166">
        <v>0</v>
      </c>
      <c r="BN181" s="166">
        <v>0</v>
      </c>
      <c r="BO181" s="166">
        <v>0</v>
      </c>
      <c r="BP181" s="166">
        <v>0</v>
      </c>
      <c r="BQ181" s="81" t="s">
        <v>1758</v>
      </c>
      <c r="BZ181" s="81" t="s">
        <v>155</v>
      </c>
      <c r="CA181" s="81">
        <v>7</v>
      </c>
      <c r="CC181" s="167">
        <f>N181</f>
        <v>1</v>
      </c>
      <c r="CD181" s="167">
        <v>0</v>
      </c>
      <c r="CE181" s="167">
        <v>0</v>
      </c>
      <c r="CF181" s="167">
        <v>0</v>
      </c>
      <c r="CG181" s="167">
        <v>0</v>
      </c>
      <c r="CH181" s="167">
        <v>0</v>
      </c>
      <c r="CI181" s="167">
        <v>0</v>
      </c>
      <c r="CJ181" s="167">
        <v>0</v>
      </c>
      <c r="CK181" s="167">
        <v>0</v>
      </c>
      <c r="CL181" s="167">
        <v>0</v>
      </c>
      <c r="CM181" s="167">
        <v>0</v>
      </c>
      <c r="CN181" s="167">
        <v>0</v>
      </c>
      <c r="CO181" s="167">
        <v>0</v>
      </c>
      <c r="CP181" s="167">
        <v>0</v>
      </c>
      <c r="CQ181" s="167">
        <v>0</v>
      </c>
      <c r="CR181" s="167">
        <v>0</v>
      </c>
      <c r="CS181" s="167">
        <v>0</v>
      </c>
      <c r="CT181" s="167">
        <v>0</v>
      </c>
      <c r="CU181" s="167">
        <v>0</v>
      </c>
      <c r="CV181" s="167">
        <v>0</v>
      </c>
      <c r="CW181" s="167">
        <v>0</v>
      </c>
      <c r="CX181" s="167">
        <f>SUM(CD181:CH181)</f>
        <v>0</v>
      </c>
      <c r="CY181" s="167">
        <f>SUM(CD181:CM181)</f>
        <v>0</v>
      </c>
    </row>
    <row r="182" spans="1:103" ht="12.75" customHeight="1" x14ac:dyDescent="0.2">
      <c r="A182" s="81">
        <v>6246</v>
      </c>
      <c r="B182" s="165" t="s">
        <v>1924</v>
      </c>
      <c r="C182" s="165" t="s">
        <v>1694</v>
      </c>
      <c r="E182" s="165" t="s">
        <v>3230</v>
      </c>
      <c r="G182" s="81">
        <v>525229</v>
      </c>
      <c r="H182" s="81">
        <v>173893</v>
      </c>
      <c r="I182" s="165" t="s">
        <v>258</v>
      </c>
      <c r="J182" s="349">
        <v>42675</v>
      </c>
      <c r="K182" s="349">
        <v>42851</v>
      </c>
      <c r="L182" s="166">
        <v>0</v>
      </c>
      <c r="M182" s="166">
        <v>1</v>
      </c>
      <c r="N182" s="166">
        <v>1</v>
      </c>
      <c r="O182" s="166">
        <v>3</v>
      </c>
      <c r="P182" s="166">
        <v>2</v>
      </c>
      <c r="R182" s="165" t="s">
        <v>1695</v>
      </c>
      <c r="S182" s="81" t="s">
        <v>113</v>
      </c>
      <c r="T182" s="349">
        <v>42459</v>
      </c>
      <c r="U182" s="349">
        <v>42541</v>
      </c>
      <c r="W182" s="81" t="s">
        <v>114</v>
      </c>
      <c r="Y182" s="81" t="s">
        <v>115</v>
      </c>
      <c r="Z182" s="81" t="s">
        <v>398</v>
      </c>
      <c r="AA182" s="81" t="s">
        <v>117</v>
      </c>
      <c r="AB182" s="81" t="s">
        <v>311</v>
      </c>
      <c r="AC182" s="166">
        <v>2.0000000949949E-3</v>
      </c>
      <c r="AD182" s="349">
        <v>42675</v>
      </c>
      <c r="AF182" s="349">
        <v>42851</v>
      </c>
      <c r="AG182" s="81" t="s">
        <v>238</v>
      </c>
      <c r="AH182" s="81" t="s">
        <v>118</v>
      </c>
      <c r="AK182" s="166">
        <v>0</v>
      </c>
      <c r="AM182" s="166">
        <v>0</v>
      </c>
      <c r="AO182" s="166">
        <v>0</v>
      </c>
      <c r="AP182" s="166">
        <v>1</v>
      </c>
      <c r="AQ182" s="166">
        <v>0</v>
      </c>
      <c r="AR182" s="166">
        <v>0</v>
      </c>
      <c r="AS182" s="166">
        <v>0</v>
      </c>
      <c r="AT182" s="166">
        <v>0</v>
      </c>
      <c r="AU182" s="166">
        <v>0</v>
      </c>
      <c r="AV182" s="166">
        <v>0</v>
      </c>
      <c r="AW182" s="166">
        <v>1</v>
      </c>
      <c r="AX182" s="166">
        <v>0</v>
      </c>
      <c r="AY182" s="166">
        <v>0</v>
      </c>
      <c r="AZ182" s="166">
        <v>0</v>
      </c>
      <c r="BA182" s="166">
        <v>0</v>
      </c>
      <c r="BB182" s="166">
        <v>0</v>
      </c>
      <c r="BC182" s="166">
        <v>0</v>
      </c>
      <c r="BD182" s="166">
        <v>0</v>
      </c>
      <c r="BE182" s="166">
        <v>0</v>
      </c>
      <c r="BF182" s="166">
        <v>0</v>
      </c>
      <c r="BG182" s="166">
        <v>0</v>
      </c>
      <c r="BH182" s="166">
        <v>0</v>
      </c>
      <c r="BI182" s="166">
        <v>0</v>
      </c>
      <c r="BJ182" s="166">
        <v>0</v>
      </c>
      <c r="BK182" s="166">
        <v>0</v>
      </c>
      <c r="BL182" s="166">
        <v>0</v>
      </c>
      <c r="BM182" s="166">
        <v>0</v>
      </c>
      <c r="BN182" s="166">
        <v>0</v>
      </c>
      <c r="BO182" s="166">
        <v>0</v>
      </c>
      <c r="BP182" s="166">
        <v>0</v>
      </c>
      <c r="BQ182" s="81" t="s">
        <v>1758</v>
      </c>
      <c r="BZ182" s="81" t="s">
        <v>155</v>
      </c>
      <c r="CA182" s="81">
        <v>7</v>
      </c>
      <c r="CC182" s="167">
        <f>N182</f>
        <v>1</v>
      </c>
      <c r="CD182" s="167">
        <v>0</v>
      </c>
      <c r="CE182" s="167">
        <v>0</v>
      </c>
      <c r="CF182" s="167">
        <v>0</v>
      </c>
      <c r="CG182" s="167">
        <v>0</v>
      </c>
      <c r="CH182" s="167">
        <v>0</v>
      </c>
      <c r="CI182" s="167">
        <v>0</v>
      </c>
      <c r="CJ182" s="167">
        <v>0</v>
      </c>
      <c r="CK182" s="167">
        <v>0</v>
      </c>
      <c r="CL182" s="167">
        <v>0</v>
      </c>
      <c r="CM182" s="167">
        <v>0</v>
      </c>
      <c r="CN182" s="167">
        <v>0</v>
      </c>
      <c r="CO182" s="167">
        <v>0</v>
      </c>
      <c r="CP182" s="167">
        <v>0</v>
      </c>
      <c r="CQ182" s="167">
        <v>0</v>
      </c>
      <c r="CR182" s="167">
        <v>0</v>
      </c>
      <c r="CS182" s="167">
        <v>0</v>
      </c>
      <c r="CT182" s="167">
        <v>0</v>
      </c>
      <c r="CU182" s="167">
        <v>0</v>
      </c>
      <c r="CV182" s="167">
        <v>0</v>
      </c>
      <c r="CW182" s="167">
        <v>0</v>
      </c>
      <c r="CX182" s="167">
        <f>SUM(CD182:CH182)</f>
        <v>0</v>
      </c>
      <c r="CY182" s="167">
        <f>SUM(CD182:CM182)</f>
        <v>0</v>
      </c>
    </row>
    <row r="183" spans="1:103" ht="12.75" customHeight="1" x14ac:dyDescent="0.2">
      <c r="A183" s="81">
        <v>6248</v>
      </c>
      <c r="B183" s="165" t="s">
        <v>1924</v>
      </c>
      <c r="C183" s="165" t="s">
        <v>1216</v>
      </c>
      <c r="E183" s="165" t="s">
        <v>3231</v>
      </c>
      <c r="G183" s="81">
        <v>527778</v>
      </c>
      <c r="H183" s="81">
        <v>175659</v>
      </c>
      <c r="I183" s="165" t="s">
        <v>256</v>
      </c>
      <c r="J183" s="349">
        <v>42676</v>
      </c>
      <c r="K183" s="349">
        <v>42998</v>
      </c>
      <c r="L183" s="166">
        <v>0</v>
      </c>
      <c r="M183" s="166">
        <v>1</v>
      </c>
      <c r="N183" s="166">
        <v>1</v>
      </c>
      <c r="O183" s="166">
        <v>1</v>
      </c>
      <c r="P183" s="166">
        <v>1</v>
      </c>
      <c r="R183" s="165" t="s">
        <v>1217</v>
      </c>
      <c r="S183" s="81" t="s">
        <v>113</v>
      </c>
      <c r="T183" s="349">
        <v>42475</v>
      </c>
      <c r="U183" s="349">
        <v>42551</v>
      </c>
      <c r="W183" s="81" t="s">
        <v>114</v>
      </c>
      <c r="Y183" s="81" t="s">
        <v>115</v>
      </c>
      <c r="Z183" s="81" t="s">
        <v>219</v>
      </c>
      <c r="AA183" s="81" t="s">
        <v>117</v>
      </c>
      <c r="AB183" s="81" t="s">
        <v>3889</v>
      </c>
      <c r="AC183" s="166">
        <v>4.9999998882412902E-3</v>
      </c>
      <c r="AD183" s="349">
        <v>42676</v>
      </c>
      <c r="AF183" s="349">
        <v>42998</v>
      </c>
      <c r="AG183" s="81" t="s">
        <v>238</v>
      </c>
      <c r="AH183" s="81" t="s">
        <v>118</v>
      </c>
      <c r="AK183" s="166">
        <v>0</v>
      </c>
      <c r="AM183" s="166">
        <v>0</v>
      </c>
      <c r="AO183" s="166">
        <v>0</v>
      </c>
      <c r="AP183" s="166">
        <v>0</v>
      </c>
      <c r="AQ183" s="166">
        <v>1</v>
      </c>
      <c r="AR183" s="166">
        <v>0</v>
      </c>
      <c r="AS183" s="166">
        <v>0</v>
      </c>
      <c r="AT183" s="166">
        <v>0</v>
      </c>
      <c r="AU183" s="166">
        <v>0</v>
      </c>
      <c r="AV183" s="166">
        <v>0</v>
      </c>
      <c r="AW183" s="166">
        <v>0</v>
      </c>
      <c r="AX183" s="166">
        <v>1</v>
      </c>
      <c r="AY183" s="166">
        <v>0</v>
      </c>
      <c r="AZ183" s="166">
        <v>0</v>
      </c>
      <c r="BA183" s="166">
        <v>0</v>
      </c>
      <c r="BB183" s="166">
        <v>0</v>
      </c>
      <c r="BC183" s="166">
        <v>0</v>
      </c>
      <c r="BD183" s="166">
        <v>0</v>
      </c>
      <c r="BE183" s="166">
        <v>0</v>
      </c>
      <c r="BF183" s="166">
        <v>0</v>
      </c>
      <c r="BG183" s="166">
        <v>0</v>
      </c>
      <c r="BH183" s="166">
        <v>0</v>
      </c>
      <c r="BI183" s="166">
        <v>0</v>
      </c>
      <c r="BJ183" s="166">
        <v>0</v>
      </c>
      <c r="BK183" s="166">
        <v>0</v>
      </c>
      <c r="BL183" s="166">
        <v>0</v>
      </c>
      <c r="BM183" s="166">
        <v>0</v>
      </c>
      <c r="BN183" s="166">
        <v>0</v>
      </c>
      <c r="BO183" s="166">
        <v>0</v>
      </c>
      <c r="BP183" s="166">
        <v>0</v>
      </c>
      <c r="BQ183" s="81" t="s">
        <v>1757</v>
      </c>
      <c r="BZ183" s="81" t="s">
        <v>155</v>
      </c>
      <c r="CA183" s="81">
        <v>7</v>
      </c>
      <c r="CC183" s="167">
        <f>N183</f>
        <v>1</v>
      </c>
      <c r="CD183" s="167">
        <v>0</v>
      </c>
      <c r="CE183" s="167">
        <v>0</v>
      </c>
      <c r="CF183" s="167">
        <v>0</v>
      </c>
      <c r="CG183" s="167">
        <v>0</v>
      </c>
      <c r="CH183" s="167">
        <v>0</v>
      </c>
      <c r="CI183" s="167">
        <v>0</v>
      </c>
      <c r="CJ183" s="167">
        <v>0</v>
      </c>
      <c r="CK183" s="167">
        <v>0</v>
      </c>
      <c r="CL183" s="167">
        <v>0</v>
      </c>
      <c r="CM183" s="167">
        <v>0</v>
      </c>
      <c r="CN183" s="167">
        <v>0</v>
      </c>
      <c r="CO183" s="167">
        <v>0</v>
      </c>
      <c r="CP183" s="167">
        <v>0</v>
      </c>
      <c r="CQ183" s="167">
        <v>0</v>
      </c>
      <c r="CR183" s="167">
        <v>0</v>
      </c>
      <c r="CS183" s="167">
        <v>0</v>
      </c>
      <c r="CT183" s="167">
        <v>0</v>
      </c>
      <c r="CU183" s="167">
        <v>0</v>
      </c>
      <c r="CV183" s="167">
        <v>0</v>
      </c>
      <c r="CW183" s="167">
        <v>0</v>
      </c>
      <c r="CX183" s="167">
        <f>SUM(CD183:CH183)</f>
        <v>0</v>
      </c>
      <c r="CY183" s="167">
        <f>SUM(CD183:CM183)</f>
        <v>0</v>
      </c>
    </row>
    <row r="184" spans="1:103" ht="12.75" customHeight="1" x14ac:dyDescent="0.2">
      <c r="A184" s="81">
        <v>6252</v>
      </c>
      <c r="B184" s="165" t="s">
        <v>1924</v>
      </c>
      <c r="C184" s="165" t="s">
        <v>1697</v>
      </c>
      <c r="E184" s="165" t="s">
        <v>3232</v>
      </c>
      <c r="G184" s="81">
        <v>527845</v>
      </c>
      <c r="H184" s="81">
        <v>176573</v>
      </c>
      <c r="I184" s="165" t="s">
        <v>241</v>
      </c>
      <c r="J184" s="349">
        <v>42578</v>
      </c>
      <c r="K184" s="349">
        <v>42828</v>
      </c>
      <c r="L184" s="166">
        <v>1</v>
      </c>
      <c r="M184" s="166">
        <v>2</v>
      </c>
      <c r="N184" s="166">
        <v>1</v>
      </c>
      <c r="O184" s="166">
        <v>2</v>
      </c>
      <c r="P184" s="166">
        <v>1</v>
      </c>
      <c r="R184" s="165" t="s">
        <v>1698</v>
      </c>
      <c r="S184" s="81" t="s">
        <v>113</v>
      </c>
      <c r="T184" s="349">
        <v>42506</v>
      </c>
      <c r="U184" s="349">
        <v>42562</v>
      </c>
      <c r="W184" s="81" t="s">
        <v>114</v>
      </c>
      <c r="Y184" s="81" t="s">
        <v>115</v>
      </c>
      <c r="Z184" s="81" t="s">
        <v>398</v>
      </c>
      <c r="AA184" s="81" t="s">
        <v>117</v>
      </c>
      <c r="AB184" s="81" t="s">
        <v>220</v>
      </c>
      <c r="AC184" s="166">
        <v>7.0000002160668399E-3</v>
      </c>
      <c r="AD184" s="349">
        <v>42578</v>
      </c>
      <c r="AF184" s="349">
        <v>42828</v>
      </c>
      <c r="AG184" s="81" t="s">
        <v>238</v>
      </c>
      <c r="AH184" s="81" t="s">
        <v>118</v>
      </c>
      <c r="AK184" s="166">
        <v>0</v>
      </c>
      <c r="AM184" s="166">
        <v>0</v>
      </c>
      <c r="AO184" s="166">
        <v>0</v>
      </c>
      <c r="AP184" s="166">
        <v>1</v>
      </c>
      <c r="AQ184" s="166">
        <v>1</v>
      </c>
      <c r="AR184" s="166">
        <v>-1</v>
      </c>
      <c r="AS184" s="166">
        <v>0</v>
      </c>
      <c r="AT184" s="166">
        <v>0</v>
      </c>
      <c r="AU184" s="166">
        <v>0</v>
      </c>
      <c r="AV184" s="166">
        <v>0</v>
      </c>
      <c r="AW184" s="166">
        <v>1</v>
      </c>
      <c r="AX184" s="166">
        <v>1</v>
      </c>
      <c r="AY184" s="166">
        <v>-1</v>
      </c>
      <c r="AZ184" s="166">
        <v>0</v>
      </c>
      <c r="BA184" s="166">
        <v>0</v>
      </c>
      <c r="BB184" s="166">
        <v>0</v>
      </c>
      <c r="BC184" s="166">
        <v>0</v>
      </c>
      <c r="BD184" s="166">
        <v>0</v>
      </c>
      <c r="BE184" s="166">
        <v>0</v>
      </c>
      <c r="BF184" s="166">
        <v>0</v>
      </c>
      <c r="BG184" s="166">
        <v>0</v>
      </c>
      <c r="BH184" s="166">
        <v>0</v>
      </c>
      <c r="BI184" s="166">
        <v>0</v>
      </c>
      <c r="BJ184" s="166">
        <v>0</v>
      </c>
      <c r="BK184" s="166">
        <v>0</v>
      </c>
      <c r="BL184" s="166">
        <v>0</v>
      </c>
      <c r="BM184" s="166">
        <v>0</v>
      </c>
      <c r="BN184" s="166">
        <v>0</v>
      </c>
      <c r="BO184" s="166">
        <v>0</v>
      </c>
      <c r="BP184" s="166">
        <v>0</v>
      </c>
      <c r="BQ184" s="81" t="s">
        <v>1757</v>
      </c>
      <c r="BZ184" s="81" t="s">
        <v>155</v>
      </c>
      <c r="CA184" s="81">
        <v>7</v>
      </c>
      <c r="CC184" s="167">
        <f>N184</f>
        <v>1</v>
      </c>
      <c r="CD184" s="167">
        <v>0</v>
      </c>
      <c r="CE184" s="167">
        <v>0</v>
      </c>
      <c r="CF184" s="167">
        <v>0</v>
      </c>
      <c r="CG184" s="167">
        <v>0</v>
      </c>
      <c r="CH184" s="167">
        <v>0</v>
      </c>
      <c r="CI184" s="167">
        <v>0</v>
      </c>
      <c r="CJ184" s="167">
        <v>0</v>
      </c>
      <c r="CK184" s="167">
        <v>0</v>
      </c>
      <c r="CL184" s="167">
        <v>0</v>
      </c>
      <c r="CM184" s="167">
        <v>0</v>
      </c>
      <c r="CN184" s="167">
        <v>0</v>
      </c>
      <c r="CO184" s="167">
        <v>0</v>
      </c>
      <c r="CP184" s="167">
        <v>0</v>
      </c>
      <c r="CQ184" s="167">
        <v>0</v>
      </c>
      <c r="CR184" s="167">
        <v>0</v>
      </c>
      <c r="CS184" s="167">
        <v>0</v>
      </c>
      <c r="CT184" s="167">
        <v>0</v>
      </c>
      <c r="CU184" s="167">
        <v>0</v>
      </c>
      <c r="CV184" s="167">
        <v>0</v>
      </c>
      <c r="CW184" s="167">
        <v>0</v>
      </c>
      <c r="CX184" s="167">
        <f>SUM(CD184:CH184)</f>
        <v>0</v>
      </c>
      <c r="CY184" s="167">
        <f>SUM(CD184:CM184)</f>
        <v>0</v>
      </c>
    </row>
    <row r="185" spans="1:103" ht="12.75" customHeight="1" x14ac:dyDescent="0.2">
      <c r="A185" s="81">
        <v>6253</v>
      </c>
      <c r="B185" s="165" t="s">
        <v>1924</v>
      </c>
      <c r="C185" s="165" t="s">
        <v>1258</v>
      </c>
      <c r="E185" s="165" t="s">
        <v>3233</v>
      </c>
      <c r="G185" s="81">
        <v>528027</v>
      </c>
      <c r="H185" s="81">
        <v>172478</v>
      </c>
      <c r="I185" s="165" t="s">
        <v>254</v>
      </c>
      <c r="J185" s="349">
        <v>42825</v>
      </c>
      <c r="K185" s="349">
        <v>43151</v>
      </c>
      <c r="L185" s="166">
        <v>2</v>
      </c>
      <c r="M185" s="166">
        <v>3</v>
      </c>
      <c r="N185" s="166">
        <v>1</v>
      </c>
      <c r="O185" s="166">
        <v>3</v>
      </c>
      <c r="P185" s="166">
        <v>1</v>
      </c>
      <c r="R185" s="165" t="s">
        <v>1259</v>
      </c>
      <c r="S185" s="81" t="s">
        <v>113</v>
      </c>
      <c r="T185" s="349">
        <v>42502</v>
      </c>
      <c r="U185" s="349">
        <v>42558</v>
      </c>
      <c r="W185" s="81" t="s">
        <v>114</v>
      </c>
      <c r="Y185" s="81" t="s">
        <v>115</v>
      </c>
      <c r="Z185" s="81" t="s">
        <v>398</v>
      </c>
      <c r="AA185" s="81" t="s">
        <v>117</v>
      </c>
      <c r="AB185" s="81" t="s">
        <v>220</v>
      </c>
      <c r="AC185" s="166">
        <v>1.4999999664723899E-2</v>
      </c>
      <c r="AD185" s="349">
        <v>42825</v>
      </c>
      <c r="AF185" s="349">
        <v>43151</v>
      </c>
      <c r="AG185" s="81" t="s">
        <v>238</v>
      </c>
      <c r="AH185" s="81" t="s">
        <v>118</v>
      </c>
      <c r="AK185" s="166">
        <v>0</v>
      </c>
      <c r="AM185" s="166">
        <v>0</v>
      </c>
      <c r="AO185" s="166">
        <v>0</v>
      </c>
      <c r="AP185" s="166">
        <v>1</v>
      </c>
      <c r="AQ185" s="166">
        <v>-1</v>
      </c>
      <c r="AR185" s="166">
        <v>1</v>
      </c>
      <c r="AS185" s="166">
        <v>0</v>
      </c>
      <c r="AT185" s="166">
        <v>0</v>
      </c>
      <c r="AU185" s="166">
        <v>0</v>
      </c>
      <c r="AV185" s="166">
        <v>0</v>
      </c>
      <c r="AW185" s="166">
        <v>1</v>
      </c>
      <c r="AX185" s="166">
        <v>-1</v>
      </c>
      <c r="AY185" s="166">
        <v>1</v>
      </c>
      <c r="AZ185" s="166">
        <v>0</v>
      </c>
      <c r="BA185" s="166">
        <v>0</v>
      </c>
      <c r="BB185" s="166">
        <v>0</v>
      </c>
      <c r="BC185" s="166">
        <v>0</v>
      </c>
      <c r="BD185" s="166">
        <v>0</v>
      </c>
      <c r="BE185" s="166">
        <v>0</v>
      </c>
      <c r="BF185" s="166">
        <v>0</v>
      </c>
      <c r="BG185" s="166">
        <v>0</v>
      </c>
      <c r="BH185" s="166">
        <v>0</v>
      </c>
      <c r="BI185" s="166">
        <v>0</v>
      </c>
      <c r="BJ185" s="166">
        <v>0</v>
      </c>
      <c r="BK185" s="166">
        <v>0</v>
      </c>
      <c r="BL185" s="166">
        <v>0</v>
      </c>
      <c r="BM185" s="166">
        <v>0</v>
      </c>
      <c r="BN185" s="166">
        <v>0</v>
      </c>
      <c r="BO185" s="166">
        <v>0</v>
      </c>
      <c r="BP185" s="166">
        <v>0</v>
      </c>
      <c r="BQ185" s="81" t="s">
        <v>1757</v>
      </c>
      <c r="BZ185" s="81" t="s">
        <v>155</v>
      </c>
      <c r="CA185" s="81">
        <v>7</v>
      </c>
      <c r="CC185" s="167">
        <f>N185</f>
        <v>1</v>
      </c>
      <c r="CD185" s="167">
        <v>0</v>
      </c>
      <c r="CE185" s="167">
        <v>0</v>
      </c>
      <c r="CF185" s="167">
        <v>0</v>
      </c>
      <c r="CG185" s="167">
        <v>0</v>
      </c>
      <c r="CH185" s="167">
        <v>0</v>
      </c>
      <c r="CI185" s="167">
        <v>0</v>
      </c>
      <c r="CJ185" s="167">
        <v>0</v>
      </c>
      <c r="CK185" s="167">
        <v>0</v>
      </c>
      <c r="CL185" s="167">
        <v>0</v>
      </c>
      <c r="CM185" s="167">
        <v>0</v>
      </c>
      <c r="CN185" s="167">
        <v>0</v>
      </c>
      <c r="CO185" s="167">
        <v>0</v>
      </c>
      <c r="CP185" s="167">
        <v>0</v>
      </c>
      <c r="CQ185" s="167">
        <v>0</v>
      </c>
      <c r="CR185" s="167">
        <v>0</v>
      </c>
      <c r="CS185" s="167">
        <v>0</v>
      </c>
      <c r="CT185" s="167">
        <v>0</v>
      </c>
      <c r="CU185" s="167">
        <v>0</v>
      </c>
      <c r="CV185" s="167">
        <v>0</v>
      </c>
      <c r="CW185" s="167">
        <v>0</v>
      </c>
      <c r="CX185" s="167">
        <f>SUM(CD185:CH185)</f>
        <v>0</v>
      </c>
      <c r="CY185" s="167">
        <f>SUM(CD185:CM185)</f>
        <v>0</v>
      </c>
    </row>
    <row r="186" spans="1:103" ht="12.75" customHeight="1" x14ac:dyDescent="0.2">
      <c r="A186" s="81">
        <v>6271</v>
      </c>
      <c r="B186" s="165" t="s">
        <v>1924</v>
      </c>
      <c r="C186" s="165" t="s">
        <v>1290</v>
      </c>
      <c r="E186" s="165" t="s">
        <v>3234</v>
      </c>
      <c r="G186" s="81">
        <v>528068</v>
      </c>
      <c r="H186" s="81">
        <v>176644</v>
      </c>
      <c r="I186" s="165" t="s">
        <v>240</v>
      </c>
      <c r="J186" s="349">
        <v>42635</v>
      </c>
      <c r="K186" s="349">
        <v>42993</v>
      </c>
      <c r="L186" s="166">
        <v>0</v>
      </c>
      <c r="M186" s="166">
        <v>1</v>
      </c>
      <c r="N186" s="166">
        <v>1</v>
      </c>
      <c r="O186" s="166">
        <v>1</v>
      </c>
      <c r="P186" s="166">
        <v>1</v>
      </c>
      <c r="R186" s="165" t="s">
        <v>1291</v>
      </c>
      <c r="S186" s="81" t="s">
        <v>270</v>
      </c>
      <c r="T186" s="349">
        <v>42528</v>
      </c>
      <c r="U186" s="349">
        <v>42584</v>
      </c>
      <c r="W186" s="81" t="s">
        <v>114</v>
      </c>
      <c r="Y186" s="81" t="s">
        <v>115</v>
      </c>
      <c r="Z186" s="81" t="s">
        <v>310</v>
      </c>
      <c r="AA186" s="81" t="s">
        <v>117</v>
      </c>
      <c r="AB186" s="81" t="s">
        <v>399</v>
      </c>
      <c r="AC186" s="166">
        <v>2.70000007003546E-2</v>
      </c>
      <c r="AD186" s="349">
        <v>42635</v>
      </c>
      <c r="AF186" s="349">
        <v>42993</v>
      </c>
      <c r="AG186" s="81" t="s">
        <v>238</v>
      </c>
      <c r="AH186" s="81" t="s">
        <v>118</v>
      </c>
      <c r="AK186" s="166">
        <v>0</v>
      </c>
      <c r="AM186" s="166">
        <v>0</v>
      </c>
      <c r="AO186" s="166">
        <v>0</v>
      </c>
      <c r="AP186" s="166">
        <v>0</v>
      </c>
      <c r="AQ186" s="166">
        <v>1</v>
      </c>
      <c r="AR186" s="166">
        <v>0</v>
      </c>
      <c r="AS186" s="166">
        <v>0</v>
      </c>
      <c r="AT186" s="166">
        <v>0</v>
      </c>
      <c r="AU186" s="166">
        <v>0</v>
      </c>
      <c r="AV186" s="166">
        <v>0</v>
      </c>
      <c r="AW186" s="166">
        <v>0</v>
      </c>
      <c r="AX186" s="166">
        <v>1</v>
      </c>
      <c r="AY186" s="166">
        <v>0</v>
      </c>
      <c r="AZ186" s="166">
        <v>0</v>
      </c>
      <c r="BA186" s="166">
        <v>0</v>
      </c>
      <c r="BB186" s="166">
        <v>0</v>
      </c>
      <c r="BC186" s="166">
        <v>0</v>
      </c>
      <c r="BD186" s="166">
        <v>0</v>
      </c>
      <c r="BE186" s="166">
        <v>0</v>
      </c>
      <c r="BF186" s="166">
        <v>0</v>
      </c>
      <c r="BG186" s="166">
        <v>0</v>
      </c>
      <c r="BH186" s="166">
        <v>0</v>
      </c>
      <c r="BI186" s="166">
        <v>0</v>
      </c>
      <c r="BJ186" s="166">
        <v>0</v>
      </c>
      <c r="BK186" s="166">
        <v>0</v>
      </c>
      <c r="BL186" s="166">
        <v>0</v>
      </c>
      <c r="BM186" s="166">
        <v>0</v>
      </c>
      <c r="BN186" s="166">
        <v>0</v>
      </c>
      <c r="BO186" s="166">
        <v>0</v>
      </c>
      <c r="BP186" s="166">
        <v>0</v>
      </c>
      <c r="BQ186" s="81" t="s">
        <v>1757</v>
      </c>
      <c r="BZ186" s="81" t="s">
        <v>155</v>
      </c>
      <c r="CA186" s="81">
        <v>7</v>
      </c>
      <c r="CC186" s="167">
        <f>N186</f>
        <v>1</v>
      </c>
      <c r="CD186" s="167">
        <v>0</v>
      </c>
      <c r="CE186" s="167">
        <v>0</v>
      </c>
      <c r="CF186" s="167">
        <v>0</v>
      </c>
      <c r="CG186" s="167">
        <v>0</v>
      </c>
      <c r="CH186" s="167">
        <v>0</v>
      </c>
      <c r="CI186" s="167">
        <v>0</v>
      </c>
      <c r="CJ186" s="167">
        <v>0</v>
      </c>
      <c r="CK186" s="167">
        <v>0</v>
      </c>
      <c r="CL186" s="167">
        <v>0</v>
      </c>
      <c r="CM186" s="167">
        <v>0</v>
      </c>
      <c r="CN186" s="167">
        <v>0</v>
      </c>
      <c r="CO186" s="167">
        <v>0</v>
      </c>
      <c r="CP186" s="167">
        <v>0</v>
      </c>
      <c r="CQ186" s="167">
        <v>0</v>
      </c>
      <c r="CR186" s="167">
        <v>0</v>
      </c>
      <c r="CS186" s="167">
        <v>0</v>
      </c>
      <c r="CT186" s="167">
        <v>0</v>
      </c>
      <c r="CU186" s="167">
        <v>0</v>
      </c>
      <c r="CV186" s="167">
        <v>0</v>
      </c>
      <c r="CW186" s="167">
        <v>0</v>
      </c>
      <c r="CX186" s="167">
        <f>SUM(CD186:CH186)</f>
        <v>0</v>
      </c>
      <c r="CY186" s="167">
        <f>SUM(CD186:CM186)</f>
        <v>0</v>
      </c>
    </row>
    <row r="187" spans="1:103" ht="12.75" customHeight="1" x14ac:dyDescent="0.2">
      <c r="A187" s="81">
        <v>6281</v>
      </c>
      <c r="B187" s="165" t="s">
        <v>1924</v>
      </c>
      <c r="C187" s="165" t="s">
        <v>1532</v>
      </c>
      <c r="E187" s="165" t="s">
        <v>3235</v>
      </c>
      <c r="G187" s="81">
        <v>522932</v>
      </c>
      <c r="H187" s="81">
        <v>175036</v>
      </c>
      <c r="I187" s="165" t="s">
        <v>59</v>
      </c>
      <c r="K187" s="349">
        <v>43190</v>
      </c>
      <c r="L187" s="166">
        <v>0</v>
      </c>
      <c r="M187" s="166">
        <v>1</v>
      </c>
      <c r="N187" s="166">
        <v>1</v>
      </c>
      <c r="O187" s="166">
        <v>1</v>
      </c>
      <c r="P187" s="166">
        <v>1</v>
      </c>
      <c r="R187" s="165" t="s">
        <v>1533</v>
      </c>
      <c r="S187" s="81" t="s">
        <v>113</v>
      </c>
      <c r="T187" s="349">
        <v>42768</v>
      </c>
      <c r="U187" s="349">
        <v>42824</v>
      </c>
      <c r="W187" s="81" t="s">
        <v>114</v>
      </c>
      <c r="Y187" s="81" t="s">
        <v>397</v>
      </c>
      <c r="Z187" s="81" t="s">
        <v>116</v>
      </c>
      <c r="AA187" s="81" t="s">
        <v>117</v>
      </c>
      <c r="AB187" s="81" t="s">
        <v>218</v>
      </c>
      <c r="AC187" s="166">
        <v>4.9999998882412902E-3</v>
      </c>
      <c r="AF187" s="349">
        <v>43190</v>
      </c>
      <c r="AG187" s="81" t="s">
        <v>238</v>
      </c>
      <c r="AH187" s="81" t="s">
        <v>118</v>
      </c>
      <c r="AK187" s="166">
        <v>0</v>
      </c>
      <c r="AM187" s="166">
        <v>0</v>
      </c>
      <c r="AO187" s="166">
        <v>0</v>
      </c>
      <c r="AP187" s="166">
        <v>0</v>
      </c>
      <c r="AQ187" s="166">
        <v>1</v>
      </c>
      <c r="AR187" s="166">
        <v>0</v>
      </c>
      <c r="AS187" s="166">
        <v>0</v>
      </c>
      <c r="AT187" s="166">
        <v>0</v>
      </c>
      <c r="AU187" s="166">
        <v>0</v>
      </c>
      <c r="AV187" s="166">
        <v>0</v>
      </c>
      <c r="AW187" s="166">
        <v>0</v>
      </c>
      <c r="AX187" s="166">
        <v>0</v>
      </c>
      <c r="AY187" s="166">
        <v>0</v>
      </c>
      <c r="AZ187" s="166">
        <v>0</v>
      </c>
      <c r="BA187" s="166">
        <v>0</v>
      </c>
      <c r="BB187" s="166">
        <v>0</v>
      </c>
      <c r="BC187" s="166">
        <v>0</v>
      </c>
      <c r="BD187" s="166">
        <v>0</v>
      </c>
      <c r="BE187" s="166">
        <v>1</v>
      </c>
      <c r="BF187" s="166">
        <v>0</v>
      </c>
      <c r="BG187" s="166">
        <v>0</v>
      </c>
      <c r="BH187" s="166">
        <v>0</v>
      </c>
      <c r="BI187" s="166">
        <v>0</v>
      </c>
      <c r="BJ187" s="166">
        <v>0</v>
      </c>
      <c r="BK187" s="166">
        <v>0</v>
      </c>
      <c r="BL187" s="166">
        <v>0</v>
      </c>
      <c r="BM187" s="166">
        <v>0</v>
      </c>
      <c r="BN187" s="166">
        <v>0</v>
      </c>
      <c r="BO187" s="166">
        <v>0</v>
      </c>
      <c r="BP187" s="166">
        <v>0</v>
      </c>
      <c r="BQ187" s="81" t="s">
        <v>1758</v>
      </c>
      <c r="BZ187" s="81" t="s">
        <v>155</v>
      </c>
      <c r="CA187" s="81">
        <v>1</v>
      </c>
      <c r="CC187" s="167">
        <f>N187</f>
        <v>1</v>
      </c>
      <c r="CD187" s="167">
        <v>0</v>
      </c>
      <c r="CE187" s="167">
        <v>0</v>
      </c>
      <c r="CF187" s="167">
        <v>0</v>
      </c>
      <c r="CG187" s="167">
        <v>0</v>
      </c>
      <c r="CH187" s="167">
        <v>0</v>
      </c>
      <c r="CI187" s="167">
        <v>0</v>
      </c>
      <c r="CJ187" s="167">
        <v>0</v>
      </c>
      <c r="CK187" s="167">
        <v>0</v>
      </c>
      <c r="CL187" s="167">
        <v>0</v>
      </c>
      <c r="CM187" s="167">
        <v>0</v>
      </c>
      <c r="CN187" s="167">
        <v>0</v>
      </c>
      <c r="CO187" s="167">
        <v>0</v>
      </c>
      <c r="CP187" s="167">
        <v>0</v>
      </c>
      <c r="CQ187" s="167">
        <v>0</v>
      </c>
      <c r="CR187" s="167">
        <v>0</v>
      </c>
      <c r="CS187" s="167">
        <v>0</v>
      </c>
      <c r="CT187" s="167">
        <v>0</v>
      </c>
      <c r="CU187" s="167">
        <v>0</v>
      </c>
      <c r="CV187" s="167">
        <v>0</v>
      </c>
      <c r="CW187" s="167">
        <v>0</v>
      </c>
      <c r="CX187" s="167">
        <f>SUM(CD187:CH187)</f>
        <v>0</v>
      </c>
      <c r="CY187" s="167">
        <f>SUM(CD187:CM187)</f>
        <v>0</v>
      </c>
    </row>
    <row r="188" spans="1:103" ht="12.75" customHeight="1" x14ac:dyDescent="0.2">
      <c r="A188" s="81">
        <v>6288</v>
      </c>
      <c r="B188" s="165" t="s">
        <v>1924</v>
      </c>
      <c r="C188" s="165" t="s">
        <v>1380</v>
      </c>
      <c r="E188" s="165" t="s">
        <v>3236</v>
      </c>
      <c r="G188" s="81">
        <v>528742</v>
      </c>
      <c r="H188" s="81">
        <v>176723</v>
      </c>
      <c r="I188" s="165" t="s">
        <v>240</v>
      </c>
      <c r="J188" s="349">
        <v>42741</v>
      </c>
      <c r="K188" s="349">
        <v>42944</v>
      </c>
      <c r="L188" s="166">
        <v>1</v>
      </c>
      <c r="M188" s="166">
        <v>0</v>
      </c>
      <c r="N188" s="166">
        <v>-1</v>
      </c>
      <c r="O188" s="166">
        <v>0</v>
      </c>
      <c r="P188" s="166">
        <v>-1</v>
      </c>
      <c r="R188" s="165" t="s">
        <v>1381</v>
      </c>
      <c r="S188" s="81" t="s">
        <v>113</v>
      </c>
      <c r="T188" s="349">
        <v>42591</v>
      </c>
      <c r="U188" s="349">
        <v>42647</v>
      </c>
      <c r="W188" s="81" t="s">
        <v>114</v>
      </c>
      <c r="Y188" s="81" t="s">
        <v>115</v>
      </c>
      <c r="Z188" s="81" t="s">
        <v>398</v>
      </c>
      <c r="AA188" s="81" t="s">
        <v>117</v>
      </c>
      <c r="AB188" s="81" t="s">
        <v>120</v>
      </c>
      <c r="AC188" s="166">
        <v>8.0000003799796104E-3</v>
      </c>
      <c r="AD188" s="349">
        <v>42741</v>
      </c>
      <c r="AF188" s="349">
        <v>42944</v>
      </c>
      <c r="AG188" s="81" t="s">
        <v>238</v>
      </c>
      <c r="AH188" s="81" t="s">
        <v>118</v>
      </c>
      <c r="AK188" s="166">
        <v>0</v>
      </c>
      <c r="AM188" s="166">
        <v>0</v>
      </c>
      <c r="AO188" s="166">
        <v>0</v>
      </c>
      <c r="AP188" s="166">
        <v>0</v>
      </c>
      <c r="AQ188" s="166">
        <v>0</v>
      </c>
      <c r="AR188" s="166">
        <v>0</v>
      </c>
      <c r="AS188" s="166">
        <v>0</v>
      </c>
      <c r="AT188" s="166">
        <v>-1</v>
      </c>
      <c r="AU188" s="166">
        <v>0</v>
      </c>
      <c r="AV188" s="166">
        <v>0</v>
      </c>
      <c r="AW188" s="166">
        <v>0</v>
      </c>
      <c r="AX188" s="166">
        <v>0</v>
      </c>
      <c r="AY188" s="166">
        <v>0</v>
      </c>
      <c r="AZ188" s="166">
        <v>0</v>
      </c>
      <c r="BA188" s="166">
        <v>0</v>
      </c>
      <c r="BB188" s="166">
        <v>0</v>
      </c>
      <c r="BC188" s="166">
        <v>0</v>
      </c>
      <c r="BD188" s="166">
        <v>0</v>
      </c>
      <c r="BE188" s="166">
        <v>0</v>
      </c>
      <c r="BF188" s="166">
        <v>0</v>
      </c>
      <c r="BG188" s="166">
        <v>0</v>
      </c>
      <c r="BH188" s="166">
        <v>-1</v>
      </c>
      <c r="BI188" s="166">
        <v>0</v>
      </c>
      <c r="BJ188" s="166">
        <v>0</v>
      </c>
      <c r="BK188" s="166">
        <v>0</v>
      </c>
      <c r="BL188" s="166">
        <v>0</v>
      </c>
      <c r="BM188" s="166">
        <v>0</v>
      </c>
      <c r="BN188" s="166">
        <v>0</v>
      </c>
      <c r="BO188" s="166">
        <v>0</v>
      </c>
      <c r="BP188" s="166">
        <v>0</v>
      </c>
      <c r="BQ188" s="81" t="s">
        <v>1757</v>
      </c>
      <c r="BZ188" s="81" t="s">
        <v>155</v>
      </c>
      <c r="CA188" s="81">
        <v>7</v>
      </c>
      <c r="CC188" s="167">
        <f>N188</f>
        <v>-1</v>
      </c>
      <c r="CD188" s="167">
        <v>0</v>
      </c>
      <c r="CE188" s="167">
        <v>0</v>
      </c>
      <c r="CF188" s="167">
        <v>0</v>
      </c>
      <c r="CG188" s="167">
        <v>0</v>
      </c>
      <c r="CH188" s="167">
        <v>0</v>
      </c>
      <c r="CI188" s="167">
        <v>0</v>
      </c>
      <c r="CJ188" s="167">
        <v>0</v>
      </c>
      <c r="CK188" s="167">
        <v>0</v>
      </c>
      <c r="CL188" s="167">
        <v>0</v>
      </c>
      <c r="CM188" s="167">
        <v>0</v>
      </c>
      <c r="CN188" s="167">
        <v>0</v>
      </c>
      <c r="CO188" s="167">
        <v>0</v>
      </c>
      <c r="CP188" s="167">
        <v>0</v>
      </c>
      <c r="CQ188" s="167">
        <v>0</v>
      </c>
      <c r="CR188" s="167">
        <v>0</v>
      </c>
      <c r="CS188" s="167">
        <v>0</v>
      </c>
      <c r="CT188" s="167">
        <v>0</v>
      </c>
      <c r="CU188" s="167">
        <v>0</v>
      </c>
      <c r="CV188" s="167">
        <v>0</v>
      </c>
      <c r="CW188" s="167">
        <v>0</v>
      </c>
      <c r="CX188" s="167">
        <f>SUM(CD188:CH188)</f>
        <v>0</v>
      </c>
      <c r="CY188" s="167">
        <f>SUM(CD188:CM188)</f>
        <v>0</v>
      </c>
    </row>
    <row r="189" spans="1:103" ht="12.75" customHeight="1" x14ac:dyDescent="0.2">
      <c r="A189" s="81">
        <v>6301</v>
      </c>
      <c r="B189" s="165" t="s">
        <v>1924</v>
      </c>
      <c r="C189" s="165" t="s">
        <v>1705</v>
      </c>
      <c r="E189" s="165" t="s">
        <v>3237</v>
      </c>
      <c r="G189" s="81">
        <v>528407</v>
      </c>
      <c r="H189" s="81">
        <v>172922</v>
      </c>
      <c r="I189" s="165" t="s">
        <v>248</v>
      </c>
      <c r="J189" s="349">
        <v>42754</v>
      </c>
      <c r="K189" s="349">
        <v>42858</v>
      </c>
      <c r="L189" s="166">
        <v>0</v>
      </c>
      <c r="M189" s="166">
        <v>2</v>
      </c>
      <c r="N189" s="166">
        <v>2</v>
      </c>
      <c r="O189" s="166">
        <v>2</v>
      </c>
      <c r="P189" s="166">
        <v>2</v>
      </c>
      <c r="R189" s="165" t="s">
        <v>1706</v>
      </c>
      <c r="S189" s="81" t="s">
        <v>113</v>
      </c>
      <c r="T189" s="349">
        <v>42551</v>
      </c>
      <c r="U189" s="349">
        <v>42607</v>
      </c>
      <c r="W189" s="81" t="s">
        <v>114</v>
      </c>
      <c r="Y189" s="81" t="s">
        <v>115</v>
      </c>
      <c r="Z189" s="81" t="s">
        <v>219</v>
      </c>
      <c r="AA189" s="81" t="s">
        <v>117</v>
      </c>
      <c r="AB189" s="81" t="s">
        <v>3889</v>
      </c>
      <c r="AC189" s="166">
        <v>1.2000000104308101E-2</v>
      </c>
      <c r="AD189" s="349">
        <v>42754</v>
      </c>
      <c r="AF189" s="349">
        <v>42858</v>
      </c>
      <c r="AG189" s="81" t="s">
        <v>238</v>
      </c>
      <c r="AH189" s="81" t="s">
        <v>118</v>
      </c>
      <c r="AK189" s="166">
        <v>0</v>
      </c>
      <c r="AM189" s="166">
        <v>0</v>
      </c>
      <c r="AO189" s="166">
        <v>0</v>
      </c>
      <c r="AP189" s="166">
        <v>0</v>
      </c>
      <c r="AQ189" s="166">
        <v>2</v>
      </c>
      <c r="AR189" s="166">
        <v>0</v>
      </c>
      <c r="AS189" s="166">
        <v>0</v>
      </c>
      <c r="AT189" s="166">
        <v>0</v>
      </c>
      <c r="AU189" s="166">
        <v>0</v>
      </c>
      <c r="AV189" s="166">
        <v>0</v>
      </c>
      <c r="AW189" s="166">
        <v>0</v>
      </c>
      <c r="AX189" s="166">
        <v>2</v>
      </c>
      <c r="AY189" s="166">
        <v>0</v>
      </c>
      <c r="AZ189" s="166">
        <v>0</v>
      </c>
      <c r="BA189" s="166">
        <v>0</v>
      </c>
      <c r="BB189" s="166">
        <v>0</v>
      </c>
      <c r="BC189" s="166">
        <v>0</v>
      </c>
      <c r="BD189" s="166">
        <v>0</v>
      </c>
      <c r="BE189" s="166">
        <v>0</v>
      </c>
      <c r="BF189" s="166">
        <v>0</v>
      </c>
      <c r="BG189" s="166">
        <v>0</v>
      </c>
      <c r="BH189" s="166">
        <v>0</v>
      </c>
      <c r="BI189" s="166">
        <v>0</v>
      </c>
      <c r="BJ189" s="166">
        <v>0</v>
      </c>
      <c r="BK189" s="166">
        <v>0</v>
      </c>
      <c r="BL189" s="166">
        <v>0</v>
      </c>
      <c r="BM189" s="166">
        <v>0</v>
      </c>
      <c r="BN189" s="166">
        <v>0</v>
      </c>
      <c r="BO189" s="166">
        <v>0</v>
      </c>
      <c r="BP189" s="166">
        <v>0</v>
      </c>
      <c r="BQ189" s="81" t="s">
        <v>1757</v>
      </c>
      <c r="BZ189" s="81" t="s">
        <v>155</v>
      </c>
      <c r="CA189" s="81">
        <v>7</v>
      </c>
      <c r="CC189" s="167">
        <f>N189</f>
        <v>2</v>
      </c>
      <c r="CD189" s="167">
        <v>0</v>
      </c>
      <c r="CE189" s="167">
        <v>0</v>
      </c>
      <c r="CF189" s="167">
        <v>0</v>
      </c>
      <c r="CG189" s="167">
        <v>0</v>
      </c>
      <c r="CH189" s="167">
        <v>0</v>
      </c>
      <c r="CI189" s="167">
        <v>0</v>
      </c>
      <c r="CJ189" s="167">
        <v>0</v>
      </c>
      <c r="CK189" s="167">
        <v>0</v>
      </c>
      <c r="CL189" s="167">
        <v>0</v>
      </c>
      <c r="CM189" s="167">
        <v>0</v>
      </c>
      <c r="CN189" s="167">
        <v>0</v>
      </c>
      <c r="CO189" s="167">
        <v>0</v>
      </c>
      <c r="CP189" s="167">
        <v>0</v>
      </c>
      <c r="CQ189" s="167">
        <v>0</v>
      </c>
      <c r="CR189" s="167">
        <v>0</v>
      </c>
      <c r="CS189" s="167">
        <v>0</v>
      </c>
      <c r="CT189" s="167">
        <v>0</v>
      </c>
      <c r="CU189" s="167">
        <v>0</v>
      </c>
      <c r="CV189" s="167">
        <v>0</v>
      </c>
      <c r="CW189" s="167">
        <v>0</v>
      </c>
      <c r="CX189" s="167">
        <f>SUM(CD189:CH189)</f>
        <v>0</v>
      </c>
      <c r="CY189" s="167">
        <f>SUM(CD189:CM189)</f>
        <v>0</v>
      </c>
    </row>
    <row r="190" spans="1:103" ht="12.75" customHeight="1" x14ac:dyDescent="0.2">
      <c r="A190" s="81">
        <v>6309</v>
      </c>
      <c r="B190" s="165" t="s">
        <v>1924</v>
      </c>
      <c r="C190" s="165" t="s">
        <v>3238</v>
      </c>
      <c r="E190" s="165" t="s">
        <v>3239</v>
      </c>
      <c r="G190" s="81">
        <v>526019</v>
      </c>
      <c r="H190" s="81">
        <v>174719</v>
      </c>
      <c r="I190" s="165" t="s">
        <v>251</v>
      </c>
      <c r="J190" s="349">
        <v>42825</v>
      </c>
      <c r="K190" s="349">
        <v>43053</v>
      </c>
      <c r="L190" s="166">
        <v>0</v>
      </c>
      <c r="M190" s="166">
        <v>4</v>
      </c>
      <c r="N190" s="166">
        <v>4</v>
      </c>
      <c r="O190" s="166">
        <v>4</v>
      </c>
      <c r="P190" s="166">
        <v>4</v>
      </c>
      <c r="R190" s="165" t="s">
        <v>3240</v>
      </c>
      <c r="S190" s="81" t="s">
        <v>113</v>
      </c>
      <c r="T190" s="349">
        <v>42781</v>
      </c>
      <c r="U190" s="349">
        <v>42872</v>
      </c>
      <c r="V190" s="81" t="s">
        <v>155</v>
      </c>
      <c r="W190" s="81" t="s">
        <v>114</v>
      </c>
      <c r="Y190" s="81" t="s">
        <v>115</v>
      </c>
      <c r="Z190" s="81" t="s">
        <v>398</v>
      </c>
      <c r="AA190" s="81" t="s">
        <v>117</v>
      </c>
      <c r="AB190" s="81" t="s">
        <v>311</v>
      </c>
      <c r="AC190" s="166">
        <v>1.7999999225139601E-2</v>
      </c>
      <c r="AD190" s="349">
        <v>42825</v>
      </c>
      <c r="AF190" s="349">
        <v>43053</v>
      </c>
      <c r="AG190" s="81" t="s">
        <v>238</v>
      </c>
      <c r="AH190" s="81" t="s">
        <v>118</v>
      </c>
      <c r="AK190" s="166">
        <v>0</v>
      </c>
      <c r="AM190" s="166">
        <v>0</v>
      </c>
      <c r="AO190" s="166">
        <v>0</v>
      </c>
      <c r="AP190" s="166">
        <v>0</v>
      </c>
      <c r="AQ190" s="166">
        <v>3</v>
      </c>
      <c r="AR190" s="166">
        <v>1</v>
      </c>
      <c r="AS190" s="166">
        <v>0</v>
      </c>
      <c r="AT190" s="166">
        <v>0</v>
      </c>
      <c r="AU190" s="166">
        <v>0</v>
      </c>
      <c r="AV190" s="166">
        <v>0</v>
      </c>
      <c r="AW190" s="166">
        <v>0</v>
      </c>
      <c r="AX190" s="166">
        <v>3</v>
      </c>
      <c r="AY190" s="166">
        <v>1</v>
      </c>
      <c r="AZ190" s="166">
        <v>0</v>
      </c>
      <c r="BA190" s="166">
        <v>0</v>
      </c>
      <c r="BB190" s="166">
        <v>0</v>
      </c>
      <c r="BC190" s="166">
        <v>0</v>
      </c>
      <c r="BD190" s="166">
        <v>0</v>
      </c>
      <c r="BE190" s="166">
        <v>0</v>
      </c>
      <c r="BF190" s="166">
        <v>0</v>
      </c>
      <c r="BG190" s="166">
        <v>0</v>
      </c>
      <c r="BH190" s="166">
        <v>0</v>
      </c>
      <c r="BI190" s="166">
        <v>0</v>
      </c>
      <c r="BJ190" s="166">
        <v>0</v>
      </c>
      <c r="BK190" s="166">
        <v>0</v>
      </c>
      <c r="BL190" s="166">
        <v>0</v>
      </c>
      <c r="BM190" s="166">
        <v>0</v>
      </c>
      <c r="BN190" s="166">
        <v>0</v>
      </c>
      <c r="BO190" s="166">
        <v>0</v>
      </c>
      <c r="BP190" s="166">
        <v>0</v>
      </c>
      <c r="BQ190" s="81" t="s">
        <v>1758</v>
      </c>
      <c r="BZ190" s="81" t="s">
        <v>155</v>
      </c>
      <c r="CA190" s="81">
        <v>7</v>
      </c>
      <c r="CC190" s="167">
        <f>N190</f>
        <v>4</v>
      </c>
      <c r="CD190" s="167">
        <v>0</v>
      </c>
      <c r="CE190" s="167">
        <v>0</v>
      </c>
      <c r="CF190" s="167">
        <v>0</v>
      </c>
      <c r="CG190" s="167">
        <v>0</v>
      </c>
      <c r="CH190" s="167">
        <v>0</v>
      </c>
      <c r="CI190" s="167">
        <v>0</v>
      </c>
      <c r="CJ190" s="167">
        <v>0</v>
      </c>
      <c r="CK190" s="167">
        <v>0</v>
      </c>
      <c r="CL190" s="167">
        <v>0</v>
      </c>
      <c r="CM190" s="167">
        <v>0</v>
      </c>
      <c r="CN190" s="167">
        <v>0</v>
      </c>
      <c r="CO190" s="167">
        <v>0</v>
      </c>
      <c r="CP190" s="167">
        <v>0</v>
      </c>
      <c r="CQ190" s="167">
        <v>0</v>
      </c>
      <c r="CR190" s="167">
        <v>0</v>
      </c>
      <c r="CS190" s="167">
        <v>0</v>
      </c>
      <c r="CT190" s="167">
        <v>0</v>
      </c>
      <c r="CU190" s="167">
        <v>0</v>
      </c>
      <c r="CV190" s="167">
        <v>0</v>
      </c>
      <c r="CW190" s="167">
        <v>0</v>
      </c>
      <c r="CX190" s="167">
        <f>SUM(CD190:CH190)</f>
        <v>0</v>
      </c>
      <c r="CY190" s="167">
        <f>SUM(CD190:CM190)</f>
        <v>0</v>
      </c>
    </row>
    <row r="191" spans="1:103" ht="12.75" customHeight="1" x14ac:dyDescent="0.2">
      <c r="A191" s="81">
        <v>6310</v>
      </c>
      <c r="B191" s="165" t="s">
        <v>1924</v>
      </c>
      <c r="C191" s="165" t="s">
        <v>1031</v>
      </c>
      <c r="E191" s="165" t="s">
        <v>3241</v>
      </c>
      <c r="G191" s="81">
        <v>528972</v>
      </c>
      <c r="H191" s="81">
        <v>170658</v>
      </c>
      <c r="I191" s="165" t="s">
        <v>252</v>
      </c>
      <c r="J191" s="349">
        <v>42438</v>
      </c>
      <c r="K191" s="349">
        <v>42919</v>
      </c>
      <c r="L191" s="166">
        <v>1</v>
      </c>
      <c r="M191" s="166">
        <v>3</v>
      </c>
      <c r="N191" s="166">
        <v>2</v>
      </c>
      <c r="O191" s="166">
        <v>3</v>
      </c>
      <c r="P191" s="166">
        <v>2</v>
      </c>
      <c r="R191" s="165" t="s">
        <v>1032</v>
      </c>
      <c r="S191" s="81" t="s">
        <v>113</v>
      </c>
      <c r="T191" s="349">
        <v>42562</v>
      </c>
      <c r="U191" s="349">
        <v>42618</v>
      </c>
      <c r="W191" s="81" t="s">
        <v>114</v>
      </c>
      <c r="Y191" s="81" t="s">
        <v>115</v>
      </c>
      <c r="Z191" s="81" t="s">
        <v>398</v>
      </c>
      <c r="AA191" s="81" t="s">
        <v>117</v>
      </c>
      <c r="AB191" s="81" t="s">
        <v>120</v>
      </c>
      <c r="AC191" s="166">
        <v>1.7000000923872001E-2</v>
      </c>
      <c r="AD191" s="349">
        <v>42438</v>
      </c>
      <c r="AF191" s="349">
        <v>42919</v>
      </c>
      <c r="AG191" s="81" t="s">
        <v>238</v>
      </c>
      <c r="AH191" s="81" t="s">
        <v>118</v>
      </c>
      <c r="AK191" s="166">
        <v>1</v>
      </c>
      <c r="AM191" s="166">
        <v>0</v>
      </c>
      <c r="AO191" s="166">
        <v>0</v>
      </c>
      <c r="AP191" s="166">
        <v>1</v>
      </c>
      <c r="AQ191" s="166">
        <v>1</v>
      </c>
      <c r="AR191" s="166">
        <v>1</v>
      </c>
      <c r="AS191" s="166">
        <v>-1</v>
      </c>
      <c r="AT191" s="166">
        <v>0</v>
      </c>
      <c r="AU191" s="166">
        <v>0</v>
      </c>
      <c r="AV191" s="166">
        <v>0</v>
      </c>
      <c r="AW191" s="166">
        <v>1</v>
      </c>
      <c r="AX191" s="166">
        <v>1</v>
      </c>
      <c r="AY191" s="166">
        <v>1</v>
      </c>
      <c r="AZ191" s="166">
        <v>0</v>
      </c>
      <c r="BA191" s="166">
        <v>0</v>
      </c>
      <c r="BB191" s="166">
        <v>0</v>
      </c>
      <c r="BC191" s="166">
        <v>0</v>
      </c>
      <c r="BD191" s="166">
        <v>0</v>
      </c>
      <c r="BE191" s="166">
        <v>0</v>
      </c>
      <c r="BF191" s="166">
        <v>0</v>
      </c>
      <c r="BG191" s="166">
        <v>-1</v>
      </c>
      <c r="BH191" s="166">
        <v>0</v>
      </c>
      <c r="BI191" s="166">
        <v>0</v>
      </c>
      <c r="BJ191" s="166">
        <v>0</v>
      </c>
      <c r="BK191" s="166">
        <v>0</v>
      </c>
      <c r="BL191" s="166">
        <v>0</v>
      </c>
      <c r="BM191" s="166">
        <v>0</v>
      </c>
      <c r="BN191" s="166">
        <v>0</v>
      </c>
      <c r="BO191" s="166">
        <v>0</v>
      </c>
      <c r="BP191" s="166">
        <v>0</v>
      </c>
      <c r="BQ191" s="81" t="s">
        <v>1757</v>
      </c>
      <c r="BZ191" s="81" t="s">
        <v>155</v>
      </c>
      <c r="CA191" s="81">
        <v>7</v>
      </c>
      <c r="CC191" s="167">
        <f>N191</f>
        <v>2</v>
      </c>
      <c r="CD191" s="167">
        <v>0</v>
      </c>
      <c r="CE191" s="167">
        <v>0</v>
      </c>
      <c r="CF191" s="167">
        <v>0</v>
      </c>
      <c r="CG191" s="167">
        <v>0</v>
      </c>
      <c r="CH191" s="167">
        <v>0</v>
      </c>
      <c r="CI191" s="167">
        <v>0</v>
      </c>
      <c r="CJ191" s="167">
        <v>0</v>
      </c>
      <c r="CK191" s="167">
        <v>0</v>
      </c>
      <c r="CL191" s="167">
        <v>0</v>
      </c>
      <c r="CM191" s="167">
        <v>0</v>
      </c>
      <c r="CN191" s="167">
        <v>0</v>
      </c>
      <c r="CO191" s="167">
        <v>0</v>
      </c>
      <c r="CP191" s="167">
        <v>0</v>
      </c>
      <c r="CQ191" s="167">
        <v>0</v>
      </c>
      <c r="CR191" s="167">
        <v>0</v>
      </c>
      <c r="CS191" s="167">
        <v>0</v>
      </c>
      <c r="CT191" s="167">
        <v>0</v>
      </c>
      <c r="CU191" s="167">
        <v>0</v>
      </c>
      <c r="CV191" s="167">
        <v>0</v>
      </c>
      <c r="CW191" s="167">
        <v>0</v>
      </c>
      <c r="CX191" s="167">
        <f>SUM(CD191:CH191)</f>
        <v>0</v>
      </c>
      <c r="CY191" s="167">
        <f>SUM(CD191:CM191)</f>
        <v>0</v>
      </c>
    </row>
    <row r="192" spans="1:103" ht="12.75" customHeight="1" x14ac:dyDescent="0.2">
      <c r="A192" s="81">
        <v>6313</v>
      </c>
      <c r="B192" s="165" t="s">
        <v>1924</v>
      </c>
      <c r="C192" s="165" t="s">
        <v>1356</v>
      </c>
      <c r="E192" s="165" t="s">
        <v>3242</v>
      </c>
      <c r="G192" s="81">
        <v>528068</v>
      </c>
      <c r="H192" s="81">
        <v>176657</v>
      </c>
      <c r="I192" s="165" t="s">
        <v>240</v>
      </c>
      <c r="J192" s="349">
        <v>42755</v>
      </c>
      <c r="K192" s="349">
        <v>43017</v>
      </c>
      <c r="L192" s="166">
        <v>0</v>
      </c>
      <c r="M192" s="166">
        <v>2</v>
      </c>
      <c r="N192" s="166">
        <v>2</v>
      </c>
      <c r="O192" s="166">
        <v>2</v>
      </c>
      <c r="P192" s="166">
        <v>2</v>
      </c>
      <c r="R192" s="165" t="s">
        <v>1357</v>
      </c>
      <c r="S192" s="81" t="s">
        <v>270</v>
      </c>
      <c r="T192" s="349">
        <v>42577</v>
      </c>
      <c r="U192" s="349">
        <v>42633</v>
      </c>
      <c r="W192" s="81" t="s">
        <v>114</v>
      </c>
      <c r="Y192" s="81" t="s">
        <v>115</v>
      </c>
      <c r="Z192" s="81" t="s">
        <v>310</v>
      </c>
      <c r="AA192" s="81" t="s">
        <v>117</v>
      </c>
      <c r="AB192" s="81" t="s">
        <v>399</v>
      </c>
      <c r="AC192" s="166">
        <v>5.4000001400709201E-2</v>
      </c>
      <c r="AD192" s="349">
        <v>42755</v>
      </c>
      <c r="AF192" s="349">
        <v>43017</v>
      </c>
      <c r="AG192" s="81" t="s">
        <v>238</v>
      </c>
      <c r="AH192" s="81" t="s">
        <v>118</v>
      </c>
      <c r="AK192" s="166">
        <v>0</v>
      </c>
      <c r="AM192" s="166">
        <v>0</v>
      </c>
      <c r="AO192" s="166">
        <v>2</v>
      </c>
      <c r="AP192" s="166">
        <v>0</v>
      </c>
      <c r="AQ192" s="166">
        <v>0</v>
      </c>
      <c r="AR192" s="166">
        <v>0</v>
      </c>
      <c r="AS192" s="166">
        <v>0</v>
      </c>
      <c r="AT192" s="166">
        <v>0</v>
      </c>
      <c r="AU192" s="166">
        <v>0</v>
      </c>
      <c r="AV192" s="166">
        <v>2</v>
      </c>
      <c r="AW192" s="166">
        <v>0</v>
      </c>
      <c r="AX192" s="166">
        <v>0</v>
      </c>
      <c r="AY192" s="166">
        <v>0</v>
      </c>
      <c r="AZ192" s="166">
        <v>0</v>
      </c>
      <c r="BA192" s="166">
        <v>0</v>
      </c>
      <c r="BB192" s="166">
        <v>0</v>
      </c>
      <c r="BC192" s="166">
        <v>0</v>
      </c>
      <c r="BD192" s="166">
        <v>0</v>
      </c>
      <c r="BE192" s="166">
        <v>0</v>
      </c>
      <c r="BF192" s="166">
        <v>0</v>
      </c>
      <c r="BG192" s="166">
        <v>0</v>
      </c>
      <c r="BH192" s="166">
        <v>0</v>
      </c>
      <c r="BI192" s="166">
        <v>0</v>
      </c>
      <c r="BJ192" s="166">
        <v>0</v>
      </c>
      <c r="BK192" s="166">
        <v>0</v>
      </c>
      <c r="BL192" s="166">
        <v>0</v>
      </c>
      <c r="BM192" s="166">
        <v>0</v>
      </c>
      <c r="BN192" s="166">
        <v>0</v>
      </c>
      <c r="BO192" s="166">
        <v>0</v>
      </c>
      <c r="BP192" s="166">
        <v>0</v>
      </c>
      <c r="BQ192" s="81" t="s">
        <v>1757</v>
      </c>
      <c r="BZ192" s="81" t="s">
        <v>155</v>
      </c>
      <c r="CA192" s="81">
        <v>7</v>
      </c>
      <c r="CC192" s="167">
        <f>N192</f>
        <v>2</v>
      </c>
      <c r="CD192" s="167">
        <v>0</v>
      </c>
      <c r="CE192" s="167">
        <v>0</v>
      </c>
      <c r="CF192" s="167">
        <v>0</v>
      </c>
      <c r="CG192" s="167">
        <v>0</v>
      </c>
      <c r="CH192" s="167">
        <v>0</v>
      </c>
      <c r="CI192" s="167">
        <v>0</v>
      </c>
      <c r="CJ192" s="167">
        <v>0</v>
      </c>
      <c r="CK192" s="167">
        <v>0</v>
      </c>
      <c r="CL192" s="167">
        <v>0</v>
      </c>
      <c r="CM192" s="167">
        <v>0</v>
      </c>
      <c r="CN192" s="167">
        <v>0</v>
      </c>
      <c r="CO192" s="167">
        <v>0</v>
      </c>
      <c r="CP192" s="167">
        <v>0</v>
      </c>
      <c r="CQ192" s="167">
        <v>0</v>
      </c>
      <c r="CR192" s="167">
        <v>0</v>
      </c>
      <c r="CS192" s="167">
        <v>0</v>
      </c>
      <c r="CT192" s="167">
        <v>0</v>
      </c>
      <c r="CU192" s="167">
        <v>0</v>
      </c>
      <c r="CV192" s="167">
        <v>0</v>
      </c>
      <c r="CW192" s="167">
        <v>0</v>
      </c>
      <c r="CX192" s="167">
        <f>SUM(CD192:CH192)</f>
        <v>0</v>
      </c>
      <c r="CY192" s="167">
        <f>SUM(CD192:CM192)</f>
        <v>0</v>
      </c>
    </row>
    <row r="193" spans="1:103" ht="12.75" customHeight="1" x14ac:dyDescent="0.2">
      <c r="A193" s="81">
        <v>6327</v>
      </c>
      <c r="B193" s="165" t="s">
        <v>1924</v>
      </c>
      <c r="C193" s="165" t="s">
        <v>1378</v>
      </c>
      <c r="E193" s="165" t="s">
        <v>3243</v>
      </c>
      <c r="G193" s="81">
        <v>528751</v>
      </c>
      <c r="H193" s="81">
        <v>173670</v>
      </c>
      <c r="I193" s="165" t="s">
        <v>247</v>
      </c>
      <c r="J193" s="349">
        <v>42726</v>
      </c>
      <c r="K193" s="349">
        <v>43052</v>
      </c>
      <c r="L193" s="166">
        <v>0</v>
      </c>
      <c r="M193" s="166">
        <v>1</v>
      </c>
      <c r="N193" s="166">
        <v>1</v>
      </c>
      <c r="O193" s="166">
        <v>1</v>
      </c>
      <c r="P193" s="166">
        <v>1</v>
      </c>
      <c r="R193" s="165" t="s">
        <v>1379</v>
      </c>
      <c r="S193" s="81" t="s">
        <v>270</v>
      </c>
      <c r="T193" s="349">
        <v>42593</v>
      </c>
      <c r="U193" s="349">
        <v>42649</v>
      </c>
      <c r="W193" s="81" t="s">
        <v>114</v>
      </c>
      <c r="Y193" s="81" t="s">
        <v>115</v>
      </c>
      <c r="Z193" s="81" t="s">
        <v>310</v>
      </c>
      <c r="AA193" s="81" t="s">
        <v>117</v>
      </c>
      <c r="AB193" s="81" t="s">
        <v>399</v>
      </c>
      <c r="AC193" s="166">
        <v>6.0000000521540598E-3</v>
      </c>
      <c r="AD193" s="349">
        <v>42726</v>
      </c>
      <c r="AF193" s="349">
        <v>43052</v>
      </c>
      <c r="AG193" s="81" t="s">
        <v>238</v>
      </c>
      <c r="AH193" s="81" t="s">
        <v>118</v>
      </c>
      <c r="AK193" s="166">
        <v>0</v>
      </c>
      <c r="AM193" s="166">
        <v>0</v>
      </c>
      <c r="AO193" s="166">
        <v>0</v>
      </c>
      <c r="AP193" s="166">
        <v>1</v>
      </c>
      <c r="AQ193" s="166">
        <v>0</v>
      </c>
      <c r="AR193" s="166">
        <v>0</v>
      </c>
      <c r="AS193" s="166">
        <v>0</v>
      </c>
      <c r="AT193" s="166">
        <v>0</v>
      </c>
      <c r="AU193" s="166">
        <v>0</v>
      </c>
      <c r="AV193" s="166">
        <v>0</v>
      </c>
      <c r="AW193" s="166">
        <v>1</v>
      </c>
      <c r="AX193" s="166">
        <v>0</v>
      </c>
      <c r="AY193" s="166">
        <v>0</v>
      </c>
      <c r="AZ193" s="166">
        <v>0</v>
      </c>
      <c r="BA193" s="166">
        <v>0</v>
      </c>
      <c r="BB193" s="166">
        <v>0</v>
      </c>
      <c r="BC193" s="166">
        <v>0</v>
      </c>
      <c r="BD193" s="166">
        <v>0</v>
      </c>
      <c r="BE193" s="166">
        <v>0</v>
      </c>
      <c r="BF193" s="166">
        <v>0</v>
      </c>
      <c r="BG193" s="166">
        <v>0</v>
      </c>
      <c r="BH193" s="166">
        <v>0</v>
      </c>
      <c r="BI193" s="166">
        <v>0</v>
      </c>
      <c r="BJ193" s="166">
        <v>0</v>
      </c>
      <c r="BK193" s="166">
        <v>0</v>
      </c>
      <c r="BL193" s="166">
        <v>0</v>
      </c>
      <c r="BM193" s="166">
        <v>0</v>
      </c>
      <c r="BN193" s="166">
        <v>0</v>
      </c>
      <c r="BO193" s="166">
        <v>0</v>
      </c>
      <c r="BP193" s="166">
        <v>0</v>
      </c>
      <c r="BQ193" s="81" t="s">
        <v>1757</v>
      </c>
      <c r="BR193" s="81" t="s">
        <v>247</v>
      </c>
      <c r="BZ193" s="81" t="s">
        <v>155</v>
      </c>
      <c r="CA193" s="81">
        <v>7</v>
      </c>
      <c r="CC193" s="167">
        <f>N193</f>
        <v>1</v>
      </c>
      <c r="CD193" s="167">
        <v>0</v>
      </c>
      <c r="CE193" s="167">
        <v>0</v>
      </c>
      <c r="CF193" s="167">
        <v>0</v>
      </c>
      <c r="CG193" s="167">
        <v>0</v>
      </c>
      <c r="CH193" s="167">
        <v>0</v>
      </c>
      <c r="CI193" s="167">
        <v>0</v>
      </c>
      <c r="CJ193" s="167">
        <v>0</v>
      </c>
      <c r="CK193" s="167">
        <v>0</v>
      </c>
      <c r="CL193" s="167">
        <v>0</v>
      </c>
      <c r="CM193" s="167">
        <v>0</v>
      </c>
      <c r="CN193" s="167">
        <v>0</v>
      </c>
      <c r="CO193" s="167">
        <v>0</v>
      </c>
      <c r="CP193" s="167">
        <v>0</v>
      </c>
      <c r="CQ193" s="167">
        <v>0</v>
      </c>
      <c r="CR193" s="167">
        <v>0</v>
      </c>
      <c r="CS193" s="167">
        <v>0</v>
      </c>
      <c r="CT193" s="167">
        <v>0</v>
      </c>
      <c r="CU193" s="167">
        <v>0</v>
      </c>
      <c r="CV193" s="167">
        <v>0</v>
      </c>
      <c r="CW193" s="167">
        <v>0</v>
      </c>
      <c r="CX193" s="167">
        <f>SUM(CD193:CH193)</f>
        <v>0</v>
      </c>
      <c r="CY193" s="167">
        <f>SUM(CD193:CM193)</f>
        <v>0</v>
      </c>
    </row>
    <row r="194" spans="1:103" ht="12.75" customHeight="1" x14ac:dyDescent="0.2">
      <c r="A194" s="81">
        <v>6328</v>
      </c>
      <c r="B194" s="165" t="s">
        <v>1924</v>
      </c>
      <c r="C194" s="165" t="s">
        <v>1372</v>
      </c>
      <c r="E194" s="165" t="s">
        <v>3244</v>
      </c>
      <c r="G194" s="81">
        <v>524433</v>
      </c>
      <c r="H194" s="81">
        <v>174351</v>
      </c>
      <c r="I194" s="165" t="s">
        <v>250</v>
      </c>
      <c r="J194" s="349">
        <v>42825</v>
      </c>
      <c r="K194" s="349">
        <v>43190</v>
      </c>
      <c r="L194" s="166">
        <v>1</v>
      </c>
      <c r="M194" s="166">
        <v>7</v>
      </c>
      <c r="N194" s="166">
        <v>6</v>
      </c>
      <c r="O194" s="166">
        <v>7</v>
      </c>
      <c r="P194" s="166">
        <v>6</v>
      </c>
      <c r="R194" s="165" t="s">
        <v>1373</v>
      </c>
      <c r="S194" s="81" t="s">
        <v>113</v>
      </c>
      <c r="T194" s="349">
        <v>42586</v>
      </c>
      <c r="U194" s="349">
        <v>42691</v>
      </c>
      <c r="W194" s="81" t="s">
        <v>114</v>
      </c>
      <c r="Y194" s="81" t="s">
        <v>115</v>
      </c>
      <c r="Z194" s="81" t="s">
        <v>116</v>
      </c>
      <c r="AA194" s="81" t="s">
        <v>117</v>
      </c>
      <c r="AB194" s="81" t="s">
        <v>218</v>
      </c>
      <c r="AC194" s="166">
        <v>5.0000000745058101E-2</v>
      </c>
      <c r="AD194" s="349">
        <v>42825</v>
      </c>
      <c r="AF194" s="349">
        <v>43190</v>
      </c>
      <c r="AG194" s="81" t="s">
        <v>238</v>
      </c>
      <c r="AH194" s="81" t="s">
        <v>118</v>
      </c>
      <c r="AK194" s="166">
        <v>7</v>
      </c>
      <c r="AM194" s="166">
        <v>0</v>
      </c>
      <c r="AO194" s="166">
        <v>0</v>
      </c>
      <c r="AP194" s="166">
        <v>3</v>
      </c>
      <c r="AQ194" s="166">
        <v>4</v>
      </c>
      <c r="AR194" s="166">
        <v>0</v>
      </c>
      <c r="AS194" s="166">
        <v>-1</v>
      </c>
      <c r="AT194" s="166">
        <v>0</v>
      </c>
      <c r="AU194" s="166">
        <v>0</v>
      </c>
      <c r="AV194" s="166">
        <v>0</v>
      </c>
      <c r="AW194" s="166">
        <v>3</v>
      </c>
      <c r="AX194" s="166">
        <v>4</v>
      </c>
      <c r="AY194" s="166">
        <v>0</v>
      </c>
      <c r="AZ194" s="166">
        <v>0</v>
      </c>
      <c r="BA194" s="166">
        <v>0</v>
      </c>
      <c r="BB194" s="166">
        <v>0</v>
      </c>
      <c r="BC194" s="166">
        <v>0</v>
      </c>
      <c r="BD194" s="166">
        <v>0</v>
      </c>
      <c r="BE194" s="166">
        <v>0</v>
      </c>
      <c r="BF194" s="166">
        <v>0</v>
      </c>
      <c r="BG194" s="166">
        <v>-1</v>
      </c>
      <c r="BH194" s="166">
        <v>0</v>
      </c>
      <c r="BI194" s="166">
        <v>0</v>
      </c>
      <c r="BJ194" s="166">
        <v>0</v>
      </c>
      <c r="BK194" s="166">
        <v>0</v>
      </c>
      <c r="BL194" s="166">
        <v>0</v>
      </c>
      <c r="BM194" s="166">
        <v>0</v>
      </c>
      <c r="BN194" s="166">
        <v>0</v>
      </c>
      <c r="BO194" s="166">
        <v>0</v>
      </c>
      <c r="BP194" s="166">
        <v>0</v>
      </c>
      <c r="BQ194" s="81" t="s">
        <v>1758</v>
      </c>
      <c r="BZ194" s="81" t="s">
        <v>155</v>
      </c>
      <c r="CA194" s="81">
        <v>1</v>
      </c>
      <c r="CC194" s="167">
        <f>N194</f>
        <v>6</v>
      </c>
      <c r="CD194" s="167">
        <v>0</v>
      </c>
      <c r="CE194" s="167">
        <v>0</v>
      </c>
      <c r="CF194" s="167">
        <v>0</v>
      </c>
      <c r="CG194" s="167">
        <v>0</v>
      </c>
      <c r="CH194" s="167">
        <v>0</v>
      </c>
      <c r="CI194" s="167">
        <v>0</v>
      </c>
      <c r="CJ194" s="167">
        <v>0</v>
      </c>
      <c r="CK194" s="167">
        <v>0</v>
      </c>
      <c r="CL194" s="167">
        <v>0</v>
      </c>
      <c r="CM194" s="167">
        <v>0</v>
      </c>
      <c r="CN194" s="167">
        <v>0</v>
      </c>
      <c r="CO194" s="167">
        <v>0</v>
      </c>
      <c r="CP194" s="167">
        <v>0</v>
      </c>
      <c r="CQ194" s="167">
        <v>0</v>
      </c>
      <c r="CR194" s="167">
        <v>0</v>
      </c>
      <c r="CS194" s="167">
        <v>0</v>
      </c>
      <c r="CT194" s="167">
        <v>0</v>
      </c>
      <c r="CU194" s="167">
        <v>0</v>
      </c>
      <c r="CV194" s="167">
        <v>0</v>
      </c>
      <c r="CW194" s="167">
        <v>0</v>
      </c>
      <c r="CX194" s="167">
        <f>SUM(CD194:CH194)</f>
        <v>0</v>
      </c>
      <c r="CY194" s="167">
        <f>SUM(CD194:CM194)</f>
        <v>0</v>
      </c>
    </row>
    <row r="195" spans="1:103" ht="12.75" customHeight="1" x14ac:dyDescent="0.2">
      <c r="A195" s="81">
        <v>6329</v>
      </c>
      <c r="B195" s="165" t="s">
        <v>1924</v>
      </c>
      <c r="C195" s="165" t="s">
        <v>1037</v>
      </c>
      <c r="E195" s="165" t="s">
        <v>3245</v>
      </c>
      <c r="G195" s="81">
        <v>528483</v>
      </c>
      <c r="H195" s="81">
        <v>171459</v>
      </c>
      <c r="I195" s="165" t="s">
        <v>253</v>
      </c>
      <c r="J195" s="349">
        <v>42825</v>
      </c>
      <c r="K195" s="349">
        <v>43111</v>
      </c>
      <c r="L195" s="166">
        <v>1</v>
      </c>
      <c r="M195" s="166">
        <v>3</v>
      </c>
      <c r="N195" s="166">
        <v>2</v>
      </c>
      <c r="O195" s="166">
        <v>3</v>
      </c>
      <c r="P195" s="166">
        <v>2</v>
      </c>
      <c r="R195" s="165" t="s">
        <v>1038</v>
      </c>
      <c r="S195" s="81" t="s">
        <v>113</v>
      </c>
      <c r="T195" s="349">
        <v>42583</v>
      </c>
      <c r="U195" s="349">
        <v>42639</v>
      </c>
      <c r="W195" s="81" t="s">
        <v>114</v>
      </c>
      <c r="Y195" s="81" t="s">
        <v>115</v>
      </c>
      <c r="Z195" s="81" t="s">
        <v>119</v>
      </c>
      <c r="AA195" s="81" t="s">
        <v>117</v>
      </c>
      <c r="AB195" s="81" t="s">
        <v>120</v>
      </c>
      <c r="AC195" s="166">
        <v>1.4000000432133701E-2</v>
      </c>
      <c r="AD195" s="349">
        <v>42825</v>
      </c>
      <c r="AF195" s="349">
        <v>43111</v>
      </c>
      <c r="AG195" s="81" t="s">
        <v>238</v>
      </c>
      <c r="AH195" s="81" t="s">
        <v>118</v>
      </c>
      <c r="AK195" s="166">
        <v>0</v>
      </c>
      <c r="AM195" s="166">
        <v>0</v>
      </c>
      <c r="AO195" s="166">
        <v>0</v>
      </c>
      <c r="AP195" s="166">
        <v>1</v>
      </c>
      <c r="AQ195" s="166">
        <v>1</v>
      </c>
      <c r="AR195" s="166">
        <v>1</v>
      </c>
      <c r="AS195" s="166">
        <v>0</v>
      </c>
      <c r="AT195" s="166">
        <v>-1</v>
      </c>
      <c r="AU195" s="166">
        <v>0</v>
      </c>
      <c r="AV195" s="166">
        <v>0</v>
      </c>
      <c r="AW195" s="166">
        <v>1</v>
      </c>
      <c r="AX195" s="166">
        <v>1</v>
      </c>
      <c r="AY195" s="166">
        <v>1</v>
      </c>
      <c r="AZ195" s="166">
        <v>0</v>
      </c>
      <c r="BA195" s="166">
        <v>0</v>
      </c>
      <c r="BB195" s="166">
        <v>0</v>
      </c>
      <c r="BC195" s="166">
        <v>0</v>
      </c>
      <c r="BD195" s="166">
        <v>0</v>
      </c>
      <c r="BE195" s="166">
        <v>0</v>
      </c>
      <c r="BF195" s="166">
        <v>0</v>
      </c>
      <c r="BG195" s="166">
        <v>0</v>
      </c>
      <c r="BH195" s="166">
        <v>-1</v>
      </c>
      <c r="BI195" s="166">
        <v>0</v>
      </c>
      <c r="BJ195" s="166">
        <v>0</v>
      </c>
      <c r="BK195" s="166">
        <v>0</v>
      </c>
      <c r="BL195" s="166">
        <v>0</v>
      </c>
      <c r="BM195" s="166">
        <v>0</v>
      </c>
      <c r="BN195" s="166">
        <v>0</v>
      </c>
      <c r="BO195" s="166">
        <v>0</v>
      </c>
      <c r="BP195" s="166">
        <v>0</v>
      </c>
      <c r="BQ195" s="81" t="s">
        <v>1757</v>
      </c>
      <c r="BZ195" s="81" t="s">
        <v>155</v>
      </c>
      <c r="CA195" s="81">
        <v>7</v>
      </c>
      <c r="CC195" s="167">
        <f>N195</f>
        <v>2</v>
      </c>
      <c r="CD195" s="167">
        <v>0</v>
      </c>
      <c r="CE195" s="167">
        <v>0</v>
      </c>
      <c r="CF195" s="167">
        <v>0</v>
      </c>
      <c r="CG195" s="167">
        <v>0</v>
      </c>
      <c r="CH195" s="167">
        <v>0</v>
      </c>
      <c r="CI195" s="167">
        <v>0</v>
      </c>
      <c r="CJ195" s="167">
        <v>0</v>
      </c>
      <c r="CK195" s="167">
        <v>0</v>
      </c>
      <c r="CL195" s="167">
        <v>0</v>
      </c>
      <c r="CM195" s="167">
        <v>0</v>
      </c>
      <c r="CN195" s="167">
        <v>0</v>
      </c>
      <c r="CO195" s="167">
        <v>0</v>
      </c>
      <c r="CP195" s="167">
        <v>0</v>
      </c>
      <c r="CQ195" s="167">
        <v>0</v>
      </c>
      <c r="CR195" s="167">
        <v>0</v>
      </c>
      <c r="CS195" s="167">
        <v>0</v>
      </c>
      <c r="CT195" s="167">
        <v>0</v>
      </c>
      <c r="CU195" s="167">
        <v>0</v>
      </c>
      <c r="CV195" s="167">
        <v>0</v>
      </c>
      <c r="CW195" s="167">
        <v>0</v>
      </c>
      <c r="CX195" s="167">
        <f>SUM(CD195:CH195)</f>
        <v>0</v>
      </c>
      <c r="CY195" s="167">
        <f>SUM(CD195:CM195)</f>
        <v>0</v>
      </c>
    </row>
    <row r="196" spans="1:103" ht="12.75" customHeight="1" x14ac:dyDescent="0.2">
      <c r="A196" s="81">
        <v>6361</v>
      </c>
      <c r="B196" s="165" t="s">
        <v>1924</v>
      </c>
      <c r="C196" s="165" t="s">
        <v>1053</v>
      </c>
      <c r="E196" s="165" t="s">
        <v>3246</v>
      </c>
      <c r="G196" s="81">
        <v>527581</v>
      </c>
      <c r="H196" s="81">
        <v>175458</v>
      </c>
      <c r="I196" s="165" t="s">
        <v>256</v>
      </c>
      <c r="J196" s="349">
        <v>42825</v>
      </c>
      <c r="K196" s="349">
        <v>43034</v>
      </c>
      <c r="L196" s="166">
        <v>1</v>
      </c>
      <c r="M196" s="166">
        <v>4</v>
      </c>
      <c r="N196" s="166">
        <v>3</v>
      </c>
      <c r="O196" s="166">
        <v>4</v>
      </c>
      <c r="P196" s="166">
        <v>3</v>
      </c>
      <c r="R196" s="165" t="s">
        <v>1054</v>
      </c>
      <c r="S196" s="81" t="s">
        <v>113</v>
      </c>
      <c r="T196" s="349">
        <v>42606</v>
      </c>
      <c r="U196" s="349">
        <v>42663</v>
      </c>
      <c r="W196" s="81" t="s">
        <v>114</v>
      </c>
      <c r="Y196" s="81" t="s">
        <v>115</v>
      </c>
      <c r="Z196" s="81" t="s">
        <v>398</v>
      </c>
      <c r="AA196" s="81" t="s">
        <v>117</v>
      </c>
      <c r="AB196" s="81" t="s">
        <v>120</v>
      </c>
      <c r="AC196" s="166">
        <v>1.4000000432133701E-2</v>
      </c>
      <c r="AD196" s="349">
        <v>42825</v>
      </c>
      <c r="AF196" s="349">
        <v>43034</v>
      </c>
      <c r="AG196" s="81" t="s">
        <v>238</v>
      </c>
      <c r="AH196" s="81" t="s">
        <v>118</v>
      </c>
      <c r="AK196" s="166">
        <v>0</v>
      </c>
      <c r="AM196" s="166">
        <v>0</v>
      </c>
      <c r="AO196" s="166">
        <v>0</v>
      </c>
      <c r="AP196" s="166">
        <v>1</v>
      </c>
      <c r="AQ196" s="166">
        <v>2</v>
      </c>
      <c r="AR196" s="166">
        <v>1</v>
      </c>
      <c r="AS196" s="166">
        <v>-1</v>
      </c>
      <c r="AT196" s="166">
        <v>0</v>
      </c>
      <c r="AU196" s="166">
        <v>0</v>
      </c>
      <c r="AV196" s="166">
        <v>0</v>
      </c>
      <c r="AW196" s="166">
        <v>1</v>
      </c>
      <c r="AX196" s="166">
        <v>2</v>
      </c>
      <c r="AY196" s="166">
        <v>1</v>
      </c>
      <c r="AZ196" s="166">
        <v>0</v>
      </c>
      <c r="BA196" s="166">
        <v>0</v>
      </c>
      <c r="BB196" s="166">
        <v>0</v>
      </c>
      <c r="BC196" s="166">
        <v>0</v>
      </c>
      <c r="BD196" s="166">
        <v>0</v>
      </c>
      <c r="BE196" s="166">
        <v>0</v>
      </c>
      <c r="BF196" s="166">
        <v>0</v>
      </c>
      <c r="BG196" s="166">
        <v>-1</v>
      </c>
      <c r="BH196" s="166">
        <v>0</v>
      </c>
      <c r="BI196" s="166">
        <v>0</v>
      </c>
      <c r="BJ196" s="166">
        <v>0</v>
      </c>
      <c r="BK196" s="166">
        <v>0</v>
      </c>
      <c r="BL196" s="166">
        <v>0</v>
      </c>
      <c r="BM196" s="166">
        <v>0</v>
      </c>
      <c r="BN196" s="166">
        <v>0</v>
      </c>
      <c r="BO196" s="166">
        <v>0</v>
      </c>
      <c r="BP196" s="166">
        <v>0</v>
      </c>
      <c r="BQ196" s="81" t="s">
        <v>1757</v>
      </c>
      <c r="BZ196" s="81" t="s">
        <v>155</v>
      </c>
      <c r="CA196" s="81">
        <v>7</v>
      </c>
      <c r="CC196" s="167">
        <f>N196</f>
        <v>3</v>
      </c>
      <c r="CD196" s="167">
        <v>0</v>
      </c>
      <c r="CE196" s="167">
        <v>0</v>
      </c>
      <c r="CF196" s="167">
        <v>0</v>
      </c>
      <c r="CG196" s="167">
        <v>0</v>
      </c>
      <c r="CH196" s="167">
        <v>0</v>
      </c>
      <c r="CI196" s="167">
        <v>0</v>
      </c>
      <c r="CJ196" s="167">
        <v>0</v>
      </c>
      <c r="CK196" s="167">
        <v>0</v>
      </c>
      <c r="CL196" s="167">
        <v>0</v>
      </c>
      <c r="CM196" s="167">
        <v>0</v>
      </c>
      <c r="CN196" s="167">
        <v>0</v>
      </c>
      <c r="CO196" s="167">
        <v>0</v>
      </c>
      <c r="CP196" s="167">
        <v>0</v>
      </c>
      <c r="CQ196" s="167">
        <v>0</v>
      </c>
      <c r="CR196" s="167">
        <v>0</v>
      </c>
      <c r="CS196" s="167">
        <v>0</v>
      </c>
      <c r="CT196" s="167">
        <v>0</v>
      </c>
      <c r="CU196" s="167">
        <v>0</v>
      </c>
      <c r="CV196" s="167">
        <v>0</v>
      </c>
      <c r="CW196" s="167">
        <v>0</v>
      </c>
      <c r="CX196" s="167">
        <f>SUM(CD196:CH196)</f>
        <v>0</v>
      </c>
      <c r="CY196" s="167">
        <f>SUM(CD196:CM196)</f>
        <v>0</v>
      </c>
    </row>
    <row r="197" spans="1:103" ht="12.75" customHeight="1" x14ac:dyDescent="0.2">
      <c r="A197" s="81">
        <v>6368</v>
      </c>
      <c r="B197" s="165" t="s">
        <v>1924</v>
      </c>
      <c r="C197" s="165" t="s">
        <v>1057</v>
      </c>
      <c r="E197" s="165" t="s">
        <v>3247</v>
      </c>
      <c r="G197" s="81">
        <v>528557</v>
      </c>
      <c r="H197" s="81">
        <v>172354</v>
      </c>
      <c r="I197" s="165" t="s">
        <v>248</v>
      </c>
      <c r="J197" s="349">
        <v>42773</v>
      </c>
      <c r="K197" s="349">
        <v>43190</v>
      </c>
      <c r="L197" s="166">
        <v>3</v>
      </c>
      <c r="M197" s="166">
        <v>4</v>
      </c>
      <c r="N197" s="166">
        <v>1</v>
      </c>
      <c r="O197" s="166">
        <v>4</v>
      </c>
      <c r="P197" s="166">
        <v>1</v>
      </c>
      <c r="R197" s="165" t="s">
        <v>1058</v>
      </c>
      <c r="S197" s="81" t="s">
        <v>113</v>
      </c>
      <c r="T197" s="349">
        <v>42626</v>
      </c>
      <c r="U197" s="349">
        <v>42682</v>
      </c>
      <c r="W197" s="81" t="s">
        <v>114</v>
      </c>
      <c r="Y197" s="81" t="s">
        <v>115</v>
      </c>
      <c r="Z197" s="81" t="s">
        <v>398</v>
      </c>
      <c r="AA197" s="81" t="s">
        <v>117</v>
      </c>
      <c r="AB197" s="81" t="s">
        <v>220</v>
      </c>
      <c r="AC197" s="166">
        <v>3.4000001847744002E-2</v>
      </c>
      <c r="AD197" s="349">
        <v>42773</v>
      </c>
      <c r="AF197" s="349">
        <v>43190</v>
      </c>
      <c r="AG197" s="81" t="s">
        <v>238</v>
      </c>
      <c r="AH197" s="81" t="s">
        <v>118</v>
      </c>
      <c r="AK197" s="166">
        <v>0</v>
      </c>
      <c r="AM197" s="166">
        <v>0</v>
      </c>
      <c r="AO197" s="166">
        <v>0</v>
      </c>
      <c r="AP197" s="166">
        <v>2</v>
      </c>
      <c r="AQ197" s="166">
        <v>-2</v>
      </c>
      <c r="AR197" s="166">
        <v>1</v>
      </c>
      <c r="AS197" s="166">
        <v>0</v>
      </c>
      <c r="AT197" s="166">
        <v>0</v>
      </c>
      <c r="AU197" s="166">
        <v>0</v>
      </c>
      <c r="AV197" s="166">
        <v>0</v>
      </c>
      <c r="AW197" s="166">
        <v>2</v>
      </c>
      <c r="AX197" s="166">
        <v>-2</v>
      </c>
      <c r="AY197" s="166">
        <v>1</v>
      </c>
      <c r="AZ197" s="166">
        <v>0</v>
      </c>
      <c r="BA197" s="166">
        <v>0</v>
      </c>
      <c r="BB197" s="166">
        <v>0</v>
      </c>
      <c r="BC197" s="166">
        <v>0</v>
      </c>
      <c r="BD197" s="166">
        <v>0</v>
      </c>
      <c r="BE197" s="166">
        <v>0</v>
      </c>
      <c r="BF197" s="166">
        <v>0</v>
      </c>
      <c r="BG197" s="166">
        <v>0</v>
      </c>
      <c r="BH197" s="166">
        <v>0</v>
      </c>
      <c r="BI197" s="166">
        <v>0</v>
      </c>
      <c r="BJ197" s="166">
        <v>0</v>
      </c>
      <c r="BK197" s="166">
        <v>0</v>
      </c>
      <c r="BL197" s="166">
        <v>0</v>
      </c>
      <c r="BM197" s="166">
        <v>0</v>
      </c>
      <c r="BN197" s="166">
        <v>0</v>
      </c>
      <c r="BO197" s="166">
        <v>0</v>
      </c>
      <c r="BP197" s="166">
        <v>0</v>
      </c>
      <c r="BQ197" s="81" t="s">
        <v>1757</v>
      </c>
      <c r="BZ197" s="81" t="s">
        <v>155</v>
      </c>
      <c r="CA197" s="81">
        <v>7</v>
      </c>
      <c r="CC197" s="167">
        <f>N197</f>
        <v>1</v>
      </c>
      <c r="CD197" s="167">
        <v>0</v>
      </c>
      <c r="CE197" s="167">
        <v>0</v>
      </c>
      <c r="CF197" s="167">
        <v>0</v>
      </c>
      <c r="CG197" s="167">
        <v>0</v>
      </c>
      <c r="CH197" s="167">
        <v>0</v>
      </c>
      <c r="CI197" s="167">
        <v>0</v>
      </c>
      <c r="CJ197" s="167">
        <v>0</v>
      </c>
      <c r="CK197" s="167">
        <v>0</v>
      </c>
      <c r="CL197" s="167">
        <v>0</v>
      </c>
      <c r="CM197" s="167">
        <v>0</v>
      </c>
      <c r="CN197" s="167">
        <v>0</v>
      </c>
      <c r="CO197" s="167">
        <v>0</v>
      </c>
      <c r="CP197" s="167">
        <v>0</v>
      </c>
      <c r="CQ197" s="167">
        <v>0</v>
      </c>
      <c r="CR197" s="167">
        <v>0</v>
      </c>
      <c r="CS197" s="167">
        <v>0</v>
      </c>
      <c r="CT197" s="167">
        <v>0</v>
      </c>
      <c r="CU197" s="167">
        <v>0</v>
      </c>
      <c r="CV197" s="167">
        <v>0</v>
      </c>
      <c r="CW197" s="167">
        <v>0</v>
      </c>
      <c r="CX197" s="167">
        <f>SUM(CD197:CH197)</f>
        <v>0</v>
      </c>
      <c r="CY197" s="167">
        <f>SUM(CD197:CM197)</f>
        <v>0</v>
      </c>
    </row>
    <row r="198" spans="1:103" ht="12.75" customHeight="1" x14ac:dyDescent="0.2">
      <c r="A198" s="81">
        <v>6375</v>
      </c>
      <c r="B198" s="165" t="s">
        <v>1924</v>
      </c>
      <c r="C198" s="165" t="s">
        <v>1457</v>
      </c>
      <c r="E198" s="165" t="s">
        <v>3248</v>
      </c>
      <c r="G198" s="81">
        <v>523565</v>
      </c>
      <c r="H198" s="81">
        <v>175816</v>
      </c>
      <c r="I198" s="165" t="s">
        <v>259</v>
      </c>
      <c r="J198" s="349">
        <v>42983</v>
      </c>
      <c r="K198" s="349">
        <v>43190</v>
      </c>
      <c r="L198" s="166">
        <v>0</v>
      </c>
      <c r="M198" s="166">
        <v>1</v>
      </c>
      <c r="N198" s="166">
        <v>1</v>
      </c>
      <c r="O198" s="166">
        <v>1</v>
      </c>
      <c r="P198" s="166">
        <v>1</v>
      </c>
      <c r="R198" s="165" t="s">
        <v>1458</v>
      </c>
      <c r="S198" s="81" t="s">
        <v>270</v>
      </c>
      <c r="T198" s="349">
        <v>42669</v>
      </c>
      <c r="U198" s="349">
        <v>42725</v>
      </c>
      <c r="W198" s="81" t="s">
        <v>114</v>
      </c>
      <c r="Y198" s="81" t="s">
        <v>115</v>
      </c>
      <c r="Z198" s="81" t="s">
        <v>310</v>
      </c>
      <c r="AA198" s="81" t="s">
        <v>117</v>
      </c>
      <c r="AB198" s="81" t="s">
        <v>102</v>
      </c>
      <c r="AC198" s="166">
        <v>7.0000002160668399E-3</v>
      </c>
      <c r="AD198" s="349">
        <v>42983</v>
      </c>
      <c r="AE198" s="81" t="s">
        <v>155</v>
      </c>
      <c r="AF198" s="349">
        <v>43190</v>
      </c>
      <c r="AG198" s="81" t="s">
        <v>238</v>
      </c>
      <c r="AH198" s="81" t="s">
        <v>118</v>
      </c>
      <c r="AK198" s="166">
        <v>0</v>
      </c>
      <c r="AM198" s="166">
        <v>0</v>
      </c>
      <c r="AO198" s="166">
        <v>0</v>
      </c>
      <c r="AP198" s="166">
        <v>0</v>
      </c>
      <c r="AQ198" s="166">
        <v>1</v>
      </c>
      <c r="AR198" s="166">
        <v>0</v>
      </c>
      <c r="AS198" s="166">
        <v>0</v>
      </c>
      <c r="AT198" s="166">
        <v>0</v>
      </c>
      <c r="AU198" s="166">
        <v>0</v>
      </c>
      <c r="AV198" s="166">
        <v>0</v>
      </c>
      <c r="AW198" s="166">
        <v>0</v>
      </c>
      <c r="AX198" s="166">
        <v>1</v>
      </c>
      <c r="AY198" s="166">
        <v>0</v>
      </c>
      <c r="AZ198" s="166">
        <v>0</v>
      </c>
      <c r="BA198" s="166">
        <v>0</v>
      </c>
      <c r="BB198" s="166">
        <v>0</v>
      </c>
      <c r="BC198" s="166">
        <v>0</v>
      </c>
      <c r="BD198" s="166">
        <v>0</v>
      </c>
      <c r="BE198" s="166">
        <v>0</v>
      </c>
      <c r="BF198" s="166">
        <v>0</v>
      </c>
      <c r="BG198" s="166">
        <v>0</v>
      </c>
      <c r="BH198" s="166">
        <v>0</v>
      </c>
      <c r="BI198" s="166">
        <v>0</v>
      </c>
      <c r="BJ198" s="166">
        <v>0</v>
      </c>
      <c r="BK198" s="166">
        <v>0</v>
      </c>
      <c r="BL198" s="166">
        <v>0</v>
      </c>
      <c r="BM198" s="166">
        <v>0</v>
      </c>
      <c r="BN198" s="166">
        <v>0</v>
      </c>
      <c r="BO198" s="166">
        <v>0</v>
      </c>
      <c r="BP198" s="166">
        <v>0</v>
      </c>
      <c r="BQ198" s="81" t="s">
        <v>1758</v>
      </c>
      <c r="BZ198" s="81" t="s">
        <v>155</v>
      </c>
      <c r="CA198" s="81">
        <v>7</v>
      </c>
      <c r="CC198" s="167">
        <f>N198</f>
        <v>1</v>
      </c>
      <c r="CD198" s="167">
        <v>0</v>
      </c>
      <c r="CE198" s="167">
        <v>0</v>
      </c>
      <c r="CF198" s="167">
        <v>0</v>
      </c>
      <c r="CG198" s="167">
        <v>0</v>
      </c>
      <c r="CH198" s="167">
        <v>0</v>
      </c>
      <c r="CI198" s="167">
        <v>0</v>
      </c>
      <c r="CJ198" s="167">
        <v>0</v>
      </c>
      <c r="CK198" s="167">
        <v>0</v>
      </c>
      <c r="CL198" s="167">
        <v>0</v>
      </c>
      <c r="CM198" s="167">
        <v>0</v>
      </c>
      <c r="CN198" s="167">
        <v>0</v>
      </c>
      <c r="CO198" s="167">
        <v>0</v>
      </c>
      <c r="CP198" s="167">
        <v>0</v>
      </c>
      <c r="CQ198" s="167">
        <v>0</v>
      </c>
      <c r="CR198" s="167">
        <v>0</v>
      </c>
      <c r="CS198" s="167">
        <v>0</v>
      </c>
      <c r="CT198" s="167">
        <v>0</v>
      </c>
      <c r="CU198" s="167">
        <v>0</v>
      </c>
      <c r="CV198" s="167">
        <v>0</v>
      </c>
      <c r="CW198" s="167">
        <v>0</v>
      </c>
      <c r="CX198" s="167">
        <f>SUM(CD198:CH198)</f>
        <v>0</v>
      </c>
      <c r="CY198" s="167">
        <f>SUM(CD198:CM198)</f>
        <v>0</v>
      </c>
    </row>
    <row r="199" spans="1:103" ht="12.75" customHeight="1" x14ac:dyDescent="0.2">
      <c r="A199" s="81">
        <v>6377</v>
      </c>
      <c r="B199" s="165" t="s">
        <v>1924</v>
      </c>
      <c r="C199" s="165" t="s">
        <v>982</v>
      </c>
      <c r="E199" s="165" t="s">
        <v>3249</v>
      </c>
      <c r="G199" s="81">
        <v>526516</v>
      </c>
      <c r="H199" s="81">
        <v>174135</v>
      </c>
      <c r="I199" s="165" t="s">
        <v>260</v>
      </c>
      <c r="J199" s="349">
        <v>42773</v>
      </c>
      <c r="K199" s="349">
        <v>43077</v>
      </c>
      <c r="L199" s="166">
        <v>1</v>
      </c>
      <c r="M199" s="166">
        <v>2</v>
      </c>
      <c r="N199" s="166">
        <v>1</v>
      </c>
      <c r="O199" s="166">
        <v>2</v>
      </c>
      <c r="P199" s="166">
        <v>1</v>
      </c>
      <c r="R199" s="165" t="s">
        <v>983</v>
      </c>
      <c r="S199" s="81" t="s">
        <v>113</v>
      </c>
      <c r="T199" s="349">
        <v>42458</v>
      </c>
      <c r="U199" s="349">
        <v>42573</v>
      </c>
      <c r="W199" s="81" t="s">
        <v>114</v>
      </c>
      <c r="Y199" s="81" t="s">
        <v>115</v>
      </c>
      <c r="Z199" s="81" t="s">
        <v>119</v>
      </c>
      <c r="AA199" s="81" t="s">
        <v>117</v>
      </c>
      <c r="AB199" s="81" t="s">
        <v>120</v>
      </c>
      <c r="AC199" s="166">
        <v>4.1000001132488299E-2</v>
      </c>
      <c r="AD199" s="349">
        <v>42773</v>
      </c>
      <c r="AF199" s="349">
        <v>43077</v>
      </c>
      <c r="AG199" s="81" t="s">
        <v>238</v>
      </c>
      <c r="AH199" s="81" t="s">
        <v>118</v>
      </c>
      <c r="AK199" s="166">
        <v>0</v>
      </c>
      <c r="AM199" s="166">
        <v>0</v>
      </c>
      <c r="AO199" s="166">
        <v>0</v>
      </c>
      <c r="AP199" s="166">
        <v>0</v>
      </c>
      <c r="AQ199" s="166">
        <v>0</v>
      </c>
      <c r="AR199" s="166">
        <v>2</v>
      </c>
      <c r="AS199" s="166">
        <v>0</v>
      </c>
      <c r="AT199" s="166">
        <v>-1</v>
      </c>
      <c r="AU199" s="166">
        <v>0</v>
      </c>
      <c r="AV199" s="166">
        <v>0</v>
      </c>
      <c r="AW199" s="166">
        <v>0</v>
      </c>
      <c r="AX199" s="166">
        <v>0</v>
      </c>
      <c r="AY199" s="166">
        <v>2</v>
      </c>
      <c r="AZ199" s="166">
        <v>0</v>
      </c>
      <c r="BA199" s="166">
        <v>0</v>
      </c>
      <c r="BB199" s="166">
        <v>0</v>
      </c>
      <c r="BC199" s="166">
        <v>0</v>
      </c>
      <c r="BD199" s="166">
        <v>0</v>
      </c>
      <c r="BE199" s="166">
        <v>0</v>
      </c>
      <c r="BF199" s="166">
        <v>0</v>
      </c>
      <c r="BG199" s="166">
        <v>0</v>
      </c>
      <c r="BH199" s="166">
        <v>-1</v>
      </c>
      <c r="BI199" s="166">
        <v>0</v>
      </c>
      <c r="BJ199" s="166">
        <v>0</v>
      </c>
      <c r="BK199" s="166">
        <v>0</v>
      </c>
      <c r="BL199" s="166">
        <v>0</v>
      </c>
      <c r="BM199" s="166">
        <v>0</v>
      </c>
      <c r="BN199" s="166">
        <v>0</v>
      </c>
      <c r="BO199" s="166">
        <v>0</v>
      </c>
      <c r="BP199" s="166">
        <v>0</v>
      </c>
      <c r="BQ199" s="81" t="s">
        <v>1758</v>
      </c>
      <c r="BZ199" s="81" t="s">
        <v>155</v>
      </c>
      <c r="CA199" s="81">
        <v>7</v>
      </c>
      <c r="CC199" s="167">
        <f>N199</f>
        <v>1</v>
      </c>
      <c r="CD199" s="167">
        <v>0</v>
      </c>
      <c r="CE199" s="167">
        <v>0</v>
      </c>
      <c r="CF199" s="167">
        <v>0</v>
      </c>
      <c r="CG199" s="167">
        <v>0</v>
      </c>
      <c r="CH199" s="167">
        <v>0</v>
      </c>
      <c r="CI199" s="167">
        <v>0</v>
      </c>
      <c r="CJ199" s="167">
        <v>0</v>
      </c>
      <c r="CK199" s="167">
        <v>0</v>
      </c>
      <c r="CL199" s="167">
        <v>0</v>
      </c>
      <c r="CM199" s="167">
        <v>0</v>
      </c>
      <c r="CN199" s="167">
        <v>0</v>
      </c>
      <c r="CO199" s="167">
        <v>0</v>
      </c>
      <c r="CP199" s="167">
        <v>0</v>
      </c>
      <c r="CQ199" s="167">
        <v>0</v>
      </c>
      <c r="CR199" s="167">
        <v>0</v>
      </c>
      <c r="CS199" s="167">
        <v>0</v>
      </c>
      <c r="CT199" s="167">
        <v>0</v>
      </c>
      <c r="CU199" s="167">
        <v>0</v>
      </c>
      <c r="CV199" s="167">
        <v>0</v>
      </c>
      <c r="CW199" s="167">
        <v>0</v>
      </c>
      <c r="CX199" s="167">
        <f>SUM(CD199:CH199)</f>
        <v>0</v>
      </c>
      <c r="CY199" s="167">
        <f>SUM(CD199:CM199)</f>
        <v>0</v>
      </c>
    </row>
    <row r="200" spans="1:103" ht="12.75" customHeight="1" x14ac:dyDescent="0.2">
      <c r="A200" s="81">
        <v>6378</v>
      </c>
      <c r="B200" s="165" t="s">
        <v>1924</v>
      </c>
      <c r="C200" s="165" t="s">
        <v>1039</v>
      </c>
      <c r="E200" s="165" t="s">
        <v>3250</v>
      </c>
      <c r="G200" s="81">
        <v>528832</v>
      </c>
      <c r="H200" s="81">
        <v>172503</v>
      </c>
      <c r="I200" s="165" t="s">
        <v>248</v>
      </c>
      <c r="J200" s="349">
        <v>42825</v>
      </c>
      <c r="K200" s="349">
        <v>43190</v>
      </c>
      <c r="L200" s="166">
        <v>2</v>
      </c>
      <c r="M200" s="166">
        <v>1</v>
      </c>
      <c r="N200" s="166">
        <v>-1</v>
      </c>
      <c r="O200" s="166">
        <v>1</v>
      </c>
      <c r="P200" s="166">
        <v>-1</v>
      </c>
      <c r="R200" s="165" t="s">
        <v>1040</v>
      </c>
      <c r="S200" s="81" t="s">
        <v>113</v>
      </c>
      <c r="T200" s="349">
        <v>42628</v>
      </c>
      <c r="U200" s="349">
        <v>42684</v>
      </c>
      <c r="W200" s="81" t="s">
        <v>114</v>
      </c>
      <c r="Y200" s="81" t="s">
        <v>115</v>
      </c>
      <c r="Z200" s="81" t="s">
        <v>398</v>
      </c>
      <c r="AA200" s="81" t="s">
        <v>117</v>
      </c>
      <c r="AB200" s="81" t="s">
        <v>336</v>
      </c>
      <c r="AC200" s="166">
        <v>3.70000004768372E-2</v>
      </c>
      <c r="AD200" s="349">
        <v>42825</v>
      </c>
      <c r="AF200" s="349">
        <v>43190</v>
      </c>
      <c r="AG200" s="81" t="s">
        <v>238</v>
      </c>
      <c r="AH200" s="81" t="s">
        <v>118</v>
      </c>
      <c r="AK200" s="166">
        <v>0</v>
      </c>
      <c r="AM200" s="166">
        <v>0</v>
      </c>
      <c r="AO200" s="166">
        <v>0</v>
      </c>
      <c r="AP200" s="166">
        <v>0</v>
      </c>
      <c r="AQ200" s="166">
        <v>-1</v>
      </c>
      <c r="AR200" s="166">
        <v>0</v>
      </c>
      <c r="AS200" s="166">
        <v>-1</v>
      </c>
      <c r="AT200" s="166">
        <v>1</v>
      </c>
      <c r="AU200" s="166">
        <v>0</v>
      </c>
      <c r="AV200" s="166">
        <v>0</v>
      </c>
      <c r="AW200" s="166">
        <v>0</v>
      </c>
      <c r="AX200" s="166">
        <v>-1</v>
      </c>
      <c r="AY200" s="166">
        <v>0</v>
      </c>
      <c r="AZ200" s="166">
        <v>-1</v>
      </c>
      <c r="BA200" s="166">
        <v>0</v>
      </c>
      <c r="BB200" s="166">
        <v>0</v>
      </c>
      <c r="BC200" s="166">
        <v>0</v>
      </c>
      <c r="BD200" s="166">
        <v>0</v>
      </c>
      <c r="BE200" s="166">
        <v>0</v>
      </c>
      <c r="BF200" s="166">
        <v>0</v>
      </c>
      <c r="BG200" s="166">
        <v>0</v>
      </c>
      <c r="BH200" s="166">
        <v>1</v>
      </c>
      <c r="BI200" s="166">
        <v>0</v>
      </c>
      <c r="BJ200" s="166">
        <v>0</v>
      </c>
      <c r="BK200" s="166">
        <v>0</v>
      </c>
      <c r="BL200" s="166">
        <v>0</v>
      </c>
      <c r="BM200" s="166">
        <v>0</v>
      </c>
      <c r="BN200" s="166">
        <v>0</v>
      </c>
      <c r="BO200" s="166">
        <v>0</v>
      </c>
      <c r="BP200" s="166">
        <v>0</v>
      </c>
      <c r="BQ200" s="81" t="s">
        <v>1757</v>
      </c>
      <c r="BZ200" s="81" t="s">
        <v>155</v>
      </c>
      <c r="CA200" s="81">
        <v>7</v>
      </c>
      <c r="CC200" s="167">
        <f>N200</f>
        <v>-1</v>
      </c>
      <c r="CD200" s="167">
        <v>0</v>
      </c>
      <c r="CE200" s="167">
        <v>0</v>
      </c>
      <c r="CF200" s="167">
        <v>0</v>
      </c>
      <c r="CG200" s="167">
        <v>0</v>
      </c>
      <c r="CH200" s="167">
        <v>0</v>
      </c>
      <c r="CI200" s="167">
        <v>0</v>
      </c>
      <c r="CJ200" s="167">
        <v>0</v>
      </c>
      <c r="CK200" s="167">
        <v>0</v>
      </c>
      <c r="CL200" s="167">
        <v>0</v>
      </c>
      <c r="CM200" s="167">
        <v>0</v>
      </c>
      <c r="CN200" s="167">
        <v>0</v>
      </c>
      <c r="CO200" s="167">
        <v>0</v>
      </c>
      <c r="CP200" s="167">
        <v>0</v>
      </c>
      <c r="CQ200" s="167">
        <v>0</v>
      </c>
      <c r="CR200" s="167">
        <v>0</v>
      </c>
      <c r="CS200" s="167">
        <v>0</v>
      </c>
      <c r="CT200" s="167">
        <v>0</v>
      </c>
      <c r="CU200" s="167">
        <v>0</v>
      </c>
      <c r="CV200" s="167">
        <v>0</v>
      </c>
      <c r="CW200" s="167">
        <v>0</v>
      </c>
      <c r="CX200" s="167">
        <f>SUM(CD200:CH200)</f>
        <v>0</v>
      </c>
      <c r="CY200" s="167">
        <f>SUM(CD200:CM200)</f>
        <v>0</v>
      </c>
    </row>
    <row r="201" spans="1:103" ht="12.75" customHeight="1" x14ac:dyDescent="0.2">
      <c r="A201" s="81">
        <v>6380</v>
      </c>
      <c r="B201" s="165" t="s">
        <v>1924</v>
      </c>
      <c r="C201" s="165" t="s">
        <v>1633</v>
      </c>
      <c r="E201" s="165" t="s">
        <v>3251</v>
      </c>
      <c r="G201" s="81">
        <v>528507</v>
      </c>
      <c r="H201" s="81">
        <v>175700</v>
      </c>
      <c r="I201" s="165" t="s">
        <v>256</v>
      </c>
      <c r="J201" s="349">
        <v>42866</v>
      </c>
      <c r="K201" s="349">
        <v>43133</v>
      </c>
      <c r="L201" s="166">
        <v>1</v>
      </c>
      <c r="M201" s="166">
        <v>2</v>
      </c>
      <c r="N201" s="166">
        <v>1</v>
      </c>
      <c r="O201" s="166">
        <v>2</v>
      </c>
      <c r="P201" s="166">
        <v>1</v>
      </c>
      <c r="R201" s="165" t="s">
        <v>1634</v>
      </c>
      <c r="S201" s="81" t="s">
        <v>113</v>
      </c>
      <c r="T201" s="349">
        <v>42776</v>
      </c>
      <c r="U201" s="349">
        <v>42832</v>
      </c>
      <c r="V201" s="81" t="s">
        <v>155</v>
      </c>
      <c r="W201" s="81" t="s">
        <v>114</v>
      </c>
      <c r="Y201" s="81" t="s">
        <v>115</v>
      </c>
      <c r="Z201" s="81" t="s">
        <v>398</v>
      </c>
      <c r="AA201" s="81" t="s">
        <v>117</v>
      </c>
      <c r="AB201" s="81" t="s">
        <v>120</v>
      </c>
      <c r="AC201" s="166">
        <v>1.09999999403954E-2</v>
      </c>
      <c r="AD201" s="349">
        <v>42866</v>
      </c>
      <c r="AE201" s="81" t="s">
        <v>155</v>
      </c>
      <c r="AF201" s="349">
        <v>43133</v>
      </c>
      <c r="AG201" s="81" t="s">
        <v>238</v>
      </c>
      <c r="AH201" s="81" t="s">
        <v>118</v>
      </c>
      <c r="AK201" s="166">
        <v>0</v>
      </c>
      <c r="AM201" s="166">
        <v>0</v>
      </c>
      <c r="AO201" s="166">
        <v>0</v>
      </c>
      <c r="AP201" s="166">
        <v>0</v>
      </c>
      <c r="AQ201" s="166">
        <v>1</v>
      </c>
      <c r="AR201" s="166">
        <v>1</v>
      </c>
      <c r="AS201" s="166">
        <v>-1</v>
      </c>
      <c r="AT201" s="166">
        <v>0</v>
      </c>
      <c r="AU201" s="166">
        <v>0</v>
      </c>
      <c r="AV201" s="166">
        <v>0</v>
      </c>
      <c r="AW201" s="166">
        <v>0</v>
      </c>
      <c r="AX201" s="166">
        <v>1</v>
      </c>
      <c r="AY201" s="166">
        <v>1</v>
      </c>
      <c r="AZ201" s="166">
        <v>0</v>
      </c>
      <c r="BA201" s="166">
        <v>0</v>
      </c>
      <c r="BB201" s="166">
        <v>0</v>
      </c>
      <c r="BC201" s="166">
        <v>0</v>
      </c>
      <c r="BD201" s="166">
        <v>0</v>
      </c>
      <c r="BE201" s="166">
        <v>0</v>
      </c>
      <c r="BF201" s="166">
        <v>0</v>
      </c>
      <c r="BG201" s="166">
        <v>-1</v>
      </c>
      <c r="BH201" s="166">
        <v>0</v>
      </c>
      <c r="BI201" s="166">
        <v>0</v>
      </c>
      <c r="BJ201" s="166">
        <v>0</v>
      </c>
      <c r="BK201" s="166">
        <v>0</v>
      </c>
      <c r="BL201" s="166">
        <v>0</v>
      </c>
      <c r="BM201" s="166">
        <v>0</v>
      </c>
      <c r="BN201" s="166">
        <v>0</v>
      </c>
      <c r="BO201" s="166">
        <v>0</v>
      </c>
      <c r="BP201" s="166">
        <v>0</v>
      </c>
      <c r="BQ201" s="81" t="s">
        <v>1757</v>
      </c>
      <c r="BZ201" s="81" t="s">
        <v>155</v>
      </c>
      <c r="CA201" s="81">
        <v>7</v>
      </c>
      <c r="CC201" s="167">
        <f>N201</f>
        <v>1</v>
      </c>
      <c r="CD201" s="167">
        <v>0</v>
      </c>
      <c r="CE201" s="167">
        <v>0</v>
      </c>
      <c r="CF201" s="167">
        <v>0</v>
      </c>
      <c r="CG201" s="167">
        <v>0</v>
      </c>
      <c r="CH201" s="167">
        <v>0</v>
      </c>
      <c r="CI201" s="167">
        <v>0</v>
      </c>
      <c r="CJ201" s="167">
        <v>0</v>
      </c>
      <c r="CK201" s="167">
        <v>0</v>
      </c>
      <c r="CL201" s="167">
        <v>0</v>
      </c>
      <c r="CM201" s="167">
        <v>0</v>
      </c>
      <c r="CN201" s="167">
        <v>0</v>
      </c>
      <c r="CO201" s="167">
        <v>0</v>
      </c>
      <c r="CP201" s="167">
        <v>0</v>
      </c>
      <c r="CQ201" s="167">
        <v>0</v>
      </c>
      <c r="CR201" s="167">
        <v>0</v>
      </c>
      <c r="CS201" s="167">
        <v>0</v>
      </c>
      <c r="CT201" s="167">
        <v>0</v>
      </c>
      <c r="CU201" s="167">
        <v>0</v>
      </c>
      <c r="CV201" s="167">
        <v>0</v>
      </c>
      <c r="CW201" s="167">
        <v>0</v>
      </c>
      <c r="CX201" s="167">
        <f>SUM(CD201:CH201)</f>
        <v>0</v>
      </c>
      <c r="CY201" s="167">
        <f>SUM(CD201:CM201)</f>
        <v>0</v>
      </c>
    </row>
    <row r="202" spans="1:103" ht="12.75" customHeight="1" x14ac:dyDescent="0.2">
      <c r="A202" s="81">
        <v>6382</v>
      </c>
      <c r="B202" s="165" t="s">
        <v>1924</v>
      </c>
      <c r="C202" s="165" t="s">
        <v>1065</v>
      </c>
      <c r="E202" s="165" t="s">
        <v>3252</v>
      </c>
      <c r="G202" s="81">
        <v>527407</v>
      </c>
      <c r="H202" s="81">
        <v>176330</v>
      </c>
      <c r="I202" s="165" t="s">
        <v>241</v>
      </c>
      <c r="J202" s="349">
        <v>42825</v>
      </c>
      <c r="K202" s="349">
        <v>43068</v>
      </c>
      <c r="L202" s="166">
        <v>1</v>
      </c>
      <c r="M202" s="166">
        <v>2</v>
      </c>
      <c r="N202" s="166">
        <v>1</v>
      </c>
      <c r="O202" s="166">
        <v>3</v>
      </c>
      <c r="P202" s="166">
        <v>2</v>
      </c>
      <c r="R202" s="165" t="s">
        <v>1066</v>
      </c>
      <c r="S202" s="81" t="s">
        <v>113</v>
      </c>
      <c r="T202" s="349">
        <v>42654</v>
      </c>
      <c r="U202" s="349">
        <v>42710</v>
      </c>
      <c r="W202" s="81" t="s">
        <v>114</v>
      </c>
      <c r="Y202" s="81" t="s">
        <v>115</v>
      </c>
      <c r="Z202" s="81" t="s">
        <v>398</v>
      </c>
      <c r="AA202" s="81" t="s">
        <v>117</v>
      </c>
      <c r="AB202" s="81" t="s">
        <v>220</v>
      </c>
      <c r="AC202" s="166">
        <v>4.0000001899898104E-3</v>
      </c>
      <c r="AD202" s="349">
        <v>42825</v>
      </c>
      <c r="AF202" s="349">
        <v>43068</v>
      </c>
      <c r="AG202" s="81" t="s">
        <v>238</v>
      </c>
      <c r="AH202" s="81" t="s">
        <v>118</v>
      </c>
      <c r="AK202" s="166">
        <v>0</v>
      </c>
      <c r="AM202" s="166">
        <v>0</v>
      </c>
      <c r="AO202" s="166">
        <v>0</v>
      </c>
      <c r="AP202" s="166">
        <v>2</v>
      </c>
      <c r="AQ202" s="166">
        <v>0</v>
      </c>
      <c r="AR202" s="166">
        <v>-1</v>
      </c>
      <c r="AS202" s="166">
        <v>0</v>
      </c>
      <c r="AT202" s="166">
        <v>0</v>
      </c>
      <c r="AU202" s="166">
        <v>0</v>
      </c>
      <c r="AV202" s="166">
        <v>0</v>
      </c>
      <c r="AW202" s="166">
        <v>2</v>
      </c>
      <c r="AX202" s="166">
        <v>0</v>
      </c>
      <c r="AY202" s="166">
        <v>-1</v>
      </c>
      <c r="AZ202" s="166">
        <v>0</v>
      </c>
      <c r="BA202" s="166">
        <v>0</v>
      </c>
      <c r="BB202" s="166">
        <v>0</v>
      </c>
      <c r="BC202" s="166">
        <v>0</v>
      </c>
      <c r="BD202" s="166">
        <v>0</v>
      </c>
      <c r="BE202" s="166">
        <v>0</v>
      </c>
      <c r="BF202" s="166">
        <v>0</v>
      </c>
      <c r="BG202" s="166">
        <v>0</v>
      </c>
      <c r="BH202" s="166">
        <v>0</v>
      </c>
      <c r="BI202" s="166">
        <v>0</v>
      </c>
      <c r="BJ202" s="166">
        <v>0</v>
      </c>
      <c r="BK202" s="166">
        <v>0</v>
      </c>
      <c r="BL202" s="166">
        <v>0</v>
      </c>
      <c r="BM202" s="166">
        <v>0</v>
      </c>
      <c r="BN202" s="166">
        <v>0</v>
      </c>
      <c r="BO202" s="166">
        <v>0</v>
      </c>
      <c r="BP202" s="166">
        <v>0</v>
      </c>
      <c r="BQ202" s="81" t="s">
        <v>1757</v>
      </c>
      <c r="BZ202" s="81" t="s">
        <v>155</v>
      </c>
      <c r="CA202" s="81">
        <v>7</v>
      </c>
      <c r="CC202" s="167">
        <f>N202</f>
        <v>1</v>
      </c>
      <c r="CD202" s="167">
        <v>0</v>
      </c>
      <c r="CE202" s="167">
        <v>0</v>
      </c>
      <c r="CF202" s="167">
        <v>0</v>
      </c>
      <c r="CG202" s="167">
        <v>0</v>
      </c>
      <c r="CH202" s="167">
        <v>0</v>
      </c>
      <c r="CI202" s="167">
        <v>0</v>
      </c>
      <c r="CJ202" s="167">
        <v>0</v>
      </c>
      <c r="CK202" s="167">
        <v>0</v>
      </c>
      <c r="CL202" s="167">
        <v>0</v>
      </c>
      <c r="CM202" s="167">
        <v>0</v>
      </c>
      <c r="CN202" s="167">
        <v>0</v>
      </c>
      <c r="CO202" s="167">
        <v>0</v>
      </c>
      <c r="CP202" s="167">
        <v>0</v>
      </c>
      <c r="CQ202" s="167">
        <v>0</v>
      </c>
      <c r="CR202" s="167">
        <v>0</v>
      </c>
      <c r="CS202" s="167">
        <v>0</v>
      </c>
      <c r="CT202" s="167">
        <v>0</v>
      </c>
      <c r="CU202" s="167">
        <v>0</v>
      </c>
      <c r="CV202" s="167">
        <v>0</v>
      </c>
      <c r="CW202" s="167">
        <v>0</v>
      </c>
      <c r="CX202" s="167">
        <f>SUM(CD202:CH202)</f>
        <v>0</v>
      </c>
      <c r="CY202" s="167">
        <f>SUM(CD202:CM202)</f>
        <v>0</v>
      </c>
    </row>
    <row r="203" spans="1:103" ht="12.75" customHeight="1" x14ac:dyDescent="0.2">
      <c r="A203" s="81">
        <v>6383</v>
      </c>
      <c r="B203" s="165" t="s">
        <v>1924</v>
      </c>
      <c r="C203" s="165" t="s">
        <v>1061</v>
      </c>
      <c r="E203" s="165" t="s">
        <v>3253</v>
      </c>
      <c r="G203" s="81">
        <v>528332</v>
      </c>
      <c r="H203" s="81">
        <v>175360</v>
      </c>
      <c r="I203" s="165" t="s">
        <v>256</v>
      </c>
      <c r="J203" s="349">
        <v>42825</v>
      </c>
      <c r="K203" s="349">
        <v>43190</v>
      </c>
      <c r="L203" s="166">
        <v>2</v>
      </c>
      <c r="M203" s="166">
        <v>1</v>
      </c>
      <c r="N203" s="166">
        <v>-1</v>
      </c>
      <c r="O203" s="166">
        <v>1</v>
      </c>
      <c r="P203" s="166">
        <v>-1</v>
      </c>
      <c r="R203" s="165" t="s">
        <v>1062</v>
      </c>
      <c r="S203" s="81" t="s">
        <v>113</v>
      </c>
      <c r="T203" s="349">
        <v>42655</v>
      </c>
      <c r="U203" s="349">
        <v>42711</v>
      </c>
      <c r="W203" s="81" t="s">
        <v>114</v>
      </c>
      <c r="Y203" s="81" t="s">
        <v>115</v>
      </c>
      <c r="Z203" s="81" t="s">
        <v>119</v>
      </c>
      <c r="AA203" s="81" t="s">
        <v>117</v>
      </c>
      <c r="AB203" s="81" t="s">
        <v>336</v>
      </c>
      <c r="AC203" s="166">
        <v>1.09999999403954E-2</v>
      </c>
      <c r="AD203" s="349">
        <v>42825</v>
      </c>
      <c r="AF203" s="349">
        <v>43190</v>
      </c>
      <c r="AG203" s="81" t="s">
        <v>238</v>
      </c>
      <c r="AH203" s="81" t="s">
        <v>118</v>
      </c>
      <c r="AK203" s="166">
        <v>0</v>
      </c>
      <c r="AM203" s="166">
        <v>0</v>
      </c>
      <c r="AO203" s="166">
        <v>0</v>
      </c>
      <c r="AP203" s="166">
        <v>-1</v>
      </c>
      <c r="AQ203" s="166">
        <v>-1</v>
      </c>
      <c r="AR203" s="166">
        <v>1</v>
      </c>
      <c r="AS203" s="166">
        <v>0</v>
      </c>
      <c r="AT203" s="166">
        <v>0</v>
      </c>
      <c r="AU203" s="166">
        <v>0</v>
      </c>
      <c r="AV203" s="166">
        <v>0</v>
      </c>
      <c r="AW203" s="166">
        <v>-1</v>
      </c>
      <c r="AX203" s="166">
        <v>-1</v>
      </c>
      <c r="AY203" s="166">
        <v>0</v>
      </c>
      <c r="AZ203" s="166">
        <v>0</v>
      </c>
      <c r="BA203" s="166">
        <v>0</v>
      </c>
      <c r="BB203" s="166">
        <v>0</v>
      </c>
      <c r="BC203" s="166">
        <v>0</v>
      </c>
      <c r="BD203" s="166">
        <v>0</v>
      </c>
      <c r="BE203" s="166">
        <v>0</v>
      </c>
      <c r="BF203" s="166">
        <v>1</v>
      </c>
      <c r="BG203" s="166">
        <v>0</v>
      </c>
      <c r="BH203" s="166">
        <v>0</v>
      </c>
      <c r="BI203" s="166">
        <v>0</v>
      </c>
      <c r="BJ203" s="166">
        <v>0</v>
      </c>
      <c r="BK203" s="166">
        <v>0</v>
      </c>
      <c r="BL203" s="166">
        <v>0</v>
      </c>
      <c r="BM203" s="166">
        <v>0</v>
      </c>
      <c r="BN203" s="166">
        <v>0</v>
      </c>
      <c r="BO203" s="166">
        <v>0</v>
      </c>
      <c r="BP203" s="166">
        <v>0</v>
      </c>
      <c r="BQ203" s="81" t="s">
        <v>1757</v>
      </c>
      <c r="BZ203" s="81" t="s">
        <v>155</v>
      </c>
      <c r="CA203" s="81">
        <v>7</v>
      </c>
      <c r="CC203" s="167">
        <f>N203</f>
        <v>-1</v>
      </c>
      <c r="CD203" s="167">
        <v>0</v>
      </c>
      <c r="CE203" s="167">
        <v>0</v>
      </c>
      <c r="CF203" s="167">
        <v>0</v>
      </c>
      <c r="CG203" s="167">
        <v>0</v>
      </c>
      <c r="CH203" s="167">
        <v>0</v>
      </c>
      <c r="CI203" s="167">
        <v>0</v>
      </c>
      <c r="CJ203" s="167">
        <v>0</v>
      </c>
      <c r="CK203" s="167">
        <v>0</v>
      </c>
      <c r="CL203" s="167">
        <v>0</v>
      </c>
      <c r="CM203" s="167">
        <v>0</v>
      </c>
      <c r="CN203" s="167">
        <v>0</v>
      </c>
      <c r="CO203" s="167">
        <v>0</v>
      </c>
      <c r="CP203" s="167">
        <v>0</v>
      </c>
      <c r="CQ203" s="167">
        <v>0</v>
      </c>
      <c r="CR203" s="167">
        <v>0</v>
      </c>
      <c r="CS203" s="167">
        <v>0</v>
      </c>
      <c r="CT203" s="167">
        <v>0</v>
      </c>
      <c r="CU203" s="167">
        <v>0</v>
      </c>
      <c r="CV203" s="167">
        <v>0</v>
      </c>
      <c r="CW203" s="167">
        <v>0</v>
      </c>
      <c r="CX203" s="167">
        <f>SUM(CD203:CH203)</f>
        <v>0</v>
      </c>
      <c r="CY203" s="167">
        <f>SUM(CD203:CM203)</f>
        <v>0</v>
      </c>
    </row>
    <row r="204" spans="1:103" ht="12.75" customHeight="1" x14ac:dyDescent="0.2">
      <c r="A204" s="81">
        <v>6385</v>
      </c>
      <c r="B204" s="165" t="s">
        <v>1924</v>
      </c>
      <c r="C204" s="165" t="s">
        <v>1063</v>
      </c>
      <c r="E204" s="165" t="s">
        <v>3254</v>
      </c>
      <c r="G204" s="81">
        <v>528563</v>
      </c>
      <c r="H204" s="81">
        <v>173040</v>
      </c>
      <c r="I204" s="165" t="s">
        <v>254</v>
      </c>
      <c r="J204" s="349">
        <v>42825</v>
      </c>
      <c r="K204" s="349">
        <v>43173</v>
      </c>
      <c r="L204" s="166">
        <v>0</v>
      </c>
      <c r="M204" s="166">
        <v>1</v>
      </c>
      <c r="N204" s="166">
        <v>1</v>
      </c>
      <c r="O204" s="166">
        <v>2</v>
      </c>
      <c r="P204" s="166">
        <v>1</v>
      </c>
      <c r="R204" s="165" t="s">
        <v>1064</v>
      </c>
      <c r="S204" s="81" t="s">
        <v>113</v>
      </c>
      <c r="T204" s="349">
        <v>42653</v>
      </c>
      <c r="U204" s="349">
        <v>42719</v>
      </c>
      <c r="W204" s="81" t="s">
        <v>114</v>
      </c>
      <c r="Y204" s="81" t="s">
        <v>115</v>
      </c>
      <c r="Z204" s="81" t="s">
        <v>398</v>
      </c>
      <c r="AA204" s="81" t="s">
        <v>117</v>
      </c>
      <c r="AB204" s="81" t="s">
        <v>218</v>
      </c>
      <c r="AC204" s="166">
        <v>4.9999998882412902E-3</v>
      </c>
      <c r="AD204" s="349">
        <v>42825</v>
      </c>
      <c r="AF204" s="349">
        <v>43173</v>
      </c>
      <c r="AG204" s="81" t="s">
        <v>238</v>
      </c>
      <c r="AH204" s="81" t="s">
        <v>118</v>
      </c>
      <c r="AK204" s="166">
        <v>0</v>
      </c>
      <c r="AM204" s="166">
        <v>0</v>
      </c>
      <c r="AO204" s="166">
        <v>0</v>
      </c>
      <c r="AP204" s="166">
        <v>1</v>
      </c>
      <c r="AQ204" s="166">
        <v>0</v>
      </c>
      <c r="AR204" s="166">
        <v>0</v>
      </c>
      <c r="AS204" s="166">
        <v>0</v>
      </c>
      <c r="AT204" s="166">
        <v>0</v>
      </c>
      <c r="AU204" s="166">
        <v>0</v>
      </c>
      <c r="AV204" s="166">
        <v>0</v>
      </c>
      <c r="AW204" s="166">
        <v>1</v>
      </c>
      <c r="AX204" s="166">
        <v>0</v>
      </c>
      <c r="AY204" s="166">
        <v>0</v>
      </c>
      <c r="AZ204" s="166">
        <v>0</v>
      </c>
      <c r="BA204" s="166">
        <v>0</v>
      </c>
      <c r="BB204" s="166">
        <v>0</v>
      </c>
      <c r="BC204" s="166">
        <v>0</v>
      </c>
      <c r="BD204" s="166">
        <v>0</v>
      </c>
      <c r="BE204" s="166">
        <v>0</v>
      </c>
      <c r="BF204" s="166">
        <v>0</v>
      </c>
      <c r="BG204" s="166">
        <v>0</v>
      </c>
      <c r="BH204" s="166">
        <v>0</v>
      </c>
      <c r="BI204" s="166">
        <v>0</v>
      </c>
      <c r="BJ204" s="166">
        <v>0</v>
      </c>
      <c r="BK204" s="166">
        <v>0</v>
      </c>
      <c r="BL204" s="166">
        <v>0</v>
      </c>
      <c r="BM204" s="166">
        <v>0</v>
      </c>
      <c r="BN204" s="166">
        <v>0</v>
      </c>
      <c r="BO204" s="166">
        <v>0</v>
      </c>
      <c r="BP204" s="166">
        <v>0</v>
      </c>
      <c r="BQ204" s="81" t="s">
        <v>1757</v>
      </c>
      <c r="BZ204" s="81" t="s">
        <v>155</v>
      </c>
      <c r="CA204" s="81">
        <v>7</v>
      </c>
      <c r="CC204" s="167">
        <f>N204</f>
        <v>1</v>
      </c>
      <c r="CD204" s="167">
        <v>0</v>
      </c>
      <c r="CE204" s="167">
        <v>0</v>
      </c>
      <c r="CF204" s="167">
        <v>0</v>
      </c>
      <c r="CG204" s="167">
        <v>0</v>
      </c>
      <c r="CH204" s="167">
        <v>0</v>
      </c>
      <c r="CI204" s="167">
        <v>0</v>
      </c>
      <c r="CJ204" s="167">
        <v>0</v>
      </c>
      <c r="CK204" s="167">
        <v>0</v>
      </c>
      <c r="CL204" s="167">
        <v>0</v>
      </c>
      <c r="CM204" s="167">
        <v>0</v>
      </c>
      <c r="CN204" s="167">
        <v>0</v>
      </c>
      <c r="CO204" s="167">
        <v>0</v>
      </c>
      <c r="CP204" s="167">
        <v>0</v>
      </c>
      <c r="CQ204" s="167">
        <v>0</v>
      </c>
      <c r="CR204" s="167">
        <v>0</v>
      </c>
      <c r="CS204" s="167">
        <v>0</v>
      </c>
      <c r="CT204" s="167">
        <v>0</v>
      </c>
      <c r="CU204" s="167">
        <v>0</v>
      </c>
      <c r="CV204" s="167">
        <v>0</v>
      </c>
      <c r="CW204" s="167">
        <v>0</v>
      </c>
      <c r="CX204" s="167">
        <f>SUM(CD204:CH204)</f>
        <v>0</v>
      </c>
      <c r="CY204" s="167">
        <f>SUM(CD204:CM204)</f>
        <v>0</v>
      </c>
    </row>
    <row r="205" spans="1:103" ht="12.75" customHeight="1" x14ac:dyDescent="0.2">
      <c r="A205" s="81">
        <v>6385</v>
      </c>
      <c r="B205" s="165" t="s">
        <v>1924</v>
      </c>
      <c r="C205" s="165" t="s">
        <v>1063</v>
      </c>
      <c r="E205" s="165" t="s">
        <v>3254</v>
      </c>
      <c r="G205" s="81">
        <v>528563</v>
      </c>
      <c r="H205" s="81">
        <v>173040</v>
      </c>
      <c r="I205" s="165" t="s">
        <v>254</v>
      </c>
      <c r="J205" s="349">
        <v>42825</v>
      </c>
      <c r="K205" s="349">
        <v>43173</v>
      </c>
      <c r="L205" s="166">
        <v>1</v>
      </c>
      <c r="M205" s="166">
        <v>1</v>
      </c>
      <c r="N205" s="166">
        <v>0</v>
      </c>
      <c r="O205" s="166">
        <v>2</v>
      </c>
      <c r="P205" s="166">
        <v>1</v>
      </c>
      <c r="R205" s="165" t="s">
        <v>1064</v>
      </c>
      <c r="S205" s="81" t="s">
        <v>113</v>
      </c>
      <c r="T205" s="349">
        <v>42653</v>
      </c>
      <c r="U205" s="349">
        <v>42719</v>
      </c>
      <c r="W205" s="81" t="s">
        <v>114</v>
      </c>
      <c r="Y205" s="81" t="s">
        <v>115</v>
      </c>
      <c r="Z205" s="81" t="s">
        <v>398</v>
      </c>
      <c r="AA205" s="81" t="s">
        <v>117</v>
      </c>
      <c r="AB205" s="81" t="s">
        <v>220</v>
      </c>
      <c r="AC205" s="166">
        <v>6.0000000521540598E-3</v>
      </c>
      <c r="AD205" s="349">
        <v>42825</v>
      </c>
      <c r="AF205" s="349">
        <v>43173</v>
      </c>
      <c r="AG205" s="81" t="s">
        <v>238</v>
      </c>
      <c r="AH205" s="81" t="s">
        <v>118</v>
      </c>
      <c r="AK205" s="166">
        <v>0</v>
      </c>
      <c r="AM205" s="166">
        <v>0</v>
      </c>
      <c r="AO205" s="166">
        <v>0</v>
      </c>
      <c r="AP205" s="166">
        <v>0</v>
      </c>
      <c r="AQ205" s="166">
        <v>1</v>
      </c>
      <c r="AR205" s="166">
        <v>-1</v>
      </c>
      <c r="AS205" s="166">
        <v>0</v>
      </c>
      <c r="AT205" s="166">
        <v>0</v>
      </c>
      <c r="AU205" s="166">
        <v>0</v>
      </c>
      <c r="AV205" s="166">
        <v>0</v>
      </c>
      <c r="AW205" s="166">
        <v>0</v>
      </c>
      <c r="AX205" s="166">
        <v>1</v>
      </c>
      <c r="AY205" s="166">
        <v>-1</v>
      </c>
      <c r="AZ205" s="166">
        <v>0</v>
      </c>
      <c r="BA205" s="166">
        <v>0</v>
      </c>
      <c r="BB205" s="166">
        <v>0</v>
      </c>
      <c r="BC205" s="166">
        <v>0</v>
      </c>
      <c r="BD205" s="166">
        <v>0</v>
      </c>
      <c r="BE205" s="166">
        <v>0</v>
      </c>
      <c r="BF205" s="166">
        <v>0</v>
      </c>
      <c r="BG205" s="166">
        <v>0</v>
      </c>
      <c r="BH205" s="166">
        <v>0</v>
      </c>
      <c r="BI205" s="166">
        <v>0</v>
      </c>
      <c r="BJ205" s="166">
        <v>0</v>
      </c>
      <c r="BK205" s="166">
        <v>0</v>
      </c>
      <c r="BL205" s="166">
        <v>0</v>
      </c>
      <c r="BM205" s="166">
        <v>0</v>
      </c>
      <c r="BN205" s="166">
        <v>0</v>
      </c>
      <c r="BO205" s="166">
        <v>0</v>
      </c>
      <c r="BP205" s="166">
        <v>0</v>
      </c>
      <c r="BQ205" s="81" t="s">
        <v>1757</v>
      </c>
      <c r="BZ205" s="81" t="s">
        <v>155</v>
      </c>
      <c r="CA205" s="81">
        <v>7</v>
      </c>
      <c r="CC205" s="167">
        <f>N205</f>
        <v>0</v>
      </c>
      <c r="CD205" s="167">
        <v>0</v>
      </c>
      <c r="CE205" s="167">
        <v>0</v>
      </c>
      <c r="CF205" s="167">
        <v>0</v>
      </c>
      <c r="CG205" s="167">
        <v>0</v>
      </c>
      <c r="CH205" s="167">
        <v>0</v>
      </c>
      <c r="CI205" s="167">
        <v>0</v>
      </c>
      <c r="CJ205" s="167">
        <v>0</v>
      </c>
      <c r="CK205" s="167">
        <v>0</v>
      </c>
      <c r="CL205" s="167">
        <v>0</v>
      </c>
      <c r="CM205" s="167">
        <v>0</v>
      </c>
      <c r="CN205" s="167">
        <v>0</v>
      </c>
      <c r="CO205" s="167">
        <v>0</v>
      </c>
      <c r="CP205" s="167">
        <v>0</v>
      </c>
      <c r="CQ205" s="167">
        <v>0</v>
      </c>
      <c r="CR205" s="167">
        <v>0</v>
      </c>
      <c r="CS205" s="167">
        <v>0</v>
      </c>
      <c r="CT205" s="167">
        <v>0</v>
      </c>
      <c r="CU205" s="167">
        <v>0</v>
      </c>
      <c r="CV205" s="167">
        <v>0</v>
      </c>
      <c r="CW205" s="167">
        <v>0</v>
      </c>
      <c r="CX205" s="167">
        <f>SUM(CD205:CH205)</f>
        <v>0</v>
      </c>
      <c r="CY205" s="167">
        <f>SUM(CD205:CM205)</f>
        <v>0</v>
      </c>
    </row>
    <row r="206" spans="1:103" ht="12.75" customHeight="1" x14ac:dyDescent="0.2">
      <c r="A206" s="81">
        <v>6389</v>
      </c>
      <c r="B206" s="165" t="s">
        <v>1924</v>
      </c>
      <c r="C206" s="165" t="s">
        <v>1451</v>
      </c>
      <c r="E206" s="165" t="s">
        <v>3255</v>
      </c>
      <c r="G206" s="81">
        <v>525164</v>
      </c>
      <c r="H206" s="81">
        <v>173531</v>
      </c>
      <c r="I206" s="165" t="s">
        <v>258</v>
      </c>
      <c r="J206" s="349">
        <v>42826</v>
      </c>
      <c r="K206" s="349">
        <v>43190</v>
      </c>
      <c r="L206" s="166">
        <v>2</v>
      </c>
      <c r="M206" s="166">
        <v>1</v>
      </c>
      <c r="N206" s="166">
        <v>-1</v>
      </c>
      <c r="O206" s="166">
        <v>1</v>
      </c>
      <c r="P206" s="166">
        <v>-1</v>
      </c>
      <c r="R206" s="165" t="s">
        <v>1452</v>
      </c>
      <c r="S206" s="81" t="s">
        <v>113</v>
      </c>
      <c r="T206" s="349">
        <v>42669</v>
      </c>
      <c r="U206" s="349">
        <v>42725</v>
      </c>
      <c r="W206" s="81" t="s">
        <v>114</v>
      </c>
      <c r="Y206" s="81" t="s">
        <v>115</v>
      </c>
      <c r="Z206" s="81" t="s">
        <v>398</v>
      </c>
      <c r="AA206" s="81" t="s">
        <v>117</v>
      </c>
      <c r="AB206" s="81" t="s">
        <v>336</v>
      </c>
      <c r="AC206" s="166">
        <v>1.4000000432133701E-2</v>
      </c>
      <c r="AD206" s="349">
        <v>42826</v>
      </c>
      <c r="AE206" s="81" t="s">
        <v>155</v>
      </c>
      <c r="AF206" s="349">
        <v>43190</v>
      </c>
      <c r="AG206" s="81" t="s">
        <v>238</v>
      </c>
      <c r="AH206" s="81" t="s">
        <v>118</v>
      </c>
      <c r="AK206" s="166">
        <v>0</v>
      </c>
      <c r="AM206" s="166">
        <v>0</v>
      </c>
      <c r="AO206" s="166">
        <v>0</v>
      </c>
      <c r="AP206" s="166">
        <v>-1</v>
      </c>
      <c r="AQ206" s="166">
        <v>-1</v>
      </c>
      <c r="AR206" s="166">
        <v>1</v>
      </c>
      <c r="AS206" s="166">
        <v>0</v>
      </c>
      <c r="AT206" s="166">
        <v>0</v>
      </c>
      <c r="AU206" s="166">
        <v>0</v>
      </c>
      <c r="AV206" s="166">
        <v>0</v>
      </c>
      <c r="AW206" s="166">
        <v>-1</v>
      </c>
      <c r="AX206" s="166">
        <v>-1</v>
      </c>
      <c r="AY206" s="166">
        <v>0</v>
      </c>
      <c r="AZ206" s="166">
        <v>0</v>
      </c>
      <c r="BA206" s="166">
        <v>0</v>
      </c>
      <c r="BB206" s="166">
        <v>0</v>
      </c>
      <c r="BC206" s="166">
        <v>0</v>
      </c>
      <c r="BD206" s="166">
        <v>0</v>
      </c>
      <c r="BE206" s="166">
        <v>0</v>
      </c>
      <c r="BF206" s="166">
        <v>1</v>
      </c>
      <c r="BG206" s="166">
        <v>0</v>
      </c>
      <c r="BH206" s="166">
        <v>0</v>
      </c>
      <c r="BI206" s="166">
        <v>0</v>
      </c>
      <c r="BJ206" s="166">
        <v>0</v>
      </c>
      <c r="BK206" s="166">
        <v>0</v>
      </c>
      <c r="BL206" s="166">
        <v>0</v>
      </c>
      <c r="BM206" s="166">
        <v>0</v>
      </c>
      <c r="BN206" s="166">
        <v>0</v>
      </c>
      <c r="BO206" s="166">
        <v>0</v>
      </c>
      <c r="BP206" s="166">
        <v>0</v>
      </c>
      <c r="BQ206" s="81" t="s">
        <v>1758</v>
      </c>
      <c r="BZ206" s="81" t="s">
        <v>155</v>
      </c>
      <c r="CA206" s="81">
        <v>7</v>
      </c>
      <c r="CC206" s="167">
        <f>N206</f>
        <v>-1</v>
      </c>
      <c r="CD206" s="167">
        <v>0</v>
      </c>
      <c r="CE206" s="167">
        <v>0</v>
      </c>
      <c r="CF206" s="167">
        <v>0</v>
      </c>
      <c r="CG206" s="167">
        <v>0</v>
      </c>
      <c r="CH206" s="167">
        <v>0</v>
      </c>
      <c r="CI206" s="167">
        <v>0</v>
      </c>
      <c r="CJ206" s="167">
        <v>0</v>
      </c>
      <c r="CK206" s="167">
        <v>0</v>
      </c>
      <c r="CL206" s="167">
        <v>0</v>
      </c>
      <c r="CM206" s="167">
        <v>0</v>
      </c>
      <c r="CN206" s="167">
        <v>0</v>
      </c>
      <c r="CO206" s="167">
        <v>0</v>
      </c>
      <c r="CP206" s="167">
        <v>0</v>
      </c>
      <c r="CQ206" s="167">
        <v>0</v>
      </c>
      <c r="CR206" s="167">
        <v>0</v>
      </c>
      <c r="CS206" s="167">
        <v>0</v>
      </c>
      <c r="CT206" s="167">
        <v>0</v>
      </c>
      <c r="CU206" s="167">
        <v>0</v>
      </c>
      <c r="CV206" s="167">
        <v>0</v>
      </c>
      <c r="CW206" s="167">
        <v>0</v>
      </c>
      <c r="CX206" s="167">
        <f>SUM(CD206:CH206)</f>
        <v>0</v>
      </c>
      <c r="CY206" s="167">
        <f>SUM(CD206:CM206)</f>
        <v>0</v>
      </c>
    </row>
    <row r="207" spans="1:103" ht="12.75" customHeight="1" x14ac:dyDescent="0.2">
      <c r="A207" s="81">
        <v>6421</v>
      </c>
      <c r="B207" s="165" t="s">
        <v>1924</v>
      </c>
      <c r="C207" s="165" t="s">
        <v>3256</v>
      </c>
      <c r="E207" s="165" t="s">
        <v>3257</v>
      </c>
      <c r="G207" s="81">
        <v>527311</v>
      </c>
      <c r="H207" s="81">
        <v>171493</v>
      </c>
      <c r="I207" s="165" t="s">
        <v>242</v>
      </c>
      <c r="J207" s="349">
        <v>42450</v>
      </c>
      <c r="K207" s="349">
        <v>43116</v>
      </c>
      <c r="L207" s="166">
        <v>1</v>
      </c>
      <c r="M207" s="166">
        <v>1</v>
      </c>
      <c r="N207" s="166">
        <v>0</v>
      </c>
      <c r="O207" s="166">
        <v>4</v>
      </c>
      <c r="P207" s="166">
        <v>3</v>
      </c>
      <c r="R207" s="165" t="s">
        <v>3258</v>
      </c>
      <c r="S207" s="81" t="s">
        <v>296</v>
      </c>
      <c r="T207" s="349">
        <v>42718</v>
      </c>
      <c r="U207" s="349">
        <v>42790</v>
      </c>
      <c r="V207" s="81" t="s">
        <v>155</v>
      </c>
      <c r="W207" s="81" t="s">
        <v>297</v>
      </c>
      <c r="X207" s="349">
        <v>43067</v>
      </c>
      <c r="Y207" s="81" t="s">
        <v>115</v>
      </c>
      <c r="Z207" s="81" t="s">
        <v>119</v>
      </c>
      <c r="AA207" s="81" t="s">
        <v>117</v>
      </c>
      <c r="AB207" s="81" t="s">
        <v>120</v>
      </c>
      <c r="AC207" s="166">
        <v>3.0000000260770299E-3</v>
      </c>
      <c r="AD207" s="349">
        <v>42450</v>
      </c>
      <c r="AF207" s="349">
        <v>43116</v>
      </c>
      <c r="AG207" s="81" t="s">
        <v>238</v>
      </c>
      <c r="AH207" s="81" t="s">
        <v>118</v>
      </c>
      <c r="AK207" s="166">
        <v>0</v>
      </c>
      <c r="AM207" s="166">
        <v>0</v>
      </c>
      <c r="AO207" s="166">
        <v>0</v>
      </c>
      <c r="AP207" s="166">
        <v>1</v>
      </c>
      <c r="AQ207" s="166">
        <v>0</v>
      </c>
      <c r="AR207" s="166">
        <v>0</v>
      </c>
      <c r="AS207" s="166">
        <v>0</v>
      </c>
      <c r="AT207" s="166">
        <v>-1</v>
      </c>
      <c r="AU207" s="166">
        <v>0</v>
      </c>
      <c r="AV207" s="166">
        <v>0</v>
      </c>
      <c r="AW207" s="166">
        <v>1</v>
      </c>
      <c r="AX207" s="166">
        <v>0</v>
      </c>
      <c r="AY207" s="166">
        <v>0</v>
      </c>
      <c r="AZ207" s="166">
        <v>0</v>
      </c>
      <c r="BA207" s="166">
        <v>0</v>
      </c>
      <c r="BB207" s="166">
        <v>0</v>
      </c>
      <c r="BC207" s="166">
        <v>0</v>
      </c>
      <c r="BD207" s="166">
        <v>0</v>
      </c>
      <c r="BE207" s="166">
        <v>0</v>
      </c>
      <c r="BF207" s="166">
        <v>0</v>
      </c>
      <c r="BG207" s="166">
        <v>0</v>
      </c>
      <c r="BH207" s="166">
        <v>-1</v>
      </c>
      <c r="BI207" s="166">
        <v>0</v>
      </c>
      <c r="BJ207" s="166">
        <v>0</v>
      </c>
      <c r="BK207" s="166">
        <v>0</v>
      </c>
      <c r="BL207" s="166">
        <v>0</v>
      </c>
      <c r="BM207" s="166">
        <v>0</v>
      </c>
      <c r="BN207" s="166">
        <v>0</v>
      </c>
      <c r="BO207" s="166">
        <v>0</v>
      </c>
      <c r="BP207" s="166">
        <v>0</v>
      </c>
      <c r="BQ207" s="81" t="s">
        <v>1757</v>
      </c>
      <c r="BZ207" s="81" t="s">
        <v>155</v>
      </c>
      <c r="CA207" s="81">
        <v>7</v>
      </c>
      <c r="CC207" s="167">
        <f>N207</f>
        <v>0</v>
      </c>
      <c r="CD207" s="167">
        <v>0</v>
      </c>
      <c r="CE207" s="167">
        <v>0</v>
      </c>
      <c r="CF207" s="167">
        <v>0</v>
      </c>
      <c r="CG207" s="167">
        <v>0</v>
      </c>
      <c r="CH207" s="167">
        <v>0</v>
      </c>
      <c r="CI207" s="167">
        <v>0</v>
      </c>
      <c r="CJ207" s="167">
        <v>0</v>
      </c>
      <c r="CK207" s="167">
        <v>0</v>
      </c>
      <c r="CL207" s="167">
        <v>0</v>
      </c>
      <c r="CM207" s="167">
        <v>0</v>
      </c>
      <c r="CN207" s="167">
        <v>0</v>
      </c>
      <c r="CO207" s="167">
        <v>0</v>
      </c>
      <c r="CP207" s="167">
        <v>0</v>
      </c>
      <c r="CQ207" s="167">
        <v>0</v>
      </c>
      <c r="CR207" s="167">
        <v>0</v>
      </c>
      <c r="CS207" s="167">
        <v>0</v>
      </c>
      <c r="CT207" s="167">
        <v>0</v>
      </c>
      <c r="CU207" s="167">
        <v>0</v>
      </c>
      <c r="CV207" s="167">
        <v>0</v>
      </c>
      <c r="CW207" s="167">
        <v>0</v>
      </c>
      <c r="CX207" s="167">
        <f>SUM(CD207:CH207)</f>
        <v>0</v>
      </c>
      <c r="CY207" s="167">
        <f>SUM(CD207:CM207)</f>
        <v>0</v>
      </c>
    </row>
    <row r="208" spans="1:103" ht="12.75" customHeight="1" x14ac:dyDescent="0.2">
      <c r="A208" s="81">
        <v>6423</v>
      </c>
      <c r="B208" s="165" t="s">
        <v>1924</v>
      </c>
      <c r="C208" s="165" t="s">
        <v>1530</v>
      </c>
      <c r="E208" s="165" t="s">
        <v>3259</v>
      </c>
      <c r="G208" s="81">
        <v>526304</v>
      </c>
      <c r="H208" s="81">
        <v>173701</v>
      </c>
      <c r="I208" s="165" t="s">
        <v>260</v>
      </c>
      <c r="J208" s="349">
        <v>42825</v>
      </c>
      <c r="K208" s="349">
        <v>43052</v>
      </c>
      <c r="L208" s="166">
        <v>1</v>
      </c>
      <c r="M208" s="166">
        <v>3</v>
      </c>
      <c r="N208" s="166">
        <v>2</v>
      </c>
      <c r="O208" s="166">
        <v>3</v>
      </c>
      <c r="P208" s="166">
        <v>2</v>
      </c>
      <c r="R208" s="165" t="s">
        <v>1531</v>
      </c>
      <c r="S208" s="81" t="s">
        <v>113</v>
      </c>
      <c r="T208" s="349">
        <v>42753</v>
      </c>
      <c r="U208" s="349">
        <v>42789</v>
      </c>
      <c r="W208" s="81" t="s">
        <v>114</v>
      </c>
      <c r="Y208" s="81" t="s">
        <v>115</v>
      </c>
      <c r="Z208" s="81" t="s">
        <v>119</v>
      </c>
      <c r="AA208" s="81" t="s">
        <v>117</v>
      </c>
      <c r="AB208" s="81" t="s">
        <v>120</v>
      </c>
      <c r="AC208" s="166">
        <v>1.60000007599592E-2</v>
      </c>
      <c r="AD208" s="349">
        <v>42825</v>
      </c>
      <c r="AF208" s="349">
        <v>43052</v>
      </c>
      <c r="AG208" s="81" t="s">
        <v>238</v>
      </c>
      <c r="AH208" s="81" t="s">
        <v>118</v>
      </c>
      <c r="AK208" s="166">
        <v>0</v>
      </c>
      <c r="AM208" s="166">
        <v>0</v>
      </c>
      <c r="AO208" s="166">
        <v>0</v>
      </c>
      <c r="AP208" s="166">
        <v>1</v>
      </c>
      <c r="AQ208" s="166">
        <v>1</v>
      </c>
      <c r="AR208" s="166">
        <v>1</v>
      </c>
      <c r="AS208" s="166">
        <v>0</v>
      </c>
      <c r="AT208" s="166">
        <v>-1</v>
      </c>
      <c r="AU208" s="166">
        <v>0</v>
      </c>
      <c r="AV208" s="166">
        <v>0</v>
      </c>
      <c r="AW208" s="166">
        <v>1</v>
      </c>
      <c r="AX208" s="166">
        <v>1</v>
      </c>
      <c r="AY208" s="166">
        <v>1</v>
      </c>
      <c r="AZ208" s="166">
        <v>0</v>
      </c>
      <c r="BA208" s="166">
        <v>0</v>
      </c>
      <c r="BB208" s="166">
        <v>0</v>
      </c>
      <c r="BC208" s="166">
        <v>0</v>
      </c>
      <c r="BD208" s="166">
        <v>0</v>
      </c>
      <c r="BE208" s="166">
        <v>0</v>
      </c>
      <c r="BF208" s="166">
        <v>0</v>
      </c>
      <c r="BG208" s="166">
        <v>0</v>
      </c>
      <c r="BH208" s="166">
        <v>-1</v>
      </c>
      <c r="BI208" s="166">
        <v>0</v>
      </c>
      <c r="BJ208" s="166">
        <v>0</v>
      </c>
      <c r="BK208" s="166">
        <v>0</v>
      </c>
      <c r="BL208" s="166">
        <v>0</v>
      </c>
      <c r="BM208" s="166">
        <v>0</v>
      </c>
      <c r="BN208" s="166">
        <v>0</v>
      </c>
      <c r="BO208" s="166">
        <v>0</v>
      </c>
      <c r="BP208" s="166">
        <v>0</v>
      </c>
      <c r="BQ208" s="81" t="s">
        <v>1758</v>
      </c>
      <c r="BZ208" s="81" t="s">
        <v>155</v>
      </c>
      <c r="CA208" s="81">
        <v>7</v>
      </c>
      <c r="CC208" s="167">
        <f>N208</f>
        <v>2</v>
      </c>
      <c r="CD208" s="167">
        <v>0</v>
      </c>
      <c r="CE208" s="167">
        <v>0</v>
      </c>
      <c r="CF208" s="167">
        <v>0</v>
      </c>
      <c r="CG208" s="167">
        <v>0</v>
      </c>
      <c r="CH208" s="167">
        <v>0</v>
      </c>
      <c r="CI208" s="167">
        <v>0</v>
      </c>
      <c r="CJ208" s="167">
        <v>0</v>
      </c>
      <c r="CK208" s="167">
        <v>0</v>
      </c>
      <c r="CL208" s="167">
        <v>0</v>
      </c>
      <c r="CM208" s="167">
        <v>0</v>
      </c>
      <c r="CN208" s="167">
        <v>0</v>
      </c>
      <c r="CO208" s="167">
        <v>0</v>
      </c>
      <c r="CP208" s="167">
        <v>0</v>
      </c>
      <c r="CQ208" s="167">
        <v>0</v>
      </c>
      <c r="CR208" s="167">
        <v>0</v>
      </c>
      <c r="CS208" s="167">
        <v>0</v>
      </c>
      <c r="CT208" s="167">
        <v>0</v>
      </c>
      <c r="CU208" s="167">
        <v>0</v>
      </c>
      <c r="CV208" s="167">
        <v>0</v>
      </c>
      <c r="CW208" s="167">
        <v>0</v>
      </c>
      <c r="CX208" s="167">
        <f>SUM(CD208:CH208)</f>
        <v>0</v>
      </c>
      <c r="CY208" s="167">
        <f>SUM(CD208:CM208)</f>
        <v>0</v>
      </c>
    </row>
    <row r="209" spans="1:103" ht="12.75" customHeight="1" x14ac:dyDescent="0.2">
      <c r="A209" s="81">
        <v>6427</v>
      </c>
      <c r="B209" s="165" t="s">
        <v>1924</v>
      </c>
      <c r="C209" s="165" t="s">
        <v>1078</v>
      </c>
      <c r="E209" s="165" t="s">
        <v>3260</v>
      </c>
      <c r="G209" s="81">
        <v>528925</v>
      </c>
      <c r="H209" s="81">
        <v>172969</v>
      </c>
      <c r="I209" s="165" t="s">
        <v>248</v>
      </c>
      <c r="J209" s="349">
        <v>42825</v>
      </c>
      <c r="K209" s="349">
        <v>42986</v>
      </c>
      <c r="L209" s="166">
        <v>0</v>
      </c>
      <c r="M209" s="166">
        <v>6</v>
      </c>
      <c r="N209" s="166">
        <v>6</v>
      </c>
      <c r="O209" s="166">
        <v>6</v>
      </c>
      <c r="P209" s="166">
        <v>6</v>
      </c>
      <c r="R209" s="165" t="s">
        <v>1079</v>
      </c>
      <c r="S209" s="81" t="s">
        <v>113</v>
      </c>
      <c r="T209" s="349">
        <v>42723</v>
      </c>
      <c r="U209" s="349">
        <v>42825</v>
      </c>
      <c r="W209" s="81" t="s">
        <v>114</v>
      </c>
      <c r="Y209" s="81" t="s">
        <v>115</v>
      </c>
      <c r="Z209" s="81" t="s">
        <v>398</v>
      </c>
      <c r="AA209" s="81" t="s">
        <v>117</v>
      </c>
      <c r="AB209" s="81" t="s">
        <v>311</v>
      </c>
      <c r="AC209" s="166">
        <v>3.9000000804662698E-2</v>
      </c>
      <c r="AD209" s="349">
        <v>42825</v>
      </c>
      <c r="AF209" s="349">
        <v>42986</v>
      </c>
      <c r="AG209" s="81" t="s">
        <v>238</v>
      </c>
      <c r="AH209" s="81" t="s">
        <v>118</v>
      </c>
      <c r="AK209" s="166">
        <v>0</v>
      </c>
      <c r="AM209" s="166">
        <v>0</v>
      </c>
      <c r="AO209" s="166">
        <v>0</v>
      </c>
      <c r="AP209" s="166">
        <v>2</v>
      </c>
      <c r="AQ209" s="166">
        <v>2</v>
      </c>
      <c r="AR209" s="166">
        <v>2</v>
      </c>
      <c r="AS209" s="166">
        <v>0</v>
      </c>
      <c r="AT209" s="166">
        <v>0</v>
      </c>
      <c r="AU209" s="166">
        <v>0</v>
      </c>
      <c r="AV209" s="166">
        <v>0</v>
      </c>
      <c r="AW209" s="166">
        <v>2</v>
      </c>
      <c r="AX209" s="166">
        <v>2</v>
      </c>
      <c r="AY209" s="166">
        <v>2</v>
      </c>
      <c r="AZ209" s="166">
        <v>0</v>
      </c>
      <c r="BA209" s="166">
        <v>0</v>
      </c>
      <c r="BB209" s="166">
        <v>0</v>
      </c>
      <c r="BC209" s="166">
        <v>0</v>
      </c>
      <c r="BD209" s="166">
        <v>0</v>
      </c>
      <c r="BE209" s="166">
        <v>0</v>
      </c>
      <c r="BF209" s="166">
        <v>0</v>
      </c>
      <c r="BG209" s="166">
        <v>0</v>
      </c>
      <c r="BH209" s="166">
        <v>0</v>
      </c>
      <c r="BI209" s="166">
        <v>0</v>
      </c>
      <c r="BJ209" s="166">
        <v>0</v>
      </c>
      <c r="BK209" s="166">
        <v>0</v>
      </c>
      <c r="BL209" s="166">
        <v>0</v>
      </c>
      <c r="BM209" s="166">
        <v>0</v>
      </c>
      <c r="BN209" s="166">
        <v>0</v>
      </c>
      <c r="BO209" s="166">
        <v>0</v>
      </c>
      <c r="BP209" s="166">
        <v>0</v>
      </c>
      <c r="BQ209" s="81" t="s">
        <v>1757</v>
      </c>
      <c r="BZ209" s="81" t="s">
        <v>155</v>
      </c>
      <c r="CA209" s="81">
        <v>7</v>
      </c>
      <c r="CC209" s="167">
        <f>N209</f>
        <v>6</v>
      </c>
      <c r="CD209" s="167">
        <v>0</v>
      </c>
      <c r="CE209" s="167">
        <v>0</v>
      </c>
      <c r="CF209" s="167">
        <v>0</v>
      </c>
      <c r="CG209" s="167">
        <v>0</v>
      </c>
      <c r="CH209" s="167">
        <v>0</v>
      </c>
      <c r="CI209" s="167">
        <v>0</v>
      </c>
      <c r="CJ209" s="167">
        <v>0</v>
      </c>
      <c r="CK209" s="167">
        <v>0</v>
      </c>
      <c r="CL209" s="167">
        <v>0</v>
      </c>
      <c r="CM209" s="167">
        <v>0</v>
      </c>
      <c r="CN209" s="167">
        <v>0</v>
      </c>
      <c r="CO209" s="167">
        <v>0</v>
      </c>
      <c r="CP209" s="167">
        <v>0</v>
      </c>
      <c r="CQ209" s="167">
        <v>0</v>
      </c>
      <c r="CR209" s="167">
        <v>0</v>
      </c>
      <c r="CS209" s="167">
        <v>0</v>
      </c>
      <c r="CT209" s="167">
        <v>0</v>
      </c>
      <c r="CU209" s="167">
        <v>0</v>
      </c>
      <c r="CV209" s="167">
        <v>0</v>
      </c>
      <c r="CW209" s="167">
        <v>0</v>
      </c>
      <c r="CX209" s="167">
        <f>SUM(CD209:CH209)</f>
        <v>0</v>
      </c>
      <c r="CY209" s="167">
        <f>SUM(CD209:CM209)</f>
        <v>0</v>
      </c>
    </row>
    <row r="210" spans="1:103" ht="12.75" customHeight="1" x14ac:dyDescent="0.2">
      <c r="A210" s="81">
        <v>6428</v>
      </c>
      <c r="B210" s="165" t="s">
        <v>1924</v>
      </c>
      <c r="C210" s="165" t="s">
        <v>1080</v>
      </c>
      <c r="E210" s="165" t="s">
        <v>3261</v>
      </c>
      <c r="G210" s="81">
        <v>524963</v>
      </c>
      <c r="H210" s="81">
        <v>174923</v>
      </c>
      <c r="I210" s="165" t="s">
        <v>251</v>
      </c>
      <c r="J210" s="349">
        <v>42825</v>
      </c>
      <c r="K210" s="349">
        <v>43083</v>
      </c>
      <c r="L210" s="166">
        <v>1</v>
      </c>
      <c r="M210" s="166">
        <v>2</v>
      </c>
      <c r="N210" s="166">
        <v>1</v>
      </c>
      <c r="O210" s="166">
        <v>2</v>
      </c>
      <c r="P210" s="166">
        <v>1</v>
      </c>
      <c r="R210" s="165" t="s">
        <v>1081</v>
      </c>
      <c r="S210" s="81" t="s">
        <v>113</v>
      </c>
      <c r="T210" s="349">
        <v>42762</v>
      </c>
      <c r="U210" s="349">
        <v>42824</v>
      </c>
      <c r="W210" s="81" t="s">
        <v>114</v>
      </c>
      <c r="Y210" s="81" t="s">
        <v>115</v>
      </c>
      <c r="Z210" s="81" t="s">
        <v>398</v>
      </c>
      <c r="AA210" s="81" t="s">
        <v>117</v>
      </c>
      <c r="AB210" s="81" t="s">
        <v>120</v>
      </c>
      <c r="AC210" s="166">
        <v>1.30000002682209E-2</v>
      </c>
      <c r="AD210" s="349">
        <v>42825</v>
      </c>
      <c r="AF210" s="349">
        <v>43083</v>
      </c>
      <c r="AG210" s="81" t="s">
        <v>238</v>
      </c>
      <c r="AH210" s="81" t="s">
        <v>118</v>
      </c>
      <c r="AK210" s="166">
        <v>0</v>
      </c>
      <c r="AM210" s="166">
        <v>0</v>
      </c>
      <c r="AO210" s="166">
        <v>0</v>
      </c>
      <c r="AP210" s="166">
        <v>0</v>
      </c>
      <c r="AQ210" s="166">
        <v>1</v>
      </c>
      <c r="AR210" s="166">
        <v>1</v>
      </c>
      <c r="AS210" s="166">
        <v>0</v>
      </c>
      <c r="AT210" s="166">
        <v>-1</v>
      </c>
      <c r="AU210" s="166">
        <v>0</v>
      </c>
      <c r="AV210" s="166">
        <v>0</v>
      </c>
      <c r="AW210" s="166">
        <v>0</v>
      </c>
      <c r="AX210" s="166">
        <v>1</v>
      </c>
      <c r="AY210" s="166">
        <v>1</v>
      </c>
      <c r="AZ210" s="166">
        <v>0</v>
      </c>
      <c r="BA210" s="166">
        <v>-1</v>
      </c>
      <c r="BB210" s="166">
        <v>0</v>
      </c>
      <c r="BC210" s="166">
        <v>0</v>
      </c>
      <c r="BD210" s="166">
        <v>0</v>
      </c>
      <c r="BE210" s="166">
        <v>0</v>
      </c>
      <c r="BF210" s="166">
        <v>0</v>
      </c>
      <c r="BG210" s="166">
        <v>0</v>
      </c>
      <c r="BH210" s="166">
        <v>0</v>
      </c>
      <c r="BI210" s="166">
        <v>0</v>
      </c>
      <c r="BJ210" s="166">
        <v>0</v>
      </c>
      <c r="BK210" s="166">
        <v>0</v>
      </c>
      <c r="BL210" s="166">
        <v>0</v>
      </c>
      <c r="BM210" s="166">
        <v>0</v>
      </c>
      <c r="BN210" s="166">
        <v>0</v>
      </c>
      <c r="BO210" s="166">
        <v>0</v>
      </c>
      <c r="BP210" s="166">
        <v>0</v>
      </c>
      <c r="BQ210" s="81" t="s">
        <v>1758</v>
      </c>
      <c r="BZ210" s="81" t="s">
        <v>155</v>
      </c>
      <c r="CA210" s="81">
        <v>7</v>
      </c>
      <c r="CC210" s="167">
        <f>N210</f>
        <v>1</v>
      </c>
      <c r="CD210" s="167">
        <v>0</v>
      </c>
      <c r="CE210" s="167">
        <v>0</v>
      </c>
      <c r="CF210" s="167">
        <v>0</v>
      </c>
      <c r="CG210" s="167">
        <v>0</v>
      </c>
      <c r="CH210" s="167">
        <v>0</v>
      </c>
      <c r="CI210" s="167">
        <v>0</v>
      </c>
      <c r="CJ210" s="167">
        <v>0</v>
      </c>
      <c r="CK210" s="167">
        <v>0</v>
      </c>
      <c r="CL210" s="167">
        <v>0</v>
      </c>
      <c r="CM210" s="167">
        <v>0</v>
      </c>
      <c r="CN210" s="167">
        <v>0</v>
      </c>
      <c r="CO210" s="167">
        <v>0</v>
      </c>
      <c r="CP210" s="167">
        <v>0</v>
      </c>
      <c r="CQ210" s="167">
        <v>0</v>
      </c>
      <c r="CR210" s="167">
        <v>0</v>
      </c>
      <c r="CS210" s="167">
        <v>0</v>
      </c>
      <c r="CT210" s="167">
        <v>0</v>
      </c>
      <c r="CU210" s="167">
        <v>0</v>
      </c>
      <c r="CV210" s="167">
        <v>0</v>
      </c>
      <c r="CW210" s="167">
        <v>0</v>
      </c>
      <c r="CX210" s="167">
        <f>SUM(CD210:CH210)</f>
        <v>0</v>
      </c>
      <c r="CY210" s="167">
        <f>SUM(CD210:CM210)</f>
        <v>0</v>
      </c>
    </row>
    <row r="211" spans="1:103" ht="12.75" customHeight="1" x14ac:dyDescent="0.2">
      <c r="A211" s="81">
        <v>6429</v>
      </c>
      <c r="B211" s="165" t="s">
        <v>1924</v>
      </c>
      <c r="C211" s="165" t="s">
        <v>1528</v>
      </c>
      <c r="E211" s="165" t="s">
        <v>3262</v>
      </c>
      <c r="G211" s="81">
        <v>527414</v>
      </c>
      <c r="H211" s="81">
        <v>176601</v>
      </c>
      <c r="I211" s="165" t="s">
        <v>257</v>
      </c>
      <c r="J211" s="349">
        <v>42990</v>
      </c>
      <c r="K211" s="349">
        <v>43190</v>
      </c>
      <c r="L211" s="166">
        <v>2</v>
      </c>
      <c r="M211" s="166">
        <v>1</v>
      </c>
      <c r="N211" s="166">
        <v>-1</v>
      </c>
      <c r="O211" s="166">
        <v>1</v>
      </c>
      <c r="P211" s="166">
        <v>-1</v>
      </c>
      <c r="R211" s="165" t="s">
        <v>1529</v>
      </c>
      <c r="S211" s="81" t="s">
        <v>113</v>
      </c>
      <c r="T211" s="349">
        <v>42755</v>
      </c>
      <c r="U211" s="349">
        <v>42811</v>
      </c>
      <c r="W211" s="81" t="s">
        <v>114</v>
      </c>
      <c r="Y211" s="81" t="s">
        <v>115</v>
      </c>
      <c r="Z211" s="81" t="s">
        <v>398</v>
      </c>
      <c r="AA211" s="81" t="s">
        <v>117</v>
      </c>
      <c r="AB211" s="81" t="s">
        <v>336</v>
      </c>
      <c r="AC211" s="166">
        <v>8.9999996125698107E-3</v>
      </c>
      <c r="AD211" s="349">
        <v>42990</v>
      </c>
      <c r="AE211" s="81" t="s">
        <v>155</v>
      </c>
      <c r="AF211" s="349">
        <v>43190</v>
      </c>
      <c r="AG211" s="81" t="s">
        <v>238</v>
      </c>
      <c r="AH211" s="81" t="s">
        <v>118</v>
      </c>
      <c r="AK211" s="166">
        <v>0</v>
      </c>
      <c r="AM211" s="166">
        <v>0</v>
      </c>
      <c r="AO211" s="166">
        <v>0</v>
      </c>
      <c r="AP211" s="166">
        <v>-1</v>
      </c>
      <c r="AQ211" s="166">
        <v>-1</v>
      </c>
      <c r="AR211" s="166">
        <v>0</v>
      </c>
      <c r="AS211" s="166">
        <v>1</v>
      </c>
      <c r="AT211" s="166">
        <v>0</v>
      </c>
      <c r="AU211" s="166">
        <v>0</v>
      </c>
      <c r="AV211" s="166">
        <v>0</v>
      </c>
      <c r="AW211" s="166">
        <v>-1</v>
      </c>
      <c r="AX211" s="166">
        <v>-1</v>
      </c>
      <c r="AY211" s="166">
        <v>0</v>
      </c>
      <c r="AZ211" s="166">
        <v>0</v>
      </c>
      <c r="BA211" s="166">
        <v>0</v>
      </c>
      <c r="BB211" s="166">
        <v>0</v>
      </c>
      <c r="BC211" s="166">
        <v>0</v>
      </c>
      <c r="BD211" s="166">
        <v>0</v>
      </c>
      <c r="BE211" s="166">
        <v>0</v>
      </c>
      <c r="BF211" s="166">
        <v>0</v>
      </c>
      <c r="BG211" s="166">
        <v>1</v>
      </c>
      <c r="BH211" s="166">
        <v>0</v>
      </c>
      <c r="BI211" s="166">
        <v>0</v>
      </c>
      <c r="BJ211" s="166">
        <v>0</v>
      </c>
      <c r="BK211" s="166">
        <v>0</v>
      </c>
      <c r="BL211" s="166">
        <v>0</v>
      </c>
      <c r="BM211" s="166">
        <v>0</v>
      </c>
      <c r="BN211" s="166">
        <v>0</v>
      </c>
      <c r="BO211" s="166">
        <v>0</v>
      </c>
      <c r="BP211" s="166">
        <v>0</v>
      </c>
      <c r="BQ211" s="81" t="s">
        <v>1757</v>
      </c>
      <c r="BZ211" s="81" t="s">
        <v>155</v>
      </c>
      <c r="CA211" s="81">
        <v>7</v>
      </c>
      <c r="CC211" s="167">
        <f>N211</f>
        <v>-1</v>
      </c>
      <c r="CD211" s="167">
        <v>0</v>
      </c>
      <c r="CE211" s="167">
        <v>0</v>
      </c>
      <c r="CF211" s="167">
        <v>0</v>
      </c>
      <c r="CG211" s="167">
        <v>0</v>
      </c>
      <c r="CH211" s="167">
        <v>0</v>
      </c>
      <c r="CI211" s="167">
        <v>0</v>
      </c>
      <c r="CJ211" s="167">
        <v>0</v>
      </c>
      <c r="CK211" s="167">
        <v>0</v>
      </c>
      <c r="CL211" s="167">
        <v>0</v>
      </c>
      <c r="CM211" s="167">
        <v>0</v>
      </c>
      <c r="CN211" s="167">
        <v>0</v>
      </c>
      <c r="CO211" s="167">
        <v>0</v>
      </c>
      <c r="CP211" s="167">
        <v>0</v>
      </c>
      <c r="CQ211" s="167">
        <v>0</v>
      </c>
      <c r="CR211" s="167">
        <v>0</v>
      </c>
      <c r="CS211" s="167">
        <v>0</v>
      </c>
      <c r="CT211" s="167">
        <v>0</v>
      </c>
      <c r="CU211" s="167">
        <v>0</v>
      </c>
      <c r="CV211" s="167">
        <v>0</v>
      </c>
      <c r="CW211" s="167">
        <v>0</v>
      </c>
      <c r="CX211" s="167">
        <f>SUM(CD211:CH211)</f>
        <v>0</v>
      </c>
      <c r="CY211" s="167">
        <f>SUM(CD211:CM211)</f>
        <v>0</v>
      </c>
    </row>
    <row r="212" spans="1:103" ht="12.75" customHeight="1" x14ac:dyDescent="0.2">
      <c r="A212" s="81">
        <v>6484</v>
      </c>
      <c r="B212" s="165" t="s">
        <v>1924</v>
      </c>
      <c r="C212" s="165" t="s">
        <v>1672</v>
      </c>
      <c r="E212" s="165" t="s">
        <v>3263</v>
      </c>
      <c r="G212" s="81">
        <v>527426</v>
      </c>
      <c r="H212" s="81">
        <v>171659</v>
      </c>
      <c r="I212" s="165" t="s">
        <v>242</v>
      </c>
      <c r="J212" s="349">
        <v>42863</v>
      </c>
      <c r="K212" s="349">
        <v>43190</v>
      </c>
      <c r="L212" s="166">
        <v>2</v>
      </c>
      <c r="M212" s="166">
        <v>1</v>
      </c>
      <c r="N212" s="166">
        <v>-1</v>
      </c>
      <c r="O212" s="166">
        <v>1</v>
      </c>
      <c r="P212" s="166">
        <v>-1</v>
      </c>
      <c r="R212" s="165" t="s">
        <v>1673</v>
      </c>
      <c r="S212" s="81" t="s">
        <v>113</v>
      </c>
      <c r="T212" s="349">
        <v>42807</v>
      </c>
      <c r="U212" s="349">
        <v>42863</v>
      </c>
      <c r="V212" s="81" t="s">
        <v>155</v>
      </c>
      <c r="W212" s="81" t="s">
        <v>114</v>
      </c>
      <c r="Y212" s="81" t="s">
        <v>115</v>
      </c>
      <c r="Z212" s="81" t="s">
        <v>119</v>
      </c>
      <c r="AA212" s="81" t="s">
        <v>117</v>
      </c>
      <c r="AB212" s="81" t="s">
        <v>336</v>
      </c>
      <c r="AC212" s="166">
        <v>1.7999999225139601E-2</v>
      </c>
      <c r="AD212" s="349">
        <v>42863</v>
      </c>
      <c r="AE212" s="81" t="s">
        <v>155</v>
      </c>
      <c r="AF212" s="349">
        <v>43190</v>
      </c>
      <c r="AG212" s="81" t="s">
        <v>238</v>
      </c>
      <c r="AH212" s="81" t="s">
        <v>118</v>
      </c>
      <c r="AK212" s="166">
        <v>0</v>
      </c>
      <c r="AM212" s="166">
        <v>0</v>
      </c>
      <c r="AO212" s="166">
        <v>0</v>
      </c>
      <c r="AP212" s="166">
        <v>-1</v>
      </c>
      <c r="AQ212" s="166">
        <v>-1</v>
      </c>
      <c r="AR212" s="166">
        <v>1</v>
      </c>
      <c r="AS212" s="166">
        <v>0</v>
      </c>
      <c r="AT212" s="166">
        <v>0</v>
      </c>
      <c r="AU212" s="166">
        <v>0</v>
      </c>
      <c r="AV212" s="166">
        <v>0</v>
      </c>
      <c r="AW212" s="166">
        <v>-1</v>
      </c>
      <c r="AX212" s="166">
        <v>-1</v>
      </c>
      <c r="AY212" s="166">
        <v>0</v>
      </c>
      <c r="AZ212" s="166">
        <v>0</v>
      </c>
      <c r="BA212" s="166">
        <v>0</v>
      </c>
      <c r="BB212" s="166">
        <v>0</v>
      </c>
      <c r="BC212" s="166">
        <v>0</v>
      </c>
      <c r="BD212" s="166">
        <v>0</v>
      </c>
      <c r="BE212" s="166">
        <v>0</v>
      </c>
      <c r="BF212" s="166">
        <v>1</v>
      </c>
      <c r="BG212" s="166">
        <v>0</v>
      </c>
      <c r="BH212" s="166">
        <v>0</v>
      </c>
      <c r="BI212" s="166">
        <v>0</v>
      </c>
      <c r="BJ212" s="166">
        <v>0</v>
      </c>
      <c r="BK212" s="166">
        <v>0</v>
      </c>
      <c r="BL212" s="166">
        <v>0</v>
      </c>
      <c r="BM212" s="166">
        <v>0</v>
      </c>
      <c r="BN212" s="166">
        <v>0</v>
      </c>
      <c r="BO212" s="166">
        <v>0</v>
      </c>
      <c r="BP212" s="166">
        <v>0</v>
      </c>
      <c r="BQ212" s="81" t="s">
        <v>1757</v>
      </c>
      <c r="BZ212" s="81" t="s">
        <v>155</v>
      </c>
      <c r="CA212" s="81">
        <v>7</v>
      </c>
      <c r="CC212" s="167">
        <f>N212</f>
        <v>-1</v>
      </c>
      <c r="CD212" s="167">
        <v>0</v>
      </c>
      <c r="CE212" s="167">
        <v>0</v>
      </c>
      <c r="CF212" s="167">
        <v>0</v>
      </c>
      <c r="CG212" s="167">
        <v>0</v>
      </c>
      <c r="CH212" s="167">
        <v>0</v>
      </c>
      <c r="CI212" s="167">
        <v>0</v>
      </c>
      <c r="CJ212" s="167">
        <v>0</v>
      </c>
      <c r="CK212" s="167">
        <v>0</v>
      </c>
      <c r="CL212" s="167">
        <v>0</v>
      </c>
      <c r="CM212" s="167">
        <v>0</v>
      </c>
      <c r="CN212" s="167">
        <v>0</v>
      </c>
      <c r="CO212" s="167">
        <v>0</v>
      </c>
      <c r="CP212" s="167">
        <v>0</v>
      </c>
      <c r="CQ212" s="167">
        <v>0</v>
      </c>
      <c r="CR212" s="167">
        <v>0</v>
      </c>
      <c r="CS212" s="167">
        <v>0</v>
      </c>
      <c r="CT212" s="167">
        <v>0</v>
      </c>
      <c r="CU212" s="167">
        <v>0</v>
      </c>
      <c r="CV212" s="167">
        <v>0</v>
      </c>
      <c r="CW212" s="167">
        <v>0</v>
      </c>
      <c r="CX212" s="167">
        <f>SUM(CD212:CH212)</f>
        <v>0</v>
      </c>
      <c r="CY212" s="167">
        <f>SUM(CD212:CM212)</f>
        <v>0</v>
      </c>
    </row>
    <row r="213" spans="1:103" ht="12.75" customHeight="1" x14ac:dyDescent="0.2">
      <c r="A213" s="81">
        <v>6488</v>
      </c>
      <c r="B213" s="165" t="s">
        <v>1924</v>
      </c>
      <c r="C213" s="165" t="s">
        <v>3264</v>
      </c>
      <c r="E213" s="165" t="s">
        <v>3265</v>
      </c>
      <c r="G213" s="81">
        <v>525892</v>
      </c>
      <c r="H213" s="81">
        <v>173930</v>
      </c>
      <c r="I213" s="165" t="s">
        <v>249</v>
      </c>
      <c r="K213" s="349">
        <v>43190</v>
      </c>
      <c r="L213" s="166">
        <v>1</v>
      </c>
      <c r="M213" s="166">
        <v>2</v>
      </c>
      <c r="N213" s="166">
        <v>1</v>
      </c>
      <c r="O213" s="166">
        <v>3</v>
      </c>
      <c r="P213" s="166">
        <v>2</v>
      </c>
      <c r="R213" s="165" t="s">
        <v>3266</v>
      </c>
      <c r="S213" s="81" t="s">
        <v>113</v>
      </c>
      <c r="T213" s="349">
        <v>42913</v>
      </c>
      <c r="U213" s="349">
        <v>42971</v>
      </c>
      <c r="V213" s="81" t="s">
        <v>155</v>
      </c>
      <c r="W213" s="81" t="s">
        <v>114</v>
      </c>
      <c r="Y213" s="81" t="s">
        <v>115</v>
      </c>
      <c r="Z213" s="81" t="s">
        <v>398</v>
      </c>
      <c r="AA213" s="81" t="s">
        <v>117</v>
      </c>
      <c r="AB213" s="81" t="s">
        <v>220</v>
      </c>
      <c r="AC213" s="166">
        <v>4.9999998882412902E-3</v>
      </c>
      <c r="AF213" s="349">
        <v>43190</v>
      </c>
      <c r="AG213" s="81" t="s">
        <v>238</v>
      </c>
      <c r="AH213" s="81" t="s">
        <v>118</v>
      </c>
      <c r="AK213" s="166">
        <v>0</v>
      </c>
      <c r="AM213" s="166">
        <v>0</v>
      </c>
      <c r="AO213" s="166">
        <v>0</v>
      </c>
      <c r="AP213" s="166">
        <v>1</v>
      </c>
      <c r="AQ213" s="166">
        <v>1</v>
      </c>
      <c r="AR213" s="166">
        <v>-1</v>
      </c>
      <c r="AS213" s="166">
        <v>0</v>
      </c>
      <c r="AT213" s="166">
        <v>0</v>
      </c>
      <c r="AU213" s="166">
        <v>0</v>
      </c>
      <c r="AV213" s="166">
        <v>0</v>
      </c>
      <c r="AW213" s="166">
        <v>1</v>
      </c>
      <c r="AX213" s="166">
        <v>1</v>
      </c>
      <c r="AY213" s="166">
        <v>-1</v>
      </c>
      <c r="AZ213" s="166">
        <v>0</v>
      </c>
      <c r="BA213" s="166">
        <v>0</v>
      </c>
      <c r="BB213" s="166">
        <v>0</v>
      </c>
      <c r="BC213" s="166">
        <v>0</v>
      </c>
      <c r="BD213" s="166">
        <v>0</v>
      </c>
      <c r="BE213" s="166">
        <v>0</v>
      </c>
      <c r="BF213" s="166">
        <v>0</v>
      </c>
      <c r="BG213" s="166">
        <v>0</v>
      </c>
      <c r="BH213" s="166">
        <v>0</v>
      </c>
      <c r="BI213" s="166">
        <v>0</v>
      </c>
      <c r="BJ213" s="166">
        <v>0</v>
      </c>
      <c r="BK213" s="166">
        <v>0</v>
      </c>
      <c r="BL213" s="166">
        <v>0</v>
      </c>
      <c r="BM213" s="166">
        <v>0</v>
      </c>
      <c r="BN213" s="166">
        <v>0</v>
      </c>
      <c r="BO213" s="166">
        <v>0</v>
      </c>
      <c r="BP213" s="166">
        <v>0</v>
      </c>
      <c r="BQ213" s="81" t="s">
        <v>1758</v>
      </c>
      <c r="BZ213" s="81" t="s">
        <v>155</v>
      </c>
      <c r="CA213" s="81">
        <v>7</v>
      </c>
      <c r="CC213" s="167">
        <f>N213</f>
        <v>1</v>
      </c>
      <c r="CD213" s="167">
        <v>0</v>
      </c>
      <c r="CE213" s="167">
        <v>0</v>
      </c>
      <c r="CF213" s="167">
        <v>0</v>
      </c>
      <c r="CG213" s="167">
        <v>0</v>
      </c>
      <c r="CH213" s="167">
        <v>0</v>
      </c>
      <c r="CI213" s="167">
        <v>0</v>
      </c>
      <c r="CJ213" s="167">
        <v>0</v>
      </c>
      <c r="CK213" s="167">
        <v>0</v>
      </c>
      <c r="CL213" s="167">
        <v>0</v>
      </c>
      <c r="CM213" s="167">
        <v>0</v>
      </c>
      <c r="CN213" s="167">
        <v>0</v>
      </c>
      <c r="CO213" s="167">
        <v>0</v>
      </c>
      <c r="CP213" s="167">
        <v>0</v>
      </c>
      <c r="CQ213" s="167">
        <v>0</v>
      </c>
      <c r="CR213" s="167">
        <v>0</v>
      </c>
      <c r="CS213" s="167">
        <v>0</v>
      </c>
      <c r="CT213" s="167">
        <v>0</v>
      </c>
      <c r="CU213" s="167">
        <v>0</v>
      </c>
      <c r="CV213" s="167">
        <v>0</v>
      </c>
      <c r="CW213" s="167">
        <v>0</v>
      </c>
      <c r="CX213" s="167">
        <f>SUM(CD213:CH213)</f>
        <v>0</v>
      </c>
      <c r="CY213" s="167">
        <f>SUM(CD213:CM213)</f>
        <v>0</v>
      </c>
    </row>
    <row r="214" spans="1:103" ht="12.75" customHeight="1" x14ac:dyDescent="0.2">
      <c r="A214" s="81">
        <v>6488</v>
      </c>
      <c r="B214" s="165" t="s">
        <v>1924</v>
      </c>
      <c r="C214" s="165" t="s">
        <v>3264</v>
      </c>
      <c r="E214" s="165" t="s">
        <v>3265</v>
      </c>
      <c r="G214" s="81">
        <v>525892</v>
      </c>
      <c r="H214" s="81">
        <v>173930</v>
      </c>
      <c r="I214" s="165" t="s">
        <v>249</v>
      </c>
      <c r="K214" s="349">
        <v>43190</v>
      </c>
      <c r="L214" s="166">
        <v>0</v>
      </c>
      <c r="M214" s="166">
        <v>1</v>
      </c>
      <c r="N214" s="166">
        <v>1</v>
      </c>
      <c r="O214" s="166">
        <v>3</v>
      </c>
      <c r="P214" s="166">
        <v>2</v>
      </c>
      <c r="R214" s="165" t="s">
        <v>3266</v>
      </c>
      <c r="S214" s="81" t="s">
        <v>113</v>
      </c>
      <c r="T214" s="349">
        <v>42913</v>
      </c>
      <c r="U214" s="349">
        <v>42971</v>
      </c>
      <c r="V214" s="81" t="s">
        <v>155</v>
      </c>
      <c r="W214" s="81" t="s">
        <v>114</v>
      </c>
      <c r="Y214" s="81" t="s">
        <v>115</v>
      </c>
      <c r="Z214" s="81" t="s">
        <v>398</v>
      </c>
      <c r="AA214" s="81" t="s">
        <v>117</v>
      </c>
      <c r="AB214" s="81" t="s">
        <v>311</v>
      </c>
      <c r="AC214" s="166">
        <v>2.0000000949949E-3</v>
      </c>
      <c r="AF214" s="349">
        <v>43190</v>
      </c>
      <c r="AG214" s="81" t="s">
        <v>238</v>
      </c>
      <c r="AH214" s="81" t="s">
        <v>118</v>
      </c>
      <c r="AK214" s="166">
        <v>0</v>
      </c>
      <c r="AM214" s="166">
        <v>0</v>
      </c>
      <c r="AO214" s="166">
        <v>0</v>
      </c>
      <c r="AP214" s="166">
        <v>0</v>
      </c>
      <c r="AQ214" s="166">
        <v>1</v>
      </c>
      <c r="AR214" s="166">
        <v>0</v>
      </c>
      <c r="AS214" s="166">
        <v>0</v>
      </c>
      <c r="AT214" s="166">
        <v>0</v>
      </c>
      <c r="AU214" s="166">
        <v>0</v>
      </c>
      <c r="AV214" s="166">
        <v>0</v>
      </c>
      <c r="AW214" s="166">
        <v>0</v>
      </c>
      <c r="AX214" s="166">
        <v>1</v>
      </c>
      <c r="AY214" s="166">
        <v>0</v>
      </c>
      <c r="AZ214" s="166">
        <v>0</v>
      </c>
      <c r="BA214" s="166">
        <v>0</v>
      </c>
      <c r="BB214" s="166">
        <v>0</v>
      </c>
      <c r="BC214" s="166">
        <v>0</v>
      </c>
      <c r="BD214" s="166">
        <v>0</v>
      </c>
      <c r="BE214" s="166">
        <v>0</v>
      </c>
      <c r="BF214" s="166">
        <v>0</v>
      </c>
      <c r="BG214" s="166">
        <v>0</v>
      </c>
      <c r="BH214" s="166">
        <v>0</v>
      </c>
      <c r="BI214" s="166">
        <v>0</v>
      </c>
      <c r="BJ214" s="166">
        <v>0</v>
      </c>
      <c r="BK214" s="166">
        <v>0</v>
      </c>
      <c r="BL214" s="166">
        <v>0</v>
      </c>
      <c r="BM214" s="166">
        <v>0</v>
      </c>
      <c r="BN214" s="166">
        <v>0</v>
      </c>
      <c r="BO214" s="166">
        <v>0</v>
      </c>
      <c r="BP214" s="166">
        <v>0</v>
      </c>
      <c r="BQ214" s="81" t="s">
        <v>1758</v>
      </c>
      <c r="BZ214" s="81" t="s">
        <v>155</v>
      </c>
      <c r="CA214" s="81">
        <v>7</v>
      </c>
      <c r="CC214" s="167">
        <f>N214</f>
        <v>1</v>
      </c>
      <c r="CD214" s="167">
        <v>0</v>
      </c>
      <c r="CE214" s="167">
        <v>0</v>
      </c>
      <c r="CF214" s="167">
        <v>0</v>
      </c>
      <c r="CG214" s="167">
        <v>0</v>
      </c>
      <c r="CH214" s="167">
        <v>0</v>
      </c>
      <c r="CI214" s="167">
        <v>0</v>
      </c>
      <c r="CJ214" s="167">
        <v>0</v>
      </c>
      <c r="CK214" s="167">
        <v>0</v>
      </c>
      <c r="CL214" s="167">
        <v>0</v>
      </c>
      <c r="CM214" s="167">
        <v>0</v>
      </c>
      <c r="CN214" s="167">
        <v>0</v>
      </c>
      <c r="CO214" s="167">
        <v>0</v>
      </c>
      <c r="CP214" s="167">
        <v>0</v>
      </c>
      <c r="CQ214" s="167">
        <v>0</v>
      </c>
      <c r="CR214" s="167">
        <v>0</v>
      </c>
      <c r="CS214" s="167">
        <v>0</v>
      </c>
      <c r="CT214" s="167">
        <v>0</v>
      </c>
      <c r="CU214" s="167">
        <v>0</v>
      </c>
      <c r="CV214" s="167">
        <v>0</v>
      </c>
      <c r="CW214" s="167">
        <v>0</v>
      </c>
      <c r="CX214" s="167">
        <f>SUM(CD214:CH214)</f>
        <v>0</v>
      </c>
      <c r="CY214" s="167">
        <f>SUM(CD214:CM214)</f>
        <v>0</v>
      </c>
    </row>
    <row r="215" spans="1:103" ht="12.75" customHeight="1" x14ac:dyDescent="0.2">
      <c r="A215" s="81">
        <v>6506</v>
      </c>
      <c r="B215" s="165" t="s">
        <v>1924</v>
      </c>
      <c r="C215" s="165" t="s">
        <v>1299</v>
      </c>
      <c r="D215" s="165" t="s">
        <v>876</v>
      </c>
      <c r="E215" s="165" t="s">
        <v>3267</v>
      </c>
      <c r="G215" s="81">
        <v>526382</v>
      </c>
      <c r="H215" s="81">
        <v>175731</v>
      </c>
      <c r="I215" s="165" t="s">
        <v>257</v>
      </c>
      <c r="J215" s="349">
        <v>42826</v>
      </c>
      <c r="K215" s="349">
        <v>43190</v>
      </c>
      <c r="L215" s="166">
        <v>0</v>
      </c>
      <c r="M215" s="166">
        <v>3</v>
      </c>
      <c r="N215" s="166">
        <v>3</v>
      </c>
      <c r="O215" s="166">
        <v>3</v>
      </c>
      <c r="P215" s="166">
        <v>3</v>
      </c>
      <c r="R215" s="165" t="s">
        <v>1300</v>
      </c>
      <c r="S215" s="81" t="s">
        <v>270</v>
      </c>
      <c r="T215" s="349">
        <v>42536</v>
      </c>
      <c r="U215" s="349">
        <v>42592</v>
      </c>
      <c r="W215" s="81" t="s">
        <v>114</v>
      </c>
      <c r="Y215" s="81" t="s">
        <v>115</v>
      </c>
      <c r="Z215" s="81" t="s">
        <v>310</v>
      </c>
      <c r="AA215" s="81" t="s">
        <v>117</v>
      </c>
      <c r="AB215" s="81" t="s">
        <v>399</v>
      </c>
      <c r="AC215" s="166">
        <v>1.7000000923872001E-2</v>
      </c>
      <c r="AD215" s="349">
        <v>42826</v>
      </c>
      <c r="AE215" s="81" t="s">
        <v>155</v>
      </c>
      <c r="AF215" s="349">
        <v>43190</v>
      </c>
      <c r="AG215" s="81" t="s">
        <v>238</v>
      </c>
      <c r="AH215" s="81" t="s">
        <v>118</v>
      </c>
      <c r="AK215" s="166">
        <v>0</v>
      </c>
      <c r="AM215" s="166">
        <v>0</v>
      </c>
      <c r="AO215" s="166">
        <v>0</v>
      </c>
      <c r="AP215" s="166">
        <v>2</v>
      </c>
      <c r="AQ215" s="166">
        <v>1</v>
      </c>
      <c r="AR215" s="166">
        <v>0</v>
      </c>
      <c r="AS215" s="166">
        <v>0</v>
      </c>
      <c r="AT215" s="166">
        <v>0</v>
      </c>
      <c r="AU215" s="166">
        <v>0</v>
      </c>
      <c r="AV215" s="166">
        <v>0</v>
      </c>
      <c r="AW215" s="166">
        <v>2</v>
      </c>
      <c r="AX215" s="166">
        <v>1</v>
      </c>
      <c r="AY215" s="166">
        <v>0</v>
      </c>
      <c r="AZ215" s="166">
        <v>0</v>
      </c>
      <c r="BA215" s="166">
        <v>0</v>
      </c>
      <c r="BB215" s="166">
        <v>0</v>
      </c>
      <c r="BC215" s="166">
        <v>0</v>
      </c>
      <c r="BD215" s="166">
        <v>0</v>
      </c>
      <c r="BE215" s="166">
        <v>0</v>
      </c>
      <c r="BF215" s="166">
        <v>0</v>
      </c>
      <c r="BG215" s="166">
        <v>0</v>
      </c>
      <c r="BH215" s="166">
        <v>0</v>
      </c>
      <c r="BI215" s="166">
        <v>0</v>
      </c>
      <c r="BJ215" s="166">
        <v>0</v>
      </c>
      <c r="BK215" s="166">
        <v>0</v>
      </c>
      <c r="BL215" s="166">
        <v>0</v>
      </c>
      <c r="BM215" s="166">
        <v>0</v>
      </c>
      <c r="BN215" s="166">
        <v>0</v>
      </c>
      <c r="BO215" s="166">
        <v>0</v>
      </c>
      <c r="BP215" s="166">
        <v>0</v>
      </c>
      <c r="BQ215" s="81" t="s">
        <v>1757</v>
      </c>
      <c r="BX215" s="81" t="s">
        <v>155</v>
      </c>
      <c r="BZ215" s="81" t="s">
        <v>155</v>
      </c>
      <c r="CA215" s="81">
        <v>7</v>
      </c>
      <c r="CC215" s="167">
        <f>N215</f>
        <v>3</v>
      </c>
      <c r="CD215" s="167">
        <v>0</v>
      </c>
      <c r="CE215" s="167">
        <v>0</v>
      </c>
      <c r="CF215" s="167">
        <v>0</v>
      </c>
      <c r="CG215" s="167">
        <v>0</v>
      </c>
      <c r="CH215" s="167">
        <v>0</v>
      </c>
      <c r="CI215" s="167">
        <v>0</v>
      </c>
      <c r="CJ215" s="167">
        <v>0</v>
      </c>
      <c r="CK215" s="167">
        <v>0</v>
      </c>
      <c r="CL215" s="167">
        <v>0</v>
      </c>
      <c r="CM215" s="167">
        <v>0</v>
      </c>
      <c r="CN215" s="167">
        <v>0</v>
      </c>
      <c r="CO215" s="167">
        <v>0</v>
      </c>
      <c r="CP215" s="167">
        <v>0</v>
      </c>
      <c r="CQ215" s="167">
        <v>0</v>
      </c>
      <c r="CR215" s="167">
        <v>0</v>
      </c>
      <c r="CS215" s="167">
        <v>0</v>
      </c>
      <c r="CT215" s="167">
        <v>0</v>
      </c>
      <c r="CU215" s="167">
        <v>0</v>
      </c>
      <c r="CV215" s="167">
        <v>0</v>
      </c>
      <c r="CW215" s="167">
        <v>0</v>
      </c>
      <c r="CX215" s="167">
        <f>SUM(CD215:CH215)</f>
        <v>0</v>
      </c>
      <c r="CY215" s="167">
        <f>SUM(CD215:CM215)</f>
        <v>0</v>
      </c>
    </row>
    <row r="216" spans="1:103" ht="12.75" customHeight="1" x14ac:dyDescent="0.2">
      <c r="A216" s="81">
        <v>6512</v>
      </c>
      <c r="B216" s="165" t="s">
        <v>1924</v>
      </c>
      <c r="C216" s="165" t="s">
        <v>3268</v>
      </c>
      <c r="E216" s="165" t="s">
        <v>3269</v>
      </c>
      <c r="G216" s="81">
        <v>527748</v>
      </c>
      <c r="H216" s="81">
        <v>173556</v>
      </c>
      <c r="I216" s="165" t="s">
        <v>254</v>
      </c>
      <c r="J216" s="349">
        <v>43035</v>
      </c>
      <c r="K216" s="349">
        <v>43060</v>
      </c>
      <c r="L216" s="166">
        <v>2</v>
      </c>
      <c r="M216" s="166">
        <v>2</v>
      </c>
      <c r="N216" s="166">
        <v>0</v>
      </c>
      <c r="O216" s="166">
        <v>4</v>
      </c>
      <c r="P216" s="166">
        <v>2</v>
      </c>
      <c r="R216" s="165" t="s">
        <v>3270</v>
      </c>
      <c r="S216" s="81" t="s">
        <v>113</v>
      </c>
      <c r="T216" s="349">
        <v>42837</v>
      </c>
      <c r="U216" s="349">
        <v>43003</v>
      </c>
      <c r="V216" s="81" t="s">
        <v>155</v>
      </c>
      <c r="W216" s="81" t="s">
        <v>114</v>
      </c>
      <c r="Y216" s="81" t="s">
        <v>115</v>
      </c>
      <c r="Z216" s="81" t="s">
        <v>398</v>
      </c>
      <c r="AA216" s="81" t="s">
        <v>117</v>
      </c>
      <c r="AB216" s="81" t="s">
        <v>300</v>
      </c>
      <c r="AC216" s="166">
        <v>2.19999998807907E-2</v>
      </c>
      <c r="AD216" s="349">
        <v>43035</v>
      </c>
      <c r="AE216" s="81" t="s">
        <v>155</v>
      </c>
      <c r="AF216" s="349">
        <v>43060</v>
      </c>
      <c r="AG216" s="81" t="s">
        <v>238</v>
      </c>
      <c r="AH216" s="81" t="s">
        <v>118</v>
      </c>
      <c r="AK216" s="166">
        <v>0</v>
      </c>
      <c r="AM216" s="166">
        <v>0</v>
      </c>
      <c r="AO216" s="166">
        <v>0</v>
      </c>
      <c r="AP216" s="166">
        <v>2</v>
      </c>
      <c r="AQ216" s="166">
        <v>-2</v>
      </c>
      <c r="AR216" s="166">
        <v>0</v>
      </c>
      <c r="AS216" s="166">
        <v>0</v>
      </c>
      <c r="AT216" s="166">
        <v>0</v>
      </c>
      <c r="AU216" s="166">
        <v>0</v>
      </c>
      <c r="AV216" s="166">
        <v>0</v>
      </c>
      <c r="AW216" s="166">
        <v>2</v>
      </c>
      <c r="AX216" s="166">
        <v>-2</v>
      </c>
      <c r="AY216" s="166">
        <v>0</v>
      </c>
      <c r="AZ216" s="166">
        <v>0</v>
      </c>
      <c r="BA216" s="166">
        <v>0</v>
      </c>
      <c r="BB216" s="166">
        <v>0</v>
      </c>
      <c r="BC216" s="166">
        <v>0</v>
      </c>
      <c r="BD216" s="166">
        <v>0</v>
      </c>
      <c r="BE216" s="166">
        <v>0</v>
      </c>
      <c r="BF216" s="166">
        <v>0</v>
      </c>
      <c r="BG216" s="166">
        <v>0</v>
      </c>
      <c r="BH216" s="166">
        <v>0</v>
      </c>
      <c r="BI216" s="166">
        <v>0</v>
      </c>
      <c r="BJ216" s="166">
        <v>0</v>
      </c>
      <c r="BK216" s="166">
        <v>0</v>
      </c>
      <c r="BL216" s="166">
        <v>0</v>
      </c>
      <c r="BM216" s="166">
        <v>0</v>
      </c>
      <c r="BN216" s="166">
        <v>0</v>
      </c>
      <c r="BO216" s="166">
        <v>0</v>
      </c>
      <c r="BP216" s="166">
        <v>0</v>
      </c>
      <c r="BQ216" s="81" t="s">
        <v>1757</v>
      </c>
      <c r="BZ216" s="81" t="s">
        <v>155</v>
      </c>
      <c r="CA216" s="81">
        <v>7</v>
      </c>
      <c r="CC216" s="167">
        <f>N216</f>
        <v>0</v>
      </c>
      <c r="CD216" s="167">
        <v>0</v>
      </c>
      <c r="CE216" s="167">
        <v>0</v>
      </c>
      <c r="CF216" s="167">
        <v>0</v>
      </c>
      <c r="CG216" s="167">
        <v>0</v>
      </c>
      <c r="CH216" s="167">
        <v>0</v>
      </c>
      <c r="CI216" s="167">
        <v>0</v>
      </c>
      <c r="CJ216" s="167">
        <v>0</v>
      </c>
      <c r="CK216" s="167">
        <v>0</v>
      </c>
      <c r="CL216" s="167">
        <v>0</v>
      </c>
      <c r="CM216" s="167">
        <v>0</v>
      </c>
      <c r="CN216" s="167">
        <v>0</v>
      </c>
      <c r="CO216" s="167">
        <v>0</v>
      </c>
      <c r="CP216" s="167">
        <v>0</v>
      </c>
      <c r="CQ216" s="167">
        <v>0</v>
      </c>
      <c r="CR216" s="167">
        <v>0</v>
      </c>
      <c r="CS216" s="167">
        <v>0</v>
      </c>
      <c r="CT216" s="167">
        <v>0</v>
      </c>
      <c r="CU216" s="167">
        <v>0</v>
      </c>
      <c r="CV216" s="167">
        <v>0</v>
      </c>
      <c r="CW216" s="167">
        <v>0</v>
      </c>
      <c r="CX216" s="167">
        <f>SUM(CD216:CH216)</f>
        <v>0</v>
      </c>
      <c r="CY216" s="167">
        <f>SUM(CD216:CM216)</f>
        <v>0</v>
      </c>
    </row>
    <row r="217" spans="1:103" ht="12.75" customHeight="1" x14ac:dyDescent="0.2">
      <c r="A217" s="81">
        <v>6512</v>
      </c>
      <c r="B217" s="165" t="s">
        <v>1924</v>
      </c>
      <c r="C217" s="165" t="s">
        <v>3268</v>
      </c>
      <c r="E217" s="165" t="s">
        <v>3269</v>
      </c>
      <c r="G217" s="81">
        <v>527748</v>
      </c>
      <c r="H217" s="81">
        <v>173556</v>
      </c>
      <c r="I217" s="165" t="s">
        <v>254</v>
      </c>
      <c r="J217" s="349">
        <v>43035</v>
      </c>
      <c r="K217" s="349">
        <v>43060</v>
      </c>
      <c r="L217" s="166">
        <v>0</v>
      </c>
      <c r="M217" s="166">
        <v>2</v>
      </c>
      <c r="N217" s="166">
        <v>2</v>
      </c>
      <c r="O217" s="166">
        <v>4</v>
      </c>
      <c r="P217" s="166">
        <v>2</v>
      </c>
      <c r="R217" s="165" t="s">
        <v>3270</v>
      </c>
      <c r="S217" s="81" t="s">
        <v>113</v>
      </c>
      <c r="T217" s="349">
        <v>42837</v>
      </c>
      <c r="U217" s="349">
        <v>43003</v>
      </c>
      <c r="V217" s="81" t="s">
        <v>155</v>
      </c>
      <c r="W217" s="81" t="s">
        <v>114</v>
      </c>
      <c r="Y217" s="81" t="s">
        <v>115</v>
      </c>
      <c r="Z217" s="81" t="s">
        <v>398</v>
      </c>
      <c r="AA217" s="81" t="s">
        <v>117</v>
      </c>
      <c r="AB217" s="81" t="s">
        <v>218</v>
      </c>
      <c r="AC217" s="166">
        <v>2.19999998807907E-2</v>
      </c>
      <c r="AD217" s="349">
        <v>43035</v>
      </c>
      <c r="AE217" s="81" t="s">
        <v>155</v>
      </c>
      <c r="AF217" s="349">
        <v>43060</v>
      </c>
      <c r="AG217" s="81" t="s">
        <v>238</v>
      </c>
      <c r="AH217" s="81" t="s">
        <v>118</v>
      </c>
      <c r="AK217" s="166">
        <v>0</v>
      </c>
      <c r="AM217" s="166">
        <v>0</v>
      </c>
      <c r="AO217" s="166">
        <v>0</v>
      </c>
      <c r="AP217" s="166">
        <v>0</v>
      </c>
      <c r="AQ217" s="166">
        <v>0</v>
      </c>
      <c r="AR217" s="166">
        <v>2</v>
      </c>
      <c r="AS217" s="166">
        <v>0</v>
      </c>
      <c r="AT217" s="166">
        <v>0</v>
      </c>
      <c r="AU217" s="166">
        <v>0</v>
      </c>
      <c r="AV217" s="166">
        <v>0</v>
      </c>
      <c r="AW217" s="166">
        <v>0</v>
      </c>
      <c r="AX217" s="166">
        <v>0</v>
      </c>
      <c r="AY217" s="166">
        <v>2</v>
      </c>
      <c r="AZ217" s="166">
        <v>0</v>
      </c>
      <c r="BA217" s="166">
        <v>0</v>
      </c>
      <c r="BB217" s="166">
        <v>0</v>
      </c>
      <c r="BC217" s="166">
        <v>0</v>
      </c>
      <c r="BD217" s="166">
        <v>0</v>
      </c>
      <c r="BE217" s="166">
        <v>0</v>
      </c>
      <c r="BF217" s="166">
        <v>0</v>
      </c>
      <c r="BG217" s="166">
        <v>0</v>
      </c>
      <c r="BH217" s="166">
        <v>0</v>
      </c>
      <c r="BI217" s="166">
        <v>0</v>
      </c>
      <c r="BJ217" s="166">
        <v>0</v>
      </c>
      <c r="BK217" s="166">
        <v>0</v>
      </c>
      <c r="BL217" s="166">
        <v>0</v>
      </c>
      <c r="BM217" s="166">
        <v>0</v>
      </c>
      <c r="BN217" s="166">
        <v>0</v>
      </c>
      <c r="BO217" s="166">
        <v>0</v>
      </c>
      <c r="BP217" s="166">
        <v>0</v>
      </c>
      <c r="BQ217" s="81" t="s">
        <v>1757</v>
      </c>
      <c r="BZ217" s="81" t="s">
        <v>155</v>
      </c>
      <c r="CA217" s="81">
        <v>7</v>
      </c>
      <c r="CC217" s="167">
        <f>N217</f>
        <v>2</v>
      </c>
      <c r="CD217" s="167">
        <v>0</v>
      </c>
      <c r="CE217" s="167">
        <v>0</v>
      </c>
      <c r="CF217" s="167">
        <v>0</v>
      </c>
      <c r="CG217" s="167">
        <v>0</v>
      </c>
      <c r="CH217" s="167">
        <v>0</v>
      </c>
      <c r="CI217" s="167">
        <v>0</v>
      </c>
      <c r="CJ217" s="167">
        <v>0</v>
      </c>
      <c r="CK217" s="167">
        <v>0</v>
      </c>
      <c r="CL217" s="167">
        <v>0</v>
      </c>
      <c r="CM217" s="167">
        <v>0</v>
      </c>
      <c r="CN217" s="167">
        <v>0</v>
      </c>
      <c r="CO217" s="167">
        <v>0</v>
      </c>
      <c r="CP217" s="167">
        <v>0</v>
      </c>
      <c r="CQ217" s="167">
        <v>0</v>
      </c>
      <c r="CR217" s="167">
        <v>0</v>
      </c>
      <c r="CS217" s="167">
        <v>0</v>
      </c>
      <c r="CT217" s="167">
        <v>0</v>
      </c>
      <c r="CU217" s="167">
        <v>0</v>
      </c>
      <c r="CV217" s="167">
        <v>0</v>
      </c>
      <c r="CW217" s="167">
        <v>0</v>
      </c>
      <c r="CX217" s="167">
        <f>SUM(CD217:CH217)</f>
        <v>0</v>
      </c>
      <c r="CY217" s="167">
        <f>SUM(CD217:CM217)</f>
        <v>0</v>
      </c>
    </row>
    <row r="218" spans="1:103" ht="12.75" customHeight="1" x14ac:dyDescent="0.2">
      <c r="A218" s="81">
        <v>6533</v>
      </c>
      <c r="B218" s="165" t="s">
        <v>1924</v>
      </c>
      <c r="C218" s="165" t="s">
        <v>1655</v>
      </c>
      <c r="E218" s="165" t="s">
        <v>3271</v>
      </c>
      <c r="G218" s="81">
        <v>524407</v>
      </c>
      <c r="H218" s="81">
        <v>175018</v>
      </c>
      <c r="I218" s="165" t="s">
        <v>259</v>
      </c>
      <c r="J218" s="349">
        <v>42873</v>
      </c>
      <c r="K218" s="349">
        <v>43047</v>
      </c>
      <c r="L218" s="166">
        <v>1</v>
      </c>
      <c r="M218" s="166">
        <v>2</v>
      </c>
      <c r="N218" s="166">
        <v>1</v>
      </c>
      <c r="O218" s="166">
        <v>2</v>
      </c>
      <c r="P218" s="166">
        <v>1</v>
      </c>
      <c r="R218" s="165" t="s">
        <v>1656</v>
      </c>
      <c r="S218" s="81" t="s">
        <v>113</v>
      </c>
      <c r="T218" s="349">
        <v>42814</v>
      </c>
      <c r="U218" s="349">
        <v>42870</v>
      </c>
      <c r="V218" s="81" t="s">
        <v>155</v>
      </c>
      <c r="W218" s="81" t="s">
        <v>114</v>
      </c>
      <c r="Y218" s="81" t="s">
        <v>115</v>
      </c>
      <c r="Z218" s="81" t="s">
        <v>219</v>
      </c>
      <c r="AA218" s="81" t="s">
        <v>117</v>
      </c>
      <c r="AB218" s="81" t="s">
        <v>120</v>
      </c>
      <c r="AC218" s="166">
        <v>1.60000007599592E-2</v>
      </c>
      <c r="AD218" s="349">
        <v>42873</v>
      </c>
      <c r="AE218" s="81" t="s">
        <v>155</v>
      </c>
      <c r="AF218" s="349">
        <v>43047</v>
      </c>
      <c r="AG218" s="81" t="s">
        <v>238</v>
      </c>
      <c r="AH218" s="81" t="s">
        <v>118</v>
      </c>
      <c r="AK218" s="166">
        <v>0</v>
      </c>
      <c r="AM218" s="166">
        <v>0</v>
      </c>
      <c r="AO218" s="166">
        <v>0</v>
      </c>
      <c r="AP218" s="166">
        <v>0</v>
      </c>
      <c r="AQ218" s="166">
        <v>1</v>
      </c>
      <c r="AR218" s="166">
        <v>0</v>
      </c>
      <c r="AS218" s="166">
        <v>0</v>
      </c>
      <c r="AT218" s="166">
        <v>0</v>
      </c>
      <c r="AU218" s="166">
        <v>0</v>
      </c>
      <c r="AV218" s="166">
        <v>0</v>
      </c>
      <c r="AW218" s="166">
        <v>0</v>
      </c>
      <c r="AX218" s="166">
        <v>1</v>
      </c>
      <c r="AY218" s="166">
        <v>1</v>
      </c>
      <c r="AZ218" s="166">
        <v>0</v>
      </c>
      <c r="BA218" s="166">
        <v>0</v>
      </c>
      <c r="BB218" s="166">
        <v>0</v>
      </c>
      <c r="BC218" s="166">
        <v>0</v>
      </c>
      <c r="BD218" s="166">
        <v>0</v>
      </c>
      <c r="BE218" s="166">
        <v>0</v>
      </c>
      <c r="BF218" s="166">
        <v>-1</v>
      </c>
      <c r="BG218" s="166">
        <v>0</v>
      </c>
      <c r="BH218" s="166">
        <v>0</v>
      </c>
      <c r="BI218" s="166">
        <v>0</v>
      </c>
      <c r="BJ218" s="166">
        <v>0</v>
      </c>
      <c r="BK218" s="166">
        <v>0</v>
      </c>
      <c r="BL218" s="166">
        <v>0</v>
      </c>
      <c r="BM218" s="166">
        <v>0</v>
      </c>
      <c r="BN218" s="166">
        <v>0</v>
      </c>
      <c r="BO218" s="166">
        <v>0</v>
      </c>
      <c r="BP218" s="166">
        <v>0</v>
      </c>
      <c r="BQ218" s="81" t="s">
        <v>1758</v>
      </c>
      <c r="BZ218" s="81" t="s">
        <v>155</v>
      </c>
      <c r="CA218" s="81">
        <v>7</v>
      </c>
      <c r="CC218" s="167">
        <f>N218</f>
        <v>1</v>
      </c>
      <c r="CD218" s="167">
        <v>0</v>
      </c>
      <c r="CE218" s="167">
        <v>0</v>
      </c>
      <c r="CF218" s="167">
        <v>0</v>
      </c>
      <c r="CG218" s="167">
        <v>0</v>
      </c>
      <c r="CH218" s="167">
        <v>0</v>
      </c>
      <c r="CI218" s="167">
        <v>0</v>
      </c>
      <c r="CJ218" s="167">
        <v>0</v>
      </c>
      <c r="CK218" s="167">
        <v>0</v>
      </c>
      <c r="CL218" s="167">
        <v>0</v>
      </c>
      <c r="CM218" s="167">
        <v>0</v>
      </c>
      <c r="CN218" s="167">
        <v>0</v>
      </c>
      <c r="CO218" s="167">
        <v>0</v>
      </c>
      <c r="CP218" s="167">
        <v>0</v>
      </c>
      <c r="CQ218" s="167">
        <v>0</v>
      </c>
      <c r="CR218" s="167">
        <v>0</v>
      </c>
      <c r="CS218" s="167">
        <v>0</v>
      </c>
      <c r="CT218" s="167">
        <v>0</v>
      </c>
      <c r="CU218" s="167">
        <v>0</v>
      </c>
      <c r="CV218" s="167">
        <v>0</v>
      </c>
      <c r="CW218" s="167">
        <v>0</v>
      </c>
      <c r="CX218" s="167">
        <f>SUM(CD218:CH218)</f>
        <v>0</v>
      </c>
      <c r="CY218" s="167">
        <f>SUM(CD218:CM218)</f>
        <v>0</v>
      </c>
    </row>
    <row r="219" spans="1:103" ht="12.75" customHeight="1" x14ac:dyDescent="0.2">
      <c r="A219" s="81">
        <v>6540</v>
      </c>
      <c r="B219" s="165" t="s">
        <v>1924</v>
      </c>
      <c r="C219" s="165" t="s">
        <v>3272</v>
      </c>
      <c r="E219" s="165" t="s">
        <v>3273</v>
      </c>
      <c r="G219" s="81">
        <v>527359</v>
      </c>
      <c r="H219" s="81">
        <v>176346</v>
      </c>
      <c r="I219" s="165" t="s">
        <v>257</v>
      </c>
      <c r="J219" s="349">
        <v>42024</v>
      </c>
      <c r="K219" s="349">
        <v>43190</v>
      </c>
      <c r="L219" s="166">
        <v>1</v>
      </c>
      <c r="M219" s="166">
        <v>3</v>
      </c>
      <c r="N219" s="166">
        <v>2</v>
      </c>
      <c r="O219" s="166">
        <v>3</v>
      </c>
      <c r="P219" s="166">
        <v>2</v>
      </c>
      <c r="R219" s="165" t="s">
        <v>3274</v>
      </c>
      <c r="S219" s="81" t="s">
        <v>113</v>
      </c>
      <c r="T219" s="349">
        <v>42962</v>
      </c>
      <c r="U219" s="349">
        <v>43018</v>
      </c>
      <c r="V219" s="81" t="s">
        <v>155</v>
      </c>
      <c r="W219" s="81" t="s">
        <v>114</v>
      </c>
      <c r="Y219" s="81" t="s">
        <v>115</v>
      </c>
      <c r="Z219" s="81" t="s">
        <v>119</v>
      </c>
      <c r="AA219" s="81" t="s">
        <v>117</v>
      </c>
      <c r="AB219" s="81" t="s">
        <v>220</v>
      </c>
      <c r="AC219" s="166">
        <v>9.9999997764825804E-3</v>
      </c>
      <c r="AD219" s="349">
        <v>42024</v>
      </c>
      <c r="AF219" s="349">
        <v>43190</v>
      </c>
      <c r="AG219" s="81" t="s">
        <v>238</v>
      </c>
      <c r="AH219" s="81" t="s">
        <v>118</v>
      </c>
      <c r="AK219" s="166">
        <v>0</v>
      </c>
      <c r="AM219" s="166">
        <v>0</v>
      </c>
      <c r="AO219" s="166">
        <v>3</v>
      </c>
      <c r="AP219" s="166">
        <v>0</v>
      </c>
      <c r="AQ219" s="166">
        <v>0</v>
      </c>
      <c r="AR219" s="166">
        <v>0</v>
      </c>
      <c r="AS219" s="166">
        <v>-1</v>
      </c>
      <c r="AT219" s="166">
        <v>0</v>
      </c>
      <c r="AU219" s="166">
        <v>0</v>
      </c>
      <c r="AV219" s="166">
        <v>3</v>
      </c>
      <c r="AW219" s="166">
        <v>0</v>
      </c>
      <c r="AX219" s="166">
        <v>0</v>
      </c>
      <c r="AY219" s="166">
        <v>0</v>
      </c>
      <c r="AZ219" s="166">
        <v>-1</v>
      </c>
      <c r="BA219" s="166">
        <v>0</v>
      </c>
      <c r="BB219" s="166">
        <v>0</v>
      </c>
      <c r="BC219" s="166">
        <v>0</v>
      </c>
      <c r="BD219" s="166">
        <v>0</v>
      </c>
      <c r="BE219" s="166">
        <v>0</v>
      </c>
      <c r="BF219" s="166">
        <v>0</v>
      </c>
      <c r="BG219" s="166">
        <v>0</v>
      </c>
      <c r="BH219" s="166">
        <v>0</v>
      </c>
      <c r="BI219" s="166">
        <v>0</v>
      </c>
      <c r="BJ219" s="166">
        <v>0</v>
      </c>
      <c r="BK219" s="166">
        <v>0</v>
      </c>
      <c r="BL219" s="166">
        <v>0</v>
      </c>
      <c r="BM219" s="166">
        <v>0</v>
      </c>
      <c r="BN219" s="166">
        <v>0</v>
      </c>
      <c r="BO219" s="166">
        <v>0</v>
      </c>
      <c r="BP219" s="166">
        <v>0</v>
      </c>
      <c r="BQ219" s="81" t="s">
        <v>1757</v>
      </c>
      <c r="BZ219" s="81" t="s">
        <v>155</v>
      </c>
      <c r="CA219" s="81">
        <v>7</v>
      </c>
      <c r="CC219" s="167">
        <f>N219</f>
        <v>2</v>
      </c>
      <c r="CD219" s="167">
        <v>0</v>
      </c>
      <c r="CE219" s="167">
        <v>0</v>
      </c>
      <c r="CF219" s="167">
        <v>0</v>
      </c>
      <c r="CG219" s="167">
        <v>0</v>
      </c>
      <c r="CH219" s="167">
        <v>0</v>
      </c>
      <c r="CI219" s="167">
        <v>0</v>
      </c>
      <c r="CJ219" s="167">
        <v>0</v>
      </c>
      <c r="CK219" s="167">
        <v>0</v>
      </c>
      <c r="CL219" s="167">
        <v>0</v>
      </c>
      <c r="CM219" s="167">
        <v>0</v>
      </c>
      <c r="CN219" s="167">
        <v>0</v>
      </c>
      <c r="CO219" s="167">
        <v>0</v>
      </c>
      <c r="CP219" s="167">
        <v>0</v>
      </c>
      <c r="CQ219" s="167">
        <v>0</v>
      </c>
      <c r="CR219" s="167">
        <v>0</v>
      </c>
      <c r="CS219" s="167">
        <v>0</v>
      </c>
      <c r="CT219" s="167">
        <v>0</v>
      </c>
      <c r="CU219" s="167">
        <v>0</v>
      </c>
      <c r="CV219" s="167">
        <v>0</v>
      </c>
      <c r="CW219" s="167">
        <v>0</v>
      </c>
      <c r="CX219" s="167">
        <f>SUM(CD219:CH219)</f>
        <v>0</v>
      </c>
      <c r="CY219" s="167">
        <f>SUM(CD219:CM219)</f>
        <v>0</v>
      </c>
    </row>
    <row r="220" spans="1:103" ht="12.75" customHeight="1" x14ac:dyDescent="0.2">
      <c r="A220" s="81">
        <v>6547</v>
      </c>
      <c r="B220" s="165" t="s">
        <v>1924</v>
      </c>
      <c r="C220" s="165" t="s">
        <v>3275</v>
      </c>
      <c r="E220" s="165" t="s">
        <v>3276</v>
      </c>
      <c r="G220" s="81">
        <v>525331</v>
      </c>
      <c r="H220" s="81">
        <v>172796</v>
      </c>
      <c r="I220" s="165" t="s">
        <v>258</v>
      </c>
      <c r="J220" s="349">
        <v>42831</v>
      </c>
      <c r="K220" s="349">
        <v>42831</v>
      </c>
      <c r="L220" s="166">
        <v>0</v>
      </c>
      <c r="M220" s="166">
        <v>1</v>
      </c>
      <c r="N220" s="166">
        <v>1</v>
      </c>
      <c r="O220" s="166">
        <v>1</v>
      </c>
      <c r="P220" s="166">
        <v>1</v>
      </c>
      <c r="R220" s="165" t="s">
        <v>3277</v>
      </c>
      <c r="S220" s="81" t="s">
        <v>513</v>
      </c>
      <c r="T220" s="349">
        <v>42775</v>
      </c>
      <c r="U220" s="349">
        <v>42831</v>
      </c>
      <c r="V220" s="81" t="s">
        <v>155</v>
      </c>
      <c r="W220" s="81" t="s">
        <v>114</v>
      </c>
      <c r="Y220" s="81" t="s">
        <v>115</v>
      </c>
      <c r="Z220" s="81" t="s">
        <v>310</v>
      </c>
      <c r="AA220" s="81" t="s">
        <v>117</v>
      </c>
      <c r="AB220" s="81" t="s">
        <v>102</v>
      </c>
      <c r="AC220" s="166">
        <v>4.0000001899898104E-3</v>
      </c>
      <c r="AD220" s="349">
        <v>42831</v>
      </c>
      <c r="AE220" s="81" t="s">
        <v>155</v>
      </c>
      <c r="AF220" s="349">
        <v>42831</v>
      </c>
      <c r="AG220" s="81" t="s">
        <v>238</v>
      </c>
      <c r="AH220" s="81" t="s">
        <v>118</v>
      </c>
      <c r="AK220" s="166">
        <v>0</v>
      </c>
      <c r="AM220" s="166">
        <v>0</v>
      </c>
      <c r="AO220" s="166">
        <v>0</v>
      </c>
      <c r="AP220" s="166">
        <v>1</v>
      </c>
      <c r="AQ220" s="166">
        <v>0</v>
      </c>
      <c r="AR220" s="166">
        <v>0</v>
      </c>
      <c r="AS220" s="166">
        <v>0</v>
      </c>
      <c r="AT220" s="166">
        <v>0</v>
      </c>
      <c r="AU220" s="166">
        <v>0</v>
      </c>
      <c r="AV220" s="166">
        <v>0</v>
      </c>
      <c r="AW220" s="166">
        <v>1</v>
      </c>
      <c r="AX220" s="166">
        <v>0</v>
      </c>
      <c r="AY220" s="166">
        <v>0</v>
      </c>
      <c r="AZ220" s="166">
        <v>0</v>
      </c>
      <c r="BA220" s="166">
        <v>0</v>
      </c>
      <c r="BB220" s="166">
        <v>0</v>
      </c>
      <c r="BC220" s="166">
        <v>0</v>
      </c>
      <c r="BD220" s="166">
        <v>0</v>
      </c>
      <c r="BE220" s="166">
        <v>0</v>
      </c>
      <c r="BF220" s="166">
        <v>0</v>
      </c>
      <c r="BG220" s="166">
        <v>0</v>
      </c>
      <c r="BH220" s="166">
        <v>0</v>
      </c>
      <c r="BI220" s="166">
        <v>0</v>
      </c>
      <c r="BJ220" s="166">
        <v>0</v>
      </c>
      <c r="BK220" s="166">
        <v>0</v>
      </c>
      <c r="BL220" s="166">
        <v>0</v>
      </c>
      <c r="BM220" s="166">
        <v>0</v>
      </c>
      <c r="BN220" s="166">
        <v>0</v>
      </c>
      <c r="BO220" s="166">
        <v>0</v>
      </c>
      <c r="BP220" s="166">
        <v>0</v>
      </c>
      <c r="BQ220" s="81" t="s">
        <v>1758</v>
      </c>
      <c r="BZ220" s="81" t="s">
        <v>155</v>
      </c>
      <c r="CA220" s="81">
        <v>7</v>
      </c>
      <c r="CC220" s="167">
        <f>N220</f>
        <v>1</v>
      </c>
      <c r="CD220" s="167">
        <v>0</v>
      </c>
      <c r="CE220" s="167">
        <v>0</v>
      </c>
      <c r="CF220" s="167">
        <v>0</v>
      </c>
      <c r="CG220" s="167">
        <v>0</v>
      </c>
      <c r="CH220" s="167">
        <v>0</v>
      </c>
      <c r="CI220" s="167">
        <v>0</v>
      </c>
      <c r="CJ220" s="167">
        <v>0</v>
      </c>
      <c r="CK220" s="167">
        <v>0</v>
      </c>
      <c r="CL220" s="167">
        <v>0</v>
      </c>
      <c r="CM220" s="167">
        <v>0</v>
      </c>
      <c r="CN220" s="167">
        <v>0</v>
      </c>
      <c r="CO220" s="167">
        <v>0</v>
      </c>
      <c r="CP220" s="167">
        <v>0</v>
      </c>
      <c r="CQ220" s="167">
        <v>0</v>
      </c>
      <c r="CR220" s="167">
        <v>0</v>
      </c>
      <c r="CS220" s="167">
        <v>0</v>
      </c>
      <c r="CT220" s="167">
        <v>0</v>
      </c>
      <c r="CU220" s="167">
        <v>0</v>
      </c>
      <c r="CV220" s="167">
        <v>0</v>
      </c>
      <c r="CW220" s="167">
        <v>0</v>
      </c>
      <c r="CX220" s="167">
        <f>SUM(CD220:CH220)</f>
        <v>0</v>
      </c>
      <c r="CY220" s="167">
        <f>SUM(CD220:CM220)</f>
        <v>0</v>
      </c>
    </row>
    <row r="221" spans="1:103" ht="12.75" customHeight="1" x14ac:dyDescent="0.2">
      <c r="A221" s="81">
        <v>6557</v>
      </c>
      <c r="B221" s="165" t="s">
        <v>1924</v>
      </c>
      <c r="C221" s="165" t="s">
        <v>3278</v>
      </c>
      <c r="E221" s="165" t="s">
        <v>3279</v>
      </c>
      <c r="G221" s="81">
        <v>527222</v>
      </c>
      <c r="H221" s="81">
        <v>171777</v>
      </c>
      <c r="I221" s="165" t="s">
        <v>242</v>
      </c>
      <c r="J221" s="349">
        <v>41465</v>
      </c>
      <c r="K221" s="349">
        <v>42926</v>
      </c>
      <c r="L221" s="166">
        <v>1</v>
      </c>
      <c r="M221" s="166">
        <v>2</v>
      </c>
      <c r="N221" s="166">
        <v>1</v>
      </c>
      <c r="O221" s="166">
        <v>2</v>
      </c>
      <c r="P221" s="166">
        <v>1</v>
      </c>
      <c r="R221" s="165" t="s">
        <v>3280</v>
      </c>
      <c r="S221" s="81" t="s">
        <v>504</v>
      </c>
      <c r="T221" s="349">
        <v>42870</v>
      </c>
      <c r="U221" s="349">
        <v>42926</v>
      </c>
      <c r="V221" s="81" t="s">
        <v>155</v>
      </c>
      <c r="W221" s="81" t="s">
        <v>114</v>
      </c>
      <c r="Y221" s="81" t="s">
        <v>115</v>
      </c>
      <c r="Z221" s="81" t="s">
        <v>119</v>
      </c>
      <c r="AA221" s="81" t="s">
        <v>117</v>
      </c>
      <c r="AB221" s="81" t="s">
        <v>120</v>
      </c>
      <c r="AC221" s="166">
        <v>1.60000007599592E-2</v>
      </c>
      <c r="AD221" s="349">
        <v>41465</v>
      </c>
      <c r="AF221" s="349">
        <v>42926</v>
      </c>
      <c r="AG221" s="81" t="s">
        <v>238</v>
      </c>
      <c r="AH221" s="81" t="s">
        <v>118</v>
      </c>
      <c r="AK221" s="166">
        <v>0</v>
      </c>
      <c r="AM221" s="166">
        <v>0</v>
      </c>
      <c r="AO221" s="166">
        <v>0</v>
      </c>
      <c r="AP221" s="166">
        <v>1</v>
      </c>
      <c r="AQ221" s="166">
        <v>1</v>
      </c>
      <c r="AR221" s="166">
        <v>-1</v>
      </c>
      <c r="AS221" s="166">
        <v>0</v>
      </c>
      <c r="AT221" s="166">
        <v>0</v>
      </c>
      <c r="AU221" s="166">
        <v>0</v>
      </c>
      <c r="AV221" s="166">
        <v>0</v>
      </c>
      <c r="AW221" s="166">
        <v>1</v>
      </c>
      <c r="AX221" s="166">
        <v>1</v>
      </c>
      <c r="AY221" s="166">
        <v>0</v>
      </c>
      <c r="AZ221" s="166">
        <v>0</v>
      </c>
      <c r="BA221" s="166">
        <v>0</v>
      </c>
      <c r="BB221" s="166">
        <v>0</v>
      </c>
      <c r="BC221" s="166">
        <v>0</v>
      </c>
      <c r="BD221" s="166">
        <v>0</v>
      </c>
      <c r="BE221" s="166">
        <v>0</v>
      </c>
      <c r="BF221" s="166">
        <v>-1</v>
      </c>
      <c r="BG221" s="166">
        <v>0</v>
      </c>
      <c r="BH221" s="166">
        <v>0</v>
      </c>
      <c r="BI221" s="166">
        <v>0</v>
      </c>
      <c r="BJ221" s="166">
        <v>0</v>
      </c>
      <c r="BK221" s="166">
        <v>0</v>
      </c>
      <c r="BL221" s="166">
        <v>0</v>
      </c>
      <c r="BM221" s="166">
        <v>0</v>
      </c>
      <c r="BN221" s="166">
        <v>0</v>
      </c>
      <c r="BO221" s="166">
        <v>0</v>
      </c>
      <c r="BP221" s="166">
        <v>0</v>
      </c>
      <c r="BQ221" s="81" t="s">
        <v>1757</v>
      </c>
      <c r="BZ221" s="81" t="s">
        <v>155</v>
      </c>
      <c r="CA221" s="81">
        <v>7</v>
      </c>
      <c r="CC221" s="167">
        <f>N221</f>
        <v>1</v>
      </c>
      <c r="CD221" s="167">
        <v>0</v>
      </c>
      <c r="CE221" s="167">
        <v>0</v>
      </c>
      <c r="CF221" s="167">
        <v>0</v>
      </c>
      <c r="CG221" s="167">
        <v>0</v>
      </c>
      <c r="CH221" s="167">
        <v>0</v>
      </c>
      <c r="CI221" s="167">
        <v>0</v>
      </c>
      <c r="CJ221" s="167">
        <v>0</v>
      </c>
      <c r="CK221" s="167">
        <v>0</v>
      </c>
      <c r="CL221" s="167">
        <v>0</v>
      </c>
      <c r="CM221" s="167">
        <v>0</v>
      </c>
      <c r="CN221" s="167">
        <v>0</v>
      </c>
      <c r="CO221" s="167">
        <v>0</v>
      </c>
      <c r="CP221" s="167">
        <v>0</v>
      </c>
      <c r="CQ221" s="167">
        <v>0</v>
      </c>
      <c r="CR221" s="167">
        <v>0</v>
      </c>
      <c r="CS221" s="167">
        <v>0</v>
      </c>
      <c r="CT221" s="167">
        <v>0</v>
      </c>
      <c r="CU221" s="167">
        <v>0</v>
      </c>
      <c r="CV221" s="167">
        <v>0</v>
      </c>
      <c r="CW221" s="167">
        <v>0</v>
      </c>
      <c r="CX221" s="167">
        <f>SUM(CD221:CH221)</f>
        <v>0</v>
      </c>
      <c r="CY221" s="167">
        <f>SUM(CD221:CM221)</f>
        <v>0</v>
      </c>
    </row>
    <row r="222" spans="1:103" ht="12.75" customHeight="1" x14ac:dyDescent="0.2">
      <c r="A222" s="81">
        <v>6569</v>
      </c>
      <c r="B222" s="165" t="s">
        <v>1924</v>
      </c>
      <c r="C222" s="165" t="s">
        <v>3281</v>
      </c>
      <c r="E222" s="165" t="s">
        <v>3282</v>
      </c>
      <c r="G222" s="81">
        <v>527371</v>
      </c>
      <c r="H222" s="81">
        <v>176315</v>
      </c>
      <c r="I222" s="165" t="s">
        <v>241</v>
      </c>
      <c r="J222" s="349">
        <v>43039</v>
      </c>
      <c r="K222" s="349">
        <v>43190</v>
      </c>
      <c r="L222" s="166">
        <v>0</v>
      </c>
      <c r="M222" s="166">
        <v>3</v>
      </c>
      <c r="N222" s="166">
        <v>3</v>
      </c>
      <c r="O222" s="166">
        <v>3</v>
      </c>
      <c r="P222" s="166">
        <v>3</v>
      </c>
      <c r="R222" s="165" t="s">
        <v>3283</v>
      </c>
      <c r="S222" s="81" t="s">
        <v>113</v>
      </c>
      <c r="T222" s="349">
        <v>42909</v>
      </c>
      <c r="U222" s="349">
        <v>43039</v>
      </c>
      <c r="V222" s="81" t="s">
        <v>155</v>
      </c>
      <c r="W222" s="81" t="s">
        <v>114</v>
      </c>
      <c r="Y222" s="81" t="s">
        <v>115</v>
      </c>
      <c r="Z222" s="81" t="s">
        <v>398</v>
      </c>
      <c r="AA222" s="81" t="s">
        <v>117</v>
      </c>
      <c r="AB222" s="81" t="s">
        <v>399</v>
      </c>
      <c r="AC222" s="166">
        <v>7.0000002160668399E-3</v>
      </c>
      <c r="AD222" s="349">
        <v>43039</v>
      </c>
      <c r="AE222" s="81" t="s">
        <v>155</v>
      </c>
      <c r="AF222" s="349">
        <v>43190</v>
      </c>
      <c r="AG222" s="81" t="s">
        <v>238</v>
      </c>
      <c r="AH222" s="81" t="s">
        <v>118</v>
      </c>
      <c r="AK222" s="166">
        <v>0</v>
      </c>
      <c r="AM222" s="166">
        <v>0</v>
      </c>
      <c r="AO222" s="166">
        <v>0</v>
      </c>
      <c r="AP222" s="166">
        <v>3</v>
      </c>
      <c r="AQ222" s="166">
        <v>0</v>
      </c>
      <c r="AR222" s="166">
        <v>0</v>
      </c>
      <c r="AS222" s="166">
        <v>0</v>
      </c>
      <c r="AT222" s="166">
        <v>0</v>
      </c>
      <c r="AU222" s="166">
        <v>0</v>
      </c>
      <c r="AV222" s="166">
        <v>0</v>
      </c>
      <c r="AW222" s="166">
        <v>3</v>
      </c>
      <c r="AX222" s="166">
        <v>0</v>
      </c>
      <c r="AY222" s="166">
        <v>0</v>
      </c>
      <c r="AZ222" s="166">
        <v>0</v>
      </c>
      <c r="BA222" s="166">
        <v>0</v>
      </c>
      <c r="BB222" s="166">
        <v>0</v>
      </c>
      <c r="BC222" s="166">
        <v>0</v>
      </c>
      <c r="BD222" s="166">
        <v>0</v>
      </c>
      <c r="BE222" s="166">
        <v>0</v>
      </c>
      <c r="BF222" s="166">
        <v>0</v>
      </c>
      <c r="BG222" s="166">
        <v>0</v>
      </c>
      <c r="BH222" s="166">
        <v>0</v>
      </c>
      <c r="BI222" s="166">
        <v>0</v>
      </c>
      <c r="BJ222" s="166">
        <v>0</v>
      </c>
      <c r="BK222" s="166">
        <v>0</v>
      </c>
      <c r="BL222" s="166">
        <v>0</v>
      </c>
      <c r="BM222" s="166">
        <v>0</v>
      </c>
      <c r="BN222" s="166">
        <v>0</v>
      </c>
      <c r="BO222" s="166">
        <v>0</v>
      </c>
      <c r="BP222" s="166">
        <v>0</v>
      </c>
      <c r="BQ222" s="81" t="s">
        <v>1757</v>
      </c>
      <c r="BZ222" s="81" t="s">
        <v>155</v>
      </c>
      <c r="CA222" s="81">
        <v>7</v>
      </c>
      <c r="CC222" s="167">
        <f>N222</f>
        <v>3</v>
      </c>
      <c r="CD222" s="167">
        <v>0</v>
      </c>
      <c r="CE222" s="167">
        <v>0</v>
      </c>
      <c r="CF222" s="167">
        <v>0</v>
      </c>
      <c r="CG222" s="167">
        <v>0</v>
      </c>
      <c r="CH222" s="167">
        <v>0</v>
      </c>
      <c r="CI222" s="167">
        <v>0</v>
      </c>
      <c r="CJ222" s="167">
        <v>0</v>
      </c>
      <c r="CK222" s="167">
        <v>0</v>
      </c>
      <c r="CL222" s="167">
        <v>0</v>
      </c>
      <c r="CM222" s="167">
        <v>0</v>
      </c>
      <c r="CN222" s="167">
        <v>0</v>
      </c>
      <c r="CO222" s="167">
        <v>0</v>
      </c>
      <c r="CP222" s="167">
        <v>0</v>
      </c>
      <c r="CQ222" s="167">
        <v>0</v>
      </c>
      <c r="CR222" s="167">
        <v>0</v>
      </c>
      <c r="CS222" s="167">
        <v>0</v>
      </c>
      <c r="CT222" s="167">
        <v>0</v>
      </c>
      <c r="CU222" s="167">
        <v>0</v>
      </c>
      <c r="CV222" s="167">
        <v>0</v>
      </c>
      <c r="CW222" s="167">
        <v>0</v>
      </c>
      <c r="CX222" s="167">
        <f>SUM(CD222:CH222)</f>
        <v>0</v>
      </c>
      <c r="CY222" s="167">
        <f>SUM(CD222:CM222)</f>
        <v>0</v>
      </c>
    </row>
    <row r="223" spans="1:103" ht="12.75" customHeight="1" x14ac:dyDescent="0.2">
      <c r="A223" s="81">
        <v>6580</v>
      </c>
      <c r="B223" s="165" t="s">
        <v>1924</v>
      </c>
      <c r="C223" s="165" t="s">
        <v>3284</v>
      </c>
      <c r="E223" s="165" t="s">
        <v>3285</v>
      </c>
      <c r="G223" s="81">
        <v>528305</v>
      </c>
      <c r="H223" s="81">
        <v>171156</v>
      </c>
      <c r="I223" s="165" t="s">
        <v>252</v>
      </c>
      <c r="J223" s="349">
        <v>42891</v>
      </c>
      <c r="K223" s="349">
        <v>42891</v>
      </c>
      <c r="L223" s="166">
        <v>1</v>
      </c>
      <c r="M223" s="166">
        <v>2</v>
      </c>
      <c r="N223" s="166">
        <v>1</v>
      </c>
      <c r="O223" s="166">
        <v>2</v>
      </c>
      <c r="P223" s="166">
        <v>1</v>
      </c>
      <c r="R223" s="165" t="s">
        <v>3286</v>
      </c>
      <c r="S223" s="81" t="s">
        <v>504</v>
      </c>
      <c r="T223" s="349">
        <v>42835</v>
      </c>
      <c r="U223" s="349">
        <v>42891</v>
      </c>
      <c r="V223" s="81" t="s">
        <v>155</v>
      </c>
      <c r="W223" s="81" t="s">
        <v>114</v>
      </c>
      <c r="Y223" s="81" t="s">
        <v>115</v>
      </c>
      <c r="Z223" s="81" t="s">
        <v>119</v>
      </c>
      <c r="AA223" s="81" t="s">
        <v>117</v>
      </c>
      <c r="AB223" s="81" t="s">
        <v>120</v>
      </c>
      <c r="AC223" s="166">
        <v>9.9999997764825804E-3</v>
      </c>
      <c r="AD223" s="349">
        <v>42891</v>
      </c>
      <c r="AE223" s="81" t="s">
        <v>155</v>
      </c>
      <c r="AF223" s="349">
        <v>42891</v>
      </c>
      <c r="AG223" s="81" t="s">
        <v>238</v>
      </c>
      <c r="AH223" s="81" t="s">
        <v>118</v>
      </c>
      <c r="AK223" s="166">
        <v>0</v>
      </c>
      <c r="AM223" s="166">
        <v>0</v>
      </c>
      <c r="AO223" s="166">
        <v>0</v>
      </c>
      <c r="AP223" s="166">
        <v>1</v>
      </c>
      <c r="AQ223" s="166">
        <v>1</v>
      </c>
      <c r="AR223" s="166">
        <v>-1</v>
      </c>
      <c r="AS223" s="166">
        <v>0</v>
      </c>
      <c r="AT223" s="166">
        <v>0</v>
      </c>
      <c r="AU223" s="166">
        <v>0</v>
      </c>
      <c r="AV223" s="166">
        <v>0</v>
      </c>
      <c r="AW223" s="166">
        <v>1</v>
      </c>
      <c r="AX223" s="166">
        <v>1</v>
      </c>
      <c r="AY223" s="166">
        <v>0</v>
      </c>
      <c r="AZ223" s="166">
        <v>0</v>
      </c>
      <c r="BA223" s="166">
        <v>0</v>
      </c>
      <c r="BB223" s="166">
        <v>0</v>
      </c>
      <c r="BC223" s="166">
        <v>0</v>
      </c>
      <c r="BD223" s="166">
        <v>0</v>
      </c>
      <c r="BE223" s="166">
        <v>0</v>
      </c>
      <c r="BF223" s="166">
        <v>-1</v>
      </c>
      <c r="BG223" s="166">
        <v>0</v>
      </c>
      <c r="BH223" s="166">
        <v>0</v>
      </c>
      <c r="BI223" s="166">
        <v>0</v>
      </c>
      <c r="BJ223" s="166">
        <v>0</v>
      </c>
      <c r="BK223" s="166">
        <v>0</v>
      </c>
      <c r="BL223" s="166">
        <v>0</v>
      </c>
      <c r="BM223" s="166">
        <v>0</v>
      </c>
      <c r="BN223" s="166">
        <v>0</v>
      </c>
      <c r="BO223" s="166">
        <v>0</v>
      </c>
      <c r="BP223" s="166">
        <v>0</v>
      </c>
      <c r="BQ223" s="81" t="s">
        <v>1757</v>
      </c>
      <c r="BZ223" s="81" t="s">
        <v>155</v>
      </c>
      <c r="CA223" s="81">
        <v>7</v>
      </c>
      <c r="CC223" s="167">
        <f>N223</f>
        <v>1</v>
      </c>
      <c r="CD223" s="167">
        <v>0</v>
      </c>
      <c r="CE223" s="167">
        <v>0</v>
      </c>
      <c r="CF223" s="167">
        <v>0</v>
      </c>
      <c r="CG223" s="167">
        <v>0</v>
      </c>
      <c r="CH223" s="167">
        <v>0</v>
      </c>
      <c r="CI223" s="167">
        <v>0</v>
      </c>
      <c r="CJ223" s="167">
        <v>0</v>
      </c>
      <c r="CK223" s="167">
        <v>0</v>
      </c>
      <c r="CL223" s="167">
        <v>0</v>
      </c>
      <c r="CM223" s="167">
        <v>0</v>
      </c>
      <c r="CN223" s="167">
        <v>0</v>
      </c>
      <c r="CO223" s="167">
        <v>0</v>
      </c>
      <c r="CP223" s="167">
        <v>0</v>
      </c>
      <c r="CQ223" s="167">
        <v>0</v>
      </c>
      <c r="CR223" s="167">
        <v>0</v>
      </c>
      <c r="CS223" s="167">
        <v>0</v>
      </c>
      <c r="CT223" s="167">
        <v>0</v>
      </c>
      <c r="CU223" s="167">
        <v>0</v>
      </c>
      <c r="CV223" s="167">
        <v>0</v>
      </c>
      <c r="CW223" s="167">
        <v>0</v>
      </c>
      <c r="CX223" s="167">
        <f>SUM(CD223:CH223)</f>
        <v>0</v>
      </c>
      <c r="CY223" s="167">
        <f>SUM(CD223:CM223)</f>
        <v>0</v>
      </c>
    </row>
    <row r="224" spans="1:103" ht="12.75" customHeight="1" x14ac:dyDescent="0.2">
      <c r="A224" s="81">
        <v>6585</v>
      </c>
      <c r="B224" s="165" t="s">
        <v>1924</v>
      </c>
      <c r="C224" s="165" t="s">
        <v>3287</v>
      </c>
      <c r="E224" s="165" t="s">
        <v>2169</v>
      </c>
      <c r="G224" s="81">
        <v>527915</v>
      </c>
      <c r="H224" s="81">
        <v>175487</v>
      </c>
      <c r="I224" s="165" t="s">
        <v>256</v>
      </c>
      <c r="J224" s="349">
        <v>41591</v>
      </c>
      <c r="K224" s="349">
        <v>43052</v>
      </c>
      <c r="L224" s="166">
        <v>1</v>
      </c>
      <c r="M224" s="166">
        <v>3</v>
      </c>
      <c r="N224" s="166">
        <v>2</v>
      </c>
      <c r="O224" s="166">
        <v>3</v>
      </c>
      <c r="P224" s="166">
        <v>2</v>
      </c>
      <c r="R224" s="165" t="s">
        <v>3288</v>
      </c>
      <c r="S224" s="81" t="s">
        <v>504</v>
      </c>
      <c r="T224" s="349">
        <v>42998</v>
      </c>
      <c r="U224" s="349">
        <v>43052</v>
      </c>
      <c r="V224" s="81" t="s">
        <v>155</v>
      </c>
      <c r="W224" s="81" t="s">
        <v>114</v>
      </c>
      <c r="Y224" s="81" t="s">
        <v>115</v>
      </c>
      <c r="Z224" s="81" t="s">
        <v>119</v>
      </c>
      <c r="AA224" s="81" t="s">
        <v>117</v>
      </c>
      <c r="AB224" s="81" t="s">
        <v>120</v>
      </c>
      <c r="AC224" s="166">
        <v>2.0999999716877899E-2</v>
      </c>
      <c r="AD224" s="349">
        <v>41591</v>
      </c>
      <c r="AF224" s="349">
        <v>43052</v>
      </c>
      <c r="AG224" s="81" t="s">
        <v>238</v>
      </c>
      <c r="AH224" s="81" t="s">
        <v>118</v>
      </c>
      <c r="AK224" s="166">
        <v>0</v>
      </c>
      <c r="AM224" s="166">
        <v>0</v>
      </c>
      <c r="AO224" s="166">
        <v>0</v>
      </c>
      <c r="AP224" s="166">
        <v>2</v>
      </c>
      <c r="AQ224" s="166">
        <v>0</v>
      </c>
      <c r="AR224" s="166">
        <v>0</v>
      </c>
      <c r="AS224" s="166">
        <v>0</v>
      </c>
      <c r="AT224" s="166">
        <v>0</v>
      </c>
      <c r="AU224" s="166">
        <v>0</v>
      </c>
      <c r="AV224" s="166">
        <v>0</v>
      </c>
      <c r="AW224" s="166">
        <v>2</v>
      </c>
      <c r="AX224" s="166">
        <v>0</v>
      </c>
      <c r="AY224" s="166">
        <v>0</v>
      </c>
      <c r="AZ224" s="166">
        <v>1</v>
      </c>
      <c r="BA224" s="166">
        <v>0</v>
      </c>
      <c r="BB224" s="166">
        <v>0</v>
      </c>
      <c r="BC224" s="166">
        <v>0</v>
      </c>
      <c r="BD224" s="166">
        <v>0</v>
      </c>
      <c r="BE224" s="166">
        <v>0</v>
      </c>
      <c r="BF224" s="166">
        <v>0</v>
      </c>
      <c r="BG224" s="166">
        <v>-1</v>
      </c>
      <c r="BH224" s="166">
        <v>0</v>
      </c>
      <c r="BI224" s="166">
        <v>0</v>
      </c>
      <c r="BJ224" s="166">
        <v>0</v>
      </c>
      <c r="BK224" s="166">
        <v>0</v>
      </c>
      <c r="BL224" s="166">
        <v>0</v>
      </c>
      <c r="BM224" s="166">
        <v>0</v>
      </c>
      <c r="BN224" s="166">
        <v>0</v>
      </c>
      <c r="BO224" s="166">
        <v>0</v>
      </c>
      <c r="BP224" s="166">
        <v>0</v>
      </c>
      <c r="BQ224" s="81" t="s">
        <v>1757</v>
      </c>
      <c r="BZ224" s="81" t="s">
        <v>155</v>
      </c>
      <c r="CA224" s="81">
        <v>7</v>
      </c>
      <c r="CC224" s="167">
        <f>N224</f>
        <v>2</v>
      </c>
      <c r="CD224" s="167">
        <v>0</v>
      </c>
      <c r="CE224" s="167">
        <v>0</v>
      </c>
      <c r="CF224" s="167">
        <v>0</v>
      </c>
      <c r="CG224" s="167">
        <v>0</v>
      </c>
      <c r="CH224" s="167">
        <v>0</v>
      </c>
      <c r="CI224" s="167">
        <v>0</v>
      </c>
      <c r="CJ224" s="167">
        <v>0</v>
      </c>
      <c r="CK224" s="167">
        <v>0</v>
      </c>
      <c r="CL224" s="167">
        <v>0</v>
      </c>
      <c r="CM224" s="167">
        <v>0</v>
      </c>
      <c r="CN224" s="167">
        <v>0</v>
      </c>
      <c r="CO224" s="167">
        <v>0</v>
      </c>
      <c r="CP224" s="167">
        <v>0</v>
      </c>
      <c r="CQ224" s="167">
        <v>0</v>
      </c>
      <c r="CR224" s="167">
        <v>0</v>
      </c>
      <c r="CS224" s="167">
        <v>0</v>
      </c>
      <c r="CT224" s="167">
        <v>0</v>
      </c>
      <c r="CU224" s="167">
        <v>0</v>
      </c>
      <c r="CV224" s="167">
        <v>0</v>
      </c>
      <c r="CW224" s="167">
        <v>0</v>
      </c>
      <c r="CX224" s="167">
        <f>SUM(CD224:CH224)</f>
        <v>0</v>
      </c>
      <c r="CY224" s="167">
        <f>SUM(CD224:CM224)</f>
        <v>0</v>
      </c>
    </row>
    <row r="225" spans="1:103" ht="12.75" customHeight="1" x14ac:dyDescent="0.2">
      <c r="A225" s="81">
        <v>6599</v>
      </c>
      <c r="B225" s="165" t="s">
        <v>1924</v>
      </c>
      <c r="C225" s="165" t="s">
        <v>3289</v>
      </c>
      <c r="E225" s="165" t="s">
        <v>3290</v>
      </c>
      <c r="G225" s="81">
        <v>527197</v>
      </c>
      <c r="H225" s="81">
        <v>171468</v>
      </c>
      <c r="I225" s="165" t="s">
        <v>242</v>
      </c>
      <c r="J225" s="349">
        <v>42958</v>
      </c>
      <c r="K225" s="349">
        <v>43190</v>
      </c>
      <c r="L225" s="166">
        <v>2</v>
      </c>
      <c r="M225" s="166">
        <v>3</v>
      </c>
      <c r="N225" s="166">
        <v>1</v>
      </c>
      <c r="O225" s="166">
        <v>3</v>
      </c>
      <c r="P225" s="166">
        <v>1</v>
      </c>
      <c r="R225" s="165" t="s">
        <v>3291</v>
      </c>
      <c r="S225" s="81" t="s">
        <v>113</v>
      </c>
      <c r="T225" s="349">
        <v>42906</v>
      </c>
      <c r="U225" s="349">
        <v>42947</v>
      </c>
      <c r="V225" s="81" t="s">
        <v>155</v>
      </c>
      <c r="W225" s="81" t="s">
        <v>114</v>
      </c>
      <c r="Y225" s="81" t="s">
        <v>115</v>
      </c>
      <c r="Z225" s="81" t="s">
        <v>398</v>
      </c>
      <c r="AA225" s="81" t="s">
        <v>117</v>
      </c>
      <c r="AB225" s="81" t="s">
        <v>220</v>
      </c>
      <c r="AC225" s="166">
        <v>1.4000000432133701E-2</v>
      </c>
      <c r="AD225" s="349">
        <v>42958</v>
      </c>
      <c r="AE225" s="81" t="s">
        <v>155</v>
      </c>
      <c r="AF225" s="349">
        <v>43190</v>
      </c>
      <c r="AG225" s="81" t="s">
        <v>238</v>
      </c>
      <c r="AH225" s="81" t="s">
        <v>118</v>
      </c>
      <c r="AK225" s="166">
        <v>0</v>
      </c>
      <c r="AM225" s="166">
        <v>0</v>
      </c>
      <c r="AO225" s="166">
        <v>1</v>
      </c>
      <c r="AP225" s="166">
        <v>1</v>
      </c>
      <c r="AQ225" s="166">
        <v>-2</v>
      </c>
      <c r="AR225" s="166">
        <v>1</v>
      </c>
      <c r="AS225" s="166">
        <v>0</v>
      </c>
      <c r="AT225" s="166">
        <v>0</v>
      </c>
      <c r="AU225" s="166">
        <v>0</v>
      </c>
      <c r="AV225" s="166">
        <v>1</v>
      </c>
      <c r="AW225" s="166">
        <v>1</v>
      </c>
      <c r="AX225" s="166">
        <v>-2</v>
      </c>
      <c r="AY225" s="166">
        <v>1</v>
      </c>
      <c r="AZ225" s="166">
        <v>0</v>
      </c>
      <c r="BA225" s="166">
        <v>0</v>
      </c>
      <c r="BB225" s="166">
        <v>0</v>
      </c>
      <c r="BC225" s="166">
        <v>0</v>
      </c>
      <c r="BD225" s="166">
        <v>0</v>
      </c>
      <c r="BE225" s="166">
        <v>0</v>
      </c>
      <c r="BF225" s="166">
        <v>0</v>
      </c>
      <c r="BG225" s="166">
        <v>0</v>
      </c>
      <c r="BH225" s="166">
        <v>0</v>
      </c>
      <c r="BI225" s="166">
        <v>0</v>
      </c>
      <c r="BJ225" s="166">
        <v>0</v>
      </c>
      <c r="BK225" s="166">
        <v>0</v>
      </c>
      <c r="BL225" s="166">
        <v>0</v>
      </c>
      <c r="BM225" s="166">
        <v>0</v>
      </c>
      <c r="BN225" s="166">
        <v>0</v>
      </c>
      <c r="BO225" s="166">
        <v>0</v>
      </c>
      <c r="BP225" s="166">
        <v>0</v>
      </c>
      <c r="BQ225" s="81" t="s">
        <v>1757</v>
      </c>
      <c r="BZ225" s="81" t="s">
        <v>155</v>
      </c>
      <c r="CA225" s="81">
        <v>7</v>
      </c>
      <c r="CC225" s="167">
        <f>N225</f>
        <v>1</v>
      </c>
      <c r="CD225" s="167">
        <v>0</v>
      </c>
      <c r="CE225" s="167">
        <v>0</v>
      </c>
      <c r="CF225" s="167">
        <v>0</v>
      </c>
      <c r="CG225" s="167">
        <v>0</v>
      </c>
      <c r="CH225" s="167">
        <v>0</v>
      </c>
      <c r="CI225" s="167">
        <v>0</v>
      </c>
      <c r="CJ225" s="167">
        <v>0</v>
      </c>
      <c r="CK225" s="167">
        <v>0</v>
      </c>
      <c r="CL225" s="167">
        <v>0</v>
      </c>
      <c r="CM225" s="167">
        <v>0</v>
      </c>
      <c r="CN225" s="167">
        <v>0</v>
      </c>
      <c r="CO225" s="167">
        <v>0</v>
      </c>
      <c r="CP225" s="167">
        <v>0</v>
      </c>
      <c r="CQ225" s="167">
        <v>0</v>
      </c>
      <c r="CR225" s="167">
        <v>0</v>
      </c>
      <c r="CS225" s="167">
        <v>0</v>
      </c>
      <c r="CT225" s="167">
        <v>0</v>
      </c>
      <c r="CU225" s="167">
        <v>0</v>
      </c>
      <c r="CV225" s="167">
        <v>0</v>
      </c>
      <c r="CW225" s="167">
        <v>0</v>
      </c>
      <c r="CX225" s="167">
        <f>SUM(CD225:CH225)</f>
        <v>0</v>
      </c>
      <c r="CY225" s="167">
        <f>SUM(CD225:CM225)</f>
        <v>0</v>
      </c>
    </row>
    <row r="226" spans="1:103" ht="12.75" customHeight="1" x14ac:dyDescent="0.2">
      <c r="A226" s="81">
        <v>6602</v>
      </c>
      <c r="B226" s="165" t="s">
        <v>1924</v>
      </c>
      <c r="C226" s="165" t="s">
        <v>3292</v>
      </c>
      <c r="E226" s="165" t="s">
        <v>3293</v>
      </c>
      <c r="G226" s="81">
        <v>526100</v>
      </c>
      <c r="H226" s="81">
        <v>172658</v>
      </c>
      <c r="I226" s="165" t="s">
        <v>249</v>
      </c>
      <c r="J226" s="349">
        <v>42922</v>
      </c>
      <c r="K226" s="349">
        <v>42922</v>
      </c>
      <c r="L226" s="166">
        <v>1</v>
      </c>
      <c r="M226" s="166">
        <v>2</v>
      </c>
      <c r="N226" s="166">
        <v>1</v>
      </c>
      <c r="O226" s="166">
        <v>2</v>
      </c>
      <c r="P226" s="166">
        <v>1</v>
      </c>
      <c r="R226" s="165" t="s">
        <v>3294</v>
      </c>
      <c r="S226" s="81" t="s">
        <v>504</v>
      </c>
      <c r="T226" s="349">
        <v>42867</v>
      </c>
      <c r="U226" s="349">
        <v>42922</v>
      </c>
      <c r="V226" s="81" t="s">
        <v>155</v>
      </c>
      <c r="W226" s="81" t="s">
        <v>114</v>
      </c>
      <c r="Y226" s="81" t="s">
        <v>115</v>
      </c>
      <c r="Z226" s="81" t="s">
        <v>119</v>
      </c>
      <c r="AA226" s="81" t="s">
        <v>117</v>
      </c>
      <c r="AB226" s="81" t="s">
        <v>120</v>
      </c>
      <c r="AC226" s="166">
        <v>1.2000000104308101E-2</v>
      </c>
      <c r="AD226" s="349">
        <v>42922</v>
      </c>
      <c r="AE226" s="81" t="s">
        <v>155</v>
      </c>
      <c r="AF226" s="349">
        <v>42922</v>
      </c>
      <c r="AG226" s="81" t="s">
        <v>238</v>
      </c>
      <c r="AH226" s="81" t="s">
        <v>118</v>
      </c>
      <c r="AK226" s="166">
        <v>0</v>
      </c>
      <c r="AM226" s="166">
        <v>0</v>
      </c>
      <c r="AO226" s="166">
        <v>0</v>
      </c>
      <c r="AP226" s="166">
        <v>0</v>
      </c>
      <c r="AQ226" s="166">
        <v>2</v>
      </c>
      <c r="AR226" s="166">
        <v>-1</v>
      </c>
      <c r="AS226" s="166">
        <v>0</v>
      </c>
      <c r="AT226" s="166">
        <v>0</v>
      </c>
      <c r="AU226" s="166">
        <v>0</v>
      </c>
      <c r="AV226" s="166">
        <v>0</v>
      </c>
      <c r="AW226" s="166">
        <v>0</v>
      </c>
      <c r="AX226" s="166">
        <v>2</v>
      </c>
      <c r="AY226" s="166">
        <v>0</v>
      </c>
      <c r="AZ226" s="166">
        <v>0</v>
      </c>
      <c r="BA226" s="166">
        <v>0</v>
      </c>
      <c r="BB226" s="166">
        <v>0</v>
      </c>
      <c r="BC226" s="166">
        <v>0</v>
      </c>
      <c r="BD226" s="166">
        <v>0</v>
      </c>
      <c r="BE226" s="166">
        <v>0</v>
      </c>
      <c r="BF226" s="166">
        <v>-1</v>
      </c>
      <c r="BG226" s="166">
        <v>0</v>
      </c>
      <c r="BH226" s="166">
        <v>0</v>
      </c>
      <c r="BI226" s="166">
        <v>0</v>
      </c>
      <c r="BJ226" s="166">
        <v>0</v>
      </c>
      <c r="BK226" s="166">
        <v>0</v>
      </c>
      <c r="BL226" s="166">
        <v>0</v>
      </c>
      <c r="BM226" s="166">
        <v>0</v>
      </c>
      <c r="BN226" s="166">
        <v>0</v>
      </c>
      <c r="BO226" s="166">
        <v>0</v>
      </c>
      <c r="BP226" s="166">
        <v>0</v>
      </c>
      <c r="BQ226" s="81" t="s">
        <v>1758</v>
      </c>
      <c r="BZ226" s="81" t="s">
        <v>155</v>
      </c>
      <c r="CA226" s="81">
        <v>7</v>
      </c>
      <c r="CC226" s="167">
        <f>N226</f>
        <v>1</v>
      </c>
      <c r="CD226" s="167">
        <v>0</v>
      </c>
      <c r="CE226" s="167">
        <v>0</v>
      </c>
      <c r="CF226" s="167">
        <v>0</v>
      </c>
      <c r="CG226" s="167">
        <v>0</v>
      </c>
      <c r="CH226" s="167">
        <v>0</v>
      </c>
      <c r="CI226" s="167">
        <v>0</v>
      </c>
      <c r="CJ226" s="167">
        <v>0</v>
      </c>
      <c r="CK226" s="167">
        <v>0</v>
      </c>
      <c r="CL226" s="167">
        <v>0</v>
      </c>
      <c r="CM226" s="167">
        <v>0</v>
      </c>
      <c r="CN226" s="167">
        <v>0</v>
      </c>
      <c r="CO226" s="167">
        <v>0</v>
      </c>
      <c r="CP226" s="167">
        <v>0</v>
      </c>
      <c r="CQ226" s="167">
        <v>0</v>
      </c>
      <c r="CR226" s="167">
        <v>0</v>
      </c>
      <c r="CS226" s="167">
        <v>0</v>
      </c>
      <c r="CT226" s="167">
        <v>0</v>
      </c>
      <c r="CU226" s="167">
        <v>0</v>
      </c>
      <c r="CV226" s="167">
        <v>0</v>
      </c>
      <c r="CW226" s="167">
        <v>0</v>
      </c>
      <c r="CX226" s="167">
        <f>SUM(CD226:CH226)</f>
        <v>0</v>
      </c>
      <c r="CY226" s="167">
        <f>SUM(CD226:CM226)</f>
        <v>0</v>
      </c>
    </row>
    <row r="227" spans="1:103" ht="12.75" customHeight="1" x14ac:dyDescent="0.2">
      <c r="A227" s="81">
        <v>6614</v>
      </c>
      <c r="B227" s="165" t="s">
        <v>1924</v>
      </c>
      <c r="C227" s="165" t="s">
        <v>3295</v>
      </c>
      <c r="E227" s="165" t="s">
        <v>3296</v>
      </c>
      <c r="G227" s="81">
        <v>527880</v>
      </c>
      <c r="H227" s="81">
        <v>172154</v>
      </c>
      <c r="I227" s="165" t="s">
        <v>242</v>
      </c>
      <c r="J227" s="349">
        <v>42922</v>
      </c>
      <c r="K227" s="349">
        <v>42922</v>
      </c>
      <c r="L227" s="166">
        <v>1</v>
      </c>
      <c r="M227" s="166">
        <v>2</v>
      </c>
      <c r="N227" s="166">
        <v>1</v>
      </c>
      <c r="O227" s="166">
        <v>2</v>
      </c>
      <c r="P227" s="166">
        <v>1</v>
      </c>
      <c r="R227" s="165" t="s">
        <v>3297</v>
      </c>
      <c r="S227" s="81" t="s">
        <v>504</v>
      </c>
      <c r="T227" s="349">
        <v>42866</v>
      </c>
      <c r="U227" s="349">
        <v>42922</v>
      </c>
      <c r="V227" s="81" t="s">
        <v>155</v>
      </c>
      <c r="W227" s="81" t="s">
        <v>114</v>
      </c>
      <c r="Y227" s="81" t="s">
        <v>115</v>
      </c>
      <c r="Z227" s="81" t="s">
        <v>119</v>
      </c>
      <c r="AA227" s="81" t="s">
        <v>117</v>
      </c>
      <c r="AB227" s="81" t="s">
        <v>120</v>
      </c>
      <c r="AC227" s="166">
        <v>8.9999996125698107E-3</v>
      </c>
      <c r="AD227" s="349">
        <v>42922</v>
      </c>
      <c r="AE227" s="81" t="s">
        <v>155</v>
      </c>
      <c r="AF227" s="349">
        <v>42922</v>
      </c>
      <c r="AG227" s="81" t="s">
        <v>238</v>
      </c>
      <c r="AH227" s="81" t="s">
        <v>118</v>
      </c>
      <c r="AK227" s="166">
        <v>0</v>
      </c>
      <c r="AM227" s="166">
        <v>0</v>
      </c>
      <c r="AO227" s="166">
        <v>0</v>
      </c>
      <c r="AP227" s="166">
        <v>1</v>
      </c>
      <c r="AQ227" s="166">
        <v>1</v>
      </c>
      <c r="AR227" s="166">
        <v>-1</v>
      </c>
      <c r="AS227" s="166">
        <v>0</v>
      </c>
      <c r="AT227" s="166">
        <v>0</v>
      </c>
      <c r="AU227" s="166">
        <v>0</v>
      </c>
      <c r="AV227" s="166">
        <v>0</v>
      </c>
      <c r="AW227" s="166">
        <v>1</v>
      </c>
      <c r="AX227" s="166">
        <v>1</v>
      </c>
      <c r="AY227" s="166">
        <v>0</v>
      </c>
      <c r="AZ227" s="166">
        <v>0</v>
      </c>
      <c r="BA227" s="166">
        <v>0</v>
      </c>
      <c r="BB227" s="166">
        <v>0</v>
      </c>
      <c r="BC227" s="166">
        <v>0</v>
      </c>
      <c r="BD227" s="166">
        <v>0</v>
      </c>
      <c r="BE227" s="166">
        <v>0</v>
      </c>
      <c r="BF227" s="166">
        <v>-1</v>
      </c>
      <c r="BG227" s="166">
        <v>0</v>
      </c>
      <c r="BH227" s="166">
        <v>0</v>
      </c>
      <c r="BI227" s="166">
        <v>0</v>
      </c>
      <c r="BJ227" s="166">
        <v>0</v>
      </c>
      <c r="BK227" s="166">
        <v>0</v>
      </c>
      <c r="BL227" s="166">
        <v>0</v>
      </c>
      <c r="BM227" s="166">
        <v>0</v>
      </c>
      <c r="BN227" s="166">
        <v>0</v>
      </c>
      <c r="BO227" s="166">
        <v>0</v>
      </c>
      <c r="BP227" s="166">
        <v>0</v>
      </c>
      <c r="BQ227" s="81" t="s">
        <v>1757</v>
      </c>
      <c r="BZ227" s="81" t="s">
        <v>155</v>
      </c>
      <c r="CA227" s="81">
        <v>7</v>
      </c>
      <c r="CC227" s="167">
        <f>N227</f>
        <v>1</v>
      </c>
      <c r="CD227" s="167">
        <v>0</v>
      </c>
      <c r="CE227" s="167">
        <v>0</v>
      </c>
      <c r="CF227" s="167">
        <v>0</v>
      </c>
      <c r="CG227" s="167">
        <v>0</v>
      </c>
      <c r="CH227" s="167">
        <v>0</v>
      </c>
      <c r="CI227" s="167">
        <v>0</v>
      </c>
      <c r="CJ227" s="167">
        <v>0</v>
      </c>
      <c r="CK227" s="167">
        <v>0</v>
      </c>
      <c r="CL227" s="167">
        <v>0</v>
      </c>
      <c r="CM227" s="167">
        <v>0</v>
      </c>
      <c r="CN227" s="167">
        <v>0</v>
      </c>
      <c r="CO227" s="167">
        <v>0</v>
      </c>
      <c r="CP227" s="167">
        <v>0</v>
      </c>
      <c r="CQ227" s="167">
        <v>0</v>
      </c>
      <c r="CR227" s="167">
        <v>0</v>
      </c>
      <c r="CS227" s="167">
        <v>0</v>
      </c>
      <c r="CT227" s="167">
        <v>0</v>
      </c>
      <c r="CU227" s="167">
        <v>0</v>
      </c>
      <c r="CV227" s="167">
        <v>0</v>
      </c>
      <c r="CW227" s="167">
        <v>0</v>
      </c>
      <c r="CX227" s="167">
        <f>SUM(CD227:CH227)</f>
        <v>0</v>
      </c>
      <c r="CY227" s="167">
        <f>SUM(CD227:CM227)</f>
        <v>0</v>
      </c>
    </row>
    <row r="228" spans="1:103" ht="12.75" customHeight="1" x14ac:dyDescent="0.2">
      <c r="A228" s="81">
        <v>6648</v>
      </c>
      <c r="B228" s="165" t="s">
        <v>1924</v>
      </c>
      <c r="C228" s="165" t="s">
        <v>3298</v>
      </c>
      <c r="E228" s="165" t="s">
        <v>3299</v>
      </c>
      <c r="G228" s="81">
        <v>522445</v>
      </c>
      <c r="H228" s="81">
        <v>174942</v>
      </c>
      <c r="I228" s="165" t="s">
        <v>59</v>
      </c>
      <c r="J228" s="349">
        <v>42990</v>
      </c>
      <c r="K228" s="349">
        <v>42990</v>
      </c>
      <c r="L228" s="166">
        <v>1</v>
      </c>
      <c r="M228" s="166">
        <v>2</v>
      </c>
      <c r="N228" s="166">
        <v>1</v>
      </c>
      <c r="O228" s="166">
        <v>2</v>
      </c>
      <c r="P228" s="166">
        <v>1</v>
      </c>
      <c r="R228" s="165" t="s">
        <v>3300</v>
      </c>
      <c r="S228" s="81" t="s">
        <v>504</v>
      </c>
      <c r="T228" s="349">
        <v>42936</v>
      </c>
      <c r="U228" s="349">
        <v>42990</v>
      </c>
      <c r="V228" s="81" t="s">
        <v>155</v>
      </c>
      <c r="W228" s="81" t="s">
        <v>114</v>
      </c>
      <c r="Y228" s="81" t="s">
        <v>115</v>
      </c>
      <c r="Z228" s="81" t="s">
        <v>119</v>
      </c>
      <c r="AA228" s="81" t="s">
        <v>117</v>
      </c>
      <c r="AB228" s="81" t="s">
        <v>120</v>
      </c>
      <c r="AC228" s="166">
        <v>1.7999999225139601E-2</v>
      </c>
      <c r="AD228" s="349">
        <v>42990</v>
      </c>
      <c r="AE228" s="81" t="s">
        <v>155</v>
      </c>
      <c r="AF228" s="349">
        <v>42990</v>
      </c>
      <c r="AG228" s="81" t="s">
        <v>238</v>
      </c>
      <c r="AH228" s="81" t="s">
        <v>118</v>
      </c>
      <c r="AK228" s="166">
        <v>0</v>
      </c>
      <c r="AM228" s="166">
        <v>0</v>
      </c>
      <c r="AO228" s="166">
        <v>0</v>
      </c>
      <c r="AP228" s="166">
        <v>0</v>
      </c>
      <c r="AQ228" s="166">
        <v>0</v>
      </c>
      <c r="AR228" s="166">
        <v>0</v>
      </c>
      <c r="AS228" s="166">
        <v>1</v>
      </c>
      <c r="AT228" s="166">
        <v>0</v>
      </c>
      <c r="AU228" s="166">
        <v>0</v>
      </c>
      <c r="AV228" s="166">
        <v>0</v>
      </c>
      <c r="AW228" s="166">
        <v>0</v>
      </c>
      <c r="AX228" s="166">
        <v>0</v>
      </c>
      <c r="AY228" s="166">
        <v>1</v>
      </c>
      <c r="AZ228" s="166">
        <v>1</v>
      </c>
      <c r="BA228" s="166">
        <v>0</v>
      </c>
      <c r="BB228" s="166">
        <v>0</v>
      </c>
      <c r="BC228" s="166">
        <v>0</v>
      </c>
      <c r="BD228" s="166">
        <v>0</v>
      </c>
      <c r="BE228" s="166">
        <v>0</v>
      </c>
      <c r="BF228" s="166">
        <v>-1</v>
      </c>
      <c r="BG228" s="166">
        <v>0</v>
      </c>
      <c r="BH228" s="166">
        <v>0</v>
      </c>
      <c r="BI228" s="166">
        <v>0</v>
      </c>
      <c r="BJ228" s="166">
        <v>0</v>
      </c>
      <c r="BK228" s="166">
        <v>0</v>
      </c>
      <c r="BL228" s="166">
        <v>0</v>
      </c>
      <c r="BM228" s="166">
        <v>0</v>
      </c>
      <c r="BN228" s="166">
        <v>0</v>
      </c>
      <c r="BO228" s="166">
        <v>0</v>
      </c>
      <c r="BP228" s="166">
        <v>0</v>
      </c>
      <c r="BQ228" s="81" t="s">
        <v>1758</v>
      </c>
      <c r="BZ228" s="81" t="s">
        <v>155</v>
      </c>
      <c r="CA228" s="81">
        <v>7</v>
      </c>
      <c r="CC228" s="167">
        <f>N228</f>
        <v>1</v>
      </c>
      <c r="CD228" s="167">
        <v>0</v>
      </c>
      <c r="CE228" s="167">
        <v>0</v>
      </c>
      <c r="CF228" s="167">
        <v>0</v>
      </c>
      <c r="CG228" s="167">
        <v>0</v>
      </c>
      <c r="CH228" s="167">
        <v>0</v>
      </c>
      <c r="CI228" s="167">
        <v>0</v>
      </c>
      <c r="CJ228" s="167">
        <v>0</v>
      </c>
      <c r="CK228" s="167">
        <v>0</v>
      </c>
      <c r="CL228" s="167">
        <v>0</v>
      </c>
      <c r="CM228" s="167">
        <v>0</v>
      </c>
      <c r="CN228" s="167">
        <v>0</v>
      </c>
      <c r="CO228" s="167">
        <v>0</v>
      </c>
      <c r="CP228" s="167">
        <v>0</v>
      </c>
      <c r="CQ228" s="167">
        <v>0</v>
      </c>
      <c r="CR228" s="167">
        <v>0</v>
      </c>
      <c r="CS228" s="167">
        <v>0</v>
      </c>
      <c r="CT228" s="167">
        <v>0</v>
      </c>
      <c r="CU228" s="167">
        <v>0</v>
      </c>
      <c r="CV228" s="167">
        <v>0</v>
      </c>
      <c r="CW228" s="167">
        <v>0</v>
      </c>
      <c r="CX228" s="167">
        <f>SUM(CD228:CH228)</f>
        <v>0</v>
      </c>
      <c r="CY228" s="167">
        <f>SUM(CD228:CM228)</f>
        <v>0</v>
      </c>
    </row>
    <row r="229" spans="1:103" ht="12.75" customHeight="1" x14ac:dyDescent="0.2">
      <c r="A229" s="81">
        <v>6651</v>
      </c>
      <c r="B229" s="165" t="s">
        <v>1924</v>
      </c>
      <c r="C229" s="165" t="s">
        <v>3301</v>
      </c>
      <c r="E229" s="165" t="s">
        <v>3302</v>
      </c>
      <c r="G229" s="81">
        <v>528478</v>
      </c>
      <c r="H229" s="81">
        <v>175464</v>
      </c>
      <c r="I229" s="165" t="s">
        <v>256</v>
      </c>
      <c r="J229" s="349">
        <v>42985</v>
      </c>
      <c r="K229" s="349">
        <v>42985</v>
      </c>
      <c r="L229" s="166">
        <v>0</v>
      </c>
      <c r="M229" s="166">
        <v>1</v>
      </c>
      <c r="N229" s="166">
        <v>1</v>
      </c>
      <c r="O229" s="166">
        <v>1</v>
      </c>
      <c r="P229" s="166">
        <v>1</v>
      </c>
      <c r="R229" s="165" t="s">
        <v>3303</v>
      </c>
      <c r="S229" s="81" t="s">
        <v>504</v>
      </c>
      <c r="T229" s="349">
        <v>42929</v>
      </c>
      <c r="U229" s="349">
        <v>42985</v>
      </c>
      <c r="V229" s="81" t="s">
        <v>155</v>
      </c>
      <c r="W229" s="81" t="s">
        <v>114</v>
      </c>
      <c r="Y229" s="81" t="s">
        <v>115</v>
      </c>
      <c r="Z229" s="81" t="s">
        <v>119</v>
      </c>
      <c r="AA229" s="81" t="s">
        <v>117</v>
      </c>
      <c r="AB229" s="81" t="s">
        <v>120</v>
      </c>
      <c r="AC229" s="166">
        <v>6.0000000521540598E-3</v>
      </c>
      <c r="AD229" s="349">
        <v>42985</v>
      </c>
      <c r="AE229" s="81" t="s">
        <v>155</v>
      </c>
      <c r="AF229" s="349">
        <v>42985</v>
      </c>
      <c r="AG229" s="81" t="s">
        <v>238</v>
      </c>
      <c r="AH229" s="81" t="s">
        <v>118</v>
      </c>
      <c r="AK229" s="166">
        <v>0</v>
      </c>
      <c r="AM229" s="166">
        <v>0</v>
      </c>
      <c r="AO229" s="166">
        <v>0</v>
      </c>
      <c r="AP229" s="166">
        <v>1</v>
      </c>
      <c r="AQ229" s="166">
        <v>0</v>
      </c>
      <c r="AR229" s="166">
        <v>0</v>
      </c>
      <c r="AS229" s="166">
        <v>0</v>
      </c>
      <c r="AT229" s="166">
        <v>0</v>
      </c>
      <c r="AU229" s="166">
        <v>0</v>
      </c>
      <c r="AV229" s="166">
        <v>0</v>
      </c>
      <c r="AW229" s="166">
        <v>1</v>
      </c>
      <c r="AX229" s="166">
        <v>0</v>
      </c>
      <c r="AY229" s="166">
        <v>0</v>
      </c>
      <c r="AZ229" s="166">
        <v>0</v>
      </c>
      <c r="BA229" s="166">
        <v>0</v>
      </c>
      <c r="BB229" s="166">
        <v>0</v>
      </c>
      <c r="BC229" s="166">
        <v>0</v>
      </c>
      <c r="BD229" s="166">
        <v>0</v>
      </c>
      <c r="BE229" s="166">
        <v>0</v>
      </c>
      <c r="BF229" s="166">
        <v>0</v>
      </c>
      <c r="BG229" s="166">
        <v>0</v>
      </c>
      <c r="BH229" s="166">
        <v>0</v>
      </c>
      <c r="BI229" s="166">
        <v>0</v>
      </c>
      <c r="BJ229" s="166">
        <v>0</v>
      </c>
      <c r="BK229" s="166">
        <v>0</v>
      </c>
      <c r="BL229" s="166">
        <v>0</v>
      </c>
      <c r="BM229" s="166">
        <v>0</v>
      </c>
      <c r="BN229" s="166">
        <v>0</v>
      </c>
      <c r="BO229" s="166">
        <v>0</v>
      </c>
      <c r="BP229" s="166">
        <v>0</v>
      </c>
      <c r="BQ229" s="81" t="s">
        <v>1757</v>
      </c>
      <c r="BZ229" s="81" t="s">
        <v>155</v>
      </c>
      <c r="CA229" s="81">
        <v>7</v>
      </c>
      <c r="CC229" s="167">
        <f>N229</f>
        <v>1</v>
      </c>
      <c r="CD229" s="167">
        <v>0</v>
      </c>
      <c r="CE229" s="167">
        <v>0</v>
      </c>
      <c r="CF229" s="167">
        <v>0</v>
      </c>
      <c r="CG229" s="167">
        <v>0</v>
      </c>
      <c r="CH229" s="167">
        <v>0</v>
      </c>
      <c r="CI229" s="167">
        <v>0</v>
      </c>
      <c r="CJ229" s="167">
        <v>0</v>
      </c>
      <c r="CK229" s="167">
        <v>0</v>
      </c>
      <c r="CL229" s="167">
        <v>0</v>
      </c>
      <c r="CM229" s="167">
        <v>0</v>
      </c>
      <c r="CN229" s="167">
        <v>0</v>
      </c>
      <c r="CO229" s="167">
        <v>0</v>
      </c>
      <c r="CP229" s="167">
        <v>0</v>
      </c>
      <c r="CQ229" s="167">
        <v>0</v>
      </c>
      <c r="CR229" s="167">
        <v>0</v>
      </c>
      <c r="CS229" s="167">
        <v>0</v>
      </c>
      <c r="CT229" s="167">
        <v>0</v>
      </c>
      <c r="CU229" s="167">
        <v>0</v>
      </c>
      <c r="CV229" s="167">
        <v>0</v>
      </c>
      <c r="CW229" s="167">
        <v>0</v>
      </c>
      <c r="CX229" s="167">
        <f>SUM(CD229:CH229)</f>
        <v>0</v>
      </c>
      <c r="CY229" s="167">
        <f>SUM(CD229:CM229)</f>
        <v>0</v>
      </c>
    </row>
    <row r="230" spans="1:103" ht="12.75" customHeight="1" x14ac:dyDescent="0.2">
      <c r="A230" s="81">
        <v>6653</v>
      </c>
      <c r="B230" s="165" t="s">
        <v>1924</v>
      </c>
      <c r="C230" s="165" t="s">
        <v>3304</v>
      </c>
      <c r="E230" s="165" t="s">
        <v>2198</v>
      </c>
      <c r="G230" s="81">
        <v>527197</v>
      </c>
      <c r="H230" s="81">
        <v>171575</v>
      </c>
      <c r="I230" s="165" t="s">
        <v>242</v>
      </c>
      <c r="J230" s="349">
        <v>42886</v>
      </c>
      <c r="K230" s="349">
        <v>43190</v>
      </c>
      <c r="L230" s="166">
        <v>1</v>
      </c>
      <c r="M230" s="166">
        <v>3</v>
      </c>
      <c r="N230" s="166">
        <v>2</v>
      </c>
      <c r="O230" s="166">
        <v>3</v>
      </c>
      <c r="P230" s="166">
        <v>2</v>
      </c>
      <c r="R230" s="165" t="s">
        <v>3305</v>
      </c>
      <c r="S230" s="81" t="s">
        <v>113</v>
      </c>
      <c r="T230" s="349">
        <v>43052</v>
      </c>
      <c r="U230" s="349">
        <v>43108</v>
      </c>
      <c r="V230" s="81" t="s">
        <v>155</v>
      </c>
      <c r="W230" s="81" t="s">
        <v>114</v>
      </c>
      <c r="Y230" s="81" t="s">
        <v>115</v>
      </c>
      <c r="Z230" s="81" t="s">
        <v>398</v>
      </c>
      <c r="AA230" s="81" t="s">
        <v>117</v>
      </c>
      <c r="AB230" s="81" t="s">
        <v>120</v>
      </c>
      <c r="AC230" s="166">
        <v>2.0999999716877899E-2</v>
      </c>
      <c r="AD230" s="349">
        <v>42886</v>
      </c>
      <c r="AE230" s="81" t="s">
        <v>155</v>
      </c>
      <c r="AF230" s="349">
        <v>43190</v>
      </c>
      <c r="AG230" s="81" t="s">
        <v>238</v>
      </c>
      <c r="AH230" s="81" t="s">
        <v>118</v>
      </c>
      <c r="AK230" s="166">
        <v>0</v>
      </c>
      <c r="AM230" s="166">
        <v>0</v>
      </c>
      <c r="AO230" s="166">
        <v>0</v>
      </c>
      <c r="AP230" s="166">
        <v>0</v>
      </c>
      <c r="AQ230" s="166">
        <v>1</v>
      </c>
      <c r="AR230" s="166">
        <v>2</v>
      </c>
      <c r="AS230" s="166">
        <v>0</v>
      </c>
      <c r="AT230" s="166">
        <v>-1</v>
      </c>
      <c r="AU230" s="166">
        <v>0</v>
      </c>
      <c r="AV230" s="166">
        <v>0</v>
      </c>
      <c r="AW230" s="166">
        <v>0</v>
      </c>
      <c r="AX230" s="166">
        <v>1</v>
      </c>
      <c r="AY230" s="166">
        <v>2</v>
      </c>
      <c r="AZ230" s="166">
        <v>0</v>
      </c>
      <c r="BA230" s="166">
        <v>0</v>
      </c>
      <c r="BB230" s="166">
        <v>0</v>
      </c>
      <c r="BC230" s="166">
        <v>0</v>
      </c>
      <c r="BD230" s="166">
        <v>0</v>
      </c>
      <c r="BE230" s="166">
        <v>0</v>
      </c>
      <c r="BF230" s="166">
        <v>0</v>
      </c>
      <c r="BG230" s="166">
        <v>0</v>
      </c>
      <c r="BH230" s="166">
        <v>-1</v>
      </c>
      <c r="BI230" s="166">
        <v>0</v>
      </c>
      <c r="BJ230" s="166">
        <v>0</v>
      </c>
      <c r="BK230" s="166">
        <v>0</v>
      </c>
      <c r="BL230" s="166">
        <v>0</v>
      </c>
      <c r="BM230" s="166">
        <v>0</v>
      </c>
      <c r="BN230" s="166">
        <v>0</v>
      </c>
      <c r="BO230" s="166">
        <v>0</v>
      </c>
      <c r="BP230" s="166">
        <v>0</v>
      </c>
      <c r="BQ230" s="81" t="s">
        <v>1757</v>
      </c>
      <c r="BZ230" s="81" t="s">
        <v>155</v>
      </c>
      <c r="CA230" s="81">
        <v>7</v>
      </c>
      <c r="CC230" s="167">
        <f>N230</f>
        <v>2</v>
      </c>
      <c r="CD230" s="167">
        <v>0</v>
      </c>
      <c r="CE230" s="167">
        <v>0</v>
      </c>
      <c r="CF230" s="167">
        <v>0</v>
      </c>
      <c r="CG230" s="167">
        <v>0</v>
      </c>
      <c r="CH230" s="167">
        <v>0</v>
      </c>
      <c r="CI230" s="167">
        <v>0</v>
      </c>
      <c r="CJ230" s="167">
        <v>0</v>
      </c>
      <c r="CK230" s="167">
        <v>0</v>
      </c>
      <c r="CL230" s="167">
        <v>0</v>
      </c>
      <c r="CM230" s="167">
        <v>0</v>
      </c>
      <c r="CN230" s="167">
        <v>0</v>
      </c>
      <c r="CO230" s="167">
        <v>0</v>
      </c>
      <c r="CP230" s="167">
        <v>0</v>
      </c>
      <c r="CQ230" s="167">
        <v>0</v>
      </c>
      <c r="CR230" s="167">
        <v>0</v>
      </c>
      <c r="CS230" s="167">
        <v>0</v>
      </c>
      <c r="CT230" s="167">
        <v>0</v>
      </c>
      <c r="CU230" s="167">
        <v>0</v>
      </c>
      <c r="CV230" s="167">
        <v>0</v>
      </c>
      <c r="CW230" s="167">
        <v>0</v>
      </c>
      <c r="CX230" s="167">
        <f>SUM(CD230:CH230)</f>
        <v>0</v>
      </c>
      <c r="CY230" s="167">
        <f>SUM(CD230:CM230)</f>
        <v>0</v>
      </c>
    </row>
    <row r="231" spans="1:103" ht="12.75" customHeight="1" x14ac:dyDescent="0.2">
      <c r="A231" s="81">
        <v>6678</v>
      </c>
      <c r="B231" s="165" t="s">
        <v>1924</v>
      </c>
      <c r="C231" s="165" t="s">
        <v>3306</v>
      </c>
      <c r="E231" s="165" t="s">
        <v>3307</v>
      </c>
      <c r="G231" s="81">
        <v>528146</v>
      </c>
      <c r="H231" s="81">
        <v>175643</v>
      </c>
      <c r="I231" s="165" t="s">
        <v>256</v>
      </c>
      <c r="J231" s="349">
        <v>43003</v>
      </c>
      <c r="K231" s="349">
        <v>43190</v>
      </c>
      <c r="L231" s="166">
        <v>0</v>
      </c>
      <c r="M231" s="166">
        <v>1</v>
      </c>
      <c r="N231" s="166">
        <v>1</v>
      </c>
      <c r="O231" s="166">
        <v>1</v>
      </c>
      <c r="P231" s="166">
        <v>1</v>
      </c>
      <c r="R231" s="165" t="s">
        <v>3308</v>
      </c>
      <c r="S231" s="81" t="s">
        <v>113</v>
      </c>
      <c r="T231" s="349">
        <v>42948</v>
      </c>
      <c r="U231" s="349">
        <v>43003</v>
      </c>
      <c r="V231" s="81" t="s">
        <v>155</v>
      </c>
      <c r="W231" s="81" t="s">
        <v>114</v>
      </c>
      <c r="Y231" s="81" t="s">
        <v>115</v>
      </c>
      <c r="Z231" s="81" t="s">
        <v>398</v>
      </c>
      <c r="AA231" s="81" t="s">
        <v>117</v>
      </c>
      <c r="AB231" s="81" t="s">
        <v>102</v>
      </c>
      <c r="AC231" s="166">
        <v>6.0000000521540598E-3</v>
      </c>
      <c r="AD231" s="349">
        <v>43003</v>
      </c>
      <c r="AE231" s="81" t="s">
        <v>155</v>
      </c>
      <c r="AF231" s="349">
        <v>43190</v>
      </c>
      <c r="AG231" s="81" t="s">
        <v>238</v>
      </c>
      <c r="AH231" s="81" t="s">
        <v>118</v>
      </c>
      <c r="AK231" s="166">
        <v>0</v>
      </c>
      <c r="AM231" s="166">
        <v>0</v>
      </c>
      <c r="AO231" s="166">
        <v>0</v>
      </c>
      <c r="AP231" s="166">
        <v>0</v>
      </c>
      <c r="AQ231" s="166">
        <v>1</v>
      </c>
      <c r="AR231" s="166">
        <v>0</v>
      </c>
      <c r="AS231" s="166">
        <v>0</v>
      </c>
      <c r="AT231" s="166">
        <v>0</v>
      </c>
      <c r="AU231" s="166">
        <v>0</v>
      </c>
      <c r="AV231" s="166">
        <v>0</v>
      </c>
      <c r="AW231" s="166">
        <v>0</v>
      </c>
      <c r="AX231" s="166">
        <v>1</v>
      </c>
      <c r="AY231" s="166">
        <v>0</v>
      </c>
      <c r="AZ231" s="166">
        <v>0</v>
      </c>
      <c r="BA231" s="166">
        <v>0</v>
      </c>
      <c r="BB231" s="166">
        <v>0</v>
      </c>
      <c r="BC231" s="166">
        <v>0</v>
      </c>
      <c r="BD231" s="166">
        <v>0</v>
      </c>
      <c r="BE231" s="166">
        <v>0</v>
      </c>
      <c r="BF231" s="166">
        <v>0</v>
      </c>
      <c r="BG231" s="166">
        <v>0</v>
      </c>
      <c r="BH231" s="166">
        <v>0</v>
      </c>
      <c r="BI231" s="166">
        <v>0</v>
      </c>
      <c r="BJ231" s="166">
        <v>0</v>
      </c>
      <c r="BK231" s="166">
        <v>0</v>
      </c>
      <c r="BL231" s="166">
        <v>0</v>
      </c>
      <c r="BM231" s="166">
        <v>0</v>
      </c>
      <c r="BN231" s="166">
        <v>0</v>
      </c>
      <c r="BO231" s="166">
        <v>0</v>
      </c>
      <c r="BP231" s="166">
        <v>0</v>
      </c>
      <c r="BQ231" s="81" t="s">
        <v>1757</v>
      </c>
      <c r="BZ231" s="81" t="s">
        <v>155</v>
      </c>
      <c r="CA231" s="81">
        <v>7</v>
      </c>
      <c r="CC231" s="167">
        <f>N231</f>
        <v>1</v>
      </c>
      <c r="CD231" s="167">
        <v>0</v>
      </c>
      <c r="CE231" s="167">
        <v>0</v>
      </c>
      <c r="CF231" s="167">
        <v>0</v>
      </c>
      <c r="CG231" s="167">
        <v>0</v>
      </c>
      <c r="CH231" s="167">
        <v>0</v>
      </c>
      <c r="CI231" s="167">
        <v>0</v>
      </c>
      <c r="CJ231" s="167">
        <v>0</v>
      </c>
      <c r="CK231" s="167">
        <v>0</v>
      </c>
      <c r="CL231" s="167">
        <v>0</v>
      </c>
      <c r="CM231" s="167">
        <v>0</v>
      </c>
      <c r="CN231" s="167">
        <v>0</v>
      </c>
      <c r="CO231" s="167">
        <v>0</v>
      </c>
      <c r="CP231" s="167">
        <v>0</v>
      </c>
      <c r="CQ231" s="167">
        <v>0</v>
      </c>
      <c r="CR231" s="167">
        <v>0</v>
      </c>
      <c r="CS231" s="167">
        <v>0</v>
      </c>
      <c r="CT231" s="167">
        <v>0</v>
      </c>
      <c r="CU231" s="167">
        <v>0</v>
      </c>
      <c r="CV231" s="167">
        <v>0</v>
      </c>
      <c r="CW231" s="167">
        <v>0</v>
      </c>
      <c r="CX231" s="167">
        <f>SUM(CD231:CH231)</f>
        <v>0</v>
      </c>
      <c r="CY231" s="167">
        <f>SUM(CD231:CM231)</f>
        <v>0</v>
      </c>
    </row>
    <row r="232" spans="1:103" ht="12.75" customHeight="1" x14ac:dyDescent="0.2">
      <c r="A232" s="81">
        <v>6683</v>
      </c>
      <c r="B232" s="165" t="s">
        <v>1924</v>
      </c>
      <c r="C232" s="165" t="s">
        <v>3309</v>
      </c>
      <c r="E232" s="165" t="s">
        <v>3310</v>
      </c>
      <c r="G232" s="81">
        <v>527997</v>
      </c>
      <c r="H232" s="81">
        <v>172711</v>
      </c>
      <c r="I232" s="165" t="s">
        <v>254</v>
      </c>
      <c r="J232" s="349">
        <v>42961</v>
      </c>
      <c r="K232" s="349">
        <v>42961</v>
      </c>
      <c r="L232" s="166">
        <v>1</v>
      </c>
      <c r="M232" s="166">
        <v>1</v>
      </c>
      <c r="N232" s="166">
        <v>0</v>
      </c>
      <c r="O232" s="166">
        <v>1</v>
      </c>
      <c r="P232" s="166">
        <v>0</v>
      </c>
      <c r="R232" s="165" t="s">
        <v>3311</v>
      </c>
      <c r="S232" s="81" t="s">
        <v>113</v>
      </c>
      <c r="T232" s="349">
        <v>42905</v>
      </c>
      <c r="U232" s="349">
        <v>42961</v>
      </c>
      <c r="V232" s="81" t="s">
        <v>155</v>
      </c>
      <c r="W232" s="81" t="s">
        <v>114</v>
      </c>
      <c r="Y232" s="81" t="s">
        <v>115</v>
      </c>
      <c r="Z232" s="81" t="s">
        <v>116</v>
      </c>
      <c r="AA232" s="81" t="s">
        <v>117</v>
      </c>
      <c r="AB232" s="81" t="s">
        <v>218</v>
      </c>
      <c r="AC232" s="166">
        <v>5.4000001400709201E-2</v>
      </c>
      <c r="AD232" s="349">
        <v>42961</v>
      </c>
      <c r="AE232" s="81" t="s">
        <v>155</v>
      </c>
      <c r="AF232" s="349">
        <v>42961</v>
      </c>
      <c r="AG232" s="81" t="s">
        <v>238</v>
      </c>
      <c r="AH232" s="81" t="s">
        <v>118</v>
      </c>
      <c r="AK232" s="166">
        <v>0</v>
      </c>
      <c r="AM232" s="166">
        <v>0</v>
      </c>
      <c r="AO232" s="166">
        <v>0</v>
      </c>
      <c r="AP232" s="166">
        <v>0</v>
      </c>
      <c r="AQ232" s="166">
        <v>0</v>
      </c>
      <c r="AR232" s="166">
        <v>0</v>
      </c>
      <c r="AS232" s="166">
        <v>-1</v>
      </c>
      <c r="AT232" s="166">
        <v>1</v>
      </c>
      <c r="AU232" s="166">
        <v>0</v>
      </c>
      <c r="AV232" s="166">
        <v>0</v>
      </c>
      <c r="AW232" s="166">
        <v>0</v>
      </c>
      <c r="AX232" s="166">
        <v>0</v>
      </c>
      <c r="AY232" s="166">
        <v>0</v>
      </c>
      <c r="AZ232" s="166">
        <v>0</v>
      </c>
      <c r="BA232" s="166">
        <v>0</v>
      </c>
      <c r="BB232" s="166">
        <v>0</v>
      </c>
      <c r="BC232" s="166">
        <v>0</v>
      </c>
      <c r="BD232" s="166">
        <v>0</v>
      </c>
      <c r="BE232" s="166">
        <v>0</v>
      </c>
      <c r="BF232" s="166">
        <v>0</v>
      </c>
      <c r="BG232" s="166">
        <v>-1</v>
      </c>
      <c r="BH232" s="166">
        <v>1</v>
      </c>
      <c r="BI232" s="166">
        <v>0</v>
      </c>
      <c r="BJ232" s="166">
        <v>0</v>
      </c>
      <c r="BK232" s="166">
        <v>0</v>
      </c>
      <c r="BL232" s="166">
        <v>0</v>
      </c>
      <c r="BM232" s="166">
        <v>0</v>
      </c>
      <c r="BN232" s="166">
        <v>0</v>
      </c>
      <c r="BO232" s="166">
        <v>0</v>
      </c>
      <c r="BP232" s="166">
        <v>0</v>
      </c>
      <c r="BQ232" s="81" t="s">
        <v>1757</v>
      </c>
      <c r="BZ232" s="81" t="s">
        <v>155</v>
      </c>
      <c r="CA232" s="81">
        <v>1</v>
      </c>
      <c r="CC232" s="167">
        <f>N232</f>
        <v>0</v>
      </c>
      <c r="CD232" s="167">
        <v>0</v>
      </c>
      <c r="CE232" s="167">
        <v>0</v>
      </c>
      <c r="CF232" s="167">
        <v>0</v>
      </c>
      <c r="CG232" s="167">
        <v>0</v>
      </c>
      <c r="CH232" s="167">
        <v>0</v>
      </c>
      <c r="CI232" s="167">
        <v>0</v>
      </c>
      <c r="CJ232" s="167">
        <v>0</v>
      </c>
      <c r="CK232" s="167">
        <v>0</v>
      </c>
      <c r="CL232" s="167">
        <v>0</v>
      </c>
      <c r="CM232" s="167">
        <v>0</v>
      </c>
      <c r="CN232" s="167">
        <v>0</v>
      </c>
      <c r="CO232" s="167">
        <v>0</v>
      </c>
      <c r="CP232" s="167">
        <v>0</v>
      </c>
      <c r="CQ232" s="167">
        <v>0</v>
      </c>
      <c r="CR232" s="167">
        <v>0</v>
      </c>
      <c r="CS232" s="167">
        <v>0</v>
      </c>
      <c r="CT232" s="167">
        <v>0</v>
      </c>
      <c r="CU232" s="167">
        <v>0</v>
      </c>
      <c r="CV232" s="167">
        <v>0</v>
      </c>
      <c r="CW232" s="167">
        <v>0</v>
      </c>
      <c r="CX232" s="167">
        <f>SUM(CD232:CH232)</f>
        <v>0</v>
      </c>
      <c r="CY232" s="167">
        <f>SUM(CD232:CM232)</f>
        <v>0</v>
      </c>
    </row>
    <row r="233" spans="1:103" ht="12.75" customHeight="1" x14ac:dyDescent="0.2">
      <c r="A233" s="81">
        <v>6686</v>
      </c>
      <c r="B233" s="165" t="s">
        <v>1924</v>
      </c>
      <c r="C233" s="165" t="s">
        <v>3312</v>
      </c>
      <c r="E233" s="165" t="s">
        <v>3313</v>
      </c>
      <c r="G233" s="81">
        <v>527285</v>
      </c>
      <c r="H233" s="81">
        <v>176212</v>
      </c>
      <c r="I233" s="165" t="s">
        <v>241</v>
      </c>
      <c r="J233" s="349">
        <v>43053</v>
      </c>
      <c r="K233" s="349">
        <v>43190</v>
      </c>
      <c r="L233" s="166">
        <v>2</v>
      </c>
      <c r="M233" s="166">
        <v>1</v>
      </c>
      <c r="N233" s="166">
        <v>-1</v>
      </c>
      <c r="O233" s="166">
        <v>1</v>
      </c>
      <c r="P233" s="166">
        <v>-1</v>
      </c>
      <c r="R233" s="165" t="s">
        <v>3314</v>
      </c>
      <c r="S233" s="81" t="s">
        <v>113</v>
      </c>
      <c r="T233" s="349">
        <v>42997</v>
      </c>
      <c r="U233" s="349">
        <v>43053</v>
      </c>
      <c r="V233" s="81" t="s">
        <v>155</v>
      </c>
      <c r="W233" s="81" t="s">
        <v>114</v>
      </c>
      <c r="Y233" s="81" t="s">
        <v>115</v>
      </c>
      <c r="Z233" s="81" t="s">
        <v>398</v>
      </c>
      <c r="AA233" s="81" t="s">
        <v>117</v>
      </c>
      <c r="AB233" s="81" t="s">
        <v>336</v>
      </c>
      <c r="AC233" s="166">
        <v>1.09999999403954E-2</v>
      </c>
      <c r="AD233" s="349">
        <v>43053</v>
      </c>
      <c r="AE233" s="81" t="s">
        <v>155</v>
      </c>
      <c r="AF233" s="349">
        <v>43190</v>
      </c>
      <c r="AG233" s="81" t="s">
        <v>238</v>
      </c>
      <c r="AH233" s="81" t="s">
        <v>118</v>
      </c>
      <c r="AK233" s="166">
        <v>0</v>
      </c>
      <c r="AM233" s="166">
        <v>0</v>
      </c>
      <c r="AO233" s="166">
        <v>0</v>
      </c>
      <c r="AP233" s="166">
        <v>-2</v>
      </c>
      <c r="AQ233" s="166">
        <v>0</v>
      </c>
      <c r="AR233" s="166">
        <v>0</v>
      </c>
      <c r="AS233" s="166">
        <v>1</v>
      </c>
      <c r="AT233" s="166">
        <v>0</v>
      </c>
      <c r="AU233" s="166">
        <v>0</v>
      </c>
      <c r="AV233" s="166">
        <v>0</v>
      </c>
      <c r="AW233" s="166">
        <v>-2</v>
      </c>
      <c r="AX233" s="166">
        <v>0</v>
      </c>
      <c r="AY233" s="166">
        <v>0</v>
      </c>
      <c r="AZ233" s="166">
        <v>0</v>
      </c>
      <c r="BA233" s="166">
        <v>0</v>
      </c>
      <c r="BB233" s="166">
        <v>0</v>
      </c>
      <c r="BC233" s="166">
        <v>0</v>
      </c>
      <c r="BD233" s="166">
        <v>0</v>
      </c>
      <c r="BE233" s="166">
        <v>0</v>
      </c>
      <c r="BF233" s="166">
        <v>0</v>
      </c>
      <c r="BG233" s="166">
        <v>1</v>
      </c>
      <c r="BH233" s="166">
        <v>0</v>
      </c>
      <c r="BI233" s="166">
        <v>0</v>
      </c>
      <c r="BJ233" s="166">
        <v>0</v>
      </c>
      <c r="BK233" s="166">
        <v>0</v>
      </c>
      <c r="BL233" s="166">
        <v>0</v>
      </c>
      <c r="BM233" s="166">
        <v>0</v>
      </c>
      <c r="BN233" s="166">
        <v>0</v>
      </c>
      <c r="BO233" s="166">
        <v>0</v>
      </c>
      <c r="BP233" s="166">
        <v>0</v>
      </c>
      <c r="BQ233" s="81" t="s">
        <v>1757</v>
      </c>
      <c r="BZ233" s="81" t="s">
        <v>155</v>
      </c>
      <c r="CA233" s="81">
        <v>7</v>
      </c>
      <c r="CC233" s="167">
        <f>N233</f>
        <v>-1</v>
      </c>
      <c r="CD233" s="167">
        <v>0</v>
      </c>
      <c r="CE233" s="167">
        <v>0</v>
      </c>
      <c r="CF233" s="167">
        <v>0</v>
      </c>
      <c r="CG233" s="167">
        <v>0</v>
      </c>
      <c r="CH233" s="167">
        <v>0</v>
      </c>
      <c r="CI233" s="167">
        <v>0</v>
      </c>
      <c r="CJ233" s="167">
        <v>0</v>
      </c>
      <c r="CK233" s="167">
        <v>0</v>
      </c>
      <c r="CL233" s="167">
        <v>0</v>
      </c>
      <c r="CM233" s="167">
        <v>0</v>
      </c>
      <c r="CN233" s="167">
        <v>0</v>
      </c>
      <c r="CO233" s="167">
        <v>0</v>
      </c>
      <c r="CP233" s="167">
        <v>0</v>
      </c>
      <c r="CQ233" s="167">
        <v>0</v>
      </c>
      <c r="CR233" s="167">
        <v>0</v>
      </c>
      <c r="CS233" s="167">
        <v>0</v>
      </c>
      <c r="CT233" s="167">
        <v>0</v>
      </c>
      <c r="CU233" s="167">
        <v>0</v>
      </c>
      <c r="CV233" s="167">
        <v>0</v>
      </c>
      <c r="CW233" s="167">
        <v>0</v>
      </c>
      <c r="CX233" s="167">
        <f>SUM(CD233:CH233)</f>
        <v>0</v>
      </c>
      <c r="CY233" s="167">
        <f>SUM(CD233:CM233)</f>
        <v>0</v>
      </c>
    </row>
    <row r="234" spans="1:103" ht="12.75" customHeight="1" x14ac:dyDescent="0.2">
      <c r="A234" s="81">
        <v>6721</v>
      </c>
      <c r="B234" s="165" t="s">
        <v>1924</v>
      </c>
      <c r="C234" s="165" t="s">
        <v>3315</v>
      </c>
      <c r="E234" s="165" t="s">
        <v>3316</v>
      </c>
      <c r="G234" s="81">
        <v>527376</v>
      </c>
      <c r="H234" s="81">
        <v>176317</v>
      </c>
      <c r="I234" s="165" t="s">
        <v>241</v>
      </c>
      <c r="J234" s="349">
        <v>43060</v>
      </c>
      <c r="K234" s="349">
        <v>43190</v>
      </c>
      <c r="L234" s="166">
        <v>1</v>
      </c>
      <c r="M234" s="166">
        <v>3</v>
      </c>
      <c r="N234" s="166">
        <v>2</v>
      </c>
      <c r="O234" s="166">
        <v>3</v>
      </c>
      <c r="P234" s="166">
        <v>2</v>
      </c>
      <c r="R234" s="165" t="s">
        <v>3317</v>
      </c>
      <c r="S234" s="81" t="s">
        <v>113</v>
      </c>
      <c r="T234" s="349">
        <v>43004</v>
      </c>
      <c r="U234" s="349">
        <v>43060</v>
      </c>
      <c r="V234" s="81" t="s">
        <v>155</v>
      </c>
      <c r="W234" s="81" t="s">
        <v>114</v>
      </c>
      <c r="Y234" s="81" t="s">
        <v>115</v>
      </c>
      <c r="Z234" s="81" t="s">
        <v>398</v>
      </c>
      <c r="AA234" s="81" t="s">
        <v>117</v>
      </c>
      <c r="AB234" s="81" t="s">
        <v>220</v>
      </c>
      <c r="AC234" s="166">
        <v>6.0000000521540598E-3</v>
      </c>
      <c r="AD234" s="349">
        <v>43060</v>
      </c>
      <c r="AE234" s="81" t="s">
        <v>155</v>
      </c>
      <c r="AF234" s="349">
        <v>43190</v>
      </c>
      <c r="AG234" s="81" t="s">
        <v>238</v>
      </c>
      <c r="AH234" s="81" t="s">
        <v>118</v>
      </c>
      <c r="AK234" s="166">
        <v>0</v>
      </c>
      <c r="AM234" s="166">
        <v>0</v>
      </c>
      <c r="AO234" s="166">
        <v>0</v>
      </c>
      <c r="AP234" s="166">
        <v>3</v>
      </c>
      <c r="AQ234" s="166">
        <v>0</v>
      </c>
      <c r="AR234" s="166">
        <v>-1</v>
      </c>
      <c r="AS234" s="166">
        <v>0</v>
      </c>
      <c r="AT234" s="166">
        <v>0</v>
      </c>
      <c r="AU234" s="166">
        <v>0</v>
      </c>
      <c r="AV234" s="166">
        <v>0</v>
      </c>
      <c r="AW234" s="166">
        <v>3</v>
      </c>
      <c r="AX234" s="166">
        <v>0</v>
      </c>
      <c r="AY234" s="166">
        <v>-1</v>
      </c>
      <c r="AZ234" s="166">
        <v>0</v>
      </c>
      <c r="BA234" s="166">
        <v>0</v>
      </c>
      <c r="BB234" s="166">
        <v>0</v>
      </c>
      <c r="BC234" s="166">
        <v>0</v>
      </c>
      <c r="BD234" s="166">
        <v>0</v>
      </c>
      <c r="BE234" s="166">
        <v>0</v>
      </c>
      <c r="BF234" s="166">
        <v>0</v>
      </c>
      <c r="BG234" s="166">
        <v>0</v>
      </c>
      <c r="BH234" s="166">
        <v>0</v>
      </c>
      <c r="BI234" s="166">
        <v>0</v>
      </c>
      <c r="BJ234" s="166">
        <v>0</v>
      </c>
      <c r="BK234" s="166">
        <v>0</v>
      </c>
      <c r="BL234" s="166">
        <v>0</v>
      </c>
      <c r="BM234" s="166">
        <v>0</v>
      </c>
      <c r="BN234" s="166">
        <v>0</v>
      </c>
      <c r="BO234" s="166">
        <v>0</v>
      </c>
      <c r="BP234" s="166">
        <v>0</v>
      </c>
      <c r="BQ234" s="81" t="s">
        <v>1757</v>
      </c>
      <c r="BZ234" s="81" t="s">
        <v>155</v>
      </c>
      <c r="CA234" s="81">
        <v>7</v>
      </c>
      <c r="CC234" s="167">
        <f>N234</f>
        <v>2</v>
      </c>
      <c r="CD234" s="167">
        <v>0</v>
      </c>
      <c r="CE234" s="167">
        <v>0</v>
      </c>
      <c r="CF234" s="167">
        <v>0</v>
      </c>
      <c r="CG234" s="167">
        <v>0</v>
      </c>
      <c r="CH234" s="167">
        <v>0</v>
      </c>
      <c r="CI234" s="167">
        <v>0</v>
      </c>
      <c r="CJ234" s="167">
        <v>0</v>
      </c>
      <c r="CK234" s="167">
        <v>0</v>
      </c>
      <c r="CL234" s="167">
        <v>0</v>
      </c>
      <c r="CM234" s="167">
        <v>0</v>
      </c>
      <c r="CN234" s="167">
        <v>0</v>
      </c>
      <c r="CO234" s="167">
        <v>0</v>
      </c>
      <c r="CP234" s="167">
        <v>0</v>
      </c>
      <c r="CQ234" s="167">
        <v>0</v>
      </c>
      <c r="CR234" s="167">
        <v>0</v>
      </c>
      <c r="CS234" s="167">
        <v>0</v>
      </c>
      <c r="CT234" s="167">
        <v>0</v>
      </c>
      <c r="CU234" s="167">
        <v>0</v>
      </c>
      <c r="CV234" s="167">
        <v>0</v>
      </c>
      <c r="CW234" s="167">
        <v>0</v>
      </c>
      <c r="CX234" s="167">
        <f>SUM(CD234:CH234)</f>
        <v>0</v>
      </c>
      <c r="CY234" s="167">
        <f>SUM(CD234:CM234)</f>
        <v>0</v>
      </c>
    </row>
    <row r="235" spans="1:103" ht="12.75" customHeight="1" x14ac:dyDescent="0.2">
      <c r="A235" s="81">
        <v>6725</v>
      </c>
      <c r="B235" s="165" t="s">
        <v>1924</v>
      </c>
      <c r="C235" s="165" t="s">
        <v>3318</v>
      </c>
      <c r="E235" s="165" t="s">
        <v>3319</v>
      </c>
      <c r="G235" s="81">
        <v>527717</v>
      </c>
      <c r="H235" s="81">
        <v>171873</v>
      </c>
      <c r="I235" s="165" t="s">
        <v>242</v>
      </c>
      <c r="J235" s="349">
        <v>38261</v>
      </c>
      <c r="K235" s="349">
        <v>43088</v>
      </c>
      <c r="L235" s="166">
        <v>0</v>
      </c>
      <c r="M235" s="166">
        <v>4</v>
      </c>
      <c r="N235" s="166">
        <v>4</v>
      </c>
      <c r="O235" s="166">
        <v>4</v>
      </c>
      <c r="P235" s="166">
        <v>4</v>
      </c>
      <c r="R235" s="165" t="s">
        <v>3320</v>
      </c>
      <c r="S235" s="81" t="s">
        <v>504</v>
      </c>
      <c r="T235" s="349">
        <v>43035</v>
      </c>
      <c r="U235" s="349">
        <v>43088</v>
      </c>
      <c r="V235" s="81" t="s">
        <v>155</v>
      </c>
      <c r="W235" s="81" t="s">
        <v>114</v>
      </c>
      <c r="Y235" s="81" t="s">
        <v>115</v>
      </c>
      <c r="Z235" s="81" t="s">
        <v>310</v>
      </c>
      <c r="AA235" s="81" t="s">
        <v>117</v>
      </c>
      <c r="AB235" s="81" t="s">
        <v>102</v>
      </c>
      <c r="AC235" s="166">
        <v>1.2000000104308101E-2</v>
      </c>
      <c r="AD235" s="349">
        <v>38261</v>
      </c>
      <c r="AF235" s="349">
        <v>43088</v>
      </c>
      <c r="AG235" s="81" t="s">
        <v>238</v>
      </c>
      <c r="AH235" s="81" t="s">
        <v>118</v>
      </c>
      <c r="AK235" s="166">
        <v>0</v>
      </c>
      <c r="AM235" s="166">
        <v>0</v>
      </c>
      <c r="AO235" s="166">
        <v>0</v>
      </c>
      <c r="AP235" s="166">
        <v>3</v>
      </c>
      <c r="AQ235" s="166">
        <v>1</v>
      </c>
      <c r="AR235" s="166">
        <v>0</v>
      </c>
      <c r="AS235" s="166">
        <v>0</v>
      </c>
      <c r="AT235" s="166">
        <v>0</v>
      </c>
      <c r="AU235" s="166">
        <v>0</v>
      </c>
      <c r="AV235" s="166">
        <v>0</v>
      </c>
      <c r="AW235" s="166">
        <v>3</v>
      </c>
      <c r="AX235" s="166">
        <v>1</v>
      </c>
      <c r="AY235" s="166">
        <v>0</v>
      </c>
      <c r="AZ235" s="166">
        <v>0</v>
      </c>
      <c r="BA235" s="166">
        <v>0</v>
      </c>
      <c r="BB235" s="166">
        <v>0</v>
      </c>
      <c r="BC235" s="166">
        <v>0</v>
      </c>
      <c r="BD235" s="166">
        <v>0</v>
      </c>
      <c r="BE235" s="166">
        <v>0</v>
      </c>
      <c r="BF235" s="166">
        <v>0</v>
      </c>
      <c r="BG235" s="166">
        <v>0</v>
      </c>
      <c r="BH235" s="166">
        <v>0</v>
      </c>
      <c r="BI235" s="166">
        <v>0</v>
      </c>
      <c r="BJ235" s="166">
        <v>0</v>
      </c>
      <c r="BK235" s="166">
        <v>0</v>
      </c>
      <c r="BL235" s="166">
        <v>0</v>
      </c>
      <c r="BM235" s="166">
        <v>0</v>
      </c>
      <c r="BN235" s="166">
        <v>0</v>
      </c>
      <c r="BO235" s="166">
        <v>0</v>
      </c>
      <c r="BP235" s="166">
        <v>0</v>
      </c>
      <c r="BQ235" s="81" t="s">
        <v>1757</v>
      </c>
      <c r="BR235" s="81" t="s">
        <v>242</v>
      </c>
      <c r="BZ235" s="81" t="s">
        <v>155</v>
      </c>
      <c r="CA235" s="81">
        <v>7</v>
      </c>
      <c r="CC235" s="167">
        <f>N235</f>
        <v>4</v>
      </c>
      <c r="CD235" s="167">
        <v>0</v>
      </c>
      <c r="CE235" s="167">
        <v>0</v>
      </c>
      <c r="CF235" s="167">
        <v>0</v>
      </c>
      <c r="CG235" s="167">
        <v>0</v>
      </c>
      <c r="CH235" s="167">
        <v>0</v>
      </c>
      <c r="CI235" s="167">
        <v>0</v>
      </c>
      <c r="CJ235" s="167">
        <v>0</v>
      </c>
      <c r="CK235" s="167">
        <v>0</v>
      </c>
      <c r="CL235" s="167">
        <v>0</v>
      </c>
      <c r="CM235" s="167">
        <v>0</v>
      </c>
      <c r="CN235" s="167">
        <v>0</v>
      </c>
      <c r="CO235" s="167">
        <v>0</v>
      </c>
      <c r="CP235" s="167">
        <v>0</v>
      </c>
      <c r="CQ235" s="167">
        <v>0</v>
      </c>
      <c r="CR235" s="167">
        <v>0</v>
      </c>
      <c r="CS235" s="167">
        <v>0</v>
      </c>
      <c r="CT235" s="167">
        <v>0</v>
      </c>
      <c r="CU235" s="167">
        <v>0</v>
      </c>
      <c r="CV235" s="167">
        <v>0</v>
      </c>
      <c r="CW235" s="167">
        <v>0</v>
      </c>
      <c r="CX235" s="167">
        <f>SUM(CD235:CH235)</f>
        <v>0</v>
      </c>
      <c r="CY235" s="167">
        <f>SUM(CD235:CM235)</f>
        <v>0</v>
      </c>
    </row>
    <row r="236" spans="1:103" ht="12.75" customHeight="1" x14ac:dyDescent="0.2">
      <c r="A236" s="81">
        <v>6752</v>
      </c>
      <c r="B236" s="165" t="s">
        <v>1924</v>
      </c>
      <c r="C236" s="165" t="s">
        <v>3321</v>
      </c>
      <c r="E236" s="165" t="s">
        <v>3322</v>
      </c>
      <c r="G236" s="81">
        <v>528477</v>
      </c>
      <c r="H236" s="81">
        <v>172519</v>
      </c>
      <c r="I236" s="165" t="s">
        <v>248</v>
      </c>
      <c r="J236" s="349">
        <v>43125</v>
      </c>
      <c r="K236" s="349">
        <v>43125</v>
      </c>
      <c r="L236" s="166">
        <v>1</v>
      </c>
      <c r="M236" s="166">
        <v>0</v>
      </c>
      <c r="N236" s="166">
        <v>-1</v>
      </c>
      <c r="O236" s="166">
        <v>0</v>
      </c>
      <c r="P236" s="166">
        <v>-1</v>
      </c>
      <c r="R236" s="165" t="s">
        <v>3323</v>
      </c>
      <c r="S236" s="81" t="s">
        <v>504</v>
      </c>
      <c r="T236" s="349">
        <v>43069</v>
      </c>
      <c r="U236" s="349">
        <v>43125</v>
      </c>
      <c r="V236" s="81" t="s">
        <v>155</v>
      </c>
      <c r="W236" s="81" t="s">
        <v>114</v>
      </c>
      <c r="Y236" s="81" t="s">
        <v>115</v>
      </c>
      <c r="Z236" s="81" t="s">
        <v>310</v>
      </c>
      <c r="AA236" s="81" t="s">
        <v>117</v>
      </c>
      <c r="AB236" s="81" t="s">
        <v>105</v>
      </c>
      <c r="AC236" s="166">
        <v>2.3000000044703501E-2</v>
      </c>
      <c r="AD236" s="349">
        <v>43125</v>
      </c>
      <c r="AE236" s="81" t="s">
        <v>155</v>
      </c>
      <c r="AF236" s="349">
        <v>43125</v>
      </c>
      <c r="AG236" s="81" t="s">
        <v>238</v>
      </c>
      <c r="AH236" s="81" t="s">
        <v>118</v>
      </c>
      <c r="AK236" s="166">
        <v>0</v>
      </c>
      <c r="AM236" s="166">
        <v>0</v>
      </c>
      <c r="AO236" s="166">
        <v>0</v>
      </c>
      <c r="AP236" s="166">
        <v>0</v>
      </c>
      <c r="AQ236" s="166">
        <v>0</v>
      </c>
      <c r="AR236" s="166">
        <v>0</v>
      </c>
      <c r="AS236" s="166">
        <v>0</v>
      </c>
      <c r="AT236" s="166">
        <v>-1</v>
      </c>
      <c r="AU236" s="166">
        <v>0</v>
      </c>
      <c r="AV236" s="166">
        <v>0</v>
      </c>
      <c r="AW236" s="166">
        <v>0</v>
      </c>
      <c r="AX236" s="166">
        <v>0</v>
      </c>
      <c r="AY236" s="166">
        <v>0</v>
      </c>
      <c r="AZ236" s="166">
        <v>0</v>
      </c>
      <c r="BA236" s="166">
        <v>0</v>
      </c>
      <c r="BB236" s="166">
        <v>0</v>
      </c>
      <c r="BC236" s="166">
        <v>0</v>
      </c>
      <c r="BD236" s="166">
        <v>0</v>
      </c>
      <c r="BE236" s="166">
        <v>0</v>
      </c>
      <c r="BF236" s="166">
        <v>0</v>
      </c>
      <c r="BG236" s="166">
        <v>0</v>
      </c>
      <c r="BH236" s="166">
        <v>-1</v>
      </c>
      <c r="BI236" s="166">
        <v>0</v>
      </c>
      <c r="BJ236" s="166">
        <v>0</v>
      </c>
      <c r="BK236" s="166">
        <v>0</v>
      </c>
      <c r="BL236" s="166">
        <v>0</v>
      </c>
      <c r="BM236" s="166">
        <v>0</v>
      </c>
      <c r="BN236" s="166">
        <v>0</v>
      </c>
      <c r="BO236" s="166">
        <v>0</v>
      </c>
      <c r="BP236" s="166">
        <v>0</v>
      </c>
      <c r="BQ236" s="81" t="s">
        <v>1757</v>
      </c>
      <c r="BZ236" s="81" t="s">
        <v>155</v>
      </c>
      <c r="CA236" s="81">
        <v>7</v>
      </c>
      <c r="CC236" s="167">
        <f>N236</f>
        <v>-1</v>
      </c>
      <c r="CD236" s="167">
        <v>0</v>
      </c>
      <c r="CE236" s="167">
        <v>0</v>
      </c>
      <c r="CF236" s="167">
        <v>0</v>
      </c>
      <c r="CG236" s="167">
        <v>0</v>
      </c>
      <c r="CH236" s="167">
        <v>0</v>
      </c>
      <c r="CI236" s="167">
        <v>0</v>
      </c>
      <c r="CJ236" s="167">
        <v>0</v>
      </c>
      <c r="CK236" s="167">
        <v>0</v>
      </c>
      <c r="CL236" s="167">
        <v>0</v>
      </c>
      <c r="CM236" s="167">
        <v>0</v>
      </c>
      <c r="CN236" s="167">
        <v>0</v>
      </c>
      <c r="CO236" s="167">
        <v>0</v>
      </c>
      <c r="CP236" s="167">
        <v>0</v>
      </c>
      <c r="CQ236" s="167">
        <v>0</v>
      </c>
      <c r="CR236" s="167">
        <v>0</v>
      </c>
      <c r="CS236" s="167">
        <v>0</v>
      </c>
      <c r="CT236" s="167">
        <v>0</v>
      </c>
      <c r="CU236" s="167">
        <v>0</v>
      </c>
      <c r="CV236" s="167">
        <v>0</v>
      </c>
      <c r="CW236" s="167">
        <v>0</v>
      </c>
      <c r="CX236" s="167">
        <f>SUM(CD236:CH236)</f>
        <v>0</v>
      </c>
      <c r="CY236" s="167">
        <f>SUM(CD236:CM236)</f>
        <v>0</v>
      </c>
    </row>
    <row r="237" spans="1:103" ht="12.75" customHeight="1" x14ac:dyDescent="0.2">
      <c r="A237" s="81">
        <v>6778</v>
      </c>
      <c r="B237" s="165" t="s">
        <v>1924</v>
      </c>
      <c r="C237" s="165" t="s">
        <v>3324</v>
      </c>
      <c r="E237" s="165" t="s">
        <v>3325</v>
      </c>
      <c r="G237" s="81">
        <v>527742</v>
      </c>
      <c r="H237" s="81">
        <v>171915</v>
      </c>
      <c r="I237" s="165" t="s">
        <v>242</v>
      </c>
      <c r="J237" s="349">
        <v>43153</v>
      </c>
      <c r="K237" s="349">
        <v>43190</v>
      </c>
      <c r="L237" s="166">
        <v>1</v>
      </c>
      <c r="M237" s="166">
        <v>3</v>
      </c>
      <c r="N237" s="166">
        <v>2</v>
      </c>
      <c r="O237" s="166">
        <v>3</v>
      </c>
      <c r="P237" s="166">
        <v>2</v>
      </c>
      <c r="R237" s="165" t="s">
        <v>3326</v>
      </c>
      <c r="S237" s="81" t="s">
        <v>113</v>
      </c>
      <c r="T237" s="349">
        <v>43096</v>
      </c>
      <c r="U237" s="349">
        <v>43152</v>
      </c>
      <c r="V237" s="81" t="s">
        <v>155</v>
      </c>
      <c r="W237" s="81" t="s">
        <v>114</v>
      </c>
      <c r="Y237" s="81" t="s">
        <v>115</v>
      </c>
      <c r="Z237" s="81" t="s">
        <v>119</v>
      </c>
      <c r="AA237" s="81" t="s">
        <v>117</v>
      </c>
      <c r="AB237" s="81" t="s">
        <v>220</v>
      </c>
      <c r="AC237" s="166">
        <v>1.2000000104308101E-2</v>
      </c>
      <c r="AD237" s="349">
        <v>43153</v>
      </c>
      <c r="AE237" s="81" t="s">
        <v>155</v>
      </c>
      <c r="AF237" s="349">
        <v>43190</v>
      </c>
      <c r="AG237" s="81" t="s">
        <v>238</v>
      </c>
      <c r="AH237" s="81" t="s">
        <v>118</v>
      </c>
      <c r="AK237" s="166">
        <v>0</v>
      </c>
      <c r="AM237" s="166">
        <v>0</v>
      </c>
      <c r="AO237" s="166">
        <v>1</v>
      </c>
      <c r="AP237" s="166">
        <v>1</v>
      </c>
      <c r="AQ237" s="166">
        <v>1</v>
      </c>
      <c r="AR237" s="166">
        <v>0</v>
      </c>
      <c r="AS237" s="166">
        <v>0</v>
      </c>
      <c r="AT237" s="166">
        <v>-1</v>
      </c>
      <c r="AU237" s="166">
        <v>0</v>
      </c>
      <c r="AV237" s="166">
        <v>1</v>
      </c>
      <c r="AW237" s="166">
        <v>1</v>
      </c>
      <c r="AX237" s="166">
        <v>1</v>
      </c>
      <c r="AY237" s="166">
        <v>0</v>
      </c>
      <c r="AZ237" s="166">
        <v>0</v>
      </c>
      <c r="BA237" s="166">
        <v>-1</v>
      </c>
      <c r="BB237" s="166">
        <v>0</v>
      </c>
      <c r="BC237" s="166">
        <v>0</v>
      </c>
      <c r="BD237" s="166">
        <v>0</v>
      </c>
      <c r="BE237" s="166">
        <v>0</v>
      </c>
      <c r="BF237" s="166">
        <v>0</v>
      </c>
      <c r="BG237" s="166">
        <v>0</v>
      </c>
      <c r="BH237" s="166">
        <v>0</v>
      </c>
      <c r="BI237" s="166">
        <v>0</v>
      </c>
      <c r="BJ237" s="166">
        <v>0</v>
      </c>
      <c r="BK237" s="166">
        <v>0</v>
      </c>
      <c r="BL237" s="166">
        <v>0</v>
      </c>
      <c r="BM237" s="166">
        <v>0</v>
      </c>
      <c r="BN237" s="166">
        <v>0</v>
      </c>
      <c r="BO237" s="166">
        <v>0</v>
      </c>
      <c r="BP237" s="166">
        <v>0</v>
      </c>
      <c r="BQ237" s="81" t="s">
        <v>1757</v>
      </c>
      <c r="BR237" s="81" t="s">
        <v>242</v>
      </c>
      <c r="BZ237" s="81" t="s">
        <v>155</v>
      </c>
      <c r="CA237" s="81">
        <v>7</v>
      </c>
      <c r="CC237" s="167">
        <f>N237</f>
        <v>2</v>
      </c>
      <c r="CD237" s="167">
        <v>0</v>
      </c>
      <c r="CE237" s="167">
        <v>0</v>
      </c>
      <c r="CF237" s="167">
        <v>0</v>
      </c>
      <c r="CG237" s="167">
        <v>0</v>
      </c>
      <c r="CH237" s="167">
        <v>0</v>
      </c>
      <c r="CI237" s="167">
        <v>0</v>
      </c>
      <c r="CJ237" s="167">
        <v>0</v>
      </c>
      <c r="CK237" s="167">
        <v>0</v>
      </c>
      <c r="CL237" s="167">
        <v>0</v>
      </c>
      <c r="CM237" s="167">
        <v>0</v>
      </c>
      <c r="CN237" s="167">
        <v>0</v>
      </c>
      <c r="CO237" s="167">
        <v>0</v>
      </c>
      <c r="CP237" s="167">
        <v>0</v>
      </c>
      <c r="CQ237" s="167">
        <v>0</v>
      </c>
      <c r="CR237" s="167">
        <v>0</v>
      </c>
      <c r="CS237" s="167">
        <v>0</v>
      </c>
      <c r="CT237" s="167">
        <v>0</v>
      </c>
      <c r="CU237" s="167">
        <v>0</v>
      </c>
      <c r="CV237" s="167">
        <v>0</v>
      </c>
      <c r="CW237" s="167">
        <v>0</v>
      </c>
      <c r="CX237" s="167">
        <f>SUM(CD237:CH237)</f>
        <v>0</v>
      </c>
      <c r="CY237" s="167">
        <f>SUM(CD237:CM237)</f>
        <v>0</v>
      </c>
    </row>
    <row r="238" spans="1:103" ht="12.75" customHeight="1" x14ac:dyDescent="0.2">
      <c r="A238" s="81">
        <v>6787</v>
      </c>
      <c r="B238" s="165" t="s">
        <v>1924</v>
      </c>
      <c r="C238" s="165" t="s">
        <v>3327</v>
      </c>
      <c r="E238" s="165" t="s">
        <v>3328</v>
      </c>
      <c r="G238" s="81">
        <v>529457</v>
      </c>
      <c r="H238" s="81">
        <v>170756</v>
      </c>
      <c r="I238" s="165" t="s">
        <v>252</v>
      </c>
      <c r="K238" s="349">
        <v>43171</v>
      </c>
      <c r="L238" s="166">
        <v>0</v>
      </c>
      <c r="M238" s="166">
        <v>1</v>
      </c>
      <c r="N238" s="166">
        <v>1</v>
      </c>
      <c r="O238" s="166">
        <v>1</v>
      </c>
      <c r="P238" s="166">
        <v>1</v>
      </c>
      <c r="R238" s="165" t="s">
        <v>3329</v>
      </c>
      <c r="S238" s="81" t="s">
        <v>504</v>
      </c>
      <c r="T238" s="349">
        <v>43116</v>
      </c>
      <c r="U238" s="349">
        <v>43171</v>
      </c>
      <c r="V238" s="81" t="s">
        <v>155</v>
      </c>
      <c r="W238" s="81" t="s">
        <v>114</v>
      </c>
      <c r="Y238" s="81" t="s">
        <v>115</v>
      </c>
      <c r="Z238" s="81" t="s">
        <v>310</v>
      </c>
      <c r="AA238" s="81" t="s">
        <v>117</v>
      </c>
      <c r="AB238" s="81" t="s">
        <v>102</v>
      </c>
      <c r="AC238" s="166">
        <v>2.0000000949949E-3</v>
      </c>
      <c r="AF238" s="349">
        <v>43171</v>
      </c>
      <c r="AG238" s="81" t="s">
        <v>238</v>
      </c>
      <c r="AH238" s="81" t="s">
        <v>118</v>
      </c>
      <c r="AK238" s="166">
        <v>0</v>
      </c>
      <c r="AM238" s="166">
        <v>0</v>
      </c>
      <c r="AO238" s="166">
        <v>0</v>
      </c>
      <c r="AP238" s="166">
        <v>1</v>
      </c>
      <c r="AQ238" s="166">
        <v>0</v>
      </c>
      <c r="AR238" s="166">
        <v>0</v>
      </c>
      <c r="AS238" s="166">
        <v>0</v>
      </c>
      <c r="AT238" s="166">
        <v>0</v>
      </c>
      <c r="AU238" s="166">
        <v>0</v>
      </c>
      <c r="AV238" s="166">
        <v>0</v>
      </c>
      <c r="AW238" s="166">
        <v>1</v>
      </c>
      <c r="AX238" s="166">
        <v>0</v>
      </c>
      <c r="AY238" s="166">
        <v>0</v>
      </c>
      <c r="AZ238" s="166">
        <v>0</v>
      </c>
      <c r="BA238" s="166">
        <v>0</v>
      </c>
      <c r="BB238" s="166">
        <v>0</v>
      </c>
      <c r="BC238" s="166">
        <v>0</v>
      </c>
      <c r="BD238" s="166">
        <v>0</v>
      </c>
      <c r="BE238" s="166">
        <v>0</v>
      </c>
      <c r="BF238" s="166">
        <v>0</v>
      </c>
      <c r="BG238" s="166">
        <v>0</v>
      </c>
      <c r="BH238" s="166">
        <v>0</v>
      </c>
      <c r="BI238" s="166">
        <v>0</v>
      </c>
      <c r="BJ238" s="166">
        <v>0</v>
      </c>
      <c r="BK238" s="166">
        <v>0</v>
      </c>
      <c r="BL238" s="166">
        <v>0</v>
      </c>
      <c r="BM238" s="166">
        <v>0</v>
      </c>
      <c r="BN238" s="166">
        <v>0</v>
      </c>
      <c r="BO238" s="166">
        <v>0</v>
      </c>
      <c r="BP238" s="166">
        <v>0</v>
      </c>
      <c r="BQ238" s="81" t="s">
        <v>1757</v>
      </c>
      <c r="BZ238" s="81" t="s">
        <v>155</v>
      </c>
      <c r="CA238" s="81">
        <v>7</v>
      </c>
      <c r="CC238" s="167">
        <f>N238</f>
        <v>1</v>
      </c>
      <c r="CD238" s="167">
        <v>0</v>
      </c>
      <c r="CE238" s="167">
        <v>0</v>
      </c>
      <c r="CF238" s="167">
        <v>0</v>
      </c>
      <c r="CG238" s="167">
        <v>0</v>
      </c>
      <c r="CH238" s="167">
        <v>0</v>
      </c>
      <c r="CI238" s="167">
        <v>0</v>
      </c>
      <c r="CJ238" s="167">
        <v>0</v>
      </c>
      <c r="CK238" s="167">
        <v>0</v>
      </c>
      <c r="CL238" s="167">
        <v>0</v>
      </c>
      <c r="CM238" s="167">
        <v>0</v>
      </c>
      <c r="CN238" s="167">
        <v>0</v>
      </c>
      <c r="CO238" s="167">
        <v>0</v>
      </c>
      <c r="CP238" s="167">
        <v>0</v>
      </c>
      <c r="CQ238" s="167">
        <v>0</v>
      </c>
      <c r="CR238" s="167">
        <v>0</v>
      </c>
      <c r="CS238" s="167">
        <v>0</v>
      </c>
      <c r="CT238" s="167">
        <v>0</v>
      </c>
      <c r="CU238" s="167">
        <v>0</v>
      </c>
      <c r="CV238" s="167">
        <v>0</v>
      </c>
      <c r="CW238" s="167">
        <v>0</v>
      </c>
      <c r="CX238" s="167">
        <f>SUM(CD238:CH238)</f>
        <v>0</v>
      </c>
      <c r="CY238" s="167">
        <f>SUM(CD238:CM238)</f>
        <v>0</v>
      </c>
    </row>
    <row r="239" spans="1:103" ht="12.75" customHeight="1" x14ac:dyDescent="0.2">
      <c r="A239" s="81">
        <v>68</v>
      </c>
      <c r="B239" s="165" t="s">
        <v>1908</v>
      </c>
      <c r="C239" s="165" t="s">
        <v>290</v>
      </c>
      <c r="D239" s="165" t="s">
        <v>291</v>
      </c>
      <c r="E239" s="165" t="s">
        <v>1909</v>
      </c>
      <c r="G239" s="81">
        <v>526960</v>
      </c>
      <c r="H239" s="81">
        <v>175223</v>
      </c>
      <c r="I239" s="165" t="s">
        <v>251</v>
      </c>
      <c r="J239" s="349">
        <v>42825</v>
      </c>
      <c r="L239" s="166">
        <v>0</v>
      </c>
      <c r="M239" s="166">
        <v>8</v>
      </c>
      <c r="N239" s="166">
        <v>8</v>
      </c>
      <c r="O239" s="166">
        <v>8</v>
      </c>
      <c r="P239" s="166">
        <v>8</v>
      </c>
      <c r="R239" s="165" t="s">
        <v>438</v>
      </c>
      <c r="S239" s="81" t="s">
        <v>113</v>
      </c>
      <c r="T239" s="349">
        <v>41702</v>
      </c>
      <c r="U239" s="349">
        <v>42116</v>
      </c>
      <c r="W239" s="81" t="s">
        <v>114</v>
      </c>
      <c r="Y239" s="81" t="s">
        <v>115</v>
      </c>
      <c r="Z239" s="81" t="s">
        <v>116</v>
      </c>
      <c r="AA239" s="81" t="s">
        <v>117</v>
      </c>
      <c r="AB239" s="81" t="s">
        <v>218</v>
      </c>
      <c r="AC239" s="166">
        <v>2.8999999165535001E-2</v>
      </c>
      <c r="AD239" s="349">
        <v>42825</v>
      </c>
      <c r="AG239" s="81" t="s">
        <v>238</v>
      </c>
      <c r="AH239" s="81" t="s">
        <v>118</v>
      </c>
      <c r="AK239" s="166">
        <v>8</v>
      </c>
      <c r="AM239" s="166">
        <v>0</v>
      </c>
      <c r="AO239" s="166">
        <v>0</v>
      </c>
      <c r="AP239" s="166">
        <v>0</v>
      </c>
      <c r="AQ239" s="166">
        <v>8</v>
      </c>
      <c r="AR239" s="166">
        <v>0</v>
      </c>
      <c r="AS239" s="166">
        <v>0</v>
      </c>
      <c r="AT239" s="166">
        <v>0</v>
      </c>
      <c r="AU239" s="166">
        <v>0</v>
      </c>
      <c r="AV239" s="166">
        <v>0</v>
      </c>
      <c r="AW239" s="166">
        <v>0</v>
      </c>
      <c r="AX239" s="166">
        <v>8</v>
      </c>
      <c r="AY239" s="166">
        <v>0</v>
      </c>
      <c r="AZ239" s="166">
        <v>0</v>
      </c>
      <c r="BA239" s="166">
        <v>0</v>
      </c>
      <c r="BB239" s="166">
        <v>0</v>
      </c>
      <c r="BC239" s="166">
        <v>0</v>
      </c>
      <c r="BD239" s="166">
        <v>0</v>
      </c>
      <c r="BE239" s="166">
        <v>0</v>
      </c>
      <c r="BF239" s="166">
        <v>0</v>
      </c>
      <c r="BG239" s="166">
        <v>0</v>
      </c>
      <c r="BH239" s="166">
        <v>0</v>
      </c>
      <c r="BI239" s="166">
        <v>0</v>
      </c>
      <c r="BJ239" s="166">
        <v>0</v>
      </c>
      <c r="BK239" s="166">
        <v>0</v>
      </c>
      <c r="BL239" s="166">
        <v>0</v>
      </c>
      <c r="BM239" s="166">
        <v>0</v>
      </c>
      <c r="BN239" s="166">
        <v>0</v>
      </c>
      <c r="BO239" s="166">
        <v>0</v>
      </c>
      <c r="BP239" s="166">
        <v>0</v>
      </c>
      <c r="BQ239" s="81" t="s">
        <v>1758</v>
      </c>
      <c r="BZ239" s="81" t="s">
        <v>155</v>
      </c>
      <c r="CA239" s="81" t="s">
        <v>3976</v>
      </c>
      <c r="CC239" s="167">
        <v>0</v>
      </c>
      <c r="CD239" s="167">
        <f>N239</f>
        <v>8</v>
      </c>
      <c r="CE239" s="167">
        <v>0</v>
      </c>
      <c r="CF239" s="167">
        <v>0</v>
      </c>
      <c r="CG239" s="167">
        <v>0</v>
      </c>
      <c r="CH239" s="167">
        <v>0</v>
      </c>
      <c r="CI239" s="167">
        <v>0</v>
      </c>
      <c r="CJ239" s="167">
        <v>0</v>
      </c>
      <c r="CK239" s="167">
        <v>0</v>
      </c>
      <c r="CL239" s="167">
        <v>0</v>
      </c>
      <c r="CM239" s="167">
        <v>0</v>
      </c>
      <c r="CN239" s="167">
        <v>0</v>
      </c>
      <c r="CO239" s="167">
        <v>0</v>
      </c>
      <c r="CP239" s="167">
        <v>0</v>
      </c>
      <c r="CQ239" s="167">
        <v>0</v>
      </c>
      <c r="CR239" s="167">
        <v>0</v>
      </c>
      <c r="CS239" s="167">
        <v>0</v>
      </c>
      <c r="CT239" s="167">
        <v>0</v>
      </c>
      <c r="CU239" s="167">
        <v>0</v>
      </c>
      <c r="CV239" s="167">
        <v>0</v>
      </c>
      <c r="CW239" s="167">
        <v>0</v>
      </c>
      <c r="CX239" s="167">
        <f>SUM(CD239:CH239)</f>
        <v>8</v>
      </c>
      <c r="CY239" s="167">
        <f>SUM(CD239:CM239)</f>
        <v>8</v>
      </c>
    </row>
    <row r="240" spans="1:103" ht="12.75" customHeight="1" x14ac:dyDescent="0.2">
      <c r="A240" s="81">
        <v>87</v>
      </c>
      <c r="B240" s="165" t="s">
        <v>1908</v>
      </c>
      <c r="C240" s="165" t="s">
        <v>1910</v>
      </c>
      <c r="D240" s="165" t="s">
        <v>299</v>
      </c>
      <c r="E240" s="165" t="s">
        <v>1911</v>
      </c>
      <c r="F240" s="165" t="s">
        <v>863</v>
      </c>
      <c r="G240" s="81">
        <v>526241</v>
      </c>
      <c r="H240" s="81">
        <v>175489</v>
      </c>
      <c r="I240" s="165" t="s">
        <v>257</v>
      </c>
      <c r="J240" s="349">
        <v>40999</v>
      </c>
      <c r="L240" s="166">
        <v>0</v>
      </c>
      <c r="M240" s="166">
        <v>10</v>
      </c>
      <c r="N240" s="166">
        <v>10</v>
      </c>
      <c r="O240" s="166">
        <v>64</v>
      </c>
      <c r="P240" s="166">
        <v>64</v>
      </c>
      <c r="Q240" s="81" t="s">
        <v>155</v>
      </c>
      <c r="R240" s="165" t="s">
        <v>1912</v>
      </c>
      <c r="S240" s="81" t="s">
        <v>113</v>
      </c>
      <c r="T240" s="349">
        <v>40494</v>
      </c>
      <c r="U240" s="349">
        <v>40588</v>
      </c>
      <c r="W240" s="81" t="s">
        <v>114</v>
      </c>
      <c r="Y240" s="81" t="s">
        <v>115</v>
      </c>
      <c r="Z240" s="81" t="s">
        <v>116</v>
      </c>
      <c r="AA240" s="81" t="s">
        <v>116</v>
      </c>
      <c r="AB240" s="81" t="s">
        <v>117</v>
      </c>
      <c r="AC240" s="166">
        <v>0.122000001370907</v>
      </c>
      <c r="AD240" s="349">
        <v>42825</v>
      </c>
      <c r="AG240" s="81" t="s">
        <v>74</v>
      </c>
      <c r="AH240" s="81" t="s">
        <v>1913</v>
      </c>
      <c r="AO240" s="166">
        <v>0</v>
      </c>
      <c r="AP240" s="166">
        <v>10</v>
      </c>
      <c r="AQ240" s="166">
        <v>0</v>
      </c>
      <c r="AR240" s="166">
        <v>0</v>
      </c>
      <c r="AS240" s="166">
        <v>0</v>
      </c>
      <c r="AT240" s="166">
        <v>0</v>
      </c>
      <c r="AU240" s="166">
        <v>0</v>
      </c>
      <c r="AV240" s="166">
        <v>0</v>
      </c>
      <c r="AW240" s="166">
        <v>10</v>
      </c>
      <c r="AX240" s="166">
        <v>0</v>
      </c>
      <c r="AY240" s="166">
        <v>0</v>
      </c>
      <c r="AZ240" s="166">
        <v>0</v>
      </c>
      <c r="BA240" s="166">
        <v>0</v>
      </c>
      <c r="BB240" s="166">
        <v>0</v>
      </c>
      <c r="BC240" s="166">
        <v>0</v>
      </c>
      <c r="BD240" s="166">
        <v>0</v>
      </c>
      <c r="BE240" s="166">
        <v>0</v>
      </c>
      <c r="BF240" s="166">
        <v>0</v>
      </c>
      <c r="BG240" s="166">
        <v>0</v>
      </c>
      <c r="BH240" s="166">
        <v>0</v>
      </c>
      <c r="BI240" s="166">
        <v>0</v>
      </c>
      <c r="BJ240" s="166">
        <v>0</v>
      </c>
      <c r="BK240" s="166">
        <v>0</v>
      </c>
      <c r="BL240" s="166">
        <v>0</v>
      </c>
      <c r="BM240" s="166">
        <v>0</v>
      </c>
      <c r="BN240" s="166">
        <v>0</v>
      </c>
      <c r="BO240" s="166">
        <v>0</v>
      </c>
      <c r="BP240" s="166">
        <v>0</v>
      </c>
      <c r="BQ240" s="81" t="s">
        <v>1757</v>
      </c>
      <c r="BX240" s="81" t="s">
        <v>155</v>
      </c>
      <c r="BZ240" s="81" t="s">
        <v>155</v>
      </c>
      <c r="CA240" s="81" t="s">
        <v>3934</v>
      </c>
      <c r="CC240" s="167">
        <v>0</v>
      </c>
      <c r="CD240" s="167">
        <f>N240</f>
        <v>10</v>
      </c>
      <c r="CE240" s="167">
        <v>0</v>
      </c>
      <c r="CF240" s="167">
        <v>0</v>
      </c>
      <c r="CG240" s="167">
        <v>0</v>
      </c>
      <c r="CH240" s="167">
        <v>0</v>
      </c>
      <c r="CI240" s="167">
        <v>0</v>
      </c>
      <c r="CJ240" s="167">
        <v>0</v>
      </c>
      <c r="CK240" s="167">
        <v>0</v>
      </c>
      <c r="CL240" s="167">
        <v>0</v>
      </c>
      <c r="CM240" s="167">
        <v>0</v>
      </c>
      <c r="CN240" s="167">
        <v>0</v>
      </c>
      <c r="CO240" s="167">
        <v>0</v>
      </c>
      <c r="CP240" s="167">
        <v>0</v>
      </c>
      <c r="CQ240" s="167">
        <v>0</v>
      </c>
      <c r="CR240" s="167">
        <v>0</v>
      </c>
      <c r="CS240" s="167">
        <v>0</v>
      </c>
      <c r="CT240" s="167">
        <v>0</v>
      </c>
      <c r="CU240" s="167">
        <v>0</v>
      </c>
      <c r="CV240" s="167">
        <v>0</v>
      </c>
      <c r="CW240" s="167">
        <v>0</v>
      </c>
      <c r="CX240" s="167">
        <f>SUM(CD240:CH240)</f>
        <v>10</v>
      </c>
      <c r="CY240" s="167">
        <f>SUM(CD240:CM240)</f>
        <v>10</v>
      </c>
    </row>
    <row r="241" spans="1:103" ht="12.75" customHeight="1" x14ac:dyDescent="0.2">
      <c r="A241" s="81">
        <v>87</v>
      </c>
      <c r="B241" s="165" t="s">
        <v>1908</v>
      </c>
      <c r="C241" s="165" t="s">
        <v>96</v>
      </c>
      <c r="D241" s="165" t="s">
        <v>299</v>
      </c>
      <c r="E241" s="165" t="s">
        <v>1911</v>
      </c>
      <c r="F241" s="165" t="s">
        <v>1914</v>
      </c>
      <c r="G241" s="81">
        <v>526241</v>
      </c>
      <c r="H241" s="81">
        <v>175489</v>
      </c>
      <c r="I241" s="165" t="s">
        <v>257</v>
      </c>
      <c r="J241" s="349">
        <v>42460</v>
      </c>
      <c r="L241" s="166">
        <v>0</v>
      </c>
      <c r="M241" s="166">
        <v>14</v>
      </c>
      <c r="N241" s="166">
        <v>14</v>
      </c>
      <c r="O241" s="166">
        <v>14</v>
      </c>
      <c r="P241" s="166">
        <v>14</v>
      </c>
      <c r="Q241" s="81" t="s">
        <v>155</v>
      </c>
      <c r="R241" s="165" t="s">
        <v>1915</v>
      </c>
      <c r="S241" s="81" t="s">
        <v>1916</v>
      </c>
      <c r="T241" s="349">
        <v>41969</v>
      </c>
      <c r="U241" s="349">
        <v>41971</v>
      </c>
      <c r="W241" s="81" t="s">
        <v>114</v>
      </c>
      <c r="Y241" s="81" t="s">
        <v>115</v>
      </c>
      <c r="Z241" s="81" t="s">
        <v>116</v>
      </c>
      <c r="AA241" s="81" t="s">
        <v>116</v>
      </c>
      <c r="AB241" s="81" t="s">
        <v>117</v>
      </c>
      <c r="AC241" s="166">
        <v>1.2000000104308101E-2</v>
      </c>
      <c r="AD241" s="349">
        <v>42460</v>
      </c>
      <c r="AG241" s="81" t="s">
        <v>238</v>
      </c>
      <c r="AH241" s="81" t="s">
        <v>118</v>
      </c>
      <c r="AK241" s="166">
        <v>0</v>
      </c>
      <c r="AM241" s="166">
        <v>0</v>
      </c>
      <c r="AO241" s="166">
        <v>0</v>
      </c>
      <c r="AP241" s="166">
        <v>4</v>
      </c>
      <c r="AQ241" s="166">
        <v>10</v>
      </c>
      <c r="AR241" s="166">
        <v>0</v>
      </c>
      <c r="AS241" s="166">
        <v>0</v>
      </c>
      <c r="AT241" s="166">
        <v>0</v>
      </c>
      <c r="AU241" s="166">
        <v>0</v>
      </c>
      <c r="AV241" s="166">
        <v>0</v>
      </c>
      <c r="AW241" s="166">
        <v>4</v>
      </c>
      <c r="AX241" s="166">
        <v>10</v>
      </c>
      <c r="AY241" s="166">
        <v>0</v>
      </c>
      <c r="AZ241" s="166">
        <v>0</v>
      </c>
      <c r="BA241" s="166">
        <v>0</v>
      </c>
      <c r="BB241" s="166">
        <v>0</v>
      </c>
      <c r="BC241" s="166">
        <v>0</v>
      </c>
      <c r="BD241" s="166">
        <v>0</v>
      </c>
      <c r="BE241" s="166">
        <v>0</v>
      </c>
      <c r="BF241" s="166">
        <v>0</v>
      </c>
      <c r="BG241" s="166">
        <v>0</v>
      </c>
      <c r="BH241" s="166">
        <v>0</v>
      </c>
      <c r="BI241" s="166">
        <v>0</v>
      </c>
      <c r="BJ241" s="166">
        <v>0</v>
      </c>
      <c r="BK241" s="166">
        <v>0</v>
      </c>
      <c r="BL241" s="166">
        <v>0</v>
      </c>
      <c r="BM241" s="166">
        <v>0</v>
      </c>
      <c r="BN241" s="166">
        <v>0</v>
      </c>
      <c r="BO241" s="166">
        <v>0</v>
      </c>
      <c r="BP241" s="166">
        <v>0</v>
      </c>
      <c r="BQ241" s="81" t="s">
        <v>1757</v>
      </c>
      <c r="BX241" s="81" t="s">
        <v>155</v>
      </c>
      <c r="BZ241" s="81" t="s">
        <v>155</v>
      </c>
      <c r="CA241" s="81" t="s">
        <v>3934</v>
      </c>
      <c r="CC241" s="167">
        <v>0</v>
      </c>
      <c r="CD241" s="167">
        <f>N241</f>
        <v>14</v>
      </c>
      <c r="CE241" s="167">
        <v>0</v>
      </c>
      <c r="CF241" s="167">
        <v>0</v>
      </c>
      <c r="CG241" s="167">
        <v>0</v>
      </c>
      <c r="CH241" s="167">
        <v>0</v>
      </c>
      <c r="CI241" s="167">
        <v>0</v>
      </c>
      <c r="CJ241" s="167">
        <v>0</v>
      </c>
      <c r="CK241" s="167">
        <v>0</v>
      </c>
      <c r="CL241" s="167">
        <v>0</v>
      </c>
      <c r="CM241" s="167">
        <v>0</v>
      </c>
      <c r="CN241" s="167">
        <v>0</v>
      </c>
      <c r="CO241" s="167">
        <v>0</v>
      </c>
      <c r="CP241" s="167">
        <v>0</v>
      </c>
      <c r="CQ241" s="167">
        <v>0</v>
      </c>
      <c r="CR241" s="167">
        <v>0</v>
      </c>
      <c r="CS241" s="167">
        <v>0</v>
      </c>
      <c r="CT241" s="167">
        <v>0</v>
      </c>
      <c r="CU241" s="167">
        <v>0</v>
      </c>
      <c r="CV241" s="167">
        <v>0</v>
      </c>
      <c r="CW241" s="167">
        <v>0</v>
      </c>
      <c r="CX241" s="167">
        <f>SUM(CD241:CH241)</f>
        <v>14</v>
      </c>
      <c r="CY241" s="167">
        <f>SUM(CD241:CM241)</f>
        <v>14</v>
      </c>
    </row>
    <row r="242" spans="1:103" ht="12.75" customHeight="1" x14ac:dyDescent="0.2">
      <c r="A242" s="81">
        <v>87</v>
      </c>
      <c r="B242" s="165" t="s">
        <v>1908</v>
      </c>
      <c r="C242" s="165" t="s">
        <v>1921</v>
      </c>
      <c r="D242" s="165" t="s">
        <v>299</v>
      </c>
      <c r="E242" s="165" t="s">
        <v>1911</v>
      </c>
      <c r="F242" s="165" t="s">
        <v>1922</v>
      </c>
      <c r="G242" s="81">
        <v>526241</v>
      </c>
      <c r="H242" s="81">
        <v>175489</v>
      </c>
      <c r="I242" s="165" t="s">
        <v>257</v>
      </c>
      <c r="J242" s="349">
        <v>42825</v>
      </c>
      <c r="L242" s="166">
        <v>0</v>
      </c>
      <c r="M242" s="166">
        <v>74</v>
      </c>
      <c r="N242" s="166">
        <v>74</v>
      </c>
      <c r="O242" s="166">
        <v>114</v>
      </c>
      <c r="P242" s="166">
        <v>114</v>
      </c>
      <c r="Q242" s="81" t="s">
        <v>155</v>
      </c>
      <c r="R242" s="165" t="s">
        <v>1923</v>
      </c>
      <c r="S242" s="81" t="s">
        <v>1916</v>
      </c>
      <c r="T242" s="349">
        <v>42670</v>
      </c>
      <c r="U242" s="349">
        <v>42723</v>
      </c>
      <c r="W242" s="81" t="s">
        <v>114</v>
      </c>
      <c r="Y242" s="81" t="s">
        <v>115</v>
      </c>
      <c r="Z242" s="81" t="s">
        <v>116</v>
      </c>
      <c r="AA242" s="81" t="s">
        <v>116</v>
      </c>
      <c r="AB242" s="81" t="s">
        <v>117</v>
      </c>
      <c r="AC242" s="166">
        <v>0.42199999094009399</v>
      </c>
      <c r="AD242" s="349">
        <v>42825</v>
      </c>
      <c r="AG242" s="81" t="s">
        <v>238</v>
      </c>
      <c r="AH242" s="81" t="s">
        <v>118</v>
      </c>
      <c r="AK242" s="166">
        <v>0</v>
      </c>
      <c r="AM242" s="166">
        <v>0</v>
      </c>
      <c r="AO242" s="166">
        <v>0</v>
      </c>
      <c r="AP242" s="166">
        <v>35</v>
      </c>
      <c r="AQ242" s="166">
        <v>35</v>
      </c>
      <c r="AR242" s="166">
        <v>4</v>
      </c>
      <c r="AS242" s="166">
        <v>0</v>
      </c>
      <c r="AT242" s="166">
        <v>0</v>
      </c>
      <c r="AU242" s="166">
        <v>0</v>
      </c>
      <c r="AV242" s="166">
        <v>0</v>
      </c>
      <c r="AW242" s="166">
        <v>35</v>
      </c>
      <c r="AX242" s="166">
        <v>35</v>
      </c>
      <c r="AY242" s="166">
        <v>4</v>
      </c>
      <c r="AZ242" s="166">
        <v>0</v>
      </c>
      <c r="BA242" s="166">
        <v>0</v>
      </c>
      <c r="BB242" s="166">
        <v>0</v>
      </c>
      <c r="BC242" s="166">
        <v>0</v>
      </c>
      <c r="BD242" s="166">
        <v>0</v>
      </c>
      <c r="BE242" s="166">
        <v>0</v>
      </c>
      <c r="BF242" s="166">
        <v>0</v>
      </c>
      <c r="BG242" s="166">
        <v>0</v>
      </c>
      <c r="BH242" s="166">
        <v>0</v>
      </c>
      <c r="BI242" s="166">
        <v>0</v>
      </c>
      <c r="BJ242" s="166">
        <v>0</v>
      </c>
      <c r="BK242" s="166">
        <v>0</v>
      </c>
      <c r="BL242" s="166">
        <v>0</v>
      </c>
      <c r="BM242" s="166">
        <v>0</v>
      </c>
      <c r="BN242" s="166">
        <v>0</v>
      </c>
      <c r="BO242" s="166">
        <v>0</v>
      </c>
      <c r="BP242" s="166">
        <v>0</v>
      </c>
      <c r="BQ242" s="81" t="s">
        <v>1757</v>
      </c>
      <c r="BX242" s="81" t="s">
        <v>155</v>
      </c>
      <c r="BZ242" s="81" t="s">
        <v>155</v>
      </c>
      <c r="CA242" s="81" t="s">
        <v>3934</v>
      </c>
      <c r="CC242" s="167">
        <v>0</v>
      </c>
      <c r="CD242" s="167">
        <f>N242</f>
        <v>74</v>
      </c>
      <c r="CE242" s="167">
        <v>0</v>
      </c>
      <c r="CF242" s="167">
        <v>0</v>
      </c>
      <c r="CG242" s="167">
        <v>0</v>
      </c>
      <c r="CH242" s="167">
        <v>0</v>
      </c>
      <c r="CI242" s="167">
        <v>0</v>
      </c>
      <c r="CJ242" s="167">
        <v>0</v>
      </c>
      <c r="CK242" s="167">
        <v>0</v>
      </c>
      <c r="CL242" s="167">
        <v>0</v>
      </c>
      <c r="CM242" s="167">
        <v>0</v>
      </c>
      <c r="CN242" s="167">
        <v>0</v>
      </c>
      <c r="CO242" s="167">
        <v>0</v>
      </c>
      <c r="CP242" s="167">
        <v>0</v>
      </c>
      <c r="CQ242" s="167">
        <v>0</v>
      </c>
      <c r="CR242" s="167">
        <v>0</v>
      </c>
      <c r="CS242" s="167">
        <v>0</v>
      </c>
      <c r="CT242" s="167">
        <v>0</v>
      </c>
      <c r="CU242" s="167">
        <v>0</v>
      </c>
      <c r="CV242" s="167">
        <v>0</v>
      </c>
      <c r="CW242" s="167">
        <v>0</v>
      </c>
      <c r="CX242" s="167">
        <f>SUM(CD242:CH242)</f>
        <v>74</v>
      </c>
      <c r="CY242" s="167">
        <f>SUM(CD242:CM242)</f>
        <v>74</v>
      </c>
    </row>
    <row r="243" spans="1:103" ht="12.75" customHeight="1" x14ac:dyDescent="0.2">
      <c r="A243" s="81">
        <v>87</v>
      </c>
      <c r="B243" s="165" t="s">
        <v>1908</v>
      </c>
      <c r="C243" s="165" t="s">
        <v>1921</v>
      </c>
      <c r="D243" s="165" t="s">
        <v>299</v>
      </c>
      <c r="E243" s="165" t="s">
        <v>1911</v>
      </c>
      <c r="F243" s="165" t="s">
        <v>1933</v>
      </c>
      <c r="G243" s="81">
        <v>526241</v>
      </c>
      <c r="H243" s="81">
        <v>175489</v>
      </c>
      <c r="I243" s="165" t="s">
        <v>257</v>
      </c>
      <c r="J243" s="349">
        <v>42825</v>
      </c>
      <c r="L243" s="166">
        <v>0</v>
      </c>
      <c r="M243" s="166">
        <v>40</v>
      </c>
      <c r="N243" s="166">
        <v>40</v>
      </c>
      <c r="O243" s="166">
        <v>114</v>
      </c>
      <c r="P243" s="166">
        <v>114</v>
      </c>
      <c r="Q243" s="81" t="s">
        <v>155</v>
      </c>
      <c r="R243" s="165" t="s">
        <v>1923</v>
      </c>
      <c r="S243" s="81" t="s">
        <v>1916</v>
      </c>
      <c r="T243" s="349">
        <v>42670</v>
      </c>
      <c r="U243" s="349">
        <v>42723</v>
      </c>
      <c r="W243" s="81" t="s">
        <v>114</v>
      </c>
      <c r="Y243" s="81" t="s">
        <v>115</v>
      </c>
      <c r="Z243" s="81" t="s">
        <v>116</v>
      </c>
      <c r="AA243" s="81" t="s">
        <v>116</v>
      </c>
      <c r="AB243" s="81" t="s">
        <v>117</v>
      </c>
      <c r="AC243" s="166">
        <v>0.270000010728836</v>
      </c>
      <c r="AD243" s="349">
        <v>42825</v>
      </c>
      <c r="AG243" s="81" t="s">
        <v>154</v>
      </c>
      <c r="AH243" s="81" t="s">
        <v>312</v>
      </c>
      <c r="AK243" s="166">
        <v>0</v>
      </c>
      <c r="AM243" s="166">
        <v>0</v>
      </c>
      <c r="AO243" s="166">
        <v>0</v>
      </c>
      <c r="AP243" s="166">
        <v>24</v>
      </c>
      <c r="AQ243" s="166">
        <v>16</v>
      </c>
      <c r="AR243" s="166">
        <v>0</v>
      </c>
      <c r="AS243" s="166">
        <v>0</v>
      </c>
      <c r="AT243" s="166">
        <v>0</v>
      </c>
      <c r="AU243" s="166">
        <v>0</v>
      </c>
      <c r="AV243" s="166">
        <v>0</v>
      </c>
      <c r="AW243" s="166">
        <v>24</v>
      </c>
      <c r="AX243" s="166">
        <v>16</v>
      </c>
      <c r="AY243" s="166">
        <v>0</v>
      </c>
      <c r="AZ243" s="166">
        <v>0</v>
      </c>
      <c r="BA243" s="166">
        <v>0</v>
      </c>
      <c r="BB243" s="166">
        <v>0</v>
      </c>
      <c r="BC243" s="166">
        <v>0</v>
      </c>
      <c r="BD243" s="166">
        <v>0</v>
      </c>
      <c r="BE243" s="166">
        <v>0</v>
      </c>
      <c r="BF243" s="166">
        <v>0</v>
      </c>
      <c r="BG243" s="166">
        <v>0</v>
      </c>
      <c r="BH243" s="166">
        <v>0</v>
      </c>
      <c r="BI243" s="166">
        <v>0</v>
      </c>
      <c r="BJ243" s="166">
        <v>0</v>
      </c>
      <c r="BK243" s="166">
        <v>0</v>
      </c>
      <c r="BL243" s="166">
        <v>0</v>
      </c>
      <c r="BM243" s="166">
        <v>0</v>
      </c>
      <c r="BN243" s="166">
        <v>0</v>
      </c>
      <c r="BO243" s="166">
        <v>0</v>
      </c>
      <c r="BP243" s="166">
        <v>0</v>
      </c>
      <c r="BQ243" s="81" t="s">
        <v>1757</v>
      </c>
      <c r="BX243" s="81" t="s">
        <v>155</v>
      </c>
      <c r="BZ243" s="81" t="s">
        <v>155</v>
      </c>
      <c r="CA243" s="81" t="s">
        <v>3934</v>
      </c>
      <c r="CC243" s="167">
        <v>0</v>
      </c>
      <c r="CD243" s="167">
        <f>N243</f>
        <v>40</v>
      </c>
      <c r="CE243" s="167">
        <v>0</v>
      </c>
      <c r="CF243" s="167">
        <v>0</v>
      </c>
      <c r="CG243" s="167">
        <v>0</v>
      </c>
      <c r="CH243" s="167">
        <v>0</v>
      </c>
      <c r="CI243" s="167">
        <v>0</v>
      </c>
      <c r="CJ243" s="167">
        <v>0</v>
      </c>
      <c r="CK243" s="167">
        <v>0</v>
      </c>
      <c r="CL243" s="167">
        <v>0</v>
      </c>
      <c r="CM243" s="167">
        <v>0</v>
      </c>
      <c r="CN243" s="167">
        <v>0</v>
      </c>
      <c r="CO243" s="167">
        <v>0</v>
      </c>
      <c r="CP243" s="167">
        <v>0</v>
      </c>
      <c r="CQ243" s="167">
        <v>0</v>
      </c>
      <c r="CR243" s="167">
        <v>0</v>
      </c>
      <c r="CS243" s="167">
        <v>0</v>
      </c>
      <c r="CT243" s="167">
        <v>0</v>
      </c>
      <c r="CU243" s="167">
        <v>0</v>
      </c>
      <c r="CV243" s="167">
        <v>0</v>
      </c>
      <c r="CW243" s="167">
        <v>0</v>
      </c>
      <c r="CX243" s="167">
        <f>SUM(CD243:CH243)</f>
        <v>40</v>
      </c>
      <c r="CY243" s="167">
        <f>SUM(CD243:CM243)</f>
        <v>40</v>
      </c>
    </row>
    <row r="244" spans="1:103" ht="12.75" customHeight="1" x14ac:dyDescent="0.2">
      <c r="A244" s="81">
        <v>90</v>
      </c>
      <c r="B244" s="165" t="s">
        <v>1908</v>
      </c>
      <c r="C244" s="165" t="s">
        <v>524</v>
      </c>
      <c r="E244" s="165" t="s">
        <v>3330</v>
      </c>
      <c r="G244" s="81">
        <v>528415</v>
      </c>
      <c r="H244" s="81">
        <v>175709</v>
      </c>
      <c r="I244" s="165" t="s">
        <v>256</v>
      </c>
      <c r="J244" s="349">
        <v>42460</v>
      </c>
      <c r="L244" s="166">
        <v>0</v>
      </c>
      <c r="M244" s="166">
        <v>1</v>
      </c>
      <c r="N244" s="166">
        <v>1</v>
      </c>
      <c r="O244" s="166">
        <v>1</v>
      </c>
      <c r="P244" s="166">
        <v>1</v>
      </c>
      <c r="R244" s="165" t="s">
        <v>525</v>
      </c>
      <c r="S244" s="81" t="s">
        <v>110</v>
      </c>
      <c r="T244" s="349">
        <v>42200</v>
      </c>
      <c r="U244" s="349">
        <v>42256</v>
      </c>
      <c r="W244" s="81" t="s">
        <v>114</v>
      </c>
      <c r="Y244" s="81" t="s">
        <v>115</v>
      </c>
      <c r="Z244" s="81" t="s">
        <v>310</v>
      </c>
      <c r="AA244" s="81" t="s">
        <v>117</v>
      </c>
      <c r="AB244" s="81" t="s">
        <v>399</v>
      </c>
      <c r="AC244" s="166">
        <v>6.0000000521540598E-3</v>
      </c>
      <c r="AD244" s="349">
        <v>42460</v>
      </c>
      <c r="AG244" s="81" t="s">
        <v>238</v>
      </c>
      <c r="AH244" s="81" t="s">
        <v>118</v>
      </c>
      <c r="AK244" s="166">
        <v>0</v>
      </c>
      <c r="AM244" s="166">
        <v>0</v>
      </c>
      <c r="AO244" s="166">
        <v>0</v>
      </c>
      <c r="AP244" s="166">
        <v>0</v>
      </c>
      <c r="AQ244" s="166">
        <v>1</v>
      </c>
      <c r="AR244" s="166">
        <v>0</v>
      </c>
      <c r="AS244" s="166">
        <v>0</v>
      </c>
      <c r="AT244" s="166">
        <v>0</v>
      </c>
      <c r="AU244" s="166">
        <v>0</v>
      </c>
      <c r="AV244" s="166">
        <v>0</v>
      </c>
      <c r="AW244" s="166">
        <v>0</v>
      </c>
      <c r="AX244" s="166">
        <v>1</v>
      </c>
      <c r="AY244" s="166">
        <v>0</v>
      </c>
      <c r="AZ244" s="166">
        <v>0</v>
      </c>
      <c r="BA244" s="166">
        <v>0</v>
      </c>
      <c r="BB244" s="166">
        <v>0</v>
      </c>
      <c r="BC244" s="166">
        <v>0</v>
      </c>
      <c r="BD244" s="166">
        <v>0</v>
      </c>
      <c r="BE244" s="166">
        <v>0</v>
      </c>
      <c r="BF244" s="166">
        <v>0</v>
      </c>
      <c r="BG244" s="166">
        <v>0</v>
      </c>
      <c r="BH244" s="166">
        <v>0</v>
      </c>
      <c r="BI244" s="166">
        <v>0</v>
      </c>
      <c r="BJ244" s="166">
        <v>0</v>
      </c>
      <c r="BK244" s="166">
        <v>0</v>
      </c>
      <c r="BL244" s="166">
        <v>0</v>
      </c>
      <c r="BM244" s="166">
        <v>0</v>
      </c>
      <c r="BN244" s="166">
        <v>0</v>
      </c>
      <c r="BO244" s="166">
        <v>0</v>
      </c>
      <c r="BP244" s="166">
        <v>0</v>
      </c>
      <c r="BQ244" s="81" t="s">
        <v>1757</v>
      </c>
      <c r="BZ244" s="81" t="s">
        <v>155</v>
      </c>
      <c r="CA244" s="81" t="s">
        <v>3980</v>
      </c>
      <c r="CC244" s="167">
        <v>0</v>
      </c>
      <c r="CD244" s="167">
        <f>N244</f>
        <v>1</v>
      </c>
      <c r="CE244" s="167">
        <v>0</v>
      </c>
      <c r="CF244" s="167">
        <v>0</v>
      </c>
      <c r="CG244" s="167">
        <v>0</v>
      </c>
      <c r="CH244" s="167">
        <v>0</v>
      </c>
      <c r="CI244" s="167">
        <v>0</v>
      </c>
      <c r="CJ244" s="167">
        <v>0</v>
      </c>
      <c r="CK244" s="167">
        <v>0</v>
      </c>
      <c r="CL244" s="167">
        <v>0</v>
      </c>
      <c r="CM244" s="167">
        <v>0</v>
      </c>
      <c r="CN244" s="167">
        <v>0</v>
      </c>
      <c r="CO244" s="167">
        <v>0</v>
      </c>
      <c r="CP244" s="167">
        <v>0</v>
      </c>
      <c r="CQ244" s="167">
        <v>0</v>
      </c>
      <c r="CR244" s="167">
        <v>0</v>
      </c>
      <c r="CS244" s="167">
        <v>0</v>
      </c>
      <c r="CT244" s="167">
        <v>0</v>
      </c>
      <c r="CU244" s="167">
        <v>0</v>
      </c>
      <c r="CV244" s="167">
        <v>0</v>
      </c>
      <c r="CW244" s="167">
        <v>0</v>
      </c>
      <c r="CX244" s="167">
        <f>SUM(CD244:CH244)</f>
        <v>1</v>
      </c>
      <c r="CY244" s="167">
        <f>SUM(CD244:CM244)</f>
        <v>1</v>
      </c>
    </row>
    <row r="245" spans="1:103" ht="12.75" customHeight="1" x14ac:dyDescent="0.2">
      <c r="A245" s="81">
        <v>116</v>
      </c>
      <c r="B245" s="165" t="s">
        <v>1908</v>
      </c>
      <c r="C245" s="165" t="s">
        <v>3331</v>
      </c>
      <c r="E245" s="165" t="s">
        <v>3332</v>
      </c>
      <c r="G245" s="81">
        <v>524382</v>
      </c>
      <c r="H245" s="81">
        <v>175284</v>
      </c>
      <c r="I245" s="165" t="s">
        <v>259</v>
      </c>
      <c r="J245" s="349">
        <v>43190</v>
      </c>
      <c r="L245" s="166">
        <v>0</v>
      </c>
      <c r="M245" s="166">
        <v>3</v>
      </c>
      <c r="N245" s="166">
        <v>3</v>
      </c>
      <c r="O245" s="166">
        <v>6</v>
      </c>
      <c r="P245" s="166">
        <v>4</v>
      </c>
      <c r="R245" s="165" t="s">
        <v>3333</v>
      </c>
      <c r="S245" s="81" t="s">
        <v>113</v>
      </c>
      <c r="T245" s="349">
        <v>42983</v>
      </c>
      <c r="U245" s="349">
        <v>43013</v>
      </c>
      <c r="V245" s="81" t="s">
        <v>155</v>
      </c>
      <c r="W245" s="81" t="s">
        <v>114</v>
      </c>
      <c r="Y245" s="81" t="s">
        <v>115</v>
      </c>
      <c r="Z245" s="81" t="s">
        <v>398</v>
      </c>
      <c r="AA245" s="81" t="s">
        <v>117</v>
      </c>
      <c r="AB245" s="81" t="s">
        <v>218</v>
      </c>
      <c r="AC245" s="166">
        <v>2.5000000372528999E-2</v>
      </c>
      <c r="AD245" s="349">
        <v>43190</v>
      </c>
      <c r="AE245" s="81" t="s">
        <v>155</v>
      </c>
      <c r="AG245" s="81" t="s">
        <v>238</v>
      </c>
      <c r="AH245" s="81" t="s">
        <v>118</v>
      </c>
      <c r="AK245" s="166">
        <v>0</v>
      </c>
      <c r="AM245" s="166">
        <v>0</v>
      </c>
      <c r="AO245" s="166">
        <v>0</v>
      </c>
      <c r="AP245" s="166">
        <v>0</v>
      </c>
      <c r="AQ245" s="166">
        <v>3</v>
      </c>
      <c r="AR245" s="166">
        <v>0</v>
      </c>
      <c r="AS245" s="166">
        <v>0</v>
      </c>
      <c r="AT245" s="166">
        <v>0</v>
      </c>
      <c r="AU245" s="166">
        <v>0</v>
      </c>
      <c r="AV245" s="166">
        <v>0</v>
      </c>
      <c r="AW245" s="166">
        <v>0</v>
      </c>
      <c r="AX245" s="166">
        <v>3</v>
      </c>
      <c r="AY245" s="166">
        <v>0</v>
      </c>
      <c r="AZ245" s="166">
        <v>0</v>
      </c>
      <c r="BA245" s="166">
        <v>0</v>
      </c>
      <c r="BB245" s="166">
        <v>0</v>
      </c>
      <c r="BC245" s="166">
        <v>0</v>
      </c>
      <c r="BD245" s="166">
        <v>0</v>
      </c>
      <c r="BE245" s="166">
        <v>0</v>
      </c>
      <c r="BF245" s="166">
        <v>0</v>
      </c>
      <c r="BG245" s="166">
        <v>0</v>
      </c>
      <c r="BH245" s="166">
        <v>0</v>
      </c>
      <c r="BI245" s="166">
        <v>0</v>
      </c>
      <c r="BJ245" s="166">
        <v>0</v>
      </c>
      <c r="BK245" s="166">
        <v>0</v>
      </c>
      <c r="BL245" s="166">
        <v>0</v>
      </c>
      <c r="BM245" s="166">
        <v>0</v>
      </c>
      <c r="BN245" s="166">
        <v>0</v>
      </c>
      <c r="BO245" s="166">
        <v>0</v>
      </c>
      <c r="BP245" s="166">
        <v>0</v>
      </c>
      <c r="BQ245" s="81" t="s">
        <v>1758</v>
      </c>
      <c r="BZ245" s="81" t="s">
        <v>155</v>
      </c>
      <c r="CA245" s="81" t="s">
        <v>3981</v>
      </c>
      <c r="CC245" s="167">
        <v>0</v>
      </c>
      <c r="CD245" s="167">
        <f>$N245/2</f>
        <v>1.5</v>
      </c>
      <c r="CE245" s="167">
        <f>$N245/2</f>
        <v>1.5</v>
      </c>
      <c r="CF245" s="167">
        <v>0</v>
      </c>
      <c r="CG245" s="167">
        <v>0</v>
      </c>
      <c r="CH245" s="167">
        <v>0</v>
      </c>
      <c r="CI245" s="167">
        <v>0</v>
      </c>
      <c r="CJ245" s="167">
        <v>0</v>
      </c>
      <c r="CK245" s="167">
        <v>0</v>
      </c>
      <c r="CL245" s="167">
        <v>0</v>
      </c>
      <c r="CM245" s="167">
        <v>0</v>
      </c>
      <c r="CN245" s="167">
        <v>0</v>
      </c>
      <c r="CO245" s="167">
        <v>0</v>
      </c>
      <c r="CP245" s="167">
        <v>0</v>
      </c>
      <c r="CQ245" s="167">
        <v>0</v>
      </c>
      <c r="CR245" s="167">
        <v>0</v>
      </c>
      <c r="CS245" s="167">
        <v>0</v>
      </c>
      <c r="CT245" s="167">
        <v>0</v>
      </c>
      <c r="CU245" s="167">
        <v>0</v>
      </c>
      <c r="CV245" s="167">
        <v>0</v>
      </c>
      <c r="CW245" s="167">
        <v>0</v>
      </c>
      <c r="CX245" s="167">
        <f>SUM(CD245:CH245)</f>
        <v>3</v>
      </c>
      <c r="CY245" s="167">
        <f>SUM(CD245:CM245)</f>
        <v>3</v>
      </c>
    </row>
    <row r="246" spans="1:103" ht="12.75" customHeight="1" x14ac:dyDescent="0.2">
      <c r="A246" s="81">
        <v>116</v>
      </c>
      <c r="B246" s="165" t="s">
        <v>1908</v>
      </c>
      <c r="C246" s="165" t="s">
        <v>3331</v>
      </c>
      <c r="E246" s="165" t="s">
        <v>3332</v>
      </c>
      <c r="G246" s="81">
        <v>524382</v>
      </c>
      <c r="H246" s="81">
        <v>175284</v>
      </c>
      <c r="I246" s="165" t="s">
        <v>259</v>
      </c>
      <c r="J246" s="349">
        <v>43190</v>
      </c>
      <c r="L246" s="166">
        <v>2</v>
      </c>
      <c r="M246" s="166">
        <v>2</v>
      </c>
      <c r="N246" s="166">
        <v>0</v>
      </c>
      <c r="O246" s="166">
        <v>6</v>
      </c>
      <c r="P246" s="166">
        <v>4</v>
      </c>
      <c r="R246" s="165" t="s">
        <v>3333</v>
      </c>
      <c r="S246" s="81" t="s">
        <v>113</v>
      </c>
      <c r="T246" s="349">
        <v>42983</v>
      </c>
      <c r="U246" s="349">
        <v>43013</v>
      </c>
      <c r="V246" s="81" t="s">
        <v>155</v>
      </c>
      <c r="W246" s="81" t="s">
        <v>114</v>
      </c>
      <c r="Y246" s="81" t="s">
        <v>115</v>
      </c>
      <c r="Z246" s="81" t="s">
        <v>398</v>
      </c>
      <c r="AA246" s="81" t="s">
        <v>117</v>
      </c>
      <c r="AB246" s="81" t="s">
        <v>220</v>
      </c>
      <c r="AC246" s="166">
        <v>7.0000002160668399E-3</v>
      </c>
      <c r="AD246" s="349">
        <v>43190</v>
      </c>
      <c r="AE246" s="81" t="s">
        <v>155</v>
      </c>
      <c r="AG246" s="81" t="s">
        <v>238</v>
      </c>
      <c r="AH246" s="81" t="s">
        <v>118</v>
      </c>
      <c r="AK246" s="166">
        <v>0</v>
      </c>
      <c r="AM246" s="166">
        <v>0</v>
      </c>
      <c r="AO246" s="166">
        <v>0</v>
      </c>
      <c r="AP246" s="166">
        <v>1</v>
      </c>
      <c r="AQ246" s="166">
        <v>-1</v>
      </c>
      <c r="AR246" s="166">
        <v>0</v>
      </c>
      <c r="AS246" s="166">
        <v>0</v>
      </c>
      <c r="AT246" s="166">
        <v>0</v>
      </c>
      <c r="AU246" s="166">
        <v>0</v>
      </c>
      <c r="AV246" s="166">
        <v>0</v>
      </c>
      <c r="AW246" s="166">
        <v>1</v>
      </c>
      <c r="AX246" s="166">
        <v>-1</v>
      </c>
      <c r="AY246" s="166">
        <v>0</v>
      </c>
      <c r="AZ246" s="166">
        <v>0</v>
      </c>
      <c r="BA246" s="166">
        <v>0</v>
      </c>
      <c r="BB246" s="166">
        <v>0</v>
      </c>
      <c r="BC246" s="166">
        <v>0</v>
      </c>
      <c r="BD246" s="166">
        <v>0</v>
      </c>
      <c r="BE246" s="166">
        <v>0</v>
      </c>
      <c r="BF246" s="166">
        <v>0</v>
      </c>
      <c r="BG246" s="166">
        <v>0</v>
      </c>
      <c r="BH246" s="166">
        <v>0</v>
      </c>
      <c r="BI246" s="166">
        <v>0</v>
      </c>
      <c r="BJ246" s="166">
        <v>0</v>
      </c>
      <c r="BK246" s="166">
        <v>0</v>
      </c>
      <c r="BL246" s="166">
        <v>0</v>
      </c>
      <c r="BM246" s="166">
        <v>0</v>
      </c>
      <c r="BN246" s="166">
        <v>0</v>
      </c>
      <c r="BO246" s="166">
        <v>0</v>
      </c>
      <c r="BP246" s="166">
        <v>0</v>
      </c>
      <c r="BQ246" s="81" t="s">
        <v>1758</v>
      </c>
      <c r="BZ246" s="81" t="s">
        <v>155</v>
      </c>
      <c r="CA246" s="81" t="s">
        <v>3981</v>
      </c>
      <c r="CC246" s="167">
        <v>0</v>
      </c>
      <c r="CD246" s="167">
        <f>$N246/2</f>
        <v>0</v>
      </c>
      <c r="CE246" s="167">
        <f>$N246/2</f>
        <v>0</v>
      </c>
      <c r="CF246" s="167">
        <v>0</v>
      </c>
      <c r="CG246" s="167">
        <v>0</v>
      </c>
      <c r="CH246" s="167">
        <v>0</v>
      </c>
      <c r="CI246" s="167">
        <v>0</v>
      </c>
      <c r="CJ246" s="167">
        <v>0</v>
      </c>
      <c r="CK246" s="167">
        <v>0</v>
      </c>
      <c r="CL246" s="167">
        <v>0</v>
      </c>
      <c r="CM246" s="167">
        <v>0</v>
      </c>
      <c r="CN246" s="167">
        <v>0</v>
      </c>
      <c r="CO246" s="167">
        <v>0</v>
      </c>
      <c r="CP246" s="167">
        <v>0</v>
      </c>
      <c r="CQ246" s="167">
        <v>0</v>
      </c>
      <c r="CR246" s="167">
        <v>0</v>
      </c>
      <c r="CS246" s="167">
        <v>0</v>
      </c>
      <c r="CT246" s="167">
        <v>0</v>
      </c>
      <c r="CU246" s="167">
        <v>0</v>
      </c>
      <c r="CV246" s="167">
        <v>0</v>
      </c>
      <c r="CW246" s="167">
        <v>0</v>
      </c>
      <c r="CX246" s="167">
        <f>SUM(CD246:CH246)</f>
        <v>0</v>
      </c>
      <c r="CY246" s="167">
        <f>SUM(CD246:CM246)</f>
        <v>0</v>
      </c>
    </row>
    <row r="247" spans="1:103" ht="12.75" customHeight="1" x14ac:dyDescent="0.2">
      <c r="A247" s="81">
        <v>116</v>
      </c>
      <c r="B247" s="165" t="s">
        <v>1908</v>
      </c>
      <c r="C247" s="165" t="s">
        <v>3331</v>
      </c>
      <c r="E247" s="165" t="s">
        <v>3332</v>
      </c>
      <c r="G247" s="81">
        <v>524382</v>
      </c>
      <c r="H247" s="81">
        <v>175284</v>
      </c>
      <c r="I247" s="165" t="s">
        <v>259</v>
      </c>
      <c r="J247" s="349">
        <v>43190</v>
      </c>
      <c r="L247" s="166">
        <v>0</v>
      </c>
      <c r="M247" s="166">
        <v>1</v>
      </c>
      <c r="N247" s="166">
        <v>1</v>
      </c>
      <c r="O247" s="166">
        <v>6</v>
      </c>
      <c r="P247" s="166">
        <v>4</v>
      </c>
      <c r="R247" s="165" t="s">
        <v>3333</v>
      </c>
      <c r="S247" s="81" t="s">
        <v>113</v>
      </c>
      <c r="T247" s="349">
        <v>42983</v>
      </c>
      <c r="U247" s="349">
        <v>43013</v>
      </c>
      <c r="V247" s="81" t="s">
        <v>155</v>
      </c>
      <c r="W247" s="81" t="s">
        <v>114</v>
      </c>
      <c r="Y247" s="81" t="s">
        <v>115</v>
      </c>
      <c r="Z247" s="81" t="s">
        <v>398</v>
      </c>
      <c r="AA247" s="81" t="s">
        <v>117</v>
      </c>
      <c r="AB247" s="81" t="s">
        <v>311</v>
      </c>
      <c r="AC247" s="166">
        <v>7.0000002160668399E-3</v>
      </c>
      <c r="AD247" s="349">
        <v>43190</v>
      </c>
      <c r="AE247" s="81" t="s">
        <v>155</v>
      </c>
      <c r="AG247" s="81" t="s">
        <v>238</v>
      </c>
      <c r="AH247" s="81" t="s">
        <v>118</v>
      </c>
      <c r="AK247" s="166">
        <v>0</v>
      </c>
      <c r="AM247" s="166">
        <v>0</v>
      </c>
      <c r="AO247" s="166">
        <v>0</v>
      </c>
      <c r="AP247" s="166">
        <v>1</v>
      </c>
      <c r="AQ247" s="166">
        <v>0</v>
      </c>
      <c r="AR247" s="166">
        <v>0</v>
      </c>
      <c r="AS247" s="166">
        <v>0</v>
      </c>
      <c r="AT247" s="166">
        <v>0</v>
      </c>
      <c r="AU247" s="166">
        <v>0</v>
      </c>
      <c r="AV247" s="166">
        <v>0</v>
      </c>
      <c r="AW247" s="166">
        <v>1</v>
      </c>
      <c r="AX247" s="166">
        <v>0</v>
      </c>
      <c r="AY247" s="166">
        <v>0</v>
      </c>
      <c r="AZ247" s="166">
        <v>0</v>
      </c>
      <c r="BA247" s="166">
        <v>0</v>
      </c>
      <c r="BB247" s="166">
        <v>0</v>
      </c>
      <c r="BC247" s="166">
        <v>0</v>
      </c>
      <c r="BD247" s="166">
        <v>0</v>
      </c>
      <c r="BE247" s="166">
        <v>0</v>
      </c>
      <c r="BF247" s="166">
        <v>0</v>
      </c>
      <c r="BG247" s="166">
        <v>0</v>
      </c>
      <c r="BH247" s="166">
        <v>0</v>
      </c>
      <c r="BI247" s="166">
        <v>0</v>
      </c>
      <c r="BJ247" s="166">
        <v>0</v>
      </c>
      <c r="BK247" s="166">
        <v>0</v>
      </c>
      <c r="BL247" s="166">
        <v>0</v>
      </c>
      <c r="BM247" s="166">
        <v>0</v>
      </c>
      <c r="BN247" s="166">
        <v>0</v>
      </c>
      <c r="BO247" s="166">
        <v>0</v>
      </c>
      <c r="BP247" s="166">
        <v>0</v>
      </c>
      <c r="BQ247" s="81" t="s">
        <v>1758</v>
      </c>
      <c r="BZ247" s="81" t="s">
        <v>155</v>
      </c>
      <c r="CA247" s="81" t="s">
        <v>3981</v>
      </c>
      <c r="CC247" s="167">
        <v>0</v>
      </c>
      <c r="CD247" s="167">
        <f>$N247/2</f>
        <v>0.5</v>
      </c>
      <c r="CE247" s="167">
        <f>$N247/2</f>
        <v>0.5</v>
      </c>
      <c r="CF247" s="167">
        <v>0</v>
      </c>
      <c r="CG247" s="167">
        <v>0</v>
      </c>
      <c r="CH247" s="167">
        <v>0</v>
      </c>
      <c r="CI247" s="167">
        <v>0</v>
      </c>
      <c r="CJ247" s="167">
        <v>0</v>
      </c>
      <c r="CK247" s="167">
        <v>0</v>
      </c>
      <c r="CL247" s="167">
        <v>0</v>
      </c>
      <c r="CM247" s="167">
        <v>0</v>
      </c>
      <c r="CN247" s="167">
        <v>0</v>
      </c>
      <c r="CO247" s="167">
        <v>0</v>
      </c>
      <c r="CP247" s="167">
        <v>0</v>
      </c>
      <c r="CQ247" s="167">
        <v>0</v>
      </c>
      <c r="CR247" s="167">
        <v>0</v>
      </c>
      <c r="CS247" s="167">
        <v>0</v>
      </c>
      <c r="CT247" s="167">
        <v>0</v>
      </c>
      <c r="CU247" s="167">
        <v>0</v>
      </c>
      <c r="CV247" s="167">
        <v>0</v>
      </c>
      <c r="CW247" s="167">
        <v>0</v>
      </c>
      <c r="CX247" s="167">
        <f>SUM(CD247:CH247)</f>
        <v>1</v>
      </c>
      <c r="CY247" s="167">
        <f>SUM(CD247:CM247)</f>
        <v>1</v>
      </c>
    </row>
    <row r="248" spans="1:103" ht="12.75" customHeight="1" x14ac:dyDescent="0.2">
      <c r="A248" s="81">
        <v>215</v>
      </c>
      <c r="B248" s="165" t="s">
        <v>1908</v>
      </c>
      <c r="C248" s="165" t="s">
        <v>1943</v>
      </c>
      <c r="E248" s="165" t="s">
        <v>1944</v>
      </c>
      <c r="G248" s="81">
        <v>528736</v>
      </c>
      <c r="H248" s="81">
        <v>174223</v>
      </c>
      <c r="I248" s="165" t="s">
        <v>247</v>
      </c>
      <c r="J248" s="349">
        <v>42460</v>
      </c>
      <c r="L248" s="166">
        <v>0</v>
      </c>
      <c r="M248" s="166">
        <v>94</v>
      </c>
      <c r="N248" s="166">
        <v>94</v>
      </c>
      <c r="O248" s="166">
        <v>94</v>
      </c>
      <c r="P248" s="166">
        <v>94</v>
      </c>
      <c r="Q248" s="81" t="s">
        <v>155</v>
      </c>
      <c r="R248" s="165" t="s">
        <v>1945</v>
      </c>
      <c r="S248" s="81" t="s">
        <v>1916</v>
      </c>
      <c r="T248" s="349">
        <v>42976</v>
      </c>
      <c r="U248" s="349">
        <v>43004</v>
      </c>
      <c r="V248" s="81" t="s">
        <v>155</v>
      </c>
      <c r="W248" s="81" t="s">
        <v>114</v>
      </c>
      <c r="Y248" s="81" t="s">
        <v>115</v>
      </c>
      <c r="Z248" s="81" t="s">
        <v>116</v>
      </c>
      <c r="AA248" s="81" t="s">
        <v>116</v>
      </c>
      <c r="AB248" s="81" t="s">
        <v>117</v>
      </c>
      <c r="AC248" s="166">
        <v>0.10000000149011599</v>
      </c>
      <c r="AD248" s="349">
        <v>42460</v>
      </c>
      <c r="AG248" s="81" t="s">
        <v>238</v>
      </c>
      <c r="AH248" s="81" t="s">
        <v>118</v>
      </c>
      <c r="AK248" s="166">
        <v>0</v>
      </c>
      <c r="AM248" s="166">
        <v>0</v>
      </c>
      <c r="AO248" s="166">
        <v>0</v>
      </c>
      <c r="AP248" s="166">
        <v>28</v>
      </c>
      <c r="AQ248" s="166">
        <v>49</v>
      </c>
      <c r="AR248" s="166">
        <v>17</v>
      </c>
      <c r="AS248" s="166">
        <v>0</v>
      </c>
      <c r="AT248" s="166">
        <v>0</v>
      </c>
      <c r="AU248" s="166">
        <v>0</v>
      </c>
      <c r="AV248" s="166">
        <v>0</v>
      </c>
      <c r="AW248" s="166">
        <v>28</v>
      </c>
      <c r="AX248" s="166">
        <v>49</v>
      </c>
      <c r="AY248" s="166">
        <v>17</v>
      </c>
      <c r="AZ248" s="166">
        <v>0</v>
      </c>
      <c r="BA248" s="166">
        <v>0</v>
      </c>
      <c r="BB248" s="166">
        <v>0</v>
      </c>
      <c r="BC248" s="166">
        <v>0</v>
      </c>
      <c r="BD248" s="166">
        <v>0</v>
      </c>
      <c r="BE248" s="166">
        <v>0</v>
      </c>
      <c r="BF248" s="166">
        <v>0</v>
      </c>
      <c r="BG248" s="166">
        <v>0</v>
      </c>
      <c r="BH248" s="166">
        <v>0</v>
      </c>
      <c r="BI248" s="166">
        <v>0</v>
      </c>
      <c r="BJ248" s="166">
        <v>0</v>
      </c>
      <c r="BK248" s="166">
        <v>0</v>
      </c>
      <c r="BL248" s="166">
        <v>0</v>
      </c>
      <c r="BM248" s="166">
        <v>0</v>
      </c>
      <c r="BN248" s="166">
        <v>0</v>
      </c>
      <c r="BO248" s="166">
        <v>0</v>
      </c>
      <c r="BP248" s="166">
        <v>0</v>
      </c>
      <c r="BQ248" s="81" t="s">
        <v>1757</v>
      </c>
      <c r="BZ248" s="81" t="s">
        <v>155</v>
      </c>
      <c r="CA248" s="81" t="s">
        <v>3934</v>
      </c>
      <c r="CC248" s="167">
        <v>0</v>
      </c>
      <c r="CD248" s="167">
        <v>0</v>
      </c>
      <c r="CE248" s="167">
        <f>N248</f>
        <v>94</v>
      </c>
      <c r="CF248" s="167">
        <v>0</v>
      </c>
      <c r="CG248" s="167">
        <v>0</v>
      </c>
      <c r="CH248" s="167">
        <v>0</v>
      </c>
      <c r="CI248" s="167">
        <v>0</v>
      </c>
      <c r="CJ248" s="167">
        <v>0</v>
      </c>
      <c r="CK248" s="167">
        <v>0</v>
      </c>
      <c r="CL248" s="167">
        <v>0</v>
      </c>
      <c r="CM248" s="167">
        <v>0</v>
      </c>
      <c r="CN248" s="167">
        <v>0</v>
      </c>
      <c r="CO248" s="167">
        <v>0</v>
      </c>
      <c r="CP248" s="167">
        <v>0</v>
      </c>
      <c r="CQ248" s="167">
        <v>0</v>
      </c>
      <c r="CR248" s="167">
        <v>0</v>
      </c>
      <c r="CS248" s="167">
        <v>0</v>
      </c>
      <c r="CT248" s="167">
        <v>0</v>
      </c>
      <c r="CU248" s="167">
        <v>0</v>
      </c>
      <c r="CV248" s="167">
        <v>0</v>
      </c>
      <c r="CW248" s="167">
        <v>0</v>
      </c>
      <c r="CX248" s="167">
        <f>SUM(CD248:CH248)</f>
        <v>94</v>
      </c>
      <c r="CY248" s="167">
        <f>SUM(CD248:CM248)</f>
        <v>94</v>
      </c>
    </row>
    <row r="249" spans="1:103" ht="12.75" customHeight="1" x14ac:dyDescent="0.2">
      <c r="A249" s="81">
        <v>244</v>
      </c>
      <c r="B249" s="165" t="s">
        <v>1908</v>
      </c>
      <c r="C249" s="165" t="s">
        <v>106</v>
      </c>
      <c r="D249" s="165" t="s">
        <v>876</v>
      </c>
      <c r="E249" s="165" t="s">
        <v>1938</v>
      </c>
      <c r="G249" s="81">
        <v>526455</v>
      </c>
      <c r="H249" s="81">
        <v>175748</v>
      </c>
      <c r="I249" s="165" t="s">
        <v>257</v>
      </c>
      <c r="J249" s="349">
        <v>42487</v>
      </c>
      <c r="L249" s="166">
        <v>2</v>
      </c>
      <c r="M249" s="166">
        <v>18</v>
      </c>
      <c r="N249" s="166">
        <v>16</v>
      </c>
      <c r="O249" s="166">
        <v>18</v>
      </c>
      <c r="P249" s="166">
        <v>16</v>
      </c>
      <c r="Q249" s="81" t="s">
        <v>155</v>
      </c>
      <c r="R249" s="165" t="s">
        <v>881</v>
      </c>
      <c r="S249" s="81" t="s">
        <v>104</v>
      </c>
      <c r="T249" s="349">
        <v>41253</v>
      </c>
      <c r="U249" s="349">
        <v>41394</v>
      </c>
      <c r="W249" s="81" t="s">
        <v>114</v>
      </c>
      <c r="Y249" s="81" t="s">
        <v>115</v>
      </c>
      <c r="Z249" s="81" t="s">
        <v>219</v>
      </c>
      <c r="AA249" s="81" t="s">
        <v>219</v>
      </c>
      <c r="AB249" s="81" t="s">
        <v>117</v>
      </c>
      <c r="AC249" s="166">
        <v>1.4999999664723899E-2</v>
      </c>
      <c r="AD249" s="349">
        <v>42487</v>
      </c>
      <c r="AG249" s="81" t="s">
        <v>238</v>
      </c>
      <c r="AH249" s="81" t="s">
        <v>118</v>
      </c>
      <c r="AI249" s="81" t="s">
        <v>1939</v>
      </c>
      <c r="AK249" s="166">
        <v>0</v>
      </c>
      <c r="AM249" s="166">
        <v>0</v>
      </c>
      <c r="AO249" s="166">
        <v>0</v>
      </c>
      <c r="AP249" s="166">
        <v>0</v>
      </c>
      <c r="AQ249" s="166">
        <v>14</v>
      </c>
      <c r="AR249" s="166">
        <v>2</v>
      </c>
      <c r="AS249" s="166">
        <v>0</v>
      </c>
      <c r="AT249" s="166">
        <v>0</v>
      </c>
      <c r="AU249" s="166">
        <v>0</v>
      </c>
      <c r="AV249" s="166">
        <v>0</v>
      </c>
      <c r="AW249" s="166">
        <v>0</v>
      </c>
      <c r="AX249" s="166">
        <v>14</v>
      </c>
      <c r="AY249" s="166">
        <v>2</v>
      </c>
      <c r="AZ249" s="166">
        <v>0</v>
      </c>
      <c r="BA249" s="166">
        <v>0</v>
      </c>
      <c r="BB249" s="166">
        <v>0</v>
      </c>
      <c r="BC249" s="166">
        <v>0</v>
      </c>
      <c r="BD249" s="166">
        <v>0</v>
      </c>
      <c r="BE249" s="166">
        <v>0</v>
      </c>
      <c r="BF249" s="166">
        <v>0</v>
      </c>
      <c r="BG249" s="166">
        <v>0</v>
      </c>
      <c r="BH249" s="166">
        <v>0</v>
      </c>
      <c r="BI249" s="166">
        <v>0</v>
      </c>
      <c r="BJ249" s="166">
        <v>0</v>
      </c>
      <c r="BK249" s="166">
        <v>0</v>
      </c>
      <c r="BL249" s="166">
        <v>0</v>
      </c>
      <c r="BM249" s="166">
        <v>0</v>
      </c>
      <c r="BN249" s="166">
        <v>0</v>
      </c>
      <c r="BO249" s="166">
        <v>0</v>
      </c>
      <c r="BP249" s="166">
        <v>0</v>
      </c>
      <c r="BQ249" s="81" t="s">
        <v>1757</v>
      </c>
      <c r="BX249" s="81" t="s">
        <v>155</v>
      </c>
      <c r="BZ249" s="81" t="s">
        <v>155</v>
      </c>
      <c r="CA249" s="81" t="s">
        <v>3968</v>
      </c>
      <c r="CC249" s="167">
        <v>0</v>
      </c>
      <c r="CD249" s="167">
        <v>0</v>
      </c>
      <c r="CE249" s="167">
        <v>0</v>
      </c>
      <c r="CF249" s="167">
        <v>0</v>
      </c>
      <c r="CG249" s="167">
        <v>0</v>
      </c>
      <c r="CH249" s="167">
        <f>$N249/3</f>
        <v>5.333333333333333</v>
      </c>
      <c r="CI249" s="167">
        <f>$N249/3</f>
        <v>5.333333333333333</v>
      </c>
      <c r="CJ249" s="167">
        <f>$N249/3</f>
        <v>5.333333333333333</v>
      </c>
      <c r="CK249" s="167">
        <v>0</v>
      </c>
      <c r="CL249" s="167">
        <v>0</v>
      </c>
      <c r="CM249" s="167">
        <v>0</v>
      </c>
      <c r="CN249" s="167">
        <v>0</v>
      </c>
      <c r="CO249" s="167">
        <v>0</v>
      </c>
      <c r="CP249" s="167">
        <v>0</v>
      </c>
      <c r="CQ249" s="167">
        <v>0</v>
      </c>
      <c r="CR249" s="167">
        <v>0</v>
      </c>
      <c r="CS249" s="167">
        <v>0</v>
      </c>
      <c r="CT249" s="167">
        <v>0</v>
      </c>
      <c r="CU249" s="167">
        <v>0</v>
      </c>
      <c r="CV249" s="167">
        <v>0</v>
      </c>
      <c r="CW249" s="167">
        <v>0</v>
      </c>
      <c r="CX249" s="167">
        <f>SUM(CD249:CH249)</f>
        <v>5.333333333333333</v>
      </c>
      <c r="CY249" s="167">
        <f>SUM(CD249:CM249)</f>
        <v>16</v>
      </c>
    </row>
    <row r="250" spans="1:103" ht="12.75" customHeight="1" x14ac:dyDescent="0.2">
      <c r="A250" s="81">
        <v>322</v>
      </c>
      <c r="B250" s="165" t="s">
        <v>1908</v>
      </c>
      <c r="C250" s="165" t="s">
        <v>1940</v>
      </c>
      <c r="D250" s="165" t="s">
        <v>774</v>
      </c>
      <c r="E250" s="165" t="s">
        <v>1941</v>
      </c>
      <c r="G250" s="81">
        <v>527020</v>
      </c>
      <c r="H250" s="81">
        <v>176330</v>
      </c>
      <c r="I250" s="165" t="s">
        <v>257</v>
      </c>
      <c r="J250" s="349">
        <v>43190</v>
      </c>
      <c r="L250" s="166">
        <v>0</v>
      </c>
      <c r="M250" s="166">
        <v>71</v>
      </c>
      <c r="N250" s="166">
        <v>71</v>
      </c>
      <c r="O250" s="166">
        <v>71</v>
      </c>
      <c r="P250" s="166">
        <v>71</v>
      </c>
      <c r="Q250" s="81" t="s">
        <v>155</v>
      </c>
      <c r="R250" s="165" t="s">
        <v>1942</v>
      </c>
      <c r="S250" s="81" t="s">
        <v>509</v>
      </c>
      <c r="T250" s="349">
        <v>42779</v>
      </c>
      <c r="U250" s="349">
        <v>43045</v>
      </c>
      <c r="V250" s="81" t="s">
        <v>155</v>
      </c>
      <c r="W250" s="81" t="s">
        <v>114</v>
      </c>
      <c r="Y250" s="81" t="s">
        <v>115</v>
      </c>
      <c r="Z250" s="81" t="s">
        <v>116</v>
      </c>
      <c r="AA250" s="81" t="s">
        <v>116</v>
      </c>
      <c r="AB250" s="81" t="s">
        <v>117</v>
      </c>
      <c r="AC250" s="166">
        <v>0.23700000345706901</v>
      </c>
      <c r="AD250" s="349">
        <v>43190</v>
      </c>
      <c r="AE250" s="81" t="s">
        <v>155</v>
      </c>
      <c r="AG250" s="81" t="s">
        <v>154</v>
      </c>
      <c r="AH250" s="81" t="s">
        <v>312</v>
      </c>
      <c r="AK250" s="166">
        <v>71</v>
      </c>
      <c r="AM250" s="166">
        <v>8</v>
      </c>
      <c r="AN250" s="166">
        <v>8</v>
      </c>
      <c r="AO250" s="166">
        <v>0</v>
      </c>
      <c r="AP250" s="166">
        <v>15</v>
      </c>
      <c r="AQ250" s="166">
        <v>39</v>
      </c>
      <c r="AR250" s="166">
        <v>9</v>
      </c>
      <c r="AS250" s="166">
        <v>8</v>
      </c>
      <c r="AT250" s="166">
        <v>0</v>
      </c>
      <c r="AU250" s="166">
        <v>0</v>
      </c>
      <c r="AV250" s="166">
        <v>0</v>
      </c>
      <c r="AW250" s="166">
        <v>15</v>
      </c>
      <c r="AX250" s="166">
        <v>39</v>
      </c>
      <c r="AY250" s="166">
        <v>9</v>
      </c>
      <c r="AZ250" s="166">
        <v>8</v>
      </c>
      <c r="BA250" s="166">
        <v>0</v>
      </c>
      <c r="BB250" s="166">
        <v>0</v>
      </c>
      <c r="BC250" s="166">
        <v>0</v>
      </c>
      <c r="BD250" s="166">
        <v>0</v>
      </c>
      <c r="BE250" s="166">
        <v>0</v>
      </c>
      <c r="BF250" s="166">
        <v>0</v>
      </c>
      <c r="BG250" s="166">
        <v>0</v>
      </c>
      <c r="BH250" s="166">
        <v>0</v>
      </c>
      <c r="BI250" s="166">
        <v>0</v>
      </c>
      <c r="BJ250" s="166">
        <v>0</v>
      </c>
      <c r="BK250" s="166">
        <v>0</v>
      </c>
      <c r="BL250" s="166">
        <v>0</v>
      </c>
      <c r="BM250" s="166">
        <v>0</v>
      </c>
      <c r="BN250" s="166">
        <v>0</v>
      </c>
      <c r="BO250" s="166">
        <v>0</v>
      </c>
      <c r="BP250" s="166">
        <v>0</v>
      </c>
      <c r="BQ250" s="81" t="s">
        <v>1757</v>
      </c>
      <c r="BZ250" s="81" t="s">
        <v>155</v>
      </c>
      <c r="CA250" s="81" t="s">
        <v>3981</v>
      </c>
      <c r="CC250" s="167">
        <v>0</v>
      </c>
      <c r="CD250" s="167">
        <f>$N250/2</f>
        <v>35.5</v>
      </c>
      <c r="CE250" s="167">
        <f>$N250/2</f>
        <v>35.5</v>
      </c>
      <c r="CF250" s="167">
        <v>0</v>
      </c>
      <c r="CG250" s="167">
        <v>0</v>
      </c>
      <c r="CH250" s="167">
        <v>0</v>
      </c>
      <c r="CI250" s="167">
        <v>0</v>
      </c>
      <c r="CJ250" s="167">
        <v>0</v>
      </c>
      <c r="CK250" s="167">
        <v>0</v>
      </c>
      <c r="CL250" s="167">
        <v>0</v>
      </c>
      <c r="CM250" s="167">
        <v>0</v>
      </c>
      <c r="CN250" s="167">
        <v>0</v>
      </c>
      <c r="CO250" s="167">
        <v>0</v>
      </c>
      <c r="CP250" s="167">
        <v>0</v>
      </c>
      <c r="CQ250" s="167">
        <v>0</v>
      </c>
      <c r="CR250" s="167">
        <v>0</v>
      </c>
      <c r="CS250" s="167">
        <v>0</v>
      </c>
      <c r="CT250" s="167">
        <v>0</v>
      </c>
      <c r="CU250" s="167">
        <v>0</v>
      </c>
      <c r="CV250" s="167">
        <v>0</v>
      </c>
      <c r="CW250" s="167">
        <v>0</v>
      </c>
      <c r="CX250" s="167">
        <f>SUM(CD250:CH250)</f>
        <v>71</v>
      </c>
      <c r="CY250" s="167">
        <f>SUM(CD250:CM250)</f>
        <v>71</v>
      </c>
    </row>
    <row r="251" spans="1:103" ht="12.75" customHeight="1" x14ac:dyDescent="0.2">
      <c r="A251" s="81">
        <v>364</v>
      </c>
      <c r="B251" s="165" t="s">
        <v>1908</v>
      </c>
      <c r="C251" s="165" t="s">
        <v>40</v>
      </c>
      <c r="E251" s="165" t="s">
        <v>1946</v>
      </c>
      <c r="G251" s="81">
        <v>524358</v>
      </c>
      <c r="H251" s="81">
        <v>175314</v>
      </c>
      <c r="I251" s="165" t="s">
        <v>259</v>
      </c>
      <c r="J251" s="349">
        <v>41765</v>
      </c>
      <c r="L251" s="166">
        <v>0</v>
      </c>
      <c r="M251" s="166">
        <v>1</v>
      </c>
      <c r="N251" s="166">
        <v>1</v>
      </c>
      <c r="O251" s="166">
        <v>1</v>
      </c>
      <c r="P251" s="166">
        <v>1</v>
      </c>
      <c r="R251" s="165" t="s">
        <v>41</v>
      </c>
      <c r="S251" s="81" t="s">
        <v>113</v>
      </c>
      <c r="T251" s="349">
        <v>41093</v>
      </c>
      <c r="U251" s="349">
        <v>41201</v>
      </c>
      <c r="W251" s="81" t="s">
        <v>114</v>
      </c>
      <c r="Y251" s="81" t="s">
        <v>115</v>
      </c>
      <c r="Z251" s="81" t="s">
        <v>116</v>
      </c>
      <c r="AA251" s="81" t="s">
        <v>117</v>
      </c>
      <c r="AB251" s="81" t="s">
        <v>218</v>
      </c>
      <c r="AC251" s="166">
        <v>1.30000002682209E-2</v>
      </c>
      <c r="AD251" s="349">
        <v>41765</v>
      </c>
      <c r="AG251" s="81" t="s">
        <v>238</v>
      </c>
      <c r="AH251" s="81" t="s">
        <v>118</v>
      </c>
      <c r="AK251" s="166">
        <v>0</v>
      </c>
      <c r="AM251" s="166">
        <v>0</v>
      </c>
      <c r="AO251" s="166">
        <v>0</v>
      </c>
      <c r="AP251" s="166">
        <v>0</v>
      </c>
      <c r="AQ251" s="166">
        <v>0</v>
      </c>
      <c r="AR251" s="166">
        <v>1</v>
      </c>
      <c r="AS251" s="166">
        <v>0</v>
      </c>
      <c r="AT251" s="166">
        <v>0</v>
      </c>
      <c r="AU251" s="166">
        <v>0</v>
      </c>
      <c r="AV251" s="166">
        <v>0</v>
      </c>
      <c r="AW251" s="166">
        <v>0</v>
      </c>
      <c r="AX251" s="166">
        <v>0</v>
      </c>
      <c r="AY251" s="166">
        <v>0</v>
      </c>
      <c r="AZ251" s="166">
        <v>0</v>
      </c>
      <c r="BA251" s="166">
        <v>0</v>
      </c>
      <c r="BB251" s="166">
        <v>0</v>
      </c>
      <c r="BC251" s="166">
        <v>0</v>
      </c>
      <c r="BD251" s="166">
        <v>0</v>
      </c>
      <c r="BE251" s="166">
        <v>0</v>
      </c>
      <c r="BF251" s="166">
        <v>1</v>
      </c>
      <c r="BG251" s="166">
        <v>0</v>
      </c>
      <c r="BH251" s="166">
        <v>0</v>
      </c>
      <c r="BI251" s="166">
        <v>0</v>
      </c>
      <c r="BJ251" s="166">
        <v>0</v>
      </c>
      <c r="BK251" s="166">
        <v>0</v>
      </c>
      <c r="BL251" s="166">
        <v>0</v>
      </c>
      <c r="BM251" s="166">
        <v>0</v>
      </c>
      <c r="BN251" s="166">
        <v>0</v>
      </c>
      <c r="BO251" s="166">
        <v>0</v>
      </c>
      <c r="BP251" s="166">
        <v>0</v>
      </c>
      <c r="BQ251" s="81" t="s">
        <v>1758</v>
      </c>
      <c r="BZ251" s="81" t="s">
        <v>155</v>
      </c>
      <c r="CA251" s="81" t="s">
        <v>3976</v>
      </c>
      <c r="CC251" s="167">
        <v>0</v>
      </c>
      <c r="CD251" s="167">
        <f>N251</f>
        <v>1</v>
      </c>
      <c r="CE251" s="167">
        <v>0</v>
      </c>
      <c r="CF251" s="167">
        <v>0</v>
      </c>
      <c r="CG251" s="167">
        <v>0</v>
      </c>
      <c r="CH251" s="167">
        <v>0</v>
      </c>
      <c r="CI251" s="167">
        <v>0</v>
      </c>
      <c r="CJ251" s="167">
        <v>0</v>
      </c>
      <c r="CK251" s="167">
        <v>0</v>
      </c>
      <c r="CL251" s="167">
        <v>0</v>
      </c>
      <c r="CM251" s="167">
        <v>0</v>
      </c>
      <c r="CN251" s="167">
        <v>0</v>
      </c>
      <c r="CO251" s="167">
        <v>0</v>
      </c>
      <c r="CP251" s="167">
        <v>0</v>
      </c>
      <c r="CQ251" s="167">
        <v>0</v>
      </c>
      <c r="CR251" s="167">
        <v>0</v>
      </c>
      <c r="CS251" s="167">
        <v>0</v>
      </c>
      <c r="CT251" s="167">
        <v>0</v>
      </c>
      <c r="CU251" s="167">
        <v>0</v>
      </c>
      <c r="CV251" s="167">
        <v>0</v>
      </c>
      <c r="CW251" s="167">
        <v>0</v>
      </c>
      <c r="CX251" s="167">
        <f>SUM(CD251:CH251)</f>
        <v>1</v>
      </c>
      <c r="CY251" s="167">
        <f>SUM(CD251:CM251)</f>
        <v>1</v>
      </c>
    </row>
    <row r="252" spans="1:103" ht="12.75" customHeight="1" x14ac:dyDescent="0.2">
      <c r="A252" s="81">
        <v>365</v>
      </c>
      <c r="B252" s="165" t="s">
        <v>1908</v>
      </c>
      <c r="C252" s="165" t="s">
        <v>1947</v>
      </c>
      <c r="D252" s="165" t="s">
        <v>237</v>
      </c>
      <c r="E252" s="165" t="s">
        <v>1948</v>
      </c>
      <c r="F252" s="165" t="s">
        <v>1949</v>
      </c>
      <c r="G252" s="81">
        <v>530104</v>
      </c>
      <c r="H252" s="81">
        <v>177808</v>
      </c>
      <c r="I252" s="165" t="s">
        <v>240</v>
      </c>
      <c r="J252" s="349">
        <v>42228</v>
      </c>
      <c r="L252" s="166">
        <v>0</v>
      </c>
      <c r="M252" s="166">
        <v>439</v>
      </c>
      <c r="N252" s="166">
        <v>439</v>
      </c>
      <c r="O252" s="166">
        <v>491</v>
      </c>
      <c r="P252" s="166">
        <v>491</v>
      </c>
      <c r="Q252" s="81" t="s">
        <v>155</v>
      </c>
      <c r="R252" s="165" t="s">
        <v>1950</v>
      </c>
      <c r="S252" s="81" t="s">
        <v>509</v>
      </c>
      <c r="T252" s="349">
        <v>41691</v>
      </c>
      <c r="U252" s="349">
        <v>41877</v>
      </c>
      <c r="W252" s="81" t="s">
        <v>114</v>
      </c>
      <c r="Y252" s="81" t="s">
        <v>115</v>
      </c>
      <c r="Z252" s="81" t="s">
        <v>116</v>
      </c>
      <c r="AA252" s="81" t="s">
        <v>116</v>
      </c>
      <c r="AB252" s="81" t="s">
        <v>117</v>
      </c>
      <c r="AC252" s="166">
        <v>0.26300001144409202</v>
      </c>
      <c r="AD252" s="350">
        <v>42228</v>
      </c>
      <c r="AG252" s="81" t="s">
        <v>238</v>
      </c>
      <c r="AH252" s="81" t="s">
        <v>118</v>
      </c>
      <c r="AI252" s="81" t="s">
        <v>1951</v>
      </c>
      <c r="AK252" s="166">
        <v>0</v>
      </c>
      <c r="AL252" s="166">
        <v>44</v>
      </c>
      <c r="AM252" s="166">
        <v>0</v>
      </c>
      <c r="AN252" s="166">
        <v>395</v>
      </c>
      <c r="AO252" s="166">
        <v>0</v>
      </c>
      <c r="AP252" s="166">
        <v>119</v>
      </c>
      <c r="AQ252" s="166">
        <v>181</v>
      </c>
      <c r="AR252" s="166">
        <v>129</v>
      </c>
      <c r="AS252" s="166">
        <v>10</v>
      </c>
      <c r="AT252" s="166">
        <v>0</v>
      </c>
      <c r="AU252" s="166">
        <v>0</v>
      </c>
      <c r="AV252" s="166">
        <v>0</v>
      </c>
      <c r="AW252" s="166">
        <v>119</v>
      </c>
      <c r="AX252" s="166">
        <v>181</v>
      </c>
      <c r="AY252" s="166">
        <v>129</v>
      </c>
      <c r="AZ252" s="166">
        <v>10</v>
      </c>
      <c r="BA252" s="166">
        <v>0</v>
      </c>
      <c r="BB252" s="166">
        <v>0</v>
      </c>
      <c r="BC252" s="166">
        <v>0</v>
      </c>
      <c r="BD252" s="166">
        <v>0</v>
      </c>
      <c r="BE252" s="166">
        <v>0</v>
      </c>
      <c r="BF252" s="166">
        <v>0</v>
      </c>
      <c r="BG252" s="166">
        <v>0</v>
      </c>
      <c r="BH252" s="166">
        <v>0</v>
      </c>
      <c r="BI252" s="166">
        <v>0</v>
      </c>
      <c r="BJ252" s="166">
        <v>0</v>
      </c>
      <c r="BK252" s="166">
        <v>0</v>
      </c>
      <c r="BL252" s="166">
        <v>0</v>
      </c>
      <c r="BM252" s="166">
        <v>0</v>
      </c>
      <c r="BN252" s="166">
        <v>0</v>
      </c>
      <c r="BO252" s="166">
        <v>0</v>
      </c>
      <c r="BP252" s="166">
        <v>0</v>
      </c>
      <c r="BQ252" s="81" t="s">
        <v>1759</v>
      </c>
      <c r="BS252" s="81" t="s">
        <v>155</v>
      </c>
      <c r="BZ252" s="81" t="s">
        <v>155</v>
      </c>
      <c r="CA252" s="81">
        <v>12</v>
      </c>
      <c r="CC252" s="167">
        <v>0</v>
      </c>
      <c r="CD252" s="167">
        <v>0</v>
      </c>
      <c r="CE252" s="167">
        <v>0</v>
      </c>
      <c r="CF252" s="167">
        <v>0</v>
      </c>
      <c r="CG252" s="167">
        <v>290</v>
      </c>
      <c r="CH252" s="167">
        <v>149</v>
      </c>
      <c r="CI252" s="167">
        <v>0</v>
      </c>
      <c r="CJ252" s="167">
        <v>0</v>
      </c>
      <c r="CK252" s="167">
        <v>0</v>
      </c>
      <c r="CL252" s="167">
        <v>0</v>
      </c>
      <c r="CM252" s="167">
        <v>0</v>
      </c>
      <c r="CN252" s="167">
        <v>0</v>
      </c>
      <c r="CO252" s="167">
        <v>0</v>
      </c>
      <c r="CP252" s="167">
        <v>0</v>
      </c>
      <c r="CQ252" s="167">
        <v>0</v>
      </c>
      <c r="CR252" s="167">
        <v>0</v>
      </c>
      <c r="CS252" s="167">
        <v>0</v>
      </c>
      <c r="CT252" s="167">
        <v>0</v>
      </c>
      <c r="CU252" s="167">
        <v>0</v>
      </c>
      <c r="CV252" s="167">
        <v>0</v>
      </c>
      <c r="CW252" s="167">
        <v>0</v>
      </c>
      <c r="CX252" s="167">
        <f>SUM(CD252:CH252)</f>
        <v>439</v>
      </c>
      <c r="CY252" s="167">
        <f>SUM(CD252:CM252)</f>
        <v>439</v>
      </c>
    </row>
    <row r="253" spans="1:103" ht="12.75" customHeight="1" x14ac:dyDescent="0.2">
      <c r="A253" s="81">
        <v>365</v>
      </c>
      <c r="B253" s="165" t="s">
        <v>1908</v>
      </c>
      <c r="C253" s="165" t="s">
        <v>43</v>
      </c>
      <c r="D253" s="165" t="s">
        <v>237</v>
      </c>
      <c r="E253" s="165" t="s">
        <v>1948</v>
      </c>
      <c r="G253" s="81">
        <v>530104</v>
      </c>
      <c r="H253" s="81">
        <v>177808</v>
      </c>
      <c r="I253" s="165" t="s">
        <v>240</v>
      </c>
      <c r="J253" s="349">
        <v>42228</v>
      </c>
      <c r="L253" s="166">
        <v>0</v>
      </c>
      <c r="M253" s="166">
        <v>57</v>
      </c>
      <c r="N253" s="166">
        <v>57</v>
      </c>
      <c r="O253" s="166">
        <v>57</v>
      </c>
      <c r="P253" s="166">
        <v>57</v>
      </c>
      <c r="Q253" s="81" t="s">
        <v>155</v>
      </c>
      <c r="R253" s="165" t="s">
        <v>755</v>
      </c>
      <c r="S253" s="81" t="s">
        <v>1916</v>
      </c>
      <c r="T253" s="349">
        <v>41920</v>
      </c>
      <c r="U253" s="349">
        <v>42016</v>
      </c>
      <c r="W253" s="81" t="s">
        <v>114</v>
      </c>
      <c r="Y253" s="81" t="s">
        <v>115</v>
      </c>
      <c r="Z253" s="81" t="s">
        <v>116</v>
      </c>
      <c r="AA253" s="81" t="s">
        <v>116</v>
      </c>
      <c r="AB253" s="81" t="s">
        <v>117</v>
      </c>
      <c r="AC253" s="166">
        <v>1.4000000432133701E-2</v>
      </c>
      <c r="AD253" s="349">
        <v>42228</v>
      </c>
      <c r="AG253" s="81" t="s">
        <v>74</v>
      </c>
      <c r="AH253" s="81" t="s">
        <v>1913</v>
      </c>
      <c r="AI253" s="81" t="s">
        <v>1951</v>
      </c>
      <c r="AK253" s="166">
        <v>57</v>
      </c>
      <c r="AL253" s="166">
        <v>6</v>
      </c>
      <c r="AM253" s="166">
        <v>6</v>
      </c>
      <c r="AN253" s="166">
        <v>51</v>
      </c>
      <c r="AO253" s="166">
        <v>0</v>
      </c>
      <c r="AP253" s="166">
        <v>35</v>
      </c>
      <c r="AQ253" s="166">
        <v>22</v>
      </c>
      <c r="AR253" s="166">
        <v>0</v>
      </c>
      <c r="AS253" s="166">
        <v>0</v>
      </c>
      <c r="AT253" s="166">
        <v>0</v>
      </c>
      <c r="AU253" s="166">
        <v>0</v>
      </c>
      <c r="AV253" s="166">
        <v>0</v>
      </c>
      <c r="AW253" s="166">
        <v>35</v>
      </c>
      <c r="AX253" s="166">
        <v>22</v>
      </c>
      <c r="AY253" s="166">
        <v>0</v>
      </c>
      <c r="AZ253" s="166">
        <v>0</v>
      </c>
      <c r="BA253" s="166">
        <v>0</v>
      </c>
      <c r="BB253" s="166">
        <v>0</v>
      </c>
      <c r="BC253" s="166">
        <v>0</v>
      </c>
      <c r="BD253" s="166">
        <v>0</v>
      </c>
      <c r="BE253" s="166">
        <v>0</v>
      </c>
      <c r="BF253" s="166">
        <v>0</v>
      </c>
      <c r="BG253" s="166">
        <v>0</v>
      </c>
      <c r="BH253" s="166">
        <v>0</v>
      </c>
      <c r="BI253" s="166">
        <v>0</v>
      </c>
      <c r="BJ253" s="166">
        <v>0</v>
      </c>
      <c r="BK253" s="166">
        <v>0</v>
      </c>
      <c r="BL253" s="166">
        <v>0</v>
      </c>
      <c r="BM253" s="166">
        <v>0</v>
      </c>
      <c r="BN253" s="166">
        <v>0</v>
      </c>
      <c r="BO253" s="166">
        <v>0</v>
      </c>
      <c r="BP253" s="166">
        <v>0</v>
      </c>
      <c r="BQ253" s="81" t="s">
        <v>1759</v>
      </c>
      <c r="BS253" s="81" t="s">
        <v>155</v>
      </c>
      <c r="BZ253" s="81" t="s">
        <v>155</v>
      </c>
      <c r="CA253" s="81">
        <v>12</v>
      </c>
      <c r="CC253" s="167">
        <v>0</v>
      </c>
      <c r="CD253" s="167">
        <v>0</v>
      </c>
      <c r="CE253" s="167">
        <v>0</v>
      </c>
      <c r="CF253" s="167">
        <v>0</v>
      </c>
      <c r="CG253" s="167">
        <f>N253</f>
        <v>57</v>
      </c>
      <c r="CH253" s="167">
        <v>0</v>
      </c>
      <c r="CI253" s="167">
        <v>0</v>
      </c>
      <c r="CJ253" s="167">
        <v>0</v>
      </c>
      <c r="CK253" s="167">
        <v>0</v>
      </c>
      <c r="CL253" s="167">
        <v>0</v>
      </c>
      <c r="CM253" s="167">
        <v>0</v>
      </c>
      <c r="CN253" s="167">
        <v>0</v>
      </c>
      <c r="CO253" s="167">
        <v>0</v>
      </c>
      <c r="CP253" s="167">
        <v>0</v>
      </c>
      <c r="CQ253" s="167">
        <v>0</v>
      </c>
      <c r="CR253" s="167">
        <v>0</v>
      </c>
      <c r="CS253" s="167">
        <v>0</v>
      </c>
      <c r="CT253" s="167">
        <v>0</v>
      </c>
      <c r="CU253" s="167">
        <v>0</v>
      </c>
      <c r="CV253" s="167">
        <v>0</v>
      </c>
      <c r="CW253" s="167">
        <v>0</v>
      </c>
      <c r="CX253" s="167">
        <f>SUM(CD253:CH253)</f>
        <v>57</v>
      </c>
      <c r="CY253" s="167">
        <f>SUM(CD253:CM253)</f>
        <v>57</v>
      </c>
    </row>
    <row r="254" spans="1:103" ht="12.75" customHeight="1" x14ac:dyDescent="0.2">
      <c r="A254" s="81">
        <v>365</v>
      </c>
      <c r="B254" s="165" t="s">
        <v>1908</v>
      </c>
      <c r="C254" s="165" t="s">
        <v>1972</v>
      </c>
      <c r="D254" s="165" t="s">
        <v>237</v>
      </c>
      <c r="E254" s="165" t="s">
        <v>1948</v>
      </c>
      <c r="G254" s="81">
        <v>530104</v>
      </c>
      <c r="H254" s="81">
        <v>177808</v>
      </c>
      <c r="I254" s="165" t="s">
        <v>240</v>
      </c>
      <c r="J254" s="349">
        <v>42228</v>
      </c>
      <c r="L254" s="166">
        <v>2</v>
      </c>
      <c r="M254" s="166">
        <v>0</v>
      </c>
      <c r="N254" s="166">
        <v>-2</v>
      </c>
      <c r="O254" s="166">
        <v>0</v>
      </c>
      <c r="P254" s="166">
        <v>-2</v>
      </c>
      <c r="Q254" s="81" t="s">
        <v>155</v>
      </c>
      <c r="R254" s="165" t="s">
        <v>1973</v>
      </c>
      <c r="S254" s="81" t="s">
        <v>1916</v>
      </c>
      <c r="T254" s="349">
        <v>42536</v>
      </c>
      <c r="U254" s="349">
        <v>42542</v>
      </c>
      <c r="W254" s="81" t="s">
        <v>114</v>
      </c>
      <c r="Y254" s="81" t="s">
        <v>115</v>
      </c>
      <c r="Z254" s="81" t="s">
        <v>116</v>
      </c>
      <c r="AA254" s="81" t="s">
        <v>116</v>
      </c>
      <c r="AB254" s="81" t="s">
        <v>117</v>
      </c>
      <c r="AC254" s="166">
        <v>1.00000004749745E-3</v>
      </c>
      <c r="AD254" s="350">
        <v>42228</v>
      </c>
      <c r="AG254" s="81" t="s">
        <v>238</v>
      </c>
      <c r="AH254" s="81" t="s">
        <v>118</v>
      </c>
      <c r="AI254" s="81" t="s">
        <v>1951</v>
      </c>
      <c r="AK254" s="166">
        <v>0</v>
      </c>
      <c r="AM254" s="166">
        <v>0</v>
      </c>
      <c r="AO254" s="166">
        <v>0</v>
      </c>
      <c r="AP254" s="166">
        <v>-2</v>
      </c>
      <c r="AQ254" s="166">
        <v>0</v>
      </c>
      <c r="AR254" s="166">
        <v>0</v>
      </c>
      <c r="AS254" s="166">
        <v>0</v>
      </c>
      <c r="AT254" s="166">
        <v>0</v>
      </c>
      <c r="AU254" s="166">
        <v>0</v>
      </c>
      <c r="AV254" s="166">
        <v>0</v>
      </c>
      <c r="AW254" s="166">
        <v>-2</v>
      </c>
      <c r="AX254" s="166">
        <v>0</v>
      </c>
      <c r="AY254" s="166">
        <v>0</v>
      </c>
      <c r="AZ254" s="166">
        <v>0</v>
      </c>
      <c r="BA254" s="166">
        <v>0</v>
      </c>
      <c r="BB254" s="166">
        <v>0</v>
      </c>
      <c r="BC254" s="166">
        <v>0</v>
      </c>
      <c r="BD254" s="166">
        <v>0</v>
      </c>
      <c r="BE254" s="166">
        <v>0</v>
      </c>
      <c r="BF254" s="166">
        <v>0</v>
      </c>
      <c r="BG254" s="166">
        <v>0</v>
      </c>
      <c r="BH254" s="166">
        <v>0</v>
      </c>
      <c r="BI254" s="166">
        <v>0</v>
      </c>
      <c r="BJ254" s="166">
        <v>0</v>
      </c>
      <c r="BK254" s="166">
        <v>0</v>
      </c>
      <c r="BL254" s="166">
        <v>0</v>
      </c>
      <c r="BM254" s="166">
        <v>0</v>
      </c>
      <c r="BN254" s="166">
        <v>0</v>
      </c>
      <c r="BO254" s="166">
        <v>0</v>
      </c>
      <c r="BP254" s="166">
        <v>0</v>
      </c>
      <c r="BQ254" s="81" t="s">
        <v>1759</v>
      </c>
      <c r="BS254" s="81" t="s">
        <v>155</v>
      </c>
      <c r="BZ254" s="81" t="s">
        <v>155</v>
      </c>
      <c r="CA254" s="81">
        <v>12</v>
      </c>
      <c r="CC254" s="167">
        <v>0</v>
      </c>
      <c r="CD254" s="167">
        <v>0</v>
      </c>
      <c r="CE254" s="167">
        <v>0</v>
      </c>
      <c r="CF254" s="167">
        <v>0</v>
      </c>
      <c r="CG254" s="167">
        <f>N254</f>
        <v>-2</v>
      </c>
      <c r="CH254" s="167">
        <v>0</v>
      </c>
      <c r="CI254" s="167">
        <v>0</v>
      </c>
      <c r="CJ254" s="167">
        <v>0</v>
      </c>
      <c r="CK254" s="167">
        <v>0</v>
      </c>
      <c r="CL254" s="167">
        <v>0</v>
      </c>
      <c r="CM254" s="167">
        <v>0</v>
      </c>
      <c r="CN254" s="167">
        <v>0</v>
      </c>
      <c r="CO254" s="167">
        <v>0</v>
      </c>
      <c r="CP254" s="167">
        <v>0</v>
      </c>
      <c r="CQ254" s="167">
        <v>0</v>
      </c>
      <c r="CR254" s="167">
        <v>0</v>
      </c>
      <c r="CS254" s="167">
        <v>0</v>
      </c>
      <c r="CT254" s="167">
        <v>0</v>
      </c>
      <c r="CU254" s="167">
        <v>0</v>
      </c>
      <c r="CV254" s="167">
        <v>0</v>
      </c>
      <c r="CW254" s="167">
        <v>0</v>
      </c>
      <c r="CX254" s="167">
        <f>SUM(CD254:CH254)</f>
        <v>-2</v>
      </c>
      <c r="CY254" s="167">
        <f>SUM(CD254:CM254)</f>
        <v>-2</v>
      </c>
    </row>
    <row r="255" spans="1:103" ht="12.75" customHeight="1" x14ac:dyDescent="0.2">
      <c r="A255" s="81">
        <v>494</v>
      </c>
      <c r="B255" s="165" t="s">
        <v>1908</v>
      </c>
      <c r="C255" s="165" t="s">
        <v>330</v>
      </c>
      <c r="E255" s="165" t="s">
        <v>3342</v>
      </c>
      <c r="G255" s="81">
        <v>524885</v>
      </c>
      <c r="H255" s="81">
        <v>174590</v>
      </c>
      <c r="I255" s="165" t="s">
        <v>250</v>
      </c>
      <c r="J255" s="349">
        <v>42830</v>
      </c>
      <c r="L255" s="166">
        <v>0</v>
      </c>
      <c r="M255" s="166">
        <v>8</v>
      </c>
      <c r="N255" s="166">
        <v>8</v>
      </c>
      <c r="O255" s="166">
        <v>8</v>
      </c>
      <c r="P255" s="166">
        <v>8</v>
      </c>
      <c r="R255" s="165" t="s">
        <v>393</v>
      </c>
      <c r="S255" s="81" t="s">
        <v>113</v>
      </c>
      <c r="T255" s="349">
        <v>41864</v>
      </c>
      <c r="U255" s="349">
        <v>42181</v>
      </c>
      <c r="W255" s="81" t="s">
        <v>114</v>
      </c>
      <c r="Y255" s="81" t="s">
        <v>115</v>
      </c>
      <c r="Z255" s="81" t="s">
        <v>398</v>
      </c>
      <c r="AA255" s="81" t="s">
        <v>117</v>
      </c>
      <c r="AB255" s="81" t="s">
        <v>311</v>
      </c>
      <c r="AC255" s="166">
        <v>3.9999999105930301E-2</v>
      </c>
      <c r="AD255" s="349">
        <v>42830</v>
      </c>
      <c r="AE255" s="81" t="s">
        <v>155</v>
      </c>
      <c r="AG255" s="81" t="s">
        <v>238</v>
      </c>
      <c r="AH255" s="81" t="s">
        <v>118</v>
      </c>
      <c r="AK255" s="166">
        <v>0</v>
      </c>
      <c r="AM255" s="166">
        <v>0</v>
      </c>
      <c r="AO255" s="166">
        <v>0</v>
      </c>
      <c r="AP255" s="166">
        <v>2</v>
      </c>
      <c r="AQ255" s="166">
        <v>4</v>
      </c>
      <c r="AR255" s="166">
        <v>2</v>
      </c>
      <c r="AS255" s="166">
        <v>0</v>
      </c>
      <c r="AT255" s="166">
        <v>0</v>
      </c>
      <c r="AU255" s="166">
        <v>0</v>
      </c>
      <c r="AV255" s="166">
        <v>0</v>
      </c>
      <c r="AW255" s="166">
        <v>2</v>
      </c>
      <c r="AX255" s="166">
        <v>4</v>
      </c>
      <c r="AY255" s="166">
        <v>2</v>
      </c>
      <c r="AZ255" s="166">
        <v>0</v>
      </c>
      <c r="BA255" s="166">
        <v>0</v>
      </c>
      <c r="BB255" s="166">
        <v>0</v>
      </c>
      <c r="BC255" s="166">
        <v>0</v>
      </c>
      <c r="BD255" s="166">
        <v>0</v>
      </c>
      <c r="BE255" s="166">
        <v>0</v>
      </c>
      <c r="BF255" s="166">
        <v>0</v>
      </c>
      <c r="BG255" s="166">
        <v>0</v>
      </c>
      <c r="BH255" s="166">
        <v>0</v>
      </c>
      <c r="BI255" s="166">
        <v>0</v>
      </c>
      <c r="BJ255" s="166">
        <v>0</v>
      </c>
      <c r="BK255" s="166">
        <v>0</v>
      </c>
      <c r="BL255" s="166">
        <v>0</v>
      </c>
      <c r="BM255" s="166">
        <v>0</v>
      </c>
      <c r="BN255" s="166">
        <v>0</v>
      </c>
      <c r="BO255" s="166">
        <v>0</v>
      </c>
      <c r="BP255" s="166">
        <v>0</v>
      </c>
      <c r="BQ255" s="81" t="s">
        <v>1758</v>
      </c>
      <c r="BZ255" s="81" t="s">
        <v>155</v>
      </c>
      <c r="CA255" s="81" t="s">
        <v>3980</v>
      </c>
      <c r="CC255" s="167">
        <v>0</v>
      </c>
      <c r="CD255" s="167">
        <f>N255</f>
        <v>8</v>
      </c>
      <c r="CE255" s="167">
        <v>0</v>
      </c>
      <c r="CF255" s="167">
        <v>0</v>
      </c>
      <c r="CG255" s="167">
        <v>0</v>
      </c>
      <c r="CH255" s="167">
        <v>0</v>
      </c>
      <c r="CI255" s="167">
        <v>0</v>
      </c>
      <c r="CJ255" s="167">
        <v>0</v>
      </c>
      <c r="CK255" s="167">
        <v>0</v>
      </c>
      <c r="CL255" s="167">
        <v>0</v>
      </c>
      <c r="CM255" s="167">
        <v>0</v>
      </c>
      <c r="CN255" s="167">
        <v>0</v>
      </c>
      <c r="CO255" s="167">
        <v>0</v>
      </c>
      <c r="CP255" s="167">
        <v>0</v>
      </c>
      <c r="CQ255" s="167">
        <v>0</v>
      </c>
      <c r="CR255" s="167">
        <v>0</v>
      </c>
      <c r="CS255" s="167">
        <v>0</v>
      </c>
      <c r="CT255" s="167">
        <v>0</v>
      </c>
      <c r="CU255" s="167">
        <v>0</v>
      </c>
      <c r="CV255" s="167">
        <v>0</v>
      </c>
      <c r="CW255" s="167">
        <v>0</v>
      </c>
      <c r="CX255" s="167">
        <f>SUM(CD255:CH255)</f>
        <v>8</v>
      </c>
      <c r="CY255" s="167">
        <f>SUM(CD255:CM255)</f>
        <v>8</v>
      </c>
    </row>
    <row r="256" spans="1:103" ht="12.75" customHeight="1" x14ac:dyDescent="0.2">
      <c r="A256" s="81">
        <v>548</v>
      </c>
      <c r="B256" s="165" t="s">
        <v>1908</v>
      </c>
      <c r="C256" s="165" t="s">
        <v>3343</v>
      </c>
      <c r="E256" s="165" t="s">
        <v>3344</v>
      </c>
      <c r="G256" s="81">
        <v>527240</v>
      </c>
      <c r="H256" s="81">
        <v>171371</v>
      </c>
      <c r="I256" s="165" t="s">
        <v>242</v>
      </c>
      <c r="J256" s="349">
        <v>43173</v>
      </c>
      <c r="L256" s="166">
        <v>1</v>
      </c>
      <c r="M256" s="166">
        <v>3</v>
      </c>
      <c r="N256" s="166">
        <v>2</v>
      </c>
      <c r="O256" s="166">
        <v>3</v>
      </c>
      <c r="P256" s="166">
        <v>2</v>
      </c>
      <c r="R256" s="165" t="s">
        <v>3345</v>
      </c>
      <c r="S256" s="81" t="s">
        <v>113</v>
      </c>
      <c r="T256" s="349">
        <v>43021</v>
      </c>
      <c r="U256" s="349">
        <v>43077</v>
      </c>
      <c r="V256" s="81" t="s">
        <v>155</v>
      </c>
      <c r="W256" s="81" t="s">
        <v>114</v>
      </c>
      <c r="Y256" s="81" t="s">
        <v>115</v>
      </c>
      <c r="Z256" s="81" t="s">
        <v>398</v>
      </c>
      <c r="AA256" s="81" t="s">
        <v>117</v>
      </c>
      <c r="AB256" s="81" t="s">
        <v>120</v>
      </c>
      <c r="AC256" s="166">
        <v>1.9999999552965199E-2</v>
      </c>
      <c r="AD256" s="349">
        <v>43173</v>
      </c>
      <c r="AE256" s="81" t="s">
        <v>155</v>
      </c>
      <c r="AG256" s="81" t="s">
        <v>238</v>
      </c>
      <c r="AH256" s="81" t="s">
        <v>118</v>
      </c>
      <c r="AK256" s="166">
        <v>0</v>
      </c>
      <c r="AM256" s="166">
        <v>0</v>
      </c>
      <c r="AO256" s="166">
        <v>0</v>
      </c>
      <c r="AP256" s="166">
        <v>1</v>
      </c>
      <c r="AQ256" s="166">
        <v>1</v>
      </c>
      <c r="AR256" s="166">
        <v>1</v>
      </c>
      <c r="AS256" s="166">
        <v>-1</v>
      </c>
      <c r="AT256" s="166">
        <v>0</v>
      </c>
      <c r="AU256" s="166">
        <v>0</v>
      </c>
      <c r="AV256" s="166">
        <v>0</v>
      </c>
      <c r="AW256" s="166">
        <v>1</v>
      </c>
      <c r="AX256" s="166">
        <v>1</v>
      </c>
      <c r="AY256" s="166">
        <v>1</v>
      </c>
      <c r="AZ256" s="166">
        <v>0</v>
      </c>
      <c r="BA256" s="166">
        <v>0</v>
      </c>
      <c r="BB256" s="166">
        <v>0</v>
      </c>
      <c r="BC256" s="166">
        <v>0</v>
      </c>
      <c r="BD256" s="166">
        <v>0</v>
      </c>
      <c r="BE256" s="166">
        <v>0</v>
      </c>
      <c r="BF256" s="166">
        <v>0</v>
      </c>
      <c r="BG256" s="166">
        <v>-1</v>
      </c>
      <c r="BH256" s="166">
        <v>0</v>
      </c>
      <c r="BI256" s="166">
        <v>0</v>
      </c>
      <c r="BJ256" s="166">
        <v>0</v>
      </c>
      <c r="BK256" s="166">
        <v>0</v>
      </c>
      <c r="BL256" s="166">
        <v>0</v>
      </c>
      <c r="BM256" s="166">
        <v>0</v>
      </c>
      <c r="BN256" s="166">
        <v>0</v>
      </c>
      <c r="BO256" s="166">
        <v>0</v>
      </c>
      <c r="BP256" s="166">
        <v>0</v>
      </c>
      <c r="BQ256" s="81" t="s">
        <v>1757</v>
      </c>
      <c r="BZ256" s="81" t="s">
        <v>155</v>
      </c>
      <c r="CA256" s="81" t="s">
        <v>3981</v>
      </c>
      <c r="CC256" s="167">
        <v>0</v>
      </c>
      <c r="CD256" s="167">
        <f>$N256/2</f>
        <v>1</v>
      </c>
      <c r="CE256" s="167">
        <f>$N256/2</f>
        <v>1</v>
      </c>
      <c r="CF256" s="167">
        <v>0</v>
      </c>
      <c r="CG256" s="167">
        <v>0</v>
      </c>
      <c r="CH256" s="167">
        <v>0</v>
      </c>
      <c r="CI256" s="167">
        <v>0</v>
      </c>
      <c r="CJ256" s="167">
        <v>0</v>
      </c>
      <c r="CK256" s="167">
        <v>0</v>
      </c>
      <c r="CL256" s="167">
        <v>0</v>
      </c>
      <c r="CM256" s="167">
        <v>0</v>
      </c>
      <c r="CN256" s="167">
        <v>0</v>
      </c>
      <c r="CO256" s="167">
        <v>0</v>
      </c>
      <c r="CP256" s="167">
        <v>0</v>
      </c>
      <c r="CQ256" s="167">
        <v>0</v>
      </c>
      <c r="CR256" s="167">
        <v>0</v>
      </c>
      <c r="CS256" s="167">
        <v>0</v>
      </c>
      <c r="CT256" s="167">
        <v>0</v>
      </c>
      <c r="CU256" s="167">
        <v>0</v>
      </c>
      <c r="CV256" s="167">
        <v>0</v>
      </c>
      <c r="CW256" s="167">
        <v>0</v>
      </c>
      <c r="CX256" s="167">
        <f>SUM(CD256:CH256)</f>
        <v>2</v>
      </c>
      <c r="CY256" s="167">
        <f>SUM(CD256:CM256)</f>
        <v>2</v>
      </c>
    </row>
    <row r="257" spans="1:103" ht="12.75" customHeight="1" x14ac:dyDescent="0.2">
      <c r="A257" s="81">
        <v>578</v>
      </c>
      <c r="B257" s="165" t="s">
        <v>1908</v>
      </c>
      <c r="C257" s="165" t="s">
        <v>1027</v>
      </c>
      <c r="E257" s="165" t="s">
        <v>3346</v>
      </c>
      <c r="G257" s="81">
        <v>527681</v>
      </c>
      <c r="H257" s="81">
        <v>175497</v>
      </c>
      <c r="I257" s="165" t="s">
        <v>256</v>
      </c>
      <c r="J257" s="349">
        <v>42655</v>
      </c>
      <c r="L257" s="166">
        <v>0</v>
      </c>
      <c r="M257" s="166">
        <v>3</v>
      </c>
      <c r="N257" s="166">
        <v>3</v>
      </c>
      <c r="O257" s="166">
        <v>3</v>
      </c>
      <c r="P257" s="166">
        <v>3</v>
      </c>
      <c r="R257" s="165" t="s">
        <v>1028</v>
      </c>
      <c r="S257" s="81" t="s">
        <v>270</v>
      </c>
      <c r="T257" s="349">
        <v>42550</v>
      </c>
      <c r="U257" s="349">
        <v>42606</v>
      </c>
      <c r="W257" s="81" t="s">
        <v>114</v>
      </c>
      <c r="Y257" s="81" t="s">
        <v>115</v>
      </c>
      <c r="Z257" s="81" t="s">
        <v>310</v>
      </c>
      <c r="AA257" s="81" t="s">
        <v>117</v>
      </c>
      <c r="AB257" s="81" t="s">
        <v>399</v>
      </c>
      <c r="AC257" s="166">
        <v>1.30000002682209E-2</v>
      </c>
      <c r="AD257" s="349">
        <v>42655</v>
      </c>
      <c r="AG257" s="81" t="s">
        <v>238</v>
      </c>
      <c r="AH257" s="81" t="s">
        <v>118</v>
      </c>
      <c r="AK257" s="166">
        <v>0</v>
      </c>
      <c r="AM257" s="166">
        <v>0</v>
      </c>
      <c r="AO257" s="166">
        <v>0</v>
      </c>
      <c r="AP257" s="166">
        <v>0</v>
      </c>
      <c r="AQ257" s="166">
        <v>3</v>
      </c>
      <c r="AR257" s="166">
        <v>0</v>
      </c>
      <c r="AS257" s="166">
        <v>0</v>
      </c>
      <c r="AT257" s="166">
        <v>0</v>
      </c>
      <c r="AU257" s="166">
        <v>0</v>
      </c>
      <c r="AV257" s="166">
        <v>0</v>
      </c>
      <c r="AW257" s="166">
        <v>0</v>
      </c>
      <c r="AX257" s="166">
        <v>3</v>
      </c>
      <c r="AY257" s="166">
        <v>0</v>
      </c>
      <c r="AZ257" s="166">
        <v>0</v>
      </c>
      <c r="BA257" s="166">
        <v>0</v>
      </c>
      <c r="BB257" s="166">
        <v>0</v>
      </c>
      <c r="BC257" s="166">
        <v>0</v>
      </c>
      <c r="BD257" s="166">
        <v>0</v>
      </c>
      <c r="BE257" s="166">
        <v>0</v>
      </c>
      <c r="BF257" s="166">
        <v>0</v>
      </c>
      <c r="BG257" s="166">
        <v>0</v>
      </c>
      <c r="BH257" s="166">
        <v>0</v>
      </c>
      <c r="BI257" s="166">
        <v>0</v>
      </c>
      <c r="BJ257" s="166">
        <v>0</v>
      </c>
      <c r="BK257" s="166">
        <v>0</v>
      </c>
      <c r="BL257" s="166">
        <v>0</v>
      </c>
      <c r="BM257" s="166">
        <v>0</v>
      </c>
      <c r="BN257" s="166">
        <v>0</v>
      </c>
      <c r="BO257" s="166">
        <v>0</v>
      </c>
      <c r="BP257" s="166">
        <v>0</v>
      </c>
      <c r="BQ257" s="81" t="s">
        <v>1757</v>
      </c>
      <c r="BR257" s="81" t="s">
        <v>160</v>
      </c>
      <c r="BZ257" s="81" t="s">
        <v>155</v>
      </c>
      <c r="CA257" s="81" t="s">
        <v>3980</v>
      </c>
      <c r="CC257" s="167">
        <v>0</v>
      </c>
      <c r="CD257" s="167">
        <f>N257</f>
        <v>3</v>
      </c>
      <c r="CE257" s="167">
        <v>0</v>
      </c>
      <c r="CF257" s="167">
        <v>0</v>
      </c>
      <c r="CG257" s="167">
        <v>0</v>
      </c>
      <c r="CH257" s="167">
        <v>0</v>
      </c>
      <c r="CI257" s="167">
        <v>0</v>
      </c>
      <c r="CJ257" s="167">
        <v>0</v>
      </c>
      <c r="CK257" s="167">
        <v>0</v>
      </c>
      <c r="CL257" s="167">
        <v>0</v>
      </c>
      <c r="CM257" s="167">
        <v>0</v>
      </c>
      <c r="CN257" s="167">
        <v>0</v>
      </c>
      <c r="CO257" s="167">
        <v>0</v>
      </c>
      <c r="CP257" s="167">
        <v>0</v>
      </c>
      <c r="CQ257" s="167">
        <v>0</v>
      </c>
      <c r="CR257" s="167">
        <v>0</v>
      </c>
      <c r="CS257" s="167">
        <v>0</v>
      </c>
      <c r="CT257" s="167">
        <v>0</v>
      </c>
      <c r="CU257" s="167">
        <v>0</v>
      </c>
      <c r="CV257" s="167">
        <v>0</v>
      </c>
      <c r="CW257" s="167">
        <v>0</v>
      </c>
      <c r="CX257" s="167">
        <f>SUM(CD257:CH257)</f>
        <v>3</v>
      </c>
      <c r="CY257" s="167">
        <f>SUM(CD257:CM257)</f>
        <v>3</v>
      </c>
    </row>
    <row r="258" spans="1:103" ht="12.75" customHeight="1" x14ac:dyDescent="0.2">
      <c r="A258" s="81">
        <v>687</v>
      </c>
      <c r="B258" s="165" t="s">
        <v>1908</v>
      </c>
      <c r="C258" s="165" t="s">
        <v>3347</v>
      </c>
      <c r="E258" s="165" t="s">
        <v>3348</v>
      </c>
      <c r="G258" s="81">
        <v>525881</v>
      </c>
      <c r="H258" s="81">
        <v>174991</v>
      </c>
      <c r="I258" s="165" t="s">
        <v>251</v>
      </c>
      <c r="J258" s="349">
        <v>43136</v>
      </c>
      <c r="L258" s="166">
        <v>1</v>
      </c>
      <c r="M258" s="166">
        <v>2</v>
      </c>
      <c r="N258" s="166">
        <v>1</v>
      </c>
      <c r="O258" s="166">
        <v>2</v>
      </c>
      <c r="P258" s="166">
        <v>1</v>
      </c>
      <c r="R258" s="165" t="s">
        <v>3349</v>
      </c>
      <c r="S258" s="81" t="s">
        <v>113</v>
      </c>
      <c r="T258" s="349">
        <v>43035</v>
      </c>
      <c r="U258" s="349">
        <v>43089</v>
      </c>
      <c r="V258" s="81" t="s">
        <v>155</v>
      </c>
      <c r="W258" s="81" t="s">
        <v>114</v>
      </c>
      <c r="Y258" s="81" t="s">
        <v>115</v>
      </c>
      <c r="Z258" s="81" t="s">
        <v>398</v>
      </c>
      <c r="AA258" s="81" t="s">
        <v>117</v>
      </c>
      <c r="AB258" s="81" t="s">
        <v>220</v>
      </c>
      <c r="AC258" s="166">
        <v>4.0000001899898104E-3</v>
      </c>
      <c r="AD258" s="349">
        <v>43136</v>
      </c>
      <c r="AE258" s="81" t="s">
        <v>155</v>
      </c>
      <c r="AG258" s="81" t="s">
        <v>238</v>
      </c>
      <c r="AH258" s="81" t="s">
        <v>118</v>
      </c>
      <c r="AK258" s="166">
        <v>0</v>
      </c>
      <c r="AM258" s="166">
        <v>0</v>
      </c>
      <c r="AO258" s="166">
        <v>2</v>
      </c>
      <c r="AP258" s="166">
        <v>0</v>
      </c>
      <c r="AQ258" s="166">
        <v>0</v>
      </c>
      <c r="AR258" s="166">
        <v>-1</v>
      </c>
      <c r="AS258" s="166">
        <v>0</v>
      </c>
      <c r="AT258" s="166">
        <v>0</v>
      </c>
      <c r="AU258" s="166">
        <v>0</v>
      </c>
      <c r="AV258" s="166">
        <v>2</v>
      </c>
      <c r="AW258" s="166">
        <v>0</v>
      </c>
      <c r="AX258" s="166">
        <v>0</v>
      </c>
      <c r="AY258" s="166">
        <v>-1</v>
      </c>
      <c r="AZ258" s="166">
        <v>0</v>
      </c>
      <c r="BA258" s="166">
        <v>0</v>
      </c>
      <c r="BB258" s="166">
        <v>0</v>
      </c>
      <c r="BC258" s="166">
        <v>0</v>
      </c>
      <c r="BD258" s="166">
        <v>0</v>
      </c>
      <c r="BE258" s="166">
        <v>0</v>
      </c>
      <c r="BF258" s="166">
        <v>0</v>
      </c>
      <c r="BG258" s="166">
        <v>0</v>
      </c>
      <c r="BH258" s="166">
        <v>0</v>
      </c>
      <c r="BI258" s="166">
        <v>0</v>
      </c>
      <c r="BJ258" s="166">
        <v>0</v>
      </c>
      <c r="BK258" s="166">
        <v>0</v>
      </c>
      <c r="BL258" s="166">
        <v>0</v>
      </c>
      <c r="BM258" s="166">
        <v>0</v>
      </c>
      <c r="BN258" s="166">
        <v>0</v>
      </c>
      <c r="BO258" s="166">
        <v>0</v>
      </c>
      <c r="BP258" s="166">
        <v>0</v>
      </c>
      <c r="BQ258" s="81" t="s">
        <v>1758</v>
      </c>
      <c r="BT258" s="81" t="s">
        <v>155</v>
      </c>
      <c r="BZ258" s="81" t="s">
        <v>155</v>
      </c>
      <c r="CA258" s="81" t="s">
        <v>3981</v>
      </c>
      <c r="CC258" s="167">
        <v>0</v>
      </c>
      <c r="CD258" s="167">
        <f>$N258/2</f>
        <v>0.5</v>
      </c>
      <c r="CE258" s="167">
        <f>$N258/2</f>
        <v>0.5</v>
      </c>
      <c r="CF258" s="167">
        <v>0</v>
      </c>
      <c r="CG258" s="167">
        <v>0</v>
      </c>
      <c r="CH258" s="167">
        <v>0</v>
      </c>
      <c r="CI258" s="167">
        <v>0</v>
      </c>
      <c r="CJ258" s="167">
        <v>0</v>
      </c>
      <c r="CK258" s="167">
        <v>0</v>
      </c>
      <c r="CL258" s="167">
        <v>0</v>
      </c>
      <c r="CM258" s="167">
        <v>0</v>
      </c>
      <c r="CN258" s="167">
        <v>0</v>
      </c>
      <c r="CO258" s="167">
        <v>0</v>
      </c>
      <c r="CP258" s="167">
        <v>0</v>
      </c>
      <c r="CQ258" s="167">
        <v>0</v>
      </c>
      <c r="CR258" s="167">
        <v>0</v>
      </c>
      <c r="CS258" s="167">
        <v>0</v>
      </c>
      <c r="CT258" s="167">
        <v>0</v>
      </c>
      <c r="CU258" s="167">
        <v>0</v>
      </c>
      <c r="CV258" s="167">
        <v>0</v>
      </c>
      <c r="CW258" s="167">
        <v>0</v>
      </c>
      <c r="CX258" s="167">
        <f>SUM(CD258:CH258)</f>
        <v>1</v>
      </c>
      <c r="CY258" s="167">
        <f>SUM(CD258:CM258)</f>
        <v>1</v>
      </c>
    </row>
    <row r="259" spans="1:103" ht="12.75" customHeight="1" x14ac:dyDescent="0.2">
      <c r="A259" s="81">
        <v>786</v>
      </c>
      <c r="B259" s="165" t="s">
        <v>1908</v>
      </c>
      <c r="C259" s="165" t="s">
        <v>3350</v>
      </c>
      <c r="E259" s="165" t="s">
        <v>2023</v>
      </c>
      <c r="G259" s="81">
        <v>529441</v>
      </c>
      <c r="H259" s="81">
        <v>171210</v>
      </c>
      <c r="I259" s="165" t="s">
        <v>252</v>
      </c>
      <c r="J259" s="349">
        <v>42979</v>
      </c>
      <c r="L259" s="166">
        <v>0</v>
      </c>
      <c r="M259" s="166">
        <v>4</v>
      </c>
      <c r="N259" s="166">
        <v>4</v>
      </c>
      <c r="O259" s="166">
        <v>4</v>
      </c>
      <c r="P259" s="166">
        <v>4</v>
      </c>
      <c r="R259" s="165" t="s">
        <v>3351</v>
      </c>
      <c r="S259" s="81" t="s">
        <v>113</v>
      </c>
      <c r="T259" s="349">
        <v>42898</v>
      </c>
      <c r="U259" s="349">
        <v>42961</v>
      </c>
      <c r="V259" s="81" t="s">
        <v>155</v>
      </c>
      <c r="W259" s="81" t="s">
        <v>114</v>
      </c>
      <c r="Y259" s="81" t="s">
        <v>115</v>
      </c>
      <c r="Z259" s="81" t="s">
        <v>398</v>
      </c>
      <c r="AA259" s="81" t="s">
        <v>117</v>
      </c>
      <c r="AB259" s="81" t="s">
        <v>311</v>
      </c>
      <c r="AC259" s="166">
        <v>4.1999999433755902E-2</v>
      </c>
      <c r="AD259" s="349">
        <v>42979</v>
      </c>
      <c r="AE259" s="81" t="s">
        <v>155</v>
      </c>
      <c r="AG259" s="81" t="s">
        <v>238</v>
      </c>
      <c r="AH259" s="81" t="s">
        <v>118</v>
      </c>
      <c r="AK259" s="166">
        <v>0</v>
      </c>
      <c r="AM259" s="166">
        <v>0</v>
      </c>
      <c r="AO259" s="166">
        <v>0</v>
      </c>
      <c r="AP259" s="166">
        <v>0</v>
      </c>
      <c r="AQ259" s="166">
        <v>3</v>
      </c>
      <c r="AR259" s="166">
        <v>1</v>
      </c>
      <c r="AS259" s="166">
        <v>0</v>
      </c>
      <c r="AT259" s="166">
        <v>0</v>
      </c>
      <c r="AU259" s="166">
        <v>0</v>
      </c>
      <c r="AV259" s="166">
        <v>0</v>
      </c>
      <c r="AW259" s="166">
        <v>0</v>
      </c>
      <c r="AX259" s="166">
        <v>3</v>
      </c>
      <c r="AY259" s="166">
        <v>1</v>
      </c>
      <c r="AZ259" s="166">
        <v>0</v>
      </c>
      <c r="BA259" s="166">
        <v>0</v>
      </c>
      <c r="BB259" s="166">
        <v>0</v>
      </c>
      <c r="BC259" s="166">
        <v>0</v>
      </c>
      <c r="BD259" s="166">
        <v>0</v>
      </c>
      <c r="BE259" s="166">
        <v>0</v>
      </c>
      <c r="BF259" s="166">
        <v>0</v>
      </c>
      <c r="BG259" s="166">
        <v>0</v>
      </c>
      <c r="BH259" s="166">
        <v>0</v>
      </c>
      <c r="BI259" s="166">
        <v>0</v>
      </c>
      <c r="BJ259" s="166">
        <v>0</v>
      </c>
      <c r="BK259" s="166">
        <v>0</v>
      </c>
      <c r="BL259" s="166">
        <v>0</v>
      </c>
      <c r="BM259" s="166">
        <v>0</v>
      </c>
      <c r="BN259" s="166">
        <v>0</v>
      </c>
      <c r="BO259" s="166">
        <v>0</v>
      </c>
      <c r="BP259" s="166">
        <v>0</v>
      </c>
      <c r="BQ259" s="81" t="s">
        <v>1757</v>
      </c>
      <c r="BZ259" s="81" t="s">
        <v>155</v>
      </c>
      <c r="CA259" s="81" t="s">
        <v>3980</v>
      </c>
      <c r="CC259" s="167">
        <v>0</v>
      </c>
      <c r="CD259" s="167">
        <f>N259</f>
        <v>4</v>
      </c>
      <c r="CE259" s="167">
        <v>0</v>
      </c>
      <c r="CF259" s="167">
        <v>0</v>
      </c>
      <c r="CG259" s="167">
        <v>0</v>
      </c>
      <c r="CH259" s="167">
        <v>0</v>
      </c>
      <c r="CI259" s="167">
        <v>0</v>
      </c>
      <c r="CJ259" s="167">
        <v>0</v>
      </c>
      <c r="CK259" s="167">
        <v>0</v>
      </c>
      <c r="CL259" s="167">
        <v>0</v>
      </c>
      <c r="CM259" s="167">
        <v>0</v>
      </c>
      <c r="CN259" s="167">
        <v>0</v>
      </c>
      <c r="CO259" s="167">
        <v>0</v>
      </c>
      <c r="CP259" s="167">
        <v>0</v>
      </c>
      <c r="CQ259" s="167">
        <v>0</v>
      </c>
      <c r="CR259" s="167">
        <v>0</v>
      </c>
      <c r="CS259" s="167">
        <v>0</v>
      </c>
      <c r="CT259" s="167">
        <v>0</v>
      </c>
      <c r="CU259" s="167">
        <v>0</v>
      </c>
      <c r="CV259" s="167">
        <v>0</v>
      </c>
      <c r="CW259" s="167">
        <v>0</v>
      </c>
      <c r="CX259" s="167">
        <f>SUM(CD259:CH259)</f>
        <v>4</v>
      </c>
      <c r="CY259" s="167">
        <f>SUM(CD259:CM259)</f>
        <v>4</v>
      </c>
    </row>
    <row r="260" spans="1:103" ht="12.75" customHeight="1" x14ac:dyDescent="0.2">
      <c r="A260" s="81">
        <v>976</v>
      </c>
      <c r="B260" s="165" t="s">
        <v>1908</v>
      </c>
      <c r="C260" s="165" t="s">
        <v>1977</v>
      </c>
      <c r="E260" s="165" t="s">
        <v>1978</v>
      </c>
      <c r="G260" s="81">
        <v>527276</v>
      </c>
      <c r="H260" s="81">
        <v>174754</v>
      </c>
      <c r="I260" s="165" t="s">
        <v>255</v>
      </c>
      <c r="J260" s="349">
        <v>43031</v>
      </c>
      <c r="L260" s="166">
        <v>0</v>
      </c>
      <c r="M260" s="166">
        <v>3</v>
      </c>
      <c r="N260" s="166">
        <v>3</v>
      </c>
      <c r="O260" s="166">
        <v>3</v>
      </c>
      <c r="P260" s="166">
        <v>3</v>
      </c>
      <c r="R260" s="165" t="s">
        <v>1979</v>
      </c>
      <c r="S260" s="81" t="s">
        <v>113</v>
      </c>
      <c r="T260" s="349">
        <v>42991</v>
      </c>
      <c r="U260" s="349">
        <v>43186</v>
      </c>
      <c r="V260" s="81" t="s">
        <v>155</v>
      </c>
      <c r="W260" s="81" t="s">
        <v>114</v>
      </c>
      <c r="Y260" s="81" t="s">
        <v>115</v>
      </c>
      <c r="Z260" s="81" t="s">
        <v>116</v>
      </c>
      <c r="AA260" s="81" t="s">
        <v>117</v>
      </c>
      <c r="AB260" s="81" t="s">
        <v>218</v>
      </c>
      <c r="AC260" s="166">
        <v>1.2000000104308101E-2</v>
      </c>
      <c r="AD260" s="349">
        <v>43031</v>
      </c>
      <c r="AE260" s="81" t="s">
        <v>155</v>
      </c>
      <c r="AG260" s="81" t="s">
        <v>238</v>
      </c>
      <c r="AH260" s="81" t="s">
        <v>118</v>
      </c>
      <c r="AK260" s="166">
        <v>0</v>
      </c>
      <c r="AM260" s="166">
        <v>0</v>
      </c>
      <c r="AO260" s="166">
        <v>0</v>
      </c>
      <c r="AP260" s="166">
        <v>2</v>
      </c>
      <c r="AQ260" s="166">
        <v>1</v>
      </c>
      <c r="AR260" s="166">
        <v>0</v>
      </c>
      <c r="AS260" s="166">
        <v>0</v>
      </c>
      <c r="AT260" s="166">
        <v>0</v>
      </c>
      <c r="AU260" s="166">
        <v>0</v>
      </c>
      <c r="AV260" s="166">
        <v>0</v>
      </c>
      <c r="AW260" s="166">
        <v>2</v>
      </c>
      <c r="AX260" s="166">
        <v>1</v>
      </c>
      <c r="AY260" s="166">
        <v>0</v>
      </c>
      <c r="AZ260" s="166">
        <v>0</v>
      </c>
      <c r="BA260" s="166">
        <v>0</v>
      </c>
      <c r="BB260" s="166">
        <v>0</v>
      </c>
      <c r="BC260" s="166">
        <v>0</v>
      </c>
      <c r="BD260" s="166">
        <v>0</v>
      </c>
      <c r="BE260" s="166">
        <v>0</v>
      </c>
      <c r="BF260" s="166">
        <v>0</v>
      </c>
      <c r="BG260" s="166">
        <v>0</v>
      </c>
      <c r="BH260" s="166">
        <v>0</v>
      </c>
      <c r="BI260" s="166">
        <v>0</v>
      </c>
      <c r="BJ260" s="166">
        <v>0</v>
      </c>
      <c r="BK260" s="166">
        <v>0</v>
      </c>
      <c r="BL260" s="166">
        <v>0</v>
      </c>
      <c r="BM260" s="166">
        <v>0</v>
      </c>
      <c r="BN260" s="166">
        <v>0</v>
      </c>
      <c r="BO260" s="166">
        <v>0</v>
      </c>
      <c r="BP260" s="166">
        <v>0</v>
      </c>
      <c r="BQ260" s="81" t="s">
        <v>1757</v>
      </c>
      <c r="BZ260" s="81" t="s">
        <v>155</v>
      </c>
      <c r="CA260" s="81" t="s">
        <v>3977</v>
      </c>
      <c r="CC260" s="167">
        <v>0</v>
      </c>
      <c r="CD260" s="167">
        <f>$N260/2</f>
        <v>1.5</v>
      </c>
      <c r="CE260" s="167">
        <f>$N260/2</f>
        <v>1.5</v>
      </c>
      <c r="CF260" s="167">
        <v>0</v>
      </c>
      <c r="CG260" s="167">
        <v>0</v>
      </c>
      <c r="CH260" s="167">
        <v>0</v>
      </c>
      <c r="CI260" s="167">
        <v>0</v>
      </c>
      <c r="CJ260" s="167">
        <v>0</v>
      </c>
      <c r="CK260" s="167">
        <v>0</v>
      </c>
      <c r="CL260" s="167">
        <v>0</v>
      </c>
      <c r="CM260" s="167">
        <v>0</v>
      </c>
      <c r="CN260" s="167">
        <v>0</v>
      </c>
      <c r="CO260" s="167">
        <v>0</v>
      </c>
      <c r="CP260" s="167">
        <v>0</v>
      </c>
      <c r="CQ260" s="167">
        <v>0</v>
      </c>
      <c r="CR260" s="167">
        <v>0</v>
      </c>
      <c r="CS260" s="167">
        <v>0</v>
      </c>
      <c r="CT260" s="167">
        <v>0</v>
      </c>
      <c r="CU260" s="167">
        <v>0</v>
      </c>
      <c r="CV260" s="167">
        <v>0</v>
      </c>
      <c r="CW260" s="167">
        <v>0</v>
      </c>
      <c r="CX260" s="167">
        <f>SUM(CD260:CH260)</f>
        <v>3</v>
      </c>
      <c r="CY260" s="167">
        <f>SUM(CD260:CM260)</f>
        <v>3</v>
      </c>
    </row>
    <row r="261" spans="1:103" ht="12.75" customHeight="1" x14ac:dyDescent="0.2">
      <c r="A261" s="81">
        <v>1244</v>
      </c>
      <c r="B261" s="165" t="s">
        <v>1908</v>
      </c>
      <c r="C261" s="165" t="s">
        <v>3353</v>
      </c>
      <c r="E261" s="165" t="s">
        <v>3354</v>
      </c>
      <c r="G261" s="81">
        <v>527204</v>
      </c>
      <c r="H261" s="81">
        <v>176540</v>
      </c>
      <c r="I261" s="165" t="s">
        <v>257</v>
      </c>
      <c r="J261" s="349">
        <v>43110</v>
      </c>
      <c r="L261" s="166">
        <v>1</v>
      </c>
      <c r="M261" s="166">
        <v>2</v>
      </c>
      <c r="N261" s="166">
        <v>1</v>
      </c>
      <c r="O261" s="166">
        <v>2</v>
      </c>
      <c r="P261" s="166">
        <v>1</v>
      </c>
      <c r="R261" s="165" t="s">
        <v>3355</v>
      </c>
      <c r="S261" s="81" t="s">
        <v>113</v>
      </c>
      <c r="T261" s="349">
        <v>42844</v>
      </c>
      <c r="U261" s="349">
        <v>42900</v>
      </c>
      <c r="V261" s="81" t="s">
        <v>155</v>
      </c>
      <c r="W261" s="81" t="s">
        <v>114</v>
      </c>
      <c r="Y261" s="81" t="s">
        <v>115</v>
      </c>
      <c r="Z261" s="81" t="s">
        <v>398</v>
      </c>
      <c r="AA261" s="81" t="s">
        <v>117</v>
      </c>
      <c r="AB261" s="81" t="s">
        <v>220</v>
      </c>
      <c r="AC261" s="166">
        <v>2.9999999329447701E-2</v>
      </c>
      <c r="AD261" s="349">
        <v>43110</v>
      </c>
      <c r="AE261" s="81" t="s">
        <v>155</v>
      </c>
      <c r="AG261" s="81" t="s">
        <v>238</v>
      </c>
      <c r="AH261" s="81" t="s">
        <v>118</v>
      </c>
      <c r="AK261" s="166">
        <v>0</v>
      </c>
      <c r="AM261" s="166">
        <v>0</v>
      </c>
      <c r="AO261" s="166">
        <v>0</v>
      </c>
      <c r="AP261" s="166">
        <v>0</v>
      </c>
      <c r="AQ261" s="166">
        <v>0</v>
      </c>
      <c r="AR261" s="166">
        <v>2</v>
      </c>
      <c r="AS261" s="166">
        <v>0</v>
      </c>
      <c r="AT261" s="166">
        <v>-1</v>
      </c>
      <c r="AU261" s="166">
        <v>0</v>
      </c>
      <c r="AV261" s="166">
        <v>0</v>
      </c>
      <c r="AW261" s="166">
        <v>0</v>
      </c>
      <c r="AX261" s="166">
        <v>0</v>
      </c>
      <c r="AY261" s="166">
        <v>0</v>
      </c>
      <c r="AZ261" s="166">
        <v>0</v>
      </c>
      <c r="BA261" s="166">
        <v>0</v>
      </c>
      <c r="BB261" s="166">
        <v>0</v>
      </c>
      <c r="BC261" s="166">
        <v>0</v>
      </c>
      <c r="BD261" s="166">
        <v>0</v>
      </c>
      <c r="BE261" s="166">
        <v>0</v>
      </c>
      <c r="BF261" s="166">
        <v>2</v>
      </c>
      <c r="BG261" s="166">
        <v>0</v>
      </c>
      <c r="BH261" s="166">
        <v>-1</v>
      </c>
      <c r="BI261" s="166">
        <v>0</v>
      </c>
      <c r="BJ261" s="166">
        <v>0</v>
      </c>
      <c r="BK261" s="166">
        <v>0</v>
      </c>
      <c r="BL261" s="166">
        <v>0</v>
      </c>
      <c r="BM261" s="166">
        <v>0</v>
      </c>
      <c r="BN261" s="166">
        <v>0</v>
      </c>
      <c r="BO261" s="166">
        <v>0</v>
      </c>
      <c r="BP261" s="166">
        <v>0</v>
      </c>
      <c r="BQ261" s="81" t="s">
        <v>1757</v>
      </c>
      <c r="BZ261" s="81" t="s">
        <v>155</v>
      </c>
      <c r="CA261" s="81" t="s">
        <v>3981</v>
      </c>
      <c r="CC261" s="167">
        <v>0</v>
      </c>
      <c r="CD261" s="167">
        <f>$N261/2</f>
        <v>0.5</v>
      </c>
      <c r="CE261" s="167">
        <f>$N261/2</f>
        <v>0.5</v>
      </c>
      <c r="CF261" s="167">
        <v>0</v>
      </c>
      <c r="CG261" s="167">
        <v>0</v>
      </c>
      <c r="CH261" s="167">
        <v>0</v>
      </c>
      <c r="CI261" s="167">
        <v>0</v>
      </c>
      <c r="CJ261" s="167">
        <v>0</v>
      </c>
      <c r="CK261" s="167">
        <v>0</v>
      </c>
      <c r="CL261" s="167">
        <v>0</v>
      </c>
      <c r="CM261" s="167">
        <v>0</v>
      </c>
      <c r="CN261" s="167">
        <v>0</v>
      </c>
      <c r="CO261" s="167">
        <v>0</v>
      </c>
      <c r="CP261" s="167">
        <v>0</v>
      </c>
      <c r="CQ261" s="167">
        <v>0</v>
      </c>
      <c r="CR261" s="167">
        <v>0</v>
      </c>
      <c r="CS261" s="167">
        <v>0</v>
      </c>
      <c r="CT261" s="167">
        <v>0</v>
      </c>
      <c r="CU261" s="167">
        <v>0</v>
      </c>
      <c r="CV261" s="167">
        <v>0</v>
      </c>
      <c r="CW261" s="167">
        <v>0</v>
      </c>
      <c r="CX261" s="167">
        <f>SUM(CD261:CH261)</f>
        <v>1</v>
      </c>
      <c r="CY261" s="167">
        <f>SUM(CD261:CM261)</f>
        <v>1</v>
      </c>
    </row>
    <row r="262" spans="1:103" ht="12.75" customHeight="1" x14ac:dyDescent="0.2">
      <c r="A262" s="81">
        <v>1515</v>
      </c>
      <c r="B262" s="165" t="s">
        <v>1908</v>
      </c>
      <c r="C262" s="165" t="s">
        <v>1007</v>
      </c>
      <c r="E262" s="165" t="s">
        <v>1980</v>
      </c>
      <c r="G262" s="81">
        <v>527960</v>
      </c>
      <c r="H262" s="81">
        <v>174047</v>
      </c>
      <c r="I262" s="165" t="s">
        <v>247</v>
      </c>
      <c r="J262" s="349">
        <v>42755</v>
      </c>
      <c r="L262" s="166">
        <v>1</v>
      </c>
      <c r="M262" s="166">
        <v>1</v>
      </c>
      <c r="N262" s="166">
        <v>0</v>
      </c>
      <c r="O262" s="166">
        <v>1</v>
      </c>
      <c r="P262" s="166">
        <v>0</v>
      </c>
      <c r="R262" s="165" t="s">
        <v>1008</v>
      </c>
      <c r="S262" s="81" t="s">
        <v>113</v>
      </c>
      <c r="T262" s="349">
        <v>42506</v>
      </c>
      <c r="U262" s="349">
        <v>42562</v>
      </c>
      <c r="W262" s="81" t="s">
        <v>114</v>
      </c>
      <c r="Y262" s="81" t="s">
        <v>115</v>
      </c>
      <c r="Z262" s="81" t="s">
        <v>116</v>
      </c>
      <c r="AA262" s="81" t="s">
        <v>117</v>
      </c>
      <c r="AB262" s="81" t="s">
        <v>218</v>
      </c>
      <c r="AC262" s="166">
        <v>5.6000001728534698E-2</v>
      </c>
      <c r="AD262" s="349">
        <v>42755</v>
      </c>
      <c r="AG262" s="81" t="s">
        <v>238</v>
      </c>
      <c r="AH262" s="81" t="s">
        <v>118</v>
      </c>
      <c r="AK262" s="166">
        <v>1</v>
      </c>
      <c r="AM262" s="166">
        <v>0</v>
      </c>
      <c r="AO262" s="166">
        <v>0</v>
      </c>
      <c r="AP262" s="166">
        <v>0</v>
      </c>
      <c r="AQ262" s="166">
        <v>0</v>
      </c>
      <c r="AR262" s="166">
        <v>0</v>
      </c>
      <c r="AS262" s="166">
        <v>-1</v>
      </c>
      <c r="AT262" s="166">
        <v>1</v>
      </c>
      <c r="AU262" s="166">
        <v>0</v>
      </c>
      <c r="AV262" s="166">
        <v>0</v>
      </c>
      <c r="AW262" s="166">
        <v>0</v>
      </c>
      <c r="AX262" s="166">
        <v>0</v>
      </c>
      <c r="AY262" s="166">
        <v>0</v>
      </c>
      <c r="AZ262" s="166">
        <v>0</v>
      </c>
      <c r="BA262" s="166">
        <v>0</v>
      </c>
      <c r="BB262" s="166">
        <v>0</v>
      </c>
      <c r="BC262" s="166">
        <v>0</v>
      </c>
      <c r="BD262" s="166">
        <v>0</v>
      </c>
      <c r="BE262" s="166">
        <v>0</v>
      </c>
      <c r="BF262" s="166">
        <v>0</v>
      </c>
      <c r="BG262" s="166">
        <v>-1</v>
      </c>
      <c r="BH262" s="166">
        <v>1</v>
      </c>
      <c r="BI262" s="166">
        <v>0</v>
      </c>
      <c r="BJ262" s="166">
        <v>0</v>
      </c>
      <c r="BK262" s="166">
        <v>0</v>
      </c>
      <c r="BL262" s="166">
        <v>0</v>
      </c>
      <c r="BM262" s="166">
        <v>0</v>
      </c>
      <c r="BN262" s="166">
        <v>0</v>
      </c>
      <c r="BO262" s="166">
        <v>0</v>
      </c>
      <c r="BP262" s="166">
        <v>0</v>
      </c>
      <c r="BQ262" s="81" t="s">
        <v>1757</v>
      </c>
      <c r="BZ262" s="81" t="s">
        <v>155</v>
      </c>
      <c r="CA262" s="81" t="s">
        <v>3976</v>
      </c>
      <c r="CC262" s="167">
        <v>0</v>
      </c>
      <c r="CD262" s="167">
        <f>N262</f>
        <v>0</v>
      </c>
      <c r="CE262" s="167">
        <v>0</v>
      </c>
      <c r="CF262" s="167">
        <v>0</v>
      </c>
      <c r="CG262" s="167">
        <v>0</v>
      </c>
      <c r="CH262" s="167">
        <v>0</v>
      </c>
      <c r="CI262" s="167">
        <v>0</v>
      </c>
      <c r="CJ262" s="167">
        <v>0</v>
      </c>
      <c r="CK262" s="167">
        <v>0</v>
      </c>
      <c r="CL262" s="167">
        <v>0</v>
      </c>
      <c r="CM262" s="167">
        <v>0</v>
      </c>
      <c r="CN262" s="167">
        <v>0</v>
      </c>
      <c r="CO262" s="167">
        <v>0</v>
      </c>
      <c r="CP262" s="167">
        <v>0</v>
      </c>
      <c r="CQ262" s="167">
        <v>0</v>
      </c>
      <c r="CR262" s="167">
        <v>0</v>
      </c>
      <c r="CS262" s="167">
        <v>0</v>
      </c>
      <c r="CT262" s="167">
        <v>0</v>
      </c>
      <c r="CU262" s="167">
        <v>0</v>
      </c>
      <c r="CV262" s="167">
        <v>0</v>
      </c>
      <c r="CW262" s="167">
        <v>0</v>
      </c>
      <c r="CX262" s="167">
        <f>SUM(CD262:CH262)</f>
        <v>0</v>
      </c>
      <c r="CY262" s="167">
        <f>SUM(CD262:CM262)</f>
        <v>0</v>
      </c>
    </row>
    <row r="263" spans="1:103" ht="12.75" customHeight="1" x14ac:dyDescent="0.2">
      <c r="A263" s="81">
        <v>1576</v>
      </c>
      <c r="B263" s="165" t="s">
        <v>1908</v>
      </c>
      <c r="C263" s="165" t="s">
        <v>374</v>
      </c>
      <c r="E263" s="165" t="s">
        <v>3357</v>
      </c>
      <c r="G263" s="81">
        <v>528559</v>
      </c>
      <c r="H263" s="81">
        <v>174195</v>
      </c>
      <c r="I263" s="165" t="s">
        <v>247</v>
      </c>
      <c r="J263" s="349">
        <v>42825</v>
      </c>
      <c r="L263" s="166">
        <v>1</v>
      </c>
      <c r="M263" s="166">
        <v>2</v>
      </c>
      <c r="N263" s="166">
        <v>1</v>
      </c>
      <c r="O263" s="166">
        <v>3</v>
      </c>
      <c r="P263" s="166">
        <v>2</v>
      </c>
      <c r="R263" s="165" t="s">
        <v>381</v>
      </c>
      <c r="S263" s="81" t="s">
        <v>113</v>
      </c>
      <c r="T263" s="349">
        <v>42020</v>
      </c>
      <c r="U263" s="349">
        <v>42115</v>
      </c>
      <c r="W263" s="81" t="s">
        <v>114</v>
      </c>
      <c r="Y263" s="81" t="s">
        <v>115</v>
      </c>
      <c r="Z263" s="81" t="s">
        <v>398</v>
      </c>
      <c r="AA263" s="81" t="s">
        <v>117</v>
      </c>
      <c r="AB263" s="81" t="s">
        <v>220</v>
      </c>
      <c r="AC263" s="166">
        <v>8.0000003799796104E-3</v>
      </c>
      <c r="AD263" s="349">
        <v>42825</v>
      </c>
      <c r="AG263" s="81" t="s">
        <v>238</v>
      </c>
      <c r="AH263" s="81" t="s">
        <v>118</v>
      </c>
      <c r="AK263" s="166">
        <v>0</v>
      </c>
      <c r="AM263" s="166">
        <v>0</v>
      </c>
      <c r="AO263" s="166">
        <v>0</v>
      </c>
      <c r="AP263" s="166">
        <v>1</v>
      </c>
      <c r="AQ263" s="166">
        <v>1</v>
      </c>
      <c r="AR263" s="166">
        <v>0</v>
      </c>
      <c r="AS263" s="166">
        <v>-1</v>
      </c>
      <c r="AT263" s="166">
        <v>0</v>
      </c>
      <c r="AU263" s="166">
        <v>0</v>
      </c>
      <c r="AV263" s="166">
        <v>0</v>
      </c>
      <c r="AW263" s="166">
        <v>1</v>
      </c>
      <c r="AX263" s="166">
        <v>1</v>
      </c>
      <c r="AY263" s="166">
        <v>0</v>
      </c>
      <c r="AZ263" s="166">
        <v>-1</v>
      </c>
      <c r="BA263" s="166">
        <v>0</v>
      </c>
      <c r="BB263" s="166">
        <v>0</v>
      </c>
      <c r="BC263" s="166">
        <v>0</v>
      </c>
      <c r="BD263" s="166">
        <v>0</v>
      </c>
      <c r="BE263" s="166">
        <v>0</v>
      </c>
      <c r="BF263" s="166">
        <v>0</v>
      </c>
      <c r="BG263" s="166">
        <v>0</v>
      </c>
      <c r="BH263" s="166">
        <v>0</v>
      </c>
      <c r="BI263" s="166">
        <v>0</v>
      </c>
      <c r="BJ263" s="166">
        <v>0</v>
      </c>
      <c r="BK263" s="166">
        <v>0</v>
      </c>
      <c r="BL263" s="166">
        <v>0</v>
      </c>
      <c r="BM263" s="166">
        <v>0</v>
      </c>
      <c r="BN263" s="166">
        <v>0</v>
      </c>
      <c r="BO263" s="166">
        <v>0</v>
      </c>
      <c r="BP263" s="166">
        <v>0</v>
      </c>
      <c r="BQ263" s="81" t="s">
        <v>1757</v>
      </c>
      <c r="BZ263" s="81" t="s">
        <v>155</v>
      </c>
      <c r="CA263" s="81" t="s">
        <v>3980</v>
      </c>
      <c r="CC263" s="167">
        <v>0</v>
      </c>
      <c r="CD263" s="167">
        <f>N263</f>
        <v>1</v>
      </c>
      <c r="CE263" s="167">
        <v>0</v>
      </c>
      <c r="CF263" s="167">
        <v>0</v>
      </c>
      <c r="CG263" s="167">
        <v>0</v>
      </c>
      <c r="CH263" s="167">
        <v>0</v>
      </c>
      <c r="CI263" s="167">
        <v>0</v>
      </c>
      <c r="CJ263" s="167">
        <v>0</v>
      </c>
      <c r="CK263" s="167">
        <v>0</v>
      </c>
      <c r="CL263" s="167">
        <v>0</v>
      </c>
      <c r="CM263" s="167">
        <v>0</v>
      </c>
      <c r="CN263" s="167">
        <v>0</v>
      </c>
      <c r="CO263" s="167">
        <v>0</v>
      </c>
      <c r="CP263" s="167">
        <v>0</v>
      </c>
      <c r="CQ263" s="167">
        <v>0</v>
      </c>
      <c r="CR263" s="167">
        <v>0</v>
      </c>
      <c r="CS263" s="167">
        <v>0</v>
      </c>
      <c r="CT263" s="167">
        <v>0</v>
      </c>
      <c r="CU263" s="167">
        <v>0</v>
      </c>
      <c r="CV263" s="167">
        <v>0</v>
      </c>
      <c r="CW263" s="167">
        <v>0</v>
      </c>
      <c r="CX263" s="167">
        <f>SUM(CD263:CH263)</f>
        <v>1</v>
      </c>
      <c r="CY263" s="167">
        <f>SUM(CD263:CM263)</f>
        <v>1</v>
      </c>
    </row>
    <row r="264" spans="1:103" ht="12.75" customHeight="1" x14ac:dyDescent="0.2">
      <c r="A264" s="81">
        <v>1576</v>
      </c>
      <c r="B264" s="165" t="s">
        <v>1908</v>
      </c>
      <c r="C264" s="165" t="s">
        <v>374</v>
      </c>
      <c r="E264" s="165" t="s">
        <v>3357</v>
      </c>
      <c r="G264" s="81">
        <v>528559</v>
      </c>
      <c r="H264" s="81">
        <v>174195</v>
      </c>
      <c r="I264" s="165" t="s">
        <v>247</v>
      </c>
      <c r="J264" s="349">
        <v>42825</v>
      </c>
      <c r="L264" s="166">
        <v>0</v>
      </c>
      <c r="M264" s="166">
        <v>1</v>
      </c>
      <c r="N264" s="166">
        <v>1</v>
      </c>
      <c r="O264" s="166">
        <v>3</v>
      </c>
      <c r="P264" s="166">
        <v>2</v>
      </c>
      <c r="R264" s="165" t="s">
        <v>381</v>
      </c>
      <c r="S264" s="81" t="s">
        <v>113</v>
      </c>
      <c r="T264" s="349">
        <v>42020</v>
      </c>
      <c r="U264" s="349">
        <v>42115</v>
      </c>
      <c r="W264" s="81" t="s">
        <v>114</v>
      </c>
      <c r="Y264" s="81" t="s">
        <v>115</v>
      </c>
      <c r="Z264" s="81" t="s">
        <v>398</v>
      </c>
      <c r="AA264" s="81" t="s">
        <v>117</v>
      </c>
      <c r="AB264" s="81" t="s">
        <v>218</v>
      </c>
      <c r="AC264" s="166">
        <v>8.0000003799796104E-3</v>
      </c>
      <c r="AD264" s="349">
        <v>42825</v>
      </c>
      <c r="AG264" s="81" t="s">
        <v>238</v>
      </c>
      <c r="AH264" s="81" t="s">
        <v>118</v>
      </c>
      <c r="AK264" s="166">
        <v>0</v>
      </c>
      <c r="AM264" s="166">
        <v>0</v>
      </c>
      <c r="AO264" s="166">
        <v>0</v>
      </c>
      <c r="AP264" s="166">
        <v>0</v>
      </c>
      <c r="AQ264" s="166">
        <v>0</v>
      </c>
      <c r="AR264" s="166">
        <v>1</v>
      </c>
      <c r="AS264" s="166">
        <v>0</v>
      </c>
      <c r="AT264" s="166">
        <v>0</v>
      </c>
      <c r="AU264" s="166">
        <v>0</v>
      </c>
      <c r="AV264" s="166">
        <v>0</v>
      </c>
      <c r="AW264" s="166">
        <v>0</v>
      </c>
      <c r="AX264" s="166">
        <v>0</v>
      </c>
      <c r="AY264" s="166">
        <v>1</v>
      </c>
      <c r="AZ264" s="166">
        <v>0</v>
      </c>
      <c r="BA264" s="166">
        <v>0</v>
      </c>
      <c r="BB264" s="166">
        <v>0</v>
      </c>
      <c r="BC264" s="166">
        <v>0</v>
      </c>
      <c r="BD264" s="166">
        <v>0</v>
      </c>
      <c r="BE264" s="166">
        <v>0</v>
      </c>
      <c r="BF264" s="166">
        <v>0</v>
      </c>
      <c r="BG264" s="166">
        <v>0</v>
      </c>
      <c r="BH264" s="166">
        <v>0</v>
      </c>
      <c r="BI264" s="166">
        <v>0</v>
      </c>
      <c r="BJ264" s="166">
        <v>0</v>
      </c>
      <c r="BK264" s="166">
        <v>0</v>
      </c>
      <c r="BL264" s="166">
        <v>0</v>
      </c>
      <c r="BM264" s="166">
        <v>0</v>
      </c>
      <c r="BN264" s="166">
        <v>0</v>
      </c>
      <c r="BO264" s="166">
        <v>0</v>
      </c>
      <c r="BP264" s="166">
        <v>0</v>
      </c>
      <c r="BQ264" s="81" t="s">
        <v>1757</v>
      </c>
      <c r="BZ264" s="81" t="s">
        <v>155</v>
      </c>
      <c r="CA264" s="81" t="s">
        <v>3980</v>
      </c>
      <c r="CC264" s="167">
        <v>0</v>
      </c>
      <c r="CD264" s="167">
        <f>N264</f>
        <v>1</v>
      </c>
      <c r="CE264" s="167">
        <v>0</v>
      </c>
      <c r="CF264" s="167">
        <v>0</v>
      </c>
      <c r="CG264" s="167">
        <v>0</v>
      </c>
      <c r="CH264" s="167">
        <v>0</v>
      </c>
      <c r="CI264" s="167">
        <v>0</v>
      </c>
      <c r="CJ264" s="167">
        <v>0</v>
      </c>
      <c r="CK264" s="167">
        <v>0</v>
      </c>
      <c r="CL264" s="167">
        <v>0</v>
      </c>
      <c r="CM264" s="167">
        <v>0</v>
      </c>
      <c r="CN264" s="167">
        <v>0</v>
      </c>
      <c r="CO264" s="167">
        <v>0</v>
      </c>
      <c r="CP264" s="167">
        <v>0</v>
      </c>
      <c r="CQ264" s="167">
        <v>0</v>
      </c>
      <c r="CR264" s="167">
        <v>0</v>
      </c>
      <c r="CS264" s="167">
        <v>0</v>
      </c>
      <c r="CT264" s="167">
        <v>0</v>
      </c>
      <c r="CU264" s="167">
        <v>0</v>
      </c>
      <c r="CV264" s="167">
        <v>0</v>
      </c>
      <c r="CW264" s="167">
        <v>0</v>
      </c>
      <c r="CX264" s="167">
        <f>SUM(CD264:CH264)</f>
        <v>1</v>
      </c>
      <c r="CY264" s="167">
        <f>SUM(CD264:CM264)</f>
        <v>1</v>
      </c>
    </row>
    <row r="265" spans="1:103" ht="12.75" customHeight="1" x14ac:dyDescent="0.2">
      <c r="A265" s="81">
        <v>1642</v>
      </c>
      <c r="B265" s="165" t="s">
        <v>1908</v>
      </c>
      <c r="C265" s="165" t="s">
        <v>101</v>
      </c>
      <c r="E265" s="165" t="s">
        <v>3358</v>
      </c>
      <c r="G265" s="81">
        <v>529269</v>
      </c>
      <c r="H265" s="81">
        <v>171759</v>
      </c>
      <c r="I265" s="165" t="s">
        <v>252</v>
      </c>
      <c r="J265" s="349">
        <v>42411</v>
      </c>
      <c r="L265" s="166">
        <v>0</v>
      </c>
      <c r="M265" s="166">
        <v>2</v>
      </c>
      <c r="N265" s="166">
        <v>2</v>
      </c>
      <c r="O265" s="166">
        <v>2</v>
      </c>
      <c r="P265" s="166">
        <v>2</v>
      </c>
      <c r="R265" s="165" t="s">
        <v>743</v>
      </c>
      <c r="S265" s="81" t="s">
        <v>113</v>
      </c>
      <c r="T265" s="349">
        <v>41250</v>
      </c>
      <c r="U265" s="349">
        <v>41353</v>
      </c>
      <c r="W265" s="81" t="s">
        <v>114</v>
      </c>
      <c r="Y265" s="81" t="s">
        <v>115</v>
      </c>
      <c r="Z265" s="81" t="s">
        <v>398</v>
      </c>
      <c r="AA265" s="81" t="s">
        <v>117</v>
      </c>
      <c r="AB265" s="81" t="s">
        <v>218</v>
      </c>
      <c r="AC265" s="166">
        <v>7.8000001609325395E-2</v>
      </c>
      <c r="AD265" s="349">
        <v>42411</v>
      </c>
      <c r="AG265" s="81" t="s">
        <v>238</v>
      </c>
      <c r="AH265" s="81" t="s">
        <v>118</v>
      </c>
      <c r="AK265" s="166">
        <v>0</v>
      </c>
      <c r="AM265" s="166">
        <v>0</v>
      </c>
      <c r="AO265" s="166">
        <v>0</v>
      </c>
      <c r="AP265" s="166">
        <v>0</v>
      </c>
      <c r="AQ265" s="166">
        <v>1</v>
      </c>
      <c r="AR265" s="166">
        <v>1</v>
      </c>
      <c r="AS265" s="166">
        <v>0</v>
      </c>
      <c r="AT265" s="166">
        <v>0</v>
      </c>
      <c r="AU265" s="166">
        <v>0</v>
      </c>
      <c r="AV265" s="166">
        <v>0</v>
      </c>
      <c r="AW265" s="166">
        <v>0</v>
      </c>
      <c r="AX265" s="166">
        <v>1</v>
      </c>
      <c r="AY265" s="166">
        <v>0</v>
      </c>
      <c r="AZ265" s="166">
        <v>0</v>
      </c>
      <c r="BA265" s="166">
        <v>0</v>
      </c>
      <c r="BB265" s="166">
        <v>0</v>
      </c>
      <c r="BC265" s="166">
        <v>0</v>
      </c>
      <c r="BD265" s="166">
        <v>0</v>
      </c>
      <c r="BE265" s="166">
        <v>0</v>
      </c>
      <c r="BF265" s="166">
        <v>0</v>
      </c>
      <c r="BG265" s="166">
        <v>0</v>
      </c>
      <c r="BH265" s="166">
        <v>0</v>
      </c>
      <c r="BI265" s="166">
        <v>0</v>
      </c>
      <c r="BJ265" s="166">
        <v>0</v>
      </c>
      <c r="BK265" s="166">
        <v>0</v>
      </c>
      <c r="BL265" s="166">
        <v>0</v>
      </c>
      <c r="BM265" s="166">
        <v>1</v>
      </c>
      <c r="BN265" s="166">
        <v>0</v>
      </c>
      <c r="BO265" s="166">
        <v>0</v>
      </c>
      <c r="BP265" s="166">
        <v>0</v>
      </c>
      <c r="BQ265" s="81" t="s">
        <v>1757</v>
      </c>
      <c r="BZ265" s="81" t="s">
        <v>155</v>
      </c>
      <c r="CA265" s="81" t="s">
        <v>3980</v>
      </c>
      <c r="CC265" s="167">
        <v>0</v>
      </c>
      <c r="CD265" s="167">
        <f>N265</f>
        <v>2</v>
      </c>
      <c r="CE265" s="167">
        <v>0</v>
      </c>
      <c r="CF265" s="167">
        <v>0</v>
      </c>
      <c r="CG265" s="167">
        <v>0</v>
      </c>
      <c r="CH265" s="167">
        <v>0</v>
      </c>
      <c r="CI265" s="167">
        <v>0</v>
      </c>
      <c r="CJ265" s="167">
        <v>0</v>
      </c>
      <c r="CK265" s="167">
        <v>0</v>
      </c>
      <c r="CL265" s="167">
        <v>0</v>
      </c>
      <c r="CM265" s="167">
        <v>0</v>
      </c>
      <c r="CN265" s="167">
        <v>0</v>
      </c>
      <c r="CO265" s="167">
        <v>0</v>
      </c>
      <c r="CP265" s="167">
        <v>0</v>
      </c>
      <c r="CQ265" s="167">
        <v>0</v>
      </c>
      <c r="CR265" s="167">
        <v>0</v>
      </c>
      <c r="CS265" s="167">
        <v>0</v>
      </c>
      <c r="CT265" s="167">
        <v>0</v>
      </c>
      <c r="CU265" s="167">
        <v>0</v>
      </c>
      <c r="CV265" s="167">
        <v>0</v>
      </c>
      <c r="CW265" s="167">
        <v>0</v>
      </c>
      <c r="CX265" s="167">
        <f>SUM(CD265:CH265)</f>
        <v>2</v>
      </c>
      <c r="CY265" s="167">
        <f>SUM(CD265:CM265)</f>
        <v>2</v>
      </c>
    </row>
    <row r="266" spans="1:103" ht="12.75" customHeight="1" x14ac:dyDescent="0.2">
      <c r="A266" s="81">
        <v>1882</v>
      </c>
      <c r="B266" s="165" t="s">
        <v>1908</v>
      </c>
      <c r="C266" s="165" t="s">
        <v>544</v>
      </c>
      <c r="E266" s="165" t="s">
        <v>1981</v>
      </c>
      <c r="G266" s="81">
        <v>525371</v>
      </c>
      <c r="H266" s="81">
        <v>174659</v>
      </c>
      <c r="I266" s="165" t="s">
        <v>258</v>
      </c>
      <c r="J266" s="349">
        <v>42825</v>
      </c>
      <c r="L266" s="166">
        <v>0</v>
      </c>
      <c r="M266" s="166">
        <v>1</v>
      </c>
      <c r="N266" s="166">
        <v>1</v>
      </c>
      <c r="O266" s="166">
        <v>1</v>
      </c>
      <c r="P266" s="166">
        <v>1</v>
      </c>
      <c r="R266" s="165" t="s">
        <v>910</v>
      </c>
      <c r="S266" s="81" t="s">
        <v>113</v>
      </c>
      <c r="T266" s="349">
        <v>42130</v>
      </c>
      <c r="U266" s="349">
        <v>42319</v>
      </c>
      <c r="W266" s="81" t="s">
        <v>114</v>
      </c>
      <c r="Y266" s="81" t="s">
        <v>115</v>
      </c>
      <c r="Z266" s="81" t="s">
        <v>116</v>
      </c>
      <c r="AA266" s="81" t="s">
        <v>117</v>
      </c>
      <c r="AB266" s="81" t="s">
        <v>218</v>
      </c>
      <c r="AC266" s="166">
        <v>4.0000001899898104E-3</v>
      </c>
      <c r="AD266" s="349">
        <v>42825</v>
      </c>
      <c r="AG266" s="81" t="s">
        <v>238</v>
      </c>
      <c r="AH266" s="81" t="s">
        <v>118</v>
      </c>
      <c r="AK266" s="166">
        <v>0</v>
      </c>
      <c r="AM266" s="166">
        <v>0</v>
      </c>
      <c r="AO266" s="166">
        <v>0</v>
      </c>
      <c r="AP266" s="166">
        <v>0</v>
      </c>
      <c r="AQ266" s="166">
        <v>0</v>
      </c>
      <c r="AR266" s="166">
        <v>1</v>
      </c>
      <c r="AS266" s="166">
        <v>0</v>
      </c>
      <c r="AT266" s="166">
        <v>0</v>
      </c>
      <c r="AU266" s="166">
        <v>0</v>
      </c>
      <c r="AV266" s="166">
        <v>0</v>
      </c>
      <c r="AW266" s="166">
        <v>0</v>
      </c>
      <c r="AX266" s="166">
        <v>0</v>
      </c>
      <c r="AY266" s="166">
        <v>1</v>
      </c>
      <c r="AZ266" s="166">
        <v>0</v>
      </c>
      <c r="BA266" s="166">
        <v>0</v>
      </c>
      <c r="BB266" s="166">
        <v>0</v>
      </c>
      <c r="BC266" s="166">
        <v>0</v>
      </c>
      <c r="BD266" s="166">
        <v>0</v>
      </c>
      <c r="BE266" s="166">
        <v>0</v>
      </c>
      <c r="BF266" s="166">
        <v>0</v>
      </c>
      <c r="BG266" s="166">
        <v>0</v>
      </c>
      <c r="BH266" s="166">
        <v>0</v>
      </c>
      <c r="BI266" s="166">
        <v>0</v>
      </c>
      <c r="BJ266" s="166">
        <v>0</v>
      </c>
      <c r="BK266" s="166">
        <v>0</v>
      </c>
      <c r="BL266" s="166">
        <v>0</v>
      </c>
      <c r="BM266" s="166">
        <v>0</v>
      </c>
      <c r="BN266" s="166">
        <v>0</v>
      </c>
      <c r="BO266" s="166">
        <v>0</v>
      </c>
      <c r="BP266" s="166">
        <v>0</v>
      </c>
      <c r="BQ266" s="81" t="s">
        <v>1758</v>
      </c>
      <c r="BR266" s="81" t="s">
        <v>202</v>
      </c>
      <c r="BT266" s="81" t="s">
        <v>155</v>
      </c>
      <c r="BZ266" s="81" t="s">
        <v>155</v>
      </c>
      <c r="CA266" s="81" t="s">
        <v>3976</v>
      </c>
      <c r="CC266" s="167">
        <v>0</v>
      </c>
      <c r="CD266" s="167">
        <f>N266</f>
        <v>1</v>
      </c>
      <c r="CE266" s="167">
        <v>0</v>
      </c>
      <c r="CF266" s="167">
        <v>0</v>
      </c>
      <c r="CG266" s="167">
        <v>0</v>
      </c>
      <c r="CH266" s="167">
        <v>0</v>
      </c>
      <c r="CI266" s="167">
        <v>0</v>
      </c>
      <c r="CJ266" s="167">
        <v>0</v>
      </c>
      <c r="CK266" s="167">
        <v>0</v>
      </c>
      <c r="CL266" s="167">
        <v>0</v>
      </c>
      <c r="CM266" s="167">
        <v>0</v>
      </c>
      <c r="CN266" s="167">
        <v>0</v>
      </c>
      <c r="CO266" s="167">
        <v>0</v>
      </c>
      <c r="CP266" s="167">
        <v>0</v>
      </c>
      <c r="CQ266" s="167">
        <v>0</v>
      </c>
      <c r="CR266" s="167">
        <v>0</v>
      </c>
      <c r="CS266" s="167">
        <v>0</v>
      </c>
      <c r="CT266" s="167">
        <v>0</v>
      </c>
      <c r="CU266" s="167">
        <v>0</v>
      </c>
      <c r="CV266" s="167">
        <v>0</v>
      </c>
      <c r="CW266" s="167">
        <v>0</v>
      </c>
      <c r="CX266" s="167">
        <f>SUM(CD266:CH266)</f>
        <v>1</v>
      </c>
      <c r="CY266" s="167">
        <f>SUM(CD266:CM266)</f>
        <v>1</v>
      </c>
    </row>
    <row r="267" spans="1:103" ht="12.75" customHeight="1" x14ac:dyDescent="0.2">
      <c r="A267" s="81">
        <v>1924</v>
      </c>
      <c r="B267" s="165" t="s">
        <v>1908</v>
      </c>
      <c r="C267" s="165" t="s">
        <v>1029</v>
      </c>
      <c r="E267" s="165" t="s">
        <v>1987</v>
      </c>
      <c r="G267" s="81">
        <v>521176</v>
      </c>
      <c r="H267" s="81">
        <v>174253</v>
      </c>
      <c r="I267" s="165" t="s">
        <v>877</v>
      </c>
      <c r="J267" s="349">
        <v>42825</v>
      </c>
      <c r="L267" s="166">
        <v>1</v>
      </c>
      <c r="M267" s="166">
        <v>1</v>
      </c>
      <c r="N267" s="166">
        <v>0</v>
      </c>
      <c r="O267" s="166">
        <v>1</v>
      </c>
      <c r="P267" s="166">
        <v>0</v>
      </c>
      <c r="R267" s="165" t="s">
        <v>1030</v>
      </c>
      <c r="S267" s="81" t="s">
        <v>113</v>
      </c>
      <c r="T267" s="349">
        <v>42557</v>
      </c>
      <c r="U267" s="349">
        <v>42613</v>
      </c>
      <c r="W267" s="81" t="s">
        <v>114</v>
      </c>
      <c r="Y267" s="81" t="s">
        <v>115</v>
      </c>
      <c r="Z267" s="81" t="s">
        <v>116</v>
      </c>
      <c r="AA267" s="81" t="s">
        <v>117</v>
      </c>
      <c r="AB267" s="81" t="s">
        <v>218</v>
      </c>
      <c r="AC267" s="166">
        <v>0.123000003397465</v>
      </c>
      <c r="AD267" s="349">
        <v>42825</v>
      </c>
      <c r="AG267" s="81" t="s">
        <v>238</v>
      </c>
      <c r="AH267" s="81" t="s">
        <v>118</v>
      </c>
      <c r="AK267" s="166">
        <v>0</v>
      </c>
      <c r="AM267" s="166">
        <v>0</v>
      </c>
      <c r="AO267" s="166">
        <v>0</v>
      </c>
      <c r="AP267" s="166">
        <v>0</v>
      </c>
      <c r="AQ267" s="166">
        <v>0</v>
      </c>
      <c r="AR267" s="166">
        <v>0</v>
      </c>
      <c r="AS267" s="166">
        <v>-1</v>
      </c>
      <c r="AT267" s="166">
        <v>1</v>
      </c>
      <c r="AU267" s="166">
        <v>0</v>
      </c>
      <c r="AV267" s="166">
        <v>0</v>
      </c>
      <c r="AW267" s="166">
        <v>0</v>
      </c>
      <c r="AX267" s="166">
        <v>0</v>
      </c>
      <c r="AY267" s="166">
        <v>0</v>
      </c>
      <c r="AZ267" s="166">
        <v>0</v>
      </c>
      <c r="BA267" s="166">
        <v>0</v>
      </c>
      <c r="BB267" s="166">
        <v>0</v>
      </c>
      <c r="BC267" s="166">
        <v>0</v>
      </c>
      <c r="BD267" s="166">
        <v>0</v>
      </c>
      <c r="BE267" s="166">
        <v>0</v>
      </c>
      <c r="BF267" s="166">
        <v>0</v>
      </c>
      <c r="BG267" s="166">
        <v>-1</v>
      </c>
      <c r="BH267" s="166">
        <v>1</v>
      </c>
      <c r="BI267" s="166">
        <v>0</v>
      </c>
      <c r="BJ267" s="166">
        <v>0</v>
      </c>
      <c r="BK267" s="166">
        <v>0</v>
      </c>
      <c r="BL267" s="166">
        <v>0</v>
      </c>
      <c r="BM267" s="166">
        <v>0</v>
      </c>
      <c r="BN267" s="166">
        <v>0</v>
      </c>
      <c r="BO267" s="166">
        <v>0</v>
      </c>
      <c r="BP267" s="166">
        <v>0</v>
      </c>
      <c r="BQ267" s="81" t="s">
        <v>1758</v>
      </c>
      <c r="BZ267" s="81" t="s">
        <v>155</v>
      </c>
      <c r="CA267" s="81" t="s">
        <v>3976</v>
      </c>
      <c r="CC267" s="167">
        <v>0</v>
      </c>
      <c r="CD267" s="167">
        <f>N267</f>
        <v>0</v>
      </c>
      <c r="CE267" s="167">
        <v>0</v>
      </c>
      <c r="CF267" s="167">
        <v>0</v>
      </c>
      <c r="CG267" s="167">
        <v>0</v>
      </c>
      <c r="CH267" s="167">
        <v>0</v>
      </c>
      <c r="CI267" s="167">
        <v>0</v>
      </c>
      <c r="CJ267" s="167">
        <v>0</v>
      </c>
      <c r="CK267" s="167">
        <v>0</v>
      </c>
      <c r="CL267" s="167">
        <v>0</v>
      </c>
      <c r="CM267" s="167">
        <v>0</v>
      </c>
      <c r="CN267" s="167">
        <v>0</v>
      </c>
      <c r="CO267" s="167">
        <v>0</v>
      </c>
      <c r="CP267" s="167">
        <v>0</v>
      </c>
      <c r="CQ267" s="167">
        <v>0</v>
      </c>
      <c r="CR267" s="167">
        <v>0</v>
      </c>
      <c r="CS267" s="167">
        <v>0</v>
      </c>
      <c r="CT267" s="167">
        <v>0</v>
      </c>
      <c r="CU267" s="167">
        <v>0</v>
      </c>
      <c r="CV267" s="167">
        <v>0</v>
      </c>
      <c r="CW267" s="167">
        <v>0</v>
      </c>
      <c r="CX267" s="167">
        <f>SUM(CD267:CH267)</f>
        <v>0</v>
      </c>
      <c r="CY267" s="167">
        <f>SUM(CD267:CM267)</f>
        <v>0</v>
      </c>
    </row>
    <row r="268" spans="1:103" ht="12.75" customHeight="1" x14ac:dyDescent="0.2">
      <c r="A268" s="81">
        <v>1952</v>
      </c>
      <c r="B268" s="165" t="s">
        <v>1908</v>
      </c>
      <c r="C268" s="165" t="s">
        <v>75</v>
      </c>
      <c r="E268" s="165" t="s">
        <v>1959</v>
      </c>
      <c r="G268" s="81">
        <v>528781</v>
      </c>
      <c r="H268" s="81">
        <v>177000</v>
      </c>
      <c r="I268" s="165" t="s">
        <v>240</v>
      </c>
      <c r="J268" s="349">
        <v>42907</v>
      </c>
      <c r="L268" s="166">
        <v>0</v>
      </c>
      <c r="M268" s="166">
        <v>20</v>
      </c>
      <c r="N268" s="166">
        <v>20</v>
      </c>
      <c r="O268" s="166">
        <v>20</v>
      </c>
      <c r="P268" s="166">
        <v>20</v>
      </c>
      <c r="Q268" s="81" t="s">
        <v>155</v>
      </c>
      <c r="R268" s="165" t="s">
        <v>748</v>
      </c>
      <c r="S268" s="81" t="s">
        <v>104</v>
      </c>
      <c r="T268" s="349">
        <v>41701</v>
      </c>
      <c r="U268" s="349">
        <v>41940</v>
      </c>
      <c r="W268" s="81" t="s">
        <v>114</v>
      </c>
      <c r="Y268" s="81" t="s">
        <v>115</v>
      </c>
      <c r="Z268" s="81" t="s">
        <v>116</v>
      </c>
      <c r="AA268" s="81" t="s">
        <v>116</v>
      </c>
      <c r="AB268" s="81" t="s">
        <v>117</v>
      </c>
      <c r="AC268" s="166">
        <v>0.17100000381469699</v>
      </c>
      <c r="AD268" s="349">
        <v>42907</v>
      </c>
      <c r="AE268" s="81" t="s">
        <v>155</v>
      </c>
      <c r="AG268" s="81" t="s">
        <v>238</v>
      </c>
      <c r="AH268" s="81" t="s">
        <v>118</v>
      </c>
      <c r="AK268" s="166">
        <v>20</v>
      </c>
      <c r="AM268" s="166">
        <v>2</v>
      </c>
      <c r="AO268" s="166">
        <v>0</v>
      </c>
      <c r="AP268" s="166">
        <v>4</v>
      </c>
      <c r="AQ268" s="166">
        <v>16</v>
      </c>
      <c r="AR268" s="166">
        <v>0</v>
      </c>
      <c r="AS268" s="166">
        <v>0</v>
      </c>
      <c r="AT268" s="166">
        <v>0</v>
      </c>
      <c r="AU268" s="166">
        <v>0</v>
      </c>
      <c r="AV268" s="166">
        <v>0</v>
      </c>
      <c r="AW268" s="166">
        <v>4</v>
      </c>
      <c r="AX268" s="166">
        <v>16</v>
      </c>
      <c r="AY268" s="166">
        <v>0</v>
      </c>
      <c r="AZ268" s="166">
        <v>0</v>
      </c>
      <c r="BA268" s="166">
        <v>0</v>
      </c>
      <c r="BB268" s="166">
        <v>0</v>
      </c>
      <c r="BC268" s="166">
        <v>0</v>
      </c>
      <c r="BD268" s="166">
        <v>0</v>
      </c>
      <c r="BE268" s="166">
        <v>0</v>
      </c>
      <c r="BF268" s="166">
        <v>0</v>
      </c>
      <c r="BG268" s="166">
        <v>0</v>
      </c>
      <c r="BH268" s="166">
        <v>0</v>
      </c>
      <c r="BI268" s="166">
        <v>0</v>
      </c>
      <c r="BJ268" s="166">
        <v>0</v>
      </c>
      <c r="BK268" s="166">
        <v>0</v>
      </c>
      <c r="BL268" s="166">
        <v>0</v>
      </c>
      <c r="BM268" s="166">
        <v>0</v>
      </c>
      <c r="BN268" s="166">
        <v>0</v>
      </c>
      <c r="BO268" s="166">
        <v>0</v>
      </c>
      <c r="BP268" s="166">
        <v>0</v>
      </c>
      <c r="BQ268" s="81" t="s">
        <v>1759</v>
      </c>
      <c r="BS268" s="81" t="s">
        <v>155</v>
      </c>
      <c r="BZ268" s="81" t="s">
        <v>155</v>
      </c>
      <c r="CA268" s="81" t="s">
        <v>3935</v>
      </c>
      <c r="CC268" s="167">
        <v>0</v>
      </c>
      <c r="CD268" s="167">
        <v>0</v>
      </c>
      <c r="CE268" s="167">
        <f>$N268/5</f>
        <v>4</v>
      </c>
      <c r="CF268" s="167">
        <f>$N268/5</f>
        <v>4</v>
      </c>
      <c r="CG268" s="167">
        <f>$N268/5</f>
        <v>4</v>
      </c>
      <c r="CH268" s="167">
        <f>$N268/5</f>
        <v>4</v>
      </c>
      <c r="CI268" s="167">
        <f>$N268/5</f>
        <v>4</v>
      </c>
      <c r="CJ268" s="167">
        <v>0</v>
      </c>
      <c r="CK268" s="167">
        <v>0</v>
      </c>
      <c r="CL268" s="167">
        <v>0</v>
      </c>
      <c r="CM268" s="167">
        <v>0</v>
      </c>
      <c r="CN268" s="167">
        <v>0</v>
      </c>
      <c r="CO268" s="167">
        <v>0</v>
      </c>
      <c r="CP268" s="167">
        <v>0</v>
      </c>
      <c r="CQ268" s="167">
        <v>0</v>
      </c>
      <c r="CR268" s="167">
        <v>0</v>
      </c>
      <c r="CS268" s="167">
        <v>0</v>
      </c>
      <c r="CT268" s="167">
        <v>0</v>
      </c>
      <c r="CU268" s="167">
        <v>0</v>
      </c>
      <c r="CV268" s="167">
        <v>0</v>
      </c>
      <c r="CW268" s="167">
        <v>0</v>
      </c>
      <c r="CX268" s="167">
        <f>SUM(CD268:CH268)</f>
        <v>16</v>
      </c>
      <c r="CY268" s="167">
        <f>SUM(CD268:CM268)</f>
        <v>20</v>
      </c>
    </row>
    <row r="269" spans="1:103" ht="12.75" customHeight="1" x14ac:dyDescent="0.2">
      <c r="A269" s="81">
        <v>1973</v>
      </c>
      <c r="B269" s="165" t="s">
        <v>1908</v>
      </c>
      <c r="C269" s="165" t="s">
        <v>1278</v>
      </c>
      <c r="E269" s="165" t="s">
        <v>1988</v>
      </c>
      <c r="G269" s="81">
        <v>528573</v>
      </c>
      <c r="H269" s="81">
        <v>172812</v>
      </c>
      <c r="I269" s="165" t="s">
        <v>248</v>
      </c>
      <c r="J269" s="349">
        <v>42814</v>
      </c>
      <c r="L269" s="166">
        <v>0</v>
      </c>
      <c r="M269" s="166">
        <v>1</v>
      </c>
      <c r="N269" s="166">
        <v>1</v>
      </c>
      <c r="O269" s="166">
        <v>1</v>
      </c>
      <c r="P269" s="166">
        <v>1</v>
      </c>
      <c r="R269" s="165" t="s">
        <v>1279</v>
      </c>
      <c r="S269" s="81" t="s">
        <v>113</v>
      </c>
      <c r="T269" s="349">
        <v>42517</v>
      </c>
      <c r="U269" s="349">
        <v>42573</v>
      </c>
      <c r="W269" s="81" t="s">
        <v>114</v>
      </c>
      <c r="Y269" s="81" t="s">
        <v>397</v>
      </c>
      <c r="Z269" s="81" t="s">
        <v>116</v>
      </c>
      <c r="AA269" s="81" t="s">
        <v>117</v>
      </c>
      <c r="AB269" s="81" t="s">
        <v>218</v>
      </c>
      <c r="AC269" s="166">
        <v>1.7000000923872001E-2</v>
      </c>
      <c r="AD269" s="349">
        <v>42814</v>
      </c>
      <c r="AG269" s="81" t="s">
        <v>238</v>
      </c>
      <c r="AH269" s="81" t="s">
        <v>118</v>
      </c>
      <c r="AK269" s="166">
        <v>1</v>
      </c>
      <c r="AM269" s="166">
        <v>0</v>
      </c>
      <c r="AO269" s="166">
        <v>0</v>
      </c>
      <c r="AP269" s="166">
        <v>0</v>
      </c>
      <c r="AQ269" s="166">
        <v>0</v>
      </c>
      <c r="AR269" s="166">
        <v>1</v>
      </c>
      <c r="AS269" s="166">
        <v>0</v>
      </c>
      <c r="AT269" s="166">
        <v>0</v>
      </c>
      <c r="AU269" s="166">
        <v>0</v>
      </c>
      <c r="AV269" s="166">
        <v>0</v>
      </c>
      <c r="AW269" s="166">
        <v>0</v>
      </c>
      <c r="AX269" s="166">
        <v>0</v>
      </c>
      <c r="AY269" s="166">
        <v>0</v>
      </c>
      <c r="AZ269" s="166">
        <v>0</v>
      </c>
      <c r="BA269" s="166">
        <v>0</v>
      </c>
      <c r="BB269" s="166">
        <v>0</v>
      </c>
      <c r="BC269" s="166">
        <v>0</v>
      </c>
      <c r="BD269" s="166">
        <v>0</v>
      </c>
      <c r="BE269" s="166">
        <v>0</v>
      </c>
      <c r="BF269" s="166">
        <v>1</v>
      </c>
      <c r="BG269" s="166">
        <v>0</v>
      </c>
      <c r="BH269" s="166">
        <v>0</v>
      </c>
      <c r="BI269" s="166">
        <v>0</v>
      </c>
      <c r="BJ269" s="166">
        <v>0</v>
      </c>
      <c r="BK269" s="166">
        <v>0</v>
      </c>
      <c r="BL269" s="166">
        <v>0</v>
      </c>
      <c r="BM269" s="166">
        <v>0</v>
      </c>
      <c r="BN269" s="166">
        <v>0</v>
      </c>
      <c r="BO269" s="166">
        <v>0</v>
      </c>
      <c r="BP269" s="166">
        <v>0</v>
      </c>
      <c r="BQ269" s="81" t="s">
        <v>1757</v>
      </c>
      <c r="BZ269" s="81" t="s">
        <v>155</v>
      </c>
      <c r="CA269" s="81" t="s">
        <v>3976</v>
      </c>
      <c r="CC269" s="167">
        <v>0</v>
      </c>
      <c r="CD269" s="167">
        <f>N269</f>
        <v>1</v>
      </c>
      <c r="CE269" s="167">
        <v>0</v>
      </c>
      <c r="CF269" s="167">
        <v>0</v>
      </c>
      <c r="CG269" s="167">
        <v>0</v>
      </c>
      <c r="CH269" s="167">
        <v>0</v>
      </c>
      <c r="CI269" s="167">
        <v>0</v>
      </c>
      <c r="CJ269" s="167">
        <v>0</v>
      </c>
      <c r="CK269" s="167">
        <v>0</v>
      </c>
      <c r="CL269" s="167">
        <v>0</v>
      </c>
      <c r="CM269" s="167">
        <v>0</v>
      </c>
      <c r="CN269" s="167">
        <v>0</v>
      </c>
      <c r="CO269" s="167">
        <v>0</v>
      </c>
      <c r="CP269" s="167">
        <v>0</v>
      </c>
      <c r="CQ269" s="167">
        <v>0</v>
      </c>
      <c r="CR269" s="167">
        <v>0</v>
      </c>
      <c r="CS269" s="167">
        <v>0</v>
      </c>
      <c r="CT269" s="167">
        <v>0</v>
      </c>
      <c r="CU269" s="167">
        <v>0</v>
      </c>
      <c r="CV269" s="167">
        <v>0</v>
      </c>
      <c r="CW269" s="167">
        <v>0</v>
      </c>
      <c r="CX269" s="167">
        <f>SUM(CD269:CH269)</f>
        <v>1</v>
      </c>
      <c r="CY269" s="167">
        <f>SUM(CD269:CM269)</f>
        <v>1</v>
      </c>
    </row>
    <row r="270" spans="1:103" ht="12.75" customHeight="1" x14ac:dyDescent="0.2">
      <c r="A270" s="81">
        <v>2144</v>
      </c>
      <c r="B270" s="165" t="s">
        <v>1908</v>
      </c>
      <c r="C270" s="165" t="s">
        <v>1989</v>
      </c>
      <c r="E270" s="165" t="s">
        <v>1990</v>
      </c>
      <c r="G270" s="81">
        <v>527982</v>
      </c>
      <c r="H270" s="81">
        <v>172413</v>
      </c>
      <c r="I270" s="165" t="s">
        <v>254</v>
      </c>
      <c r="J270" s="349">
        <v>43190</v>
      </c>
      <c r="L270" s="166">
        <v>0</v>
      </c>
      <c r="M270" s="166">
        <v>1</v>
      </c>
      <c r="N270" s="166">
        <v>1</v>
      </c>
      <c r="O270" s="166">
        <v>1</v>
      </c>
      <c r="P270" s="166">
        <v>1</v>
      </c>
      <c r="R270" s="165" t="s">
        <v>1991</v>
      </c>
      <c r="S270" s="81" t="s">
        <v>113</v>
      </c>
      <c r="T270" s="349">
        <v>42829</v>
      </c>
      <c r="U270" s="349">
        <v>42978</v>
      </c>
      <c r="V270" s="81" t="s">
        <v>155</v>
      </c>
      <c r="W270" s="81" t="s">
        <v>114</v>
      </c>
      <c r="Y270" s="81" t="s">
        <v>115</v>
      </c>
      <c r="Z270" s="81" t="s">
        <v>116</v>
      </c>
      <c r="AA270" s="81" t="s">
        <v>117</v>
      </c>
      <c r="AB270" s="81" t="s">
        <v>218</v>
      </c>
      <c r="AC270" s="166">
        <v>1.7000000923872001E-2</v>
      </c>
      <c r="AD270" s="349">
        <v>43190</v>
      </c>
      <c r="AE270" s="81" t="s">
        <v>155</v>
      </c>
      <c r="AG270" s="81" t="s">
        <v>238</v>
      </c>
      <c r="AH270" s="81" t="s">
        <v>118</v>
      </c>
      <c r="AK270" s="166">
        <v>0</v>
      </c>
      <c r="AM270" s="166">
        <v>0</v>
      </c>
      <c r="AO270" s="166">
        <v>0</v>
      </c>
      <c r="AP270" s="166">
        <v>0</v>
      </c>
      <c r="AQ270" s="166">
        <v>1</v>
      </c>
      <c r="AR270" s="166">
        <v>0</v>
      </c>
      <c r="AS270" s="166">
        <v>0</v>
      </c>
      <c r="AT270" s="166">
        <v>0</v>
      </c>
      <c r="AU270" s="166">
        <v>0</v>
      </c>
      <c r="AV270" s="166">
        <v>0</v>
      </c>
      <c r="AW270" s="166">
        <v>0</v>
      </c>
      <c r="AX270" s="166">
        <v>0</v>
      </c>
      <c r="AY270" s="166">
        <v>0</v>
      </c>
      <c r="AZ270" s="166">
        <v>0</v>
      </c>
      <c r="BA270" s="166">
        <v>0</v>
      </c>
      <c r="BB270" s="166">
        <v>0</v>
      </c>
      <c r="BC270" s="166">
        <v>0</v>
      </c>
      <c r="BD270" s="166">
        <v>0</v>
      </c>
      <c r="BE270" s="166">
        <v>1</v>
      </c>
      <c r="BF270" s="166">
        <v>0</v>
      </c>
      <c r="BG270" s="166">
        <v>0</v>
      </c>
      <c r="BH270" s="166">
        <v>0</v>
      </c>
      <c r="BI270" s="166">
        <v>0</v>
      </c>
      <c r="BJ270" s="166">
        <v>0</v>
      </c>
      <c r="BK270" s="166">
        <v>0</v>
      </c>
      <c r="BL270" s="166">
        <v>0</v>
      </c>
      <c r="BM270" s="166">
        <v>0</v>
      </c>
      <c r="BN270" s="166">
        <v>0</v>
      </c>
      <c r="BO270" s="166">
        <v>0</v>
      </c>
      <c r="BP270" s="166">
        <v>0</v>
      </c>
      <c r="BQ270" s="81" t="s">
        <v>1757</v>
      </c>
      <c r="BZ270" s="81" t="s">
        <v>155</v>
      </c>
      <c r="CA270" s="81" t="s">
        <v>3977</v>
      </c>
      <c r="CC270" s="167">
        <v>0</v>
      </c>
      <c r="CD270" s="167">
        <f>$N270/2</f>
        <v>0.5</v>
      </c>
      <c r="CE270" s="167">
        <f>$N270/2</f>
        <v>0.5</v>
      </c>
      <c r="CF270" s="167">
        <v>0</v>
      </c>
      <c r="CG270" s="167">
        <v>0</v>
      </c>
      <c r="CH270" s="167">
        <v>0</v>
      </c>
      <c r="CI270" s="167">
        <v>0</v>
      </c>
      <c r="CJ270" s="167">
        <v>0</v>
      </c>
      <c r="CK270" s="167">
        <v>0</v>
      </c>
      <c r="CL270" s="167">
        <v>0</v>
      </c>
      <c r="CM270" s="167">
        <v>0</v>
      </c>
      <c r="CN270" s="167">
        <v>0</v>
      </c>
      <c r="CO270" s="167">
        <v>0</v>
      </c>
      <c r="CP270" s="167">
        <v>0</v>
      </c>
      <c r="CQ270" s="167">
        <v>0</v>
      </c>
      <c r="CR270" s="167">
        <v>0</v>
      </c>
      <c r="CS270" s="167">
        <v>0</v>
      </c>
      <c r="CT270" s="167">
        <v>0</v>
      </c>
      <c r="CU270" s="167">
        <v>0</v>
      </c>
      <c r="CV270" s="167">
        <v>0</v>
      </c>
      <c r="CW270" s="167">
        <v>0</v>
      </c>
      <c r="CX270" s="167">
        <f>SUM(CD270:CH270)</f>
        <v>1</v>
      </c>
      <c r="CY270" s="167">
        <f>SUM(CD270:CM270)</f>
        <v>1</v>
      </c>
    </row>
    <row r="271" spans="1:103" ht="12.75" customHeight="1" x14ac:dyDescent="0.2">
      <c r="A271" s="81">
        <v>2154</v>
      </c>
      <c r="B271" s="165" t="s">
        <v>1908</v>
      </c>
      <c r="C271" s="165" t="s">
        <v>271</v>
      </c>
      <c r="D271" s="165" t="s">
        <v>272</v>
      </c>
      <c r="E271" s="165" t="s">
        <v>3364</v>
      </c>
      <c r="G271" s="81">
        <v>527691</v>
      </c>
      <c r="H271" s="81">
        <v>171695</v>
      </c>
      <c r="I271" s="165" t="s">
        <v>242</v>
      </c>
      <c r="J271" s="349">
        <v>42989</v>
      </c>
      <c r="L271" s="166">
        <v>0</v>
      </c>
      <c r="M271" s="166">
        <v>4</v>
      </c>
      <c r="N271" s="166">
        <v>4</v>
      </c>
      <c r="O271" s="166">
        <v>4</v>
      </c>
      <c r="P271" s="166">
        <v>4</v>
      </c>
      <c r="R271" s="165" t="s">
        <v>273</v>
      </c>
      <c r="S271" s="81" t="s">
        <v>113</v>
      </c>
      <c r="T271" s="349">
        <v>41765</v>
      </c>
      <c r="U271" s="349">
        <v>41838</v>
      </c>
      <c r="W271" s="81" t="s">
        <v>114</v>
      </c>
      <c r="Y271" s="81" t="s">
        <v>115</v>
      </c>
      <c r="Z271" s="81" t="s">
        <v>398</v>
      </c>
      <c r="AA271" s="81" t="s">
        <v>117</v>
      </c>
      <c r="AB271" s="81" t="s">
        <v>218</v>
      </c>
      <c r="AC271" s="166">
        <v>1.8999999389052401E-2</v>
      </c>
      <c r="AD271" s="349">
        <v>42989</v>
      </c>
      <c r="AE271" s="81" t="s">
        <v>155</v>
      </c>
      <c r="AG271" s="81" t="s">
        <v>238</v>
      </c>
      <c r="AH271" s="81" t="s">
        <v>118</v>
      </c>
      <c r="AK271" s="166">
        <v>0</v>
      </c>
      <c r="AM271" s="166">
        <v>0</v>
      </c>
      <c r="AO271" s="166">
        <v>0</v>
      </c>
      <c r="AP271" s="166">
        <v>0</v>
      </c>
      <c r="AQ271" s="166">
        <v>2</v>
      </c>
      <c r="AR271" s="166">
        <v>2</v>
      </c>
      <c r="AS271" s="166">
        <v>0</v>
      </c>
      <c r="AT271" s="166">
        <v>0</v>
      </c>
      <c r="AU271" s="166">
        <v>0</v>
      </c>
      <c r="AV271" s="166">
        <v>0</v>
      </c>
      <c r="AW271" s="166">
        <v>0</v>
      </c>
      <c r="AX271" s="166">
        <v>2</v>
      </c>
      <c r="AY271" s="166">
        <v>2</v>
      </c>
      <c r="AZ271" s="166">
        <v>0</v>
      </c>
      <c r="BA271" s="166">
        <v>0</v>
      </c>
      <c r="BB271" s="166">
        <v>0</v>
      </c>
      <c r="BC271" s="166">
        <v>0</v>
      </c>
      <c r="BD271" s="166">
        <v>0</v>
      </c>
      <c r="BE271" s="166">
        <v>0</v>
      </c>
      <c r="BF271" s="166">
        <v>0</v>
      </c>
      <c r="BG271" s="166">
        <v>0</v>
      </c>
      <c r="BH271" s="166">
        <v>0</v>
      </c>
      <c r="BI271" s="166">
        <v>0</v>
      </c>
      <c r="BJ271" s="166">
        <v>0</v>
      </c>
      <c r="BK271" s="166">
        <v>0</v>
      </c>
      <c r="BL271" s="166">
        <v>0</v>
      </c>
      <c r="BM271" s="166">
        <v>0</v>
      </c>
      <c r="BN271" s="166">
        <v>0</v>
      </c>
      <c r="BO271" s="166">
        <v>0</v>
      </c>
      <c r="BP271" s="166">
        <v>0</v>
      </c>
      <c r="BQ271" s="81" t="s">
        <v>1757</v>
      </c>
      <c r="BZ271" s="81" t="s">
        <v>155</v>
      </c>
      <c r="CA271" s="81" t="s">
        <v>3980</v>
      </c>
      <c r="CC271" s="167">
        <v>0</v>
      </c>
      <c r="CD271" s="167">
        <f>N271</f>
        <v>4</v>
      </c>
      <c r="CE271" s="167">
        <v>0</v>
      </c>
      <c r="CF271" s="167">
        <v>0</v>
      </c>
      <c r="CG271" s="167">
        <v>0</v>
      </c>
      <c r="CH271" s="167">
        <v>0</v>
      </c>
      <c r="CI271" s="167">
        <v>0</v>
      </c>
      <c r="CJ271" s="167">
        <v>0</v>
      </c>
      <c r="CK271" s="167">
        <v>0</v>
      </c>
      <c r="CL271" s="167">
        <v>0</v>
      </c>
      <c r="CM271" s="167">
        <v>0</v>
      </c>
      <c r="CN271" s="167">
        <v>0</v>
      </c>
      <c r="CO271" s="167">
        <v>0</v>
      </c>
      <c r="CP271" s="167">
        <v>0</v>
      </c>
      <c r="CQ271" s="167">
        <v>0</v>
      </c>
      <c r="CR271" s="167">
        <v>0</v>
      </c>
      <c r="CS271" s="167">
        <v>0</v>
      </c>
      <c r="CT271" s="167">
        <v>0</v>
      </c>
      <c r="CU271" s="167">
        <v>0</v>
      </c>
      <c r="CV271" s="167">
        <v>0</v>
      </c>
      <c r="CW271" s="167">
        <v>0</v>
      </c>
      <c r="CX271" s="167">
        <f>SUM(CD271:CH271)</f>
        <v>4</v>
      </c>
      <c r="CY271" s="167">
        <f>SUM(CD271:CM271)</f>
        <v>4</v>
      </c>
    </row>
    <row r="272" spans="1:103" ht="12.75" customHeight="1" x14ac:dyDescent="0.2">
      <c r="A272" s="81">
        <v>2157</v>
      </c>
      <c r="B272" s="165" t="s">
        <v>1908</v>
      </c>
      <c r="C272" s="165" t="s">
        <v>32</v>
      </c>
      <c r="E272" s="165" t="s">
        <v>1992</v>
      </c>
      <c r="G272" s="81">
        <v>528141</v>
      </c>
      <c r="H272" s="81">
        <v>172013</v>
      </c>
      <c r="I272" s="165" t="s">
        <v>248</v>
      </c>
      <c r="J272" s="349">
        <v>43087</v>
      </c>
      <c r="L272" s="166">
        <v>0</v>
      </c>
      <c r="M272" s="166">
        <v>3</v>
      </c>
      <c r="N272" s="166">
        <v>3</v>
      </c>
      <c r="O272" s="166">
        <v>3</v>
      </c>
      <c r="P272" s="166">
        <v>3</v>
      </c>
      <c r="R272" s="165" t="s">
        <v>122</v>
      </c>
      <c r="S272" s="81" t="s">
        <v>113</v>
      </c>
      <c r="T272" s="349">
        <v>41870</v>
      </c>
      <c r="U272" s="349">
        <v>41992</v>
      </c>
      <c r="W272" s="81" t="s">
        <v>114</v>
      </c>
      <c r="Y272" s="81" t="s">
        <v>115</v>
      </c>
      <c r="Z272" s="81" t="s">
        <v>116</v>
      </c>
      <c r="AA272" s="81" t="s">
        <v>117</v>
      </c>
      <c r="AB272" s="81" t="s">
        <v>218</v>
      </c>
      <c r="AC272" s="166">
        <v>6.1999998986720997E-2</v>
      </c>
      <c r="AD272" s="349">
        <v>43087</v>
      </c>
      <c r="AE272" s="81" t="s">
        <v>155</v>
      </c>
      <c r="AG272" s="81" t="s">
        <v>238</v>
      </c>
      <c r="AH272" s="81" t="s">
        <v>118</v>
      </c>
      <c r="AK272" s="166">
        <v>0</v>
      </c>
      <c r="AM272" s="166">
        <v>0</v>
      </c>
      <c r="AO272" s="166">
        <v>0</v>
      </c>
      <c r="AP272" s="166">
        <v>0</v>
      </c>
      <c r="AQ272" s="166">
        <v>0</v>
      </c>
      <c r="AR272" s="166">
        <v>2</v>
      </c>
      <c r="AS272" s="166">
        <v>1</v>
      </c>
      <c r="AT272" s="166">
        <v>0</v>
      </c>
      <c r="AU272" s="166">
        <v>0</v>
      </c>
      <c r="AV272" s="166">
        <v>0</v>
      </c>
      <c r="AW272" s="166">
        <v>0</v>
      </c>
      <c r="AX272" s="166">
        <v>0</v>
      </c>
      <c r="AY272" s="166">
        <v>0</v>
      </c>
      <c r="AZ272" s="166">
        <v>0</v>
      </c>
      <c r="BA272" s="166">
        <v>0</v>
      </c>
      <c r="BB272" s="166">
        <v>0</v>
      </c>
      <c r="BC272" s="166">
        <v>0</v>
      </c>
      <c r="BD272" s="166">
        <v>0</v>
      </c>
      <c r="BE272" s="166">
        <v>0</v>
      </c>
      <c r="BF272" s="166">
        <v>2</v>
      </c>
      <c r="BG272" s="166">
        <v>1</v>
      </c>
      <c r="BH272" s="166">
        <v>0</v>
      </c>
      <c r="BI272" s="166">
        <v>0</v>
      </c>
      <c r="BJ272" s="166">
        <v>0</v>
      </c>
      <c r="BK272" s="166">
        <v>0</v>
      </c>
      <c r="BL272" s="166">
        <v>0</v>
      </c>
      <c r="BM272" s="166">
        <v>0</v>
      </c>
      <c r="BN272" s="166">
        <v>0</v>
      </c>
      <c r="BO272" s="166">
        <v>0</v>
      </c>
      <c r="BP272" s="166">
        <v>0</v>
      </c>
      <c r="BQ272" s="81" t="s">
        <v>1757</v>
      </c>
      <c r="BZ272" s="81" t="s">
        <v>155</v>
      </c>
      <c r="CA272" s="81" t="s">
        <v>3977</v>
      </c>
      <c r="CC272" s="167">
        <v>0</v>
      </c>
      <c r="CD272" s="167">
        <f>$N272/2</f>
        <v>1.5</v>
      </c>
      <c r="CE272" s="167">
        <f>$N272/2</f>
        <v>1.5</v>
      </c>
      <c r="CF272" s="167">
        <v>0</v>
      </c>
      <c r="CG272" s="167">
        <v>0</v>
      </c>
      <c r="CH272" s="167">
        <v>0</v>
      </c>
      <c r="CI272" s="167">
        <v>0</v>
      </c>
      <c r="CJ272" s="167">
        <v>0</v>
      </c>
      <c r="CK272" s="167">
        <v>0</v>
      </c>
      <c r="CL272" s="167">
        <v>0</v>
      </c>
      <c r="CM272" s="167">
        <v>0</v>
      </c>
      <c r="CN272" s="167">
        <v>0</v>
      </c>
      <c r="CO272" s="167">
        <v>0</v>
      </c>
      <c r="CP272" s="167">
        <v>0</v>
      </c>
      <c r="CQ272" s="167">
        <v>0</v>
      </c>
      <c r="CR272" s="167">
        <v>0</v>
      </c>
      <c r="CS272" s="167">
        <v>0</v>
      </c>
      <c r="CT272" s="167">
        <v>0</v>
      </c>
      <c r="CU272" s="167">
        <v>0</v>
      </c>
      <c r="CV272" s="167">
        <v>0</v>
      </c>
      <c r="CW272" s="167">
        <v>0</v>
      </c>
      <c r="CX272" s="167">
        <f>SUM(CD272:CH272)</f>
        <v>3</v>
      </c>
      <c r="CY272" s="167">
        <f>SUM(CD272:CM272)</f>
        <v>3</v>
      </c>
    </row>
    <row r="273" spans="1:103" ht="12.75" customHeight="1" x14ac:dyDescent="0.2">
      <c r="A273" s="81">
        <v>2237</v>
      </c>
      <c r="B273" s="165" t="s">
        <v>1908</v>
      </c>
      <c r="C273" s="165" t="s">
        <v>700</v>
      </c>
      <c r="E273" s="165" t="s">
        <v>3368</v>
      </c>
      <c r="F273" s="165" t="s">
        <v>701</v>
      </c>
      <c r="G273" s="81">
        <v>528388</v>
      </c>
      <c r="H273" s="81">
        <v>173003</v>
      </c>
      <c r="I273" s="165" t="s">
        <v>248</v>
      </c>
      <c r="J273" s="349">
        <v>42927</v>
      </c>
      <c r="L273" s="166">
        <v>0</v>
      </c>
      <c r="M273" s="166">
        <v>6</v>
      </c>
      <c r="N273" s="166">
        <v>6</v>
      </c>
      <c r="O273" s="166">
        <v>9</v>
      </c>
      <c r="P273" s="166">
        <v>9</v>
      </c>
      <c r="R273" s="165" t="s">
        <v>1689</v>
      </c>
      <c r="S273" s="81" t="s">
        <v>113</v>
      </c>
      <c r="T273" s="349">
        <v>42320</v>
      </c>
      <c r="U273" s="349">
        <v>42433</v>
      </c>
      <c r="W273" s="81" t="s">
        <v>114</v>
      </c>
      <c r="Y273" s="81" t="s">
        <v>115</v>
      </c>
      <c r="Z273" s="81" t="s">
        <v>398</v>
      </c>
      <c r="AA273" s="81" t="s">
        <v>117</v>
      </c>
      <c r="AB273" s="81" t="s">
        <v>311</v>
      </c>
      <c r="AC273" s="166">
        <v>3.29999998211861E-2</v>
      </c>
      <c r="AD273" s="349">
        <v>42927</v>
      </c>
      <c r="AE273" s="81" t="s">
        <v>155</v>
      </c>
      <c r="AG273" s="81" t="s">
        <v>238</v>
      </c>
      <c r="AH273" s="81" t="s">
        <v>118</v>
      </c>
      <c r="AK273" s="166">
        <v>0</v>
      </c>
      <c r="AM273" s="166">
        <v>0</v>
      </c>
      <c r="AO273" s="166">
        <v>0</v>
      </c>
      <c r="AP273" s="166">
        <v>4</v>
      </c>
      <c r="AQ273" s="166">
        <v>2</v>
      </c>
      <c r="AR273" s="166">
        <v>0</v>
      </c>
      <c r="AS273" s="166">
        <v>0</v>
      </c>
      <c r="AT273" s="166">
        <v>0</v>
      </c>
      <c r="AU273" s="166">
        <v>0</v>
      </c>
      <c r="AV273" s="166">
        <v>0</v>
      </c>
      <c r="AW273" s="166">
        <v>4</v>
      </c>
      <c r="AX273" s="166">
        <v>2</v>
      </c>
      <c r="AY273" s="166">
        <v>0</v>
      </c>
      <c r="AZ273" s="166">
        <v>0</v>
      </c>
      <c r="BA273" s="166">
        <v>0</v>
      </c>
      <c r="BB273" s="166">
        <v>0</v>
      </c>
      <c r="BC273" s="166">
        <v>0</v>
      </c>
      <c r="BD273" s="166">
        <v>0</v>
      </c>
      <c r="BE273" s="166">
        <v>0</v>
      </c>
      <c r="BF273" s="166">
        <v>0</v>
      </c>
      <c r="BG273" s="166">
        <v>0</v>
      </c>
      <c r="BH273" s="166">
        <v>0</v>
      </c>
      <c r="BI273" s="166">
        <v>0</v>
      </c>
      <c r="BJ273" s="166">
        <v>0</v>
      </c>
      <c r="BK273" s="166">
        <v>0</v>
      </c>
      <c r="BL273" s="166">
        <v>0</v>
      </c>
      <c r="BM273" s="166">
        <v>0</v>
      </c>
      <c r="BN273" s="166">
        <v>0</v>
      </c>
      <c r="BO273" s="166">
        <v>0</v>
      </c>
      <c r="BP273" s="166">
        <v>0</v>
      </c>
      <c r="BQ273" s="81" t="s">
        <v>1757</v>
      </c>
      <c r="BZ273" s="81" t="s">
        <v>155</v>
      </c>
      <c r="CA273" s="81" t="s">
        <v>3980</v>
      </c>
      <c r="CC273" s="167">
        <v>0</v>
      </c>
      <c r="CD273" s="167">
        <f>N273</f>
        <v>6</v>
      </c>
      <c r="CE273" s="167">
        <v>0</v>
      </c>
      <c r="CF273" s="167">
        <v>0</v>
      </c>
      <c r="CG273" s="167">
        <v>0</v>
      </c>
      <c r="CH273" s="167">
        <v>0</v>
      </c>
      <c r="CI273" s="167">
        <v>0</v>
      </c>
      <c r="CJ273" s="167">
        <v>0</v>
      </c>
      <c r="CK273" s="167">
        <v>0</v>
      </c>
      <c r="CL273" s="167">
        <v>0</v>
      </c>
      <c r="CM273" s="167">
        <v>0</v>
      </c>
      <c r="CN273" s="167">
        <v>0</v>
      </c>
      <c r="CO273" s="167">
        <v>0</v>
      </c>
      <c r="CP273" s="167">
        <v>0</v>
      </c>
      <c r="CQ273" s="167">
        <v>0</v>
      </c>
      <c r="CR273" s="167">
        <v>0</v>
      </c>
      <c r="CS273" s="167">
        <v>0</v>
      </c>
      <c r="CT273" s="167">
        <v>0</v>
      </c>
      <c r="CU273" s="167">
        <v>0</v>
      </c>
      <c r="CV273" s="167">
        <v>0</v>
      </c>
      <c r="CW273" s="167">
        <v>0</v>
      </c>
      <c r="CX273" s="167">
        <f>SUM(CD273:CH273)</f>
        <v>6</v>
      </c>
      <c r="CY273" s="167">
        <f>SUM(CD273:CM273)</f>
        <v>6</v>
      </c>
    </row>
    <row r="274" spans="1:103" ht="12.75" customHeight="1" x14ac:dyDescent="0.2">
      <c r="A274" s="81">
        <v>2237</v>
      </c>
      <c r="B274" s="165" t="s">
        <v>1908</v>
      </c>
      <c r="C274" s="165" t="s">
        <v>700</v>
      </c>
      <c r="E274" s="165" t="s">
        <v>3368</v>
      </c>
      <c r="F274" s="165" t="s">
        <v>702</v>
      </c>
      <c r="G274" s="81">
        <v>528388</v>
      </c>
      <c r="H274" s="81">
        <v>173003</v>
      </c>
      <c r="I274" s="165" t="s">
        <v>248</v>
      </c>
      <c r="J274" s="349">
        <v>42927</v>
      </c>
      <c r="L274" s="166">
        <v>0</v>
      </c>
      <c r="M274" s="166">
        <v>3</v>
      </c>
      <c r="N274" s="166">
        <v>3</v>
      </c>
      <c r="O274" s="166">
        <v>9</v>
      </c>
      <c r="P274" s="166">
        <v>9</v>
      </c>
      <c r="R274" s="165" t="s">
        <v>1689</v>
      </c>
      <c r="S274" s="81" t="s">
        <v>113</v>
      </c>
      <c r="T274" s="349">
        <v>42320</v>
      </c>
      <c r="U274" s="349">
        <v>42433</v>
      </c>
      <c r="W274" s="81" t="s">
        <v>114</v>
      </c>
      <c r="Y274" s="81" t="s">
        <v>115</v>
      </c>
      <c r="Z274" s="81" t="s">
        <v>398</v>
      </c>
      <c r="AA274" s="81" t="s">
        <v>117</v>
      </c>
      <c r="AB274" s="81" t="s">
        <v>218</v>
      </c>
      <c r="AC274" s="166">
        <v>1.60000007599592E-2</v>
      </c>
      <c r="AD274" s="349">
        <v>42927</v>
      </c>
      <c r="AE274" s="81" t="s">
        <v>155</v>
      </c>
      <c r="AG274" s="81" t="s">
        <v>238</v>
      </c>
      <c r="AH274" s="81" t="s">
        <v>118</v>
      </c>
      <c r="AK274" s="166">
        <v>0</v>
      </c>
      <c r="AM274" s="166">
        <v>0</v>
      </c>
      <c r="AO274" s="166">
        <v>0</v>
      </c>
      <c r="AP274" s="166">
        <v>1</v>
      </c>
      <c r="AQ274" s="166">
        <v>2</v>
      </c>
      <c r="AR274" s="166">
        <v>0</v>
      </c>
      <c r="AS274" s="166">
        <v>0</v>
      </c>
      <c r="AT274" s="166">
        <v>0</v>
      </c>
      <c r="AU274" s="166">
        <v>0</v>
      </c>
      <c r="AV274" s="166">
        <v>0</v>
      </c>
      <c r="AW274" s="166">
        <v>1</v>
      </c>
      <c r="AX274" s="166">
        <v>2</v>
      </c>
      <c r="AY274" s="166">
        <v>0</v>
      </c>
      <c r="AZ274" s="166">
        <v>0</v>
      </c>
      <c r="BA274" s="166">
        <v>0</v>
      </c>
      <c r="BB274" s="166">
        <v>0</v>
      </c>
      <c r="BC274" s="166">
        <v>0</v>
      </c>
      <c r="BD274" s="166">
        <v>0</v>
      </c>
      <c r="BE274" s="166">
        <v>0</v>
      </c>
      <c r="BF274" s="166">
        <v>0</v>
      </c>
      <c r="BG274" s="166">
        <v>0</v>
      </c>
      <c r="BH274" s="166">
        <v>0</v>
      </c>
      <c r="BI274" s="166">
        <v>0</v>
      </c>
      <c r="BJ274" s="166">
        <v>0</v>
      </c>
      <c r="BK274" s="166">
        <v>0</v>
      </c>
      <c r="BL274" s="166">
        <v>0</v>
      </c>
      <c r="BM274" s="166">
        <v>0</v>
      </c>
      <c r="BN274" s="166">
        <v>0</v>
      </c>
      <c r="BO274" s="166">
        <v>0</v>
      </c>
      <c r="BP274" s="166">
        <v>0</v>
      </c>
      <c r="BQ274" s="81" t="s">
        <v>1757</v>
      </c>
      <c r="BZ274" s="81" t="s">
        <v>155</v>
      </c>
      <c r="CA274" s="81" t="s">
        <v>3980</v>
      </c>
      <c r="CC274" s="167">
        <v>0</v>
      </c>
      <c r="CD274" s="167">
        <f>N274</f>
        <v>3</v>
      </c>
      <c r="CE274" s="167">
        <v>0</v>
      </c>
      <c r="CF274" s="167">
        <v>0</v>
      </c>
      <c r="CG274" s="167">
        <v>0</v>
      </c>
      <c r="CH274" s="167">
        <v>0</v>
      </c>
      <c r="CI274" s="167">
        <v>0</v>
      </c>
      <c r="CJ274" s="167">
        <v>0</v>
      </c>
      <c r="CK274" s="167">
        <v>0</v>
      </c>
      <c r="CL274" s="167">
        <v>0</v>
      </c>
      <c r="CM274" s="167">
        <v>0</v>
      </c>
      <c r="CN274" s="167">
        <v>0</v>
      </c>
      <c r="CO274" s="167">
        <v>0</v>
      </c>
      <c r="CP274" s="167">
        <v>0</v>
      </c>
      <c r="CQ274" s="167">
        <v>0</v>
      </c>
      <c r="CR274" s="167">
        <v>0</v>
      </c>
      <c r="CS274" s="167">
        <v>0</v>
      </c>
      <c r="CT274" s="167">
        <v>0</v>
      </c>
      <c r="CU274" s="167">
        <v>0</v>
      </c>
      <c r="CV274" s="167">
        <v>0</v>
      </c>
      <c r="CW274" s="167">
        <v>0</v>
      </c>
      <c r="CX274" s="167">
        <f>SUM(CD274:CH274)</f>
        <v>3</v>
      </c>
      <c r="CY274" s="167">
        <f>SUM(CD274:CM274)</f>
        <v>3</v>
      </c>
    </row>
    <row r="275" spans="1:103" ht="12.75" customHeight="1" x14ac:dyDescent="0.2">
      <c r="A275" s="81">
        <v>2266</v>
      </c>
      <c r="B275" s="165" t="s">
        <v>1908</v>
      </c>
      <c r="C275" s="165" t="s">
        <v>772</v>
      </c>
      <c r="E275" s="165" t="s">
        <v>1974</v>
      </c>
      <c r="G275" s="81">
        <v>524066</v>
      </c>
      <c r="H275" s="81">
        <v>175324</v>
      </c>
      <c r="I275" s="165" t="s">
        <v>259</v>
      </c>
      <c r="J275" s="349">
        <v>42825</v>
      </c>
      <c r="L275" s="166">
        <v>0</v>
      </c>
      <c r="M275" s="166">
        <v>15</v>
      </c>
      <c r="N275" s="166">
        <v>15</v>
      </c>
      <c r="O275" s="166">
        <v>15</v>
      </c>
      <c r="P275" s="166">
        <v>15</v>
      </c>
      <c r="Q275" s="81" t="s">
        <v>155</v>
      </c>
      <c r="R275" s="165" t="s">
        <v>773</v>
      </c>
      <c r="S275" s="81" t="s">
        <v>104</v>
      </c>
      <c r="T275" s="349">
        <v>42142</v>
      </c>
      <c r="U275" s="349">
        <v>42494</v>
      </c>
      <c r="W275" s="81" t="s">
        <v>114</v>
      </c>
      <c r="Y275" s="81" t="s">
        <v>115</v>
      </c>
      <c r="Z275" s="81" t="s">
        <v>116</v>
      </c>
      <c r="AA275" s="81" t="s">
        <v>116</v>
      </c>
      <c r="AB275" s="81" t="s">
        <v>218</v>
      </c>
      <c r="AC275" s="166">
        <v>5.2999999374151202E-2</v>
      </c>
      <c r="AD275" s="349">
        <v>42825</v>
      </c>
      <c r="AG275" s="81" t="s">
        <v>238</v>
      </c>
      <c r="AH275" s="81" t="s">
        <v>118</v>
      </c>
      <c r="AK275" s="166">
        <v>15</v>
      </c>
      <c r="AM275" s="166">
        <v>15</v>
      </c>
      <c r="AO275" s="166">
        <v>0</v>
      </c>
      <c r="AP275" s="166">
        <v>0</v>
      </c>
      <c r="AQ275" s="166">
        <v>14</v>
      </c>
      <c r="AR275" s="166">
        <v>1</v>
      </c>
      <c r="AS275" s="166">
        <v>0</v>
      </c>
      <c r="AT275" s="166">
        <v>0</v>
      </c>
      <c r="AU275" s="166">
        <v>0</v>
      </c>
      <c r="AV275" s="166">
        <v>0</v>
      </c>
      <c r="AW275" s="166">
        <v>0</v>
      </c>
      <c r="AX275" s="166">
        <v>14</v>
      </c>
      <c r="AY275" s="166">
        <v>1</v>
      </c>
      <c r="AZ275" s="166">
        <v>0</v>
      </c>
      <c r="BA275" s="166">
        <v>0</v>
      </c>
      <c r="BB275" s="166">
        <v>0</v>
      </c>
      <c r="BC275" s="166">
        <v>0</v>
      </c>
      <c r="BD275" s="166">
        <v>0</v>
      </c>
      <c r="BE275" s="166">
        <v>0</v>
      </c>
      <c r="BF275" s="166">
        <v>0</v>
      </c>
      <c r="BG275" s="166">
        <v>0</v>
      </c>
      <c r="BH275" s="166">
        <v>0</v>
      </c>
      <c r="BI275" s="166">
        <v>0</v>
      </c>
      <c r="BJ275" s="166">
        <v>0</v>
      </c>
      <c r="BK275" s="166">
        <v>0</v>
      </c>
      <c r="BL275" s="166">
        <v>0</v>
      </c>
      <c r="BM275" s="166">
        <v>0</v>
      </c>
      <c r="BN275" s="166">
        <v>0</v>
      </c>
      <c r="BO275" s="166">
        <v>0</v>
      </c>
      <c r="BP275" s="166">
        <v>0</v>
      </c>
      <c r="BQ275" s="81" t="s">
        <v>1758</v>
      </c>
      <c r="BR275" s="81" t="s">
        <v>161</v>
      </c>
      <c r="BZ275" s="81" t="s">
        <v>155</v>
      </c>
      <c r="CA275" s="81" t="s">
        <v>3976</v>
      </c>
      <c r="CC275" s="167">
        <v>0</v>
      </c>
      <c r="CD275" s="167">
        <f>N275</f>
        <v>15</v>
      </c>
      <c r="CE275" s="167">
        <v>0</v>
      </c>
      <c r="CF275" s="167">
        <v>0</v>
      </c>
      <c r="CG275" s="167">
        <v>0</v>
      </c>
      <c r="CH275" s="167">
        <v>0</v>
      </c>
      <c r="CI275" s="167">
        <v>0</v>
      </c>
      <c r="CJ275" s="167">
        <v>0</v>
      </c>
      <c r="CK275" s="167">
        <v>0</v>
      </c>
      <c r="CL275" s="167">
        <v>0</v>
      </c>
      <c r="CM275" s="167">
        <v>0</v>
      </c>
      <c r="CN275" s="167">
        <v>0</v>
      </c>
      <c r="CO275" s="167">
        <v>0</v>
      </c>
      <c r="CP275" s="167">
        <v>0</v>
      </c>
      <c r="CQ275" s="167">
        <v>0</v>
      </c>
      <c r="CR275" s="167">
        <v>0</v>
      </c>
      <c r="CS275" s="167">
        <v>0</v>
      </c>
      <c r="CT275" s="167">
        <v>0</v>
      </c>
      <c r="CU275" s="167">
        <v>0</v>
      </c>
      <c r="CV275" s="167">
        <v>0</v>
      </c>
      <c r="CW275" s="167">
        <v>0</v>
      </c>
      <c r="CX275" s="167">
        <f>SUM(CD275:CH275)</f>
        <v>15</v>
      </c>
      <c r="CY275" s="167">
        <f>SUM(CD275:CM275)</f>
        <v>15</v>
      </c>
    </row>
    <row r="276" spans="1:103" ht="12.75" customHeight="1" x14ac:dyDescent="0.2">
      <c r="A276" s="81">
        <v>2266</v>
      </c>
      <c r="B276" s="165" t="s">
        <v>1908</v>
      </c>
      <c r="C276" s="165" t="s">
        <v>1730</v>
      </c>
      <c r="E276" s="165" t="s">
        <v>1974</v>
      </c>
      <c r="G276" s="81">
        <v>524066</v>
      </c>
      <c r="H276" s="81">
        <v>175324</v>
      </c>
      <c r="I276" s="165" t="s">
        <v>259</v>
      </c>
      <c r="J276" s="349">
        <v>42985</v>
      </c>
      <c r="L276" s="166">
        <v>1</v>
      </c>
      <c r="M276" s="166">
        <v>1</v>
      </c>
      <c r="N276" s="166">
        <v>0</v>
      </c>
      <c r="O276" s="166">
        <v>1</v>
      </c>
      <c r="P276" s="166">
        <v>0</v>
      </c>
      <c r="Q276" s="81" t="s">
        <v>155</v>
      </c>
      <c r="R276" s="165" t="s">
        <v>1731</v>
      </c>
      <c r="S276" s="81" t="s">
        <v>509</v>
      </c>
      <c r="T276" s="349">
        <v>42790</v>
      </c>
      <c r="U276" s="349">
        <v>42984</v>
      </c>
      <c r="V276" s="81" t="s">
        <v>155</v>
      </c>
      <c r="W276" s="81" t="s">
        <v>114</v>
      </c>
      <c r="Y276" s="81" t="s">
        <v>115</v>
      </c>
      <c r="Z276" s="81" t="s">
        <v>119</v>
      </c>
      <c r="AA276" s="81" t="s">
        <v>117</v>
      </c>
      <c r="AB276" s="81" t="s">
        <v>220</v>
      </c>
      <c r="AC276" s="166">
        <v>4.0000001899898104E-3</v>
      </c>
      <c r="AD276" s="349">
        <v>42985</v>
      </c>
      <c r="AE276" s="81" t="s">
        <v>155</v>
      </c>
      <c r="AG276" s="81" t="s">
        <v>238</v>
      </c>
      <c r="AH276" s="81" t="s">
        <v>118</v>
      </c>
      <c r="AK276" s="166">
        <v>0</v>
      </c>
      <c r="AM276" s="166">
        <v>0</v>
      </c>
      <c r="AO276" s="166">
        <v>0</v>
      </c>
      <c r="AP276" s="166">
        <v>0</v>
      </c>
      <c r="AQ276" s="166">
        <v>-1</v>
      </c>
      <c r="AR276" s="166">
        <v>1</v>
      </c>
      <c r="AS276" s="166">
        <v>0</v>
      </c>
      <c r="AT276" s="166">
        <v>0</v>
      </c>
      <c r="AU276" s="166">
        <v>0</v>
      </c>
      <c r="AV276" s="166">
        <v>0</v>
      </c>
      <c r="AW276" s="166">
        <v>0</v>
      </c>
      <c r="AX276" s="166">
        <v>-1</v>
      </c>
      <c r="AY276" s="166">
        <v>1</v>
      </c>
      <c r="AZ276" s="166">
        <v>0</v>
      </c>
      <c r="BA276" s="166">
        <v>0</v>
      </c>
      <c r="BB276" s="166">
        <v>0</v>
      </c>
      <c r="BC276" s="166">
        <v>0</v>
      </c>
      <c r="BD276" s="166">
        <v>0</v>
      </c>
      <c r="BE276" s="166">
        <v>0</v>
      </c>
      <c r="BF276" s="166">
        <v>0</v>
      </c>
      <c r="BG276" s="166">
        <v>0</v>
      </c>
      <c r="BH276" s="166">
        <v>0</v>
      </c>
      <c r="BI276" s="166">
        <v>0</v>
      </c>
      <c r="BJ276" s="166">
        <v>0</v>
      </c>
      <c r="BK276" s="166">
        <v>0</v>
      </c>
      <c r="BL276" s="166">
        <v>0</v>
      </c>
      <c r="BM276" s="166">
        <v>0</v>
      </c>
      <c r="BN276" s="166">
        <v>0</v>
      </c>
      <c r="BO276" s="166">
        <v>0</v>
      </c>
      <c r="BP276" s="166">
        <v>0</v>
      </c>
      <c r="BQ276" s="81" t="s">
        <v>1758</v>
      </c>
      <c r="BR276" s="81" t="s">
        <v>161</v>
      </c>
      <c r="BZ276" s="81" t="s">
        <v>155</v>
      </c>
      <c r="CA276" s="81" t="s">
        <v>3980</v>
      </c>
      <c r="CC276" s="167">
        <v>0</v>
      </c>
      <c r="CD276" s="167">
        <f>N276</f>
        <v>0</v>
      </c>
      <c r="CE276" s="167">
        <v>0</v>
      </c>
      <c r="CF276" s="167">
        <v>0</v>
      </c>
      <c r="CG276" s="167">
        <v>0</v>
      </c>
      <c r="CH276" s="167">
        <v>0</v>
      </c>
      <c r="CI276" s="167">
        <v>0</v>
      </c>
      <c r="CJ276" s="167">
        <v>0</v>
      </c>
      <c r="CK276" s="167">
        <v>0</v>
      </c>
      <c r="CL276" s="167">
        <v>0</v>
      </c>
      <c r="CM276" s="167">
        <v>0</v>
      </c>
      <c r="CN276" s="167">
        <v>0</v>
      </c>
      <c r="CO276" s="167">
        <v>0</v>
      </c>
      <c r="CP276" s="167">
        <v>0</v>
      </c>
      <c r="CQ276" s="167">
        <v>0</v>
      </c>
      <c r="CR276" s="167">
        <v>0</v>
      </c>
      <c r="CS276" s="167">
        <v>0</v>
      </c>
      <c r="CT276" s="167">
        <v>0</v>
      </c>
      <c r="CU276" s="167">
        <v>0</v>
      </c>
      <c r="CV276" s="167">
        <v>0</v>
      </c>
      <c r="CW276" s="167">
        <v>0</v>
      </c>
      <c r="CX276" s="167">
        <f>SUM(CD276:CH276)</f>
        <v>0</v>
      </c>
      <c r="CY276" s="167">
        <f>SUM(CD276:CM276)</f>
        <v>0</v>
      </c>
    </row>
    <row r="277" spans="1:103" ht="12.75" customHeight="1" x14ac:dyDescent="0.2">
      <c r="A277" s="81">
        <v>2273</v>
      </c>
      <c r="B277" s="165" t="s">
        <v>1908</v>
      </c>
      <c r="C277" s="165" t="s">
        <v>1513</v>
      </c>
      <c r="E277" s="165" t="s">
        <v>1975</v>
      </c>
      <c r="G277" s="81">
        <v>525902</v>
      </c>
      <c r="H277" s="81">
        <v>173607</v>
      </c>
      <c r="I277" s="165" t="s">
        <v>249</v>
      </c>
      <c r="J277" s="349">
        <v>43190</v>
      </c>
      <c r="L277" s="166">
        <v>12</v>
      </c>
      <c r="M277" s="166">
        <v>10</v>
      </c>
      <c r="N277" s="166">
        <v>-2</v>
      </c>
      <c r="O277" s="166">
        <v>10</v>
      </c>
      <c r="P277" s="166">
        <v>-2</v>
      </c>
      <c r="Q277" s="81" t="s">
        <v>155</v>
      </c>
      <c r="R277" s="165" t="s">
        <v>1514</v>
      </c>
      <c r="S277" s="81" t="s">
        <v>113</v>
      </c>
      <c r="T277" s="349">
        <v>42747</v>
      </c>
      <c r="U277" s="349">
        <v>42818</v>
      </c>
      <c r="W277" s="81" t="s">
        <v>114</v>
      </c>
      <c r="Y277" s="81" t="s">
        <v>115</v>
      </c>
      <c r="Z277" s="81" t="s">
        <v>119</v>
      </c>
      <c r="AA277" s="81" t="s">
        <v>117</v>
      </c>
      <c r="AB277" s="81" t="s">
        <v>300</v>
      </c>
      <c r="AC277" s="166">
        <v>2.70000007003546E-2</v>
      </c>
      <c r="AD277" s="349">
        <v>43190</v>
      </c>
      <c r="AE277" s="81" t="s">
        <v>155</v>
      </c>
      <c r="AG277" s="81" t="s">
        <v>238</v>
      </c>
      <c r="AH277" s="81" t="s">
        <v>118</v>
      </c>
      <c r="AK277" s="166">
        <v>0</v>
      </c>
      <c r="AM277" s="166">
        <v>0</v>
      </c>
      <c r="AO277" s="166">
        <v>0</v>
      </c>
      <c r="AP277" s="166">
        <v>-1</v>
      </c>
      <c r="AQ277" s="166">
        <v>-1</v>
      </c>
      <c r="AR277" s="166">
        <v>0</v>
      </c>
      <c r="AS277" s="166">
        <v>0</v>
      </c>
      <c r="AT277" s="166">
        <v>0</v>
      </c>
      <c r="AU277" s="166">
        <v>0</v>
      </c>
      <c r="AV277" s="166">
        <v>0</v>
      </c>
      <c r="AW277" s="166">
        <v>-1</v>
      </c>
      <c r="AX277" s="166">
        <v>-1</v>
      </c>
      <c r="AY277" s="166">
        <v>0</v>
      </c>
      <c r="AZ277" s="166">
        <v>0</v>
      </c>
      <c r="BA277" s="166">
        <v>0</v>
      </c>
      <c r="BB277" s="166">
        <v>0</v>
      </c>
      <c r="BC277" s="166">
        <v>0</v>
      </c>
      <c r="BD277" s="166">
        <v>0</v>
      </c>
      <c r="BE277" s="166">
        <v>0</v>
      </c>
      <c r="BF277" s="166">
        <v>0</v>
      </c>
      <c r="BG277" s="166">
        <v>0</v>
      </c>
      <c r="BH277" s="166">
        <v>0</v>
      </c>
      <c r="BI277" s="166">
        <v>0</v>
      </c>
      <c r="BJ277" s="166">
        <v>0</v>
      </c>
      <c r="BK277" s="166">
        <v>0</v>
      </c>
      <c r="BL277" s="166">
        <v>0</v>
      </c>
      <c r="BM277" s="166">
        <v>0</v>
      </c>
      <c r="BN277" s="166">
        <v>0</v>
      </c>
      <c r="BO277" s="166">
        <v>0</v>
      </c>
      <c r="BP277" s="166">
        <v>0</v>
      </c>
      <c r="BQ277" s="81" t="s">
        <v>1758</v>
      </c>
      <c r="BY277" s="81" t="s">
        <v>155</v>
      </c>
      <c r="BZ277" s="81" t="s">
        <v>155</v>
      </c>
      <c r="CA277" s="81" t="s">
        <v>3981</v>
      </c>
      <c r="CC277" s="167">
        <v>0</v>
      </c>
      <c r="CD277" s="167">
        <f>$N277/2</f>
        <v>-1</v>
      </c>
      <c r="CE277" s="167">
        <f>$N277/2</f>
        <v>-1</v>
      </c>
      <c r="CF277" s="167">
        <v>0</v>
      </c>
      <c r="CG277" s="167">
        <v>0</v>
      </c>
      <c r="CH277" s="167">
        <v>0</v>
      </c>
      <c r="CI277" s="167">
        <v>0</v>
      </c>
      <c r="CJ277" s="167">
        <v>0</v>
      </c>
      <c r="CK277" s="167">
        <v>0</v>
      </c>
      <c r="CL277" s="167">
        <v>0</v>
      </c>
      <c r="CM277" s="167">
        <v>0</v>
      </c>
      <c r="CN277" s="167">
        <v>0</v>
      </c>
      <c r="CO277" s="167">
        <v>0</v>
      </c>
      <c r="CP277" s="167">
        <v>0</v>
      </c>
      <c r="CQ277" s="167">
        <v>0</v>
      </c>
      <c r="CR277" s="167">
        <v>0</v>
      </c>
      <c r="CS277" s="167">
        <v>0</v>
      </c>
      <c r="CT277" s="167">
        <v>0</v>
      </c>
      <c r="CU277" s="167">
        <v>0</v>
      </c>
      <c r="CV277" s="167">
        <v>0</v>
      </c>
      <c r="CW277" s="167">
        <v>0</v>
      </c>
      <c r="CX277" s="167">
        <f>SUM(CD277:CH277)</f>
        <v>-2</v>
      </c>
      <c r="CY277" s="167">
        <f>SUM(CD277:CM277)</f>
        <v>-2</v>
      </c>
    </row>
    <row r="278" spans="1:103" ht="12.75" customHeight="1" x14ac:dyDescent="0.2">
      <c r="A278" s="81">
        <v>2320</v>
      </c>
      <c r="B278" s="165" t="s">
        <v>1908</v>
      </c>
      <c r="C278" s="165" t="s">
        <v>440</v>
      </c>
      <c r="D278" s="165" t="s">
        <v>441</v>
      </c>
      <c r="E278" s="165" t="s">
        <v>1995</v>
      </c>
      <c r="G278" s="81">
        <v>527260</v>
      </c>
      <c r="H278" s="81">
        <v>177215</v>
      </c>
      <c r="I278" s="165" t="s">
        <v>257</v>
      </c>
      <c r="J278" s="349">
        <v>43190</v>
      </c>
      <c r="L278" s="166">
        <v>0</v>
      </c>
      <c r="M278" s="166">
        <v>94</v>
      </c>
      <c r="N278" s="166">
        <v>94</v>
      </c>
      <c r="O278" s="166">
        <v>118</v>
      </c>
      <c r="P278" s="166">
        <v>118</v>
      </c>
      <c r="Q278" s="81" t="s">
        <v>155</v>
      </c>
      <c r="R278" s="165" t="s">
        <v>1118</v>
      </c>
      <c r="S278" s="81" t="s">
        <v>104</v>
      </c>
      <c r="T278" s="349">
        <v>41855</v>
      </c>
      <c r="U278" s="349">
        <v>42185</v>
      </c>
      <c r="W278" s="81" t="s">
        <v>114</v>
      </c>
      <c r="Y278" s="81" t="s">
        <v>115</v>
      </c>
      <c r="Z278" s="81" t="s">
        <v>116</v>
      </c>
      <c r="AA278" s="81" t="s">
        <v>116</v>
      </c>
      <c r="AB278" s="81" t="s">
        <v>117</v>
      </c>
      <c r="AC278" s="166">
        <v>0.24699999392032601</v>
      </c>
      <c r="AD278" s="350">
        <v>43190</v>
      </c>
      <c r="AE278" s="81" t="s">
        <v>155</v>
      </c>
      <c r="AG278" s="81" t="s">
        <v>238</v>
      </c>
      <c r="AH278" s="81" t="s">
        <v>118</v>
      </c>
      <c r="AI278" s="81" t="s">
        <v>1996</v>
      </c>
      <c r="AK278" s="166">
        <v>94</v>
      </c>
      <c r="AM278" s="166">
        <v>94</v>
      </c>
      <c r="AO278" s="166">
        <v>0</v>
      </c>
      <c r="AP278" s="166">
        <v>21</v>
      </c>
      <c r="AQ278" s="166">
        <v>47</v>
      </c>
      <c r="AR278" s="166">
        <v>23</v>
      </c>
      <c r="AS278" s="166">
        <v>3</v>
      </c>
      <c r="AT278" s="166">
        <v>0</v>
      </c>
      <c r="AU278" s="166">
        <v>0</v>
      </c>
      <c r="AV278" s="166">
        <v>0</v>
      </c>
      <c r="AW278" s="166">
        <v>21</v>
      </c>
      <c r="AX278" s="166">
        <v>47</v>
      </c>
      <c r="AY278" s="166">
        <v>23</v>
      </c>
      <c r="AZ278" s="166">
        <v>3</v>
      </c>
      <c r="BA278" s="166">
        <v>0</v>
      </c>
      <c r="BB278" s="166">
        <v>0</v>
      </c>
      <c r="BC278" s="166">
        <v>0</v>
      </c>
      <c r="BD278" s="166">
        <v>0</v>
      </c>
      <c r="BE278" s="166">
        <v>0</v>
      </c>
      <c r="BF278" s="166">
        <v>0</v>
      </c>
      <c r="BG278" s="166">
        <v>0</v>
      </c>
      <c r="BH278" s="166">
        <v>0</v>
      </c>
      <c r="BI278" s="166">
        <v>0</v>
      </c>
      <c r="BJ278" s="166">
        <v>0</v>
      </c>
      <c r="BK278" s="166">
        <v>0</v>
      </c>
      <c r="BL278" s="166">
        <v>0</v>
      </c>
      <c r="BM278" s="166">
        <v>0</v>
      </c>
      <c r="BN278" s="166">
        <v>0</v>
      </c>
      <c r="BO278" s="166">
        <v>0</v>
      </c>
      <c r="BP278" s="166">
        <v>0</v>
      </c>
      <c r="BQ278" s="81" t="s">
        <v>1757</v>
      </c>
      <c r="BX278" s="81" t="s">
        <v>155</v>
      </c>
      <c r="BZ278" s="81" t="s">
        <v>155</v>
      </c>
      <c r="CA278" s="81" t="s">
        <v>3934</v>
      </c>
      <c r="CC278" s="167">
        <v>0</v>
      </c>
      <c r="CD278" s="167">
        <v>0</v>
      </c>
      <c r="CE278" s="167">
        <v>0</v>
      </c>
      <c r="CF278" s="167">
        <v>0</v>
      </c>
      <c r="CG278" s="167">
        <f>N278</f>
        <v>94</v>
      </c>
      <c r="CH278" s="167">
        <v>0</v>
      </c>
      <c r="CI278" s="167">
        <v>0</v>
      </c>
      <c r="CJ278" s="167">
        <v>0</v>
      </c>
      <c r="CK278" s="167">
        <v>0</v>
      </c>
      <c r="CL278" s="167">
        <v>0</v>
      </c>
      <c r="CM278" s="167">
        <v>0</v>
      </c>
      <c r="CN278" s="167">
        <v>0</v>
      </c>
      <c r="CO278" s="167">
        <v>0</v>
      </c>
      <c r="CP278" s="167">
        <v>0</v>
      </c>
      <c r="CQ278" s="167">
        <v>0</v>
      </c>
      <c r="CR278" s="167">
        <v>0</v>
      </c>
      <c r="CS278" s="167">
        <v>0</v>
      </c>
      <c r="CT278" s="167">
        <v>0</v>
      </c>
      <c r="CU278" s="167">
        <v>0</v>
      </c>
      <c r="CV278" s="167">
        <v>0</v>
      </c>
      <c r="CW278" s="167">
        <v>0</v>
      </c>
      <c r="CX278" s="167">
        <f>SUM(CD278:CH278)</f>
        <v>94</v>
      </c>
      <c r="CY278" s="167">
        <f>SUM(CD278:CM278)</f>
        <v>94</v>
      </c>
    </row>
    <row r="279" spans="1:103" ht="12.75" customHeight="1" x14ac:dyDescent="0.2">
      <c r="A279" s="81">
        <v>2320</v>
      </c>
      <c r="B279" s="165" t="s">
        <v>1908</v>
      </c>
      <c r="C279" s="165" t="s">
        <v>440</v>
      </c>
      <c r="D279" s="165" t="s">
        <v>441</v>
      </c>
      <c r="E279" s="165" t="s">
        <v>1995</v>
      </c>
      <c r="G279" s="81">
        <v>527260</v>
      </c>
      <c r="H279" s="81">
        <v>177215</v>
      </c>
      <c r="I279" s="165" t="s">
        <v>257</v>
      </c>
      <c r="J279" s="349">
        <v>43190</v>
      </c>
      <c r="L279" s="166">
        <v>0</v>
      </c>
      <c r="M279" s="166">
        <v>14</v>
      </c>
      <c r="N279" s="166">
        <v>14</v>
      </c>
      <c r="O279" s="166">
        <v>118</v>
      </c>
      <c r="P279" s="166">
        <v>118</v>
      </c>
      <c r="Q279" s="81" t="s">
        <v>155</v>
      </c>
      <c r="R279" s="165" t="s">
        <v>1118</v>
      </c>
      <c r="S279" s="81" t="s">
        <v>104</v>
      </c>
      <c r="T279" s="349">
        <v>41855</v>
      </c>
      <c r="U279" s="349">
        <v>42185</v>
      </c>
      <c r="W279" s="81" t="s">
        <v>114</v>
      </c>
      <c r="Y279" s="81" t="s">
        <v>115</v>
      </c>
      <c r="Z279" s="81" t="s">
        <v>116</v>
      </c>
      <c r="AA279" s="81" t="s">
        <v>116</v>
      </c>
      <c r="AB279" s="81" t="s">
        <v>117</v>
      </c>
      <c r="AC279" s="166">
        <v>3.70000004768372E-2</v>
      </c>
      <c r="AD279" s="350">
        <v>43190</v>
      </c>
      <c r="AE279" s="81" t="s">
        <v>155</v>
      </c>
      <c r="AG279" s="81" t="s">
        <v>154</v>
      </c>
      <c r="AH279" s="81" t="s">
        <v>312</v>
      </c>
      <c r="AI279" s="81" t="s">
        <v>1996</v>
      </c>
      <c r="AK279" s="166">
        <v>14</v>
      </c>
      <c r="AM279" s="166">
        <v>14</v>
      </c>
      <c r="AO279" s="166">
        <v>0</v>
      </c>
      <c r="AP279" s="166">
        <v>1</v>
      </c>
      <c r="AQ279" s="166">
        <v>0</v>
      </c>
      <c r="AR279" s="166">
        <v>13</v>
      </c>
      <c r="AS279" s="166">
        <v>0</v>
      </c>
      <c r="AT279" s="166">
        <v>0</v>
      </c>
      <c r="AU279" s="166">
        <v>0</v>
      </c>
      <c r="AV279" s="166">
        <v>0</v>
      </c>
      <c r="AW279" s="166">
        <v>1</v>
      </c>
      <c r="AX279" s="166">
        <v>0</v>
      </c>
      <c r="AY279" s="166">
        <v>13</v>
      </c>
      <c r="AZ279" s="166">
        <v>0</v>
      </c>
      <c r="BA279" s="166">
        <v>0</v>
      </c>
      <c r="BB279" s="166">
        <v>0</v>
      </c>
      <c r="BC279" s="166">
        <v>0</v>
      </c>
      <c r="BD279" s="166">
        <v>0</v>
      </c>
      <c r="BE279" s="166">
        <v>0</v>
      </c>
      <c r="BF279" s="166">
        <v>0</v>
      </c>
      <c r="BG279" s="166">
        <v>0</v>
      </c>
      <c r="BH279" s="166">
        <v>0</v>
      </c>
      <c r="BI279" s="166">
        <v>0</v>
      </c>
      <c r="BJ279" s="166">
        <v>0</v>
      </c>
      <c r="BK279" s="166">
        <v>0</v>
      </c>
      <c r="BL279" s="166">
        <v>0</v>
      </c>
      <c r="BM279" s="166">
        <v>0</v>
      </c>
      <c r="BN279" s="166">
        <v>0</v>
      </c>
      <c r="BO279" s="166">
        <v>0</v>
      </c>
      <c r="BP279" s="166">
        <v>0</v>
      </c>
      <c r="BQ279" s="81" t="s">
        <v>1757</v>
      </c>
      <c r="BX279" s="81" t="s">
        <v>155</v>
      </c>
      <c r="BZ279" s="81" t="s">
        <v>155</v>
      </c>
      <c r="CA279" s="81" t="s">
        <v>3934</v>
      </c>
      <c r="CC279" s="167">
        <v>0</v>
      </c>
      <c r="CD279" s="167">
        <v>0</v>
      </c>
      <c r="CE279" s="167">
        <v>0</v>
      </c>
      <c r="CF279" s="167">
        <v>0</v>
      </c>
      <c r="CG279" s="167">
        <f>N279</f>
        <v>14</v>
      </c>
      <c r="CH279" s="167">
        <v>0</v>
      </c>
      <c r="CI279" s="167">
        <v>0</v>
      </c>
      <c r="CJ279" s="167">
        <v>0</v>
      </c>
      <c r="CK279" s="167">
        <v>0</v>
      </c>
      <c r="CL279" s="167">
        <v>0</v>
      </c>
      <c r="CM279" s="167">
        <v>0</v>
      </c>
      <c r="CN279" s="167">
        <v>0</v>
      </c>
      <c r="CO279" s="167">
        <v>0</v>
      </c>
      <c r="CP279" s="167">
        <v>0</v>
      </c>
      <c r="CQ279" s="167">
        <v>0</v>
      </c>
      <c r="CR279" s="167">
        <v>0</v>
      </c>
      <c r="CS279" s="167">
        <v>0</v>
      </c>
      <c r="CT279" s="167">
        <v>0</v>
      </c>
      <c r="CU279" s="167">
        <v>0</v>
      </c>
      <c r="CV279" s="167">
        <v>0</v>
      </c>
      <c r="CW279" s="167">
        <v>0</v>
      </c>
      <c r="CX279" s="167">
        <f>SUM(CD279:CH279)</f>
        <v>14</v>
      </c>
      <c r="CY279" s="167">
        <f>SUM(CD279:CM279)</f>
        <v>14</v>
      </c>
    </row>
    <row r="280" spans="1:103" ht="12.75" customHeight="1" x14ac:dyDescent="0.2">
      <c r="A280" s="81">
        <v>2320</v>
      </c>
      <c r="B280" s="165" t="s">
        <v>1908</v>
      </c>
      <c r="C280" s="165" t="s">
        <v>440</v>
      </c>
      <c r="D280" s="165" t="s">
        <v>441</v>
      </c>
      <c r="E280" s="165" t="s">
        <v>1995</v>
      </c>
      <c r="G280" s="81">
        <v>527260</v>
      </c>
      <c r="H280" s="81">
        <v>177215</v>
      </c>
      <c r="I280" s="165" t="s">
        <v>257</v>
      </c>
      <c r="J280" s="349">
        <v>43190</v>
      </c>
      <c r="L280" s="166">
        <v>0</v>
      </c>
      <c r="M280" s="166">
        <v>10</v>
      </c>
      <c r="N280" s="166">
        <v>10</v>
      </c>
      <c r="O280" s="166">
        <v>118</v>
      </c>
      <c r="P280" s="166">
        <v>118</v>
      </c>
      <c r="Q280" s="81" t="s">
        <v>155</v>
      </c>
      <c r="R280" s="165" t="s">
        <v>1118</v>
      </c>
      <c r="S280" s="81" t="s">
        <v>104</v>
      </c>
      <c r="T280" s="349">
        <v>41855</v>
      </c>
      <c r="U280" s="349">
        <v>42185</v>
      </c>
      <c r="W280" s="81" t="s">
        <v>114</v>
      </c>
      <c r="Y280" s="81" t="s">
        <v>115</v>
      </c>
      <c r="Z280" s="81" t="s">
        <v>116</v>
      </c>
      <c r="AA280" s="81" t="s">
        <v>117</v>
      </c>
      <c r="AB280" s="81" t="s">
        <v>218</v>
      </c>
      <c r="AC280" s="166">
        <v>2.60000005364418E-2</v>
      </c>
      <c r="AD280" s="350">
        <v>43190</v>
      </c>
      <c r="AE280" s="81" t="s">
        <v>155</v>
      </c>
      <c r="AG280" s="81" t="s">
        <v>74</v>
      </c>
      <c r="AH280" s="81" t="s">
        <v>1913</v>
      </c>
      <c r="AI280" s="81" t="s">
        <v>1996</v>
      </c>
      <c r="AK280" s="166">
        <v>10</v>
      </c>
      <c r="AM280" s="166">
        <v>10</v>
      </c>
      <c r="AO280" s="166">
        <v>0</v>
      </c>
      <c r="AP280" s="166">
        <v>6</v>
      </c>
      <c r="AQ280" s="166">
        <v>2</v>
      </c>
      <c r="AR280" s="166">
        <v>2</v>
      </c>
      <c r="AS280" s="166">
        <v>0</v>
      </c>
      <c r="AT280" s="166">
        <v>0</v>
      </c>
      <c r="AU280" s="166">
        <v>0</v>
      </c>
      <c r="AV280" s="166">
        <v>0</v>
      </c>
      <c r="AW280" s="166">
        <v>6</v>
      </c>
      <c r="AX280" s="166">
        <v>2</v>
      </c>
      <c r="AY280" s="166">
        <v>2</v>
      </c>
      <c r="AZ280" s="166">
        <v>0</v>
      </c>
      <c r="BA280" s="166">
        <v>0</v>
      </c>
      <c r="BB280" s="166">
        <v>0</v>
      </c>
      <c r="BC280" s="166">
        <v>0</v>
      </c>
      <c r="BD280" s="166">
        <v>0</v>
      </c>
      <c r="BE280" s="166">
        <v>0</v>
      </c>
      <c r="BF280" s="166">
        <v>0</v>
      </c>
      <c r="BG280" s="166">
        <v>0</v>
      </c>
      <c r="BH280" s="166">
        <v>0</v>
      </c>
      <c r="BI280" s="166">
        <v>0</v>
      </c>
      <c r="BJ280" s="166">
        <v>0</v>
      </c>
      <c r="BK280" s="166">
        <v>0</v>
      </c>
      <c r="BL280" s="166">
        <v>0</v>
      </c>
      <c r="BM280" s="166">
        <v>0</v>
      </c>
      <c r="BN280" s="166">
        <v>0</v>
      </c>
      <c r="BO280" s="166">
        <v>0</v>
      </c>
      <c r="BP280" s="166">
        <v>0</v>
      </c>
      <c r="BQ280" s="81" t="s">
        <v>1757</v>
      </c>
      <c r="BX280" s="81" t="s">
        <v>155</v>
      </c>
      <c r="BZ280" s="81" t="s">
        <v>155</v>
      </c>
      <c r="CA280" s="81" t="s">
        <v>3934</v>
      </c>
      <c r="CC280" s="167">
        <v>0</v>
      </c>
      <c r="CD280" s="167">
        <v>0</v>
      </c>
      <c r="CE280" s="167">
        <v>0</v>
      </c>
      <c r="CF280" s="167">
        <v>0</v>
      </c>
      <c r="CG280" s="167">
        <f>N280</f>
        <v>10</v>
      </c>
      <c r="CH280" s="167">
        <v>0</v>
      </c>
      <c r="CI280" s="167">
        <v>0</v>
      </c>
      <c r="CJ280" s="167">
        <v>0</v>
      </c>
      <c r="CK280" s="167">
        <v>0</v>
      </c>
      <c r="CL280" s="167">
        <v>0</v>
      </c>
      <c r="CM280" s="167">
        <v>0</v>
      </c>
      <c r="CN280" s="167">
        <v>0</v>
      </c>
      <c r="CO280" s="167">
        <v>0</v>
      </c>
      <c r="CP280" s="167">
        <v>0</v>
      </c>
      <c r="CQ280" s="167">
        <v>0</v>
      </c>
      <c r="CR280" s="167">
        <v>0</v>
      </c>
      <c r="CS280" s="167">
        <v>0</v>
      </c>
      <c r="CT280" s="167">
        <v>0</v>
      </c>
      <c r="CU280" s="167">
        <v>0</v>
      </c>
      <c r="CV280" s="167">
        <v>0</v>
      </c>
      <c r="CW280" s="167">
        <v>0</v>
      </c>
      <c r="CX280" s="167">
        <f>SUM(CD280:CH280)</f>
        <v>10</v>
      </c>
      <c r="CY280" s="167">
        <f>SUM(CD280:CM280)</f>
        <v>10</v>
      </c>
    </row>
    <row r="281" spans="1:103" ht="12.75" customHeight="1" x14ac:dyDescent="0.2">
      <c r="A281" s="81">
        <v>2338</v>
      </c>
      <c r="B281" s="165" t="s">
        <v>1908</v>
      </c>
      <c r="C281" s="165" t="s">
        <v>313</v>
      </c>
      <c r="E281" s="165" t="s">
        <v>1997</v>
      </c>
      <c r="G281" s="81">
        <v>527689</v>
      </c>
      <c r="H281" s="81">
        <v>175864</v>
      </c>
      <c r="I281" s="165" t="s">
        <v>256</v>
      </c>
      <c r="J281" s="349">
        <v>43154</v>
      </c>
      <c r="L281" s="166">
        <v>0</v>
      </c>
      <c r="M281" s="166">
        <v>1</v>
      </c>
      <c r="N281" s="166">
        <v>1</v>
      </c>
      <c r="O281" s="166">
        <v>1</v>
      </c>
      <c r="P281" s="166">
        <v>1</v>
      </c>
      <c r="R281" s="165" t="s">
        <v>1119</v>
      </c>
      <c r="S281" s="81" t="s">
        <v>113</v>
      </c>
      <c r="T281" s="349">
        <v>41925</v>
      </c>
      <c r="U281" s="349">
        <v>42062</v>
      </c>
      <c r="W281" s="81" t="s">
        <v>114</v>
      </c>
      <c r="Y281" s="81" t="s">
        <v>115</v>
      </c>
      <c r="Z281" s="81" t="s">
        <v>116</v>
      </c>
      <c r="AA281" s="81" t="s">
        <v>117</v>
      </c>
      <c r="AB281" s="81" t="s">
        <v>218</v>
      </c>
      <c r="AC281" s="166">
        <v>8.0000003799796104E-3</v>
      </c>
      <c r="AD281" s="349">
        <v>43154</v>
      </c>
      <c r="AE281" s="81" t="s">
        <v>155</v>
      </c>
      <c r="AG281" s="81" t="s">
        <v>238</v>
      </c>
      <c r="AH281" s="81" t="s">
        <v>118</v>
      </c>
      <c r="AK281" s="166">
        <v>0</v>
      </c>
      <c r="AM281" s="166">
        <v>0</v>
      </c>
      <c r="AO281" s="166">
        <v>0</v>
      </c>
      <c r="AP281" s="166">
        <v>0</v>
      </c>
      <c r="AQ281" s="166">
        <v>1</v>
      </c>
      <c r="AR281" s="166">
        <v>0</v>
      </c>
      <c r="AS281" s="166">
        <v>0</v>
      </c>
      <c r="AT281" s="166">
        <v>0</v>
      </c>
      <c r="AU281" s="166">
        <v>0</v>
      </c>
      <c r="AV281" s="166">
        <v>0</v>
      </c>
      <c r="AW281" s="166">
        <v>0</v>
      </c>
      <c r="AX281" s="166">
        <v>1</v>
      </c>
      <c r="AY281" s="166">
        <v>0</v>
      </c>
      <c r="AZ281" s="166">
        <v>0</v>
      </c>
      <c r="BA281" s="166">
        <v>0</v>
      </c>
      <c r="BB281" s="166">
        <v>0</v>
      </c>
      <c r="BC281" s="166">
        <v>0</v>
      </c>
      <c r="BD281" s="166">
        <v>0</v>
      </c>
      <c r="BE281" s="166">
        <v>0</v>
      </c>
      <c r="BF281" s="166">
        <v>0</v>
      </c>
      <c r="BG281" s="166">
        <v>0</v>
      </c>
      <c r="BH281" s="166">
        <v>0</v>
      </c>
      <c r="BI281" s="166">
        <v>0</v>
      </c>
      <c r="BJ281" s="166">
        <v>0</v>
      </c>
      <c r="BK281" s="166">
        <v>0</v>
      </c>
      <c r="BL281" s="166">
        <v>0</v>
      </c>
      <c r="BM281" s="166">
        <v>0</v>
      </c>
      <c r="BN281" s="166">
        <v>0</v>
      </c>
      <c r="BO281" s="166">
        <v>0</v>
      </c>
      <c r="BP281" s="166">
        <v>0</v>
      </c>
      <c r="BQ281" s="81" t="s">
        <v>1757</v>
      </c>
      <c r="BZ281" s="81" t="s">
        <v>155</v>
      </c>
      <c r="CA281" s="81" t="s">
        <v>3977</v>
      </c>
      <c r="CC281" s="167">
        <v>0</v>
      </c>
      <c r="CD281" s="167">
        <f>$N281/2</f>
        <v>0.5</v>
      </c>
      <c r="CE281" s="167">
        <f>$N281/2</f>
        <v>0.5</v>
      </c>
      <c r="CF281" s="167">
        <v>0</v>
      </c>
      <c r="CG281" s="167">
        <v>0</v>
      </c>
      <c r="CH281" s="167">
        <v>0</v>
      </c>
      <c r="CI281" s="167">
        <v>0</v>
      </c>
      <c r="CJ281" s="167">
        <v>0</v>
      </c>
      <c r="CK281" s="167">
        <v>0</v>
      </c>
      <c r="CL281" s="167">
        <v>0</v>
      </c>
      <c r="CM281" s="167">
        <v>0</v>
      </c>
      <c r="CN281" s="167">
        <v>0</v>
      </c>
      <c r="CO281" s="167">
        <v>0</v>
      </c>
      <c r="CP281" s="167">
        <v>0</v>
      </c>
      <c r="CQ281" s="167">
        <v>0</v>
      </c>
      <c r="CR281" s="167">
        <v>0</v>
      </c>
      <c r="CS281" s="167">
        <v>0</v>
      </c>
      <c r="CT281" s="167">
        <v>0</v>
      </c>
      <c r="CU281" s="167">
        <v>0</v>
      </c>
      <c r="CV281" s="167">
        <v>0</v>
      </c>
      <c r="CW281" s="167">
        <v>0</v>
      </c>
      <c r="CX281" s="167">
        <f>SUM(CD281:CH281)</f>
        <v>1</v>
      </c>
      <c r="CY281" s="167">
        <f>SUM(CD281:CM281)</f>
        <v>1</v>
      </c>
    </row>
    <row r="282" spans="1:103" ht="12.75" customHeight="1" x14ac:dyDescent="0.2">
      <c r="A282" s="81">
        <v>2411</v>
      </c>
      <c r="B282" s="165" t="s">
        <v>1908</v>
      </c>
      <c r="C282" s="165" t="s">
        <v>4039</v>
      </c>
      <c r="D282" s="165" t="s">
        <v>508</v>
      </c>
      <c r="E282" s="165" t="s">
        <v>1982</v>
      </c>
      <c r="F282" s="165" t="s">
        <v>510</v>
      </c>
      <c r="G282" s="81">
        <v>528934</v>
      </c>
      <c r="H282" s="81">
        <v>177496</v>
      </c>
      <c r="I282" s="165" t="s">
        <v>240</v>
      </c>
      <c r="J282" s="349">
        <v>41698</v>
      </c>
      <c r="L282" s="166">
        <v>0</v>
      </c>
      <c r="M282" s="166">
        <v>253</v>
      </c>
      <c r="N282" s="166">
        <v>253</v>
      </c>
      <c r="O282" s="166">
        <v>253</v>
      </c>
      <c r="P282" s="166">
        <v>253</v>
      </c>
      <c r="Q282" s="81" t="s">
        <v>155</v>
      </c>
      <c r="R282" s="165" t="s">
        <v>4040</v>
      </c>
      <c r="S282" s="81" t="s">
        <v>1916</v>
      </c>
      <c r="T282" s="349">
        <v>42817</v>
      </c>
      <c r="U282" s="349">
        <v>42873</v>
      </c>
      <c r="V282" s="81" t="s">
        <v>155</v>
      </c>
      <c r="W282" s="81" t="s">
        <v>114</v>
      </c>
      <c r="Y282" s="81" t="s">
        <v>115</v>
      </c>
      <c r="Z282" s="81" t="s">
        <v>398</v>
      </c>
      <c r="AA282" s="81" t="s">
        <v>92</v>
      </c>
      <c r="AB282" s="81" t="s">
        <v>117</v>
      </c>
      <c r="AC282" s="166">
        <v>0.31900000000000001</v>
      </c>
      <c r="AD282" s="349">
        <v>41698</v>
      </c>
      <c r="AG282" s="81" t="s">
        <v>238</v>
      </c>
      <c r="AH282" s="81" t="s">
        <v>118</v>
      </c>
      <c r="AI282" s="352" t="s">
        <v>1983</v>
      </c>
      <c r="AK282" s="166">
        <v>253</v>
      </c>
      <c r="AM282" s="166">
        <v>25</v>
      </c>
      <c r="AO282" s="166">
        <v>73</v>
      </c>
      <c r="AP282" s="166">
        <v>48</v>
      </c>
      <c r="AQ282" s="166">
        <v>79</v>
      </c>
      <c r="AR282" s="166">
        <v>41</v>
      </c>
      <c r="AS282" s="166">
        <v>9</v>
      </c>
      <c r="AT282" s="166">
        <v>3</v>
      </c>
      <c r="AU282" s="166">
        <v>0</v>
      </c>
      <c r="AV282" s="166">
        <v>73</v>
      </c>
      <c r="AW282" s="166">
        <v>48</v>
      </c>
      <c r="AX282" s="166">
        <v>79</v>
      </c>
      <c r="AY282" s="166">
        <v>41</v>
      </c>
      <c r="AZ282" s="166">
        <v>9</v>
      </c>
      <c r="BA282" s="166">
        <v>3</v>
      </c>
      <c r="BB282" s="166">
        <v>0</v>
      </c>
      <c r="BC282" s="166">
        <v>0</v>
      </c>
      <c r="BD282" s="166">
        <v>0</v>
      </c>
      <c r="BE282" s="166">
        <v>0</v>
      </c>
      <c r="BF282" s="166">
        <v>0</v>
      </c>
      <c r="BG282" s="166">
        <v>0</v>
      </c>
      <c r="BH282" s="166">
        <v>0</v>
      </c>
      <c r="BI282" s="166">
        <v>0</v>
      </c>
      <c r="BJ282" s="166">
        <v>0</v>
      </c>
      <c r="BK282" s="166">
        <v>0</v>
      </c>
      <c r="BL282" s="166">
        <v>0</v>
      </c>
      <c r="BM282" s="166">
        <v>0</v>
      </c>
      <c r="BN282" s="166">
        <v>0</v>
      </c>
      <c r="BO282" s="166">
        <v>0</v>
      </c>
      <c r="BP282" s="166">
        <v>0</v>
      </c>
      <c r="BQ282" s="81" t="s">
        <v>1759</v>
      </c>
      <c r="BS282" s="81" t="s">
        <v>155</v>
      </c>
      <c r="BZ282" s="81" t="s">
        <v>155</v>
      </c>
      <c r="CA282" s="81">
        <v>12</v>
      </c>
      <c r="CC282" s="167">
        <v>0</v>
      </c>
      <c r="CD282" s="167">
        <v>0</v>
      </c>
      <c r="CE282" s="167">
        <v>0</v>
      </c>
      <c r="CF282" s="167">
        <v>253</v>
      </c>
      <c r="CG282" s="167">
        <v>0</v>
      </c>
      <c r="CH282" s="167">
        <v>0</v>
      </c>
      <c r="CI282" s="167">
        <v>0</v>
      </c>
      <c r="CJ282" s="167">
        <v>0</v>
      </c>
      <c r="CK282" s="167">
        <v>0</v>
      </c>
      <c r="CL282" s="167">
        <v>0</v>
      </c>
      <c r="CM282" s="167">
        <v>0</v>
      </c>
      <c r="CN282" s="167">
        <v>0</v>
      </c>
      <c r="CO282" s="167">
        <v>0</v>
      </c>
      <c r="CP282" s="167">
        <v>0</v>
      </c>
      <c r="CQ282" s="167">
        <v>0</v>
      </c>
      <c r="CR282" s="167">
        <v>0</v>
      </c>
      <c r="CS282" s="167">
        <v>0</v>
      </c>
      <c r="CT282" s="167">
        <v>0</v>
      </c>
      <c r="CU282" s="167">
        <v>0</v>
      </c>
      <c r="CV282" s="167">
        <v>0</v>
      </c>
      <c r="CW282" s="167">
        <v>0</v>
      </c>
      <c r="CX282" s="167">
        <v>253</v>
      </c>
      <c r="CY282" s="167">
        <v>253</v>
      </c>
    </row>
    <row r="283" spans="1:103" ht="12.75" customHeight="1" x14ac:dyDescent="0.2">
      <c r="A283" s="81">
        <v>2411</v>
      </c>
      <c r="B283" s="165" t="s">
        <v>1908</v>
      </c>
      <c r="C283" s="165" t="s">
        <v>1846</v>
      </c>
      <c r="D283" s="165" t="s">
        <v>508</v>
      </c>
      <c r="E283" s="165" t="s">
        <v>1982</v>
      </c>
      <c r="F283" s="165" t="s">
        <v>1847</v>
      </c>
      <c r="G283" s="81">
        <v>528934</v>
      </c>
      <c r="H283" s="81">
        <v>177496</v>
      </c>
      <c r="I283" s="165" t="s">
        <v>240</v>
      </c>
      <c r="J283" s="349">
        <v>42506</v>
      </c>
      <c r="L283" s="166">
        <v>0</v>
      </c>
      <c r="M283" s="166">
        <v>536</v>
      </c>
      <c r="N283" s="166">
        <v>536</v>
      </c>
      <c r="O283" s="166">
        <v>1363</v>
      </c>
      <c r="P283" s="166">
        <v>1363</v>
      </c>
      <c r="Q283" s="81" t="s">
        <v>155</v>
      </c>
      <c r="R283" s="165" t="s">
        <v>1849</v>
      </c>
      <c r="S283" s="81" t="s">
        <v>1998</v>
      </c>
      <c r="T283" s="349">
        <v>43010</v>
      </c>
      <c r="U283" s="349">
        <v>43066</v>
      </c>
      <c r="V283" s="81" t="s">
        <v>155</v>
      </c>
      <c r="W283" s="81" t="s">
        <v>114</v>
      </c>
      <c r="Y283" s="81" t="s">
        <v>115</v>
      </c>
      <c r="Z283" s="81" t="s">
        <v>116</v>
      </c>
      <c r="AA283" s="81" t="s">
        <v>116</v>
      </c>
      <c r="AB283" s="81" t="s">
        <v>117</v>
      </c>
      <c r="AC283" s="166">
        <v>0.67700000000000005</v>
      </c>
      <c r="AD283" s="349">
        <v>42506</v>
      </c>
      <c r="AG283" s="81" t="s">
        <v>238</v>
      </c>
      <c r="AH283" s="81" t="s">
        <v>118</v>
      </c>
      <c r="AI283" s="353" t="s">
        <v>1983</v>
      </c>
      <c r="AK283" s="166">
        <v>536</v>
      </c>
      <c r="AM283" s="166">
        <v>54</v>
      </c>
      <c r="AO283" s="166">
        <v>57</v>
      </c>
      <c r="AP283" s="166">
        <v>65</v>
      </c>
      <c r="AQ283" s="166">
        <v>234</v>
      </c>
      <c r="AR283" s="166">
        <v>131</v>
      </c>
      <c r="AS283" s="166">
        <v>16</v>
      </c>
      <c r="AT283" s="166">
        <v>33</v>
      </c>
      <c r="AU283" s="166">
        <v>0</v>
      </c>
      <c r="AV283" s="166">
        <v>57</v>
      </c>
      <c r="AW283" s="166">
        <v>65</v>
      </c>
      <c r="AX283" s="166">
        <v>234</v>
      </c>
      <c r="AY283" s="166">
        <v>131</v>
      </c>
      <c r="AZ283" s="166">
        <v>16</v>
      </c>
      <c r="BA283" s="166">
        <v>33</v>
      </c>
      <c r="BB283" s="166">
        <v>0</v>
      </c>
      <c r="BC283" s="166">
        <v>0</v>
      </c>
      <c r="BD283" s="166">
        <v>0</v>
      </c>
      <c r="BE283" s="166">
        <v>0</v>
      </c>
      <c r="BF283" s="166">
        <v>0</v>
      </c>
      <c r="BG283" s="166">
        <v>0</v>
      </c>
      <c r="BH283" s="166">
        <v>0</v>
      </c>
      <c r="BI283" s="166">
        <v>0</v>
      </c>
      <c r="BJ283" s="166">
        <v>0</v>
      </c>
      <c r="BK283" s="166">
        <v>0</v>
      </c>
      <c r="BL283" s="166">
        <v>0</v>
      </c>
      <c r="BM283" s="166">
        <v>0</v>
      </c>
      <c r="BN283" s="166">
        <v>0</v>
      </c>
      <c r="BO283" s="166">
        <v>0</v>
      </c>
      <c r="BP283" s="166">
        <v>0</v>
      </c>
      <c r="BQ283" s="81" t="s">
        <v>1759</v>
      </c>
      <c r="BS283" s="81" t="s">
        <v>155</v>
      </c>
      <c r="BZ283" s="81" t="s">
        <v>155</v>
      </c>
      <c r="CA283" s="81">
        <v>12</v>
      </c>
      <c r="CC283" s="167">
        <v>0</v>
      </c>
      <c r="CD283" s="167">
        <v>0</v>
      </c>
      <c r="CE283" s="167">
        <v>300</v>
      </c>
      <c r="CF283" s="167">
        <v>236</v>
      </c>
      <c r="CG283" s="167">
        <v>0</v>
      </c>
      <c r="CH283" s="167">
        <v>0</v>
      </c>
      <c r="CI283" s="167">
        <v>0</v>
      </c>
      <c r="CJ283" s="167">
        <v>0</v>
      </c>
      <c r="CK283" s="167">
        <v>0</v>
      </c>
      <c r="CL283" s="167">
        <v>0</v>
      </c>
      <c r="CM283" s="167">
        <v>0</v>
      </c>
      <c r="CN283" s="167">
        <v>0</v>
      </c>
      <c r="CO283" s="167">
        <v>0</v>
      </c>
      <c r="CP283" s="167">
        <v>0</v>
      </c>
      <c r="CQ283" s="167">
        <v>0</v>
      </c>
      <c r="CR283" s="167">
        <v>0</v>
      </c>
      <c r="CS283" s="167">
        <v>0</v>
      </c>
      <c r="CT283" s="167">
        <v>0</v>
      </c>
      <c r="CU283" s="167">
        <v>0</v>
      </c>
      <c r="CV283" s="167">
        <v>0</v>
      </c>
      <c r="CW283" s="167">
        <v>0</v>
      </c>
      <c r="CX283" s="167">
        <v>536</v>
      </c>
      <c r="CY283" s="167">
        <v>536</v>
      </c>
    </row>
    <row r="284" spans="1:103" ht="12.75" customHeight="1" x14ac:dyDescent="0.2">
      <c r="A284" s="81">
        <v>2502</v>
      </c>
      <c r="B284" s="165" t="s">
        <v>1908</v>
      </c>
      <c r="C284" s="165" t="s">
        <v>236</v>
      </c>
      <c r="E284" s="165" t="s">
        <v>1993</v>
      </c>
      <c r="F284" s="165" t="s">
        <v>1082</v>
      </c>
      <c r="G284" s="81">
        <v>527221</v>
      </c>
      <c r="H284" s="81">
        <v>172443</v>
      </c>
      <c r="I284" s="165" t="s">
        <v>260</v>
      </c>
      <c r="J284" s="349">
        <v>42244</v>
      </c>
      <c r="L284" s="166">
        <v>0</v>
      </c>
      <c r="M284" s="166">
        <v>69</v>
      </c>
      <c r="N284" s="166">
        <v>69</v>
      </c>
      <c r="O284" s="166">
        <v>839</v>
      </c>
      <c r="P284" s="166">
        <v>839</v>
      </c>
      <c r="Q284" s="81" t="s">
        <v>155</v>
      </c>
      <c r="R284" s="165" t="s">
        <v>738</v>
      </c>
      <c r="S284" s="81" t="s">
        <v>296</v>
      </c>
      <c r="T284" s="349">
        <v>40431</v>
      </c>
      <c r="U284" s="349">
        <v>40587</v>
      </c>
      <c r="W284" s="81" t="s">
        <v>297</v>
      </c>
      <c r="X284" s="349">
        <v>41082</v>
      </c>
      <c r="Y284" s="81" t="s">
        <v>115</v>
      </c>
      <c r="Z284" s="81" t="s">
        <v>398</v>
      </c>
      <c r="AA284" s="81" t="s">
        <v>116</v>
      </c>
      <c r="AB284" s="81" t="s">
        <v>117</v>
      </c>
      <c r="AC284" s="166">
        <v>0.96600002050399802</v>
      </c>
      <c r="AG284" s="81" t="s">
        <v>154</v>
      </c>
      <c r="AH284" s="81" t="s">
        <v>276</v>
      </c>
      <c r="AI284" s="81" t="s">
        <v>1994</v>
      </c>
      <c r="AK284" s="166">
        <v>69</v>
      </c>
      <c r="AM284" s="166">
        <v>6</v>
      </c>
      <c r="AO284" s="166">
        <v>0</v>
      </c>
      <c r="AP284" s="166">
        <v>0</v>
      </c>
      <c r="AQ284" s="166">
        <v>10</v>
      </c>
      <c r="AR284" s="166">
        <v>52</v>
      </c>
      <c r="AS284" s="166">
        <v>7</v>
      </c>
      <c r="AT284" s="166">
        <v>0</v>
      </c>
      <c r="AU284" s="166">
        <v>0</v>
      </c>
      <c r="AV284" s="166">
        <v>0</v>
      </c>
      <c r="AW284" s="166">
        <v>0</v>
      </c>
      <c r="AX284" s="166">
        <v>0</v>
      </c>
      <c r="AY284" s="166">
        <v>0</v>
      </c>
      <c r="AZ284" s="166">
        <v>0</v>
      </c>
      <c r="BA284" s="166">
        <v>0</v>
      </c>
      <c r="BB284" s="166">
        <v>0</v>
      </c>
      <c r="BC284" s="166">
        <v>0</v>
      </c>
      <c r="BD284" s="166">
        <v>0</v>
      </c>
      <c r="BE284" s="166">
        <v>10</v>
      </c>
      <c r="BF284" s="166">
        <v>52</v>
      </c>
      <c r="BG284" s="166">
        <v>7</v>
      </c>
      <c r="BH284" s="166">
        <v>0</v>
      </c>
      <c r="BI284" s="166">
        <v>0</v>
      </c>
      <c r="BJ284" s="166">
        <v>0</v>
      </c>
      <c r="BK284" s="166">
        <v>0</v>
      </c>
      <c r="BL284" s="166">
        <v>0</v>
      </c>
      <c r="BM284" s="166">
        <v>0</v>
      </c>
      <c r="BN284" s="166">
        <v>0</v>
      </c>
      <c r="BO284" s="166">
        <v>0</v>
      </c>
      <c r="BP284" s="166">
        <v>0</v>
      </c>
      <c r="BQ284" s="81" t="s">
        <v>1758</v>
      </c>
      <c r="BZ284" s="81" t="s">
        <v>155</v>
      </c>
      <c r="CA284" s="81" t="s">
        <v>3934</v>
      </c>
      <c r="CC284" s="167">
        <v>0</v>
      </c>
      <c r="CD284" s="167">
        <v>0</v>
      </c>
      <c r="CE284" s="167">
        <v>0</v>
      </c>
      <c r="CF284" s="167">
        <v>0</v>
      </c>
      <c r="CG284" s="167">
        <v>69</v>
      </c>
      <c r="CH284" s="167">
        <v>0</v>
      </c>
      <c r="CI284" s="167">
        <v>0</v>
      </c>
      <c r="CJ284" s="167">
        <v>0</v>
      </c>
      <c r="CK284" s="167">
        <v>0</v>
      </c>
      <c r="CL284" s="167">
        <v>0</v>
      </c>
      <c r="CM284" s="167">
        <v>0</v>
      </c>
      <c r="CN284" s="167">
        <v>0</v>
      </c>
      <c r="CO284" s="167">
        <v>0</v>
      </c>
      <c r="CP284" s="167">
        <v>0</v>
      </c>
      <c r="CQ284" s="167">
        <v>0</v>
      </c>
      <c r="CR284" s="167">
        <v>0</v>
      </c>
      <c r="CS284" s="167">
        <v>0</v>
      </c>
      <c r="CT284" s="167">
        <v>0</v>
      </c>
      <c r="CU284" s="167">
        <v>0</v>
      </c>
      <c r="CV284" s="167">
        <v>0</v>
      </c>
      <c r="CW284" s="167">
        <v>0</v>
      </c>
      <c r="CX284" s="167">
        <f>SUM(CD284:CH284)</f>
        <v>69</v>
      </c>
      <c r="CY284" s="167">
        <f>SUM(CD284:CM284)</f>
        <v>69</v>
      </c>
    </row>
    <row r="285" spans="1:103" ht="12.75" customHeight="1" x14ac:dyDescent="0.2">
      <c r="A285" s="81">
        <v>2502</v>
      </c>
      <c r="B285" s="165" t="s">
        <v>1908</v>
      </c>
      <c r="C285" s="165" t="s">
        <v>236</v>
      </c>
      <c r="E285" s="165" t="s">
        <v>1993</v>
      </c>
      <c r="F285" s="165" t="s">
        <v>734</v>
      </c>
      <c r="G285" s="81">
        <v>527221</v>
      </c>
      <c r="H285" s="81">
        <v>172443</v>
      </c>
      <c r="I285" s="165" t="s">
        <v>260</v>
      </c>
      <c r="J285" s="349">
        <v>42244</v>
      </c>
      <c r="L285" s="166">
        <v>0</v>
      </c>
      <c r="M285" s="166">
        <v>46</v>
      </c>
      <c r="N285" s="166">
        <v>46</v>
      </c>
      <c r="O285" s="166">
        <v>839</v>
      </c>
      <c r="P285" s="166">
        <v>839</v>
      </c>
      <c r="Q285" s="81" t="s">
        <v>155</v>
      </c>
      <c r="R285" s="165" t="s">
        <v>738</v>
      </c>
      <c r="S285" s="81" t="s">
        <v>296</v>
      </c>
      <c r="T285" s="349">
        <v>40431</v>
      </c>
      <c r="U285" s="349">
        <v>40587</v>
      </c>
      <c r="W285" s="81" t="s">
        <v>297</v>
      </c>
      <c r="X285" s="349">
        <v>41082</v>
      </c>
      <c r="Y285" s="81" t="s">
        <v>115</v>
      </c>
      <c r="Z285" s="81" t="s">
        <v>398</v>
      </c>
      <c r="AA285" s="81" t="s">
        <v>116</v>
      </c>
      <c r="AB285" s="81" t="s">
        <v>117</v>
      </c>
      <c r="AC285" s="166">
        <v>0.64399999380111705</v>
      </c>
      <c r="AG285" s="81" t="s">
        <v>154</v>
      </c>
      <c r="AH285" s="81" t="s">
        <v>312</v>
      </c>
      <c r="AI285" s="81" t="s">
        <v>1994</v>
      </c>
      <c r="AK285" s="166">
        <v>46</v>
      </c>
      <c r="AM285" s="166">
        <v>4</v>
      </c>
      <c r="AO285" s="166">
        <v>0</v>
      </c>
      <c r="AP285" s="166">
        <v>40</v>
      </c>
      <c r="AQ285" s="166">
        <v>6</v>
      </c>
      <c r="AR285" s="166">
        <v>0</v>
      </c>
      <c r="AS285" s="166">
        <v>0</v>
      </c>
      <c r="AT285" s="166">
        <v>0</v>
      </c>
      <c r="AU285" s="166">
        <v>0</v>
      </c>
      <c r="AV285" s="166">
        <v>0</v>
      </c>
      <c r="AW285" s="166">
        <v>40</v>
      </c>
      <c r="AX285" s="166">
        <v>6</v>
      </c>
      <c r="AY285" s="166">
        <v>0</v>
      </c>
      <c r="AZ285" s="166">
        <v>0</v>
      </c>
      <c r="BA285" s="166">
        <v>0</v>
      </c>
      <c r="BB285" s="166">
        <v>0</v>
      </c>
      <c r="BC285" s="166">
        <v>0</v>
      </c>
      <c r="BD285" s="166">
        <v>0</v>
      </c>
      <c r="BE285" s="166">
        <v>0</v>
      </c>
      <c r="BF285" s="166">
        <v>0</v>
      </c>
      <c r="BG285" s="166">
        <v>0</v>
      </c>
      <c r="BH285" s="166">
        <v>0</v>
      </c>
      <c r="BI285" s="166">
        <v>0</v>
      </c>
      <c r="BJ285" s="166">
        <v>0</v>
      </c>
      <c r="BK285" s="166">
        <v>0</v>
      </c>
      <c r="BL285" s="166">
        <v>0</v>
      </c>
      <c r="BM285" s="166">
        <v>0</v>
      </c>
      <c r="BN285" s="166">
        <v>0</v>
      </c>
      <c r="BO285" s="166">
        <v>0</v>
      </c>
      <c r="BP285" s="166">
        <v>0</v>
      </c>
      <c r="BQ285" s="81" t="s">
        <v>1758</v>
      </c>
      <c r="BZ285" s="81" t="s">
        <v>155</v>
      </c>
      <c r="CA285" s="81" t="s">
        <v>3934</v>
      </c>
      <c r="CC285" s="167">
        <v>0</v>
      </c>
      <c r="CD285" s="167">
        <v>0</v>
      </c>
      <c r="CE285" s="167">
        <v>0</v>
      </c>
      <c r="CF285" s="167">
        <v>0</v>
      </c>
      <c r="CG285" s="167">
        <v>0</v>
      </c>
      <c r="CH285" s="167">
        <v>46</v>
      </c>
      <c r="CI285" s="167">
        <v>0</v>
      </c>
      <c r="CJ285" s="167">
        <v>0</v>
      </c>
      <c r="CK285" s="167">
        <v>0</v>
      </c>
      <c r="CL285" s="167">
        <v>0</v>
      </c>
      <c r="CM285" s="167">
        <v>0</v>
      </c>
      <c r="CN285" s="167">
        <v>0</v>
      </c>
      <c r="CO285" s="167">
        <v>0</v>
      </c>
      <c r="CP285" s="167">
        <v>0</v>
      </c>
      <c r="CQ285" s="167">
        <v>0</v>
      </c>
      <c r="CR285" s="167">
        <v>0</v>
      </c>
      <c r="CS285" s="167">
        <v>0</v>
      </c>
      <c r="CT285" s="167">
        <v>0</v>
      </c>
      <c r="CU285" s="167">
        <v>0</v>
      </c>
      <c r="CV285" s="167">
        <v>0</v>
      </c>
      <c r="CW285" s="167">
        <v>0</v>
      </c>
      <c r="CX285" s="167">
        <f>SUM(CD285:CH285)</f>
        <v>46</v>
      </c>
      <c r="CY285" s="167">
        <f>SUM(CD285:CM285)</f>
        <v>46</v>
      </c>
    </row>
    <row r="286" spans="1:103" ht="12.75" customHeight="1" x14ac:dyDescent="0.2">
      <c r="A286" s="81">
        <v>2502</v>
      </c>
      <c r="B286" s="165" t="s">
        <v>1908</v>
      </c>
      <c r="C286" s="165" t="s">
        <v>236</v>
      </c>
      <c r="E286" s="165" t="s">
        <v>1993</v>
      </c>
      <c r="F286" s="165" t="s">
        <v>735</v>
      </c>
      <c r="G286" s="81">
        <v>527221</v>
      </c>
      <c r="H286" s="81">
        <v>172443</v>
      </c>
      <c r="I286" s="165" t="s">
        <v>260</v>
      </c>
      <c r="J286" s="349">
        <v>42244</v>
      </c>
      <c r="L286" s="166">
        <v>0</v>
      </c>
      <c r="M286" s="166">
        <v>262</v>
      </c>
      <c r="N286" s="166">
        <v>262</v>
      </c>
      <c r="O286" s="166">
        <v>839</v>
      </c>
      <c r="P286" s="166">
        <v>839</v>
      </c>
      <c r="Q286" s="81" t="s">
        <v>155</v>
      </c>
      <c r="R286" s="165" t="s">
        <v>738</v>
      </c>
      <c r="S286" s="81" t="s">
        <v>296</v>
      </c>
      <c r="T286" s="349">
        <v>40431</v>
      </c>
      <c r="U286" s="349">
        <v>40587</v>
      </c>
      <c r="W286" s="81" t="s">
        <v>297</v>
      </c>
      <c r="X286" s="349">
        <v>41082</v>
      </c>
      <c r="Y286" s="81" t="s">
        <v>115</v>
      </c>
      <c r="Z286" s="81" t="s">
        <v>398</v>
      </c>
      <c r="AA286" s="81" t="s">
        <v>345</v>
      </c>
      <c r="AB286" s="81" t="s">
        <v>117</v>
      </c>
      <c r="AC286" s="166">
        <v>3.6659998893737802</v>
      </c>
      <c r="AG286" s="81" t="s">
        <v>238</v>
      </c>
      <c r="AH286" s="81" t="s">
        <v>118</v>
      </c>
      <c r="AI286" s="81" t="s">
        <v>1994</v>
      </c>
      <c r="AK286" s="166">
        <v>262</v>
      </c>
      <c r="AM286" s="166">
        <v>26</v>
      </c>
      <c r="AO286" s="166">
        <v>0</v>
      </c>
      <c r="AP286" s="166">
        <v>41</v>
      </c>
      <c r="AQ286" s="166">
        <v>150</v>
      </c>
      <c r="AR286" s="166">
        <v>71</v>
      </c>
      <c r="AS286" s="166">
        <v>0</v>
      </c>
      <c r="AT286" s="166">
        <v>0</v>
      </c>
      <c r="AU286" s="166">
        <v>0</v>
      </c>
      <c r="AV286" s="166">
        <v>0</v>
      </c>
      <c r="AW286" s="166">
        <v>41</v>
      </c>
      <c r="AX286" s="166">
        <v>150</v>
      </c>
      <c r="AY286" s="166">
        <v>70</v>
      </c>
      <c r="AZ286" s="166">
        <v>0</v>
      </c>
      <c r="BA286" s="166">
        <v>0</v>
      </c>
      <c r="BB286" s="166">
        <v>0</v>
      </c>
      <c r="BC286" s="166">
        <v>0</v>
      </c>
      <c r="BD286" s="166">
        <v>0</v>
      </c>
      <c r="BE286" s="166">
        <v>0</v>
      </c>
      <c r="BF286" s="166">
        <v>1</v>
      </c>
      <c r="BG286" s="166">
        <v>0</v>
      </c>
      <c r="BH286" s="166">
        <v>0</v>
      </c>
      <c r="BI286" s="166">
        <v>0</v>
      </c>
      <c r="BJ286" s="166">
        <v>0</v>
      </c>
      <c r="BK286" s="166">
        <v>0</v>
      </c>
      <c r="BL286" s="166">
        <v>0</v>
      </c>
      <c r="BM286" s="166">
        <v>0</v>
      </c>
      <c r="BN286" s="166">
        <v>0</v>
      </c>
      <c r="BO286" s="166">
        <v>0</v>
      </c>
      <c r="BP286" s="166">
        <v>0</v>
      </c>
      <c r="BQ286" s="81" t="s">
        <v>1758</v>
      </c>
      <c r="BZ286" s="81" t="s">
        <v>155</v>
      </c>
      <c r="CA286" s="81" t="s">
        <v>3934</v>
      </c>
      <c r="CC286" s="167">
        <v>0</v>
      </c>
      <c r="CD286" s="167">
        <v>0</v>
      </c>
      <c r="CE286" s="167">
        <v>0</v>
      </c>
      <c r="CF286" s="167">
        <v>0</v>
      </c>
      <c r="CG286" s="167">
        <v>0</v>
      </c>
      <c r="CH286" s="167">
        <v>0</v>
      </c>
      <c r="CI286" s="167">
        <v>262</v>
      </c>
      <c r="CJ286" s="167">
        <v>0</v>
      </c>
      <c r="CK286" s="167">
        <v>0</v>
      </c>
      <c r="CL286" s="167">
        <v>0</v>
      </c>
      <c r="CM286" s="167">
        <v>0</v>
      </c>
      <c r="CN286" s="167">
        <v>0</v>
      </c>
      <c r="CO286" s="167">
        <v>0</v>
      </c>
      <c r="CP286" s="167">
        <v>0</v>
      </c>
      <c r="CQ286" s="167">
        <v>0</v>
      </c>
      <c r="CR286" s="167">
        <v>0</v>
      </c>
      <c r="CS286" s="167">
        <v>0</v>
      </c>
      <c r="CT286" s="167">
        <v>0</v>
      </c>
      <c r="CU286" s="167">
        <v>0</v>
      </c>
      <c r="CV286" s="167">
        <v>0</v>
      </c>
      <c r="CW286" s="167">
        <v>0</v>
      </c>
      <c r="CX286" s="167">
        <f>SUM(CD286:CH286)</f>
        <v>0</v>
      </c>
      <c r="CY286" s="167">
        <f>SUM(CD286:CM286)</f>
        <v>262</v>
      </c>
    </row>
    <row r="287" spans="1:103" ht="12.75" customHeight="1" x14ac:dyDescent="0.2">
      <c r="A287" s="81">
        <v>2502</v>
      </c>
      <c r="B287" s="165" t="s">
        <v>1908</v>
      </c>
      <c r="C287" s="165" t="s">
        <v>236</v>
      </c>
      <c r="E287" s="165" t="s">
        <v>1993</v>
      </c>
      <c r="F287" s="165" t="s">
        <v>505</v>
      </c>
      <c r="G287" s="81">
        <v>527221</v>
      </c>
      <c r="H287" s="81">
        <v>172443</v>
      </c>
      <c r="I287" s="165" t="s">
        <v>260</v>
      </c>
      <c r="J287" s="349">
        <v>42244</v>
      </c>
      <c r="L287" s="166">
        <v>0</v>
      </c>
      <c r="M287" s="166">
        <v>383</v>
      </c>
      <c r="N287" s="166">
        <v>383</v>
      </c>
      <c r="O287" s="166">
        <v>839</v>
      </c>
      <c r="P287" s="166">
        <v>839</v>
      </c>
      <c r="Q287" s="81" t="s">
        <v>155</v>
      </c>
      <c r="R287" s="165" t="s">
        <v>738</v>
      </c>
      <c r="S287" s="81" t="s">
        <v>296</v>
      </c>
      <c r="T287" s="349">
        <v>40431</v>
      </c>
      <c r="U287" s="349">
        <v>40587</v>
      </c>
      <c r="W287" s="81" t="s">
        <v>297</v>
      </c>
      <c r="X287" s="349">
        <v>41082</v>
      </c>
      <c r="Y287" s="81" t="s">
        <v>115</v>
      </c>
      <c r="Z287" s="81" t="s">
        <v>398</v>
      </c>
      <c r="AA287" s="81" t="s">
        <v>116</v>
      </c>
      <c r="AB287" s="81" t="s">
        <v>117</v>
      </c>
      <c r="AC287" s="166">
        <v>5.72300004959106</v>
      </c>
      <c r="AG287" s="81" t="s">
        <v>238</v>
      </c>
      <c r="AH287" s="81" t="s">
        <v>118</v>
      </c>
      <c r="AI287" s="81" t="s">
        <v>1994</v>
      </c>
      <c r="AK287" s="166">
        <v>409</v>
      </c>
      <c r="AM287" s="166">
        <v>40</v>
      </c>
      <c r="AO287" s="166">
        <v>0</v>
      </c>
      <c r="AP287" s="166">
        <v>87</v>
      </c>
      <c r="AQ287" s="166">
        <v>105</v>
      </c>
      <c r="AR287" s="166">
        <v>107</v>
      </c>
      <c r="AS287" s="166">
        <v>24</v>
      </c>
      <c r="AT287" s="166">
        <v>60</v>
      </c>
      <c r="AU287" s="166">
        <v>0</v>
      </c>
      <c r="AV287" s="166">
        <v>0</v>
      </c>
      <c r="AW287" s="166">
        <v>87</v>
      </c>
      <c r="AX287" s="166">
        <v>67</v>
      </c>
      <c r="AY287" s="166">
        <v>36</v>
      </c>
      <c r="AZ287" s="166">
        <v>0</v>
      </c>
      <c r="BA287" s="166">
        <v>0</v>
      </c>
      <c r="BB287" s="166">
        <v>0</v>
      </c>
      <c r="BC287" s="166">
        <v>0</v>
      </c>
      <c r="BD287" s="166">
        <v>0</v>
      </c>
      <c r="BE287" s="166">
        <v>38</v>
      </c>
      <c r="BF287" s="166">
        <v>71</v>
      </c>
      <c r="BG287" s="166">
        <v>24</v>
      </c>
      <c r="BH287" s="166">
        <v>60</v>
      </c>
      <c r="BI287" s="166">
        <v>0</v>
      </c>
      <c r="BJ287" s="166">
        <v>0</v>
      </c>
      <c r="BK287" s="166">
        <v>0</v>
      </c>
      <c r="BL287" s="166">
        <v>0</v>
      </c>
      <c r="BM287" s="166">
        <v>0</v>
      </c>
      <c r="BN287" s="166">
        <v>0</v>
      </c>
      <c r="BO287" s="166">
        <v>0</v>
      </c>
      <c r="BP287" s="166">
        <v>0</v>
      </c>
      <c r="BQ287" s="81" t="s">
        <v>1758</v>
      </c>
      <c r="BZ287" s="81" t="s">
        <v>155</v>
      </c>
      <c r="CA287" s="81" t="s">
        <v>3934</v>
      </c>
      <c r="CC287" s="167">
        <v>0</v>
      </c>
      <c r="CD287" s="167">
        <v>0</v>
      </c>
      <c r="CE287" s="167">
        <v>0</v>
      </c>
      <c r="CF287" s="167">
        <v>0</v>
      </c>
      <c r="CG287" s="167">
        <f>87+50</f>
        <v>137</v>
      </c>
      <c r="CH287" s="167">
        <f>95-46</f>
        <v>49</v>
      </c>
      <c r="CI287" s="167">
        <v>31</v>
      </c>
      <c r="CJ287" s="167">
        <v>58</v>
      </c>
      <c r="CK287" s="167">
        <f>151-43</f>
        <v>108</v>
      </c>
      <c r="CL287" s="167">
        <v>0</v>
      </c>
      <c r="CM287" s="167">
        <v>0</v>
      </c>
      <c r="CN287" s="167">
        <v>0</v>
      </c>
      <c r="CO287" s="167">
        <v>0</v>
      </c>
      <c r="CP287" s="167">
        <v>0</v>
      </c>
      <c r="CQ287" s="167">
        <v>0</v>
      </c>
      <c r="CR287" s="167">
        <v>0</v>
      </c>
      <c r="CS287" s="167">
        <v>0</v>
      </c>
      <c r="CT287" s="167">
        <v>0</v>
      </c>
      <c r="CU287" s="167">
        <v>0</v>
      </c>
      <c r="CV287" s="167">
        <v>0</v>
      </c>
      <c r="CW287" s="167">
        <v>0</v>
      </c>
      <c r="CX287" s="167">
        <f>SUM(CD287:CH287)</f>
        <v>186</v>
      </c>
      <c r="CY287" s="167">
        <f>SUM(CD287:CM287)</f>
        <v>383</v>
      </c>
    </row>
    <row r="288" spans="1:103" ht="12.75" customHeight="1" x14ac:dyDescent="0.2">
      <c r="A288" s="81">
        <v>2502</v>
      </c>
      <c r="B288" s="165" t="s">
        <v>1908</v>
      </c>
      <c r="C288" s="165" t="s">
        <v>236</v>
      </c>
      <c r="E288" s="165" t="s">
        <v>1993</v>
      </c>
      <c r="F288" s="165" t="s">
        <v>1083</v>
      </c>
      <c r="G288" s="81">
        <v>527221</v>
      </c>
      <c r="H288" s="81">
        <v>172443</v>
      </c>
      <c r="I288" s="165" t="s">
        <v>260</v>
      </c>
      <c r="J288" s="349">
        <v>42244</v>
      </c>
      <c r="L288" s="166">
        <v>0</v>
      </c>
      <c r="M288" s="166">
        <v>10</v>
      </c>
      <c r="N288" s="166">
        <v>10</v>
      </c>
      <c r="O288" s="166">
        <v>839</v>
      </c>
      <c r="P288" s="166">
        <v>839</v>
      </c>
      <c r="Q288" s="81" t="s">
        <v>155</v>
      </c>
      <c r="R288" s="165" t="s">
        <v>738</v>
      </c>
      <c r="S288" s="81" t="s">
        <v>296</v>
      </c>
      <c r="T288" s="349">
        <v>40431</v>
      </c>
      <c r="U288" s="349">
        <v>40587</v>
      </c>
      <c r="W288" s="81" t="s">
        <v>297</v>
      </c>
      <c r="X288" s="349">
        <v>41082</v>
      </c>
      <c r="Y288" s="81" t="s">
        <v>115</v>
      </c>
      <c r="Z288" s="81" t="s">
        <v>398</v>
      </c>
      <c r="AA288" s="81" t="s">
        <v>116</v>
      </c>
      <c r="AB288" s="81" t="s">
        <v>117</v>
      </c>
      <c r="AC288" s="166">
        <v>1.4000000432133701E-2</v>
      </c>
      <c r="AG288" s="81" t="s">
        <v>154</v>
      </c>
      <c r="AH288" s="81" t="s">
        <v>276</v>
      </c>
      <c r="AI288" s="81" t="s">
        <v>1994</v>
      </c>
      <c r="AK288" s="166">
        <v>10</v>
      </c>
      <c r="AM288" s="166">
        <v>1</v>
      </c>
      <c r="AO288" s="166">
        <v>0</v>
      </c>
      <c r="AP288" s="166">
        <v>10</v>
      </c>
      <c r="AQ288" s="166">
        <v>0</v>
      </c>
      <c r="AR288" s="166">
        <v>0</v>
      </c>
      <c r="AS288" s="166">
        <v>0</v>
      </c>
      <c r="AT288" s="166">
        <v>0</v>
      </c>
      <c r="AU288" s="166">
        <v>0</v>
      </c>
      <c r="AV288" s="166">
        <v>0</v>
      </c>
      <c r="AW288" s="166">
        <v>10</v>
      </c>
      <c r="AX288" s="166">
        <v>0</v>
      </c>
      <c r="AY288" s="166">
        <v>0</v>
      </c>
      <c r="AZ288" s="166">
        <v>0</v>
      </c>
      <c r="BA288" s="166">
        <v>0</v>
      </c>
      <c r="BB288" s="166">
        <v>0</v>
      </c>
      <c r="BC288" s="166">
        <v>0</v>
      </c>
      <c r="BD288" s="166">
        <v>0</v>
      </c>
      <c r="BE288" s="166">
        <v>0</v>
      </c>
      <c r="BF288" s="166">
        <v>0</v>
      </c>
      <c r="BG288" s="166">
        <v>0</v>
      </c>
      <c r="BH288" s="166">
        <v>0</v>
      </c>
      <c r="BI288" s="166">
        <v>0</v>
      </c>
      <c r="BJ288" s="166">
        <v>0</v>
      </c>
      <c r="BK288" s="166">
        <v>0</v>
      </c>
      <c r="BL288" s="166">
        <v>0</v>
      </c>
      <c r="BM288" s="166">
        <v>0</v>
      </c>
      <c r="BN288" s="166">
        <v>0</v>
      </c>
      <c r="BO288" s="166">
        <v>0</v>
      </c>
      <c r="BP288" s="166">
        <v>0</v>
      </c>
      <c r="BQ288" s="81" t="s">
        <v>1758</v>
      </c>
      <c r="BZ288" s="81" t="s">
        <v>155</v>
      </c>
      <c r="CA288" s="81" t="s">
        <v>3934</v>
      </c>
      <c r="CC288" s="167">
        <v>0</v>
      </c>
      <c r="CD288" s="167">
        <v>0</v>
      </c>
      <c r="CE288" s="167">
        <v>0</v>
      </c>
      <c r="CF288" s="167">
        <v>0</v>
      </c>
      <c r="CG288" s="167">
        <v>10</v>
      </c>
      <c r="CH288" s="167">
        <v>0</v>
      </c>
      <c r="CI288" s="167">
        <v>0</v>
      </c>
      <c r="CJ288" s="167">
        <v>0</v>
      </c>
      <c r="CK288" s="167">
        <v>0</v>
      </c>
      <c r="CL288" s="167">
        <v>0</v>
      </c>
      <c r="CM288" s="167">
        <v>0</v>
      </c>
      <c r="CN288" s="167">
        <v>0</v>
      </c>
      <c r="CO288" s="167">
        <v>0</v>
      </c>
      <c r="CP288" s="167">
        <v>0</v>
      </c>
      <c r="CQ288" s="167">
        <v>0</v>
      </c>
      <c r="CR288" s="167">
        <v>0</v>
      </c>
      <c r="CS288" s="167">
        <v>0</v>
      </c>
      <c r="CT288" s="167">
        <v>0</v>
      </c>
      <c r="CU288" s="167">
        <v>0</v>
      </c>
      <c r="CV288" s="167">
        <v>0</v>
      </c>
      <c r="CW288" s="167">
        <v>0</v>
      </c>
      <c r="CX288" s="167">
        <f>SUM(CD288:CH288)</f>
        <v>10</v>
      </c>
      <c r="CY288" s="167">
        <f>SUM(CD288:CM288)</f>
        <v>10</v>
      </c>
    </row>
    <row r="289" spans="1:103" ht="12.75" customHeight="1" x14ac:dyDescent="0.2">
      <c r="A289" s="81">
        <v>2502</v>
      </c>
      <c r="B289" s="165" t="s">
        <v>1908</v>
      </c>
      <c r="C289" s="165" t="s">
        <v>236</v>
      </c>
      <c r="E289" s="165" t="s">
        <v>1993</v>
      </c>
      <c r="F289" s="165" t="s">
        <v>736</v>
      </c>
      <c r="G289" s="81">
        <v>527221</v>
      </c>
      <c r="H289" s="81">
        <v>172443</v>
      </c>
      <c r="I289" s="165" t="s">
        <v>260</v>
      </c>
      <c r="J289" s="349">
        <v>42244</v>
      </c>
      <c r="L289" s="166">
        <v>0</v>
      </c>
      <c r="M289" s="166">
        <v>43</v>
      </c>
      <c r="N289" s="166">
        <v>43</v>
      </c>
      <c r="O289" s="166">
        <v>839</v>
      </c>
      <c r="P289" s="166">
        <v>839</v>
      </c>
      <c r="Q289" s="81" t="s">
        <v>155</v>
      </c>
      <c r="R289" s="165" t="s">
        <v>738</v>
      </c>
      <c r="S289" s="81" t="s">
        <v>296</v>
      </c>
      <c r="T289" s="349">
        <v>40431</v>
      </c>
      <c r="U289" s="349">
        <v>40587</v>
      </c>
      <c r="W289" s="81" t="s">
        <v>297</v>
      </c>
      <c r="X289" s="349">
        <v>41082</v>
      </c>
      <c r="Y289" s="81" t="s">
        <v>115</v>
      </c>
      <c r="Z289" s="81" t="s">
        <v>398</v>
      </c>
      <c r="AA289" s="81" t="s">
        <v>116</v>
      </c>
      <c r="AB289" s="81" t="s">
        <v>117</v>
      </c>
      <c r="AC289" s="166">
        <v>0.60199999809265103</v>
      </c>
      <c r="AG289" s="81" t="s">
        <v>74</v>
      </c>
      <c r="AH289" s="81" t="s">
        <v>1913</v>
      </c>
      <c r="AI289" s="81" t="s">
        <v>1994</v>
      </c>
      <c r="AK289" s="166">
        <v>43</v>
      </c>
      <c r="AM289" s="166">
        <v>4</v>
      </c>
      <c r="AO289" s="166">
        <v>0</v>
      </c>
      <c r="AP289" s="166">
        <v>15</v>
      </c>
      <c r="AQ289" s="166">
        <v>18</v>
      </c>
      <c r="AR289" s="166">
        <v>10</v>
      </c>
      <c r="AS289" s="166">
        <v>0</v>
      </c>
      <c r="AT289" s="166">
        <v>0</v>
      </c>
      <c r="AU289" s="166">
        <v>0</v>
      </c>
      <c r="AV289" s="166">
        <v>0</v>
      </c>
      <c r="AW289" s="166">
        <v>15</v>
      </c>
      <c r="AX289" s="166">
        <v>11</v>
      </c>
      <c r="AY289" s="166">
        <v>10</v>
      </c>
      <c r="AZ289" s="166">
        <v>0</v>
      </c>
      <c r="BA289" s="166">
        <v>0</v>
      </c>
      <c r="BB289" s="166">
        <v>0</v>
      </c>
      <c r="BC289" s="166">
        <v>0</v>
      </c>
      <c r="BD289" s="166">
        <v>0</v>
      </c>
      <c r="BE289" s="166">
        <v>7</v>
      </c>
      <c r="BF289" s="166">
        <v>0</v>
      </c>
      <c r="BG289" s="166">
        <v>0</v>
      </c>
      <c r="BH289" s="166">
        <v>0</v>
      </c>
      <c r="BI289" s="166">
        <v>0</v>
      </c>
      <c r="BJ289" s="166">
        <v>0</v>
      </c>
      <c r="BK289" s="166">
        <v>0</v>
      </c>
      <c r="BL289" s="166">
        <v>0</v>
      </c>
      <c r="BM289" s="166">
        <v>0</v>
      </c>
      <c r="BN289" s="166">
        <v>0</v>
      </c>
      <c r="BO289" s="166">
        <v>0</v>
      </c>
      <c r="BP289" s="166">
        <v>0</v>
      </c>
      <c r="BQ289" s="81" t="s">
        <v>1758</v>
      </c>
      <c r="BZ289" s="81" t="s">
        <v>155</v>
      </c>
      <c r="CA289" s="81" t="s">
        <v>3934</v>
      </c>
      <c r="CC289" s="167">
        <v>0</v>
      </c>
      <c r="CD289" s="167">
        <v>0</v>
      </c>
      <c r="CE289" s="167">
        <v>0</v>
      </c>
      <c r="CF289" s="167">
        <v>0</v>
      </c>
      <c r="CG289" s="167">
        <v>0</v>
      </c>
      <c r="CH289" s="167">
        <v>0</v>
      </c>
      <c r="CI289" s="167">
        <v>0</v>
      </c>
      <c r="CJ289" s="167">
        <v>0</v>
      </c>
      <c r="CK289" s="167">
        <v>43</v>
      </c>
      <c r="CL289" s="167">
        <v>0</v>
      </c>
      <c r="CM289" s="167">
        <v>0</v>
      </c>
      <c r="CN289" s="167">
        <v>0</v>
      </c>
      <c r="CO289" s="167">
        <v>0</v>
      </c>
      <c r="CP289" s="167">
        <v>0</v>
      </c>
      <c r="CQ289" s="167">
        <v>0</v>
      </c>
      <c r="CR289" s="167">
        <v>0</v>
      </c>
      <c r="CS289" s="167">
        <v>0</v>
      </c>
      <c r="CT289" s="167">
        <v>0</v>
      </c>
      <c r="CU289" s="167">
        <v>0</v>
      </c>
      <c r="CV289" s="167">
        <v>0</v>
      </c>
      <c r="CW289" s="167">
        <v>0</v>
      </c>
      <c r="CX289" s="167">
        <f>SUM(CD289:CH289)</f>
        <v>0</v>
      </c>
      <c r="CY289" s="167">
        <f>SUM(CD289:CM289)</f>
        <v>43</v>
      </c>
    </row>
    <row r="290" spans="1:103" ht="12.75" customHeight="1" x14ac:dyDescent="0.2">
      <c r="A290" s="81">
        <v>2641</v>
      </c>
      <c r="B290" s="165" t="s">
        <v>1908</v>
      </c>
      <c r="C290" s="165" t="s">
        <v>19</v>
      </c>
      <c r="E290" s="165" t="s">
        <v>1999</v>
      </c>
      <c r="G290" s="81">
        <v>527902</v>
      </c>
      <c r="H290" s="81">
        <v>173411</v>
      </c>
      <c r="I290" s="165" t="s">
        <v>254</v>
      </c>
      <c r="J290" s="349">
        <v>42332</v>
      </c>
      <c r="L290" s="166">
        <v>0</v>
      </c>
      <c r="M290" s="166">
        <v>5</v>
      </c>
      <c r="N290" s="166">
        <v>5</v>
      </c>
      <c r="O290" s="166">
        <v>5</v>
      </c>
      <c r="P290" s="166">
        <v>5</v>
      </c>
      <c r="R290" s="165" t="s">
        <v>740</v>
      </c>
      <c r="S290" s="81" t="s">
        <v>113</v>
      </c>
      <c r="T290" s="349">
        <v>41166</v>
      </c>
      <c r="U290" s="349">
        <v>41262</v>
      </c>
      <c r="W290" s="81" t="s">
        <v>114</v>
      </c>
      <c r="Y290" s="81" t="s">
        <v>115</v>
      </c>
      <c r="Z290" s="81" t="s">
        <v>116</v>
      </c>
      <c r="AA290" s="81" t="s">
        <v>117</v>
      </c>
      <c r="AB290" s="81" t="s">
        <v>218</v>
      </c>
      <c r="AC290" s="166">
        <v>4.1999999433755902E-2</v>
      </c>
      <c r="AD290" s="349">
        <v>42332</v>
      </c>
      <c r="AG290" s="81" t="s">
        <v>238</v>
      </c>
      <c r="AH290" s="81" t="s">
        <v>118</v>
      </c>
      <c r="AK290" s="166">
        <v>5</v>
      </c>
      <c r="AM290" s="166">
        <v>0</v>
      </c>
      <c r="AO290" s="166">
        <v>0</v>
      </c>
      <c r="AP290" s="166">
        <v>0</v>
      </c>
      <c r="AQ290" s="166">
        <v>4</v>
      </c>
      <c r="AR290" s="166">
        <v>1</v>
      </c>
      <c r="AS290" s="166">
        <v>0</v>
      </c>
      <c r="AT290" s="166">
        <v>0</v>
      </c>
      <c r="AU290" s="166">
        <v>0</v>
      </c>
      <c r="AV290" s="166">
        <v>0</v>
      </c>
      <c r="AW290" s="166">
        <v>0</v>
      </c>
      <c r="AX290" s="166">
        <v>4</v>
      </c>
      <c r="AY290" s="166">
        <v>1</v>
      </c>
      <c r="AZ290" s="166">
        <v>0</v>
      </c>
      <c r="BA290" s="166">
        <v>0</v>
      </c>
      <c r="BB290" s="166">
        <v>0</v>
      </c>
      <c r="BC290" s="166">
        <v>0</v>
      </c>
      <c r="BD290" s="166">
        <v>0</v>
      </c>
      <c r="BE290" s="166">
        <v>0</v>
      </c>
      <c r="BF290" s="166">
        <v>0</v>
      </c>
      <c r="BG290" s="166">
        <v>0</v>
      </c>
      <c r="BH290" s="166">
        <v>0</v>
      </c>
      <c r="BI290" s="166">
        <v>0</v>
      </c>
      <c r="BJ290" s="166">
        <v>0</v>
      </c>
      <c r="BK290" s="166">
        <v>0</v>
      </c>
      <c r="BL290" s="166">
        <v>0</v>
      </c>
      <c r="BM290" s="166">
        <v>0</v>
      </c>
      <c r="BN290" s="166">
        <v>0</v>
      </c>
      <c r="BO290" s="166">
        <v>0</v>
      </c>
      <c r="BP290" s="166">
        <v>0</v>
      </c>
      <c r="BQ290" s="81" t="s">
        <v>1757</v>
      </c>
      <c r="BZ290" s="81" t="s">
        <v>155</v>
      </c>
      <c r="CA290" s="81" t="s">
        <v>3976</v>
      </c>
      <c r="CC290" s="167">
        <v>0</v>
      </c>
      <c r="CD290" s="167">
        <f>N290</f>
        <v>5</v>
      </c>
      <c r="CE290" s="167">
        <v>0</v>
      </c>
      <c r="CF290" s="167">
        <v>0</v>
      </c>
      <c r="CG290" s="167">
        <v>0</v>
      </c>
      <c r="CH290" s="167">
        <v>0</v>
      </c>
      <c r="CI290" s="167">
        <v>0</v>
      </c>
      <c r="CJ290" s="167">
        <v>0</v>
      </c>
      <c r="CK290" s="167">
        <v>0</v>
      </c>
      <c r="CL290" s="167">
        <v>0</v>
      </c>
      <c r="CM290" s="167">
        <v>0</v>
      </c>
      <c r="CN290" s="167">
        <v>0</v>
      </c>
      <c r="CO290" s="167">
        <v>0</v>
      </c>
      <c r="CP290" s="167">
        <v>0</v>
      </c>
      <c r="CQ290" s="167">
        <v>0</v>
      </c>
      <c r="CR290" s="167">
        <v>0</v>
      </c>
      <c r="CS290" s="167">
        <v>0</v>
      </c>
      <c r="CT290" s="167">
        <v>0</v>
      </c>
      <c r="CU290" s="167">
        <v>0</v>
      </c>
      <c r="CV290" s="167">
        <v>0</v>
      </c>
      <c r="CW290" s="167">
        <v>0</v>
      </c>
      <c r="CX290" s="167">
        <f>SUM(CD290:CH290)</f>
        <v>5</v>
      </c>
      <c r="CY290" s="167">
        <f>SUM(CD290:CM290)</f>
        <v>5</v>
      </c>
    </row>
    <row r="291" spans="1:103" ht="12.75" customHeight="1" x14ac:dyDescent="0.2">
      <c r="A291" s="81">
        <v>2643</v>
      </c>
      <c r="B291" s="165" t="s">
        <v>1908</v>
      </c>
      <c r="C291" s="165" t="s">
        <v>3381</v>
      </c>
      <c r="D291" s="165" t="s">
        <v>514</v>
      </c>
      <c r="E291" s="165" t="s">
        <v>3382</v>
      </c>
      <c r="G291" s="81">
        <v>528058</v>
      </c>
      <c r="H291" s="81">
        <v>172638</v>
      </c>
      <c r="I291" s="165" t="s">
        <v>254</v>
      </c>
      <c r="J291" s="349">
        <v>43190</v>
      </c>
      <c r="L291" s="166">
        <v>0</v>
      </c>
      <c r="M291" s="166">
        <v>1</v>
      </c>
      <c r="N291" s="166">
        <v>1</v>
      </c>
      <c r="O291" s="166">
        <v>1</v>
      </c>
      <c r="P291" s="166">
        <v>1</v>
      </c>
      <c r="R291" s="165" t="s">
        <v>3383</v>
      </c>
      <c r="S291" s="81" t="s">
        <v>113</v>
      </c>
      <c r="T291" s="349">
        <v>43067</v>
      </c>
      <c r="U291" s="349">
        <v>43154</v>
      </c>
      <c r="V291" s="81" t="s">
        <v>155</v>
      </c>
      <c r="W291" s="81" t="s">
        <v>114</v>
      </c>
      <c r="Y291" s="81" t="s">
        <v>115</v>
      </c>
      <c r="Z291" s="81" t="s">
        <v>219</v>
      </c>
      <c r="AA291" s="81" t="s">
        <v>117</v>
      </c>
      <c r="AB291" s="81" t="s">
        <v>3889</v>
      </c>
      <c r="AC291" s="166">
        <v>8.0000003799796104E-3</v>
      </c>
      <c r="AD291" s="349">
        <v>43190</v>
      </c>
      <c r="AE291" s="81" t="s">
        <v>155</v>
      </c>
      <c r="AG291" s="81" t="s">
        <v>238</v>
      </c>
      <c r="AH291" s="81" t="s">
        <v>118</v>
      </c>
      <c r="AK291" s="166">
        <v>0</v>
      </c>
      <c r="AL291" s="166">
        <v>1</v>
      </c>
      <c r="AM291" s="166">
        <v>0</v>
      </c>
      <c r="AO291" s="166">
        <v>0</v>
      </c>
      <c r="AP291" s="166">
        <v>0</v>
      </c>
      <c r="AQ291" s="166">
        <v>1</v>
      </c>
      <c r="AR291" s="166">
        <v>0</v>
      </c>
      <c r="AS291" s="166">
        <v>0</v>
      </c>
      <c r="AT291" s="166">
        <v>0</v>
      </c>
      <c r="AU291" s="166">
        <v>0</v>
      </c>
      <c r="AV291" s="166">
        <v>0</v>
      </c>
      <c r="AW291" s="166">
        <v>0</v>
      </c>
      <c r="AX291" s="166">
        <v>1</v>
      </c>
      <c r="AY291" s="166">
        <v>0</v>
      </c>
      <c r="AZ291" s="166">
        <v>0</v>
      </c>
      <c r="BA291" s="166">
        <v>0</v>
      </c>
      <c r="BB291" s="166">
        <v>0</v>
      </c>
      <c r="BC291" s="166">
        <v>0</v>
      </c>
      <c r="BD291" s="166">
        <v>0</v>
      </c>
      <c r="BE291" s="166">
        <v>0</v>
      </c>
      <c r="BF291" s="166">
        <v>0</v>
      </c>
      <c r="BG291" s="166">
        <v>0</v>
      </c>
      <c r="BH291" s="166">
        <v>0</v>
      </c>
      <c r="BI291" s="166">
        <v>0</v>
      </c>
      <c r="BJ291" s="166">
        <v>0</v>
      </c>
      <c r="BK291" s="166">
        <v>0</v>
      </c>
      <c r="BL291" s="166">
        <v>0</v>
      </c>
      <c r="BM291" s="166">
        <v>0</v>
      </c>
      <c r="BN291" s="166">
        <v>0</v>
      </c>
      <c r="BO291" s="166">
        <v>0</v>
      </c>
      <c r="BP291" s="166">
        <v>0</v>
      </c>
      <c r="BQ291" s="81" t="s">
        <v>1757</v>
      </c>
      <c r="BZ291" s="81" t="s">
        <v>155</v>
      </c>
      <c r="CA291" s="81" t="s">
        <v>3981</v>
      </c>
      <c r="CC291" s="167">
        <v>0</v>
      </c>
      <c r="CD291" s="167">
        <f>$N291/2</f>
        <v>0.5</v>
      </c>
      <c r="CE291" s="167">
        <f>$N291/2</f>
        <v>0.5</v>
      </c>
      <c r="CF291" s="167">
        <v>0</v>
      </c>
      <c r="CG291" s="167">
        <v>0</v>
      </c>
      <c r="CH291" s="167">
        <v>0</v>
      </c>
      <c r="CI291" s="167">
        <v>0</v>
      </c>
      <c r="CJ291" s="167">
        <v>0</v>
      </c>
      <c r="CK291" s="167">
        <v>0</v>
      </c>
      <c r="CL291" s="167">
        <v>0</v>
      </c>
      <c r="CM291" s="167">
        <v>0</v>
      </c>
      <c r="CN291" s="167">
        <v>0</v>
      </c>
      <c r="CO291" s="167">
        <v>0</v>
      </c>
      <c r="CP291" s="167">
        <v>0</v>
      </c>
      <c r="CQ291" s="167">
        <v>0</v>
      </c>
      <c r="CR291" s="167">
        <v>0</v>
      </c>
      <c r="CS291" s="167">
        <v>0</v>
      </c>
      <c r="CT291" s="167">
        <v>0</v>
      </c>
      <c r="CU291" s="167">
        <v>0</v>
      </c>
      <c r="CV291" s="167">
        <v>0</v>
      </c>
      <c r="CW291" s="167">
        <v>0</v>
      </c>
      <c r="CX291" s="167">
        <f>SUM(CD291:CH291)</f>
        <v>1</v>
      </c>
      <c r="CY291" s="167">
        <f>SUM(CD291:CM291)</f>
        <v>1</v>
      </c>
    </row>
    <row r="292" spans="1:103" ht="12.75" customHeight="1" x14ac:dyDescent="0.2">
      <c r="A292" s="81">
        <v>2759</v>
      </c>
      <c r="B292" s="165" t="s">
        <v>1908</v>
      </c>
      <c r="C292" s="165" t="s">
        <v>1318</v>
      </c>
      <c r="E292" s="165" t="s">
        <v>3069</v>
      </c>
      <c r="G292" s="81">
        <v>527493</v>
      </c>
      <c r="H292" s="81">
        <v>171577</v>
      </c>
      <c r="I292" s="165" t="s">
        <v>242</v>
      </c>
      <c r="J292" s="349">
        <v>42487</v>
      </c>
      <c r="L292" s="166">
        <v>0</v>
      </c>
      <c r="M292" s="166">
        <v>1</v>
      </c>
      <c r="N292" s="166">
        <v>1</v>
      </c>
      <c r="O292" s="166">
        <v>1</v>
      </c>
      <c r="P292" s="166">
        <v>1</v>
      </c>
      <c r="R292" s="165" t="s">
        <v>1319</v>
      </c>
      <c r="S292" s="81" t="s">
        <v>113</v>
      </c>
      <c r="T292" s="349">
        <v>42538</v>
      </c>
      <c r="U292" s="349">
        <v>42681</v>
      </c>
      <c r="W292" s="81" t="s">
        <v>114</v>
      </c>
      <c r="Y292" s="81" t="s">
        <v>115</v>
      </c>
      <c r="Z292" s="81" t="s">
        <v>398</v>
      </c>
      <c r="AA292" s="81" t="s">
        <v>117</v>
      </c>
      <c r="AB292" s="81" t="s">
        <v>102</v>
      </c>
      <c r="AC292" s="166">
        <v>3.0000000260770299E-3</v>
      </c>
      <c r="AD292" s="349">
        <v>42487</v>
      </c>
      <c r="AG292" s="81" t="s">
        <v>238</v>
      </c>
      <c r="AH292" s="81" t="s">
        <v>118</v>
      </c>
      <c r="AK292" s="166">
        <v>1</v>
      </c>
      <c r="AM292" s="166">
        <v>0</v>
      </c>
      <c r="AO292" s="166">
        <v>0</v>
      </c>
      <c r="AP292" s="166">
        <v>1</v>
      </c>
      <c r="AQ292" s="166">
        <v>0</v>
      </c>
      <c r="AR292" s="166">
        <v>0</v>
      </c>
      <c r="AS292" s="166">
        <v>0</v>
      </c>
      <c r="AT292" s="166">
        <v>0</v>
      </c>
      <c r="AU292" s="166">
        <v>0</v>
      </c>
      <c r="AV292" s="166">
        <v>0</v>
      </c>
      <c r="AW292" s="166">
        <v>1</v>
      </c>
      <c r="AX292" s="166">
        <v>0</v>
      </c>
      <c r="AY292" s="166">
        <v>0</v>
      </c>
      <c r="AZ292" s="166">
        <v>0</v>
      </c>
      <c r="BA292" s="166">
        <v>0</v>
      </c>
      <c r="BB292" s="166">
        <v>0</v>
      </c>
      <c r="BC292" s="166">
        <v>0</v>
      </c>
      <c r="BD292" s="166">
        <v>0</v>
      </c>
      <c r="BE292" s="166">
        <v>0</v>
      </c>
      <c r="BF292" s="166">
        <v>0</v>
      </c>
      <c r="BG292" s="166">
        <v>0</v>
      </c>
      <c r="BH292" s="166">
        <v>0</v>
      </c>
      <c r="BI292" s="166">
        <v>0</v>
      </c>
      <c r="BJ292" s="166">
        <v>0</v>
      </c>
      <c r="BK292" s="166">
        <v>0</v>
      </c>
      <c r="BL292" s="166">
        <v>0</v>
      </c>
      <c r="BM292" s="166">
        <v>0</v>
      </c>
      <c r="BN292" s="166">
        <v>0</v>
      </c>
      <c r="BO292" s="166">
        <v>0</v>
      </c>
      <c r="BP292" s="166">
        <v>0</v>
      </c>
      <c r="BQ292" s="81" t="s">
        <v>1757</v>
      </c>
      <c r="BR292" s="81" t="s">
        <v>242</v>
      </c>
      <c r="BZ292" s="81" t="s">
        <v>155</v>
      </c>
      <c r="CA292" s="81" t="s">
        <v>3980</v>
      </c>
      <c r="CC292" s="167">
        <v>0</v>
      </c>
      <c r="CD292" s="167">
        <f>N292</f>
        <v>1</v>
      </c>
      <c r="CE292" s="167">
        <v>0</v>
      </c>
      <c r="CF292" s="167">
        <v>0</v>
      </c>
      <c r="CG292" s="167">
        <v>0</v>
      </c>
      <c r="CH292" s="167">
        <v>0</v>
      </c>
      <c r="CI292" s="167">
        <v>0</v>
      </c>
      <c r="CJ292" s="167">
        <v>0</v>
      </c>
      <c r="CK292" s="167">
        <v>0</v>
      </c>
      <c r="CL292" s="167">
        <v>0</v>
      </c>
      <c r="CM292" s="167">
        <v>0</v>
      </c>
      <c r="CN292" s="167">
        <v>0</v>
      </c>
      <c r="CO292" s="167">
        <v>0</v>
      </c>
      <c r="CP292" s="167">
        <v>0</v>
      </c>
      <c r="CQ292" s="167">
        <v>0</v>
      </c>
      <c r="CR292" s="167">
        <v>0</v>
      </c>
      <c r="CS292" s="167">
        <v>0</v>
      </c>
      <c r="CT292" s="167">
        <v>0</v>
      </c>
      <c r="CU292" s="167">
        <v>0</v>
      </c>
      <c r="CV292" s="167">
        <v>0</v>
      </c>
      <c r="CW292" s="167">
        <v>0</v>
      </c>
      <c r="CX292" s="167">
        <f>SUM(CD292:CH292)</f>
        <v>1</v>
      </c>
      <c r="CY292" s="167">
        <f>SUM(CD292:CM292)</f>
        <v>1</v>
      </c>
    </row>
    <row r="293" spans="1:103" x14ac:dyDescent="0.2">
      <c r="A293" s="81">
        <v>2786</v>
      </c>
      <c r="B293" s="165" t="s">
        <v>1908</v>
      </c>
      <c r="C293" s="165" t="s">
        <v>1398</v>
      </c>
      <c r="E293" s="165" t="s">
        <v>3384</v>
      </c>
      <c r="G293" s="81">
        <v>527308</v>
      </c>
      <c r="H293" s="81">
        <v>171157</v>
      </c>
      <c r="I293" s="165" t="s">
        <v>253</v>
      </c>
      <c r="J293" s="349">
        <v>43190</v>
      </c>
      <c r="L293" s="166">
        <v>0</v>
      </c>
      <c r="M293" s="166">
        <v>2</v>
      </c>
      <c r="N293" s="166">
        <v>2</v>
      </c>
      <c r="O293" s="166">
        <v>2</v>
      </c>
      <c r="P293" s="166">
        <v>2</v>
      </c>
      <c r="R293" s="165" t="s">
        <v>1399</v>
      </c>
      <c r="S293" s="81" t="s">
        <v>113</v>
      </c>
      <c r="T293" s="349">
        <v>42608</v>
      </c>
      <c r="U293" s="349">
        <v>42664</v>
      </c>
      <c r="W293" s="81" t="s">
        <v>114</v>
      </c>
      <c r="Y293" s="81" t="s">
        <v>115</v>
      </c>
      <c r="Z293" s="81" t="s">
        <v>219</v>
      </c>
      <c r="AA293" s="81" t="s">
        <v>117</v>
      </c>
      <c r="AB293" s="81" t="s">
        <v>102</v>
      </c>
      <c r="AC293" s="166">
        <v>1.4000000432133701E-2</v>
      </c>
      <c r="AD293" s="349">
        <v>43190</v>
      </c>
      <c r="AE293" s="81" t="s">
        <v>155</v>
      </c>
      <c r="AG293" s="81" t="s">
        <v>238</v>
      </c>
      <c r="AH293" s="81" t="s">
        <v>118</v>
      </c>
      <c r="AK293" s="166">
        <v>2</v>
      </c>
      <c r="AM293" s="166">
        <v>0</v>
      </c>
      <c r="AO293" s="166">
        <v>0</v>
      </c>
      <c r="AP293" s="166">
        <v>0</v>
      </c>
      <c r="AQ293" s="166">
        <v>2</v>
      </c>
      <c r="AR293" s="166">
        <v>0</v>
      </c>
      <c r="AS293" s="166">
        <v>0</v>
      </c>
      <c r="AT293" s="166">
        <v>0</v>
      </c>
      <c r="AU293" s="166">
        <v>0</v>
      </c>
      <c r="AV293" s="166">
        <v>0</v>
      </c>
      <c r="AW293" s="166">
        <v>0</v>
      </c>
      <c r="AX293" s="166">
        <v>2</v>
      </c>
      <c r="AY293" s="166">
        <v>0</v>
      </c>
      <c r="AZ293" s="166">
        <v>0</v>
      </c>
      <c r="BA293" s="166">
        <v>0</v>
      </c>
      <c r="BB293" s="166">
        <v>0</v>
      </c>
      <c r="BC293" s="166">
        <v>0</v>
      </c>
      <c r="BD293" s="166">
        <v>0</v>
      </c>
      <c r="BE293" s="166">
        <v>0</v>
      </c>
      <c r="BF293" s="166">
        <v>0</v>
      </c>
      <c r="BG293" s="166">
        <v>0</v>
      </c>
      <c r="BH293" s="166">
        <v>0</v>
      </c>
      <c r="BI293" s="166">
        <v>0</v>
      </c>
      <c r="BJ293" s="166">
        <v>0</v>
      </c>
      <c r="BK293" s="166">
        <v>0</v>
      </c>
      <c r="BL293" s="166">
        <v>0</v>
      </c>
      <c r="BM293" s="166">
        <v>0</v>
      </c>
      <c r="BN293" s="166">
        <v>0</v>
      </c>
      <c r="BO293" s="166">
        <v>0</v>
      </c>
      <c r="BP293" s="166">
        <v>0</v>
      </c>
      <c r="BQ293" s="81" t="s">
        <v>1757</v>
      </c>
      <c r="BZ293" s="81" t="s">
        <v>155</v>
      </c>
      <c r="CA293" s="81" t="s">
        <v>3981</v>
      </c>
      <c r="CC293" s="167">
        <v>0</v>
      </c>
      <c r="CD293" s="167">
        <f>$N293/2</f>
        <v>1</v>
      </c>
      <c r="CE293" s="167">
        <f>$N293/2</f>
        <v>1</v>
      </c>
      <c r="CF293" s="167">
        <v>0</v>
      </c>
      <c r="CG293" s="167">
        <v>0</v>
      </c>
      <c r="CH293" s="167">
        <v>0</v>
      </c>
      <c r="CI293" s="167">
        <v>0</v>
      </c>
      <c r="CJ293" s="167">
        <v>0</v>
      </c>
      <c r="CK293" s="167">
        <v>0</v>
      </c>
      <c r="CL293" s="167">
        <v>0</v>
      </c>
      <c r="CM293" s="167">
        <v>0</v>
      </c>
      <c r="CN293" s="167">
        <v>0</v>
      </c>
      <c r="CO293" s="167">
        <v>0</v>
      </c>
      <c r="CP293" s="167">
        <v>0</v>
      </c>
      <c r="CQ293" s="167">
        <v>0</v>
      </c>
      <c r="CR293" s="167">
        <v>0</v>
      </c>
      <c r="CS293" s="167">
        <v>0</v>
      </c>
      <c r="CT293" s="167">
        <v>0</v>
      </c>
      <c r="CU293" s="167">
        <v>0</v>
      </c>
      <c r="CV293" s="167">
        <v>0</v>
      </c>
      <c r="CW293" s="167">
        <v>0</v>
      </c>
      <c r="CX293" s="167">
        <f>SUM(CD293:CH293)</f>
        <v>2</v>
      </c>
      <c r="CY293" s="167">
        <f>SUM(CD293:CM293)</f>
        <v>2</v>
      </c>
    </row>
    <row r="294" spans="1:103" x14ac:dyDescent="0.2">
      <c r="A294" s="81">
        <v>2796</v>
      </c>
      <c r="B294" s="165" t="s">
        <v>1908</v>
      </c>
      <c r="C294" s="165" t="s">
        <v>662</v>
      </c>
      <c r="D294" s="165" t="s">
        <v>663</v>
      </c>
      <c r="E294" s="165" t="s">
        <v>2000</v>
      </c>
      <c r="F294" s="165" t="s">
        <v>921</v>
      </c>
      <c r="G294" s="81">
        <v>526651</v>
      </c>
      <c r="H294" s="81">
        <v>175984</v>
      </c>
      <c r="I294" s="165" t="s">
        <v>257</v>
      </c>
      <c r="J294" s="349">
        <v>42552</v>
      </c>
      <c r="L294" s="166">
        <v>0</v>
      </c>
      <c r="M294" s="166">
        <v>4</v>
      </c>
      <c r="N294" s="166">
        <v>4</v>
      </c>
      <c r="O294" s="166">
        <v>173</v>
      </c>
      <c r="P294" s="166">
        <v>173</v>
      </c>
      <c r="Q294" s="81" t="s">
        <v>155</v>
      </c>
      <c r="R294" s="165" t="s">
        <v>922</v>
      </c>
      <c r="S294" s="81" t="s">
        <v>104</v>
      </c>
      <c r="T294" s="349">
        <v>42268</v>
      </c>
      <c r="U294" s="349">
        <v>42356</v>
      </c>
      <c r="W294" s="81" t="s">
        <v>114</v>
      </c>
      <c r="Y294" s="81" t="s">
        <v>115</v>
      </c>
      <c r="Z294" s="81" t="s">
        <v>116</v>
      </c>
      <c r="AA294" s="81" t="s">
        <v>116</v>
      </c>
      <c r="AB294" s="81" t="s">
        <v>117</v>
      </c>
      <c r="AC294" s="166">
        <v>1.2000000104308101E-2</v>
      </c>
      <c r="AD294" s="349">
        <v>42552</v>
      </c>
      <c r="AG294" s="81" t="s">
        <v>238</v>
      </c>
      <c r="AH294" s="81" t="s">
        <v>118</v>
      </c>
      <c r="AI294" s="81" t="s">
        <v>2001</v>
      </c>
      <c r="AK294" s="166">
        <v>4</v>
      </c>
      <c r="AM294" s="166">
        <v>0</v>
      </c>
      <c r="AO294" s="166">
        <v>0</v>
      </c>
      <c r="AP294" s="166">
        <v>0</v>
      </c>
      <c r="AQ294" s="166">
        <v>1</v>
      </c>
      <c r="AR294" s="166">
        <v>3</v>
      </c>
      <c r="AS294" s="166">
        <v>0</v>
      </c>
      <c r="AT294" s="166">
        <v>0</v>
      </c>
      <c r="AU294" s="166">
        <v>0</v>
      </c>
      <c r="AV294" s="166">
        <v>0</v>
      </c>
      <c r="AW294" s="166">
        <v>0</v>
      </c>
      <c r="AX294" s="166">
        <v>1</v>
      </c>
      <c r="AY294" s="166">
        <v>3</v>
      </c>
      <c r="AZ294" s="166">
        <v>0</v>
      </c>
      <c r="BA294" s="166">
        <v>0</v>
      </c>
      <c r="BB294" s="166">
        <v>0</v>
      </c>
      <c r="BC294" s="166">
        <v>0</v>
      </c>
      <c r="BD294" s="166">
        <v>0</v>
      </c>
      <c r="BE294" s="166">
        <v>0</v>
      </c>
      <c r="BF294" s="166">
        <v>0</v>
      </c>
      <c r="BG294" s="166">
        <v>0</v>
      </c>
      <c r="BH294" s="166">
        <v>0</v>
      </c>
      <c r="BI294" s="166">
        <v>0</v>
      </c>
      <c r="BJ294" s="166">
        <v>0</v>
      </c>
      <c r="BK294" s="166">
        <v>0</v>
      </c>
      <c r="BL294" s="166">
        <v>0</v>
      </c>
      <c r="BM294" s="166">
        <v>0</v>
      </c>
      <c r="BN294" s="166">
        <v>0</v>
      </c>
      <c r="BO294" s="166">
        <v>0</v>
      </c>
      <c r="BP294" s="166">
        <v>0</v>
      </c>
      <c r="BQ294" s="81" t="s">
        <v>1757</v>
      </c>
      <c r="BX294" s="81" t="s">
        <v>155</v>
      </c>
      <c r="BZ294" s="81" t="s">
        <v>155</v>
      </c>
      <c r="CA294" s="81" t="s">
        <v>3934</v>
      </c>
      <c r="CC294" s="167">
        <v>0</v>
      </c>
      <c r="CD294" s="167">
        <v>0</v>
      </c>
      <c r="CE294" s="167">
        <f>N294</f>
        <v>4</v>
      </c>
      <c r="CF294" s="167">
        <v>0</v>
      </c>
      <c r="CG294" s="167">
        <v>0</v>
      </c>
      <c r="CH294" s="167">
        <v>0</v>
      </c>
      <c r="CI294" s="167">
        <v>0</v>
      </c>
      <c r="CJ294" s="167">
        <v>0</v>
      </c>
      <c r="CK294" s="167">
        <v>0</v>
      </c>
      <c r="CL294" s="167">
        <v>0</v>
      </c>
      <c r="CM294" s="167">
        <v>0</v>
      </c>
      <c r="CN294" s="167">
        <v>0</v>
      </c>
      <c r="CO294" s="167">
        <v>0</v>
      </c>
      <c r="CP294" s="167">
        <v>0</v>
      </c>
      <c r="CQ294" s="167">
        <v>0</v>
      </c>
      <c r="CR294" s="167">
        <v>0</v>
      </c>
      <c r="CS294" s="167">
        <v>0</v>
      </c>
      <c r="CT294" s="167">
        <v>0</v>
      </c>
      <c r="CU294" s="167">
        <v>0</v>
      </c>
      <c r="CV294" s="167">
        <v>0</v>
      </c>
      <c r="CW294" s="167">
        <v>0</v>
      </c>
      <c r="CX294" s="167">
        <f>SUM(CD294:CH294)</f>
        <v>4</v>
      </c>
      <c r="CY294" s="167">
        <f>SUM(CD294:CM294)</f>
        <v>4</v>
      </c>
    </row>
    <row r="295" spans="1:103" ht="12.75" customHeight="1" x14ac:dyDescent="0.2">
      <c r="A295" s="81">
        <v>2796</v>
      </c>
      <c r="B295" s="165" t="s">
        <v>1908</v>
      </c>
      <c r="C295" s="165" t="s">
        <v>662</v>
      </c>
      <c r="D295" s="165" t="s">
        <v>663</v>
      </c>
      <c r="E295" s="165" t="s">
        <v>2000</v>
      </c>
      <c r="F295" s="165" t="s">
        <v>923</v>
      </c>
      <c r="G295" s="81">
        <v>526651</v>
      </c>
      <c r="H295" s="81">
        <v>175984</v>
      </c>
      <c r="I295" s="165" t="s">
        <v>257</v>
      </c>
      <c r="J295" s="349">
        <v>42552</v>
      </c>
      <c r="L295" s="166">
        <v>0</v>
      </c>
      <c r="M295" s="166">
        <v>4</v>
      </c>
      <c r="N295" s="166">
        <v>4</v>
      </c>
      <c r="O295" s="166">
        <v>173</v>
      </c>
      <c r="P295" s="166">
        <v>173</v>
      </c>
      <c r="Q295" s="81" t="s">
        <v>155</v>
      </c>
      <c r="R295" s="165" t="s">
        <v>922</v>
      </c>
      <c r="S295" s="81" t="s">
        <v>104</v>
      </c>
      <c r="T295" s="349">
        <v>42268</v>
      </c>
      <c r="U295" s="349">
        <v>42356</v>
      </c>
      <c r="W295" s="81" t="s">
        <v>114</v>
      </c>
      <c r="Y295" s="81" t="s">
        <v>115</v>
      </c>
      <c r="Z295" s="81" t="s">
        <v>116</v>
      </c>
      <c r="AA295" s="81" t="s">
        <v>116</v>
      </c>
      <c r="AB295" s="81" t="s">
        <v>117</v>
      </c>
      <c r="AC295" s="166">
        <v>1.2000000104308101E-2</v>
      </c>
      <c r="AD295" s="349">
        <v>42552</v>
      </c>
      <c r="AG295" s="81" t="s">
        <v>238</v>
      </c>
      <c r="AH295" s="81" t="s">
        <v>118</v>
      </c>
      <c r="AI295" s="81" t="s">
        <v>2001</v>
      </c>
      <c r="AK295" s="166">
        <v>4</v>
      </c>
      <c r="AM295" s="166">
        <v>0</v>
      </c>
      <c r="AO295" s="166">
        <v>0</v>
      </c>
      <c r="AP295" s="166">
        <v>0</v>
      </c>
      <c r="AQ295" s="166">
        <v>1</v>
      </c>
      <c r="AR295" s="166">
        <v>3</v>
      </c>
      <c r="AS295" s="166">
        <v>0</v>
      </c>
      <c r="AT295" s="166">
        <v>0</v>
      </c>
      <c r="AU295" s="166">
        <v>0</v>
      </c>
      <c r="AV295" s="166">
        <v>0</v>
      </c>
      <c r="AW295" s="166">
        <v>0</v>
      </c>
      <c r="AX295" s="166">
        <v>1</v>
      </c>
      <c r="AY295" s="166">
        <v>3</v>
      </c>
      <c r="AZ295" s="166">
        <v>0</v>
      </c>
      <c r="BA295" s="166">
        <v>0</v>
      </c>
      <c r="BB295" s="166">
        <v>0</v>
      </c>
      <c r="BC295" s="166">
        <v>0</v>
      </c>
      <c r="BD295" s="166">
        <v>0</v>
      </c>
      <c r="BE295" s="166">
        <v>0</v>
      </c>
      <c r="BF295" s="166">
        <v>0</v>
      </c>
      <c r="BG295" s="166">
        <v>0</v>
      </c>
      <c r="BH295" s="166">
        <v>0</v>
      </c>
      <c r="BI295" s="166">
        <v>0</v>
      </c>
      <c r="BJ295" s="166">
        <v>0</v>
      </c>
      <c r="BK295" s="166">
        <v>0</v>
      </c>
      <c r="BL295" s="166">
        <v>0</v>
      </c>
      <c r="BM295" s="166">
        <v>0</v>
      </c>
      <c r="BN295" s="166">
        <v>0</v>
      </c>
      <c r="BO295" s="166">
        <v>0</v>
      </c>
      <c r="BP295" s="166">
        <v>0</v>
      </c>
      <c r="BQ295" s="81" t="s">
        <v>1757</v>
      </c>
      <c r="BX295" s="81" t="s">
        <v>155</v>
      </c>
      <c r="BZ295" s="81" t="s">
        <v>155</v>
      </c>
      <c r="CA295" s="81" t="s">
        <v>3934</v>
      </c>
      <c r="CC295" s="167">
        <v>0</v>
      </c>
      <c r="CD295" s="167">
        <v>0</v>
      </c>
      <c r="CE295" s="167">
        <f>N295</f>
        <v>4</v>
      </c>
      <c r="CF295" s="167">
        <v>0</v>
      </c>
      <c r="CG295" s="167">
        <v>0</v>
      </c>
      <c r="CH295" s="167">
        <v>0</v>
      </c>
      <c r="CI295" s="167">
        <v>0</v>
      </c>
      <c r="CJ295" s="167">
        <v>0</v>
      </c>
      <c r="CK295" s="167">
        <v>0</v>
      </c>
      <c r="CL295" s="167">
        <v>0</v>
      </c>
      <c r="CM295" s="167">
        <v>0</v>
      </c>
      <c r="CN295" s="167">
        <v>0</v>
      </c>
      <c r="CO295" s="167">
        <v>0</v>
      </c>
      <c r="CP295" s="167">
        <v>0</v>
      </c>
      <c r="CQ295" s="167">
        <v>0</v>
      </c>
      <c r="CR295" s="167">
        <v>0</v>
      </c>
      <c r="CS295" s="167">
        <v>0</v>
      </c>
      <c r="CT295" s="167">
        <v>0</v>
      </c>
      <c r="CU295" s="167">
        <v>0</v>
      </c>
      <c r="CV295" s="167">
        <v>0</v>
      </c>
      <c r="CW295" s="167">
        <v>0</v>
      </c>
      <c r="CX295" s="167">
        <f>SUM(CD295:CH295)</f>
        <v>4</v>
      </c>
      <c r="CY295" s="167">
        <f>SUM(CD295:CM295)</f>
        <v>4</v>
      </c>
    </row>
    <row r="296" spans="1:103" ht="12.75" customHeight="1" x14ac:dyDescent="0.2">
      <c r="A296" s="81">
        <v>2796</v>
      </c>
      <c r="B296" s="165" t="s">
        <v>1908</v>
      </c>
      <c r="C296" s="165" t="s">
        <v>662</v>
      </c>
      <c r="D296" s="165" t="s">
        <v>663</v>
      </c>
      <c r="E296" s="165" t="s">
        <v>2000</v>
      </c>
      <c r="F296" s="165" t="s">
        <v>924</v>
      </c>
      <c r="G296" s="81">
        <v>526651</v>
      </c>
      <c r="H296" s="81">
        <v>175984</v>
      </c>
      <c r="I296" s="165" t="s">
        <v>257</v>
      </c>
      <c r="J296" s="349">
        <v>42552</v>
      </c>
      <c r="L296" s="166">
        <v>0</v>
      </c>
      <c r="M296" s="166">
        <v>4</v>
      </c>
      <c r="N296" s="166">
        <v>4</v>
      </c>
      <c r="O296" s="166">
        <v>173</v>
      </c>
      <c r="P296" s="166">
        <v>173</v>
      </c>
      <c r="Q296" s="81" t="s">
        <v>155</v>
      </c>
      <c r="R296" s="165" t="s">
        <v>922</v>
      </c>
      <c r="S296" s="81" t="s">
        <v>104</v>
      </c>
      <c r="T296" s="349">
        <v>42268</v>
      </c>
      <c r="U296" s="349">
        <v>42356</v>
      </c>
      <c r="W296" s="81" t="s">
        <v>114</v>
      </c>
      <c r="Y296" s="81" t="s">
        <v>115</v>
      </c>
      <c r="Z296" s="81" t="s">
        <v>116</v>
      </c>
      <c r="AA296" s="81" t="s">
        <v>116</v>
      </c>
      <c r="AB296" s="81" t="s">
        <v>117</v>
      </c>
      <c r="AC296" s="166">
        <v>1.2000000104308101E-2</v>
      </c>
      <c r="AD296" s="349">
        <v>42552</v>
      </c>
      <c r="AG296" s="81" t="s">
        <v>238</v>
      </c>
      <c r="AH296" s="81" t="s">
        <v>118</v>
      </c>
      <c r="AI296" s="81" t="s">
        <v>2001</v>
      </c>
      <c r="AK296" s="166">
        <v>4</v>
      </c>
      <c r="AM296" s="166">
        <v>0</v>
      </c>
      <c r="AO296" s="166">
        <v>0</v>
      </c>
      <c r="AP296" s="166">
        <v>0</v>
      </c>
      <c r="AQ296" s="166">
        <v>1</v>
      </c>
      <c r="AR296" s="166">
        <v>3</v>
      </c>
      <c r="AS296" s="166">
        <v>0</v>
      </c>
      <c r="AT296" s="166">
        <v>0</v>
      </c>
      <c r="AU296" s="166">
        <v>0</v>
      </c>
      <c r="AV296" s="166">
        <v>0</v>
      </c>
      <c r="AW296" s="166">
        <v>0</v>
      </c>
      <c r="AX296" s="166">
        <v>1</v>
      </c>
      <c r="AY296" s="166">
        <v>3</v>
      </c>
      <c r="AZ296" s="166">
        <v>0</v>
      </c>
      <c r="BA296" s="166">
        <v>0</v>
      </c>
      <c r="BB296" s="166">
        <v>0</v>
      </c>
      <c r="BC296" s="166">
        <v>0</v>
      </c>
      <c r="BD296" s="166">
        <v>0</v>
      </c>
      <c r="BE296" s="166">
        <v>0</v>
      </c>
      <c r="BF296" s="166">
        <v>0</v>
      </c>
      <c r="BG296" s="166">
        <v>0</v>
      </c>
      <c r="BH296" s="166">
        <v>0</v>
      </c>
      <c r="BI296" s="166">
        <v>0</v>
      </c>
      <c r="BJ296" s="166">
        <v>0</v>
      </c>
      <c r="BK296" s="166">
        <v>0</v>
      </c>
      <c r="BL296" s="166">
        <v>0</v>
      </c>
      <c r="BM296" s="166">
        <v>0</v>
      </c>
      <c r="BN296" s="166">
        <v>0</v>
      </c>
      <c r="BO296" s="166">
        <v>0</v>
      </c>
      <c r="BP296" s="166">
        <v>0</v>
      </c>
      <c r="BQ296" s="81" t="s">
        <v>1757</v>
      </c>
      <c r="BX296" s="81" t="s">
        <v>155</v>
      </c>
      <c r="BZ296" s="81" t="s">
        <v>155</v>
      </c>
      <c r="CA296" s="81" t="s">
        <v>3934</v>
      </c>
      <c r="CC296" s="167">
        <v>0</v>
      </c>
      <c r="CD296" s="167">
        <v>0</v>
      </c>
      <c r="CE296" s="167">
        <f>N296</f>
        <v>4</v>
      </c>
      <c r="CF296" s="167">
        <v>0</v>
      </c>
      <c r="CG296" s="167">
        <v>0</v>
      </c>
      <c r="CH296" s="167">
        <v>0</v>
      </c>
      <c r="CI296" s="167">
        <v>0</v>
      </c>
      <c r="CJ296" s="167">
        <v>0</v>
      </c>
      <c r="CK296" s="167">
        <v>0</v>
      </c>
      <c r="CL296" s="167">
        <v>0</v>
      </c>
      <c r="CM296" s="167">
        <v>0</v>
      </c>
      <c r="CN296" s="167">
        <v>0</v>
      </c>
      <c r="CO296" s="167">
        <v>0</v>
      </c>
      <c r="CP296" s="167">
        <v>0</v>
      </c>
      <c r="CQ296" s="167">
        <v>0</v>
      </c>
      <c r="CR296" s="167">
        <v>0</v>
      </c>
      <c r="CS296" s="167">
        <v>0</v>
      </c>
      <c r="CT296" s="167">
        <v>0</v>
      </c>
      <c r="CU296" s="167">
        <v>0</v>
      </c>
      <c r="CV296" s="167">
        <v>0</v>
      </c>
      <c r="CW296" s="167">
        <v>0</v>
      </c>
      <c r="CX296" s="167">
        <f>SUM(CD296:CH296)</f>
        <v>4</v>
      </c>
      <c r="CY296" s="167">
        <f>SUM(CD296:CM296)</f>
        <v>4</v>
      </c>
    </row>
    <row r="297" spans="1:103" ht="12.75" customHeight="1" x14ac:dyDescent="0.2">
      <c r="A297" s="81">
        <v>2796</v>
      </c>
      <c r="B297" s="165" t="s">
        <v>1908</v>
      </c>
      <c r="C297" s="165" t="s">
        <v>662</v>
      </c>
      <c r="D297" s="165" t="s">
        <v>663</v>
      </c>
      <c r="E297" s="165" t="s">
        <v>2000</v>
      </c>
      <c r="F297" s="165" t="s">
        <v>925</v>
      </c>
      <c r="G297" s="81">
        <v>526651</v>
      </c>
      <c r="H297" s="81">
        <v>175984</v>
      </c>
      <c r="I297" s="165" t="s">
        <v>257</v>
      </c>
      <c r="J297" s="349">
        <v>42552</v>
      </c>
      <c r="L297" s="166">
        <v>0</v>
      </c>
      <c r="M297" s="166">
        <v>6</v>
      </c>
      <c r="N297" s="166">
        <v>6</v>
      </c>
      <c r="O297" s="166">
        <v>173</v>
      </c>
      <c r="P297" s="166">
        <v>173</v>
      </c>
      <c r="Q297" s="81" t="s">
        <v>155</v>
      </c>
      <c r="R297" s="165" t="s">
        <v>922</v>
      </c>
      <c r="S297" s="81" t="s">
        <v>104</v>
      </c>
      <c r="T297" s="349">
        <v>42268</v>
      </c>
      <c r="U297" s="349">
        <v>42356</v>
      </c>
      <c r="W297" s="81" t="s">
        <v>114</v>
      </c>
      <c r="Y297" s="81" t="s">
        <v>115</v>
      </c>
      <c r="Z297" s="81" t="s">
        <v>116</v>
      </c>
      <c r="AA297" s="81" t="s">
        <v>116</v>
      </c>
      <c r="AB297" s="81" t="s">
        <v>117</v>
      </c>
      <c r="AC297" s="166">
        <v>1.30000002682209E-2</v>
      </c>
      <c r="AD297" s="349">
        <v>42552</v>
      </c>
      <c r="AG297" s="81" t="s">
        <v>238</v>
      </c>
      <c r="AH297" s="81" t="s">
        <v>118</v>
      </c>
      <c r="AI297" s="81" t="s">
        <v>2001</v>
      </c>
      <c r="AK297" s="166">
        <v>6</v>
      </c>
      <c r="AM297" s="166">
        <v>1</v>
      </c>
      <c r="AO297" s="166">
        <v>0</v>
      </c>
      <c r="AP297" s="166">
        <v>4</v>
      </c>
      <c r="AQ297" s="166">
        <v>2</v>
      </c>
      <c r="AR297" s="166">
        <v>0</v>
      </c>
      <c r="AS297" s="166">
        <v>0</v>
      </c>
      <c r="AT297" s="166">
        <v>0</v>
      </c>
      <c r="AU297" s="166">
        <v>0</v>
      </c>
      <c r="AV297" s="166">
        <v>0</v>
      </c>
      <c r="AW297" s="166">
        <v>4</v>
      </c>
      <c r="AX297" s="166">
        <v>2</v>
      </c>
      <c r="AY297" s="166">
        <v>0</v>
      </c>
      <c r="AZ297" s="166">
        <v>0</v>
      </c>
      <c r="BA297" s="166">
        <v>0</v>
      </c>
      <c r="BB297" s="166">
        <v>0</v>
      </c>
      <c r="BC297" s="166">
        <v>0</v>
      </c>
      <c r="BD297" s="166">
        <v>0</v>
      </c>
      <c r="BE297" s="166">
        <v>0</v>
      </c>
      <c r="BF297" s="166">
        <v>0</v>
      </c>
      <c r="BG297" s="166">
        <v>0</v>
      </c>
      <c r="BH297" s="166">
        <v>0</v>
      </c>
      <c r="BI297" s="166">
        <v>0</v>
      </c>
      <c r="BJ297" s="166">
        <v>0</v>
      </c>
      <c r="BK297" s="166">
        <v>0</v>
      </c>
      <c r="BL297" s="166">
        <v>0</v>
      </c>
      <c r="BM297" s="166">
        <v>0</v>
      </c>
      <c r="BN297" s="166">
        <v>0</v>
      </c>
      <c r="BO297" s="166">
        <v>0</v>
      </c>
      <c r="BP297" s="166">
        <v>0</v>
      </c>
      <c r="BQ297" s="81" t="s">
        <v>1757</v>
      </c>
      <c r="BX297" s="81" t="s">
        <v>155</v>
      </c>
      <c r="BZ297" s="81" t="s">
        <v>155</v>
      </c>
      <c r="CA297" s="81" t="s">
        <v>3934</v>
      </c>
      <c r="CC297" s="167">
        <v>0</v>
      </c>
      <c r="CD297" s="167">
        <v>0</v>
      </c>
      <c r="CE297" s="167">
        <f>N297</f>
        <v>6</v>
      </c>
      <c r="CF297" s="167">
        <v>0</v>
      </c>
      <c r="CG297" s="167">
        <v>0</v>
      </c>
      <c r="CH297" s="167">
        <v>0</v>
      </c>
      <c r="CI297" s="167">
        <v>0</v>
      </c>
      <c r="CJ297" s="167">
        <v>0</v>
      </c>
      <c r="CK297" s="167">
        <v>0</v>
      </c>
      <c r="CL297" s="167">
        <v>0</v>
      </c>
      <c r="CM297" s="167">
        <v>0</v>
      </c>
      <c r="CN297" s="167">
        <v>0</v>
      </c>
      <c r="CO297" s="167">
        <v>0</v>
      </c>
      <c r="CP297" s="167">
        <v>0</v>
      </c>
      <c r="CQ297" s="167">
        <v>0</v>
      </c>
      <c r="CR297" s="167">
        <v>0</v>
      </c>
      <c r="CS297" s="167">
        <v>0</v>
      </c>
      <c r="CT297" s="167">
        <v>0</v>
      </c>
      <c r="CU297" s="167">
        <v>0</v>
      </c>
      <c r="CV297" s="167">
        <v>0</v>
      </c>
      <c r="CW297" s="167">
        <v>0</v>
      </c>
      <c r="CX297" s="167">
        <f>SUM(CD297:CH297)</f>
        <v>6</v>
      </c>
      <c r="CY297" s="167">
        <f>SUM(CD297:CM297)</f>
        <v>6</v>
      </c>
    </row>
    <row r="298" spans="1:103" ht="12.75" customHeight="1" x14ac:dyDescent="0.2">
      <c r="A298" s="81">
        <v>2796</v>
      </c>
      <c r="B298" s="165" t="s">
        <v>1908</v>
      </c>
      <c r="C298" s="165" t="s">
        <v>662</v>
      </c>
      <c r="D298" s="165" t="s">
        <v>663</v>
      </c>
      <c r="E298" s="165" t="s">
        <v>2000</v>
      </c>
      <c r="F298" s="165" t="s">
        <v>926</v>
      </c>
      <c r="G298" s="81">
        <v>526651</v>
      </c>
      <c r="H298" s="81">
        <v>175984</v>
      </c>
      <c r="I298" s="165" t="s">
        <v>257</v>
      </c>
      <c r="J298" s="349">
        <v>42552</v>
      </c>
      <c r="L298" s="166">
        <v>0</v>
      </c>
      <c r="M298" s="166">
        <v>6</v>
      </c>
      <c r="N298" s="166">
        <v>6</v>
      </c>
      <c r="O298" s="166">
        <v>173</v>
      </c>
      <c r="P298" s="166">
        <v>173</v>
      </c>
      <c r="Q298" s="81" t="s">
        <v>155</v>
      </c>
      <c r="R298" s="165" t="s">
        <v>922</v>
      </c>
      <c r="S298" s="81" t="s">
        <v>104</v>
      </c>
      <c r="T298" s="349">
        <v>42268</v>
      </c>
      <c r="U298" s="349">
        <v>42356</v>
      </c>
      <c r="W298" s="81" t="s">
        <v>114</v>
      </c>
      <c r="Y298" s="81" t="s">
        <v>115</v>
      </c>
      <c r="Z298" s="81" t="s">
        <v>116</v>
      </c>
      <c r="AA298" s="81" t="s">
        <v>116</v>
      </c>
      <c r="AB298" s="81" t="s">
        <v>117</v>
      </c>
      <c r="AC298" s="166">
        <v>1.4999999664723899E-2</v>
      </c>
      <c r="AD298" s="349">
        <v>42552</v>
      </c>
      <c r="AG298" s="81" t="s">
        <v>238</v>
      </c>
      <c r="AH298" s="81" t="s">
        <v>118</v>
      </c>
      <c r="AI298" s="81" t="s">
        <v>2001</v>
      </c>
      <c r="AK298" s="166">
        <v>6</v>
      </c>
      <c r="AM298" s="166">
        <v>1</v>
      </c>
      <c r="AO298" s="166">
        <v>0</v>
      </c>
      <c r="AP298" s="166">
        <v>3</v>
      </c>
      <c r="AQ298" s="166">
        <v>3</v>
      </c>
      <c r="AR298" s="166">
        <v>0</v>
      </c>
      <c r="AS298" s="166">
        <v>0</v>
      </c>
      <c r="AT298" s="166">
        <v>0</v>
      </c>
      <c r="AU298" s="166">
        <v>0</v>
      </c>
      <c r="AV298" s="166">
        <v>0</v>
      </c>
      <c r="AW298" s="166">
        <v>3</v>
      </c>
      <c r="AX298" s="166">
        <v>3</v>
      </c>
      <c r="AY298" s="166">
        <v>0</v>
      </c>
      <c r="AZ298" s="166">
        <v>0</v>
      </c>
      <c r="BA298" s="166">
        <v>0</v>
      </c>
      <c r="BB298" s="166">
        <v>0</v>
      </c>
      <c r="BC298" s="166">
        <v>0</v>
      </c>
      <c r="BD298" s="166">
        <v>0</v>
      </c>
      <c r="BE298" s="166">
        <v>0</v>
      </c>
      <c r="BF298" s="166">
        <v>0</v>
      </c>
      <c r="BG298" s="166">
        <v>0</v>
      </c>
      <c r="BH298" s="166">
        <v>0</v>
      </c>
      <c r="BI298" s="166">
        <v>0</v>
      </c>
      <c r="BJ298" s="166">
        <v>0</v>
      </c>
      <c r="BK298" s="166">
        <v>0</v>
      </c>
      <c r="BL298" s="166">
        <v>0</v>
      </c>
      <c r="BM298" s="166">
        <v>0</v>
      </c>
      <c r="BN298" s="166">
        <v>0</v>
      </c>
      <c r="BO298" s="166">
        <v>0</v>
      </c>
      <c r="BP298" s="166">
        <v>0</v>
      </c>
      <c r="BQ298" s="81" t="s">
        <v>1757</v>
      </c>
      <c r="BX298" s="81" t="s">
        <v>155</v>
      </c>
      <c r="BZ298" s="81" t="s">
        <v>155</v>
      </c>
      <c r="CA298" s="81" t="s">
        <v>3934</v>
      </c>
      <c r="CC298" s="167">
        <v>0</v>
      </c>
      <c r="CD298" s="167">
        <v>0</v>
      </c>
      <c r="CE298" s="167">
        <f>N298</f>
        <v>6</v>
      </c>
      <c r="CF298" s="167">
        <v>0</v>
      </c>
      <c r="CG298" s="167">
        <v>0</v>
      </c>
      <c r="CH298" s="167">
        <v>0</v>
      </c>
      <c r="CI298" s="167">
        <v>0</v>
      </c>
      <c r="CJ298" s="167">
        <v>0</v>
      </c>
      <c r="CK298" s="167">
        <v>0</v>
      </c>
      <c r="CL298" s="167">
        <v>0</v>
      </c>
      <c r="CM298" s="167">
        <v>0</v>
      </c>
      <c r="CN298" s="167">
        <v>0</v>
      </c>
      <c r="CO298" s="167">
        <v>0</v>
      </c>
      <c r="CP298" s="167">
        <v>0</v>
      </c>
      <c r="CQ298" s="167">
        <v>0</v>
      </c>
      <c r="CR298" s="167">
        <v>0</v>
      </c>
      <c r="CS298" s="167">
        <v>0</v>
      </c>
      <c r="CT298" s="167">
        <v>0</v>
      </c>
      <c r="CU298" s="167">
        <v>0</v>
      </c>
      <c r="CV298" s="167">
        <v>0</v>
      </c>
      <c r="CW298" s="167">
        <v>0</v>
      </c>
      <c r="CX298" s="167">
        <f>SUM(CD298:CH298)</f>
        <v>6</v>
      </c>
      <c r="CY298" s="167">
        <f>SUM(CD298:CM298)</f>
        <v>6</v>
      </c>
    </row>
    <row r="299" spans="1:103" ht="12.75" customHeight="1" x14ac:dyDescent="0.2">
      <c r="A299" s="81">
        <v>2796</v>
      </c>
      <c r="B299" s="165" t="s">
        <v>1908</v>
      </c>
      <c r="C299" s="165" t="s">
        <v>662</v>
      </c>
      <c r="D299" s="165" t="s">
        <v>663</v>
      </c>
      <c r="E299" s="165" t="s">
        <v>2000</v>
      </c>
      <c r="F299" s="165" t="s">
        <v>927</v>
      </c>
      <c r="G299" s="81">
        <v>526651</v>
      </c>
      <c r="H299" s="81">
        <v>175984</v>
      </c>
      <c r="I299" s="165" t="s">
        <v>257</v>
      </c>
      <c r="J299" s="349">
        <v>42552</v>
      </c>
      <c r="L299" s="166">
        <v>0</v>
      </c>
      <c r="M299" s="166">
        <v>6</v>
      </c>
      <c r="N299" s="166">
        <v>6</v>
      </c>
      <c r="O299" s="166">
        <v>173</v>
      </c>
      <c r="P299" s="166">
        <v>173</v>
      </c>
      <c r="Q299" s="81" t="s">
        <v>155</v>
      </c>
      <c r="R299" s="165" t="s">
        <v>922</v>
      </c>
      <c r="S299" s="81" t="s">
        <v>104</v>
      </c>
      <c r="T299" s="349">
        <v>42268</v>
      </c>
      <c r="U299" s="349">
        <v>42356</v>
      </c>
      <c r="W299" s="81" t="s">
        <v>114</v>
      </c>
      <c r="Y299" s="81" t="s">
        <v>115</v>
      </c>
      <c r="Z299" s="81" t="s">
        <v>116</v>
      </c>
      <c r="AA299" s="81" t="s">
        <v>116</v>
      </c>
      <c r="AB299" s="81" t="s">
        <v>117</v>
      </c>
      <c r="AC299" s="166">
        <v>1.4999999664723899E-2</v>
      </c>
      <c r="AD299" s="349">
        <v>42552</v>
      </c>
      <c r="AG299" s="81" t="s">
        <v>238</v>
      </c>
      <c r="AH299" s="81" t="s">
        <v>118</v>
      </c>
      <c r="AI299" s="81" t="s">
        <v>2001</v>
      </c>
      <c r="AK299" s="166">
        <v>6</v>
      </c>
      <c r="AM299" s="166">
        <v>1</v>
      </c>
      <c r="AO299" s="166">
        <v>0</v>
      </c>
      <c r="AP299" s="166">
        <v>3</v>
      </c>
      <c r="AQ299" s="166">
        <v>3</v>
      </c>
      <c r="AR299" s="166">
        <v>0</v>
      </c>
      <c r="AS299" s="166">
        <v>0</v>
      </c>
      <c r="AT299" s="166">
        <v>0</v>
      </c>
      <c r="AU299" s="166">
        <v>0</v>
      </c>
      <c r="AV299" s="166">
        <v>0</v>
      </c>
      <c r="AW299" s="166">
        <v>3</v>
      </c>
      <c r="AX299" s="166">
        <v>3</v>
      </c>
      <c r="AY299" s="166">
        <v>0</v>
      </c>
      <c r="AZ299" s="166">
        <v>0</v>
      </c>
      <c r="BA299" s="166">
        <v>0</v>
      </c>
      <c r="BB299" s="166">
        <v>0</v>
      </c>
      <c r="BC299" s="166">
        <v>0</v>
      </c>
      <c r="BD299" s="166">
        <v>0</v>
      </c>
      <c r="BE299" s="166">
        <v>0</v>
      </c>
      <c r="BF299" s="166">
        <v>0</v>
      </c>
      <c r="BG299" s="166">
        <v>0</v>
      </c>
      <c r="BH299" s="166">
        <v>0</v>
      </c>
      <c r="BI299" s="166">
        <v>0</v>
      </c>
      <c r="BJ299" s="166">
        <v>0</v>
      </c>
      <c r="BK299" s="166">
        <v>0</v>
      </c>
      <c r="BL299" s="166">
        <v>0</v>
      </c>
      <c r="BM299" s="166">
        <v>0</v>
      </c>
      <c r="BN299" s="166">
        <v>0</v>
      </c>
      <c r="BO299" s="166">
        <v>0</v>
      </c>
      <c r="BP299" s="166">
        <v>0</v>
      </c>
      <c r="BQ299" s="81" t="s">
        <v>1757</v>
      </c>
      <c r="BX299" s="81" t="s">
        <v>155</v>
      </c>
      <c r="BZ299" s="81" t="s">
        <v>155</v>
      </c>
      <c r="CA299" s="81" t="s">
        <v>3934</v>
      </c>
      <c r="CC299" s="167">
        <v>0</v>
      </c>
      <c r="CD299" s="167">
        <v>0</v>
      </c>
      <c r="CE299" s="167">
        <f>N299</f>
        <v>6</v>
      </c>
      <c r="CF299" s="167">
        <v>0</v>
      </c>
      <c r="CG299" s="167">
        <v>0</v>
      </c>
      <c r="CH299" s="167">
        <v>0</v>
      </c>
      <c r="CI299" s="167">
        <v>0</v>
      </c>
      <c r="CJ299" s="167">
        <v>0</v>
      </c>
      <c r="CK299" s="167">
        <v>0</v>
      </c>
      <c r="CL299" s="167">
        <v>0</v>
      </c>
      <c r="CM299" s="167">
        <v>0</v>
      </c>
      <c r="CN299" s="167">
        <v>0</v>
      </c>
      <c r="CO299" s="167">
        <v>0</v>
      </c>
      <c r="CP299" s="167">
        <v>0</v>
      </c>
      <c r="CQ299" s="167">
        <v>0</v>
      </c>
      <c r="CR299" s="167">
        <v>0</v>
      </c>
      <c r="CS299" s="167">
        <v>0</v>
      </c>
      <c r="CT299" s="167">
        <v>0</v>
      </c>
      <c r="CU299" s="167">
        <v>0</v>
      </c>
      <c r="CV299" s="167">
        <v>0</v>
      </c>
      <c r="CW299" s="167">
        <v>0</v>
      </c>
      <c r="CX299" s="167">
        <f>SUM(CD299:CH299)</f>
        <v>6</v>
      </c>
      <c r="CY299" s="167">
        <f>SUM(CD299:CM299)</f>
        <v>6</v>
      </c>
    </row>
    <row r="300" spans="1:103" x14ac:dyDescent="0.2">
      <c r="A300" s="81">
        <v>2796</v>
      </c>
      <c r="B300" s="165" t="s">
        <v>1908</v>
      </c>
      <c r="C300" s="165" t="s">
        <v>662</v>
      </c>
      <c r="D300" s="165" t="s">
        <v>663</v>
      </c>
      <c r="E300" s="165" t="s">
        <v>2000</v>
      </c>
      <c r="F300" s="165" t="s">
        <v>928</v>
      </c>
      <c r="G300" s="81">
        <v>526651</v>
      </c>
      <c r="H300" s="81">
        <v>175984</v>
      </c>
      <c r="I300" s="165" t="s">
        <v>257</v>
      </c>
      <c r="J300" s="349">
        <v>42552</v>
      </c>
      <c r="L300" s="166">
        <v>0</v>
      </c>
      <c r="M300" s="166">
        <v>6</v>
      </c>
      <c r="N300" s="166">
        <v>6</v>
      </c>
      <c r="O300" s="166">
        <v>173</v>
      </c>
      <c r="P300" s="166">
        <v>173</v>
      </c>
      <c r="Q300" s="81" t="s">
        <v>155</v>
      </c>
      <c r="R300" s="165" t="s">
        <v>922</v>
      </c>
      <c r="S300" s="81" t="s">
        <v>104</v>
      </c>
      <c r="T300" s="349">
        <v>42268</v>
      </c>
      <c r="U300" s="349">
        <v>42356</v>
      </c>
      <c r="W300" s="81" t="s">
        <v>114</v>
      </c>
      <c r="Y300" s="81" t="s">
        <v>115</v>
      </c>
      <c r="Z300" s="81" t="s">
        <v>116</v>
      </c>
      <c r="AA300" s="81" t="s">
        <v>116</v>
      </c>
      <c r="AB300" s="81" t="s">
        <v>117</v>
      </c>
      <c r="AC300" s="166">
        <v>1.4999999664723899E-2</v>
      </c>
      <c r="AD300" s="349">
        <v>42552</v>
      </c>
      <c r="AG300" s="81" t="s">
        <v>238</v>
      </c>
      <c r="AH300" s="81" t="s">
        <v>118</v>
      </c>
      <c r="AI300" s="81" t="s">
        <v>2001</v>
      </c>
      <c r="AK300" s="166">
        <v>6</v>
      </c>
      <c r="AM300" s="166">
        <v>1</v>
      </c>
      <c r="AO300" s="166">
        <v>0</v>
      </c>
      <c r="AP300" s="166">
        <v>3</v>
      </c>
      <c r="AQ300" s="166">
        <v>3</v>
      </c>
      <c r="AR300" s="166">
        <v>0</v>
      </c>
      <c r="AS300" s="166">
        <v>0</v>
      </c>
      <c r="AT300" s="166">
        <v>0</v>
      </c>
      <c r="AU300" s="166">
        <v>0</v>
      </c>
      <c r="AV300" s="166">
        <v>0</v>
      </c>
      <c r="AW300" s="166">
        <v>3</v>
      </c>
      <c r="AX300" s="166">
        <v>3</v>
      </c>
      <c r="AY300" s="166">
        <v>0</v>
      </c>
      <c r="AZ300" s="166">
        <v>0</v>
      </c>
      <c r="BA300" s="166">
        <v>0</v>
      </c>
      <c r="BB300" s="166">
        <v>0</v>
      </c>
      <c r="BC300" s="166">
        <v>0</v>
      </c>
      <c r="BD300" s="166">
        <v>0</v>
      </c>
      <c r="BE300" s="166">
        <v>0</v>
      </c>
      <c r="BF300" s="166">
        <v>0</v>
      </c>
      <c r="BG300" s="166">
        <v>0</v>
      </c>
      <c r="BH300" s="166">
        <v>0</v>
      </c>
      <c r="BI300" s="166">
        <v>0</v>
      </c>
      <c r="BJ300" s="166">
        <v>0</v>
      </c>
      <c r="BK300" s="166">
        <v>0</v>
      </c>
      <c r="BL300" s="166">
        <v>0</v>
      </c>
      <c r="BM300" s="166">
        <v>0</v>
      </c>
      <c r="BN300" s="166">
        <v>0</v>
      </c>
      <c r="BO300" s="166">
        <v>0</v>
      </c>
      <c r="BP300" s="166">
        <v>0</v>
      </c>
      <c r="BQ300" s="81" t="s">
        <v>1757</v>
      </c>
      <c r="BX300" s="81" t="s">
        <v>155</v>
      </c>
      <c r="BZ300" s="81" t="s">
        <v>155</v>
      </c>
      <c r="CA300" s="81" t="s">
        <v>3934</v>
      </c>
      <c r="CC300" s="167">
        <v>0</v>
      </c>
      <c r="CD300" s="167">
        <v>0</v>
      </c>
      <c r="CE300" s="167">
        <f>N300</f>
        <v>6</v>
      </c>
      <c r="CF300" s="167">
        <v>0</v>
      </c>
      <c r="CG300" s="167">
        <v>0</v>
      </c>
      <c r="CH300" s="167">
        <v>0</v>
      </c>
      <c r="CI300" s="167">
        <v>0</v>
      </c>
      <c r="CJ300" s="167">
        <v>0</v>
      </c>
      <c r="CK300" s="167">
        <v>0</v>
      </c>
      <c r="CL300" s="167">
        <v>0</v>
      </c>
      <c r="CM300" s="167">
        <v>0</v>
      </c>
      <c r="CN300" s="167">
        <v>0</v>
      </c>
      <c r="CO300" s="167">
        <v>0</v>
      </c>
      <c r="CP300" s="167">
        <v>0</v>
      </c>
      <c r="CQ300" s="167">
        <v>0</v>
      </c>
      <c r="CR300" s="167">
        <v>0</v>
      </c>
      <c r="CS300" s="167">
        <v>0</v>
      </c>
      <c r="CT300" s="167">
        <v>0</v>
      </c>
      <c r="CU300" s="167">
        <v>0</v>
      </c>
      <c r="CV300" s="167">
        <v>0</v>
      </c>
      <c r="CW300" s="167">
        <v>0</v>
      </c>
      <c r="CX300" s="167">
        <f>SUM(CD300:CH300)</f>
        <v>6</v>
      </c>
      <c r="CY300" s="167">
        <f>SUM(CD300:CM300)</f>
        <v>6</v>
      </c>
    </row>
    <row r="301" spans="1:103" x14ac:dyDescent="0.2">
      <c r="A301" s="81">
        <v>2796</v>
      </c>
      <c r="B301" s="165" t="s">
        <v>1908</v>
      </c>
      <c r="C301" s="165" t="s">
        <v>662</v>
      </c>
      <c r="D301" s="165" t="s">
        <v>663</v>
      </c>
      <c r="E301" s="165" t="s">
        <v>2000</v>
      </c>
      <c r="F301" s="165" t="s">
        <v>929</v>
      </c>
      <c r="G301" s="81">
        <v>526651</v>
      </c>
      <c r="H301" s="81">
        <v>175984</v>
      </c>
      <c r="I301" s="165" t="s">
        <v>257</v>
      </c>
      <c r="J301" s="349">
        <v>42552</v>
      </c>
      <c r="L301" s="166">
        <v>0</v>
      </c>
      <c r="M301" s="166">
        <v>6</v>
      </c>
      <c r="N301" s="166">
        <v>6</v>
      </c>
      <c r="O301" s="166">
        <v>173</v>
      </c>
      <c r="P301" s="166">
        <v>173</v>
      </c>
      <c r="Q301" s="81" t="s">
        <v>155</v>
      </c>
      <c r="R301" s="165" t="s">
        <v>922</v>
      </c>
      <c r="S301" s="81" t="s">
        <v>104</v>
      </c>
      <c r="T301" s="349">
        <v>42268</v>
      </c>
      <c r="U301" s="349">
        <v>42356</v>
      </c>
      <c r="W301" s="81" t="s">
        <v>114</v>
      </c>
      <c r="Y301" s="81" t="s">
        <v>115</v>
      </c>
      <c r="Z301" s="81" t="s">
        <v>116</v>
      </c>
      <c r="AA301" s="81" t="s">
        <v>116</v>
      </c>
      <c r="AB301" s="81" t="s">
        <v>117</v>
      </c>
      <c r="AC301" s="166">
        <v>1.4999999664723899E-2</v>
      </c>
      <c r="AD301" s="349">
        <v>42552</v>
      </c>
      <c r="AG301" s="81" t="s">
        <v>238</v>
      </c>
      <c r="AH301" s="81" t="s">
        <v>118</v>
      </c>
      <c r="AI301" s="81" t="s">
        <v>2001</v>
      </c>
      <c r="AK301" s="166">
        <v>6</v>
      </c>
      <c r="AM301" s="166">
        <v>1</v>
      </c>
      <c r="AO301" s="166">
        <v>0</v>
      </c>
      <c r="AP301" s="166">
        <v>3</v>
      </c>
      <c r="AQ301" s="166">
        <v>3</v>
      </c>
      <c r="AR301" s="166">
        <v>0</v>
      </c>
      <c r="AS301" s="166">
        <v>0</v>
      </c>
      <c r="AT301" s="166">
        <v>0</v>
      </c>
      <c r="AU301" s="166">
        <v>0</v>
      </c>
      <c r="AV301" s="166">
        <v>0</v>
      </c>
      <c r="AW301" s="166">
        <v>3</v>
      </c>
      <c r="AX301" s="166">
        <v>3</v>
      </c>
      <c r="AY301" s="166">
        <v>0</v>
      </c>
      <c r="AZ301" s="166">
        <v>0</v>
      </c>
      <c r="BA301" s="166">
        <v>0</v>
      </c>
      <c r="BB301" s="166">
        <v>0</v>
      </c>
      <c r="BC301" s="166">
        <v>0</v>
      </c>
      <c r="BD301" s="166">
        <v>0</v>
      </c>
      <c r="BE301" s="166">
        <v>0</v>
      </c>
      <c r="BF301" s="166">
        <v>0</v>
      </c>
      <c r="BG301" s="166">
        <v>0</v>
      </c>
      <c r="BH301" s="166">
        <v>0</v>
      </c>
      <c r="BI301" s="166">
        <v>0</v>
      </c>
      <c r="BJ301" s="166">
        <v>0</v>
      </c>
      <c r="BK301" s="166">
        <v>0</v>
      </c>
      <c r="BL301" s="166">
        <v>0</v>
      </c>
      <c r="BM301" s="166">
        <v>0</v>
      </c>
      <c r="BN301" s="166">
        <v>0</v>
      </c>
      <c r="BO301" s="166">
        <v>0</v>
      </c>
      <c r="BP301" s="166">
        <v>0</v>
      </c>
      <c r="BQ301" s="81" t="s">
        <v>1757</v>
      </c>
      <c r="BX301" s="81" t="s">
        <v>155</v>
      </c>
      <c r="BZ301" s="81" t="s">
        <v>155</v>
      </c>
      <c r="CA301" s="81" t="s">
        <v>3934</v>
      </c>
      <c r="CC301" s="167">
        <v>0</v>
      </c>
      <c r="CD301" s="167">
        <v>0</v>
      </c>
      <c r="CE301" s="167">
        <f>N301</f>
        <v>6</v>
      </c>
      <c r="CF301" s="167">
        <v>0</v>
      </c>
      <c r="CG301" s="167">
        <v>0</v>
      </c>
      <c r="CH301" s="167">
        <v>0</v>
      </c>
      <c r="CI301" s="167">
        <v>0</v>
      </c>
      <c r="CJ301" s="167">
        <v>0</v>
      </c>
      <c r="CK301" s="167">
        <v>0</v>
      </c>
      <c r="CL301" s="167">
        <v>0</v>
      </c>
      <c r="CM301" s="167">
        <v>0</v>
      </c>
      <c r="CN301" s="167">
        <v>0</v>
      </c>
      <c r="CO301" s="167">
        <v>0</v>
      </c>
      <c r="CP301" s="167">
        <v>0</v>
      </c>
      <c r="CQ301" s="167">
        <v>0</v>
      </c>
      <c r="CR301" s="167">
        <v>0</v>
      </c>
      <c r="CS301" s="167">
        <v>0</v>
      </c>
      <c r="CT301" s="167">
        <v>0</v>
      </c>
      <c r="CU301" s="167">
        <v>0</v>
      </c>
      <c r="CV301" s="167">
        <v>0</v>
      </c>
      <c r="CW301" s="167">
        <v>0</v>
      </c>
      <c r="CX301" s="167">
        <f>SUM(CD301:CH301)</f>
        <v>6</v>
      </c>
      <c r="CY301" s="167">
        <f>SUM(CD301:CM301)</f>
        <v>6</v>
      </c>
    </row>
    <row r="302" spans="1:103" ht="12.75" customHeight="1" x14ac:dyDescent="0.2">
      <c r="A302" s="81">
        <v>2796</v>
      </c>
      <c r="B302" s="165" t="s">
        <v>1908</v>
      </c>
      <c r="C302" s="165" t="s">
        <v>662</v>
      </c>
      <c r="D302" s="165" t="s">
        <v>663</v>
      </c>
      <c r="E302" s="165" t="s">
        <v>2000</v>
      </c>
      <c r="F302" s="165" t="s">
        <v>930</v>
      </c>
      <c r="G302" s="81">
        <v>526651</v>
      </c>
      <c r="H302" s="81">
        <v>175984</v>
      </c>
      <c r="I302" s="165" t="s">
        <v>257</v>
      </c>
      <c r="J302" s="349">
        <v>42552</v>
      </c>
      <c r="L302" s="166">
        <v>0</v>
      </c>
      <c r="M302" s="166">
        <v>6</v>
      </c>
      <c r="N302" s="166">
        <v>6</v>
      </c>
      <c r="O302" s="166">
        <v>173</v>
      </c>
      <c r="P302" s="166">
        <v>173</v>
      </c>
      <c r="Q302" s="81" t="s">
        <v>155</v>
      </c>
      <c r="R302" s="165" t="s">
        <v>922</v>
      </c>
      <c r="S302" s="81" t="s">
        <v>104</v>
      </c>
      <c r="T302" s="349">
        <v>42268</v>
      </c>
      <c r="U302" s="349">
        <v>42356</v>
      </c>
      <c r="W302" s="81" t="s">
        <v>114</v>
      </c>
      <c r="Y302" s="81" t="s">
        <v>115</v>
      </c>
      <c r="Z302" s="81" t="s">
        <v>116</v>
      </c>
      <c r="AA302" s="81" t="s">
        <v>116</v>
      </c>
      <c r="AB302" s="81" t="s">
        <v>117</v>
      </c>
      <c r="AC302" s="166">
        <v>1.30000002682209E-2</v>
      </c>
      <c r="AD302" s="349">
        <v>42552</v>
      </c>
      <c r="AG302" s="81" t="s">
        <v>238</v>
      </c>
      <c r="AH302" s="81" t="s">
        <v>118</v>
      </c>
      <c r="AI302" s="81" t="s">
        <v>2001</v>
      </c>
      <c r="AK302" s="166">
        <v>6</v>
      </c>
      <c r="AM302" s="166">
        <v>1</v>
      </c>
      <c r="AO302" s="166">
        <v>0</v>
      </c>
      <c r="AP302" s="166">
        <v>3</v>
      </c>
      <c r="AQ302" s="166">
        <v>3</v>
      </c>
      <c r="AR302" s="166">
        <v>0</v>
      </c>
      <c r="AS302" s="166">
        <v>0</v>
      </c>
      <c r="AT302" s="166">
        <v>0</v>
      </c>
      <c r="AU302" s="166">
        <v>0</v>
      </c>
      <c r="AV302" s="166">
        <v>0</v>
      </c>
      <c r="AW302" s="166">
        <v>3</v>
      </c>
      <c r="AX302" s="166">
        <v>3</v>
      </c>
      <c r="AY302" s="166">
        <v>0</v>
      </c>
      <c r="AZ302" s="166">
        <v>0</v>
      </c>
      <c r="BA302" s="166">
        <v>0</v>
      </c>
      <c r="BB302" s="166">
        <v>0</v>
      </c>
      <c r="BC302" s="166">
        <v>0</v>
      </c>
      <c r="BD302" s="166">
        <v>0</v>
      </c>
      <c r="BE302" s="166">
        <v>0</v>
      </c>
      <c r="BF302" s="166">
        <v>0</v>
      </c>
      <c r="BG302" s="166">
        <v>0</v>
      </c>
      <c r="BH302" s="166">
        <v>0</v>
      </c>
      <c r="BI302" s="166">
        <v>0</v>
      </c>
      <c r="BJ302" s="166">
        <v>0</v>
      </c>
      <c r="BK302" s="166">
        <v>0</v>
      </c>
      <c r="BL302" s="166">
        <v>0</v>
      </c>
      <c r="BM302" s="166">
        <v>0</v>
      </c>
      <c r="BN302" s="166">
        <v>0</v>
      </c>
      <c r="BO302" s="166">
        <v>0</v>
      </c>
      <c r="BP302" s="166">
        <v>0</v>
      </c>
      <c r="BQ302" s="81" t="s">
        <v>1757</v>
      </c>
      <c r="BX302" s="81" t="s">
        <v>155</v>
      </c>
      <c r="BZ302" s="81" t="s">
        <v>155</v>
      </c>
      <c r="CA302" s="81" t="s">
        <v>3934</v>
      </c>
      <c r="CC302" s="167">
        <v>0</v>
      </c>
      <c r="CD302" s="167">
        <v>0</v>
      </c>
      <c r="CE302" s="167">
        <f>N302</f>
        <v>6</v>
      </c>
      <c r="CF302" s="167">
        <v>0</v>
      </c>
      <c r="CG302" s="167">
        <v>0</v>
      </c>
      <c r="CH302" s="167">
        <v>0</v>
      </c>
      <c r="CI302" s="167">
        <v>0</v>
      </c>
      <c r="CJ302" s="167">
        <v>0</v>
      </c>
      <c r="CK302" s="167">
        <v>0</v>
      </c>
      <c r="CL302" s="167">
        <v>0</v>
      </c>
      <c r="CM302" s="167">
        <v>0</v>
      </c>
      <c r="CN302" s="167">
        <v>0</v>
      </c>
      <c r="CO302" s="167">
        <v>0</v>
      </c>
      <c r="CP302" s="167">
        <v>0</v>
      </c>
      <c r="CQ302" s="167">
        <v>0</v>
      </c>
      <c r="CR302" s="167">
        <v>0</v>
      </c>
      <c r="CS302" s="167">
        <v>0</v>
      </c>
      <c r="CT302" s="167">
        <v>0</v>
      </c>
      <c r="CU302" s="167">
        <v>0</v>
      </c>
      <c r="CV302" s="167">
        <v>0</v>
      </c>
      <c r="CW302" s="167">
        <v>0</v>
      </c>
      <c r="CX302" s="167">
        <f>SUM(CD302:CH302)</f>
        <v>6</v>
      </c>
      <c r="CY302" s="167">
        <f>SUM(CD302:CM302)</f>
        <v>6</v>
      </c>
    </row>
    <row r="303" spans="1:103" ht="12.75" customHeight="1" x14ac:dyDescent="0.2">
      <c r="A303" s="81">
        <v>2796</v>
      </c>
      <c r="B303" s="165" t="s">
        <v>1908</v>
      </c>
      <c r="C303" s="165" t="s">
        <v>662</v>
      </c>
      <c r="D303" s="165" t="s">
        <v>663</v>
      </c>
      <c r="E303" s="165" t="s">
        <v>2000</v>
      </c>
      <c r="F303" s="165" t="s">
        <v>931</v>
      </c>
      <c r="G303" s="81">
        <v>526651</v>
      </c>
      <c r="H303" s="81">
        <v>175984</v>
      </c>
      <c r="I303" s="165" t="s">
        <v>257</v>
      </c>
      <c r="J303" s="349">
        <v>42552</v>
      </c>
      <c r="L303" s="166">
        <v>0</v>
      </c>
      <c r="M303" s="166">
        <v>6</v>
      </c>
      <c r="N303" s="166">
        <v>6</v>
      </c>
      <c r="O303" s="166">
        <v>173</v>
      </c>
      <c r="P303" s="166">
        <v>173</v>
      </c>
      <c r="Q303" s="81" t="s">
        <v>155</v>
      </c>
      <c r="R303" s="165" t="s">
        <v>922</v>
      </c>
      <c r="S303" s="81" t="s">
        <v>104</v>
      </c>
      <c r="T303" s="349">
        <v>42268</v>
      </c>
      <c r="U303" s="349">
        <v>42356</v>
      </c>
      <c r="W303" s="81" t="s">
        <v>114</v>
      </c>
      <c r="Y303" s="81" t="s">
        <v>115</v>
      </c>
      <c r="Z303" s="81" t="s">
        <v>116</v>
      </c>
      <c r="AA303" s="81" t="s">
        <v>116</v>
      </c>
      <c r="AB303" s="81" t="s">
        <v>117</v>
      </c>
      <c r="AC303" s="166">
        <v>1.30000002682209E-2</v>
      </c>
      <c r="AD303" s="349">
        <v>42552</v>
      </c>
      <c r="AG303" s="81" t="s">
        <v>238</v>
      </c>
      <c r="AH303" s="81" t="s">
        <v>118</v>
      </c>
      <c r="AI303" s="81" t="s">
        <v>2001</v>
      </c>
      <c r="AK303" s="166">
        <v>6</v>
      </c>
      <c r="AM303" s="166">
        <v>1</v>
      </c>
      <c r="AO303" s="166">
        <v>0</v>
      </c>
      <c r="AP303" s="166">
        <v>3</v>
      </c>
      <c r="AQ303" s="166">
        <v>3</v>
      </c>
      <c r="AR303" s="166">
        <v>0</v>
      </c>
      <c r="AS303" s="166">
        <v>0</v>
      </c>
      <c r="AT303" s="166">
        <v>0</v>
      </c>
      <c r="AU303" s="166">
        <v>0</v>
      </c>
      <c r="AV303" s="166">
        <v>0</v>
      </c>
      <c r="AW303" s="166">
        <v>3</v>
      </c>
      <c r="AX303" s="166">
        <v>3</v>
      </c>
      <c r="AY303" s="166">
        <v>0</v>
      </c>
      <c r="AZ303" s="166">
        <v>0</v>
      </c>
      <c r="BA303" s="166">
        <v>0</v>
      </c>
      <c r="BB303" s="166">
        <v>0</v>
      </c>
      <c r="BC303" s="166">
        <v>0</v>
      </c>
      <c r="BD303" s="166">
        <v>0</v>
      </c>
      <c r="BE303" s="166">
        <v>0</v>
      </c>
      <c r="BF303" s="166">
        <v>0</v>
      </c>
      <c r="BG303" s="166">
        <v>0</v>
      </c>
      <c r="BH303" s="166">
        <v>0</v>
      </c>
      <c r="BI303" s="166">
        <v>0</v>
      </c>
      <c r="BJ303" s="166">
        <v>0</v>
      </c>
      <c r="BK303" s="166">
        <v>0</v>
      </c>
      <c r="BL303" s="166">
        <v>0</v>
      </c>
      <c r="BM303" s="166">
        <v>0</v>
      </c>
      <c r="BN303" s="166">
        <v>0</v>
      </c>
      <c r="BO303" s="166">
        <v>0</v>
      </c>
      <c r="BP303" s="166">
        <v>0</v>
      </c>
      <c r="BQ303" s="81" t="s">
        <v>1757</v>
      </c>
      <c r="BX303" s="81" t="s">
        <v>155</v>
      </c>
      <c r="BZ303" s="81" t="s">
        <v>155</v>
      </c>
      <c r="CA303" s="81" t="s">
        <v>3934</v>
      </c>
      <c r="CC303" s="167">
        <v>0</v>
      </c>
      <c r="CD303" s="167">
        <v>0</v>
      </c>
      <c r="CE303" s="167">
        <f>N303</f>
        <v>6</v>
      </c>
      <c r="CF303" s="167">
        <v>0</v>
      </c>
      <c r="CG303" s="167">
        <v>0</v>
      </c>
      <c r="CH303" s="167">
        <v>0</v>
      </c>
      <c r="CI303" s="167">
        <v>0</v>
      </c>
      <c r="CJ303" s="167">
        <v>0</v>
      </c>
      <c r="CK303" s="167">
        <v>0</v>
      </c>
      <c r="CL303" s="167">
        <v>0</v>
      </c>
      <c r="CM303" s="167">
        <v>0</v>
      </c>
      <c r="CN303" s="167">
        <v>0</v>
      </c>
      <c r="CO303" s="167">
        <v>0</v>
      </c>
      <c r="CP303" s="167">
        <v>0</v>
      </c>
      <c r="CQ303" s="167">
        <v>0</v>
      </c>
      <c r="CR303" s="167">
        <v>0</v>
      </c>
      <c r="CS303" s="167">
        <v>0</v>
      </c>
      <c r="CT303" s="167">
        <v>0</v>
      </c>
      <c r="CU303" s="167">
        <v>0</v>
      </c>
      <c r="CV303" s="167">
        <v>0</v>
      </c>
      <c r="CW303" s="167">
        <v>0</v>
      </c>
      <c r="CX303" s="167">
        <f>SUM(CD303:CH303)</f>
        <v>6</v>
      </c>
      <c r="CY303" s="167">
        <f>SUM(CD303:CM303)</f>
        <v>6</v>
      </c>
    </row>
    <row r="304" spans="1:103" x14ac:dyDescent="0.2">
      <c r="A304" s="81">
        <v>2796</v>
      </c>
      <c r="B304" s="165" t="s">
        <v>1908</v>
      </c>
      <c r="C304" s="165" t="s">
        <v>662</v>
      </c>
      <c r="D304" s="165" t="s">
        <v>663</v>
      </c>
      <c r="E304" s="165" t="s">
        <v>2000</v>
      </c>
      <c r="F304" s="165" t="s">
        <v>932</v>
      </c>
      <c r="G304" s="81">
        <v>526651</v>
      </c>
      <c r="H304" s="81">
        <v>175984</v>
      </c>
      <c r="I304" s="165" t="s">
        <v>257</v>
      </c>
      <c r="J304" s="349">
        <v>42552</v>
      </c>
      <c r="L304" s="166">
        <v>0</v>
      </c>
      <c r="M304" s="166">
        <v>5</v>
      </c>
      <c r="N304" s="166">
        <v>5</v>
      </c>
      <c r="O304" s="166">
        <v>173</v>
      </c>
      <c r="P304" s="166">
        <v>173</v>
      </c>
      <c r="Q304" s="81" t="s">
        <v>155</v>
      </c>
      <c r="R304" s="165" t="s">
        <v>922</v>
      </c>
      <c r="S304" s="81" t="s">
        <v>104</v>
      </c>
      <c r="T304" s="349">
        <v>42268</v>
      </c>
      <c r="U304" s="349">
        <v>42356</v>
      </c>
      <c r="W304" s="81" t="s">
        <v>114</v>
      </c>
      <c r="Y304" s="81" t="s">
        <v>115</v>
      </c>
      <c r="Z304" s="81" t="s">
        <v>116</v>
      </c>
      <c r="AA304" s="81" t="s">
        <v>116</v>
      </c>
      <c r="AB304" s="81" t="s">
        <v>117</v>
      </c>
      <c r="AC304" s="166">
        <v>1.7999999225139601E-2</v>
      </c>
      <c r="AD304" s="349">
        <v>42552</v>
      </c>
      <c r="AG304" s="81" t="s">
        <v>74</v>
      </c>
      <c r="AH304" s="81" t="s">
        <v>1913</v>
      </c>
      <c r="AI304" s="81" t="s">
        <v>2001</v>
      </c>
      <c r="AK304" s="166">
        <v>5</v>
      </c>
      <c r="AM304" s="166">
        <v>2</v>
      </c>
      <c r="AO304" s="166">
        <v>0</v>
      </c>
      <c r="AP304" s="166">
        <v>1</v>
      </c>
      <c r="AQ304" s="166">
        <v>4</v>
      </c>
      <c r="AR304" s="166">
        <v>0</v>
      </c>
      <c r="AS304" s="166">
        <v>0</v>
      </c>
      <c r="AT304" s="166">
        <v>0</v>
      </c>
      <c r="AU304" s="166">
        <v>0</v>
      </c>
      <c r="AV304" s="166">
        <v>0</v>
      </c>
      <c r="AW304" s="166">
        <v>1</v>
      </c>
      <c r="AX304" s="166">
        <v>4</v>
      </c>
      <c r="AY304" s="166">
        <v>0</v>
      </c>
      <c r="AZ304" s="166">
        <v>0</v>
      </c>
      <c r="BA304" s="166">
        <v>0</v>
      </c>
      <c r="BB304" s="166">
        <v>0</v>
      </c>
      <c r="BC304" s="166">
        <v>0</v>
      </c>
      <c r="BD304" s="166">
        <v>0</v>
      </c>
      <c r="BE304" s="166">
        <v>0</v>
      </c>
      <c r="BF304" s="166">
        <v>0</v>
      </c>
      <c r="BG304" s="166">
        <v>0</v>
      </c>
      <c r="BH304" s="166">
        <v>0</v>
      </c>
      <c r="BI304" s="166">
        <v>0</v>
      </c>
      <c r="BJ304" s="166">
        <v>0</v>
      </c>
      <c r="BK304" s="166">
        <v>0</v>
      </c>
      <c r="BL304" s="166">
        <v>0</v>
      </c>
      <c r="BM304" s="166">
        <v>0</v>
      </c>
      <c r="BN304" s="166">
        <v>0</v>
      </c>
      <c r="BO304" s="166">
        <v>0</v>
      </c>
      <c r="BP304" s="166">
        <v>0</v>
      </c>
      <c r="BQ304" s="81" t="s">
        <v>1757</v>
      </c>
      <c r="BX304" s="81" t="s">
        <v>155</v>
      </c>
      <c r="BZ304" s="81" t="s">
        <v>155</v>
      </c>
      <c r="CA304" s="81" t="s">
        <v>3934</v>
      </c>
      <c r="CC304" s="167">
        <v>0</v>
      </c>
      <c r="CD304" s="167">
        <v>0</v>
      </c>
      <c r="CE304" s="167">
        <f>N304</f>
        <v>5</v>
      </c>
      <c r="CF304" s="167">
        <v>0</v>
      </c>
      <c r="CG304" s="167">
        <v>0</v>
      </c>
      <c r="CH304" s="167">
        <v>0</v>
      </c>
      <c r="CI304" s="167">
        <v>0</v>
      </c>
      <c r="CJ304" s="167">
        <v>0</v>
      </c>
      <c r="CK304" s="167">
        <v>0</v>
      </c>
      <c r="CL304" s="167">
        <v>0</v>
      </c>
      <c r="CM304" s="167">
        <v>0</v>
      </c>
      <c r="CN304" s="167">
        <v>0</v>
      </c>
      <c r="CO304" s="167">
        <v>0</v>
      </c>
      <c r="CP304" s="167">
        <v>0</v>
      </c>
      <c r="CQ304" s="167">
        <v>0</v>
      </c>
      <c r="CR304" s="167">
        <v>0</v>
      </c>
      <c r="CS304" s="167">
        <v>0</v>
      </c>
      <c r="CT304" s="167">
        <v>0</v>
      </c>
      <c r="CU304" s="167">
        <v>0</v>
      </c>
      <c r="CV304" s="167">
        <v>0</v>
      </c>
      <c r="CW304" s="167">
        <v>0</v>
      </c>
      <c r="CX304" s="167">
        <f>SUM(CD304:CH304)</f>
        <v>5</v>
      </c>
      <c r="CY304" s="167">
        <f>SUM(CD304:CM304)</f>
        <v>5</v>
      </c>
    </row>
    <row r="305" spans="1:103" x14ac:dyDescent="0.2">
      <c r="A305" s="81">
        <v>2796</v>
      </c>
      <c r="B305" s="165" t="s">
        <v>1908</v>
      </c>
      <c r="C305" s="165" t="s">
        <v>662</v>
      </c>
      <c r="D305" s="165" t="s">
        <v>663</v>
      </c>
      <c r="E305" s="165" t="s">
        <v>2000</v>
      </c>
      <c r="F305" s="165" t="s">
        <v>933</v>
      </c>
      <c r="G305" s="81">
        <v>526651</v>
      </c>
      <c r="H305" s="81">
        <v>175984</v>
      </c>
      <c r="I305" s="165" t="s">
        <v>257</v>
      </c>
      <c r="J305" s="349">
        <v>42552</v>
      </c>
      <c r="L305" s="166">
        <v>0</v>
      </c>
      <c r="M305" s="166">
        <v>4</v>
      </c>
      <c r="N305" s="166">
        <v>4</v>
      </c>
      <c r="O305" s="166">
        <v>173</v>
      </c>
      <c r="P305" s="166">
        <v>173</v>
      </c>
      <c r="Q305" s="81" t="s">
        <v>155</v>
      </c>
      <c r="R305" s="165" t="s">
        <v>922</v>
      </c>
      <c r="S305" s="81" t="s">
        <v>104</v>
      </c>
      <c r="T305" s="349">
        <v>42268</v>
      </c>
      <c r="U305" s="349">
        <v>42356</v>
      </c>
      <c r="W305" s="81" t="s">
        <v>114</v>
      </c>
      <c r="Y305" s="81" t="s">
        <v>115</v>
      </c>
      <c r="Z305" s="81" t="s">
        <v>116</v>
      </c>
      <c r="AA305" s="81" t="s">
        <v>116</v>
      </c>
      <c r="AB305" s="81" t="s">
        <v>117</v>
      </c>
      <c r="AC305" s="166">
        <v>1.4000000432133701E-2</v>
      </c>
      <c r="AD305" s="349">
        <v>42552</v>
      </c>
      <c r="AG305" s="81" t="s">
        <v>74</v>
      </c>
      <c r="AH305" s="81" t="s">
        <v>1913</v>
      </c>
      <c r="AI305" s="81" t="s">
        <v>2001</v>
      </c>
      <c r="AK305" s="166">
        <v>4</v>
      </c>
      <c r="AM305" s="166">
        <v>1</v>
      </c>
      <c r="AO305" s="166">
        <v>0</v>
      </c>
      <c r="AP305" s="166">
        <v>0</v>
      </c>
      <c r="AQ305" s="166">
        <v>4</v>
      </c>
      <c r="AR305" s="166">
        <v>0</v>
      </c>
      <c r="AS305" s="166">
        <v>0</v>
      </c>
      <c r="AT305" s="166">
        <v>0</v>
      </c>
      <c r="AU305" s="166">
        <v>0</v>
      </c>
      <c r="AV305" s="166">
        <v>0</v>
      </c>
      <c r="AW305" s="166">
        <v>0</v>
      </c>
      <c r="AX305" s="166">
        <v>4</v>
      </c>
      <c r="AY305" s="166">
        <v>0</v>
      </c>
      <c r="AZ305" s="166">
        <v>0</v>
      </c>
      <c r="BA305" s="166">
        <v>0</v>
      </c>
      <c r="BB305" s="166">
        <v>0</v>
      </c>
      <c r="BC305" s="166">
        <v>0</v>
      </c>
      <c r="BD305" s="166">
        <v>0</v>
      </c>
      <c r="BE305" s="166">
        <v>0</v>
      </c>
      <c r="BF305" s="166">
        <v>0</v>
      </c>
      <c r="BG305" s="166">
        <v>0</v>
      </c>
      <c r="BH305" s="166">
        <v>0</v>
      </c>
      <c r="BI305" s="166">
        <v>0</v>
      </c>
      <c r="BJ305" s="166">
        <v>0</v>
      </c>
      <c r="BK305" s="166">
        <v>0</v>
      </c>
      <c r="BL305" s="166">
        <v>0</v>
      </c>
      <c r="BM305" s="166">
        <v>0</v>
      </c>
      <c r="BN305" s="166">
        <v>0</v>
      </c>
      <c r="BO305" s="166">
        <v>0</v>
      </c>
      <c r="BP305" s="166">
        <v>0</v>
      </c>
      <c r="BQ305" s="81" t="s">
        <v>1757</v>
      </c>
      <c r="BX305" s="81" t="s">
        <v>155</v>
      </c>
      <c r="BZ305" s="81" t="s">
        <v>155</v>
      </c>
      <c r="CA305" s="81" t="s">
        <v>3934</v>
      </c>
      <c r="CC305" s="167">
        <v>0</v>
      </c>
      <c r="CD305" s="167">
        <v>0</v>
      </c>
      <c r="CE305" s="167">
        <f>N305</f>
        <v>4</v>
      </c>
      <c r="CF305" s="167">
        <v>0</v>
      </c>
      <c r="CG305" s="167">
        <v>0</v>
      </c>
      <c r="CH305" s="167">
        <v>0</v>
      </c>
      <c r="CI305" s="167">
        <v>0</v>
      </c>
      <c r="CJ305" s="167">
        <v>0</v>
      </c>
      <c r="CK305" s="167">
        <v>0</v>
      </c>
      <c r="CL305" s="167">
        <v>0</v>
      </c>
      <c r="CM305" s="167">
        <v>0</v>
      </c>
      <c r="CN305" s="167">
        <v>0</v>
      </c>
      <c r="CO305" s="167">
        <v>0</v>
      </c>
      <c r="CP305" s="167">
        <v>0</v>
      </c>
      <c r="CQ305" s="167">
        <v>0</v>
      </c>
      <c r="CR305" s="167">
        <v>0</v>
      </c>
      <c r="CS305" s="167">
        <v>0</v>
      </c>
      <c r="CT305" s="167">
        <v>0</v>
      </c>
      <c r="CU305" s="167">
        <v>0</v>
      </c>
      <c r="CV305" s="167">
        <v>0</v>
      </c>
      <c r="CW305" s="167">
        <v>0</v>
      </c>
      <c r="CX305" s="167">
        <f>SUM(CD305:CH305)</f>
        <v>4</v>
      </c>
      <c r="CY305" s="167">
        <f>SUM(CD305:CM305)</f>
        <v>4</v>
      </c>
    </row>
    <row r="306" spans="1:103" ht="12.75" customHeight="1" x14ac:dyDescent="0.2">
      <c r="A306" s="81">
        <v>2796</v>
      </c>
      <c r="B306" s="165" t="s">
        <v>1908</v>
      </c>
      <c r="C306" s="165" t="s">
        <v>662</v>
      </c>
      <c r="D306" s="165" t="s">
        <v>663</v>
      </c>
      <c r="E306" s="165" t="s">
        <v>2000</v>
      </c>
      <c r="F306" s="165" t="s">
        <v>934</v>
      </c>
      <c r="G306" s="81">
        <v>526651</v>
      </c>
      <c r="H306" s="81">
        <v>175984</v>
      </c>
      <c r="I306" s="165" t="s">
        <v>257</v>
      </c>
      <c r="J306" s="349">
        <v>42552</v>
      </c>
      <c r="L306" s="166">
        <v>0</v>
      </c>
      <c r="M306" s="166">
        <v>4</v>
      </c>
      <c r="N306" s="166">
        <v>4</v>
      </c>
      <c r="O306" s="166">
        <v>173</v>
      </c>
      <c r="P306" s="166">
        <v>173</v>
      </c>
      <c r="Q306" s="81" t="s">
        <v>155</v>
      </c>
      <c r="R306" s="165" t="s">
        <v>922</v>
      </c>
      <c r="S306" s="81" t="s">
        <v>104</v>
      </c>
      <c r="T306" s="349">
        <v>42268</v>
      </c>
      <c r="U306" s="349">
        <v>42356</v>
      </c>
      <c r="W306" s="81" t="s">
        <v>114</v>
      </c>
      <c r="Y306" s="81" t="s">
        <v>115</v>
      </c>
      <c r="Z306" s="81" t="s">
        <v>116</v>
      </c>
      <c r="AA306" s="81" t="s">
        <v>116</v>
      </c>
      <c r="AB306" s="81" t="s">
        <v>117</v>
      </c>
      <c r="AC306" s="166">
        <v>1.4000000432133701E-2</v>
      </c>
      <c r="AD306" s="349">
        <v>42552</v>
      </c>
      <c r="AG306" s="81" t="s">
        <v>74</v>
      </c>
      <c r="AH306" s="81" t="s">
        <v>1913</v>
      </c>
      <c r="AI306" s="81" t="s">
        <v>2001</v>
      </c>
      <c r="AK306" s="166">
        <v>4</v>
      </c>
      <c r="AM306" s="166">
        <v>1</v>
      </c>
      <c r="AO306" s="166">
        <v>0</v>
      </c>
      <c r="AP306" s="166">
        <v>0</v>
      </c>
      <c r="AQ306" s="166">
        <v>4</v>
      </c>
      <c r="AR306" s="166">
        <v>0</v>
      </c>
      <c r="AS306" s="166">
        <v>0</v>
      </c>
      <c r="AT306" s="166">
        <v>0</v>
      </c>
      <c r="AU306" s="166">
        <v>0</v>
      </c>
      <c r="AV306" s="166">
        <v>0</v>
      </c>
      <c r="AW306" s="166">
        <v>0</v>
      </c>
      <c r="AX306" s="166">
        <v>4</v>
      </c>
      <c r="AY306" s="166">
        <v>0</v>
      </c>
      <c r="AZ306" s="166">
        <v>0</v>
      </c>
      <c r="BA306" s="166">
        <v>0</v>
      </c>
      <c r="BB306" s="166">
        <v>0</v>
      </c>
      <c r="BC306" s="166">
        <v>0</v>
      </c>
      <c r="BD306" s="166">
        <v>0</v>
      </c>
      <c r="BE306" s="166">
        <v>0</v>
      </c>
      <c r="BF306" s="166">
        <v>0</v>
      </c>
      <c r="BG306" s="166">
        <v>0</v>
      </c>
      <c r="BH306" s="166">
        <v>0</v>
      </c>
      <c r="BI306" s="166">
        <v>0</v>
      </c>
      <c r="BJ306" s="166">
        <v>0</v>
      </c>
      <c r="BK306" s="166">
        <v>0</v>
      </c>
      <c r="BL306" s="166">
        <v>0</v>
      </c>
      <c r="BM306" s="166">
        <v>0</v>
      </c>
      <c r="BN306" s="166">
        <v>0</v>
      </c>
      <c r="BO306" s="166">
        <v>0</v>
      </c>
      <c r="BP306" s="166">
        <v>0</v>
      </c>
      <c r="BQ306" s="81" t="s">
        <v>1757</v>
      </c>
      <c r="BX306" s="81" t="s">
        <v>155</v>
      </c>
      <c r="BZ306" s="81" t="s">
        <v>155</v>
      </c>
      <c r="CA306" s="81" t="s">
        <v>3934</v>
      </c>
      <c r="CC306" s="167">
        <v>0</v>
      </c>
      <c r="CD306" s="167">
        <v>0</v>
      </c>
      <c r="CE306" s="167">
        <f>N306</f>
        <v>4</v>
      </c>
      <c r="CF306" s="167">
        <v>0</v>
      </c>
      <c r="CG306" s="167">
        <v>0</v>
      </c>
      <c r="CH306" s="167">
        <v>0</v>
      </c>
      <c r="CI306" s="167">
        <v>0</v>
      </c>
      <c r="CJ306" s="167">
        <v>0</v>
      </c>
      <c r="CK306" s="167">
        <v>0</v>
      </c>
      <c r="CL306" s="167">
        <v>0</v>
      </c>
      <c r="CM306" s="167">
        <v>0</v>
      </c>
      <c r="CN306" s="167">
        <v>0</v>
      </c>
      <c r="CO306" s="167">
        <v>0</v>
      </c>
      <c r="CP306" s="167">
        <v>0</v>
      </c>
      <c r="CQ306" s="167">
        <v>0</v>
      </c>
      <c r="CR306" s="167">
        <v>0</v>
      </c>
      <c r="CS306" s="167">
        <v>0</v>
      </c>
      <c r="CT306" s="167">
        <v>0</v>
      </c>
      <c r="CU306" s="167">
        <v>0</v>
      </c>
      <c r="CV306" s="167">
        <v>0</v>
      </c>
      <c r="CW306" s="167">
        <v>0</v>
      </c>
      <c r="CX306" s="167">
        <f>SUM(CD306:CH306)</f>
        <v>4</v>
      </c>
      <c r="CY306" s="167">
        <f>SUM(CD306:CM306)</f>
        <v>4</v>
      </c>
    </row>
    <row r="307" spans="1:103" ht="12.75" customHeight="1" x14ac:dyDescent="0.2">
      <c r="A307" s="81">
        <v>2796</v>
      </c>
      <c r="B307" s="165" t="s">
        <v>1908</v>
      </c>
      <c r="C307" s="165" t="s">
        <v>662</v>
      </c>
      <c r="D307" s="165" t="s">
        <v>663</v>
      </c>
      <c r="E307" s="165" t="s">
        <v>2000</v>
      </c>
      <c r="F307" s="165" t="s">
        <v>935</v>
      </c>
      <c r="G307" s="81">
        <v>526651</v>
      </c>
      <c r="H307" s="81">
        <v>175984</v>
      </c>
      <c r="I307" s="165" t="s">
        <v>257</v>
      </c>
      <c r="J307" s="349">
        <v>42552</v>
      </c>
      <c r="L307" s="166">
        <v>0</v>
      </c>
      <c r="M307" s="166">
        <v>4</v>
      </c>
      <c r="N307" s="166">
        <v>4</v>
      </c>
      <c r="O307" s="166">
        <v>173</v>
      </c>
      <c r="P307" s="166">
        <v>173</v>
      </c>
      <c r="Q307" s="81" t="s">
        <v>155</v>
      </c>
      <c r="R307" s="165" t="s">
        <v>922</v>
      </c>
      <c r="S307" s="81" t="s">
        <v>104</v>
      </c>
      <c r="T307" s="349">
        <v>42268</v>
      </c>
      <c r="U307" s="349">
        <v>42356</v>
      </c>
      <c r="W307" s="81" t="s">
        <v>114</v>
      </c>
      <c r="Y307" s="81" t="s">
        <v>115</v>
      </c>
      <c r="Z307" s="81" t="s">
        <v>116</v>
      </c>
      <c r="AA307" s="81" t="s">
        <v>116</v>
      </c>
      <c r="AB307" s="81" t="s">
        <v>117</v>
      </c>
      <c r="AC307" s="166">
        <v>1.4000000432133701E-2</v>
      </c>
      <c r="AD307" s="349">
        <v>42552</v>
      </c>
      <c r="AG307" s="81" t="s">
        <v>238</v>
      </c>
      <c r="AH307" s="81" t="s">
        <v>118</v>
      </c>
      <c r="AI307" s="81" t="s">
        <v>2001</v>
      </c>
      <c r="AK307" s="166">
        <v>4</v>
      </c>
      <c r="AM307" s="166">
        <v>0</v>
      </c>
      <c r="AO307" s="166">
        <v>0</v>
      </c>
      <c r="AP307" s="166">
        <v>0</v>
      </c>
      <c r="AQ307" s="166">
        <v>4</v>
      </c>
      <c r="AR307" s="166">
        <v>0</v>
      </c>
      <c r="AS307" s="166">
        <v>0</v>
      </c>
      <c r="AT307" s="166">
        <v>0</v>
      </c>
      <c r="AU307" s="166">
        <v>0</v>
      </c>
      <c r="AV307" s="166">
        <v>0</v>
      </c>
      <c r="AW307" s="166">
        <v>0</v>
      </c>
      <c r="AX307" s="166">
        <v>4</v>
      </c>
      <c r="AY307" s="166">
        <v>0</v>
      </c>
      <c r="AZ307" s="166">
        <v>0</v>
      </c>
      <c r="BA307" s="166">
        <v>0</v>
      </c>
      <c r="BB307" s="166">
        <v>0</v>
      </c>
      <c r="BC307" s="166">
        <v>0</v>
      </c>
      <c r="BD307" s="166">
        <v>0</v>
      </c>
      <c r="BE307" s="166">
        <v>0</v>
      </c>
      <c r="BF307" s="166">
        <v>0</v>
      </c>
      <c r="BG307" s="166">
        <v>0</v>
      </c>
      <c r="BH307" s="166">
        <v>0</v>
      </c>
      <c r="BI307" s="166">
        <v>0</v>
      </c>
      <c r="BJ307" s="166">
        <v>0</v>
      </c>
      <c r="BK307" s="166">
        <v>0</v>
      </c>
      <c r="BL307" s="166">
        <v>0</v>
      </c>
      <c r="BM307" s="166">
        <v>0</v>
      </c>
      <c r="BN307" s="166">
        <v>0</v>
      </c>
      <c r="BO307" s="166">
        <v>0</v>
      </c>
      <c r="BP307" s="166">
        <v>0</v>
      </c>
      <c r="BQ307" s="81" t="s">
        <v>1757</v>
      </c>
      <c r="BX307" s="81" t="s">
        <v>155</v>
      </c>
      <c r="BZ307" s="81" t="s">
        <v>155</v>
      </c>
      <c r="CA307" s="81" t="s">
        <v>3934</v>
      </c>
      <c r="CC307" s="167">
        <v>0</v>
      </c>
      <c r="CD307" s="167">
        <v>0</v>
      </c>
      <c r="CE307" s="167">
        <f>N307</f>
        <v>4</v>
      </c>
      <c r="CF307" s="167">
        <v>0</v>
      </c>
      <c r="CG307" s="167">
        <v>0</v>
      </c>
      <c r="CH307" s="167">
        <v>0</v>
      </c>
      <c r="CI307" s="167">
        <v>0</v>
      </c>
      <c r="CJ307" s="167">
        <v>0</v>
      </c>
      <c r="CK307" s="167">
        <v>0</v>
      </c>
      <c r="CL307" s="167">
        <v>0</v>
      </c>
      <c r="CM307" s="167">
        <v>0</v>
      </c>
      <c r="CN307" s="167">
        <v>0</v>
      </c>
      <c r="CO307" s="167">
        <v>0</v>
      </c>
      <c r="CP307" s="167">
        <v>0</v>
      </c>
      <c r="CQ307" s="167">
        <v>0</v>
      </c>
      <c r="CR307" s="167">
        <v>0</v>
      </c>
      <c r="CS307" s="167">
        <v>0</v>
      </c>
      <c r="CT307" s="167">
        <v>0</v>
      </c>
      <c r="CU307" s="167">
        <v>0</v>
      </c>
      <c r="CV307" s="167">
        <v>0</v>
      </c>
      <c r="CW307" s="167">
        <v>0</v>
      </c>
      <c r="CX307" s="167">
        <f>SUM(CD307:CH307)</f>
        <v>4</v>
      </c>
      <c r="CY307" s="167">
        <f>SUM(CD307:CM307)</f>
        <v>4</v>
      </c>
    </row>
    <row r="308" spans="1:103" ht="12.75" customHeight="1" x14ac:dyDescent="0.2">
      <c r="A308" s="81">
        <v>2796</v>
      </c>
      <c r="B308" s="165" t="s">
        <v>1908</v>
      </c>
      <c r="C308" s="165" t="s">
        <v>662</v>
      </c>
      <c r="D308" s="165" t="s">
        <v>663</v>
      </c>
      <c r="E308" s="165" t="s">
        <v>2000</v>
      </c>
      <c r="F308" s="165" t="s">
        <v>936</v>
      </c>
      <c r="G308" s="81">
        <v>526651</v>
      </c>
      <c r="H308" s="81">
        <v>175984</v>
      </c>
      <c r="I308" s="165" t="s">
        <v>257</v>
      </c>
      <c r="J308" s="349">
        <v>42552</v>
      </c>
      <c r="L308" s="166">
        <v>0</v>
      </c>
      <c r="M308" s="166">
        <v>3</v>
      </c>
      <c r="N308" s="166">
        <v>3</v>
      </c>
      <c r="O308" s="166">
        <v>173</v>
      </c>
      <c r="P308" s="166">
        <v>173</v>
      </c>
      <c r="Q308" s="81" t="s">
        <v>155</v>
      </c>
      <c r="R308" s="165" t="s">
        <v>922</v>
      </c>
      <c r="S308" s="81" t="s">
        <v>104</v>
      </c>
      <c r="T308" s="349">
        <v>42268</v>
      </c>
      <c r="U308" s="349">
        <v>42356</v>
      </c>
      <c r="W308" s="81" t="s">
        <v>114</v>
      </c>
      <c r="Y308" s="81" t="s">
        <v>115</v>
      </c>
      <c r="Z308" s="81" t="s">
        <v>116</v>
      </c>
      <c r="AA308" s="81" t="s">
        <v>116</v>
      </c>
      <c r="AB308" s="81" t="s">
        <v>117</v>
      </c>
      <c r="AC308" s="166">
        <v>1.09999999403954E-2</v>
      </c>
      <c r="AD308" s="349">
        <v>42552</v>
      </c>
      <c r="AG308" s="81" t="s">
        <v>238</v>
      </c>
      <c r="AH308" s="81" t="s">
        <v>118</v>
      </c>
      <c r="AI308" s="81" t="s">
        <v>2001</v>
      </c>
      <c r="AK308" s="166">
        <v>3</v>
      </c>
      <c r="AM308" s="166">
        <v>0</v>
      </c>
      <c r="AO308" s="166">
        <v>0</v>
      </c>
      <c r="AP308" s="166">
        <v>0</v>
      </c>
      <c r="AQ308" s="166">
        <v>3</v>
      </c>
      <c r="AR308" s="166">
        <v>0</v>
      </c>
      <c r="AS308" s="166">
        <v>0</v>
      </c>
      <c r="AT308" s="166">
        <v>0</v>
      </c>
      <c r="AU308" s="166">
        <v>0</v>
      </c>
      <c r="AV308" s="166">
        <v>0</v>
      </c>
      <c r="AW308" s="166">
        <v>0</v>
      </c>
      <c r="AX308" s="166">
        <v>3</v>
      </c>
      <c r="AY308" s="166">
        <v>0</v>
      </c>
      <c r="AZ308" s="166">
        <v>0</v>
      </c>
      <c r="BA308" s="166">
        <v>0</v>
      </c>
      <c r="BB308" s="166">
        <v>0</v>
      </c>
      <c r="BC308" s="166">
        <v>0</v>
      </c>
      <c r="BD308" s="166">
        <v>0</v>
      </c>
      <c r="BE308" s="166">
        <v>0</v>
      </c>
      <c r="BF308" s="166">
        <v>0</v>
      </c>
      <c r="BG308" s="166">
        <v>0</v>
      </c>
      <c r="BH308" s="166">
        <v>0</v>
      </c>
      <c r="BI308" s="166">
        <v>0</v>
      </c>
      <c r="BJ308" s="166">
        <v>0</v>
      </c>
      <c r="BK308" s="166">
        <v>0</v>
      </c>
      <c r="BL308" s="166">
        <v>0</v>
      </c>
      <c r="BM308" s="166">
        <v>0</v>
      </c>
      <c r="BN308" s="166">
        <v>0</v>
      </c>
      <c r="BO308" s="166">
        <v>0</v>
      </c>
      <c r="BP308" s="166">
        <v>0</v>
      </c>
      <c r="BQ308" s="81" t="s">
        <v>1757</v>
      </c>
      <c r="BX308" s="81" t="s">
        <v>155</v>
      </c>
      <c r="BZ308" s="81" t="s">
        <v>155</v>
      </c>
      <c r="CA308" s="81" t="s">
        <v>3934</v>
      </c>
      <c r="CC308" s="167">
        <v>0</v>
      </c>
      <c r="CD308" s="167">
        <v>0</v>
      </c>
      <c r="CE308" s="167">
        <f>N308</f>
        <v>3</v>
      </c>
      <c r="CF308" s="167">
        <v>0</v>
      </c>
      <c r="CG308" s="167">
        <v>0</v>
      </c>
      <c r="CH308" s="167">
        <v>0</v>
      </c>
      <c r="CI308" s="167">
        <v>0</v>
      </c>
      <c r="CJ308" s="167">
        <v>0</v>
      </c>
      <c r="CK308" s="167">
        <v>0</v>
      </c>
      <c r="CL308" s="167">
        <v>0</v>
      </c>
      <c r="CM308" s="167">
        <v>0</v>
      </c>
      <c r="CN308" s="167">
        <v>0</v>
      </c>
      <c r="CO308" s="167">
        <v>0</v>
      </c>
      <c r="CP308" s="167">
        <v>0</v>
      </c>
      <c r="CQ308" s="167">
        <v>0</v>
      </c>
      <c r="CR308" s="167">
        <v>0</v>
      </c>
      <c r="CS308" s="167">
        <v>0</v>
      </c>
      <c r="CT308" s="167">
        <v>0</v>
      </c>
      <c r="CU308" s="167">
        <v>0</v>
      </c>
      <c r="CV308" s="167">
        <v>0</v>
      </c>
      <c r="CW308" s="167">
        <v>0</v>
      </c>
      <c r="CX308" s="167">
        <f>SUM(CD308:CH308)</f>
        <v>3</v>
      </c>
      <c r="CY308" s="167">
        <f>SUM(CD308:CM308)</f>
        <v>3</v>
      </c>
    </row>
    <row r="309" spans="1:103" x14ac:dyDescent="0.2">
      <c r="A309" s="81">
        <v>2796</v>
      </c>
      <c r="B309" s="165" t="s">
        <v>1908</v>
      </c>
      <c r="C309" s="165" t="s">
        <v>662</v>
      </c>
      <c r="D309" s="165" t="s">
        <v>663</v>
      </c>
      <c r="E309" s="165" t="s">
        <v>2000</v>
      </c>
      <c r="F309" s="165" t="s">
        <v>937</v>
      </c>
      <c r="G309" s="81">
        <v>526651</v>
      </c>
      <c r="H309" s="81">
        <v>175984</v>
      </c>
      <c r="I309" s="165" t="s">
        <v>257</v>
      </c>
      <c r="J309" s="349">
        <v>42552</v>
      </c>
      <c r="L309" s="166">
        <v>0</v>
      </c>
      <c r="M309" s="166">
        <v>5</v>
      </c>
      <c r="N309" s="166">
        <v>5</v>
      </c>
      <c r="O309" s="166">
        <v>173</v>
      </c>
      <c r="P309" s="166">
        <v>173</v>
      </c>
      <c r="Q309" s="81" t="s">
        <v>155</v>
      </c>
      <c r="R309" s="165" t="s">
        <v>922</v>
      </c>
      <c r="S309" s="81" t="s">
        <v>104</v>
      </c>
      <c r="T309" s="349">
        <v>42268</v>
      </c>
      <c r="U309" s="349">
        <v>42356</v>
      </c>
      <c r="W309" s="81" t="s">
        <v>114</v>
      </c>
      <c r="Y309" s="81" t="s">
        <v>115</v>
      </c>
      <c r="Z309" s="81" t="s">
        <v>116</v>
      </c>
      <c r="AA309" s="81" t="s">
        <v>116</v>
      </c>
      <c r="AB309" s="81" t="s">
        <v>117</v>
      </c>
      <c r="AC309" s="166">
        <v>8.0000003799796104E-3</v>
      </c>
      <c r="AD309" s="349">
        <v>42552</v>
      </c>
      <c r="AG309" s="81" t="s">
        <v>238</v>
      </c>
      <c r="AH309" s="81" t="s">
        <v>118</v>
      </c>
      <c r="AI309" s="81" t="s">
        <v>2001</v>
      </c>
      <c r="AK309" s="166">
        <v>5</v>
      </c>
      <c r="AM309" s="166">
        <v>0</v>
      </c>
      <c r="AO309" s="166">
        <v>0</v>
      </c>
      <c r="AP309" s="166">
        <v>0</v>
      </c>
      <c r="AQ309" s="166">
        <v>5</v>
      </c>
      <c r="AR309" s="166">
        <v>0</v>
      </c>
      <c r="AS309" s="166">
        <v>0</v>
      </c>
      <c r="AT309" s="166">
        <v>0</v>
      </c>
      <c r="AU309" s="166">
        <v>0</v>
      </c>
      <c r="AV309" s="166">
        <v>0</v>
      </c>
      <c r="AW309" s="166">
        <v>0</v>
      </c>
      <c r="AX309" s="166">
        <v>5</v>
      </c>
      <c r="AY309" s="166">
        <v>0</v>
      </c>
      <c r="AZ309" s="166">
        <v>0</v>
      </c>
      <c r="BA309" s="166">
        <v>0</v>
      </c>
      <c r="BB309" s="166">
        <v>0</v>
      </c>
      <c r="BC309" s="166">
        <v>0</v>
      </c>
      <c r="BD309" s="166">
        <v>0</v>
      </c>
      <c r="BE309" s="166">
        <v>0</v>
      </c>
      <c r="BF309" s="166">
        <v>0</v>
      </c>
      <c r="BG309" s="166">
        <v>0</v>
      </c>
      <c r="BH309" s="166">
        <v>0</v>
      </c>
      <c r="BI309" s="166">
        <v>0</v>
      </c>
      <c r="BJ309" s="166">
        <v>0</v>
      </c>
      <c r="BK309" s="166">
        <v>0</v>
      </c>
      <c r="BL309" s="166">
        <v>0</v>
      </c>
      <c r="BM309" s="166">
        <v>0</v>
      </c>
      <c r="BN309" s="166">
        <v>0</v>
      </c>
      <c r="BO309" s="166">
        <v>0</v>
      </c>
      <c r="BP309" s="166">
        <v>0</v>
      </c>
      <c r="BQ309" s="81" t="s">
        <v>1757</v>
      </c>
      <c r="BX309" s="81" t="s">
        <v>155</v>
      </c>
      <c r="BZ309" s="81" t="s">
        <v>155</v>
      </c>
      <c r="CA309" s="81" t="s">
        <v>3934</v>
      </c>
      <c r="CC309" s="167">
        <v>0</v>
      </c>
      <c r="CD309" s="167">
        <v>0</v>
      </c>
      <c r="CE309" s="167">
        <f>N309</f>
        <v>5</v>
      </c>
      <c r="CF309" s="167">
        <v>0</v>
      </c>
      <c r="CG309" s="167">
        <v>0</v>
      </c>
      <c r="CH309" s="167">
        <v>0</v>
      </c>
      <c r="CI309" s="167">
        <v>0</v>
      </c>
      <c r="CJ309" s="167">
        <v>0</v>
      </c>
      <c r="CK309" s="167">
        <v>0</v>
      </c>
      <c r="CL309" s="167">
        <v>0</v>
      </c>
      <c r="CM309" s="167">
        <v>0</v>
      </c>
      <c r="CN309" s="167">
        <v>0</v>
      </c>
      <c r="CO309" s="167">
        <v>0</v>
      </c>
      <c r="CP309" s="167">
        <v>0</v>
      </c>
      <c r="CQ309" s="167">
        <v>0</v>
      </c>
      <c r="CR309" s="167">
        <v>0</v>
      </c>
      <c r="CS309" s="167">
        <v>0</v>
      </c>
      <c r="CT309" s="167">
        <v>0</v>
      </c>
      <c r="CU309" s="167">
        <v>0</v>
      </c>
      <c r="CV309" s="167">
        <v>0</v>
      </c>
      <c r="CW309" s="167">
        <v>0</v>
      </c>
      <c r="CX309" s="167">
        <f>SUM(CD309:CH309)</f>
        <v>5</v>
      </c>
      <c r="CY309" s="167">
        <f>SUM(CD309:CM309)</f>
        <v>5</v>
      </c>
    </row>
    <row r="310" spans="1:103" ht="12.75" customHeight="1" x14ac:dyDescent="0.2">
      <c r="A310" s="81">
        <v>2796</v>
      </c>
      <c r="B310" s="165" t="s">
        <v>1908</v>
      </c>
      <c r="C310" s="165" t="s">
        <v>662</v>
      </c>
      <c r="D310" s="165" t="s">
        <v>663</v>
      </c>
      <c r="E310" s="165" t="s">
        <v>2000</v>
      </c>
      <c r="F310" s="165" t="s">
        <v>938</v>
      </c>
      <c r="G310" s="81">
        <v>526651</v>
      </c>
      <c r="H310" s="81">
        <v>175984</v>
      </c>
      <c r="I310" s="165" t="s">
        <v>257</v>
      </c>
      <c r="J310" s="349">
        <v>42552</v>
      </c>
      <c r="L310" s="166">
        <v>0</v>
      </c>
      <c r="M310" s="166">
        <v>5</v>
      </c>
      <c r="N310" s="166">
        <v>5</v>
      </c>
      <c r="O310" s="166">
        <v>173</v>
      </c>
      <c r="P310" s="166">
        <v>173</v>
      </c>
      <c r="Q310" s="81" t="s">
        <v>155</v>
      </c>
      <c r="R310" s="165" t="s">
        <v>922</v>
      </c>
      <c r="S310" s="81" t="s">
        <v>104</v>
      </c>
      <c r="T310" s="349">
        <v>42268</v>
      </c>
      <c r="U310" s="349">
        <v>42356</v>
      </c>
      <c r="W310" s="81" t="s">
        <v>114</v>
      </c>
      <c r="Y310" s="81" t="s">
        <v>115</v>
      </c>
      <c r="Z310" s="81" t="s">
        <v>116</v>
      </c>
      <c r="AA310" s="81" t="s">
        <v>116</v>
      </c>
      <c r="AB310" s="81" t="s">
        <v>117</v>
      </c>
      <c r="AC310" s="166">
        <v>8.0000003799796104E-3</v>
      </c>
      <c r="AD310" s="349">
        <v>42552</v>
      </c>
      <c r="AG310" s="81" t="s">
        <v>238</v>
      </c>
      <c r="AH310" s="81" t="s">
        <v>118</v>
      </c>
      <c r="AI310" s="81" t="s">
        <v>2001</v>
      </c>
      <c r="AK310" s="166">
        <v>5</v>
      </c>
      <c r="AM310" s="166">
        <v>0</v>
      </c>
      <c r="AO310" s="166">
        <v>0</v>
      </c>
      <c r="AP310" s="166">
        <v>0</v>
      </c>
      <c r="AQ310" s="166">
        <v>5</v>
      </c>
      <c r="AR310" s="166">
        <v>0</v>
      </c>
      <c r="AS310" s="166">
        <v>0</v>
      </c>
      <c r="AT310" s="166">
        <v>0</v>
      </c>
      <c r="AU310" s="166">
        <v>0</v>
      </c>
      <c r="AV310" s="166">
        <v>0</v>
      </c>
      <c r="AW310" s="166">
        <v>0</v>
      </c>
      <c r="AX310" s="166">
        <v>5</v>
      </c>
      <c r="AY310" s="166">
        <v>0</v>
      </c>
      <c r="AZ310" s="166">
        <v>0</v>
      </c>
      <c r="BA310" s="166">
        <v>0</v>
      </c>
      <c r="BB310" s="166">
        <v>0</v>
      </c>
      <c r="BC310" s="166">
        <v>0</v>
      </c>
      <c r="BD310" s="166">
        <v>0</v>
      </c>
      <c r="BE310" s="166">
        <v>0</v>
      </c>
      <c r="BF310" s="166">
        <v>0</v>
      </c>
      <c r="BG310" s="166">
        <v>0</v>
      </c>
      <c r="BH310" s="166">
        <v>0</v>
      </c>
      <c r="BI310" s="166">
        <v>0</v>
      </c>
      <c r="BJ310" s="166">
        <v>0</v>
      </c>
      <c r="BK310" s="166">
        <v>0</v>
      </c>
      <c r="BL310" s="166">
        <v>0</v>
      </c>
      <c r="BM310" s="166">
        <v>0</v>
      </c>
      <c r="BN310" s="166">
        <v>0</v>
      </c>
      <c r="BO310" s="166">
        <v>0</v>
      </c>
      <c r="BP310" s="166">
        <v>0</v>
      </c>
      <c r="BQ310" s="81" t="s">
        <v>1757</v>
      </c>
      <c r="BX310" s="81" t="s">
        <v>155</v>
      </c>
      <c r="BZ310" s="81" t="s">
        <v>155</v>
      </c>
      <c r="CA310" s="81" t="s">
        <v>3934</v>
      </c>
      <c r="CC310" s="167">
        <v>0</v>
      </c>
      <c r="CD310" s="167">
        <v>0</v>
      </c>
      <c r="CE310" s="167">
        <f>N310</f>
        <v>5</v>
      </c>
      <c r="CF310" s="167">
        <v>0</v>
      </c>
      <c r="CG310" s="167">
        <v>0</v>
      </c>
      <c r="CH310" s="167">
        <v>0</v>
      </c>
      <c r="CI310" s="167">
        <v>0</v>
      </c>
      <c r="CJ310" s="167">
        <v>0</v>
      </c>
      <c r="CK310" s="167">
        <v>0</v>
      </c>
      <c r="CL310" s="167">
        <v>0</v>
      </c>
      <c r="CM310" s="167">
        <v>0</v>
      </c>
      <c r="CN310" s="167">
        <v>0</v>
      </c>
      <c r="CO310" s="167">
        <v>0</v>
      </c>
      <c r="CP310" s="167">
        <v>0</v>
      </c>
      <c r="CQ310" s="167">
        <v>0</v>
      </c>
      <c r="CR310" s="167">
        <v>0</v>
      </c>
      <c r="CS310" s="167">
        <v>0</v>
      </c>
      <c r="CT310" s="167">
        <v>0</v>
      </c>
      <c r="CU310" s="167">
        <v>0</v>
      </c>
      <c r="CV310" s="167">
        <v>0</v>
      </c>
      <c r="CW310" s="167">
        <v>0</v>
      </c>
      <c r="CX310" s="167">
        <f>SUM(CD310:CH310)</f>
        <v>5</v>
      </c>
      <c r="CY310" s="167">
        <f>SUM(CD310:CM310)</f>
        <v>5</v>
      </c>
    </row>
    <row r="311" spans="1:103" x14ac:dyDescent="0.2">
      <c r="A311" s="81">
        <v>2796</v>
      </c>
      <c r="B311" s="165" t="s">
        <v>1908</v>
      </c>
      <c r="C311" s="165" t="s">
        <v>662</v>
      </c>
      <c r="D311" s="165" t="s">
        <v>663</v>
      </c>
      <c r="E311" s="165" t="s">
        <v>2000</v>
      </c>
      <c r="F311" s="165" t="s">
        <v>939</v>
      </c>
      <c r="G311" s="81">
        <v>526651</v>
      </c>
      <c r="H311" s="81">
        <v>175984</v>
      </c>
      <c r="I311" s="165" t="s">
        <v>257</v>
      </c>
      <c r="J311" s="349">
        <v>42552</v>
      </c>
      <c r="L311" s="166">
        <v>0</v>
      </c>
      <c r="M311" s="166">
        <v>5</v>
      </c>
      <c r="N311" s="166">
        <v>5</v>
      </c>
      <c r="O311" s="166">
        <v>173</v>
      </c>
      <c r="P311" s="166">
        <v>173</v>
      </c>
      <c r="Q311" s="81" t="s">
        <v>155</v>
      </c>
      <c r="R311" s="165" t="s">
        <v>922</v>
      </c>
      <c r="S311" s="81" t="s">
        <v>104</v>
      </c>
      <c r="T311" s="349">
        <v>42268</v>
      </c>
      <c r="U311" s="349">
        <v>42356</v>
      </c>
      <c r="W311" s="81" t="s">
        <v>114</v>
      </c>
      <c r="Y311" s="81" t="s">
        <v>115</v>
      </c>
      <c r="Z311" s="81" t="s">
        <v>116</v>
      </c>
      <c r="AA311" s="81" t="s">
        <v>116</v>
      </c>
      <c r="AB311" s="81" t="s">
        <v>117</v>
      </c>
      <c r="AC311" s="166">
        <v>8.0000003799796104E-3</v>
      </c>
      <c r="AD311" s="349">
        <v>42552</v>
      </c>
      <c r="AG311" s="81" t="s">
        <v>238</v>
      </c>
      <c r="AH311" s="81" t="s">
        <v>118</v>
      </c>
      <c r="AI311" s="81" t="s">
        <v>2001</v>
      </c>
      <c r="AK311" s="166">
        <v>5</v>
      </c>
      <c r="AM311" s="166">
        <v>0</v>
      </c>
      <c r="AO311" s="166">
        <v>0</v>
      </c>
      <c r="AP311" s="166">
        <v>0</v>
      </c>
      <c r="AQ311" s="166">
        <v>5</v>
      </c>
      <c r="AR311" s="166">
        <v>0</v>
      </c>
      <c r="AS311" s="166">
        <v>0</v>
      </c>
      <c r="AT311" s="166">
        <v>0</v>
      </c>
      <c r="AU311" s="166">
        <v>0</v>
      </c>
      <c r="AV311" s="166">
        <v>0</v>
      </c>
      <c r="AW311" s="166">
        <v>0</v>
      </c>
      <c r="AX311" s="166">
        <v>5</v>
      </c>
      <c r="AY311" s="166">
        <v>0</v>
      </c>
      <c r="AZ311" s="166">
        <v>0</v>
      </c>
      <c r="BA311" s="166">
        <v>0</v>
      </c>
      <c r="BB311" s="166">
        <v>0</v>
      </c>
      <c r="BC311" s="166">
        <v>0</v>
      </c>
      <c r="BD311" s="166">
        <v>0</v>
      </c>
      <c r="BE311" s="166">
        <v>0</v>
      </c>
      <c r="BF311" s="166">
        <v>0</v>
      </c>
      <c r="BG311" s="166">
        <v>0</v>
      </c>
      <c r="BH311" s="166">
        <v>0</v>
      </c>
      <c r="BI311" s="166">
        <v>0</v>
      </c>
      <c r="BJ311" s="166">
        <v>0</v>
      </c>
      <c r="BK311" s="166">
        <v>0</v>
      </c>
      <c r="BL311" s="166">
        <v>0</v>
      </c>
      <c r="BM311" s="166">
        <v>0</v>
      </c>
      <c r="BN311" s="166">
        <v>0</v>
      </c>
      <c r="BO311" s="166">
        <v>0</v>
      </c>
      <c r="BP311" s="166">
        <v>0</v>
      </c>
      <c r="BQ311" s="81" t="s">
        <v>1757</v>
      </c>
      <c r="BX311" s="81" t="s">
        <v>155</v>
      </c>
      <c r="BZ311" s="81" t="s">
        <v>155</v>
      </c>
      <c r="CA311" s="81" t="s">
        <v>3934</v>
      </c>
      <c r="CC311" s="167">
        <v>0</v>
      </c>
      <c r="CD311" s="167">
        <v>0</v>
      </c>
      <c r="CE311" s="167">
        <f>N311</f>
        <v>5</v>
      </c>
      <c r="CF311" s="167">
        <v>0</v>
      </c>
      <c r="CG311" s="167">
        <v>0</v>
      </c>
      <c r="CH311" s="167">
        <v>0</v>
      </c>
      <c r="CI311" s="167">
        <v>0</v>
      </c>
      <c r="CJ311" s="167">
        <v>0</v>
      </c>
      <c r="CK311" s="167">
        <v>0</v>
      </c>
      <c r="CL311" s="167">
        <v>0</v>
      </c>
      <c r="CM311" s="167">
        <v>0</v>
      </c>
      <c r="CN311" s="167">
        <v>0</v>
      </c>
      <c r="CO311" s="167">
        <v>0</v>
      </c>
      <c r="CP311" s="167">
        <v>0</v>
      </c>
      <c r="CQ311" s="167">
        <v>0</v>
      </c>
      <c r="CR311" s="167">
        <v>0</v>
      </c>
      <c r="CS311" s="167">
        <v>0</v>
      </c>
      <c r="CT311" s="167">
        <v>0</v>
      </c>
      <c r="CU311" s="167">
        <v>0</v>
      </c>
      <c r="CV311" s="167">
        <v>0</v>
      </c>
      <c r="CW311" s="167">
        <v>0</v>
      </c>
      <c r="CX311" s="167">
        <f>SUM(CD311:CH311)</f>
        <v>5</v>
      </c>
      <c r="CY311" s="167">
        <f>SUM(CD311:CM311)</f>
        <v>5</v>
      </c>
    </row>
    <row r="312" spans="1:103" x14ac:dyDescent="0.2">
      <c r="A312" s="81">
        <v>2796</v>
      </c>
      <c r="B312" s="165" t="s">
        <v>1908</v>
      </c>
      <c r="C312" s="165" t="s">
        <v>662</v>
      </c>
      <c r="D312" s="165" t="s">
        <v>663</v>
      </c>
      <c r="E312" s="165" t="s">
        <v>2000</v>
      </c>
      <c r="F312" s="165" t="s">
        <v>940</v>
      </c>
      <c r="G312" s="81">
        <v>526651</v>
      </c>
      <c r="H312" s="81">
        <v>175984</v>
      </c>
      <c r="I312" s="165" t="s">
        <v>257</v>
      </c>
      <c r="J312" s="349">
        <v>42552</v>
      </c>
      <c r="L312" s="166">
        <v>0</v>
      </c>
      <c r="M312" s="166">
        <v>5</v>
      </c>
      <c r="N312" s="166">
        <v>5</v>
      </c>
      <c r="O312" s="166">
        <v>173</v>
      </c>
      <c r="P312" s="166">
        <v>173</v>
      </c>
      <c r="Q312" s="81" t="s">
        <v>155</v>
      </c>
      <c r="R312" s="165" t="s">
        <v>922</v>
      </c>
      <c r="S312" s="81" t="s">
        <v>104</v>
      </c>
      <c r="T312" s="349">
        <v>42268</v>
      </c>
      <c r="U312" s="349">
        <v>42356</v>
      </c>
      <c r="W312" s="81" t="s">
        <v>114</v>
      </c>
      <c r="Y312" s="81" t="s">
        <v>115</v>
      </c>
      <c r="Z312" s="81" t="s">
        <v>116</v>
      </c>
      <c r="AA312" s="81" t="s">
        <v>116</v>
      </c>
      <c r="AB312" s="81" t="s">
        <v>117</v>
      </c>
      <c r="AC312" s="166">
        <v>8.0000003799796104E-3</v>
      </c>
      <c r="AD312" s="349">
        <v>42552</v>
      </c>
      <c r="AG312" s="81" t="s">
        <v>238</v>
      </c>
      <c r="AH312" s="81" t="s">
        <v>118</v>
      </c>
      <c r="AI312" s="81" t="s">
        <v>2001</v>
      </c>
      <c r="AK312" s="166">
        <v>5</v>
      </c>
      <c r="AM312" s="166">
        <v>0</v>
      </c>
      <c r="AO312" s="166">
        <v>0</v>
      </c>
      <c r="AP312" s="166">
        <v>0</v>
      </c>
      <c r="AQ312" s="166">
        <v>5</v>
      </c>
      <c r="AR312" s="166">
        <v>0</v>
      </c>
      <c r="AS312" s="166">
        <v>0</v>
      </c>
      <c r="AT312" s="166">
        <v>0</v>
      </c>
      <c r="AU312" s="166">
        <v>0</v>
      </c>
      <c r="AV312" s="166">
        <v>0</v>
      </c>
      <c r="AW312" s="166">
        <v>0</v>
      </c>
      <c r="AX312" s="166">
        <v>5</v>
      </c>
      <c r="AY312" s="166">
        <v>0</v>
      </c>
      <c r="AZ312" s="166">
        <v>0</v>
      </c>
      <c r="BA312" s="166">
        <v>0</v>
      </c>
      <c r="BB312" s="166">
        <v>0</v>
      </c>
      <c r="BC312" s="166">
        <v>0</v>
      </c>
      <c r="BD312" s="166">
        <v>0</v>
      </c>
      <c r="BE312" s="166">
        <v>0</v>
      </c>
      <c r="BF312" s="166">
        <v>0</v>
      </c>
      <c r="BG312" s="166">
        <v>0</v>
      </c>
      <c r="BH312" s="166">
        <v>0</v>
      </c>
      <c r="BI312" s="166">
        <v>0</v>
      </c>
      <c r="BJ312" s="166">
        <v>0</v>
      </c>
      <c r="BK312" s="166">
        <v>0</v>
      </c>
      <c r="BL312" s="166">
        <v>0</v>
      </c>
      <c r="BM312" s="166">
        <v>0</v>
      </c>
      <c r="BN312" s="166">
        <v>0</v>
      </c>
      <c r="BO312" s="166">
        <v>0</v>
      </c>
      <c r="BP312" s="166">
        <v>0</v>
      </c>
      <c r="BQ312" s="81" t="s">
        <v>1757</v>
      </c>
      <c r="BX312" s="81" t="s">
        <v>155</v>
      </c>
      <c r="BZ312" s="81" t="s">
        <v>155</v>
      </c>
      <c r="CA312" s="81" t="s">
        <v>3934</v>
      </c>
      <c r="CC312" s="167">
        <v>0</v>
      </c>
      <c r="CD312" s="167">
        <v>0</v>
      </c>
      <c r="CE312" s="167">
        <f>N312</f>
        <v>5</v>
      </c>
      <c r="CF312" s="167">
        <v>0</v>
      </c>
      <c r="CG312" s="167">
        <v>0</v>
      </c>
      <c r="CH312" s="167">
        <v>0</v>
      </c>
      <c r="CI312" s="167">
        <v>0</v>
      </c>
      <c r="CJ312" s="167">
        <v>0</v>
      </c>
      <c r="CK312" s="167">
        <v>0</v>
      </c>
      <c r="CL312" s="167">
        <v>0</v>
      </c>
      <c r="CM312" s="167">
        <v>0</v>
      </c>
      <c r="CN312" s="167">
        <v>0</v>
      </c>
      <c r="CO312" s="167">
        <v>0</v>
      </c>
      <c r="CP312" s="167">
        <v>0</v>
      </c>
      <c r="CQ312" s="167">
        <v>0</v>
      </c>
      <c r="CR312" s="167">
        <v>0</v>
      </c>
      <c r="CS312" s="167">
        <v>0</v>
      </c>
      <c r="CT312" s="167">
        <v>0</v>
      </c>
      <c r="CU312" s="167">
        <v>0</v>
      </c>
      <c r="CV312" s="167">
        <v>0</v>
      </c>
      <c r="CW312" s="167">
        <v>0</v>
      </c>
      <c r="CX312" s="167">
        <f>SUM(CD312:CH312)</f>
        <v>5</v>
      </c>
      <c r="CY312" s="167">
        <f>SUM(CD312:CM312)</f>
        <v>5</v>
      </c>
    </row>
    <row r="313" spans="1:103" ht="12.75" customHeight="1" x14ac:dyDescent="0.2">
      <c r="A313" s="81">
        <v>2796</v>
      </c>
      <c r="B313" s="165" t="s">
        <v>1908</v>
      </c>
      <c r="C313" s="165" t="s">
        <v>662</v>
      </c>
      <c r="D313" s="165" t="s">
        <v>663</v>
      </c>
      <c r="E313" s="165" t="s">
        <v>2000</v>
      </c>
      <c r="F313" s="165" t="s">
        <v>941</v>
      </c>
      <c r="G313" s="81">
        <v>526651</v>
      </c>
      <c r="H313" s="81">
        <v>175984</v>
      </c>
      <c r="I313" s="165" t="s">
        <v>257</v>
      </c>
      <c r="J313" s="349">
        <v>42552</v>
      </c>
      <c r="L313" s="166">
        <v>0</v>
      </c>
      <c r="M313" s="166">
        <v>5</v>
      </c>
      <c r="N313" s="166">
        <v>5</v>
      </c>
      <c r="O313" s="166">
        <v>173</v>
      </c>
      <c r="P313" s="166">
        <v>173</v>
      </c>
      <c r="Q313" s="81" t="s">
        <v>155</v>
      </c>
      <c r="R313" s="165" t="s">
        <v>922</v>
      </c>
      <c r="S313" s="81" t="s">
        <v>104</v>
      </c>
      <c r="T313" s="349">
        <v>42268</v>
      </c>
      <c r="U313" s="349">
        <v>42356</v>
      </c>
      <c r="W313" s="81" t="s">
        <v>114</v>
      </c>
      <c r="Y313" s="81" t="s">
        <v>115</v>
      </c>
      <c r="Z313" s="81" t="s">
        <v>116</v>
      </c>
      <c r="AA313" s="81" t="s">
        <v>116</v>
      </c>
      <c r="AB313" s="81" t="s">
        <v>117</v>
      </c>
      <c r="AC313" s="166">
        <v>8.0000003799796104E-3</v>
      </c>
      <c r="AD313" s="349">
        <v>42552</v>
      </c>
      <c r="AG313" s="81" t="s">
        <v>238</v>
      </c>
      <c r="AH313" s="81" t="s">
        <v>118</v>
      </c>
      <c r="AI313" s="81" t="s">
        <v>2001</v>
      </c>
      <c r="AK313" s="166">
        <v>5</v>
      </c>
      <c r="AM313" s="166">
        <v>0</v>
      </c>
      <c r="AO313" s="166">
        <v>0</v>
      </c>
      <c r="AP313" s="166">
        <v>0</v>
      </c>
      <c r="AQ313" s="166">
        <v>5</v>
      </c>
      <c r="AR313" s="166">
        <v>0</v>
      </c>
      <c r="AS313" s="166">
        <v>0</v>
      </c>
      <c r="AT313" s="166">
        <v>0</v>
      </c>
      <c r="AU313" s="166">
        <v>0</v>
      </c>
      <c r="AV313" s="166">
        <v>0</v>
      </c>
      <c r="AW313" s="166">
        <v>0</v>
      </c>
      <c r="AX313" s="166">
        <v>5</v>
      </c>
      <c r="AY313" s="166">
        <v>0</v>
      </c>
      <c r="AZ313" s="166">
        <v>0</v>
      </c>
      <c r="BA313" s="166">
        <v>0</v>
      </c>
      <c r="BB313" s="166">
        <v>0</v>
      </c>
      <c r="BC313" s="166">
        <v>0</v>
      </c>
      <c r="BD313" s="166">
        <v>0</v>
      </c>
      <c r="BE313" s="166">
        <v>0</v>
      </c>
      <c r="BF313" s="166">
        <v>0</v>
      </c>
      <c r="BG313" s="166">
        <v>0</v>
      </c>
      <c r="BH313" s="166">
        <v>0</v>
      </c>
      <c r="BI313" s="166">
        <v>0</v>
      </c>
      <c r="BJ313" s="166">
        <v>0</v>
      </c>
      <c r="BK313" s="166">
        <v>0</v>
      </c>
      <c r="BL313" s="166">
        <v>0</v>
      </c>
      <c r="BM313" s="166">
        <v>0</v>
      </c>
      <c r="BN313" s="166">
        <v>0</v>
      </c>
      <c r="BO313" s="166">
        <v>0</v>
      </c>
      <c r="BP313" s="166">
        <v>0</v>
      </c>
      <c r="BQ313" s="81" t="s">
        <v>1757</v>
      </c>
      <c r="BX313" s="81" t="s">
        <v>155</v>
      </c>
      <c r="BZ313" s="81" t="s">
        <v>155</v>
      </c>
      <c r="CA313" s="81" t="s">
        <v>3934</v>
      </c>
      <c r="CC313" s="167">
        <v>0</v>
      </c>
      <c r="CD313" s="167">
        <v>0</v>
      </c>
      <c r="CE313" s="167">
        <f>N313</f>
        <v>5</v>
      </c>
      <c r="CF313" s="167">
        <v>0</v>
      </c>
      <c r="CG313" s="167">
        <v>0</v>
      </c>
      <c r="CH313" s="167">
        <v>0</v>
      </c>
      <c r="CI313" s="167">
        <v>0</v>
      </c>
      <c r="CJ313" s="167">
        <v>0</v>
      </c>
      <c r="CK313" s="167">
        <v>0</v>
      </c>
      <c r="CL313" s="167">
        <v>0</v>
      </c>
      <c r="CM313" s="167">
        <v>0</v>
      </c>
      <c r="CN313" s="167">
        <v>0</v>
      </c>
      <c r="CO313" s="167">
        <v>0</v>
      </c>
      <c r="CP313" s="167">
        <v>0</v>
      </c>
      <c r="CQ313" s="167">
        <v>0</v>
      </c>
      <c r="CR313" s="167">
        <v>0</v>
      </c>
      <c r="CS313" s="167">
        <v>0</v>
      </c>
      <c r="CT313" s="167">
        <v>0</v>
      </c>
      <c r="CU313" s="167">
        <v>0</v>
      </c>
      <c r="CV313" s="167">
        <v>0</v>
      </c>
      <c r="CW313" s="167">
        <v>0</v>
      </c>
      <c r="CX313" s="167">
        <f>SUM(CD313:CH313)</f>
        <v>5</v>
      </c>
      <c r="CY313" s="167">
        <f>SUM(CD313:CM313)</f>
        <v>5</v>
      </c>
    </row>
    <row r="314" spans="1:103" ht="12.75" customHeight="1" x14ac:dyDescent="0.2">
      <c r="A314" s="81">
        <v>2796</v>
      </c>
      <c r="B314" s="165" t="s">
        <v>1908</v>
      </c>
      <c r="C314" s="165" t="s">
        <v>662</v>
      </c>
      <c r="D314" s="165" t="s">
        <v>663</v>
      </c>
      <c r="E314" s="165" t="s">
        <v>2000</v>
      </c>
      <c r="F314" s="165" t="s">
        <v>942</v>
      </c>
      <c r="G314" s="81">
        <v>526651</v>
      </c>
      <c r="H314" s="81">
        <v>175984</v>
      </c>
      <c r="I314" s="165" t="s">
        <v>257</v>
      </c>
      <c r="J314" s="349">
        <v>42552</v>
      </c>
      <c r="L314" s="166">
        <v>0</v>
      </c>
      <c r="M314" s="166">
        <v>5</v>
      </c>
      <c r="N314" s="166">
        <v>5</v>
      </c>
      <c r="O314" s="166">
        <v>173</v>
      </c>
      <c r="P314" s="166">
        <v>173</v>
      </c>
      <c r="Q314" s="81" t="s">
        <v>155</v>
      </c>
      <c r="R314" s="165" t="s">
        <v>922</v>
      </c>
      <c r="S314" s="81" t="s">
        <v>104</v>
      </c>
      <c r="T314" s="349">
        <v>42268</v>
      </c>
      <c r="U314" s="349">
        <v>42356</v>
      </c>
      <c r="W314" s="81" t="s">
        <v>114</v>
      </c>
      <c r="Y314" s="81" t="s">
        <v>115</v>
      </c>
      <c r="Z314" s="81" t="s">
        <v>116</v>
      </c>
      <c r="AA314" s="81" t="s">
        <v>116</v>
      </c>
      <c r="AB314" s="81" t="s">
        <v>117</v>
      </c>
      <c r="AC314" s="166">
        <v>8.0000003799796104E-3</v>
      </c>
      <c r="AD314" s="349">
        <v>42552</v>
      </c>
      <c r="AG314" s="81" t="s">
        <v>238</v>
      </c>
      <c r="AH314" s="81" t="s">
        <v>118</v>
      </c>
      <c r="AI314" s="81" t="s">
        <v>2001</v>
      </c>
      <c r="AK314" s="166">
        <v>5</v>
      </c>
      <c r="AM314" s="166">
        <v>0</v>
      </c>
      <c r="AO314" s="166">
        <v>0</v>
      </c>
      <c r="AP314" s="166">
        <v>0</v>
      </c>
      <c r="AQ314" s="166">
        <v>5</v>
      </c>
      <c r="AR314" s="166">
        <v>0</v>
      </c>
      <c r="AS314" s="166">
        <v>0</v>
      </c>
      <c r="AT314" s="166">
        <v>0</v>
      </c>
      <c r="AU314" s="166">
        <v>0</v>
      </c>
      <c r="AV314" s="166">
        <v>0</v>
      </c>
      <c r="AW314" s="166">
        <v>0</v>
      </c>
      <c r="AX314" s="166">
        <v>5</v>
      </c>
      <c r="AY314" s="166">
        <v>0</v>
      </c>
      <c r="AZ314" s="166">
        <v>0</v>
      </c>
      <c r="BA314" s="166">
        <v>0</v>
      </c>
      <c r="BB314" s="166">
        <v>0</v>
      </c>
      <c r="BC314" s="166">
        <v>0</v>
      </c>
      <c r="BD314" s="166">
        <v>0</v>
      </c>
      <c r="BE314" s="166">
        <v>0</v>
      </c>
      <c r="BF314" s="166">
        <v>0</v>
      </c>
      <c r="BG314" s="166">
        <v>0</v>
      </c>
      <c r="BH314" s="166">
        <v>0</v>
      </c>
      <c r="BI314" s="166">
        <v>0</v>
      </c>
      <c r="BJ314" s="166">
        <v>0</v>
      </c>
      <c r="BK314" s="166">
        <v>0</v>
      </c>
      <c r="BL314" s="166">
        <v>0</v>
      </c>
      <c r="BM314" s="166">
        <v>0</v>
      </c>
      <c r="BN314" s="166">
        <v>0</v>
      </c>
      <c r="BO314" s="166">
        <v>0</v>
      </c>
      <c r="BP314" s="166">
        <v>0</v>
      </c>
      <c r="BQ314" s="81" t="s">
        <v>1757</v>
      </c>
      <c r="BX314" s="81" t="s">
        <v>155</v>
      </c>
      <c r="BZ314" s="81" t="s">
        <v>155</v>
      </c>
      <c r="CA314" s="81" t="s">
        <v>3934</v>
      </c>
      <c r="CC314" s="167">
        <v>0</v>
      </c>
      <c r="CD314" s="167">
        <v>0</v>
      </c>
      <c r="CE314" s="167">
        <f>N314</f>
        <v>5</v>
      </c>
      <c r="CF314" s="167">
        <v>0</v>
      </c>
      <c r="CG314" s="167">
        <v>0</v>
      </c>
      <c r="CH314" s="167">
        <v>0</v>
      </c>
      <c r="CI314" s="167">
        <v>0</v>
      </c>
      <c r="CJ314" s="167">
        <v>0</v>
      </c>
      <c r="CK314" s="167">
        <v>0</v>
      </c>
      <c r="CL314" s="167">
        <v>0</v>
      </c>
      <c r="CM314" s="167">
        <v>0</v>
      </c>
      <c r="CN314" s="167">
        <v>0</v>
      </c>
      <c r="CO314" s="167">
        <v>0</v>
      </c>
      <c r="CP314" s="167">
        <v>0</v>
      </c>
      <c r="CQ314" s="167">
        <v>0</v>
      </c>
      <c r="CR314" s="167">
        <v>0</v>
      </c>
      <c r="CS314" s="167">
        <v>0</v>
      </c>
      <c r="CT314" s="167">
        <v>0</v>
      </c>
      <c r="CU314" s="167">
        <v>0</v>
      </c>
      <c r="CV314" s="167">
        <v>0</v>
      </c>
      <c r="CW314" s="167">
        <v>0</v>
      </c>
      <c r="CX314" s="167">
        <f>SUM(CD314:CH314)</f>
        <v>5</v>
      </c>
      <c r="CY314" s="167">
        <f>SUM(CD314:CM314)</f>
        <v>5</v>
      </c>
    </row>
    <row r="315" spans="1:103" x14ac:dyDescent="0.2">
      <c r="A315" s="81">
        <v>2796</v>
      </c>
      <c r="B315" s="165" t="s">
        <v>1908</v>
      </c>
      <c r="C315" s="165" t="s">
        <v>662</v>
      </c>
      <c r="D315" s="165" t="s">
        <v>663</v>
      </c>
      <c r="E315" s="165" t="s">
        <v>2000</v>
      </c>
      <c r="F315" s="165" t="s">
        <v>943</v>
      </c>
      <c r="G315" s="81">
        <v>526651</v>
      </c>
      <c r="H315" s="81">
        <v>175984</v>
      </c>
      <c r="I315" s="165" t="s">
        <v>257</v>
      </c>
      <c r="J315" s="349">
        <v>42552</v>
      </c>
      <c r="L315" s="166">
        <v>0</v>
      </c>
      <c r="M315" s="166">
        <v>4</v>
      </c>
      <c r="N315" s="166">
        <v>4</v>
      </c>
      <c r="O315" s="166">
        <v>173</v>
      </c>
      <c r="P315" s="166">
        <v>173</v>
      </c>
      <c r="Q315" s="81" t="s">
        <v>155</v>
      </c>
      <c r="R315" s="165" t="s">
        <v>922</v>
      </c>
      <c r="S315" s="81" t="s">
        <v>104</v>
      </c>
      <c r="T315" s="349">
        <v>42268</v>
      </c>
      <c r="U315" s="349">
        <v>42356</v>
      </c>
      <c r="W315" s="81" t="s">
        <v>114</v>
      </c>
      <c r="Y315" s="81" t="s">
        <v>115</v>
      </c>
      <c r="Z315" s="81" t="s">
        <v>116</v>
      </c>
      <c r="AA315" s="81" t="s">
        <v>116</v>
      </c>
      <c r="AB315" s="81" t="s">
        <v>117</v>
      </c>
      <c r="AC315" s="166">
        <v>6.0000000521540598E-3</v>
      </c>
      <c r="AD315" s="349">
        <v>42552</v>
      </c>
      <c r="AG315" s="81" t="s">
        <v>238</v>
      </c>
      <c r="AH315" s="81" t="s">
        <v>118</v>
      </c>
      <c r="AI315" s="81" t="s">
        <v>2001</v>
      </c>
      <c r="AK315" s="166">
        <v>4</v>
      </c>
      <c r="AM315" s="166">
        <v>0</v>
      </c>
      <c r="AO315" s="166">
        <v>0</v>
      </c>
      <c r="AP315" s="166">
        <v>0</v>
      </c>
      <c r="AQ315" s="166">
        <v>4</v>
      </c>
      <c r="AR315" s="166">
        <v>0</v>
      </c>
      <c r="AS315" s="166">
        <v>0</v>
      </c>
      <c r="AT315" s="166">
        <v>0</v>
      </c>
      <c r="AU315" s="166">
        <v>0</v>
      </c>
      <c r="AV315" s="166">
        <v>0</v>
      </c>
      <c r="AW315" s="166">
        <v>0</v>
      </c>
      <c r="AX315" s="166">
        <v>4</v>
      </c>
      <c r="AY315" s="166">
        <v>0</v>
      </c>
      <c r="AZ315" s="166">
        <v>0</v>
      </c>
      <c r="BA315" s="166">
        <v>0</v>
      </c>
      <c r="BB315" s="166">
        <v>0</v>
      </c>
      <c r="BC315" s="166">
        <v>0</v>
      </c>
      <c r="BD315" s="166">
        <v>0</v>
      </c>
      <c r="BE315" s="166">
        <v>0</v>
      </c>
      <c r="BF315" s="166">
        <v>0</v>
      </c>
      <c r="BG315" s="166">
        <v>0</v>
      </c>
      <c r="BH315" s="166">
        <v>0</v>
      </c>
      <c r="BI315" s="166">
        <v>0</v>
      </c>
      <c r="BJ315" s="166">
        <v>0</v>
      </c>
      <c r="BK315" s="166">
        <v>0</v>
      </c>
      <c r="BL315" s="166">
        <v>0</v>
      </c>
      <c r="BM315" s="166">
        <v>0</v>
      </c>
      <c r="BN315" s="166">
        <v>0</v>
      </c>
      <c r="BO315" s="166">
        <v>0</v>
      </c>
      <c r="BP315" s="166">
        <v>0</v>
      </c>
      <c r="BQ315" s="81" t="s">
        <v>1757</v>
      </c>
      <c r="BX315" s="81" t="s">
        <v>155</v>
      </c>
      <c r="BZ315" s="81" t="s">
        <v>155</v>
      </c>
      <c r="CA315" s="81" t="s">
        <v>3934</v>
      </c>
      <c r="CC315" s="167">
        <v>0</v>
      </c>
      <c r="CD315" s="167">
        <v>0</v>
      </c>
      <c r="CE315" s="167">
        <f>N315</f>
        <v>4</v>
      </c>
      <c r="CF315" s="167">
        <v>0</v>
      </c>
      <c r="CG315" s="167">
        <v>0</v>
      </c>
      <c r="CH315" s="167">
        <v>0</v>
      </c>
      <c r="CI315" s="167">
        <v>0</v>
      </c>
      <c r="CJ315" s="167">
        <v>0</v>
      </c>
      <c r="CK315" s="167">
        <v>0</v>
      </c>
      <c r="CL315" s="167">
        <v>0</v>
      </c>
      <c r="CM315" s="167">
        <v>0</v>
      </c>
      <c r="CN315" s="167">
        <v>0</v>
      </c>
      <c r="CO315" s="167">
        <v>0</v>
      </c>
      <c r="CP315" s="167">
        <v>0</v>
      </c>
      <c r="CQ315" s="167">
        <v>0</v>
      </c>
      <c r="CR315" s="167">
        <v>0</v>
      </c>
      <c r="CS315" s="167">
        <v>0</v>
      </c>
      <c r="CT315" s="167">
        <v>0</v>
      </c>
      <c r="CU315" s="167">
        <v>0</v>
      </c>
      <c r="CV315" s="167">
        <v>0</v>
      </c>
      <c r="CW315" s="167">
        <v>0</v>
      </c>
      <c r="CX315" s="167">
        <f>SUM(CD315:CH315)</f>
        <v>4</v>
      </c>
      <c r="CY315" s="167">
        <f>SUM(CD315:CM315)</f>
        <v>4</v>
      </c>
    </row>
    <row r="316" spans="1:103" ht="12.75" customHeight="1" x14ac:dyDescent="0.2">
      <c r="A316" s="81">
        <v>2796</v>
      </c>
      <c r="B316" s="165" t="s">
        <v>1908</v>
      </c>
      <c r="C316" s="165" t="s">
        <v>662</v>
      </c>
      <c r="D316" s="165" t="s">
        <v>663</v>
      </c>
      <c r="E316" s="165" t="s">
        <v>2000</v>
      </c>
      <c r="F316" s="165" t="s">
        <v>944</v>
      </c>
      <c r="G316" s="81">
        <v>526651</v>
      </c>
      <c r="H316" s="81">
        <v>175984</v>
      </c>
      <c r="I316" s="165" t="s">
        <v>257</v>
      </c>
      <c r="J316" s="349">
        <v>42552</v>
      </c>
      <c r="L316" s="166">
        <v>0</v>
      </c>
      <c r="M316" s="166">
        <v>5</v>
      </c>
      <c r="N316" s="166">
        <v>5</v>
      </c>
      <c r="O316" s="166">
        <v>173</v>
      </c>
      <c r="P316" s="166">
        <v>173</v>
      </c>
      <c r="Q316" s="81" t="s">
        <v>155</v>
      </c>
      <c r="R316" s="165" t="s">
        <v>922</v>
      </c>
      <c r="S316" s="81" t="s">
        <v>104</v>
      </c>
      <c r="T316" s="349">
        <v>42268</v>
      </c>
      <c r="U316" s="349">
        <v>42356</v>
      </c>
      <c r="W316" s="81" t="s">
        <v>114</v>
      </c>
      <c r="Y316" s="81" t="s">
        <v>115</v>
      </c>
      <c r="Z316" s="81" t="s">
        <v>116</v>
      </c>
      <c r="AA316" s="81" t="s">
        <v>116</v>
      </c>
      <c r="AB316" s="81" t="s">
        <v>117</v>
      </c>
      <c r="AC316" s="166">
        <v>8.9999996125698107E-3</v>
      </c>
      <c r="AD316" s="349">
        <v>42552</v>
      </c>
      <c r="AG316" s="81" t="s">
        <v>238</v>
      </c>
      <c r="AH316" s="81" t="s">
        <v>118</v>
      </c>
      <c r="AI316" s="81" t="s">
        <v>2001</v>
      </c>
      <c r="AK316" s="166">
        <v>5</v>
      </c>
      <c r="AM316" s="166">
        <v>1</v>
      </c>
      <c r="AO316" s="166">
        <v>0</v>
      </c>
      <c r="AP316" s="166">
        <v>1</v>
      </c>
      <c r="AQ316" s="166">
        <v>4</v>
      </c>
      <c r="AR316" s="166">
        <v>0</v>
      </c>
      <c r="AS316" s="166">
        <v>0</v>
      </c>
      <c r="AT316" s="166">
        <v>0</v>
      </c>
      <c r="AU316" s="166">
        <v>0</v>
      </c>
      <c r="AV316" s="166">
        <v>0</v>
      </c>
      <c r="AW316" s="166">
        <v>1</v>
      </c>
      <c r="AX316" s="166">
        <v>4</v>
      </c>
      <c r="AY316" s="166">
        <v>0</v>
      </c>
      <c r="AZ316" s="166">
        <v>0</v>
      </c>
      <c r="BA316" s="166">
        <v>0</v>
      </c>
      <c r="BB316" s="166">
        <v>0</v>
      </c>
      <c r="BC316" s="166">
        <v>0</v>
      </c>
      <c r="BD316" s="166">
        <v>0</v>
      </c>
      <c r="BE316" s="166">
        <v>0</v>
      </c>
      <c r="BF316" s="166">
        <v>0</v>
      </c>
      <c r="BG316" s="166">
        <v>0</v>
      </c>
      <c r="BH316" s="166">
        <v>0</v>
      </c>
      <c r="BI316" s="166">
        <v>0</v>
      </c>
      <c r="BJ316" s="166">
        <v>0</v>
      </c>
      <c r="BK316" s="166">
        <v>0</v>
      </c>
      <c r="BL316" s="166">
        <v>0</v>
      </c>
      <c r="BM316" s="166">
        <v>0</v>
      </c>
      <c r="BN316" s="166">
        <v>0</v>
      </c>
      <c r="BO316" s="166">
        <v>0</v>
      </c>
      <c r="BP316" s="166">
        <v>0</v>
      </c>
      <c r="BQ316" s="81" t="s">
        <v>1757</v>
      </c>
      <c r="BX316" s="81" t="s">
        <v>155</v>
      </c>
      <c r="BZ316" s="81" t="s">
        <v>155</v>
      </c>
      <c r="CA316" s="81" t="s">
        <v>3934</v>
      </c>
      <c r="CC316" s="167">
        <v>0</v>
      </c>
      <c r="CD316" s="167">
        <v>0</v>
      </c>
      <c r="CE316" s="167">
        <f>N316</f>
        <v>5</v>
      </c>
      <c r="CF316" s="167">
        <v>0</v>
      </c>
      <c r="CG316" s="167">
        <v>0</v>
      </c>
      <c r="CH316" s="167">
        <v>0</v>
      </c>
      <c r="CI316" s="167">
        <v>0</v>
      </c>
      <c r="CJ316" s="167">
        <v>0</v>
      </c>
      <c r="CK316" s="167">
        <v>0</v>
      </c>
      <c r="CL316" s="167">
        <v>0</v>
      </c>
      <c r="CM316" s="167">
        <v>0</v>
      </c>
      <c r="CN316" s="167">
        <v>0</v>
      </c>
      <c r="CO316" s="167">
        <v>0</v>
      </c>
      <c r="CP316" s="167">
        <v>0</v>
      </c>
      <c r="CQ316" s="167">
        <v>0</v>
      </c>
      <c r="CR316" s="167">
        <v>0</v>
      </c>
      <c r="CS316" s="167">
        <v>0</v>
      </c>
      <c r="CT316" s="167">
        <v>0</v>
      </c>
      <c r="CU316" s="167">
        <v>0</v>
      </c>
      <c r="CV316" s="167">
        <v>0</v>
      </c>
      <c r="CW316" s="167">
        <v>0</v>
      </c>
      <c r="CX316" s="167">
        <f>SUM(CD316:CH316)</f>
        <v>5</v>
      </c>
      <c r="CY316" s="167">
        <f>SUM(CD316:CM316)</f>
        <v>5</v>
      </c>
    </row>
    <row r="317" spans="1:103" ht="12.75" customHeight="1" x14ac:dyDescent="0.2">
      <c r="A317" s="81">
        <v>2796</v>
      </c>
      <c r="B317" s="165" t="s">
        <v>1908</v>
      </c>
      <c r="C317" s="165" t="s">
        <v>662</v>
      </c>
      <c r="D317" s="165" t="s">
        <v>663</v>
      </c>
      <c r="E317" s="165" t="s">
        <v>2000</v>
      </c>
      <c r="F317" s="165" t="s">
        <v>945</v>
      </c>
      <c r="G317" s="81">
        <v>526651</v>
      </c>
      <c r="H317" s="81">
        <v>175984</v>
      </c>
      <c r="I317" s="165" t="s">
        <v>257</v>
      </c>
      <c r="J317" s="349">
        <v>42552</v>
      </c>
      <c r="L317" s="166">
        <v>0</v>
      </c>
      <c r="M317" s="166">
        <v>5</v>
      </c>
      <c r="N317" s="166">
        <v>5</v>
      </c>
      <c r="O317" s="166">
        <v>173</v>
      </c>
      <c r="P317" s="166">
        <v>173</v>
      </c>
      <c r="Q317" s="81" t="s">
        <v>155</v>
      </c>
      <c r="R317" s="165" t="s">
        <v>922</v>
      </c>
      <c r="S317" s="81" t="s">
        <v>104</v>
      </c>
      <c r="T317" s="349">
        <v>42268</v>
      </c>
      <c r="U317" s="349">
        <v>42356</v>
      </c>
      <c r="W317" s="81" t="s">
        <v>114</v>
      </c>
      <c r="Y317" s="81" t="s">
        <v>115</v>
      </c>
      <c r="Z317" s="81" t="s">
        <v>116</v>
      </c>
      <c r="AA317" s="81" t="s">
        <v>116</v>
      </c>
      <c r="AB317" s="81" t="s">
        <v>117</v>
      </c>
      <c r="AC317" s="166">
        <v>8.9999996125698107E-3</v>
      </c>
      <c r="AD317" s="349">
        <v>42552</v>
      </c>
      <c r="AG317" s="81" t="s">
        <v>238</v>
      </c>
      <c r="AH317" s="81" t="s">
        <v>118</v>
      </c>
      <c r="AI317" s="81" t="s">
        <v>2001</v>
      </c>
      <c r="AK317" s="166">
        <v>5</v>
      </c>
      <c r="AM317" s="166">
        <v>1</v>
      </c>
      <c r="AO317" s="166">
        <v>0</v>
      </c>
      <c r="AP317" s="166">
        <v>0</v>
      </c>
      <c r="AQ317" s="166">
        <v>5</v>
      </c>
      <c r="AR317" s="166">
        <v>0</v>
      </c>
      <c r="AS317" s="166">
        <v>0</v>
      </c>
      <c r="AT317" s="166">
        <v>0</v>
      </c>
      <c r="AU317" s="166">
        <v>0</v>
      </c>
      <c r="AV317" s="166">
        <v>0</v>
      </c>
      <c r="AW317" s="166">
        <v>0</v>
      </c>
      <c r="AX317" s="166">
        <v>5</v>
      </c>
      <c r="AY317" s="166">
        <v>0</v>
      </c>
      <c r="AZ317" s="166">
        <v>0</v>
      </c>
      <c r="BA317" s="166">
        <v>0</v>
      </c>
      <c r="BB317" s="166">
        <v>0</v>
      </c>
      <c r="BC317" s="166">
        <v>0</v>
      </c>
      <c r="BD317" s="166">
        <v>0</v>
      </c>
      <c r="BE317" s="166">
        <v>0</v>
      </c>
      <c r="BF317" s="166">
        <v>0</v>
      </c>
      <c r="BG317" s="166">
        <v>0</v>
      </c>
      <c r="BH317" s="166">
        <v>0</v>
      </c>
      <c r="BI317" s="166">
        <v>0</v>
      </c>
      <c r="BJ317" s="166">
        <v>0</v>
      </c>
      <c r="BK317" s="166">
        <v>0</v>
      </c>
      <c r="BL317" s="166">
        <v>0</v>
      </c>
      <c r="BM317" s="166">
        <v>0</v>
      </c>
      <c r="BN317" s="166">
        <v>0</v>
      </c>
      <c r="BO317" s="166">
        <v>0</v>
      </c>
      <c r="BP317" s="166">
        <v>0</v>
      </c>
      <c r="BQ317" s="81" t="s">
        <v>1757</v>
      </c>
      <c r="BX317" s="81" t="s">
        <v>155</v>
      </c>
      <c r="BZ317" s="81" t="s">
        <v>155</v>
      </c>
      <c r="CA317" s="81" t="s">
        <v>3934</v>
      </c>
      <c r="CC317" s="167">
        <v>0</v>
      </c>
      <c r="CD317" s="167">
        <v>0</v>
      </c>
      <c r="CE317" s="167">
        <f>N317</f>
        <v>5</v>
      </c>
      <c r="CF317" s="167">
        <v>0</v>
      </c>
      <c r="CG317" s="167">
        <v>0</v>
      </c>
      <c r="CH317" s="167">
        <v>0</v>
      </c>
      <c r="CI317" s="167">
        <v>0</v>
      </c>
      <c r="CJ317" s="167">
        <v>0</v>
      </c>
      <c r="CK317" s="167">
        <v>0</v>
      </c>
      <c r="CL317" s="167">
        <v>0</v>
      </c>
      <c r="CM317" s="167">
        <v>0</v>
      </c>
      <c r="CN317" s="167">
        <v>0</v>
      </c>
      <c r="CO317" s="167">
        <v>0</v>
      </c>
      <c r="CP317" s="167">
        <v>0</v>
      </c>
      <c r="CQ317" s="167">
        <v>0</v>
      </c>
      <c r="CR317" s="167">
        <v>0</v>
      </c>
      <c r="CS317" s="167">
        <v>0</v>
      </c>
      <c r="CT317" s="167">
        <v>0</v>
      </c>
      <c r="CU317" s="167">
        <v>0</v>
      </c>
      <c r="CV317" s="167">
        <v>0</v>
      </c>
      <c r="CW317" s="167">
        <v>0</v>
      </c>
      <c r="CX317" s="167">
        <f>SUM(CD317:CH317)</f>
        <v>5</v>
      </c>
      <c r="CY317" s="167">
        <f>SUM(CD317:CM317)</f>
        <v>5</v>
      </c>
    </row>
    <row r="318" spans="1:103" x14ac:dyDescent="0.2">
      <c r="A318" s="81">
        <v>2796</v>
      </c>
      <c r="B318" s="165" t="s">
        <v>1908</v>
      </c>
      <c r="C318" s="165" t="s">
        <v>662</v>
      </c>
      <c r="D318" s="165" t="s">
        <v>663</v>
      </c>
      <c r="E318" s="165" t="s">
        <v>2000</v>
      </c>
      <c r="F318" s="165" t="s">
        <v>946</v>
      </c>
      <c r="G318" s="81">
        <v>526651</v>
      </c>
      <c r="H318" s="81">
        <v>175984</v>
      </c>
      <c r="I318" s="165" t="s">
        <v>257</v>
      </c>
      <c r="J318" s="349">
        <v>42552</v>
      </c>
      <c r="L318" s="166">
        <v>0</v>
      </c>
      <c r="M318" s="166">
        <v>5</v>
      </c>
      <c r="N318" s="166">
        <v>5</v>
      </c>
      <c r="O318" s="166">
        <v>173</v>
      </c>
      <c r="P318" s="166">
        <v>173</v>
      </c>
      <c r="Q318" s="81" t="s">
        <v>155</v>
      </c>
      <c r="R318" s="165" t="s">
        <v>922</v>
      </c>
      <c r="S318" s="81" t="s">
        <v>104</v>
      </c>
      <c r="T318" s="349">
        <v>42268</v>
      </c>
      <c r="U318" s="349">
        <v>42356</v>
      </c>
      <c r="W318" s="81" t="s">
        <v>114</v>
      </c>
      <c r="Y318" s="81" t="s">
        <v>115</v>
      </c>
      <c r="Z318" s="81" t="s">
        <v>116</v>
      </c>
      <c r="AA318" s="81" t="s">
        <v>116</v>
      </c>
      <c r="AB318" s="81" t="s">
        <v>117</v>
      </c>
      <c r="AC318" s="166">
        <v>8.9999996125698107E-3</v>
      </c>
      <c r="AD318" s="349">
        <v>42552</v>
      </c>
      <c r="AG318" s="81" t="s">
        <v>238</v>
      </c>
      <c r="AH318" s="81" t="s">
        <v>118</v>
      </c>
      <c r="AI318" s="81" t="s">
        <v>2001</v>
      </c>
      <c r="AK318" s="166">
        <v>5</v>
      </c>
      <c r="AM318" s="166">
        <v>1</v>
      </c>
      <c r="AO318" s="166">
        <v>0</v>
      </c>
      <c r="AP318" s="166">
        <v>0</v>
      </c>
      <c r="AQ318" s="166">
        <v>5</v>
      </c>
      <c r="AR318" s="166">
        <v>0</v>
      </c>
      <c r="AS318" s="166">
        <v>0</v>
      </c>
      <c r="AT318" s="166">
        <v>0</v>
      </c>
      <c r="AU318" s="166">
        <v>0</v>
      </c>
      <c r="AV318" s="166">
        <v>0</v>
      </c>
      <c r="AW318" s="166">
        <v>0</v>
      </c>
      <c r="AX318" s="166">
        <v>5</v>
      </c>
      <c r="AY318" s="166">
        <v>0</v>
      </c>
      <c r="AZ318" s="166">
        <v>0</v>
      </c>
      <c r="BA318" s="166">
        <v>0</v>
      </c>
      <c r="BB318" s="166">
        <v>0</v>
      </c>
      <c r="BC318" s="166">
        <v>0</v>
      </c>
      <c r="BD318" s="166">
        <v>0</v>
      </c>
      <c r="BE318" s="166">
        <v>0</v>
      </c>
      <c r="BF318" s="166">
        <v>0</v>
      </c>
      <c r="BG318" s="166">
        <v>0</v>
      </c>
      <c r="BH318" s="166">
        <v>0</v>
      </c>
      <c r="BI318" s="166">
        <v>0</v>
      </c>
      <c r="BJ318" s="166">
        <v>0</v>
      </c>
      <c r="BK318" s="166">
        <v>0</v>
      </c>
      <c r="BL318" s="166">
        <v>0</v>
      </c>
      <c r="BM318" s="166">
        <v>0</v>
      </c>
      <c r="BN318" s="166">
        <v>0</v>
      </c>
      <c r="BO318" s="166">
        <v>0</v>
      </c>
      <c r="BP318" s="166">
        <v>0</v>
      </c>
      <c r="BQ318" s="81" t="s">
        <v>1757</v>
      </c>
      <c r="BX318" s="81" t="s">
        <v>155</v>
      </c>
      <c r="BZ318" s="81" t="s">
        <v>155</v>
      </c>
      <c r="CA318" s="81" t="s">
        <v>3934</v>
      </c>
      <c r="CC318" s="167">
        <v>0</v>
      </c>
      <c r="CD318" s="167">
        <v>0</v>
      </c>
      <c r="CE318" s="167">
        <f>N318</f>
        <v>5</v>
      </c>
      <c r="CF318" s="167">
        <v>0</v>
      </c>
      <c r="CG318" s="167">
        <v>0</v>
      </c>
      <c r="CH318" s="167">
        <v>0</v>
      </c>
      <c r="CI318" s="167">
        <v>0</v>
      </c>
      <c r="CJ318" s="167">
        <v>0</v>
      </c>
      <c r="CK318" s="167">
        <v>0</v>
      </c>
      <c r="CL318" s="167">
        <v>0</v>
      </c>
      <c r="CM318" s="167">
        <v>0</v>
      </c>
      <c r="CN318" s="167">
        <v>0</v>
      </c>
      <c r="CO318" s="167">
        <v>0</v>
      </c>
      <c r="CP318" s="167">
        <v>0</v>
      </c>
      <c r="CQ318" s="167">
        <v>0</v>
      </c>
      <c r="CR318" s="167">
        <v>0</v>
      </c>
      <c r="CS318" s="167">
        <v>0</v>
      </c>
      <c r="CT318" s="167">
        <v>0</v>
      </c>
      <c r="CU318" s="167">
        <v>0</v>
      </c>
      <c r="CV318" s="167">
        <v>0</v>
      </c>
      <c r="CW318" s="167">
        <v>0</v>
      </c>
      <c r="CX318" s="167">
        <f>SUM(CD318:CH318)</f>
        <v>5</v>
      </c>
      <c r="CY318" s="167">
        <f>SUM(CD318:CM318)</f>
        <v>5</v>
      </c>
    </row>
    <row r="319" spans="1:103" ht="12.75" customHeight="1" x14ac:dyDescent="0.2">
      <c r="A319" s="81">
        <v>2796</v>
      </c>
      <c r="B319" s="165" t="s">
        <v>1908</v>
      </c>
      <c r="C319" s="165" t="s">
        <v>662</v>
      </c>
      <c r="D319" s="165" t="s">
        <v>663</v>
      </c>
      <c r="E319" s="165" t="s">
        <v>2000</v>
      </c>
      <c r="F319" s="165" t="s">
        <v>947</v>
      </c>
      <c r="G319" s="81">
        <v>526651</v>
      </c>
      <c r="H319" s="81">
        <v>175984</v>
      </c>
      <c r="I319" s="165" t="s">
        <v>257</v>
      </c>
      <c r="J319" s="349">
        <v>42552</v>
      </c>
      <c r="L319" s="166">
        <v>0</v>
      </c>
      <c r="M319" s="166">
        <v>5</v>
      </c>
      <c r="N319" s="166">
        <v>5</v>
      </c>
      <c r="O319" s="166">
        <v>173</v>
      </c>
      <c r="P319" s="166">
        <v>173</v>
      </c>
      <c r="Q319" s="81" t="s">
        <v>155</v>
      </c>
      <c r="R319" s="165" t="s">
        <v>922</v>
      </c>
      <c r="S319" s="81" t="s">
        <v>104</v>
      </c>
      <c r="T319" s="349">
        <v>42268</v>
      </c>
      <c r="U319" s="349">
        <v>42356</v>
      </c>
      <c r="W319" s="81" t="s">
        <v>114</v>
      </c>
      <c r="Y319" s="81" t="s">
        <v>115</v>
      </c>
      <c r="Z319" s="81" t="s">
        <v>116</v>
      </c>
      <c r="AA319" s="81" t="s">
        <v>116</v>
      </c>
      <c r="AB319" s="81" t="s">
        <v>117</v>
      </c>
      <c r="AC319" s="166">
        <v>8.9999996125698107E-3</v>
      </c>
      <c r="AD319" s="349">
        <v>42552</v>
      </c>
      <c r="AG319" s="81" t="s">
        <v>238</v>
      </c>
      <c r="AH319" s="81" t="s">
        <v>118</v>
      </c>
      <c r="AI319" s="81" t="s">
        <v>2001</v>
      </c>
      <c r="AK319" s="166">
        <v>5</v>
      </c>
      <c r="AM319" s="166">
        <v>1</v>
      </c>
      <c r="AO319" s="166">
        <v>0</v>
      </c>
      <c r="AP319" s="166">
        <v>0</v>
      </c>
      <c r="AQ319" s="166">
        <v>5</v>
      </c>
      <c r="AR319" s="166">
        <v>0</v>
      </c>
      <c r="AS319" s="166">
        <v>0</v>
      </c>
      <c r="AT319" s="166">
        <v>0</v>
      </c>
      <c r="AU319" s="166">
        <v>0</v>
      </c>
      <c r="AV319" s="166">
        <v>0</v>
      </c>
      <c r="AW319" s="166">
        <v>0</v>
      </c>
      <c r="AX319" s="166">
        <v>5</v>
      </c>
      <c r="AY319" s="166">
        <v>0</v>
      </c>
      <c r="AZ319" s="166">
        <v>0</v>
      </c>
      <c r="BA319" s="166">
        <v>0</v>
      </c>
      <c r="BB319" s="166">
        <v>0</v>
      </c>
      <c r="BC319" s="166">
        <v>0</v>
      </c>
      <c r="BD319" s="166">
        <v>0</v>
      </c>
      <c r="BE319" s="166">
        <v>0</v>
      </c>
      <c r="BF319" s="166">
        <v>0</v>
      </c>
      <c r="BG319" s="166">
        <v>0</v>
      </c>
      <c r="BH319" s="166">
        <v>0</v>
      </c>
      <c r="BI319" s="166">
        <v>0</v>
      </c>
      <c r="BJ319" s="166">
        <v>0</v>
      </c>
      <c r="BK319" s="166">
        <v>0</v>
      </c>
      <c r="BL319" s="166">
        <v>0</v>
      </c>
      <c r="BM319" s="166">
        <v>0</v>
      </c>
      <c r="BN319" s="166">
        <v>0</v>
      </c>
      <c r="BO319" s="166">
        <v>0</v>
      </c>
      <c r="BP319" s="166">
        <v>0</v>
      </c>
      <c r="BQ319" s="81" t="s">
        <v>1757</v>
      </c>
      <c r="BX319" s="81" t="s">
        <v>155</v>
      </c>
      <c r="BZ319" s="81" t="s">
        <v>155</v>
      </c>
      <c r="CA319" s="81" t="s">
        <v>3934</v>
      </c>
      <c r="CC319" s="167">
        <v>0</v>
      </c>
      <c r="CD319" s="167">
        <v>0</v>
      </c>
      <c r="CE319" s="167">
        <f>N319</f>
        <v>5</v>
      </c>
      <c r="CF319" s="167">
        <v>0</v>
      </c>
      <c r="CG319" s="167">
        <v>0</v>
      </c>
      <c r="CH319" s="167">
        <v>0</v>
      </c>
      <c r="CI319" s="167">
        <v>0</v>
      </c>
      <c r="CJ319" s="167">
        <v>0</v>
      </c>
      <c r="CK319" s="167">
        <v>0</v>
      </c>
      <c r="CL319" s="167">
        <v>0</v>
      </c>
      <c r="CM319" s="167">
        <v>0</v>
      </c>
      <c r="CN319" s="167">
        <v>0</v>
      </c>
      <c r="CO319" s="167">
        <v>0</v>
      </c>
      <c r="CP319" s="167">
        <v>0</v>
      </c>
      <c r="CQ319" s="167">
        <v>0</v>
      </c>
      <c r="CR319" s="167">
        <v>0</v>
      </c>
      <c r="CS319" s="167">
        <v>0</v>
      </c>
      <c r="CT319" s="167">
        <v>0</v>
      </c>
      <c r="CU319" s="167">
        <v>0</v>
      </c>
      <c r="CV319" s="167">
        <v>0</v>
      </c>
      <c r="CW319" s="167">
        <v>0</v>
      </c>
      <c r="CX319" s="167">
        <f>SUM(CD319:CH319)</f>
        <v>5</v>
      </c>
      <c r="CY319" s="167">
        <f>SUM(CD319:CM319)</f>
        <v>5</v>
      </c>
    </row>
    <row r="320" spans="1:103" x14ac:dyDescent="0.2">
      <c r="A320" s="81">
        <v>2796</v>
      </c>
      <c r="B320" s="165" t="s">
        <v>1908</v>
      </c>
      <c r="C320" s="165" t="s">
        <v>662</v>
      </c>
      <c r="D320" s="165" t="s">
        <v>663</v>
      </c>
      <c r="E320" s="165" t="s">
        <v>2000</v>
      </c>
      <c r="F320" s="165" t="s">
        <v>948</v>
      </c>
      <c r="G320" s="81">
        <v>526651</v>
      </c>
      <c r="H320" s="81">
        <v>175984</v>
      </c>
      <c r="I320" s="165" t="s">
        <v>257</v>
      </c>
      <c r="J320" s="349">
        <v>42552</v>
      </c>
      <c r="L320" s="166">
        <v>0</v>
      </c>
      <c r="M320" s="166">
        <v>5</v>
      </c>
      <c r="N320" s="166">
        <v>5</v>
      </c>
      <c r="O320" s="166">
        <v>173</v>
      </c>
      <c r="P320" s="166">
        <v>173</v>
      </c>
      <c r="Q320" s="81" t="s">
        <v>155</v>
      </c>
      <c r="R320" s="165" t="s">
        <v>922</v>
      </c>
      <c r="S320" s="81" t="s">
        <v>104</v>
      </c>
      <c r="T320" s="349">
        <v>42268</v>
      </c>
      <c r="U320" s="349">
        <v>42356</v>
      </c>
      <c r="W320" s="81" t="s">
        <v>114</v>
      </c>
      <c r="Y320" s="81" t="s">
        <v>115</v>
      </c>
      <c r="Z320" s="81" t="s">
        <v>116</v>
      </c>
      <c r="AA320" s="81" t="s">
        <v>116</v>
      </c>
      <c r="AB320" s="81" t="s">
        <v>117</v>
      </c>
      <c r="AC320" s="166">
        <v>8.9999996125698107E-3</v>
      </c>
      <c r="AD320" s="349">
        <v>42552</v>
      </c>
      <c r="AG320" s="81" t="s">
        <v>238</v>
      </c>
      <c r="AH320" s="81" t="s">
        <v>118</v>
      </c>
      <c r="AI320" s="81" t="s">
        <v>2001</v>
      </c>
      <c r="AK320" s="166">
        <v>5</v>
      </c>
      <c r="AM320" s="166">
        <v>1</v>
      </c>
      <c r="AO320" s="166">
        <v>0</v>
      </c>
      <c r="AP320" s="166">
        <v>0</v>
      </c>
      <c r="AQ320" s="166">
        <v>5</v>
      </c>
      <c r="AR320" s="166">
        <v>0</v>
      </c>
      <c r="AS320" s="166">
        <v>0</v>
      </c>
      <c r="AT320" s="166">
        <v>0</v>
      </c>
      <c r="AU320" s="166">
        <v>0</v>
      </c>
      <c r="AV320" s="166">
        <v>0</v>
      </c>
      <c r="AW320" s="166">
        <v>0</v>
      </c>
      <c r="AX320" s="166">
        <v>5</v>
      </c>
      <c r="AY320" s="166">
        <v>0</v>
      </c>
      <c r="AZ320" s="166">
        <v>0</v>
      </c>
      <c r="BA320" s="166">
        <v>0</v>
      </c>
      <c r="BB320" s="166">
        <v>0</v>
      </c>
      <c r="BC320" s="166">
        <v>0</v>
      </c>
      <c r="BD320" s="166">
        <v>0</v>
      </c>
      <c r="BE320" s="166">
        <v>0</v>
      </c>
      <c r="BF320" s="166">
        <v>0</v>
      </c>
      <c r="BG320" s="166">
        <v>0</v>
      </c>
      <c r="BH320" s="166">
        <v>0</v>
      </c>
      <c r="BI320" s="166">
        <v>0</v>
      </c>
      <c r="BJ320" s="166">
        <v>0</v>
      </c>
      <c r="BK320" s="166">
        <v>0</v>
      </c>
      <c r="BL320" s="166">
        <v>0</v>
      </c>
      <c r="BM320" s="166">
        <v>0</v>
      </c>
      <c r="BN320" s="166">
        <v>0</v>
      </c>
      <c r="BO320" s="166">
        <v>0</v>
      </c>
      <c r="BP320" s="166">
        <v>0</v>
      </c>
      <c r="BQ320" s="81" t="s">
        <v>1757</v>
      </c>
      <c r="BX320" s="81" t="s">
        <v>155</v>
      </c>
      <c r="BZ320" s="81" t="s">
        <v>155</v>
      </c>
      <c r="CA320" s="81" t="s">
        <v>3934</v>
      </c>
      <c r="CC320" s="167">
        <v>0</v>
      </c>
      <c r="CD320" s="167">
        <v>0</v>
      </c>
      <c r="CE320" s="167">
        <f>N320</f>
        <v>5</v>
      </c>
      <c r="CF320" s="167">
        <v>0</v>
      </c>
      <c r="CG320" s="167">
        <v>0</v>
      </c>
      <c r="CH320" s="167">
        <v>0</v>
      </c>
      <c r="CI320" s="167">
        <v>0</v>
      </c>
      <c r="CJ320" s="167">
        <v>0</v>
      </c>
      <c r="CK320" s="167">
        <v>0</v>
      </c>
      <c r="CL320" s="167">
        <v>0</v>
      </c>
      <c r="CM320" s="167">
        <v>0</v>
      </c>
      <c r="CN320" s="167">
        <v>0</v>
      </c>
      <c r="CO320" s="167">
        <v>0</v>
      </c>
      <c r="CP320" s="167">
        <v>0</v>
      </c>
      <c r="CQ320" s="167">
        <v>0</v>
      </c>
      <c r="CR320" s="167">
        <v>0</v>
      </c>
      <c r="CS320" s="167">
        <v>0</v>
      </c>
      <c r="CT320" s="167">
        <v>0</v>
      </c>
      <c r="CU320" s="167">
        <v>0</v>
      </c>
      <c r="CV320" s="167">
        <v>0</v>
      </c>
      <c r="CW320" s="167">
        <v>0</v>
      </c>
      <c r="CX320" s="167">
        <f>SUM(CD320:CH320)</f>
        <v>5</v>
      </c>
      <c r="CY320" s="167">
        <f>SUM(CD320:CM320)</f>
        <v>5</v>
      </c>
    </row>
    <row r="321" spans="1:103" ht="12.75" customHeight="1" x14ac:dyDescent="0.2">
      <c r="A321" s="81">
        <v>2796</v>
      </c>
      <c r="B321" s="165" t="s">
        <v>1908</v>
      </c>
      <c r="C321" s="165" t="s">
        <v>662</v>
      </c>
      <c r="D321" s="165" t="s">
        <v>663</v>
      </c>
      <c r="E321" s="165" t="s">
        <v>2000</v>
      </c>
      <c r="F321" s="165" t="s">
        <v>949</v>
      </c>
      <c r="G321" s="81">
        <v>526651</v>
      </c>
      <c r="H321" s="81">
        <v>175984</v>
      </c>
      <c r="I321" s="165" t="s">
        <v>257</v>
      </c>
      <c r="J321" s="349">
        <v>42552</v>
      </c>
      <c r="L321" s="166">
        <v>0</v>
      </c>
      <c r="M321" s="166">
        <v>5</v>
      </c>
      <c r="N321" s="166">
        <v>5</v>
      </c>
      <c r="O321" s="166">
        <v>173</v>
      </c>
      <c r="P321" s="166">
        <v>173</v>
      </c>
      <c r="Q321" s="81" t="s">
        <v>155</v>
      </c>
      <c r="R321" s="165" t="s">
        <v>922</v>
      </c>
      <c r="S321" s="81" t="s">
        <v>104</v>
      </c>
      <c r="T321" s="349">
        <v>42268</v>
      </c>
      <c r="U321" s="349">
        <v>42356</v>
      </c>
      <c r="W321" s="81" t="s">
        <v>114</v>
      </c>
      <c r="Y321" s="81" t="s">
        <v>115</v>
      </c>
      <c r="Z321" s="81" t="s">
        <v>116</v>
      </c>
      <c r="AA321" s="81" t="s">
        <v>116</v>
      </c>
      <c r="AB321" s="81" t="s">
        <v>117</v>
      </c>
      <c r="AC321" s="166">
        <v>8.0000003799796104E-3</v>
      </c>
      <c r="AD321" s="349">
        <v>42552</v>
      </c>
      <c r="AG321" s="81" t="s">
        <v>238</v>
      </c>
      <c r="AH321" s="81" t="s">
        <v>118</v>
      </c>
      <c r="AI321" s="81" t="s">
        <v>2001</v>
      </c>
      <c r="AK321" s="166">
        <v>5</v>
      </c>
      <c r="AM321" s="166">
        <v>1</v>
      </c>
      <c r="AO321" s="166">
        <v>0</v>
      </c>
      <c r="AP321" s="166">
        <v>0</v>
      </c>
      <c r="AQ321" s="166">
        <v>5</v>
      </c>
      <c r="AR321" s="166">
        <v>0</v>
      </c>
      <c r="AS321" s="166">
        <v>0</v>
      </c>
      <c r="AT321" s="166">
        <v>0</v>
      </c>
      <c r="AU321" s="166">
        <v>0</v>
      </c>
      <c r="AV321" s="166">
        <v>0</v>
      </c>
      <c r="AW321" s="166">
        <v>0</v>
      </c>
      <c r="AX321" s="166">
        <v>5</v>
      </c>
      <c r="AY321" s="166">
        <v>0</v>
      </c>
      <c r="AZ321" s="166">
        <v>0</v>
      </c>
      <c r="BA321" s="166">
        <v>0</v>
      </c>
      <c r="BB321" s="166">
        <v>0</v>
      </c>
      <c r="BC321" s="166">
        <v>0</v>
      </c>
      <c r="BD321" s="166">
        <v>0</v>
      </c>
      <c r="BE321" s="166">
        <v>0</v>
      </c>
      <c r="BF321" s="166">
        <v>0</v>
      </c>
      <c r="BG321" s="166">
        <v>0</v>
      </c>
      <c r="BH321" s="166">
        <v>0</v>
      </c>
      <c r="BI321" s="166">
        <v>0</v>
      </c>
      <c r="BJ321" s="166">
        <v>0</v>
      </c>
      <c r="BK321" s="166">
        <v>0</v>
      </c>
      <c r="BL321" s="166">
        <v>0</v>
      </c>
      <c r="BM321" s="166">
        <v>0</v>
      </c>
      <c r="BN321" s="166">
        <v>0</v>
      </c>
      <c r="BO321" s="166">
        <v>0</v>
      </c>
      <c r="BP321" s="166">
        <v>0</v>
      </c>
      <c r="BQ321" s="81" t="s">
        <v>1757</v>
      </c>
      <c r="BX321" s="81" t="s">
        <v>155</v>
      </c>
      <c r="BZ321" s="81" t="s">
        <v>155</v>
      </c>
      <c r="CA321" s="81" t="s">
        <v>3934</v>
      </c>
      <c r="CC321" s="167">
        <v>0</v>
      </c>
      <c r="CD321" s="167">
        <v>0</v>
      </c>
      <c r="CE321" s="167">
        <f>N321</f>
        <v>5</v>
      </c>
      <c r="CF321" s="167">
        <v>0</v>
      </c>
      <c r="CG321" s="167">
        <v>0</v>
      </c>
      <c r="CH321" s="167">
        <v>0</v>
      </c>
      <c r="CI321" s="167">
        <v>0</v>
      </c>
      <c r="CJ321" s="167">
        <v>0</v>
      </c>
      <c r="CK321" s="167">
        <v>0</v>
      </c>
      <c r="CL321" s="167">
        <v>0</v>
      </c>
      <c r="CM321" s="167">
        <v>0</v>
      </c>
      <c r="CN321" s="167">
        <v>0</v>
      </c>
      <c r="CO321" s="167">
        <v>0</v>
      </c>
      <c r="CP321" s="167">
        <v>0</v>
      </c>
      <c r="CQ321" s="167">
        <v>0</v>
      </c>
      <c r="CR321" s="167">
        <v>0</v>
      </c>
      <c r="CS321" s="167">
        <v>0</v>
      </c>
      <c r="CT321" s="167">
        <v>0</v>
      </c>
      <c r="CU321" s="167">
        <v>0</v>
      </c>
      <c r="CV321" s="167">
        <v>0</v>
      </c>
      <c r="CW321" s="167">
        <v>0</v>
      </c>
      <c r="CX321" s="167">
        <f>SUM(CD321:CH321)</f>
        <v>5</v>
      </c>
      <c r="CY321" s="167">
        <f>SUM(CD321:CM321)</f>
        <v>5</v>
      </c>
    </row>
    <row r="322" spans="1:103" ht="12.75" customHeight="1" x14ac:dyDescent="0.2">
      <c r="A322" s="81">
        <v>2796</v>
      </c>
      <c r="B322" s="165" t="s">
        <v>1908</v>
      </c>
      <c r="C322" s="165" t="s">
        <v>662</v>
      </c>
      <c r="D322" s="165" t="s">
        <v>663</v>
      </c>
      <c r="E322" s="165" t="s">
        <v>2000</v>
      </c>
      <c r="F322" s="165" t="s">
        <v>950</v>
      </c>
      <c r="G322" s="81">
        <v>526651</v>
      </c>
      <c r="H322" s="81">
        <v>175984</v>
      </c>
      <c r="I322" s="165" t="s">
        <v>257</v>
      </c>
      <c r="J322" s="349">
        <v>42552</v>
      </c>
      <c r="L322" s="166">
        <v>0</v>
      </c>
      <c r="M322" s="166">
        <v>5</v>
      </c>
      <c r="N322" s="166">
        <v>5</v>
      </c>
      <c r="O322" s="166">
        <v>173</v>
      </c>
      <c r="P322" s="166">
        <v>173</v>
      </c>
      <c r="Q322" s="81" t="s">
        <v>155</v>
      </c>
      <c r="R322" s="165" t="s">
        <v>922</v>
      </c>
      <c r="S322" s="81" t="s">
        <v>104</v>
      </c>
      <c r="T322" s="349">
        <v>42268</v>
      </c>
      <c r="U322" s="349">
        <v>42356</v>
      </c>
      <c r="W322" s="81" t="s">
        <v>114</v>
      </c>
      <c r="Y322" s="81" t="s">
        <v>115</v>
      </c>
      <c r="Z322" s="81" t="s">
        <v>116</v>
      </c>
      <c r="AA322" s="81" t="s">
        <v>116</v>
      </c>
      <c r="AB322" s="81" t="s">
        <v>117</v>
      </c>
      <c r="AC322" s="166">
        <v>8.0000003799796104E-3</v>
      </c>
      <c r="AD322" s="349">
        <v>42552</v>
      </c>
      <c r="AG322" s="81" t="s">
        <v>238</v>
      </c>
      <c r="AH322" s="81" t="s">
        <v>118</v>
      </c>
      <c r="AI322" s="81" t="s">
        <v>2001</v>
      </c>
      <c r="AK322" s="166">
        <v>5</v>
      </c>
      <c r="AM322" s="166">
        <v>0</v>
      </c>
      <c r="AO322" s="166">
        <v>0</v>
      </c>
      <c r="AP322" s="166">
        <v>0</v>
      </c>
      <c r="AQ322" s="166">
        <v>5</v>
      </c>
      <c r="AR322" s="166">
        <v>0</v>
      </c>
      <c r="AS322" s="166">
        <v>0</v>
      </c>
      <c r="AT322" s="166">
        <v>0</v>
      </c>
      <c r="AU322" s="166">
        <v>0</v>
      </c>
      <c r="AV322" s="166">
        <v>0</v>
      </c>
      <c r="AW322" s="166">
        <v>0</v>
      </c>
      <c r="AX322" s="166">
        <v>5</v>
      </c>
      <c r="AY322" s="166">
        <v>0</v>
      </c>
      <c r="AZ322" s="166">
        <v>0</v>
      </c>
      <c r="BA322" s="166">
        <v>0</v>
      </c>
      <c r="BB322" s="166">
        <v>0</v>
      </c>
      <c r="BC322" s="166">
        <v>0</v>
      </c>
      <c r="BD322" s="166">
        <v>0</v>
      </c>
      <c r="BE322" s="166">
        <v>0</v>
      </c>
      <c r="BF322" s="166">
        <v>0</v>
      </c>
      <c r="BG322" s="166">
        <v>0</v>
      </c>
      <c r="BH322" s="166">
        <v>0</v>
      </c>
      <c r="BI322" s="166">
        <v>0</v>
      </c>
      <c r="BJ322" s="166">
        <v>0</v>
      </c>
      <c r="BK322" s="166">
        <v>0</v>
      </c>
      <c r="BL322" s="166">
        <v>0</v>
      </c>
      <c r="BM322" s="166">
        <v>0</v>
      </c>
      <c r="BN322" s="166">
        <v>0</v>
      </c>
      <c r="BO322" s="166">
        <v>0</v>
      </c>
      <c r="BP322" s="166">
        <v>0</v>
      </c>
      <c r="BQ322" s="81" t="s">
        <v>1757</v>
      </c>
      <c r="BX322" s="81" t="s">
        <v>155</v>
      </c>
      <c r="BZ322" s="81" t="s">
        <v>155</v>
      </c>
      <c r="CA322" s="81" t="s">
        <v>3934</v>
      </c>
      <c r="CC322" s="167">
        <v>0</v>
      </c>
      <c r="CD322" s="167">
        <v>0</v>
      </c>
      <c r="CE322" s="167">
        <f>N322</f>
        <v>5</v>
      </c>
      <c r="CF322" s="167">
        <v>0</v>
      </c>
      <c r="CG322" s="167">
        <v>0</v>
      </c>
      <c r="CH322" s="167">
        <v>0</v>
      </c>
      <c r="CI322" s="167">
        <v>0</v>
      </c>
      <c r="CJ322" s="167">
        <v>0</v>
      </c>
      <c r="CK322" s="167">
        <v>0</v>
      </c>
      <c r="CL322" s="167">
        <v>0</v>
      </c>
      <c r="CM322" s="167">
        <v>0</v>
      </c>
      <c r="CN322" s="167">
        <v>0</v>
      </c>
      <c r="CO322" s="167">
        <v>0</v>
      </c>
      <c r="CP322" s="167">
        <v>0</v>
      </c>
      <c r="CQ322" s="167">
        <v>0</v>
      </c>
      <c r="CR322" s="167">
        <v>0</v>
      </c>
      <c r="CS322" s="167">
        <v>0</v>
      </c>
      <c r="CT322" s="167">
        <v>0</v>
      </c>
      <c r="CU322" s="167">
        <v>0</v>
      </c>
      <c r="CV322" s="167">
        <v>0</v>
      </c>
      <c r="CW322" s="167">
        <v>0</v>
      </c>
      <c r="CX322" s="167">
        <f>SUM(CD322:CH322)</f>
        <v>5</v>
      </c>
      <c r="CY322" s="167">
        <f>SUM(CD322:CM322)</f>
        <v>5</v>
      </c>
    </row>
    <row r="323" spans="1:103" ht="12.75" customHeight="1" x14ac:dyDescent="0.2">
      <c r="A323" s="81">
        <v>2796</v>
      </c>
      <c r="B323" s="165" t="s">
        <v>1908</v>
      </c>
      <c r="C323" s="165" t="s">
        <v>662</v>
      </c>
      <c r="D323" s="165" t="s">
        <v>663</v>
      </c>
      <c r="E323" s="165" t="s">
        <v>2000</v>
      </c>
      <c r="F323" s="165" t="s">
        <v>951</v>
      </c>
      <c r="G323" s="81">
        <v>526651</v>
      </c>
      <c r="H323" s="81">
        <v>175984</v>
      </c>
      <c r="I323" s="165" t="s">
        <v>257</v>
      </c>
      <c r="J323" s="349">
        <v>42552</v>
      </c>
      <c r="L323" s="166">
        <v>0</v>
      </c>
      <c r="M323" s="166">
        <v>5</v>
      </c>
      <c r="N323" s="166">
        <v>5</v>
      </c>
      <c r="O323" s="166">
        <v>173</v>
      </c>
      <c r="P323" s="166">
        <v>173</v>
      </c>
      <c r="Q323" s="81" t="s">
        <v>155</v>
      </c>
      <c r="R323" s="165" t="s">
        <v>922</v>
      </c>
      <c r="S323" s="81" t="s">
        <v>104</v>
      </c>
      <c r="T323" s="349">
        <v>42268</v>
      </c>
      <c r="U323" s="349">
        <v>42356</v>
      </c>
      <c r="W323" s="81" t="s">
        <v>114</v>
      </c>
      <c r="Y323" s="81" t="s">
        <v>115</v>
      </c>
      <c r="Z323" s="81" t="s">
        <v>116</v>
      </c>
      <c r="AA323" s="81" t="s">
        <v>116</v>
      </c>
      <c r="AB323" s="81" t="s">
        <v>117</v>
      </c>
      <c r="AC323" s="166">
        <v>1.60000007599592E-2</v>
      </c>
      <c r="AD323" s="349">
        <v>42552</v>
      </c>
      <c r="AG323" s="81" t="s">
        <v>74</v>
      </c>
      <c r="AH323" s="81" t="s">
        <v>1913</v>
      </c>
      <c r="AI323" s="81" t="s">
        <v>2001</v>
      </c>
      <c r="AK323" s="166">
        <v>5</v>
      </c>
      <c r="AM323" s="166">
        <v>0</v>
      </c>
      <c r="AO323" s="166">
        <v>0</v>
      </c>
      <c r="AP323" s="166">
        <v>4</v>
      </c>
      <c r="AQ323" s="166">
        <v>1</v>
      </c>
      <c r="AR323" s="166">
        <v>0</v>
      </c>
      <c r="AS323" s="166">
        <v>0</v>
      </c>
      <c r="AT323" s="166">
        <v>0</v>
      </c>
      <c r="AU323" s="166">
        <v>0</v>
      </c>
      <c r="AV323" s="166">
        <v>0</v>
      </c>
      <c r="AW323" s="166">
        <v>4</v>
      </c>
      <c r="AX323" s="166">
        <v>1</v>
      </c>
      <c r="AY323" s="166">
        <v>0</v>
      </c>
      <c r="AZ323" s="166">
        <v>0</v>
      </c>
      <c r="BA323" s="166">
        <v>0</v>
      </c>
      <c r="BB323" s="166">
        <v>0</v>
      </c>
      <c r="BC323" s="166">
        <v>0</v>
      </c>
      <c r="BD323" s="166">
        <v>0</v>
      </c>
      <c r="BE323" s="166">
        <v>0</v>
      </c>
      <c r="BF323" s="166">
        <v>0</v>
      </c>
      <c r="BG323" s="166">
        <v>0</v>
      </c>
      <c r="BH323" s="166">
        <v>0</v>
      </c>
      <c r="BI323" s="166">
        <v>0</v>
      </c>
      <c r="BJ323" s="166">
        <v>0</v>
      </c>
      <c r="BK323" s="166">
        <v>0</v>
      </c>
      <c r="BL323" s="166">
        <v>0</v>
      </c>
      <c r="BM323" s="166">
        <v>0</v>
      </c>
      <c r="BN323" s="166">
        <v>0</v>
      </c>
      <c r="BO323" s="166">
        <v>0</v>
      </c>
      <c r="BP323" s="166">
        <v>0</v>
      </c>
      <c r="BQ323" s="81" t="s">
        <v>1757</v>
      </c>
      <c r="BX323" s="81" t="s">
        <v>155</v>
      </c>
      <c r="BZ323" s="81" t="s">
        <v>155</v>
      </c>
      <c r="CA323" s="81" t="s">
        <v>3934</v>
      </c>
      <c r="CC323" s="167">
        <v>0</v>
      </c>
      <c r="CD323" s="167">
        <v>0</v>
      </c>
      <c r="CE323" s="167">
        <f>N323</f>
        <v>5</v>
      </c>
      <c r="CF323" s="167">
        <v>0</v>
      </c>
      <c r="CG323" s="167">
        <v>0</v>
      </c>
      <c r="CH323" s="167">
        <v>0</v>
      </c>
      <c r="CI323" s="167">
        <v>0</v>
      </c>
      <c r="CJ323" s="167">
        <v>0</v>
      </c>
      <c r="CK323" s="167">
        <v>0</v>
      </c>
      <c r="CL323" s="167">
        <v>0</v>
      </c>
      <c r="CM323" s="167">
        <v>0</v>
      </c>
      <c r="CN323" s="167">
        <v>0</v>
      </c>
      <c r="CO323" s="167">
        <v>0</v>
      </c>
      <c r="CP323" s="167">
        <v>0</v>
      </c>
      <c r="CQ323" s="167">
        <v>0</v>
      </c>
      <c r="CR323" s="167">
        <v>0</v>
      </c>
      <c r="CS323" s="167">
        <v>0</v>
      </c>
      <c r="CT323" s="167">
        <v>0</v>
      </c>
      <c r="CU323" s="167">
        <v>0</v>
      </c>
      <c r="CV323" s="167">
        <v>0</v>
      </c>
      <c r="CW323" s="167">
        <v>0</v>
      </c>
      <c r="CX323" s="167">
        <f>SUM(CD323:CH323)</f>
        <v>5</v>
      </c>
      <c r="CY323" s="167">
        <f>SUM(CD323:CM323)</f>
        <v>5</v>
      </c>
    </row>
    <row r="324" spans="1:103" ht="12.75" customHeight="1" x14ac:dyDescent="0.2">
      <c r="A324" s="81">
        <v>2796</v>
      </c>
      <c r="B324" s="165" t="s">
        <v>1908</v>
      </c>
      <c r="C324" s="165" t="s">
        <v>662</v>
      </c>
      <c r="D324" s="165" t="s">
        <v>663</v>
      </c>
      <c r="E324" s="165" t="s">
        <v>2000</v>
      </c>
      <c r="F324" s="165" t="s">
        <v>952</v>
      </c>
      <c r="G324" s="81">
        <v>526651</v>
      </c>
      <c r="H324" s="81">
        <v>175984</v>
      </c>
      <c r="I324" s="165" t="s">
        <v>257</v>
      </c>
      <c r="J324" s="349">
        <v>42552</v>
      </c>
      <c r="L324" s="166">
        <v>0</v>
      </c>
      <c r="M324" s="166">
        <v>5</v>
      </c>
      <c r="N324" s="166">
        <v>5</v>
      </c>
      <c r="O324" s="166">
        <v>173</v>
      </c>
      <c r="P324" s="166">
        <v>173</v>
      </c>
      <c r="Q324" s="81" t="s">
        <v>155</v>
      </c>
      <c r="R324" s="165" t="s">
        <v>922</v>
      </c>
      <c r="S324" s="81" t="s">
        <v>104</v>
      </c>
      <c r="T324" s="349">
        <v>42268</v>
      </c>
      <c r="U324" s="349">
        <v>42356</v>
      </c>
      <c r="W324" s="81" t="s">
        <v>114</v>
      </c>
      <c r="Y324" s="81" t="s">
        <v>115</v>
      </c>
      <c r="Z324" s="81" t="s">
        <v>116</v>
      </c>
      <c r="AA324" s="81" t="s">
        <v>116</v>
      </c>
      <c r="AB324" s="81" t="s">
        <v>117</v>
      </c>
      <c r="AC324" s="166">
        <v>1.60000007599592E-2</v>
      </c>
      <c r="AD324" s="349">
        <v>42552</v>
      </c>
      <c r="AG324" s="81" t="s">
        <v>74</v>
      </c>
      <c r="AH324" s="81" t="s">
        <v>1913</v>
      </c>
      <c r="AI324" s="81" t="s">
        <v>2001</v>
      </c>
      <c r="AK324" s="166">
        <v>5</v>
      </c>
      <c r="AM324" s="166">
        <v>0</v>
      </c>
      <c r="AO324" s="166">
        <v>0</v>
      </c>
      <c r="AP324" s="166">
        <v>3</v>
      </c>
      <c r="AQ324" s="166">
        <v>2</v>
      </c>
      <c r="AR324" s="166">
        <v>0</v>
      </c>
      <c r="AS324" s="166">
        <v>0</v>
      </c>
      <c r="AT324" s="166">
        <v>0</v>
      </c>
      <c r="AU324" s="166">
        <v>0</v>
      </c>
      <c r="AV324" s="166">
        <v>0</v>
      </c>
      <c r="AW324" s="166">
        <v>3</v>
      </c>
      <c r="AX324" s="166">
        <v>2</v>
      </c>
      <c r="AY324" s="166">
        <v>0</v>
      </c>
      <c r="AZ324" s="166">
        <v>0</v>
      </c>
      <c r="BA324" s="166">
        <v>0</v>
      </c>
      <c r="BB324" s="166">
        <v>0</v>
      </c>
      <c r="BC324" s="166">
        <v>0</v>
      </c>
      <c r="BD324" s="166">
        <v>0</v>
      </c>
      <c r="BE324" s="166">
        <v>0</v>
      </c>
      <c r="BF324" s="166">
        <v>0</v>
      </c>
      <c r="BG324" s="166">
        <v>0</v>
      </c>
      <c r="BH324" s="166">
        <v>0</v>
      </c>
      <c r="BI324" s="166">
        <v>0</v>
      </c>
      <c r="BJ324" s="166">
        <v>0</v>
      </c>
      <c r="BK324" s="166">
        <v>0</v>
      </c>
      <c r="BL324" s="166">
        <v>0</v>
      </c>
      <c r="BM324" s="166">
        <v>0</v>
      </c>
      <c r="BN324" s="166">
        <v>0</v>
      </c>
      <c r="BO324" s="166">
        <v>0</v>
      </c>
      <c r="BP324" s="166">
        <v>0</v>
      </c>
      <c r="BQ324" s="81" t="s">
        <v>1757</v>
      </c>
      <c r="BX324" s="81" t="s">
        <v>155</v>
      </c>
      <c r="BZ324" s="81" t="s">
        <v>155</v>
      </c>
      <c r="CA324" s="81" t="s">
        <v>3934</v>
      </c>
      <c r="CC324" s="167">
        <v>0</v>
      </c>
      <c r="CD324" s="167">
        <v>0</v>
      </c>
      <c r="CE324" s="167">
        <f>N324</f>
        <v>5</v>
      </c>
      <c r="CF324" s="167">
        <v>0</v>
      </c>
      <c r="CG324" s="167">
        <v>0</v>
      </c>
      <c r="CH324" s="167">
        <v>0</v>
      </c>
      <c r="CI324" s="167">
        <v>0</v>
      </c>
      <c r="CJ324" s="167">
        <v>0</v>
      </c>
      <c r="CK324" s="167">
        <v>0</v>
      </c>
      <c r="CL324" s="167">
        <v>0</v>
      </c>
      <c r="CM324" s="167">
        <v>0</v>
      </c>
      <c r="CN324" s="167">
        <v>0</v>
      </c>
      <c r="CO324" s="167">
        <v>0</v>
      </c>
      <c r="CP324" s="167">
        <v>0</v>
      </c>
      <c r="CQ324" s="167">
        <v>0</v>
      </c>
      <c r="CR324" s="167">
        <v>0</v>
      </c>
      <c r="CS324" s="167">
        <v>0</v>
      </c>
      <c r="CT324" s="167">
        <v>0</v>
      </c>
      <c r="CU324" s="167">
        <v>0</v>
      </c>
      <c r="CV324" s="167">
        <v>0</v>
      </c>
      <c r="CW324" s="167">
        <v>0</v>
      </c>
      <c r="CX324" s="167">
        <f>SUM(CD324:CH324)</f>
        <v>5</v>
      </c>
      <c r="CY324" s="167">
        <f>SUM(CD324:CM324)</f>
        <v>5</v>
      </c>
    </row>
    <row r="325" spans="1:103" ht="12.75" customHeight="1" x14ac:dyDescent="0.2">
      <c r="A325" s="81">
        <v>2796</v>
      </c>
      <c r="B325" s="165" t="s">
        <v>1908</v>
      </c>
      <c r="C325" s="165" t="s">
        <v>662</v>
      </c>
      <c r="D325" s="165" t="s">
        <v>663</v>
      </c>
      <c r="E325" s="165" t="s">
        <v>2000</v>
      </c>
      <c r="F325" s="165" t="s">
        <v>953</v>
      </c>
      <c r="G325" s="81">
        <v>526651</v>
      </c>
      <c r="H325" s="81">
        <v>175984</v>
      </c>
      <c r="I325" s="165" t="s">
        <v>257</v>
      </c>
      <c r="J325" s="349">
        <v>42552</v>
      </c>
      <c r="L325" s="166">
        <v>0</v>
      </c>
      <c r="M325" s="166">
        <v>5</v>
      </c>
      <c r="N325" s="166">
        <v>5</v>
      </c>
      <c r="O325" s="166">
        <v>173</v>
      </c>
      <c r="P325" s="166">
        <v>173</v>
      </c>
      <c r="Q325" s="81" t="s">
        <v>155</v>
      </c>
      <c r="R325" s="165" t="s">
        <v>922</v>
      </c>
      <c r="S325" s="81" t="s">
        <v>104</v>
      </c>
      <c r="T325" s="349">
        <v>42268</v>
      </c>
      <c r="U325" s="349">
        <v>42356</v>
      </c>
      <c r="W325" s="81" t="s">
        <v>114</v>
      </c>
      <c r="Y325" s="81" t="s">
        <v>115</v>
      </c>
      <c r="Z325" s="81" t="s">
        <v>116</v>
      </c>
      <c r="AA325" s="81" t="s">
        <v>116</v>
      </c>
      <c r="AB325" s="81" t="s">
        <v>117</v>
      </c>
      <c r="AC325" s="166">
        <v>1.60000007599592E-2</v>
      </c>
      <c r="AD325" s="349">
        <v>42552</v>
      </c>
      <c r="AG325" s="81" t="s">
        <v>74</v>
      </c>
      <c r="AH325" s="81" t="s">
        <v>1913</v>
      </c>
      <c r="AI325" s="81" t="s">
        <v>2001</v>
      </c>
      <c r="AK325" s="166">
        <v>5</v>
      </c>
      <c r="AM325" s="166">
        <v>0</v>
      </c>
      <c r="AO325" s="166">
        <v>0</v>
      </c>
      <c r="AP325" s="166">
        <v>3</v>
      </c>
      <c r="AQ325" s="166">
        <v>2</v>
      </c>
      <c r="AR325" s="166">
        <v>0</v>
      </c>
      <c r="AS325" s="166">
        <v>0</v>
      </c>
      <c r="AT325" s="166">
        <v>0</v>
      </c>
      <c r="AU325" s="166">
        <v>0</v>
      </c>
      <c r="AV325" s="166">
        <v>0</v>
      </c>
      <c r="AW325" s="166">
        <v>3</v>
      </c>
      <c r="AX325" s="166">
        <v>2</v>
      </c>
      <c r="AY325" s="166">
        <v>0</v>
      </c>
      <c r="AZ325" s="166">
        <v>0</v>
      </c>
      <c r="BA325" s="166">
        <v>0</v>
      </c>
      <c r="BB325" s="166">
        <v>0</v>
      </c>
      <c r="BC325" s="166">
        <v>0</v>
      </c>
      <c r="BD325" s="166">
        <v>0</v>
      </c>
      <c r="BE325" s="166">
        <v>0</v>
      </c>
      <c r="BF325" s="166">
        <v>0</v>
      </c>
      <c r="BG325" s="166">
        <v>0</v>
      </c>
      <c r="BH325" s="166">
        <v>0</v>
      </c>
      <c r="BI325" s="166">
        <v>0</v>
      </c>
      <c r="BJ325" s="166">
        <v>0</v>
      </c>
      <c r="BK325" s="166">
        <v>0</v>
      </c>
      <c r="BL325" s="166">
        <v>0</v>
      </c>
      <c r="BM325" s="166">
        <v>0</v>
      </c>
      <c r="BN325" s="166">
        <v>0</v>
      </c>
      <c r="BO325" s="166">
        <v>0</v>
      </c>
      <c r="BP325" s="166">
        <v>0</v>
      </c>
      <c r="BQ325" s="81" t="s">
        <v>1757</v>
      </c>
      <c r="BX325" s="81" t="s">
        <v>155</v>
      </c>
      <c r="BZ325" s="81" t="s">
        <v>155</v>
      </c>
      <c r="CA325" s="81" t="s">
        <v>3934</v>
      </c>
      <c r="CC325" s="167">
        <v>0</v>
      </c>
      <c r="CD325" s="167">
        <v>0</v>
      </c>
      <c r="CE325" s="167">
        <f>N325</f>
        <v>5</v>
      </c>
      <c r="CF325" s="167">
        <v>0</v>
      </c>
      <c r="CG325" s="167">
        <v>0</v>
      </c>
      <c r="CH325" s="167">
        <v>0</v>
      </c>
      <c r="CI325" s="167">
        <v>0</v>
      </c>
      <c r="CJ325" s="167">
        <v>0</v>
      </c>
      <c r="CK325" s="167">
        <v>0</v>
      </c>
      <c r="CL325" s="167">
        <v>0</v>
      </c>
      <c r="CM325" s="167">
        <v>0</v>
      </c>
      <c r="CN325" s="167">
        <v>0</v>
      </c>
      <c r="CO325" s="167">
        <v>0</v>
      </c>
      <c r="CP325" s="167">
        <v>0</v>
      </c>
      <c r="CQ325" s="167">
        <v>0</v>
      </c>
      <c r="CR325" s="167">
        <v>0</v>
      </c>
      <c r="CS325" s="167">
        <v>0</v>
      </c>
      <c r="CT325" s="167">
        <v>0</v>
      </c>
      <c r="CU325" s="167">
        <v>0</v>
      </c>
      <c r="CV325" s="167">
        <v>0</v>
      </c>
      <c r="CW325" s="167">
        <v>0</v>
      </c>
      <c r="CX325" s="167">
        <f>SUM(CD325:CH325)</f>
        <v>5</v>
      </c>
      <c r="CY325" s="167">
        <f>SUM(CD325:CM325)</f>
        <v>5</v>
      </c>
    </row>
    <row r="326" spans="1:103" ht="12.75" customHeight="1" x14ac:dyDescent="0.2">
      <c r="A326" s="81">
        <v>2796</v>
      </c>
      <c r="B326" s="165" t="s">
        <v>1908</v>
      </c>
      <c r="C326" s="165" t="s">
        <v>662</v>
      </c>
      <c r="D326" s="165" t="s">
        <v>663</v>
      </c>
      <c r="E326" s="165" t="s">
        <v>2000</v>
      </c>
      <c r="F326" s="165" t="s">
        <v>954</v>
      </c>
      <c r="G326" s="81">
        <v>526651</v>
      </c>
      <c r="H326" s="81">
        <v>175984</v>
      </c>
      <c r="I326" s="165" t="s">
        <v>257</v>
      </c>
      <c r="J326" s="349">
        <v>42552</v>
      </c>
      <c r="L326" s="166">
        <v>0</v>
      </c>
      <c r="M326" s="166">
        <v>5</v>
      </c>
      <c r="N326" s="166">
        <v>5</v>
      </c>
      <c r="O326" s="166">
        <v>173</v>
      </c>
      <c r="P326" s="166">
        <v>173</v>
      </c>
      <c r="Q326" s="81" t="s">
        <v>155</v>
      </c>
      <c r="R326" s="165" t="s">
        <v>922</v>
      </c>
      <c r="S326" s="81" t="s">
        <v>104</v>
      </c>
      <c r="T326" s="349">
        <v>42268</v>
      </c>
      <c r="U326" s="349">
        <v>42356</v>
      </c>
      <c r="W326" s="81" t="s">
        <v>114</v>
      </c>
      <c r="Y326" s="81" t="s">
        <v>115</v>
      </c>
      <c r="Z326" s="81" t="s">
        <v>116</v>
      </c>
      <c r="AA326" s="81" t="s">
        <v>116</v>
      </c>
      <c r="AB326" s="81" t="s">
        <v>117</v>
      </c>
      <c r="AC326" s="166">
        <v>1.60000007599592E-2</v>
      </c>
      <c r="AD326" s="349">
        <v>42552</v>
      </c>
      <c r="AG326" s="81" t="s">
        <v>74</v>
      </c>
      <c r="AH326" s="81" t="s">
        <v>1913</v>
      </c>
      <c r="AI326" s="81" t="s">
        <v>2001</v>
      </c>
      <c r="AK326" s="166">
        <v>5</v>
      </c>
      <c r="AM326" s="166">
        <v>0</v>
      </c>
      <c r="AO326" s="166">
        <v>0</v>
      </c>
      <c r="AP326" s="166">
        <v>3</v>
      </c>
      <c r="AQ326" s="166">
        <v>2</v>
      </c>
      <c r="AR326" s="166">
        <v>0</v>
      </c>
      <c r="AS326" s="166">
        <v>0</v>
      </c>
      <c r="AT326" s="166">
        <v>0</v>
      </c>
      <c r="AU326" s="166">
        <v>0</v>
      </c>
      <c r="AV326" s="166">
        <v>0</v>
      </c>
      <c r="AW326" s="166">
        <v>3</v>
      </c>
      <c r="AX326" s="166">
        <v>2</v>
      </c>
      <c r="AY326" s="166">
        <v>0</v>
      </c>
      <c r="AZ326" s="166">
        <v>0</v>
      </c>
      <c r="BA326" s="166">
        <v>0</v>
      </c>
      <c r="BB326" s="166">
        <v>0</v>
      </c>
      <c r="BC326" s="166">
        <v>0</v>
      </c>
      <c r="BD326" s="166">
        <v>0</v>
      </c>
      <c r="BE326" s="166">
        <v>0</v>
      </c>
      <c r="BF326" s="166">
        <v>0</v>
      </c>
      <c r="BG326" s="166">
        <v>0</v>
      </c>
      <c r="BH326" s="166">
        <v>0</v>
      </c>
      <c r="BI326" s="166">
        <v>0</v>
      </c>
      <c r="BJ326" s="166">
        <v>0</v>
      </c>
      <c r="BK326" s="166">
        <v>0</v>
      </c>
      <c r="BL326" s="166">
        <v>0</v>
      </c>
      <c r="BM326" s="166">
        <v>0</v>
      </c>
      <c r="BN326" s="166">
        <v>0</v>
      </c>
      <c r="BO326" s="166">
        <v>0</v>
      </c>
      <c r="BP326" s="166">
        <v>0</v>
      </c>
      <c r="BQ326" s="81" t="s">
        <v>1757</v>
      </c>
      <c r="BX326" s="81" t="s">
        <v>155</v>
      </c>
      <c r="BZ326" s="81" t="s">
        <v>155</v>
      </c>
      <c r="CA326" s="81" t="s">
        <v>3934</v>
      </c>
      <c r="CC326" s="167">
        <v>0</v>
      </c>
      <c r="CD326" s="167">
        <v>0</v>
      </c>
      <c r="CE326" s="167">
        <f>N326</f>
        <v>5</v>
      </c>
      <c r="CF326" s="167">
        <v>0</v>
      </c>
      <c r="CG326" s="167">
        <v>0</v>
      </c>
      <c r="CH326" s="167">
        <v>0</v>
      </c>
      <c r="CI326" s="167">
        <v>0</v>
      </c>
      <c r="CJ326" s="167">
        <v>0</v>
      </c>
      <c r="CK326" s="167">
        <v>0</v>
      </c>
      <c r="CL326" s="167">
        <v>0</v>
      </c>
      <c r="CM326" s="167">
        <v>0</v>
      </c>
      <c r="CN326" s="167">
        <v>0</v>
      </c>
      <c r="CO326" s="167">
        <v>0</v>
      </c>
      <c r="CP326" s="167">
        <v>0</v>
      </c>
      <c r="CQ326" s="167">
        <v>0</v>
      </c>
      <c r="CR326" s="167">
        <v>0</v>
      </c>
      <c r="CS326" s="167">
        <v>0</v>
      </c>
      <c r="CT326" s="167">
        <v>0</v>
      </c>
      <c r="CU326" s="167">
        <v>0</v>
      </c>
      <c r="CV326" s="167">
        <v>0</v>
      </c>
      <c r="CW326" s="167">
        <v>0</v>
      </c>
      <c r="CX326" s="167">
        <f>SUM(CD326:CH326)</f>
        <v>5</v>
      </c>
      <c r="CY326" s="167">
        <f>SUM(CD326:CM326)</f>
        <v>5</v>
      </c>
    </row>
    <row r="327" spans="1:103" ht="12.75" customHeight="1" x14ac:dyDescent="0.2">
      <c r="A327" s="81">
        <v>2796</v>
      </c>
      <c r="B327" s="165" t="s">
        <v>1908</v>
      </c>
      <c r="C327" s="165" t="s">
        <v>662</v>
      </c>
      <c r="D327" s="165" t="s">
        <v>663</v>
      </c>
      <c r="E327" s="165" t="s">
        <v>2000</v>
      </c>
      <c r="F327" s="165" t="s">
        <v>955</v>
      </c>
      <c r="G327" s="81">
        <v>526651</v>
      </c>
      <c r="H327" s="81">
        <v>175984</v>
      </c>
      <c r="I327" s="165" t="s">
        <v>257</v>
      </c>
      <c r="J327" s="349">
        <v>42552</v>
      </c>
      <c r="L327" s="166">
        <v>0</v>
      </c>
      <c r="M327" s="166">
        <v>5</v>
      </c>
      <c r="N327" s="166">
        <v>5</v>
      </c>
      <c r="O327" s="166">
        <v>173</v>
      </c>
      <c r="P327" s="166">
        <v>173</v>
      </c>
      <c r="Q327" s="81" t="s">
        <v>155</v>
      </c>
      <c r="R327" s="165" t="s">
        <v>922</v>
      </c>
      <c r="S327" s="81" t="s">
        <v>104</v>
      </c>
      <c r="T327" s="349">
        <v>42268</v>
      </c>
      <c r="U327" s="349">
        <v>42356</v>
      </c>
      <c r="W327" s="81" t="s">
        <v>114</v>
      </c>
      <c r="Y327" s="81" t="s">
        <v>115</v>
      </c>
      <c r="Z327" s="81" t="s">
        <v>116</v>
      </c>
      <c r="AA327" s="81" t="s">
        <v>116</v>
      </c>
      <c r="AB327" s="81" t="s">
        <v>117</v>
      </c>
      <c r="AC327" s="166">
        <v>1.60000007599592E-2</v>
      </c>
      <c r="AD327" s="349">
        <v>42552</v>
      </c>
      <c r="AG327" s="81" t="s">
        <v>74</v>
      </c>
      <c r="AH327" s="81" t="s">
        <v>1913</v>
      </c>
      <c r="AI327" s="81" t="s">
        <v>2001</v>
      </c>
      <c r="AK327" s="166">
        <v>5</v>
      </c>
      <c r="AM327" s="166">
        <v>0</v>
      </c>
      <c r="AO327" s="166">
        <v>0</v>
      </c>
      <c r="AP327" s="166">
        <v>3</v>
      </c>
      <c r="AQ327" s="166">
        <v>2</v>
      </c>
      <c r="AR327" s="166">
        <v>0</v>
      </c>
      <c r="AS327" s="166">
        <v>0</v>
      </c>
      <c r="AT327" s="166">
        <v>0</v>
      </c>
      <c r="AU327" s="166">
        <v>0</v>
      </c>
      <c r="AV327" s="166">
        <v>0</v>
      </c>
      <c r="AW327" s="166">
        <v>3</v>
      </c>
      <c r="AX327" s="166">
        <v>2</v>
      </c>
      <c r="AY327" s="166">
        <v>0</v>
      </c>
      <c r="AZ327" s="166">
        <v>0</v>
      </c>
      <c r="BA327" s="166">
        <v>0</v>
      </c>
      <c r="BB327" s="166">
        <v>0</v>
      </c>
      <c r="BC327" s="166">
        <v>0</v>
      </c>
      <c r="BD327" s="166">
        <v>0</v>
      </c>
      <c r="BE327" s="166">
        <v>0</v>
      </c>
      <c r="BF327" s="166">
        <v>0</v>
      </c>
      <c r="BG327" s="166">
        <v>0</v>
      </c>
      <c r="BH327" s="166">
        <v>0</v>
      </c>
      <c r="BI327" s="166">
        <v>0</v>
      </c>
      <c r="BJ327" s="166">
        <v>0</v>
      </c>
      <c r="BK327" s="166">
        <v>0</v>
      </c>
      <c r="BL327" s="166">
        <v>0</v>
      </c>
      <c r="BM327" s="166">
        <v>0</v>
      </c>
      <c r="BN327" s="166">
        <v>0</v>
      </c>
      <c r="BO327" s="166">
        <v>0</v>
      </c>
      <c r="BP327" s="166">
        <v>0</v>
      </c>
      <c r="BQ327" s="81" t="s">
        <v>1757</v>
      </c>
      <c r="BX327" s="81" t="s">
        <v>155</v>
      </c>
      <c r="BZ327" s="81" t="s">
        <v>155</v>
      </c>
      <c r="CA327" s="81" t="s">
        <v>3934</v>
      </c>
      <c r="CC327" s="167">
        <v>0</v>
      </c>
      <c r="CD327" s="167">
        <v>0</v>
      </c>
      <c r="CE327" s="167">
        <f>N327</f>
        <v>5</v>
      </c>
      <c r="CF327" s="167">
        <v>0</v>
      </c>
      <c r="CG327" s="167">
        <v>0</v>
      </c>
      <c r="CH327" s="167">
        <v>0</v>
      </c>
      <c r="CI327" s="167">
        <v>0</v>
      </c>
      <c r="CJ327" s="167">
        <v>0</v>
      </c>
      <c r="CK327" s="167">
        <v>0</v>
      </c>
      <c r="CL327" s="167">
        <v>0</v>
      </c>
      <c r="CM327" s="167">
        <v>0</v>
      </c>
      <c r="CN327" s="167">
        <v>0</v>
      </c>
      <c r="CO327" s="167">
        <v>0</v>
      </c>
      <c r="CP327" s="167">
        <v>0</v>
      </c>
      <c r="CQ327" s="167">
        <v>0</v>
      </c>
      <c r="CR327" s="167">
        <v>0</v>
      </c>
      <c r="CS327" s="167">
        <v>0</v>
      </c>
      <c r="CT327" s="167">
        <v>0</v>
      </c>
      <c r="CU327" s="167">
        <v>0</v>
      </c>
      <c r="CV327" s="167">
        <v>0</v>
      </c>
      <c r="CW327" s="167">
        <v>0</v>
      </c>
      <c r="CX327" s="167">
        <f>SUM(CD327:CH327)</f>
        <v>5</v>
      </c>
      <c r="CY327" s="167">
        <f>SUM(CD327:CM327)</f>
        <v>5</v>
      </c>
    </row>
    <row r="328" spans="1:103" ht="12.75" customHeight="1" x14ac:dyDescent="0.2">
      <c r="A328" s="81">
        <v>2796</v>
      </c>
      <c r="B328" s="165" t="s">
        <v>1908</v>
      </c>
      <c r="C328" s="165" t="s">
        <v>662</v>
      </c>
      <c r="D328" s="165" t="s">
        <v>663</v>
      </c>
      <c r="E328" s="165" t="s">
        <v>2000</v>
      </c>
      <c r="F328" s="165" t="s">
        <v>956</v>
      </c>
      <c r="G328" s="81">
        <v>526651</v>
      </c>
      <c r="H328" s="81">
        <v>175984</v>
      </c>
      <c r="I328" s="165" t="s">
        <v>257</v>
      </c>
      <c r="J328" s="349">
        <v>42552</v>
      </c>
      <c r="L328" s="166">
        <v>0</v>
      </c>
      <c r="M328" s="166">
        <v>5</v>
      </c>
      <c r="N328" s="166">
        <v>5</v>
      </c>
      <c r="O328" s="166">
        <v>173</v>
      </c>
      <c r="P328" s="166">
        <v>173</v>
      </c>
      <c r="Q328" s="81" t="s">
        <v>155</v>
      </c>
      <c r="R328" s="165" t="s">
        <v>922</v>
      </c>
      <c r="S328" s="81" t="s">
        <v>104</v>
      </c>
      <c r="T328" s="349">
        <v>42268</v>
      </c>
      <c r="U328" s="349">
        <v>42356</v>
      </c>
      <c r="W328" s="81" t="s">
        <v>114</v>
      </c>
      <c r="Y328" s="81" t="s">
        <v>115</v>
      </c>
      <c r="Z328" s="81" t="s">
        <v>116</v>
      </c>
      <c r="AA328" s="81" t="s">
        <v>116</v>
      </c>
      <c r="AB328" s="81" t="s">
        <v>117</v>
      </c>
      <c r="AC328" s="166">
        <v>1.4000000432133701E-2</v>
      </c>
      <c r="AD328" s="349">
        <v>42552</v>
      </c>
      <c r="AG328" s="81" t="s">
        <v>74</v>
      </c>
      <c r="AH328" s="81" t="s">
        <v>1913</v>
      </c>
      <c r="AI328" s="81" t="s">
        <v>2001</v>
      </c>
      <c r="AK328" s="166">
        <v>5</v>
      </c>
      <c r="AM328" s="166">
        <v>0</v>
      </c>
      <c r="AO328" s="166">
        <v>0</v>
      </c>
      <c r="AP328" s="166">
        <v>3</v>
      </c>
      <c r="AQ328" s="166">
        <v>2</v>
      </c>
      <c r="AR328" s="166">
        <v>0</v>
      </c>
      <c r="AS328" s="166">
        <v>0</v>
      </c>
      <c r="AT328" s="166">
        <v>0</v>
      </c>
      <c r="AU328" s="166">
        <v>0</v>
      </c>
      <c r="AV328" s="166">
        <v>0</v>
      </c>
      <c r="AW328" s="166">
        <v>3</v>
      </c>
      <c r="AX328" s="166">
        <v>2</v>
      </c>
      <c r="AY328" s="166">
        <v>0</v>
      </c>
      <c r="AZ328" s="166">
        <v>0</v>
      </c>
      <c r="BA328" s="166">
        <v>0</v>
      </c>
      <c r="BB328" s="166">
        <v>0</v>
      </c>
      <c r="BC328" s="166">
        <v>0</v>
      </c>
      <c r="BD328" s="166">
        <v>0</v>
      </c>
      <c r="BE328" s="166">
        <v>0</v>
      </c>
      <c r="BF328" s="166">
        <v>0</v>
      </c>
      <c r="BG328" s="166">
        <v>0</v>
      </c>
      <c r="BH328" s="166">
        <v>0</v>
      </c>
      <c r="BI328" s="166">
        <v>0</v>
      </c>
      <c r="BJ328" s="166">
        <v>0</v>
      </c>
      <c r="BK328" s="166">
        <v>0</v>
      </c>
      <c r="BL328" s="166">
        <v>0</v>
      </c>
      <c r="BM328" s="166">
        <v>0</v>
      </c>
      <c r="BN328" s="166">
        <v>0</v>
      </c>
      <c r="BO328" s="166">
        <v>0</v>
      </c>
      <c r="BP328" s="166">
        <v>0</v>
      </c>
      <c r="BQ328" s="81" t="s">
        <v>1757</v>
      </c>
      <c r="BX328" s="81" t="s">
        <v>155</v>
      </c>
      <c r="BZ328" s="81" t="s">
        <v>155</v>
      </c>
      <c r="CA328" s="81" t="s">
        <v>3934</v>
      </c>
      <c r="CC328" s="167">
        <v>0</v>
      </c>
      <c r="CD328" s="167">
        <v>0</v>
      </c>
      <c r="CE328" s="167">
        <f>N328</f>
        <v>5</v>
      </c>
      <c r="CF328" s="167">
        <v>0</v>
      </c>
      <c r="CG328" s="167">
        <v>0</v>
      </c>
      <c r="CH328" s="167">
        <v>0</v>
      </c>
      <c r="CI328" s="167">
        <v>0</v>
      </c>
      <c r="CJ328" s="167">
        <v>0</v>
      </c>
      <c r="CK328" s="167">
        <v>0</v>
      </c>
      <c r="CL328" s="167">
        <v>0</v>
      </c>
      <c r="CM328" s="167">
        <v>0</v>
      </c>
      <c r="CN328" s="167">
        <v>0</v>
      </c>
      <c r="CO328" s="167">
        <v>0</v>
      </c>
      <c r="CP328" s="167">
        <v>0</v>
      </c>
      <c r="CQ328" s="167">
        <v>0</v>
      </c>
      <c r="CR328" s="167">
        <v>0</v>
      </c>
      <c r="CS328" s="167">
        <v>0</v>
      </c>
      <c r="CT328" s="167">
        <v>0</v>
      </c>
      <c r="CU328" s="167">
        <v>0</v>
      </c>
      <c r="CV328" s="167">
        <v>0</v>
      </c>
      <c r="CW328" s="167">
        <v>0</v>
      </c>
      <c r="CX328" s="167">
        <f>SUM(CD328:CH328)</f>
        <v>5</v>
      </c>
      <c r="CY328" s="167">
        <f>SUM(CD328:CM328)</f>
        <v>5</v>
      </c>
    </row>
    <row r="329" spans="1:103" ht="12.75" customHeight="1" x14ac:dyDescent="0.2">
      <c r="A329" s="81">
        <v>2820</v>
      </c>
      <c r="B329" s="165" t="s">
        <v>1908</v>
      </c>
      <c r="C329" s="165" t="s">
        <v>1570</v>
      </c>
      <c r="E329" s="165" t="s">
        <v>3410</v>
      </c>
      <c r="G329" s="81">
        <v>525961</v>
      </c>
      <c r="H329" s="81">
        <v>173072</v>
      </c>
      <c r="I329" s="165" t="s">
        <v>249</v>
      </c>
      <c r="J329" s="349">
        <v>43190</v>
      </c>
      <c r="L329" s="166">
        <v>0</v>
      </c>
      <c r="M329" s="166">
        <v>2</v>
      </c>
      <c r="N329" s="166">
        <v>2</v>
      </c>
      <c r="O329" s="166">
        <v>2</v>
      </c>
      <c r="P329" s="166">
        <v>2</v>
      </c>
      <c r="R329" s="165" t="s">
        <v>1571</v>
      </c>
      <c r="S329" s="81" t="s">
        <v>113</v>
      </c>
      <c r="T329" s="349">
        <v>42690</v>
      </c>
      <c r="U329" s="349">
        <v>42894</v>
      </c>
      <c r="V329" s="81" t="s">
        <v>155</v>
      </c>
      <c r="W329" s="81" t="s">
        <v>114</v>
      </c>
      <c r="Y329" s="81" t="s">
        <v>115</v>
      </c>
      <c r="Z329" s="81" t="s">
        <v>219</v>
      </c>
      <c r="AA329" s="81" t="s">
        <v>117</v>
      </c>
      <c r="AB329" s="81" t="s">
        <v>3889</v>
      </c>
      <c r="AC329" s="166">
        <v>7.0000002160668399E-3</v>
      </c>
      <c r="AD329" s="349">
        <v>43190</v>
      </c>
      <c r="AE329" s="81" t="s">
        <v>155</v>
      </c>
      <c r="AG329" s="81" t="s">
        <v>238</v>
      </c>
      <c r="AH329" s="81" t="s">
        <v>118</v>
      </c>
      <c r="AK329" s="166">
        <v>0</v>
      </c>
      <c r="AM329" s="166">
        <v>0</v>
      </c>
      <c r="AO329" s="166">
        <v>0</v>
      </c>
      <c r="AP329" s="166">
        <v>2</v>
      </c>
      <c r="AQ329" s="166">
        <v>0</v>
      </c>
      <c r="AR329" s="166">
        <v>0</v>
      </c>
      <c r="AS329" s="166">
        <v>0</v>
      </c>
      <c r="AT329" s="166">
        <v>0</v>
      </c>
      <c r="AU329" s="166">
        <v>0</v>
      </c>
      <c r="AV329" s="166">
        <v>0</v>
      </c>
      <c r="AW329" s="166">
        <v>2</v>
      </c>
      <c r="AX329" s="166">
        <v>0</v>
      </c>
      <c r="AY329" s="166">
        <v>0</v>
      </c>
      <c r="AZ329" s="166">
        <v>0</v>
      </c>
      <c r="BA329" s="166">
        <v>0</v>
      </c>
      <c r="BB329" s="166">
        <v>0</v>
      </c>
      <c r="BC329" s="166">
        <v>0</v>
      </c>
      <c r="BD329" s="166">
        <v>0</v>
      </c>
      <c r="BE329" s="166">
        <v>0</v>
      </c>
      <c r="BF329" s="166">
        <v>0</v>
      </c>
      <c r="BG329" s="166">
        <v>0</v>
      </c>
      <c r="BH329" s="166">
        <v>0</v>
      </c>
      <c r="BI329" s="166">
        <v>0</v>
      </c>
      <c r="BJ329" s="166">
        <v>0</v>
      </c>
      <c r="BK329" s="166">
        <v>0</v>
      </c>
      <c r="BL329" s="166">
        <v>0</v>
      </c>
      <c r="BM329" s="166">
        <v>0</v>
      </c>
      <c r="BN329" s="166">
        <v>0</v>
      </c>
      <c r="BO329" s="166">
        <v>0</v>
      </c>
      <c r="BP329" s="166">
        <v>0</v>
      </c>
      <c r="BQ329" s="81" t="s">
        <v>1758</v>
      </c>
      <c r="BY329" s="81" t="s">
        <v>155</v>
      </c>
      <c r="BZ329" s="81" t="s">
        <v>155</v>
      </c>
      <c r="CA329" s="81" t="s">
        <v>3981</v>
      </c>
      <c r="CC329" s="167">
        <v>0</v>
      </c>
      <c r="CD329" s="167">
        <f>$N329/2</f>
        <v>1</v>
      </c>
      <c r="CE329" s="167">
        <f>$N329/2</f>
        <v>1</v>
      </c>
      <c r="CF329" s="167">
        <v>0</v>
      </c>
      <c r="CG329" s="167">
        <v>0</v>
      </c>
      <c r="CH329" s="167">
        <v>0</v>
      </c>
      <c r="CI329" s="167">
        <v>0</v>
      </c>
      <c r="CJ329" s="167">
        <v>0</v>
      </c>
      <c r="CK329" s="167">
        <v>0</v>
      </c>
      <c r="CL329" s="167">
        <v>0</v>
      </c>
      <c r="CM329" s="167">
        <v>0</v>
      </c>
      <c r="CN329" s="167">
        <v>0</v>
      </c>
      <c r="CO329" s="167">
        <v>0</v>
      </c>
      <c r="CP329" s="167">
        <v>0</v>
      </c>
      <c r="CQ329" s="167">
        <v>0</v>
      </c>
      <c r="CR329" s="167">
        <v>0</v>
      </c>
      <c r="CS329" s="167">
        <v>0</v>
      </c>
      <c r="CT329" s="167">
        <v>0</v>
      </c>
      <c r="CU329" s="167">
        <v>0</v>
      </c>
      <c r="CV329" s="167">
        <v>0</v>
      </c>
      <c r="CW329" s="167">
        <v>0</v>
      </c>
      <c r="CX329" s="167">
        <f>SUM(CD329:CH329)</f>
        <v>2</v>
      </c>
      <c r="CY329" s="167">
        <f>SUM(CD329:CM329)</f>
        <v>2</v>
      </c>
    </row>
    <row r="330" spans="1:103" ht="12.75" customHeight="1" x14ac:dyDescent="0.2">
      <c r="A330" s="81">
        <v>2825</v>
      </c>
      <c r="B330" s="165" t="s">
        <v>1908</v>
      </c>
      <c r="C330" s="165" t="s">
        <v>1076</v>
      </c>
      <c r="E330" s="165" t="s">
        <v>2305</v>
      </c>
      <c r="G330" s="81">
        <v>527106</v>
      </c>
      <c r="H330" s="81">
        <v>173327</v>
      </c>
      <c r="I330" s="165" t="s">
        <v>260</v>
      </c>
      <c r="J330" s="349">
        <v>42825</v>
      </c>
      <c r="L330" s="166">
        <v>1</v>
      </c>
      <c r="M330" s="166">
        <v>1</v>
      </c>
      <c r="N330" s="166">
        <v>0</v>
      </c>
      <c r="O330" s="166">
        <v>1</v>
      </c>
      <c r="P330" s="166">
        <v>0</v>
      </c>
      <c r="R330" s="165" t="s">
        <v>1077</v>
      </c>
      <c r="S330" s="81" t="s">
        <v>113</v>
      </c>
      <c r="T330" s="349">
        <v>42692</v>
      </c>
      <c r="U330" s="349">
        <v>42824</v>
      </c>
      <c r="W330" s="81" t="s">
        <v>114</v>
      </c>
      <c r="Y330" s="81" t="s">
        <v>115</v>
      </c>
      <c r="Z330" s="81" t="s">
        <v>116</v>
      </c>
      <c r="AA330" s="81" t="s">
        <v>117</v>
      </c>
      <c r="AB330" s="81" t="s">
        <v>218</v>
      </c>
      <c r="AC330" s="166">
        <v>9.3000002205371898E-2</v>
      </c>
      <c r="AD330" s="349">
        <v>42825</v>
      </c>
      <c r="AG330" s="81" t="s">
        <v>238</v>
      </c>
      <c r="AH330" s="81" t="s">
        <v>118</v>
      </c>
      <c r="AK330" s="166">
        <v>0</v>
      </c>
      <c r="AM330" s="166">
        <v>0</v>
      </c>
      <c r="AO330" s="166">
        <v>0</v>
      </c>
      <c r="AP330" s="166">
        <v>0</v>
      </c>
      <c r="AQ330" s="166">
        <v>0</v>
      </c>
      <c r="AR330" s="166">
        <v>0</v>
      </c>
      <c r="AS330" s="166">
        <v>0</v>
      </c>
      <c r="AT330" s="166">
        <v>0</v>
      </c>
      <c r="AU330" s="166">
        <v>0</v>
      </c>
      <c r="AV330" s="166">
        <v>0</v>
      </c>
      <c r="AW330" s="166">
        <v>0</v>
      </c>
      <c r="AX330" s="166">
        <v>0</v>
      </c>
      <c r="AY330" s="166">
        <v>0</v>
      </c>
      <c r="AZ330" s="166">
        <v>0</v>
      </c>
      <c r="BA330" s="166">
        <v>0</v>
      </c>
      <c r="BB330" s="166">
        <v>0</v>
      </c>
      <c r="BC330" s="166">
        <v>0</v>
      </c>
      <c r="BD330" s="166">
        <v>0</v>
      </c>
      <c r="BE330" s="166">
        <v>0</v>
      </c>
      <c r="BF330" s="166">
        <v>0</v>
      </c>
      <c r="BG330" s="166">
        <v>0</v>
      </c>
      <c r="BH330" s="166">
        <v>0</v>
      </c>
      <c r="BI330" s="166">
        <v>0</v>
      </c>
      <c r="BJ330" s="166">
        <v>0</v>
      </c>
      <c r="BK330" s="166">
        <v>0</v>
      </c>
      <c r="BL330" s="166">
        <v>0</v>
      </c>
      <c r="BM330" s="166">
        <v>0</v>
      </c>
      <c r="BN330" s="166">
        <v>0</v>
      </c>
      <c r="BO330" s="166">
        <v>0</v>
      </c>
      <c r="BP330" s="166">
        <v>0</v>
      </c>
      <c r="BQ330" s="81" t="s">
        <v>1758</v>
      </c>
      <c r="BZ330" s="81" t="s">
        <v>155</v>
      </c>
      <c r="CA330" s="81" t="s">
        <v>3976</v>
      </c>
      <c r="CC330" s="167">
        <v>0</v>
      </c>
      <c r="CD330" s="167">
        <f>N330</f>
        <v>0</v>
      </c>
      <c r="CE330" s="167">
        <v>0</v>
      </c>
      <c r="CF330" s="167">
        <v>0</v>
      </c>
      <c r="CG330" s="167">
        <v>0</v>
      </c>
      <c r="CH330" s="167">
        <v>0</v>
      </c>
      <c r="CI330" s="167">
        <v>0</v>
      </c>
      <c r="CJ330" s="167">
        <v>0</v>
      </c>
      <c r="CK330" s="167">
        <v>0</v>
      </c>
      <c r="CL330" s="167">
        <v>0</v>
      </c>
      <c r="CM330" s="167">
        <v>0</v>
      </c>
      <c r="CN330" s="167">
        <v>0</v>
      </c>
      <c r="CO330" s="167">
        <v>0</v>
      </c>
      <c r="CP330" s="167">
        <v>0</v>
      </c>
      <c r="CQ330" s="167">
        <v>0</v>
      </c>
      <c r="CR330" s="167">
        <v>0</v>
      </c>
      <c r="CS330" s="167">
        <v>0</v>
      </c>
      <c r="CT330" s="167">
        <v>0</v>
      </c>
      <c r="CU330" s="167">
        <v>0</v>
      </c>
      <c r="CV330" s="167">
        <v>0</v>
      </c>
      <c r="CW330" s="167">
        <v>0</v>
      </c>
      <c r="CX330" s="167">
        <f>SUM(CD330:CH330)</f>
        <v>0</v>
      </c>
      <c r="CY330" s="167">
        <f>SUM(CD330:CM330)</f>
        <v>0</v>
      </c>
    </row>
    <row r="331" spans="1:103" ht="12.75" customHeight="1" x14ac:dyDescent="0.2">
      <c r="A331" s="81">
        <v>3035</v>
      </c>
      <c r="B331" s="165" t="s">
        <v>1908</v>
      </c>
      <c r="C331" s="165" t="s">
        <v>107</v>
      </c>
      <c r="E331" s="165" t="s">
        <v>2080</v>
      </c>
      <c r="G331" s="81">
        <v>524067</v>
      </c>
      <c r="H331" s="81">
        <v>175351</v>
      </c>
      <c r="I331" s="165" t="s">
        <v>259</v>
      </c>
      <c r="J331" s="349">
        <v>42270</v>
      </c>
      <c r="L331" s="166">
        <v>7</v>
      </c>
      <c r="M331" s="166">
        <v>12</v>
      </c>
      <c r="N331" s="166">
        <v>5</v>
      </c>
      <c r="O331" s="166">
        <v>12</v>
      </c>
      <c r="P331" s="166">
        <v>5</v>
      </c>
      <c r="Q331" s="81" t="s">
        <v>155</v>
      </c>
      <c r="R331" s="165" t="s">
        <v>744</v>
      </c>
      <c r="S331" s="81" t="s">
        <v>113</v>
      </c>
      <c r="T331" s="349">
        <v>41347</v>
      </c>
      <c r="U331" s="349">
        <v>41404</v>
      </c>
      <c r="W331" s="81" t="s">
        <v>114</v>
      </c>
      <c r="Y331" s="81" t="s">
        <v>115</v>
      </c>
      <c r="Z331" s="81" t="s">
        <v>398</v>
      </c>
      <c r="AA331" s="81" t="s">
        <v>116</v>
      </c>
      <c r="AB331" s="81" t="s">
        <v>117</v>
      </c>
      <c r="AC331" s="166">
        <v>1.09999999403954E-2</v>
      </c>
      <c r="AD331" s="349">
        <v>42270</v>
      </c>
      <c r="AG331" s="81" t="s">
        <v>238</v>
      </c>
      <c r="AH331" s="81" t="s">
        <v>118</v>
      </c>
      <c r="AK331" s="166">
        <v>0</v>
      </c>
      <c r="AM331" s="166">
        <v>0</v>
      </c>
      <c r="AO331" s="166">
        <v>0</v>
      </c>
      <c r="AP331" s="166">
        <v>5</v>
      </c>
      <c r="AQ331" s="166">
        <v>2</v>
      </c>
      <c r="AR331" s="166">
        <v>-1</v>
      </c>
      <c r="AS331" s="166">
        <v>-1</v>
      </c>
      <c r="AT331" s="166">
        <v>0</v>
      </c>
      <c r="AU331" s="166">
        <v>0</v>
      </c>
      <c r="AV331" s="166">
        <v>0</v>
      </c>
      <c r="AW331" s="166">
        <v>5</v>
      </c>
      <c r="AX331" s="166">
        <v>2</v>
      </c>
      <c r="AY331" s="166">
        <v>-1</v>
      </c>
      <c r="AZ331" s="166">
        <v>-1</v>
      </c>
      <c r="BA331" s="166">
        <v>0</v>
      </c>
      <c r="BB331" s="166">
        <v>0</v>
      </c>
      <c r="BC331" s="166">
        <v>0</v>
      </c>
      <c r="BD331" s="166">
        <v>0</v>
      </c>
      <c r="BE331" s="166">
        <v>0</v>
      </c>
      <c r="BF331" s="166">
        <v>0</v>
      </c>
      <c r="BG331" s="166">
        <v>0</v>
      </c>
      <c r="BH331" s="166">
        <v>0</v>
      </c>
      <c r="BI331" s="166">
        <v>0</v>
      </c>
      <c r="BJ331" s="166">
        <v>0</v>
      </c>
      <c r="BK331" s="166">
        <v>0</v>
      </c>
      <c r="BL331" s="166">
        <v>0</v>
      </c>
      <c r="BM331" s="166">
        <v>0</v>
      </c>
      <c r="BN331" s="166">
        <v>0</v>
      </c>
      <c r="BO331" s="166">
        <v>0</v>
      </c>
      <c r="BP331" s="166">
        <v>0</v>
      </c>
      <c r="BQ331" s="81" t="s">
        <v>1758</v>
      </c>
      <c r="BR331" s="81" t="s">
        <v>161</v>
      </c>
      <c r="BZ331" s="81" t="s">
        <v>155</v>
      </c>
      <c r="CA331" s="81" t="s">
        <v>3976</v>
      </c>
      <c r="CC331" s="167">
        <v>0</v>
      </c>
      <c r="CD331" s="167">
        <f>N331</f>
        <v>5</v>
      </c>
      <c r="CE331" s="167">
        <v>0</v>
      </c>
      <c r="CF331" s="167">
        <v>0</v>
      </c>
      <c r="CG331" s="167">
        <v>0</v>
      </c>
      <c r="CH331" s="167">
        <v>0</v>
      </c>
      <c r="CI331" s="167">
        <v>0</v>
      </c>
      <c r="CJ331" s="167">
        <v>0</v>
      </c>
      <c r="CK331" s="167">
        <v>0</v>
      </c>
      <c r="CL331" s="167">
        <v>0</v>
      </c>
      <c r="CM331" s="167">
        <v>0</v>
      </c>
      <c r="CN331" s="167">
        <v>0</v>
      </c>
      <c r="CO331" s="167">
        <v>0</v>
      </c>
      <c r="CP331" s="167">
        <v>0</v>
      </c>
      <c r="CQ331" s="167">
        <v>0</v>
      </c>
      <c r="CR331" s="167">
        <v>0</v>
      </c>
      <c r="CS331" s="167">
        <v>0</v>
      </c>
      <c r="CT331" s="167">
        <v>0</v>
      </c>
      <c r="CU331" s="167">
        <v>0</v>
      </c>
      <c r="CV331" s="167">
        <v>0</v>
      </c>
      <c r="CW331" s="167">
        <v>0</v>
      </c>
      <c r="CX331" s="167">
        <f>SUM(CD331:CH331)</f>
        <v>5</v>
      </c>
      <c r="CY331" s="167">
        <f>SUM(CD331:CM331)</f>
        <v>5</v>
      </c>
    </row>
    <row r="332" spans="1:103" ht="12.75" customHeight="1" x14ac:dyDescent="0.2">
      <c r="A332" s="81">
        <v>3265</v>
      </c>
      <c r="B332" s="165" t="s">
        <v>1908</v>
      </c>
      <c r="C332" s="165" t="s">
        <v>3411</v>
      </c>
      <c r="E332" s="165" t="s">
        <v>3412</v>
      </c>
      <c r="G332" s="81">
        <v>524466</v>
      </c>
      <c r="H332" s="81">
        <v>175195</v>
      </c>
      <c r="I332" s="165" t="s">
        <v>259</v>
      </c>
      <c r="J332" s="349">
        <v>43190</v>
      </c>
      <c r="L332" s="166">
        <v>0</v>
      </c>
      <c r="M332" s="166">
        <v>1</v>
      </c>
      <c r="N332" s="166">
        <v>1</v>
      </c>
      <c r="O332" s="166">
        <v>1</v>
      </c>
      <c r="P332" s="166">
        <v>1</v>
      </c>
      <c r="R332" s="165" t="s">
        <v>3413</v>
      </c>
      <c r="S332" s="81" t="s">
        <v>113</v>
      </c>
      <c r="T332" s="349">
        <v>42978</v>
      </c>
      <c r="U332" s="349">
        <v>43034</v>
      </c>
      <c r="V332" s="81" t="s">
        <v>155</v>
      </c>
      <c r="W332" s="81" t="s">
        <v>114</v>
      </c>
      <c r="Y332" s="81" t="s">
        <v>115</v>
      </c>
      <c r="Z332" s="81" t="s">
        <v>398</v>
      </c>
      <c r="AA332" s="81" t="s">
        <v>117</v>
      </c>
      <c r="AB332" s="81" t="s">
        <v>399</v>
      </c>
      <c r="AC332" s="166">
        <v>1.9999999552965199E-2</v>
      </c>
      <c r="AD332" s="349">
        <v>43190</v>
      </c>
      <c r="AE332" s="81" t="s">
        <v>155</v>
      </c>
      <c r="AG332" s="81" t="s">
        <v>238</v>
      </c>
      <c r="AH332" s="81" t="s">
        <v>118</v>
      </c>
      <c r="AK332" s="166">
        <v>0</v>
      </c>
      <c r="AM332" s="166">
        <v>0</v>
      </c>
      <c r="AO332" s="166">
        <v>0</v>
      </c>
      <c r="AP332" s="166">
        <v>0</v>
      </c>
      <c r="AQ332" s="166">
        <v>0</v>
      </c>
      <c r="AR332" s="166">
        <v>0</v>
      </c>
      <c r="AS332" s="166">
        <v>1</v>
      </c>
      <c r="AT332" s="166">
        <v>0</v>
      </c>
      <c r="AU332" s="166">
        <v>0</v>
      </c>
      <c r="AV332" s="166">
        <v>0</v>
      </c>
      <c r="AW332" s="166">
        <v>0</v>
      </c>
      <c r="AX332" s="166">
        <v>0</v>
      </c>
      <c r="AY332" s="166">
        <v>0</v>
      </c>
      <c r="AZ332" s="166">
        <v>0</v>
      </c>
      <c r="BA332" s="166">
        <v>0</v>
      </c>
      <c r="BB332" s="166">
        <v>0</v>
      </c>
      <c r="BC332" s="166">
        <v>0</v>
      </c>
      <c r="BD332" s="166">
        <v>0</v>
      </c>
      <c r="BE332" s="166">
        <v>0</v>
      </c>
      <c r="BF332" s="166">
        <v>0</v>
      </c>
      <c r="BG332" s="166">
        <v>1</v>
      </c>
      <c r="BH332" s="166">
        <v>0</v>
      </c>
      <c r="BI332" s="166">
        <v>0</v>
      </c>
      <c r="BJ332" s="166">
        <v>0</v>
      </c>
      <c r="BK332" s="166">
        <v>0</v>
      </c>
      <c r="BL332" s="166">
        <v>0</v>
      </c>
      <c r="BM332" s="166">
        <v>0</v>
      </c>
      <c r="BN332" s="166">
        <v>0</v>
      </c>
      <c r="BO332" s="166">
        <v>0</v>
      </c>
      <c r="BP332" s="166">
        <v>0</v>
      </c>
      <c r="BQ332" s="81" t="s">
        <v>1758</v>
      </c>
      <c r="BZ332" s="81" t="s">
        <v>155</v>
      </c>
      <c r="CA332" s="81" t="s">
        <v>3981</v>
      </c>
      <c r="CC332" s="167">
        <v>0</v>
      </c>
      <c r="CD332" s="167">
        <f>$N332/2</f>
        <v>0.5</v>
      </c>
      <c r="CE332" s="167">
        <f>$N332/2</f>
        <v>0.5</v>
      </c>
      <c r="CF332" s="167">
        <v>0</v>
      </c>
      <c r="CG332" s="167">
        <v>0</v>
      </c>
      <c r="CH332" s="167">
        <v>0</v>
      </c>
      <c r="CI332" s="167">
        <v>0</v>
      </c>
      <c r="CJ332" s="167">
        <v>0</v>
      </c>
      <c r="CK332" s="167">
        <v>0</v>
      </c>
      <c r="CL332" s="167">
        <v>0</v>
      </c>
      <c r="CM332" s="167">
        <v>0</v>
      </c>
      <c r="CN332" s="167">
        <v>0</v>
      </c>
      <c r="CO332" s="167">
        <v>0</v>
      </c>
      <c r="CP332" s="167">
        <v>0</v>
      </c>
      <c r="CQ332" s="167">
        <v>0</v>
      </c>
      <c r="CR332" s="167">
        <v>0</v>
      </c>
      <c r="CS332" s="167">
        <v>0</v>
      </c>
      <c r="CT332" s="167">
        <v>0</v>
      </c>
      <c r="CU332" s="167">
        <v>0</v>
      </c>
      <c r="CV332" s="167">
        <v>0</v>
      </c>
      <c r="CW332" s="167">
        <v>0</v>
      </c>
      <c r="CX332" s="167">
        <f>SUM(CD332:CH332)</f>
        <v>1</v>
      </c>
      <c r="CY332" s="167">
        <f>SUM(CD332:CM332)</f>
        <v>1</v>
      </c>
    </row>
    <row r="333" spans="1:103" ht="12.75" customHeight="1" x14ac:dyDescent="0.2">
      <c r="A333" s="81">
        <v>3266</v>
      </c>
      <c r="B333" s="165" t="s">
        <v>1908</v>
      </c>
      <c r="C333" s="165" t="s">
        <v>594</v>
      </c>
      <c r="E333" s="165" t="s">
        <v>2372</v>
      </c>
      <c r="G333" s="81">
        <v>526086</v>
      </c>
      <c r="H333" s="81">
        <v>172456</v>
      </c>
      <c r="I333" s="165" t="s">
        <v>249</v>
      </c>
      <c r="J333" s="349">
        <v>43190</v>
      </c>
      <c r="L333" s="166">
        <v>0</v>
      </c>
      <c r="M333" s="166">
        <v>8</v>
      </c>
      <c r="N333" s="166">
        <v>8</v>
      </c>
      <c r="O333" s="166">
        <v>8</v>
      </c>
      <c r="P333" s="166">
        <v>8</v>
      </c>
      <c r="R333" s="165" t="s">
        <v>595</v>
      </c>
      <c r="S333" s="81" t="s">
        <v>113</v>
      </c>
      <c r="T333" s="349">
        <v>42170</v>
      </c>
      <c r="U333" s="349">
        <v>42264</v>
      </c>
      <c r="W333" s="81" t="s">
        <v>114</v>
      </c>
      <c r="Y333" s="81" t="s">
        <v>115</v>
      </c>
      <c r="Z333" s="81" t="s">
        <v>116</v>
      </c>
      <c r="AA333" s="81" t="s">
        <v>117</v>
      </c>
      <c r="AB333" s="81" t="s">
        <v>218</v>
      </c>
      <c r="AC333" s="166">
        <v>2.8000000864267301E-2</v>
      </c>
      <c r="AD333" s="349">
        <v>43190</v>
      </c>
      <c r="AE333" s="81" t="s">
        <v>155</v>
      </c>
      <c r="AG333" s="81" t="s">
        <v>238</v>
      </c>
      <c r="AH333" s="81" t="s">
        <v>118</v>
      </c>
      <c r="AK333" s="166">
        <v>8</v>
      </c>
      <c r="AM333" s="166">
        <v>0</v>
      </c>
      <c r="AO333" s="166">
        <v>0</v>
      </c>
      <c r="AP333" s="166">
        <v>4</v>
      </c>
      <c r="AQ333" s="166">
        <v>3</v>
      </c>
      <c r="AR333" s="166">
        <v>1</v>
      </c>
      <c r="AS333" s="166">
        <v>0</v>
      </c>
      <c r="AT333" s="166">
        <v>0</v>
      </c>
      <c r="AU333" s="166">
        <v>0</v>
      </c>
      <c r="AV333" s="166">
        <v>0</v>
      </c>
      <c r="AW333" s="166">
        <v>4</v>
      </c>
      <c r="AX333" s="166">
        <v>3</v>
      </c>
      <c r="AY333" s="166">
        <v>1</v>
      </c>
      <c r="AZ333" s="166">
        <v>0</v>
      </c>
      <c r="BA333" s="166">
        <v>0</v>
      </c>
      <c r="BB333" s="166">
        <v>0</v>
      </c>
      <c r="BC333" s="166">
        <v>0</v>
      </c>
      <c r="BD333" s="166">
        <v>0</v>
      </c>
      <c r="BE333" s="166">
        <v>0</v>
      </c>
      <c r="BF333" s="166">
        <v>0</v>
      </c>
      <c r="BG333" s="166">
        <v>0</v>
      </c>
      <c r="BH333" s="166">
        <v>0</v>
      </c>
      <c r="BI333" s="166">
        <v>0</v>
      </c>
      <c r="BJ333" s="166">
        <v>0</v>
      </c>
      <c r="BK333" s="166">
        <v>0</v>
      </c>
      <c r="BL333" s="166">
        <v>0</v>
      </c>
      <c r="BM333" s="166">
        <v>0</v>
      </c>
      <c r="BN333" s="166">
        <v>0</v>
      </c>
      <c r="BO333" s="166">
        <v>0</v>
      </c>
      <c r="BP333" s="166">
        <v>0</v>
      </c>
      <c r="BQ333" s="81" t="s">
        <v>1758</v>
      </c>
      <c r="BY333" s="81" t="s">
        <v>155</v>
      </c>
      <c r="BZ333" s="81" t="s">
        <v>155</v>
      </c>
      <c r="CA333" s="81" t="s">
        <v>3977</v>
      </c>
      <c r="CC333" s="167">
        <v>0</v>
      </c>
      <c r="CD333" s="167">
        <f>$N333/2</f>
        <v>4</v>
      </c>
      <c r="CE333" s="167">
        <f>$N333/2</f>
        <v>4</v>
      </c>
      <c r="CF333" s="167">
        <v>0</v>
      </c>
      <c r="CG333" s="167">
        <v>0</v>
      </c>
      <c r="CH333" s="167">
        <v>0</v>
      </c>
      <c r="CI333" s="167">
        <v>0</v>
      </c>
      <c r="CJ333" s="167">
        <v>0</v>
      </c>
      <c r="CK333" s="167">
        <v>0</v>
      </c>
      <c r="CL333" s="167">
        <v>0</v>
      </c>
      <c r="CM333" s="167">
        <v>0</v>
      </c>
      <c r="CN333" s="167">
        <v>0</v>
      </c>
      <c r="CO333" s="167">
        <v>0</v>
      </c>
      <c r="CP333" s="167">
        <v>0</v>
      </c>
      <c r="CQ333" s="167">
        <v>0</v>
      </c>
      <c r="CR333" s="167">
        <v>0</v>
      </c>
      <c r="CS333" s="167">
        <v>0</v>
      </c>
      <c r="CT333" s="167">
        <v>0</v>
      </c>
      <c r="CU333" s="167">
        <v>0</v>
      </c>
      <c r="CV333" s="167">
        <v>0</v>
      </c>
      <c r="CW333" s="167">
        <v>0</v>
      </c>
      <c r="CX333" s="167">
        <f>SUM(CD333:CH333)</f>
        <v>8</v>
      </c>
      <c r="CY333" s="167">
        <f>SUM(CD333:CM333)</f>
        <v>8</v>
      </c>
    </row>
    <row r="334" spans="1:103" ht="12.75" customHeight="1" x14ac:dyDescent="0.2">
      <c r="A334" s="81">
        <v>3415</v>
      </c>
      <c r="B334" s="165" t="s">
        <v>1908</v>
      </c>
      <c r="C334" s="165" t="s">
        <v>1703</v>
      </c>
      <c r="E334" s="165" t="s">
        <v>3414</v>
      </c>
      <c r="G334" s="81">
        <v>528454</v>
      </c>
      <c r="H334" s="81">
        <v>173134</v>
      </c>
      <c r="I334" s="165" t="s">
        <v>254</v>
      </c>
      <c r="J334" s="349">
        <v>42879</v>
      </c>
      <c r="L334" s="166">
        <v>3</v>
      </c>
      <c r="M334" s="166">
        <v>4</v>
      </c>
      <c r="N334" s="166">
        <v>1</v>
      </c>
      <c r="O334" s="166">
        <v>4</v>
      </c>
      <c r="P334" s="166">
        <v>1</v>
      </c>
      <c r="R334" s="165" t="s">
        <v>1704</v>
      </c>
      <c r="S334" s="81" t="s">
        <v>113</v>
      </c>
      <c r="T334" s="349">
        <v>42529</v>
      </c>
      <c r="U334" s="349">
        <v>42585</v>
      </c>
      <c r="W334" s="81" t="s">
        <v>114</v>
      </c>
      <c r="Y334" s="81" t="s">
        <v>115</v>
      </c>
      <c r="Z334" s="81" t="s">
        <v>398</v>
      </c>
      <c r="AA334" s="81" t="s">
        <v>117</v>
      </c>
      <c r="AB334" s="81" t="s">
        <v>220</v>
      </c>
      <c r="AC334" s="166">
        <v>9.9999997764825804E-3</v>
      </c>
      <c r="AD334" s="349">
        <v>42879</v>
      </c>
      <c r="AE334" s="81" t="s">
        <v>155</v>
      </c>
      <c r="AG334" s="81" t="s">
        <v>238</v>
      </c>
      <c r="AH334" s="81" t="s">
        <v>118</v>
      </c>
      <c r="AK334" s="166">
        <v>0</v>
      </c>
      <c r="AM334" s="166">
        <v>0</v>
      </c>
      <c r="AO334" s="166">
        <v>0</v>
      </c>
      <c r="AP334" s="166">
        <v>-1</v>
      </c>
      <c r="AQ334" s="166">
        <v>2</v>
      </c>
      <c r="AR334" s="166">
        <v>0</v>
      </c>
      <c r="AS334" s="166">
        <v>0</v>
      </c>
      <c r="AT334" s="166">
        <v>0</v>
      </c>
      <c r="AU334" s="166">
        <v>0</v>
      </c>
      <c r="AV334" s="166">
        <v>0</v>
      </c>
      <c r="AW334" s="166">
        <v>-1</v>
      </c>
      <c r="AX334" s="166">
        <v>2</v>
      </c>
      <c r="AY334" s="166">
        <v>0</v>
      </c>
      <c r="AZ334" s="166">
        <v>0</v>
      </c>
      <c r="BA334" s="166">
        <v>0</v>
      </c>
      <c r="BB334" s="166">
        <v>0</v>
      </c>
      <c r="BC334" s="166">
        <v>0</v>
      </c>
      <c r="BD334" s="166">
        <v>0</v>
      </c>
      <c r="BE334" s="166">
        <v>0</v>
      </c>
      <c r="BF334" s="166">
        <v>0</v>
      </c>
      <c r="BG334" s="166">
        <v>0</v>
      </c>
      <c r="BH334" s="166">
        <v>0</v>
      </c>
      <c r="BI334" s="166">
        <v>0</v>
      </c>
      <c r="BJ334" s="166">
        <v>0</v>
      </c>
      <c r="BK334" s="166">
        <v>0</v>
      </c>
      <c r="BL334" s="166">
        <v>0</v>
      </c>
      <c r="BM334" s="166">
        <v>0</v>
      </c>
      <c r="BN334" s="166">
        <v>0</v>
      </c>
      <c r="BO334" s="166">
        <v>0</v>
      </c>
      <c r="BP334" s="166">
        <v>0</v>
      </c>
      <c r="BQ334" s="81" t="s">
        <v>1757</v>
      </c>
      <c r="BZ334" s="81" t="s">
        <v>155</v>
      </c>
      <c r="CA334" s="81" t="s">
        <v>3980</v>
      </c>
      <c r="CC334" s="167">
        <v>0</v>
      </c>
      <c r="CD334" s="167">
        <f>N334</f>
        <v>1</v>
      </c>
      <c r="CE334" s="167">
        <v>0</v>
      </c>
      <c r="CF334" s="167">
        <v>0</v>
      </c>
      <c r="CG334" s="167">
        <v>0</v>
      </c>
      <c r="CH334" s="167">
        <v>0</v>
      </c>
      <c r="CI334" s="167">
        <v>0</v>
      </c>
      <c r="CJ334" s="167">
        <v>0</v>
      </c>
      <c r="CK334" s="167">
        <v>0</v>
      </c>
      <c r="CL334" s="167">
        <v>0</v>
      </c>
      <c r="CM334" s="167">
        <v>0</v>
      </c>
      <c r="CN334" s="167">
        <v>0</v>
      </c>
      <c r="CO334" s="167">
        <v>0</v>
      </c>
      <c r="CP334" s="167">
        <v>0</v>
      </c>
      <c r="CQ334" s="167">
        <v>0</v>
      </c>
      <c r="CR334" s="167">
        <v>0</v>
      </c>
      <c r="CS334" s="167">
        <v>0</v>
      </c>
      <c r="CT334" s="167">
        <v>0</v>
      </c>
      <c r="CU334" s="167">
        <v>0</v>
      </c>
      <c r="CV334" s="167">
        <v>0</v>
      </c>
      <c r="CW334" s="167">
        <v>0</v>
      </c>
      <c r="CX334" s="167">
        <f>SUM(CD334:CH334)</f>
        <v>1</v>
      </c>
      <c r="CY334" s="167">
        <f>SUM(CD334:CM334)</f>
        <v>1</v>
      </c>
    </row>
    <row r="335" spans="1:103" ht="12.75" customHeight="1" x14ac:dyDescent="0.2">
      <c r="A335" s="81">
        <v>3501</v>
      </c>
      <c r="B335" s="165" t="s">
        <v>1908</v>
      </c>
      <c r="C335" s="165" t="s">
        <v>442</v>
      </c>
      <c r="E335" s="165" t="s">
        <v>2081</v>
      </c>
      <c r="F335" s="165" t="s">
        <v>2373</v>
      </c>
      <c r="G335" s="81">
        <v>526469</v>
      </c>
      <c r="H335" s="81">
        <v>175635</v>
      </c>
      <c r="I335" s="165" t="s">
        <v>257</v>
      </c>
      <c r="J335" s="349">
        <v>42275</v>
      </c>
      <c r="L335" s="166">
        <v>0</v>
      </c>
      <c r="M335" s="166">
        <v>29</v>
      </c>
      <c r="N335" s="166">
        <v>29</v>
      </c>
      <c r="O335" s="166">
        <v>51</v>
      </c>
      <c r="P335" s="166">
        <v>51</v>
      </c>
      <c r="Q335" s="81" t="s">
        <v>155</v>
      </c>
      <c r="R335" s="165" t="s">
        <v>754</v>
      </c>
      <c r="S335" s="81" t="s">
        <v>104</v>
      </c>
      <c r="T335" s="349">
        <v>41862</v>
      </c>
      <c r="U335" s="349">
        <v>42179</v>
      </c>
      <c r="W335" s="81" t="s">
        <v>114</v>
      </c>
      <c r="Y335" s="81" t="s">
        <v>115</v>
      </c>
      <c r="Z335" s="81" t="s">
        <v>116</v>
      </c>
      <c r="AA335" s="81" t="s">
        <v>116</v>
      </c>
      <c r="AB335" s="81" t="s">
        <v>117</v>
      </c>
      <c r="AC335" s="166">
        <v>7.0000000298023196E-2</v>
      </c>
      <c r="AD335" s="349">
        <v>42275</v>
      </c>
      <c r="AG335" s="81" t="s">
        <v>238</v>
      </c>
      <c r="AH335" s="81" t="s">
        <v>118</v>
      </c>
      <c r="AI335" s="81" t="s">
        <v>2083</v>
      </c>
      <c r="AK335" s="166">
        <v>29</v>
      </c>
      <c r="AM335" s="166">
        <v>0</v>
      </c>
      <c r="AO335" s="166">
        <v>0</v>
      </c>
      <c r="AP335" s="166">
        <v>9</v>
      </c>
      <c r="AQ335" s="166">
        <v>18</v>
      </c>
      <c r="AR335" s="166">
        <v>2</v>
      </c>
      <c r="AS335" s="166">
        <v>0</v>
      </c>
      <c r="AT335" s="166">
        <v>0</v>
      </c>
      <c r="AU335" s="166">
        <v>0</v>
      </c>
      <c r="AV335" s="166">
        <v>0</v>
      </c>
      <c r="AW335" s="166">
        <v>9</v>
      </c>
      <c r="AX335" s="166">
        <v>18</v>
      </c>
      <c r="AY335" s="166">
        <v>2</v>
      </c>
      <c r="AZ335" s="166">
        <v>0</v>
      </c>
      <c r="BA335" s="166">
        <v>0</v>
      </c>
      <c r="BB335" s="166">
        <v>0</v>
      </c>
      <c r="BC335" s="166">
        <v>0</v>
      </c>
      <c r="BD335" s="166">
        <v>0</v>
      </c>
      <c r="BE335" s="166">
        <v>0</v>
      </c>
      <c r="BF335" s="166">
        <v>0</v>
      </c>
      <c r="BG335" s="166">
        <v>0</v>
      </c>
      <c r="BH335" s="166">
        <v>0</v>
      </c>
      <c r="BI335" s="166">
        <v>0</v>
      </c>
      <c r="BJ335" s="166">
        <v>0</v>
      </c>
      <c r="BK335" s="166">
        <v>0</v>
      </c>
      <c r="BL335" s="166">
        <v>0</v>
      </c>
      <c r="BM335" s="166">
        <v>0</v>
      </c>
      <c r="BN335" s="166">
        <v>0</v>
      </c>
      <c r="BO335" s="166">
        <v>0</v>
      </c>
      <c r="BP335" s="166">
        <v>0</v>
      </c>
      <c r="BQ335" s="81" t="s">
        <v>1757</v>
      </c>
      <c r="BX335" s="81" t="s">
        <v>155</v>
      </c>
      <c r="BZ335" s="81" t="s">
        <v>155</v>
      </c>
      <c r="CA335" s="81" t="s">
        <v>3934</v>
      </c>
      <c r="CC335" s="167">
        <v>0</v>
      </c>
      <c r="CD335" s="167">
        <f>N335</f>
        <v>29</v>
      </c>
      <c r="CE335" s="167">
        <v>0</v>
      </c>
      <c r="CF335" s="167">
        <v>0</v>
      </c>
      <c r="CG335" s="167">
        <v>0</v>
      </c>
      <c r="CH335" s="167">
        <v>0</v>
      </c>
      <c r="CI335" s="167">
        <v>0</v>
      </c>
      <c r="CJ335" s="167">
        <v>0</v>
      </c>
      <c r="CK335" s="167">
        <v>0</v>
      </c>
      <c r="CL335" s="167">
        <v>0</v>
      </c>
      <c r="CM335" s="167">
        <v>0</v>
      </c>
      <c r="CN335" s="167">
        <v>0</v>
      </c>
      <c r="CO335" s="167">
        <v>0</v>
      </c>
      <c r="CP335" s="167">
        <v>0</v>
      </c>
      <c r="CQ335" s="167">
        <v>0</v>
      </c>
      <c r="CR335" s="167">
        <v>0</v>
      </c>
      <c r="CS335" s="167">
        <v>0</v>
      </c>
      <c r="CT335" s="167">
        <v>0</v>
      </c>
      <c r="CU335" s="167">
        <v>0</v>
      </c>
      <c r="CV335" s="167">
        <v>0</v>
      </c>
      <c r="CW335" s="167">
        <v>0</v>
      </c>
      <c r="CX335" s="167">
        <f>SUM(CD335:CH335)</f>
        <v>29</v>
      </c>
      <c r="CY335" s="167">
        <f>SUM(CD335:CM335)</f>
        <v>29</v>
      </c>
    </row>
    <row r="336" spans="1:103" ht="12.75" customHeight="1" x14ac:dyDescent="0.2">
      <c r="A336" s="81">
        <v>3501</v>
      </c>
      <c r="B336" s="165" t="s">
        <v>1908</v>
      </c>
      <c r="C336" s="165" t="s">
        <v>442</v>
      </c>
      <c r="E336" s="165" t="s">
        <v>2081</v>
      </c>
      <c r="F336" s="165" t="s">
        <v>2096</v>
      </c>
      <c r="G336" s="81">
        <v>526469</v>
      </c>
      <c r="H336" s="81">
        <v>175635</v>
      </c>
      <c r="I336" s="165" t="s">
        <v>257</v>
      </c>
      <c r="J336" s="349">
        <v>42275</v>
      </c>
      <c r="L336" s="166">
        <v>0</v>
      </c>
      <c r="M336" s="166">
        <v>5</v>
      </c>
      <c r="N336" s="166">
        <v>5</v>
      </c>
      <c r="O336" s="166">
        <v>51</v>
      </c>
      <c r="P336" s="166">
        <v>51</v>
      </c>
      <c r="Q336" s="81" t="s">
        <v>155</v>
      </c>
      <c r="R336" s="165" t="s">
        <v>754</v>
      </c>
      <c r="S336" s="81" t="s">
        <v>104</v>
      </c>
      <c r="T336" s="349">
        <v>41862</v>
      </c>
      <c r="U336" s="349">
        <v>42179</v>
      </c>
      <c r="W336" s="81" t="s">
        <v>114</v>
      </c>
      <c r="Y336" s="81" t="s">
        <v>115</v>
      </c>
      <c r="Z336" s="81" t="s">
        <v>116</v>
      </c>
      <c r="AA336" s="81" t="s">
        <v>116</v>
      </c>
      <c r="AB336" s="81" t="s">
        <v>117</v>
      </c>
      <c r="AC336" s="166">
        <v>5.9999998658895499E-2</v>
      </c>
      <c r="AD336" s="349">
        <v>42275</v>
      </c>
      <c r="AG336" s="81" t="s">
        <v>238</v>
      </c>
      <c r="AH336" s="81" t="s">
        <v>118</v>
      </c>
      <c r="AI336" s="81" t="s">
        <v>2083</v>
      </c>
      <c r="AK336" s="166">
        <v>10</v>
      </c>
      <c r="AM336" s="166">
        <v>0</v>
      </c>
      <c r="AO336" s="166">
        <v>0</v>
      </c>
      <c r="AP336" s="166">
        <v>0</v>
      </c>
      <c r="AQ336" s="166">
        <v>5</v>
      </c>
      <c r="AR336" s="166">
        <v>0</v>
      </c>
      <c r="AS336" s="166">
        <v>0</v>
      </c>
      <c r="AT336" s="166">
        <v>0</v>
      </c>
      <c r="AU336" s="166">
        <v>0</v>
      </c>
      <c r="AV336" s="166">
        <v>0</v>
      </c>
      <c r="AW336" s="166">
        <v>0</v>
      </c>
      <c r="AX336" s="166">
        <v>5</v>
      </c>
      <c r="AY336" s="166">
        <v>0</v>
      </c>
      <c r="AZ336" s="166">
        <v>0</v>
      </c>
      <c r="BA336" s="166">
        <v>0</v>
      </c>
      <c r="BB336" s="166">
        <v>0</v>
      </c>
      <c r="BC336" s="166">
        <v>0</v>
      </c>
      <c r="BD336" s="166">
        <v>0</v>
      </c>
      <c r="BE336" s="166">
        <v>0</v>
      </c>
      <c r="BF336" s="166">
        <v>0</v>
      </c>
      <c r="BG336" s="166">
        <v>0</v>
      </c>
      <c r="BH336" s="166">
        <v>0</v>
      </c>
      <c r="BI336" s="166">
        <v>0</v>
      </c>
      <c r="BJ336" s="166">
        <v>0</v>
      </c>
      <c r="BK336" s="166">
        <v>0</v>
      </c>
      <c r="BL336" s="166">
        <v>0</v>
      </c>
      <c r="BM336" s="166">
        <v>0</v>
      </c>
      <c r="BN336" s="166">
        <v>0</v>
      </c>
      <c r="BO336" s="166">
        <v>0</v>
      </c>
      <c r="BP336" s="166">
        <v>0</v>
      </c>
      <c r="BQ336" s="81" t="s">
        <v>1757</v>
      </c>
      <c r="BX336" s="81" t="s">
        <v>155</v>
      </c>
      <c r="BZ336" s="81" t="s">
        <v>155</v>
      </c>
      <c r="CA336" s="81" t="s">
        <v>3934</v>
      </c>
      <c r="CC336" s="167">
        <v>0</v>
      </c>
      <c r="CD336" s="167">
        <f>N336</f>
        <v>5</v>
      </c>
      <c r="CE336" s="167">
        <v>0</v>
      </c>
      <c r="CF336" s="167">
        <v>0</v>
      </c>
      <c r="CG336" s="167">
        <v>0</v>
      </c>
      <c r="CH336" s="167">
        <v>0</v>
      </c>
      <c r="CI336" s="167">
        <v>0</v>
      </c>
      <c r="CJ336" s="167">
        <v>0</v>
      </c>
      <c r="CK336" s="167">
        <v>0</v>
      </c>
      <c r="CL336" s="167">
        <v>0</v>
      </c>
      <c r="CM336" s="167">
        <v>0</v>
      </c>
      <c r="CN336" s="167">
        <v>0</v>
      </c>
      <c r="CO336" s="167">
        <v>0</v>
      </c>
      <c r="CP336" s="167">
        <v>0</v>
      </c>
      <c r="CQ336" s="167">
        <v>0</v>
      </c>
      <c r="CR336" s="167">
        <v>0</v>
      </c>
      <c r="CS336" s="167">
        <v>0</v>
      </c>
      <c r="CT336" s="167">
        <v>0</v>
      </c>
      <c r="CU336" s="167">
        <v>0</v>
      </c>
      <c r="CV336" s="167">
        <v>0</v>
      </c>
      <c r="CW336" s="167">
        <v>0</v>
      </c>
      <c r="CX336" s="167">
        <f>SUM(CD336:CH336)</f>
        <v>5</v>
      </c>
      <c r="CY336" s="167">
        <f>SUM(CD336:CM336)</f>
        <v>5</v>
      </c>
    </row>
    <row r="337" spans="1:103" ht="12.75" customHeight="1" x14ac:dyDescent="0.2">
      <c r="A337" s="81">
        <v>3511</v>
      </c>
      <c r="B337" s="165" t="s">
        <v>1908</v>
      </c>
      <c r="C337" s="165" t="s">
        <v>33</v>
      </c>
      <c r="D337" s="165" t="s">
        <v>34</v>
      </c>
      <c r="E337" s="165" t="s">
        <v>2412</v>
      </c>
      <c r="F337" s="165" t="s">
        <v>1089</v>
      </c>
      <c r="G337" s="81">
        <v>529369</v>
      </c>
      <c r="H337" s="81">
        <v>177317</v>
      </c>
      <c r="I337" s="165" t="s">
        <v>240</v>
      </c>
      <c r="J337" s="349">
        <v>42825</v>
      </c>
      <c r="L337" s="166">
        <v>0</v>
      </c>
      <c r="M337" s="166">
        <v>207</v>
      </c>
      <c r="N337" s="166">
        <v>207</v>
      </c>
      <c r="O337" s="166">
        <v>2971</v>
      </c>
      <c r="P337" s="166">
        <v>2971</v>
      </c>
      <c r="Q337" s="81" t="s">
        <v>155</v>
      </c>
      <c r="R337" s="165" t="s">
        <v>1090</v>
      </c>
      <c r="S337" s="81" t="s">
        <v>24</v>
      </c>
      <c r="T337" s="349">
        <v>41774</v>
      </c>
      <c r="U337" s="349">
        <v>42046</v>
      </c>
      <c r="W337" s="81" t="s">
        <v>114</v>
      </c>
      <c r="Y337" s="81" t="s">
        <v>115</v>
      </c>
      <c r="Z337" s="81" t="s">
        <v>116</v>
      </c>
      <c r="AA337" s="81" t="s">
        <v>116</v>
      </c>
      <c r="AB337" s="81" t="s">
        <v>117</v>
      </c>
      <c r="AC337" s="166">
        <v>0</v>
      </c>
      <c r="AG337" s="81" t="s">
        <v>238</v>
      </c>
      <c r="AH337" s="81" t="s">
        <v>118</v>
      </c>
      <c r="AI337" s="81" t="s">
        <v>2413</v>
      </c>
      <c r="AK337" s="166">
        <v>0</v>
      </c>
      <c r="AM337" s="166">
        <v>0</v>
      </c>
      <c r="AO337" s="166">
        <v>26</v>
      </c>
      <c r="AP337" s="166">
        <v>41</v>
      </c>
      <c r="AQ337" s="166">
        <v>124</v>
      </c>
      <c r="AR337" s="166">
        <v>16</v>
      </c>
      <c r="AS337" s="166">
        <v>0</v>
      </c>
      <c r="AT337" s="166">
        <v>0</v>
      </c>
      <c r="AU337" s="166">
        <v>0</v>
      </c>
      <c r="AV337" s="166">
        <v>26</v>
      </c>
      <c r="AW337" s="166">
        <v>41</v>
      </c>
      <c r="AX337" s="166">
        <v>124</v>
      </c>
      <c r="AY337" s="166">
        <v>16</v>
      </c>
      <c r="AZ337" s="166">
        <v>0</v>
      </c>
      <c r="BA337" s="166">
        <v>0</v>
      </c>
      <c r="BB337" s="166">
        <v>0</v>
      </c>
      <c r="BC337" s="166">
        <v>0</v>
      </c>
      <c r="BD337" s="166">
        <v>0</v>
      </c>
      <c r="BE337" s="166">
        <v>0</v>
      </c>
      <c r="BF337" s="166">
        <v>0</v>
      </c>
      <c r="BG337" s="166">
        <v>0</v>
      </c>
      <c r="BH337" s="166">
        <v>0</v>
      </c>
      <c r="BI337" s="166">
        <v>0</v>
      </c>
      <c r="BJ337" s="166">
        <v>0</v>
      </c>
      <c r="BK337" s="166">
        <v>0</v>
      </c>
      <c r="BL337" s="166">
        <v>0</v>
      </c>
      <c r="BM337" s="166">
        <v>0</v>
      </c>
      <c r="BN337" s="166">
        <v>0</v>
      </c>
      <c r="BO337" s="166">
        <v>0</v>
      </c>
      <c r="BP337" s="166">
        <v>0</v>
      </c>
      <c r="BQ337" s="81" t="s">
        <v>1759</v>
      </c>
      <c r="BS337" s="81" t="s">
        <v>155</v>
      </c>
      <c r="BZ337" s="81" t="s">
        <v>155</v>
      </c>
      <c r="CA337" s="81">
        <v>12</v>
      </c>
      <c r="CC337" s="167">
        <v>0</v>
      </c>
      <c r="CD337" s="167">
        <v>0</v>
      </c>
      <c r="CE337" s="167">
        <v>0</v>
      </c>
      <c r="CF337" s="167">
        <v>0</v>
      </c>
      <c r="CG337" s="167">
        <v>0</v>
      </c>
      <c r="CH337" s="167">
        <v>0</v>
      </c>
      <c r="CI337" s="167">
        <v>0</v>
      </c>
      <c r="CJ337" s="167">
        <v>0</v>
      </c>
      <c r="CK337" s="167">
        <v>0</v>
      </c>
      <c r="CL337" s="167">
        <v>0</v>
      </c>
      <c r="CM337" s="167">
        <v>0</v>
      </c>
      <c r="CN337" s="167">
        <v>144</v>
      </c>
      <c r="CO337" s="167">
        <v>63</v>
      </c>
      <c r="CP337" s="167">
        <v>0</v>
      </c>
      <c r="CQ337" s="167">
        <v>0</v>
      </c>
      <c r="CR337" s="167">
        <v>0</v>
      </c>
      <c r="CS337" s="167">
        <v>0</v>
      </c>
      <c r="CT337" s="167">
        <v>0</v>
      </c>
      <c r="CU337" s="167">
        <v>0</v>
      </c>
      <c r="CV337" s="167">
        <v>0</v>
      </c>
      <c r="CW337" s="167">
        <v>0</v>
      </c>
      <c r="CX337" s="167">
        <f>SUM(CD337:CH337)</f>
        <v>0</v>
      </c>
      <c r="CY337" s="167">
        <f>SUM(CD337:CM337)</f>
        <v>0</v>
      </c>
    </row>
    <row r="338" spans="1:103" ht="12.75" customHeight="1" x14ac:dyDescent="0.2">
      <c r="A338" s="81">
        <v>3511</v>
      </c>
      <c r="B338" s="165" t="s">
        <v>1908</v>
      </c>
      <c r="C338" s="165" t="s">
        <v>33</v>
      </c>
      <c r="D338" s="165" t="s">
        <v>34</v>
      </c>
      <c r="E338" s="165" t="s">
        <v>2412</v>
      </c>
      <c r="F338" s="165" t="s">
        <v>1091</v>
      </c>
      <c r="G338" s="81">
        <v>529369</v>
      </c>
      <c r="H338" s="81">
        <v>177317</v>
      </c>
      <c r="I338" s="165" t="s">
        <v>240</v>
      </c>
      <c r="J338" s="349">
        <v>42825</v>
      </c>
      <c r="L338" s="166">
        <v>0</v>
      </c>
      <c r="M338" s="166">
        <v>136</v>
      </c>
      <c r="N338" s="166">
        <v>136</v>
      </c>
      <c r="O338" s="166">
        <v>2971</v>
      </c>
      <c r="P338" s="166">
        <v>2971</v>
      </c>
      <c r="Q338" s="81" t="s">
        <v>155</v>
      </c>
      <c r="R338" s="165" t="s">
        <v>1090</v>
      </c>
      <c r="S338" s="81" t="s">
        <v>24</v>
      </c>
      <c r="T338" s="349">
        <v>41774</v>
      </c>
      <c r="U338" s="349">
        <v>42046</v>
      </c>
      <c r="W338" s="81" t="s">
        <v>114</v>
      </c>
      <c r="Y338" s="81" t="s">
        <v>115</v>
      </c>
      <c r="Z338" s="81" t="s">
        <v>116</v>
      </c>
      <c r="AA338" s="81" t="s">
        <v>116</v>
      </c>
      <c r="AB338" s="81" t="s">
        <v>117</v>
      </c>
      <c r="AC338" s="166">
        <v>0</v>
      </c>
      <c r="AG338" s="81" t="s">
        <v>238</v>
      </c>
      <c r="AH338" s="81" t="s">
        <v>118</v>
      </c>
      <c r="AI338" s="81" t="s">
        <v>2413</v>
      </c>
      <c r="AK338" s="166">
        <v>0</v>
      </c>
      <c r="AM338" s="166">
        <v>0</v>
      </c>
      <c r="AO338" s="166">
        <v>17</v>
      </c>
      <c r="AP338" s="166">
        <v>27</v>
      </c>
      <c r="AQ338" s="166">
        <v>82</v>
      </c>
      <c r="AR338" s="166">
        <v>10</v>
      </c>
      <c r="AS338" s="166">
        <v>0</v>
      </c>
      <c r="AT338" s="166">
        <v>0</v>
      </c>
      <c r="AU338" s="166">
        <v>0</v>
      </c>
      <c r="AV338" s="166">
        <v>17</v>
      </c>
      <c r="AW338" s="166">
        <v>27</v>
      </c>
      <c r="AX338" s="166">
        <v>82</v>
      </c>
      <c r="AY338" s="166">
        <v>10</v>
      </c>
      <c r="AZ338" s="166">
        <v>0</v>
      </c>
      <c r="BA338" s="166">
        <v>0</v>
      </c>
      <c r="BB338" s="166">
        <v>0</v>
      </c>
      <c r="BC338" s="166">
        <v>0</v>
      </c>
      <c r="BD338" s="166">
        <v>0</v>
      </c>
      <c r="BE338" s="166">
        <v>0</v>
      </c>
      <c r="BF338" s="166">
        <v>0</v>
      </c>
      <c r="BG338" s="166">
        <v>0</v>
      </c>
      <c r="BH338" s="166">
        <v>0</v>
      </c>
      <c r="BI338" s="166">
        <v>0</v>
      </c>
      <c r="BJ338" s="166">
        <v>0</v>
      </c>
      <c r="BK338" s="166">
        <v>0</v>
      </c>
      <c r="BL338" s="166">
        <v>0</v>
      </c>
      <c r="BM338" s="166">
        <v>0</v>
      </c>
      <c r="BN338" s="166">
        <v>0</v>
      </c>
      <c r="BO338" s="166">
        <v>0</v>
      </c>
      <c r="BP338" s="166">
        <v>0</v>
      </c>
      <c r="BQ338" s="81" t="s">
        <v>1759</v>
      </c>
      <c r="BS338" s="81" t="s">
        <v>155</v>
      </c>
      <c r="BZ338" s="81" t="s">
        <v>155</v>
      </c>
      <c r="CA338" s="81">
        <v>12</v>
      </c>
      <c r="CC338" s="167">
        <v>0</v>
      </c>
      <c r="CD338" s="167">
        <v>0</v>
      </c>
      <c r="CE338" s="167">
        <v>0</v>
      </c>
      <c r="CF338" s="167">
        <v>0</v>
      </c>
      <c r="CG338" s="167">
        <v>0</v>
      </c>
      <c r="CH338" s="167">
        <v>0</v>
      </c>
      <c r="CI338" s="167">
        <v>0</v>
      </c>
      <c r="CJ338" s="167">
        <v>0</v>
      </c>
      <c r="CK338" s="167">
        <v>0</v>
      </c>
      <c r="CL338" s="167">
        <v>0</v>
      </c>
      <c r="CM338" s="167">
        <v>0</v>
      </c>
      <c r="CN338" s="167">
        <v>0</v>
      </c>
      <c r="CO338" s="167">
        <v>136</v>
      </c>
      <c r="CP338" s="167">
        <v>0</v>
      </c>
      <c r="CQ338" s="167">
        <v>0</v>
      </c>
      <c r="CR338" s="167">
        <v>0</v>
      </c>
      <c r="CS338" s="167">
        <v>0</v>
      </c>
      <c r="CT338" s="167">
        <v>0</v>
      </c>
      <c r="CU338" s="167">
        <v>0</v>
      </c>
      <c r="CV338" s="167">
        <v>0</v>
      </c>
      <c r="CW338" s="167">
        <v>0</v>
      </c>
      <c r="CX338" s="167">
        <f>SUM(CD338:CH338)</f>
        <v>0</v>
      </c>
      <c r="CY338" s="167">
        <f>SUM(CD338:CM338)</f>
        <v>0</v>
      </c>
    </row>
    <row r="339" spans="1:103" x14ac:dyDescent="0.2">
      <c r="A339" s="81">
        <v>3511</v>
      </c>
      <c r="B339" s="165" t="s">
        <v>1908</v>
      </c>
      <c r="C339" s="165" t="s">
        <v>33</v>
      </c>
      <c r="D339" s="165" t="s">
        <v>34</v>
      </c>
      <c r="E339" s="165" t="s">
        <v>2412</v>
      </c>
      <c r="F339" s="165" t="s">
        <v>1092</v>
      </c>
      <c r="G339" s="81">
        <v>529369</v>
      </c>
      <c r="H339" s="81">
        <v>177317</v>
      </c>
      <c r="I339" s="165" t="s">
        <v>240</v>
      </c>
      <c r="J339" s="349">
        <v>42825</v>
      </c>
      <c r="L339" s="166">
        <v>0</v>
      </c>
      <c r="M339" s="166">
        <v>101</v>
      </c>
      <c r="N339" s="166">
        <v>101</v>
      </c>
      <c r="O339" s="166">
        <v>2971</v>
      </c>
      <c r="P339" s="166">
        <v>2971</v>
      </c>
      <c r="Q339" s="81" t="s">
        <v>155</v>
      </c>
      <c r="R339" s="165" t="s">
        <v>1090</v>
      </c>
      <c r="S339" s="81" t="s">
        <v>24</v>
      </c>
      <c r="T339" s="349">
        <v>41774</v>
      </c>
      <c r="U339" s="349">
        <v>42046</v>
      </c>
      <c r="W339" s="81" t="s">
        <v>114</v>
      </c>
      <c r="Y339" s="81" t="s">
        <v>115</v>
      </c>
      <c r="Z339" s="81" t="s">
        <v>116</v>
      </c>
      <c r="AA339" s="81" t="s">
        <v>116</v>
      </c>
      <c r="AB339" s="81" t="s">
        <v>117</v>
      </c>
      <c r="AC339" s="166">
        <v>1.79999995231628</v>
      </c>
      <c r="AG339" s="81" t="s">
        <v>74</v>
      </c>
      <c r="AH339" s="81" t="s">
        <v>1913</v>
      </c>
      <c r="AI339" s="81" t="s">
        <v>2413</v>
      </c>
      <c r="AK339" s="166">
        <v>0</v>
      </c>
      <c r="AM339" s="166">
        <v>0</v>
      </c>
      <c r="AO339" s="166">
        <v>0</v>
      </c>
      <c r="AP339" s="166">
        <v>45</v>
      </c>
      <c r="AQ339" s="166">
        <v>46</v>
      </c>
      <c r="AR339" s="166">
        <v>10</v>
      </c>
      <c r="AS339" s="166">
        <v>0</v>
      </c>
      <c r="AT339" s="166">
        <v>0</v>
      </c>
      <c r="AU339" s="166">
        <v>0</v>
      </c>
      <c r="AV339" s="166">
        <v>0</v>
      </c>
      <c r="AW339" s="166">
        <v>45</v>
      </c>
      <c r="AX339" s="166">
        <v>46</v>
      </c>
      <c r="AY339" s="166">
        <v>10</v>
      </c>
      <c r="AZ339" s="166">
        <v>0</v>
      </c>
      <c r="BA339" s="166">
        <v>0</v>
      </c>
      <c r="BB339" s="166">
        <v>0</v>
      </c>
      <c r="BC339" s="166">
        <v>0</v>
      </c>
      <c r="BD339" s="166">
        <v>0</v>
      </c>
      <c r="BE339" s="166">
        <v>0</v>
      </c>
      <c r="BF339" s="166">
        <v>0</v>
      </c>
      <c r="BG339" s="166">
        <v>0</v>
      </c>
      <c r="BH339" s="166">
        <v>0</v>
      </c>
      <c r="BI339" s="166">
        <v>0</v>
      </c>
      <c r="BJ339" s="166">
        <v>0</v>
      </c>
      <c r="BK339" s="166">
        <v>0</v>
      </c>
      <c r="BL339" s="166">
        <v>0</v>
      </c>
      <c r="BM339" s="166">
        <v>0</v>
      </c>
      <c r="BN339" s="166">
        <v>0</v>
      </c>
      <c r="BO339" s="166">
        <v>0</v>
      </c>
      <c r="BP339" s="166">
        <v>0</v>
      </c>
      <c r="BQ339" s="81" t="s">
        <v>1759</v>
      </c>
      <c r="BS339" s="81" t="s">
        <v>155</v>
      </c>
      <c r="BZ339" s="81" t="s">
        <v>155</v>
      </c>
      <c r="CA339" s="81">
        <v>12</v>
      </c>
      <c r="CC339" s="167">
        <v>0</v>
      </c>
      <c r="CD339" s="167">
        <v>0</v>
      </c>
      <c r="CE339" s="167">
        <v>0</v>
      </c>
      <c r="CF339" s="167">
        <v>0</v>
      </c>
      <c r="CG339" s="167">
        <v>0</v>
      </c>
      <c r="CH339" s="167">
        <v>0</v>
      </c>
      <c r="CI339" s="167">
        <v>0</v>
      </c>
      <c r="CJ339" s="167">
        <v>0</v>
      </c>
      <c r="CK339" s="167">
        <v>0</v>
      </c>
      <c r="CL339" s="167">
        <v>0</v>
      </c>
      <c r="CM339" s="167">
        <v>0</v>
      </c>
      <c r="CN339" s="167">
        <v>101</v>
      </c>
      <c r="CO339" s="167">
        <v>0</v>
      </c>
      <c r="CP339" s="167">
        <v>0</v>
      </c>
      <c r="CQ339" s="167">
        <v>0</v>
      </c>
      <c r="CR339" s="167">
        <v>0</v>
      </c>
      <c r="CS339" s="167">
        <v>0</v>
      </c>
      <c r="CT339" s="167">
        <v>0</v>
      </c>
      <c r="CU339" s="167">
        <v>0</v>
      </c>
      <c r="CV339" s="167">
        <v>0</v>
      </c>
      <c r="CW339" s="167">
        <v>0</v>
      </c>
      <c r="CX339" s="167">
        <f>SUM(CD339:CH339)</f>
        <v>0</v>
      </c>
      <c r="CY339" s="167">
        <f>SUM(CD339:CM339)</f>
        <v>0</v>
      </c>
    </row>
    <row r="340" spans="1:103" ht="12.75" customHeight="1" x14ac:dyDescent="0.2">
      <c r="A340" s="81">
        <v>3511</v>
      </c>
      <c r="B340" s="165" t="s">
        <v>1908</v>
      </c>
      <c r="C340" s="165" t="s">
        <v>33</v>
      </c>
      <c r="D340" s="165" t="s">
        <v>34</v>
      </c>
      <c r="E340" s="165" t="s">
        <v>2412</v>
      </c>
      <c r="F340" s="165" t="s">
        <v>1093</v>
      </c>
      <c r="G340" s="81">
        <v>529369</v>
      </c>
      <c r="H340" s="81">
        <v>177317</v>
      </c>
      <c r="I340" s="165" t="s">
        <v>240</v>
      </c>
      <c r="J340" s="349">
        <v>42825</v>
      </c>
      <c r="L340" s="166">
        <v>0</v>
      </c>
      <c r="M340" s="166">
        <v>151</v>
      </c>
      <c r="N340" s="166">
        <v>151</v>
      </c>
      <c r="O340" s="166">
        <v>2971</v>
      </c>
      <c r="P340" s="166">
        <v>2971</v>
      </c>
      <c r="Q340" s="81" t="s">
        <v>155</v>
      </c>
      <c r="R340" s="165" t="s">
        <v>1090</v>
      </c>
      <c r="S340" s="81" t="s">
        <v>24</v>
      </c>
      <c r="T340" s="349">
        <v>41774</v>
      </c>
      <c r="U340" s="349">
        <v>42046</v>
      </c>
      <c r="W340" s="81" t="s">
        <v>114</v>
      </c>
      <c r="Y340" s="81" t="s">
        <v>115</v>
      </c>
      <c r="Z340" s="81" t="s">
        <v>116</v>
      </c>
      <c r="AA340" s="81" t="s">
        <v>116</v>
      </c>
      <c r="AB340" s="81" t="s">
        <v>117</v>
      </c>
      <c r="AC340" s="166">
        <v>0</v>
      </c>
      <c r="AG340" s="81" t="s">
        <v>238</v>
      </c>
      <c r="AH340" s="81" t="s">
        <v>118</v>
      </c>
      <c r="AI340" s="81" t="s">
        <v>2413</v>
      </c>
      <c r="AK340" s="166">
        <v>0</v>
      </c>
      <c r="AM340" s="166">
        <v>0</v>
      </c>
      <c r="AO340" s="166">
        <v>19</v>
      </c>
      <c r="AP340" s="166">
        <v>30</v>
      </c>
      <c r="AQ340" s="166">
        <v>91</v>
      </c>
      <c r="AR340" s="166">
        <v>11</v>
      </c>
      <c r="AS340" s="166">
        <v>0</v>
      </c>
      <c r="AT340" s="166">
        <v>0</v>
      </c>
      <c r="AU340" s="166">
        <v>0</v>
      </c>
      <c r="AV340" s="166">
        <v>19</v>
      </c>
      <c r="AW340" s="166">
        <v>30</v>
      </c>
      <c r="AX340" s="166">
        <v>91</v>
      </c>
      <c r="AY340" s="166">
        <v>11</v>
      </c>
      <c r="AZ340" s="166">
        <v>0</v>
      </c>
      <c r="BA340" s="166">
        <v>0</v>
      </c>
      <c r="BB340" s="166">
        <v>0</v>
      </c>
      <c r="BC340" s="166">
        <v>0</v>
      </c>
      <c r="BD340" s="166">
        <v>0</v>
      </c>
      <c r="BE340" s="166">
        <v>0</v>
      </c>
      <c r="BF340" s="166">
        <v>0</v>
      </c>
      <c r="BG340" s="166">
        <v>0</v>
      </c>
      <c r="BH340" s="166">
        <v>0</v>
      </c>
      <c r="BI340" s="166">
        <v>0</v>
      </c>
      <c r="BJ340" s="166">
        <v>0</v>
      </c>
      <c r="BK340" s="166">
        <v>0</v>
      </c>
      <c r="BL340" s="166">
        <v>0</v>
      </c>
      <c r="BM340" s="166">
        <v>0</v>
      </c>
      <c r="BN340" s="166">
        <v>0</v>
      </c>
      <c r="BO340" s="166">
        <v>0</v>
      </c>
      <c r="BP340" s="166">
        <v>0</v>
      </c>
      <c r="BQ340" s="81" t="s">
        <v>1759</v>
      </c>
      <c r="BS340" s="81" t="s">
        <v>155</v>
      </c>
      <c r="BZ340" s="81" t="s">
        <v>155</v>
      </c>
      <c r="CA340" s="81">
        <v>12</v>
      </c>
      <c r="CC340" s="167">
        <v>0</v>
      </c>
      <c r="CD340" s="167">
        <v>0</v>
      </c>
      <c r="CE340" s="167">
        <v>0</v>
      </c>
      <c r="CF340" s="167">
        <v>0</v>
      </c>
      <c r="CG340" s="167">
        <v>0</v>
      </c>
      <c r="CH340" s="167">
        <v>0</v>
      </c>
      <c r="CI340" s="167">
        <v>0</v>
      </c>
      <c r="CJ340" s="167">
        <v>0</v>
      </c>
      <c r="CK340" s="167">
        <v>0</v>
      </c>
      <c r="CL340" s="167">
        <v>0</v>
      </c>
      <c r="CM340" s="167">
        <v>0</v>
      </c>
      <c r="CN340" s="167">
        <v>0</v>
      </c>
      <c r="CO340" s="167">
        <v>0</v>
      </c>
      <c r="CP340" s="167">
        <v>151</v>
      </c>
      <c r="CQ340" s="167">
        <v>0</v>
      </c>
      <c r="CR340" s="167">
        <v>0</v>
      </c>
      <c r="CS340" s="167">
        <v>0</v>
      </c>
      <c r="CT340" s="167">
        <v>0</v>
      </c>
      <c r="CU340" s="167">
        <v>0</v>
      </c>
      <c r="CV340" s="167">
        <v>0</v>
      </c>
      <c r="CW340" s="167">
        <v>0</v>
      </c>
      <c r="CX340" s="167">
        <f>SUM(CD340:CH340)</f>
        <v>0</v>
      </c>
      <c r="CY340" s="167">
        <f>SUM(CD340:CM340)</f>
        <v>0</v>
      </c>
    </row>
    <row r="341" spans="1:103" x14ac:dyDescent="0.2">
      <c r="A341" s="81">
        <v>3511</v>
      </c>
      <c r="B341" s="165" t="s">
        <v>1908</v>
      </c>
      <c r="C341" s="165" t="s">
        <v>33</v>
      </c>
      <c r="D341" s="165" t="s">
        <v>34</v>
      </c>
      <c r="E341" s="165" t="s">
        <v>2412</v>
      </c>
      <c r="F341" s="165" t="s">
        <v>1094</v>
      </c>
      <c r="G341" s="81">
        <v>529369</v>
      </c>
      <c r="H341" s="81">
        <v>177317</v>
      </c>
      <c r="I341" s="165" t="s">
        <v>240</v>
      </c>
      <c r="J341" s="349">
        <v>42825</v>
      </c>
      <c r="L341" s="166">
        <v>0</v>
      </c>
      <c r="M341" s="166">
        <v>17</v>
      </c>
      <c r="N341" s="166">
        <v>17</v>
      </c>
      <c r="O341" s="166">
        <v>2971</v>
      </c>
      <c r="P341" s="166">
        <v>2971</v>
      </c>
      <c r="Q341" s="81" t="s">
        <v>155</v>
      </c>
      <c r="R341" s="165" t="s">
        <v>1090</v>
      </c>
      <c r="S341" s="81" t="s">
        <v>24</v>
      </c>
      <c r="T341" s="349">
        <v>41774</v>
      </c>
      <c r="U341" s="349">
        <v>42046</v>
      </c>
      <c r="W341" s="81" t="s">
        <v>114</v>
      </c>
      <c r="Y341" s="81" t="s">
        <v>115</v>
      </c>
      <c r="Z341" s="81" t="s">
        <v>116</v>
      </c>
      <c r="AA341" s="81" t="s">
        <v>116</v>
      </c>
      <c r="AB341" s="81" t="s">
        <v>117</v>
      </c>
      <c r="AC341" s="166">
        <v>0</v>
      </c>
      <c r="AG341" s="81" t="s">
        <v>238</v>
      </c>
      <c r="AH341" s="81" t="s">
        <v>118</v>
      </c>
      <c r="AI341" s="81" t="s">
        <v>2413</v>
      </c>
      <c r="AK341" s="166">
        <v>0</v>
      </c>
      <c r="AM341" s="166">
        <v>0</v>
      </c>
      <c r="AO341" s="166">
        <v>2</v>
      </c>
      <c r="AP341" s="166">
        <v>3</v>
      </c>
      <c r="AQ341" s="166">
        <v>10</v>
      </c>
      <c r="AR341" s="166">
        <v>2</v>
      </c>
      <c r="AS341" s="166">
        <v>0</v>
      </c>
      <c r="AT341" s="166">
        <v>0</v>
      </c>
      <c r="AU341" s="166">
        <v>0</v>
      </c>
      <c r="AV341" s="166">
        <v>2</v>
      </c>
      <c r="AW341" s="166">
        <v>3</v>
      </c>
      <c r="AX341" s="166">
        <v>10</v>
      </c>
      <c r="AY341" s="166">
        <v>2</v>
      </c>
      <c r="AZ341" s="166">
        <v>0</v>
      </c>
      <c r="BA341" s="166">
        <v>0</v>
      </c>
      <c r="BB341" s="166">
        <v>0</v>
      </c>
      <c r="BC341" s="166">
        <v>0</v>
      </c>
      <c r="BD341" s="166">
        <v>0</v>
      </c>
      <c r="BE341" s="166">
        <v>0</v>
      </c>
      <c r="BF341" s="166">
        <v>0</v>
      </c>
      <c r="BG341" s="166">
        <v>0</v>
      </c>
      <c r="BH341" s="166">
        <v>0</v>
      </c>
      <c r="BI341" s="166">
        <v>0</v>
      </c>
      <c r="BJ341" s="166">
        <v>0</v>
      </c>
      <c r="BK341" s="166">
        <v>0</v>
      </c>
      <c r="BL341" s="166">
        <v>0</v>
      </c>
      <c r="BM341" s="166">
        <v>0</v>
      </c>
      <c r="BN341" s="166">
        <v>0</v>
      </c>
      <c r="BO341" s="166">
        <v>0</v>
      </c>
      <c r="BP341" s="166">
        <v>0</v>
      </c>
      <c r="BQ341" s="81" t="s">
        <v>1759</v>
      </c>
      <c r="BS341" s="81" t="s">
        <v>155</v>
      </c>
      <c r="BZ341" s="81" t="s">
        <v>155</v>
      </c>
      <c r="CA341" s="81">
        <v>12</v>
      </c>
      <c r="CC341" s="167">
        <v>0</v>
      </c>
      <c r="CD341" s="167">
        <v>0</v>
      </c>
      <c r="CE341" s="167">
        <v>0</v>
      </c>
      <c r="CF341" s="167">
        <v>0</v>
      </c>
      <c r="CG341" s="167">
        <v>0</v>
      </c>
      <c r="CH341" s="167">
        <v>0</v>
      </c>
      <c r="CI341" s="167">
        <v>0</v>
      </c>
      <c r="CJ341" s="167">
        <v>0</v>
      </c>
      <c r="CK341" s="167">
        <v>0</v>
      </c>
      <c r="CL341" s="167">
        <v>0</v>
      </c>
      <c r="CM341" s="167">
        <v>0</v>
      </c>
      <c r="CN341" s="167">
        <v>0</v>
      </c>
      <c r="CO341" s="167">
        <v>0</v>
      </c>
      <c r="CP341" s="167">
        <v>17</v>
      </c>
      <c r="CQ341" s="167">
        <v>0</v>
      </c>
      <c r="CR341" s="167">
        <v>0</v>
      </c>
      <c r="CS341" s="167">
        <v>0</v>
      </c>
      <c r="CT341" s="167">
        <v>0</v>
      </c>
      <c r="CU341" s="167">
        <v>0</v>
      </c>
      <c r="CV341" s="167">
        <v>0</v>
      </c>
      <c r="CW341" s="167">
        <v>0</v>
      </c>
      <c r="CX341" s="167">
        <f>SUM(CD341:CH341)</f>
        <v>0</v>
      </c>
      <c r="CY341" s="167">
        <f>SUM(CD341:CM341)</f>
        <v>0</v>
      </c>
    </row>
    <row r="342" spans="1:103" ht="12.75" customHeight="1" x14ac:dyDescent="0.2">
      <c r="A342" s="81">
        <v>3511</v>
      </c>
      <c r="B342" s="165" t="s">
        <v>1908</v>
      </c>
      <c r="C342" s="165" t="s">
        <v>33</v>
      </c>
      <c r="D342" s="165" t="s">
        <v>34</v>
      </c>
      <c r="E342" s="165" t="s">
        <v>2412</v>
      </c>
      <c r="F342" s="165" t="s">
        <v>1095</v>
      </c>
      <c r="G342" s="81">
        <v>529369</v>
      </c>
      <c r="H342" s="81">
        <v>177317</v>
      </c>
      <c r="I342" s="165" t="s">
        <v>240</v>
      </c>
      <c r="J342" s="349">
        <v>42825</v>
      </c>
      <c r="L342" s="166">
        <v>0</v>
      </c>
      <c r="M342" s="166">
        <v>11</v>
      </c>
      <c r="N342" s="166">
        <v>11</v>
      </c>
      <c r="O342" s="166">
        <v>2971</v>
      </c>
      <c r="P342" s="166">
        <v>2971</v>
      </c>
      <c r="Q342" s="81" t="s">
        <v>155</v>
      </c>
      <c r="R342" s="165" t="s">
        <v>1090</v>
      </c>
      <c r="S342" s="81" t="s">
        <v>24</v>
      </c>
      <c r="T342" s="349">
        <v>41774</v>
      </c>
      <c r="U342" s="349">
        <v>42046</v>
      </c>
      <c r="W342" s="81" t="s">
        <v>114</v>
      </c>
      <c r="Y342" s="81" t="s">
        <v>115</v>
      </c>
      <c r="Z342" s="81" t="s">
        <v>116</v>
      </c>
      <c r="AA342" s="81" t="s">
        <v>116</v>
      </c>
      <c r="AB342" s="81" t="s">
        <v>117</v>
      </c>
      <c r="AC342" s="166">
        <v>0</v>
      </c>
      <c r="AG342" s="81" t="s">
        <v>154</v>
      </c>
      <c r="AH342" s="81" t="s">
        <v>312</v>
      </c>
      <c r="AI342" s="81" t="s">
        <v>2413</v>
      </c>
      <c r="AK342" s="166">
        <v>0</v>
      </c>
      <c r="AM342" s="166">
        <v>0</v>
      </c>
      <c r="AO342" s="166">
        <v>0</v>
      </c>
      <c r="AP342" s="166">
        <v>2</v>
      </c>
      <c r="AQ342" s="166">
        <v>5</v>
      </c>
      <c r="AR342" s="166">
        <v>3</v>
      </c>
      <c r="AS342" s="166">
        <v>1</v>
      </c>
      <c r="AT342" s="166">
        <v>0</v>
      </c>
      <c r="AU342" s="166">
        <v>0</v>
      </c>
      <c r="AV342" s="166">
        <v>0</v>
      </c>
      <c r="AW342" s="166">
        <v>2</v>
      </c>
      <c r="AX342" s="166">
        <v>5</v>
      </c>
      <c r="AY342" s="166">
        <v>3</v>
      </c>
      <c r="AZ342" s="166">
        <v>0</v>
      </c>
      <c r="BA342" s="166">
        <v>0</v>
      </c>
      <c r="BB342" s="166">
        <v>0</v>
      </c>
      <c r="BC342" s="166">
        <v>0</v>
      </c>
      <c r="BD342" s="166">
        <v>0</v>
      </c>
      <c r="BE342" s="166">
        <v>0</v>
      </c>
      <c r="BF342" s="166">
        <v>0</v>
      </c>
      <c r="BG342" s="166">
        <v>1</v>
      </c>
      <c r="BH342" s="166">
        <v>0</v>
      </c>
      <c r="BI342" s="166">
        <v>0</v>
      </c>
      <c r="BJ342" s="166">
        <v>0</v>
      </c>
      <c r="BK342" s="166">
        <v>0</v>
      </c>
      <c r="BL342" s="166">
        <v>0</v>
      </c>
      <c r="BM342" s="166">
        <v>0</v>
      </c>
      <c r="BN342" s="166">
        <v>0</v>
      </c>
      <c r="BO342" s="166">
        <v>0</v>
      </c>
      <c r="BP342" s="166">
        <v>0</v>
      </c>
      <c r="BQ342" s="81" t="s">
        <v>1759</v>
      </c>
      <c r="BS342" s="81" t="s">
        <v>155</v>
      </c>
      <c r="BZ342" s="81" t="s">
        <v>155</v>
      </c>
      <c r="CA342" s="81">
        <v>12</v>
      </c>
      <c r="CC342" s="167">
        <v>0</v>
      </c>
      <c r="CD342" s="167">
        <v>0</v>
      </c>
      <c r="CE342" s="167">
        <v>0</v>
      </c>
      <c r="CF342" s="167">
        <v>0</v>
      </c>
      <c r="CG342" s="167">
        <v>0</v>
      </c>
      <c r="CH342" s="167">
        <v>0</v>
      </c>
      <c r="CI342" s="167">
        <v>0</v>
      </c>
      <c r="CJ342" s="167">
        <v>0</v>
      </c>
      <c r="CK342" s="167">
        <v>0</v>
      </c>
      <c r="CL342" s="167">
        <v>0</v>
      </c>
      <c r="CM342" s="167">
        <v>0</v>
      </c>
      <c r="CN342" s="167">
        <v>0</v>
      </c>
      <c r="CO342" s="167">
        <v>11</v>
      </c>
      <c r="CP342" s="167">
        <v>0</v>
      </c>
      <c r="CQ342" s="167">
        <v>0</v>
      </c>
      <c r="CR342" s="167">
        <v>0</v>
      </c>
      <c r="CS342" s="167">
        <v>0</v>
      </c>
      <c r="CT342" s="167">
        <v>0</v>
      </c>
      <c r="CU342" s="167">
        <v>0</v>
      </c>
      <c r="CV342" s="167">
        <v>0</v>
      </c>
      <c r="CW342" s="167">
        <v>0</v>
      </c>
      <c r="CX342" s="167">
        <f>SUM(CD342:CH342)</f>
        <v>0</v>
      </c>
      <c r="CY342" s="167">
        <f>SUM(CD342:CM342)</f>
        <v>0</v>
      </c>
    </row>
    <row r="343" spans="1:103" ht="12.75" customHeight="1" x14ac:dyDescent="0.2">
      <c r="A343" s="81">
        <v>3511</v>
      </c>
      <c r="B343" s="165" t="s">
        <v>1908</v>
      </c>
      <c r="C343" s="165" t="s">
        <v>33</v>
      </c>
      <c r="D343" s="165" t="s">
        <v>34</v>
      </c>
      <c r="E343" s="165" t="s">
        <v>2412</v>
      </c>
      <c r="F343" s="165" t="s">
        <v>1096</v>
      </c>
      <c r="G343" s="81">
        <v>529369</v>
      </c>
      <c r="H343" s="81">
        <v>177317</v>
      </c>
      <c r="I343" s="165" t="s">
        <v>240</v>
      </c>
      <c r="J343" s="349">
        <v>42825</v>
      </c>
      <c r="L343" s="166">
        <v>0</v>
      </c>
      <c r="M343" s="166">
        <v>72</v>
      </c>
      <c r="N343" s="166">
        <v>72</v>
      </c>
      <c r="O343" s="166">
        <v>2971</v>
      </c>
      <c r="P343" s="166">
        <v>2971</v>
      </c>
      <c r="Q343" s="81" t="s">
        <v>155</v>
      </c>
      <c r="R343" s="165" t="s">
        <v>1090</v>
      </c>
      <c r="S343" s="81" t="s">
        <v>24</v>
      </c>
      <c r="T343" s="349">
        <v>41774</v>
      </c>
      <c r="U343" s="349">
        <v>42046</v>
      </c>
      <c r="W343" s="81" t="s">
        <v>114</v>
      </c>
      <c r="Y343" s="81" t="s">
        <v>115</v>
      </c>
      <c r="Z343" s="81" t="s">
        <v>116</v>
      </c>
      <c r="AA343" s="81" t="s">
        <v>116</v>
      </c>
      <c r="AB343" s="81" t="s">
        <v>117</v>
      </c>
      <c r="AC343" s="166">
        <v>1.3999999761581401</v>
      </c>
      <c r="AG343" s="81" t="s">
        <v>154</v>
      </c>
      <c r="AH343" s="81" t="s">
        <v>312</v>
      </c>
      <c r="AI343" s="81" t="s">
        <v>2413</v>
      </c>
      <c r="AK343" s="166">
        <v>0</v>
      </c>
      <c r="AM343" s="166">
        <v>0</v>
      </c>
      <c r="AO343" s="166">
        <v>0</v>
      </c>
      <c r="AP343" s="166">
        <v>11</v>
      </c>
      <c r="AQ343" s="166">
        <v>32</v>
      </c>
      <c r="AR343" s="166">
        <v>22</v>
      </c>
      <c r="AS343" s="166">
        <v>7</v>
      </c>
      <c r="AT343" s="166">
        <v>0</v>
      </c>
      <c r="AU343" s="166">
        <v>0</v>
      </c>
      <c r="AV343" s="166">
        <v>0</v>
      </c>
      <c r="AW343" s="166">
        <v>11</v>
      </c>
      <c r="AX343" s="166">
        <v>32</v>
      </c>
      <c r="AY343" s="166">
        <v>22</v>
      </c>
      <c r="AZ343" s="166">
        <v>7</v>
      </c>
      <c r="BA343" s="166">
        <v>0</v>
      </c>
      <c r="BB343" s="166">
        <v>0</v>
      </c>
      <c r="BC343" s="166">
        <v>0</v>
      </c>
      <c r="BD343" s="166">
        <v>0</v>
      </c>
      <c r="BE343" s="166">
        <v>0</v>
      </c>
      <c r="BF343" s="166">
        <v>0</v>
      </c>
      <c r="BG343" s="166">
        <v>0</v>
      </c>
      <c r="BH343" s="166">
        <v>0</v>
      </c>
      <c r="BI343" s="166">
        <v>0</v>
      </c>
      <c r="BJ343" s="166">
        <v>0</v>
      </c>
      <c r="BK343" s="166">
        <v>0</v>
      </c>
      <c r="BL343" s="166">
        <v>0</v>
      </c>
      <c r="BM343" s="166">
        <v>0</v>
      </c>
      <c r="BN343" s="166">
        <v>0</v>
      </c>
      <c r="BO343" s="166">
        <v>0</v>
      </c>
      <c r="BP343" s="166">
        <v>0</v>
      </c>
      <c r="BQ343" s="81" t="s">
        <v>1759</v>
      </c>
      <c r="BS343" s="81" t="s">
        <v>155</v>
      </c>
      <c r="BZ343" s="81" t="s">
        <v>155</v>
      </c>
      <c r="CA343" s="81">
        <v>12</v>
      </c>
      <c r="CC343" s="167">
        <v>0</v>
      </c>
      <c r="CD343" s="167">
        <v>0</v>
      </c>
      <c r="CE343" s="167">
        <v>0</v>
      </c>
      <c r="CF343" s="167">
        <v>0</v>
      </c>
      <c r="CG343" s="167">
        <v>0</v>
      </c>
      <c r="CH343" s="167">
        <v>0</v>
      </c>
      <c r="CI343" s="167">
        <v>0</v>
      </c>
      <c r="CJ343" s="167">
        <v>0</v>
      </c>
      <c r="CK343" s="167">
        <v>0</v>
      </c>
      <c r="CL343" s="167">
        <v>0</v>
      </c>
      <c r="CM343" s="167">
        <v>72</v>
      </c>
      <c r="CN343" s="167">
        <v>0</v>
      </c>
      <c r="CO343" s="167">
        <v>0</v>
      </c>
      <c r="CP343" s="167">
        <v>0</v>
      </c>
      <c r="CQ343" s="167">
        <v>0</v>
      </c>
      <c r="CR343" s="167">
        <v>0</v>
      </c>
      <c r="CS343" s="167">
        <v>0</v>
      </c>
      <c r="CT343" s="167">
        <v>0</v>
      </c>
      <c r="CU343" s="167">
        <v>0</v>
      </c>
      <c r="CV343" s="167">
        <v>0</v>
      </c>
      <c r="CW343" s="167">
        <v>0</v>
      </c>
      <c r="CX343" s="167">
        <f>SUM(CD343:CH343)</f>
        <v>0</v>
      </c>
      <c r="CY343" s="167">
        <f>SUM(CD343:CM343)</f>
        <v>72</v>
      </c>
    </row>
    <row r="344" spans="1:103" ht="12.75" customHeight="1" x14ac:dyDescent="0.2">
      <c r="A344" s="81">
        <v>3511</v>
      </c>
      <c r="B344" s="165" t="s">
        <v>1908</v>
      </c>
      <c r="C344" s="165" t="s">
        <v>33</v>
      </c>
      <c r="D344" s="165" t="s">
        <v>34</v>
      </c>
      <c r="E344" s="165" t="s">
        <v>2412</v>
      </c>
      <c r="F344" s="165" t="s">
        <v>1096</v>
      </c>
      <c r="G344" s="81">
        <v>529369</v>
      </c>
      <c r="H344" s="81">
        <v>177317</v>
      </c>
      <c r="I344" s="165" t="s">
        <v>240</v>
      </c>
      <c r="J344" s="349">
        <v>42825</v>
      </c>
      <c r="L344" s="166">
        <v>0</v>
      </c>
      <c r="M344" s="166">
        <v>27</v>
      </c>
      <c r="N344" s="166">
        <v>27</v>
      </c>
      <c r="O344" s="166">
        <v>2971</v>
      </c>
      <c r="P344" s="166">
        <v>2971</v>
      </c>
      <c r="Q344" s="81" t="s">
        <v>155</v>
      </c>
      <c r="R344" s="165" t="s">
        <v>1090</v>
      </c>
      <c r="S344" s="81" t="s">
        <v>24</v>
      </c>
      <c r="T344" s="349">
        <v>41774</v>
      </c>
      <c r="U344" s="349">
        <v>42046</v>
      </c>
      <c r="W344" s="81" t="s">
        <v>114</v>
      </c>
      <c r="Y344" s="81" t="s">
        <v>115</v>
      </c>
      <c r="Z344" s="81" t="s">
        <v>116</v>
      </c>
      <c r="AA344" s="81" t="s">
        <v>116</v>
      </c>
      <c r="AB344" s="81" t="s">
        <v>117</v>
      </c>
      <c r="AC344" s="166">
        <v>1.3999999761581401</v>
      </c>
      <c r="AG344" s="81" t="s">
        <v>154</v>
      </c>
      <c r="AH344" s="81" t="s">
        <v>312</v>
      </c>
      <c r="AI344" s="81" t="s">
        <v>2413</v>
      </c>
      <c r="AK344" s="166">
        <v>0</v>
      </c>
      <c r="AM344" s="166">
        <v>0</v>
      </c>
      <c r="AO344" s="166">
        <v>0</v>
      </c>
      <c r="AP344" s="166">
        <v>4</v>
      </c>
      <c r="AQ344" s="166">
        <v>12</v>
      </c>
      <c r="AR344" s="166">
        <v>8</v>
      </c>
      <c r="AS344" s="166">
        <v>3</v>
      </c>
      <c r="AT344" s="166">
        <v>0</v>
      </c>
      <c r="AU344" s="166">
        <v>0</v>
      </c>
      <c r="AV344" s="166">
        <v>0</v>
      </c>
      <c r="AW344" s="166">
        <v>4</v>
      </c>
      <c r="AX344" s="166">
        <v>12</v>
      </c>
      <c r="AY344" s="166">
        <v>8</v>
      </c>
      <c r="AZ344" s="166">
        <v>3</v>
      </c>
      <c r="BA344" s="166">
        <v>0</v>
      </c>
      <c r="BB344" s="166">
        <v>0</v>
      </c>
      <c r="BC344" s="166">
        <v>0</v>
      </c>
      <c r="BD344" s="166">
        <v>0</v>
      </c>
      <c r="BE344" s="166">
        <v>0</v>
      </c>
      <c r="BF344" s="166">
        <v>0</v>
      </c>
      <c r="BG344" s="166">
        <v>0</v>
      </c>
      <c r="BH344" s="166">
        <v>0</v>
      </c>
      <c r="BI344" s="166">
        <v>0</v>
      </c>
      <c r="BJ344" s="166">
        <v>0</v>
      </c>
      <c r="BK344" s="166">
        <v>0</v>
      </c>
      <c r="BL344" s="166">
        <v>0</v>
      </c>
      <c r="BM344" s="166">
        <v>0</v>
      </c>
      <c r="BN344" s="166">
        <v>0</v>
      </c>
      <c r="BO344" s="166">
        <v>0</v>
      </c>
      <c r="BP344" s="166">
        <v>0</v>
      </c>
      <c r="BQ344" s="81" t="s">
        <v>1759</v>
      </c>
      <c r="BS344" s="81" t="s">
        <v>155</v>
      </c>
      <c r="BZ344" s="81" t="s">
        <v>155</v>
      </c>
      <c r="CA344" s="81">
        <v>12</v>
      </c>
      <c r="CC344" s="167">
        <v>0</v>
      </c>
      <c r="CD344" s="167">
        <v>0</v>
      </c>
      <c r="CE344" s="167">
        <v>0</v>
      </c>
      <c r="CF344" s="167">
        <v>0</v>
      </c>
      <c r="CG344" s="167">
        <v>0</v>
      </c>
      <c r="CH344" s="167">
        <v>0</v>
      </c>
      <c r="CI344" s="167">
        <v>0</v>
      </c>
      <c r="CJ344" s="167">
        <v>0</v>
      </c>
      <c r="CK344" s="167">
        <v>0</v>
      </c>
      <c r="CL344" s="167">
        <v>0</v>
      </c>
      <c r="CM344" s="167">
        <v>27</v>
      </c>
      <c r="CN344" s="167">
        <v>0</v>
      </c>
      <c r="CO344" s="167">
        <v>0</v>
      </c>
      <c r="CP344" s="167">
        <v>0</v>
      </c>
      <c r="CQ344" s="167">
        <v>0</v>
      </c>
      <c r="CR344" s="167">
        <v>0</v>
      </c>
      <c r="CS344" s="167">
        <v>0</v>
      </c>
      <c r="CT344" s="167">
        <v>0</v>
      </c>
      <c r="CU344" s="167">
        <v>0</v>
      </c>
      <c r="CV344" s="167">
        <v>0</v>
      </c>
      <c r="CW344" s="167">
        <v>0</v>
      </c>
      <c r="CX344" s="167">
        <f>SUM(CD344:CH344)</f>
        <v>0</v>
      </c>
      <c r="CY344" s="167">
        <f>SUM(CD344:CM344)</f>
        <v>27</v>
      </c>
    </row>
    <row r="345" spans="1:103" x14ac:dyDescent="0.2">
      <c r="A345" s="81">
        <v>3511</v>
      </c>
      <c r="B345" s="165" t="s">
        <v>1908</v>
      </c>
      <c r="C345" s="165" t="s">
        <v>33</v>
      </c>
      <c r="D345" s="165" t="s">
        <v>34</v>
      </c>
      <c r="E345" s="165" t="s">
        <v>2412</v>
      </c>
      <c r="F345" s="165" t="s">
        <v>1097</v>
      </c>
      <c r="G345" s="81">
        <v>529369</v>
      </c>
      <c r="H345" s="81">
        <v>177317</v>
      </c>
      <c r="I345" s="165" t="s">
        <v>240</v>
      </c>
      <c r="J345" s="349">
        <v>42825</v>
      </c>
      <c r="L345" s="166">
        <v>0</v>
      </c>
      <c r="M345" s="166">
        <v>36</v>
      </c>
      <c r="N345" s="166">
        <v>36</v>
      </c>
      <c r="O345" s="166">
        <v>2971</v>
      </c>
      <c r="P345" s="166">
        <v>2971</v>
      </c>
      <c r="Q345" s="81" t="s">
        <v>155</v>
      </c>
      <c r="R345" s="165" t="s">
        <v>1090</v>
      </c>
      <c r="S345" s="81" t="s">
        <v>24</v>
      </c>
      <c r="T345" s="349">
        <v>41774</v>
      </c>
      <c r="U345" s="349">
        <v>42046</v>
      </c>
      <c r="W345" s="81" t="s">
        <v>114</v>
      </c>
      <c r="Y345" s="81" t="s">
        <v>115</v>
      </c>
      <c r="Z345" s="81" t="s">
        <v>116</v>
      </c>
      <c r="AA345" s="81" t="s">
        <v>116</v>
      </c>
      <c r="AB345" s="81" t="s">
        <v>117</v>
      </c>
      <c r="AC345" s="166">
        <v>0</v>
      </c>
      <c r="AG345" s="81" t="s">
        <v>154</v>
      </c>
      <c r="AH345" s="81" t="s">
        <v>312</v>
      </c>
      <c r="AI345" s="81" t="s">
        <v>2413</v>
      </c>
      <c r="AK345" s="166">
        <v>0</v>
      </c>
      <c r="AM345" s="166">
        <v>0</v>
      </c>
      <c r="AO345" s="166">
        <v>0</v>
      </c>
      <c r="AP345" s="166">
        <v>5</v>
      </c>
      <c r="AQ345" s="166">
        <v>16</v>
      </c>
      <c r="AR345" s="166">
        <v>11</v>
      </c>
      <c r="AS345" s="166">
        <v>4</v>
      </c>
      <c r="AT345" s="166">
        <v>0</v>
      </c>
      <c r="AU345" s="166">
        <v>0</v>
      </c>
      <c r="AV345" s="166">
        <v>0</v>
      </c>
      <c r="AW345" s="166">
        <v>5</v>
      </c>
      <c r="AX345" s="166">
        <v>16</v>
      </c>
      <c r="AY345" s="166">
        <v>11</v>
      </c>
      <c r="AZ345" s="166">
        <v>4</v>
      </c>
      <c r="BA345" s="166">
        <v>0</v>
      </c>
      <c r="BB345" s="166">
        <v>0</v>
      </c>
      <c r="BC345" s="166">
        <v>0</v>
      </c>
      <c r="BD345" s="166">
        <v>0</v>
      </c>
      <c r="BE345" s="166">
        <v>0</v>
      </c>
      <c r="BF345" s="166">
        <v>0</v>
      </c>
      <c r="BG345" s="166">
        <v>0</v>
      </c>
      <c r="BH345" s="166">
        <v>0</v>
      </c>
      <c r="BI345" s="166">
        <v>0</v>
      </c>
      <c r="BJ345" s="166">
        <v>0</v>
      </c>
      <c r="BK345" s="166">
        <v>0</v>
      </c>
      <c r="BL345" s="166">
        <v>0</v>
      </c>
      <c r="BM345" s="166">
        <v>0</v>
      </c>
      <c r="BN345" s="166">
        <v>0</v>
      </c>
      <c r="BO345" s="166">
        <v>0</v>
      </c>
      <c r="BP345" s="166">
        <v>0</v>
      </c>
      <c r="BQ345" s="81" t="s">
        <v>1759</v>
      </c>
      <c r="BS345" s="81" t="s">
        <v>155</v>
      </c>
      <c r="BZ345" s="81" t="s">
        <v>155</v>
      </c>
      <c r="CA345" s="81">
        <v>12</v>
      </c>
      <c r="CC345" s="167">
        <v>0</v>
      </c>
      <c r="CD345" s="167">
        <v>0</v>
      </c>
      <c r="CE345" s="167">
        <v>0</v>
      </c>
      <c r="CF345" s="167">
        <v>0</v>
      </c>
      <c r="CG345" s="167">
        <v>0</v>
      </c>
      <c r="CH345" s="167">
        <v>0</v>
      </c>
      <c r="CI345" s="167">
        <v>0</v>
      </c>
      <c r="CJ345" s="167">
        <v>0</v>
      </c>
      <c r="CK345" s="167">
        <v>0</v>
      </c>
      <c r="CL345" s="167">
        <v>0</v>
      </c>
      <c r="CM345" s="167">
        <v>36</v>
      </c>
      <c r="CN345" s="167">
        <v>0</v>
      </c>
      <c r="CO345" s="167">
        <v>0</v>
      </c>
      <c r="CP345" s="167">
        <v>0</v>
      </c>
      <c r="CQ345" s="167">
        <v>0</v>
      </c>
      <c r="CR345" s="167">
        <v>0</v>
      </c>
      <c r="CS345" s="167">
        <v>0</v>
      </c>
      <c r="CT345" s="167">
        <v>0</v>
      </c>
      <c r="CU345" s="167">
        <v>0</v>
      </c>
      <c r="CV345" s="167">
        <v>0</v>
      </c>
      <c r="CW345" s="167">
        <v>0</v>
      </c>
      <c r="CX345" s="167">
        <f>SUM(CD345:CH345)</f>
        <v>0</v>
      </c>
      <c r="CY345" s="167">
        <f>SUM(CD345:CM345)</f>
        <v>36</v>
      </c>
    </row>
    <row r="346" spans="1:103" ht="12.75" customHeight="1" x14ac:dyDescent="0.2">
      <c r="A346" s="81">
        <v>3511</v>
      </c>
      <c r="B346" s="165" t="s">
        <v>1908</v>
      </c>
      <c r="C346" s="165" t="s">
        <v>33</v>
      </c>
      <c r="D346" s="165" t="s">
        <v>34</v>
      </c>
      <c r="E346" s="165" t="s">
        <v>2412</v>
      </c>
      <c r="F346" s="165" t="s">
        <v>1098</v>
      </c>
      <c r="G346" s="81">
        <v>529369</v>
      </c>
      <c r="H346" s="81">
        <v>177317</v>
      </c>
      <c r="I346" s="165" t="s">
        <v>240</v>
      </c>
      <c r="J346" s="349">
        <v>42825</v>
      </c>
      <c r="L346" s="166">
        <v>0</v>
      </c>
      <c r="M346" s="166">
        <v>54</v>
      </c>
      <c r="N346" s="166">
        <v>54</v>
      </c>
      <c r="O346" s="166">
        <v>2971</v>
      </c>
      <c r="P346" s="166">
        <v>2971</v>
      </c>
      <c r="Q346" s="81" t="s">
        <v>155</v>
      </c>
      <c r="R346" s="165" t="s">
        <v>1090</v>
      </c>
      <c r="S346" s="81" t="s">
        <v>24</v>
      </c>
      <c r="T346" s="349">
        <v>41774</v>
      </c>
      <c r="U346" s="349">
        <v>42046</v>
      </c>
      <c r="W346" s="81" t="s">
        <v>114</v>
      </c>
      <c r="Y346" s="81" t="s">
        <v>115</v>
      </c>
      <c r="Z346" s="81" t="s">
        <v>116</v>
      </c>
      <c r="AA346" s="81" t="s">
        <v>116</v>
      </c>
      <c r="AB346" s="81" t="s">
        <v>117</v>
      </c>
      <c r="AC346" s="166">
        <v>0</v>
      </c>
      <c r="AG346" s="81" t="s">
        <v>154</v>
      </c>
      <c r="AH346" s="81" t="s">
        <v>312</v>
      </c>
      <c r="AI346" s="81" t="s">
        <v>2413</v>
      </c>
      <c r="AK346" s="166">
        <v>0</v>
      </c>
      <c r="AM346" s="166">
        <v>0</v>
      </c>
      <c r="AO346" s="166">
        <v>0</v>
      </c>
      <c r="AP346" s="166">
        <v>8</v>
      </c>
      <c r="AQ346" s="166">
        <v>25</v>
      </c>
      <c r="AR346" s="166">
        <v>16</v>
      </c>
      <c r="AS346" s="166">
        <v>5</v>
      </c>
      <c r="AT346" s="166">
        <v>0</v>
      </c>
      <c r="AU346" s="166">
        <v>0</v>
      </c>
      <c r="AV346" s="166">
        <v>0</v>
      </c>
      <c r="AW346" s="166">
        <v>8</v>
      </c>
      <c r="AX346" s="166">
        <v>25</v>
      </c>
      <c r="AY346" s="166">
        <v>16</v>
      </c>
      <c r="AZ346" s="166">
        <v>5</v>
      </c>
      <c r="BA346" s="166">
        <v>0</v>
      </c>
      <c r="BB346" s="166">
        <v>0</v>
      </c>
      <c r="BC346" s="166">
        <v>0</v>
      </c>
      <c r="BD346" s="166">
        <v>0</v>
      </c>
      <c r="BE346" s="166">
        <v>0</v>
      </c>
      <c r="BF346" s="166">
        <v>0</v>
      </c>
      <c r="BG346" s="166">
        <v>0</v>
      </c>
      <c r="BH346" s="166">
        <v>0</v>
      </c>
      <c r="BI346" s="166">
        <v>0</v>
      </c>
      <c r="BJ346" s="166">
        <v>0</v>
      </c>
      <c r="BK346" s="166">
        <v>0</v>
      </c>
      <c r="BL346" s="166">
        <v>0</v>
      </c>
      <c r="BM346" s="166">
        <v>0</v>
      </c>
      <c r="BN346" s="166">
        <v>0</v>
      </c>
      <c r="BO346" s="166">
        <v>0</v>
      </c>
      <c r="BP346" s="166">
        <v>0</v>
      </c>
      <c r="BQ346" s="81" t="s">
        <v>1759</v>
      </c>
      <c r="BS346" s="81" t="s">
        <v>155</v>
      </c>
      <c r="BZ346" s="81" t="s">
        <v>155</v>
      </c>
      <c r="CA346" s="81">
        <v>12</v>
      </c>
      <c r="CC346" s="167">
        <v>0</v>
      </c>
      <c r="CD346" s="167">
        <v>0</v>
      </c>
      <c r="CE346" s="167">
        <v>0</v>
      </c>
      <c r="CF346" s="167">
        <v>0</v>
      </c>
      <c r="CG346" s="167">
        <v>0</v>
      </c>
      <c r="CH346" s="167">
        <v>0</v>
      </c>
      <c r="CI346" s="167">
        <v>0</v>
      </c>
      <c r="CJ346" s="167">
        <v>0</v>
      </c>
      <c r="CK346" s="167">
        <v>0</v>
      </c>
      <c r="CL346" s="167">
        <v>0</v>
      </c>
      <c r="CM346" s="167">
        <v>54</v>
      </c>
      <c r="CN346" s="167">
        <v>0</v>
      </c>
      <c r="CO346" s="167">
        <v>0</v>
      </c>
      <c r="CP346" s="167">
        <v>0</v>
      </c>
      <c r="CQ346" s="167">
        <v>0</v>
      </c>
      <c r="CR346" s="167">
        <v>0</v>
      </c>
      <c r="CS346" s="167">
        <v>0</v>
      </c>
      <c r="CT346" s="167">
        <v>0</v>
      </c>
      <c r="CU346" s="167">
        <v>0</v>
      </c>
      <c r="CV346" s="167">
        <v>0</v>
      </c>
      <c r="CW346" s="167">
        <v>0</v>
      </c>
      <c r="CX346" s="167">
        <f>SUM(CD346:CH346)</f>
        <v>0</v>
      </c>
      <c r="CY346" s="167">
        <f>SUM(CD346:CM346)</f>
        <v>54</v>
      </c>
    </row>
    <row r="347" spans="1:103" ht="12.75" customHeight="1" x14ac:dyDescent="0.2">
      <c r="A347" s="81">
        <v>3511</v>
      </c>
      <c r="B347" s="165" t="s">
        <v>1908</v>
      </c>
      <c r="C347" s="165" t="s">
        <v>33</v>
      </c>
      <c r="D347" s="165" t="s">
        <v>34</v>
      </c>
      <c r="E347" s="165" t="s">
        <v>2412</v>
      </c>
      <c r="F347" s="165" t="s">
        <v>1099</v>
      </c>
      <c r="G347" s="81">
        <v>529369</v>
      </c>
      <c r="H347" s="81">
        <v>177317</v>
      </c>
      <c r="I347" s="165" t="s">
        <v>240</v>
      </c>
      <c r="J347" s="349">
        <v>42825</v>
      </c>
      <c r="L347" s="166">
        <v>0</v>
      </c>
      <c r="M347" s="166">
        <v>59</v>
      </c>
      <c r="N347" s="166">
        <v>59</v>
      </c>
      <c r="O347" s="166">
        <v>2971</v>
      </c>
      <c r="P347" s="166">
        <v>2971</v>
      </c>
      <c r="Q347" s="81" t="s">
        <v>155</v>
      </c>
      <c r="R347" s="165" t="s">
        <v>1090</v>
      </c>
      <c r="S347" s="81" t="s">
        <v>24</v>
      </c>
      <c r="T347" s="349">
        <v>41774</v>
      </c>
      <c r="U347" s="349">
        <v>42046</v>
      </c>
      <c r="W347" s="81" t="s">
        <v>114</v>
      </c>
      <c r="Y347" s="81" t="s">
        <v>115</v>
      </c>
      <c r="Z347" s="81" t="s">
        <v>116</v>
      </c>
      <c r="AA347" s="81" t="s">
        <v>116</v>
      </c>
      <c r="AB347" s="81" t="s">
        <v>117</v>
      </c>
      <c r="AC347" s="166">
        <v>0</v>
      </c>
      <c r="AG347" s="81" t="s">
        <v>238</v>
      </c>
      <c r="AH347" s="81" t="s">
        <v>118</v>
      </c>
      <c r="AI347" s="81" t="s">
        <v>2413</v>
      </c>
      <c r="AK347" s="166">
        <v>0</v>
      </c>
      <c r="AM347" s="166">
        <v>0</v>
      </c>
      <c r="AO347" s="166">
        <v>7</v>
      </c>
      <c r="AP347" s="166">
        <v>12</v>
      </c>
      <c r="AQ347" s="166">
        <v>36</v>
      </c>
      <c r="AR347" s="166">
        <v>4</v>
      </c>
      <c r="AS347" s="166">
        <v>0</v>
      </c>
      <c r="AT347" s="166">
        <v>0</v>
      </c>
      <c r="AU347" s="166">
        <v>0</v>
      </c>
      <c r="AV347" s="166">
        <v>7</v>
      </c>
      <c r="AW347" s="166">
        <v>12</v>
      </c>
      <c r="AX347" s="166">
        <v>36</v>
      </c>
      <c r="AY347" s="166">
        <v>4</v>
      </c>
      <c r="AZ347" s="166">
        <v>0</v>
      </c>
      <c r="BA347" s="166">
        <v>0</v>
      </c>
      <c r="BB347" s="166">
        <v>0</v>
      </c>
      <c r="BC347" s="166">
        <v>0</v>
      </c>
      <c r="BD347" s="166">
        <v>0</v>
      </c>
      <c r="BE347" s="166">
        <v>0</v>
      </c>
      <c r="BF347" s="166">
        <v>0</v>
      </c>
      <c r="BG347" s="166">
        <v>0</v>
      </c>
      <c r="BH347" s="166">
        <v>0</v>
      </c>
      <c r="BI347" s="166">
        <v>0</v>
      </c>
      <c r="BJ347" s="166">
        <v>0</v>
      </c>
      <c r="BK347" s="166">
        <v>0</v>
      </c>
      <c r="BL347" s="166">
        <v>0</v>
      </c>
      <c r="BM347" s="166">
        <v>0</v>
      </c>
      <c r="BN347" s="166">
        <v>0</v>
      </c>
      <c r="BO347" s="166">
        <v>0</v>
      </c>
      <c r="BP347" s="166">
        <v>0</v>
      </c>
      <c r="BQ347" s="81" t="s">
        <v>1759</v>
      </c>
      <c r="BS347" s="81" t="s">
        <v>155</v>
      </c>
      <c r="BZ347" s="81" t="s">
        <v>155</v>
      </c>
      <c r="CA347" s="81">
        <v>12</v>
      </c>
      <c r="CC347" s="167">
        <v>0</v>
      </c>
      <c r="CD347" s="167">
        <v>0</v>
      </c>
      <c r="CE347" s="167">
        <v>0</v>
      </c>
      <c r="CF347" s="167">
        <v>0</v>
      </c>
      <c r="CG347" s="167">
        <v>0</v>
      </c>
      <c r="CH347" s="167">
        <v>0</v>
      </c>
      <c r="CI347" s="167">
        <v>0</v>
      </c>
      <c r="CJ347" s="167">
        <v>0</v>
      </c>
      <c r="CK347" s="167">
        <v>0</v>
      </c>
      <c r="CL347" s="167">
        <v>0</v>
      </c>
      <c r="CM347" s="167">
        <v>59</v>
      </c>
      <c r="CN347" s="167">
        <v>0</v>
      </c>
      <c r="CO347" s="167">
        <v>0</v>
      </c>
      <c r="CP347" s="167">
        <v>0</v>
      </c>
      <c r="CQ347" s="167">
        <v>0</v>
      </c>
      <c r="CR347" s="167">
        <v>0</v>
      </c>
      <c r="CS347" s="167">
        <v>0</v>
      </c>
      <c r="CT347" s="167">
        <v>0</v>
      </c>
      <c r="CU347" s="167">
        <v>0</v>
      </c>
      <c r="CV347" s="167">
        <v>0</v>
      </c>
      <c r="CW347" s="167">
        <v>0</v>
      </c>
      <c r="CX347" s="167">
        <f>SUM(CD347:CH347)</f>
        <v>0</v>
      </c>
      <c r="CY347" s="167">
        <f>SUM(CD347:CM347)</f>
        <v>59</v>
      </c>
    </row>
    <row r="348" spans="1:103" ht="12.75" customHeight="1" x14ac:dyDescent="0.2">
      <c r="A348" s="81">
        <v>3511</v>
      </c>
      <c r="B348" s="165" t="s">
        <v>1908</v>
      </c>
      <c r="C348" s="165" t="s">
        <v>33</v>
      </c>
      <c r="D348" s="165" t="s">
        <v>34</v>
      </c>
      <c r="E348" s="165" t="s">
        <v>2412</v>
      </c>
      <c r="F348" s="165" t="s">
        <v>1100</v>
      </c>
      <c r="G348" s="81">
        <v>529369</v>
      </c>
      <c r="H348" s="81">
        <v>177317</v>
      </c>
      <c r="I348" s="165" t="s">
        <v>240</v>
      </c>
      <c r="J348" s="349">
        <v>42825</v>
      </c>
      <c r="L348" s="166">
        <v>0</v>
      </c>
      <c r="M348" s="166">
        <v>95</v>
      </c>
      <c r="N348" s="166">
        <v>95</v>
      </c>
      <c r="O348" s="166">
        <v>2971</v>
      </c>
      <c r="P348" s="166">
        <v>2971</v>
      </c>
      <c r="Q348" s="81" t="s">
        <v>155</v>
      </c>
      <c r="R348" s="165" t="s">
        <v>1090</v>
      </c>
      <c r="S348" s="81" t="s">
        <v>24</v>
      </c>
      <c r="T348" s="349">
        <v>41774</v>
      </c>
      <c r="U348" s="349">
        <v>42046</v>
      </c>
      <c r="W348" s="81" t="s">
        <v>114</v>
      </c>
      <c r="Y348" s="81" t="s">
        <v>115</v>
      </c>
      <c r="Z348" s="81" t="s">
        <v>116</v>
      </c>
      <c r="AA348" s="81" t="s">
        <v>116</v>
      </c>
      <c r="AB348" s="81" t="s">
        <v>117</v>
      </c>
      <c r="AC348" s="166">
        <v>1.3999999761581401</v>
      </c>
      <c r="AG348" s="81" t="s">
        <v>238</v>
      </c>
      <c r="AH348" s="81" t="s">
        <v>118</v>
      </c>
      <c r="AI348" s="81" t="s">
        <v>2413</v>
      </c>
      <c r="AK348" s="166">
        <v>0</v>
      </c>
      <c r="AM348" s="166">
        <v>0</v>
      </c>
      <c r="AO348" s="166">
        <v>12</v>
      </c>
      <c r="AP348" s="166">
        <v>19</v>
      </c>
      <c r="AQ348" s="166">
        <v>57</v>
      </c>
      <c r="AR348" s="166">
        <v>7</v>
      </c>
      <c r="AS348" s="166">
        <v>0</v>
      </c>
      <c r="AT348" s="166">
        <v>0</v>
      </c>
      <c r="AU348" s="166">
        <v>0</v>
      </c>
      <c r="AV348" s="166">
        <v>12</v>
      </c>
      <c r="AW348" s="166">
        <v>19</v>
      </c>
      <c r="AX348" s="166">
        <v>57</v>
      </c>
      <c r="AY348" s="166">
        <v>7</v>
      </c>
      <c r="AZ348" s="166">
        <v>0</v>
      </c>
      <c r="BA348" s="166">
        <v>0</v>
      </c>
      <c r="BB348" s="166">
        <v>0</v>
      </c>
      <c r="BC348" s="166">
        <v>0</v>
      </c>
      <c r="BD348" s="166">
        <v>0</v>
      </c>
      <c r="BE348" s="166">
        <v>0</v>
      </c>
      <c r="BF348" s="166">
        <v>0</v>
      </c>
      <c r="BG348" s="166">
        <v>0</v>
      </c>
      <c r="BH348" s="166">
        <v>0</v>
      </c>
      <c r="BI348" s="166">
        <v>0</v>
      </c>
      <c r="BJ348" s="166">
        <v>0</v>
      </c>
      <c r="BK348" s="166">
        <v>0</v>
      </c>
      <c r="BL348" s="166">
        <v>0</v>
      </c>
      <c r="BM348" s="166">
        <v>0</v>
      </c>
      <c r="BN348" s="166">
        <v>0</v>
      </c>
      <c r="BO348" s="166">
        <v>0</v>
      </c>
      <c r="BP348" s="166">
        <v>0</v>
      </c>
      <c r="BQ348" s="81" t="s">
        <v>1759</v>
      </c>
      <c r="BS348" s="81" t="s">
        <v>155</v>
      </c>
      <c r="BZ348" s="81" t="s">
        <v>155</v>
      </c>
      <c r="CA348" s="81">
        <v>12</v>
      </c>
      <c r="CC348" s="167">
        <v>0</v>
      </c>
      <c r="CD348" s="167">
        <v>0</v>
      </c>
      <c r="CE348" s="167">
        <v>0</v>
      </c>
      <c r="CF348" s="167">
        <v>0</v>
      </c>
      <c r="CG348" s="167">
        <v>0</v>
      </c>
      <c r="CH348" s="167">
        <v>0</v>
      </c>
      <c r="CI348" s="167">
        <v>0</v>
      </c>
      <c r="CJ348" s="167">
        <v>0</v>
      </c>
      <c r="CK348" s="167">
        <v>0</v>
      </c>
      <c r="CL348" s="167">
        <v>0</v>
      </c>
      <c r="CM348" s="167">
        <v>95</v>
      </c>
      <c r="CN348" s="167">
        <v>0</v>
      </c>
      <c r="CO348" s="167">
        <v>0</v>
      </c>
      <c r="CP348" s="167">
        <v>0</v>
      </c>
      <c r="CQ348" s="167">
        <v>0</v>
      </c>
      <c r="CR348" s="167">
        <v>0</v>
      </c>
      <c r="CS348" s="167">
        <v>0</v>
      </c>
      <c r="CT348" s="167">
        <v>0</v>
      </c>
      <c r="CU348" s="167">
        <v>0</v>
      </c>
      <c r="CV348" s="167">
        <v>0</v>
      </c>
      <c r="CW348" s="167">
        <v>0</v>
      </c>
      <c r="CX348" s="167">
        <f>SUM(CD348:CH348)</f>
        <v>0</v>
      </c>
      <c r="CY348" s="167">
        <f>SUM(CD348:CM348)</f>
        <v>95</v>
      </c>
    </row>
    <row r="349" spans="1:103" ht="12.75" customHeight="1" x14ac:dyDescent="0.2">
      <c r="A349" s="81">
        <v>3511</v>
      </c>
      <c r="B349" s="165" t="s">
        <v>1908</v>
      </c>
      <c r="C349" s="165" t="s">
        <v>33</v>
      </c>
      <c r="D349" s="165" t="s">
        <v>34</v>
      </c>
      <c r="E349" s="165" t="s">
        <v>2412</v>
      </c>
      <c r="F349" s="165" t="s">
        <v>1101</v>
      </c>
      <c r="G349" s="81">
        <v>529369</v>
      </c>
      <c r="H349" s="81">
        <v>177317</v>
      </c>
      <c r="I349" s="165" t="s">
        <v>240</v>
      </c>
      <c r="J349" s="349">
        <v>42825</v>
      </c>
      <c r="L349" s="166">
        <v>0</v>
      </c>
      <c r="M349" s="166">
        <v>87</v>
      </c>
      <c r="N349" s="166">
        <v>87</v>
      </c>
      <c r="O349" s="166">
        <v>2971</v>
      </c>
      <c r="P349" s="166">
        <v>2971</v>
      </c>
      <c r="Q349" s="81" t="s">
        <v>155</v>
      </c>
      <c r="R349" s="165" t="s">
        <v>1090</v>
      </c>
      <c r="S349" s="81" t="s">
        <v>24</v>
      </c>
      <c r="T349" s="349">
        <v>41774</v>
      </c>
      <c r="U349" s="349">
        <v>42046</v>
      </c>
      <c r="W349" s="81" t="s">
        <v>114</v>
      </c>
      <c r="Y349" s="81" t="s">
        <v>115</v>
      </c>
      <c r="Z349" s="81" t="s">
        <v>116</v>
      </c>
      <c r="AA349" s="81" t="s">
        <v>116</v>
      </c>
      <c r="AB349" s="81" t="s">
        <v>117</v>
      </c>
      <c r="AC349" s="166">
        <v>0</v>
      </c>
      <c r="AG349" s="81" t="s">
        <v>238</v>
      </c>
      <c r="AH349" s="81" t="s">
        <v>118</v>
      </c>
      <c r="AI349" s="81" t="s">
        <v>2413</v>
      </c>
      <c r="AK349" s="166">
        <v>0</v>
      </c>
      <c r="AM349" s="166">
        <v>0</v>
      </c>
      <c r="AO349" s="166">
        <v>0</v>
      </c>
      <c r="AP349" s="166">
        <v>17</v>
      </c>
      <c r="AQ349" s="166">
        <v>30</v>
      </c>
      <c r="AR349" s="166">
        <v>40</v>
      </c>
      <c r="AS349" s="166">
        <v>0</v>
      </c>
      <c r="AT349" s="166">
        <v>0</v>
      </c>
      <c r="AU349" s="166">
        <v>0</v>
      </c>
      <c r="AV349" s="166">
        <v>0</v>
      </c>
      <c r="AW349" s="166">
        <v>17</v>
      </c>
      <c r="AX349" s="166">
        <v>30</v>
      </c>
      <c r="AY349" s="166">
        <v>40</v>
      </c>
      <c r="AZ349" s="166">
        <v>0</v>
      </c>
      <c r="BA349" s="166">
        <v>0</v>
      </c>
      <c r="BB349" s="166">
        <v>0</v>
      </c>
      <c r="BC349" s="166">
        <v>0</v>
      </c>
      <c r="BD349" s="166">
        <v>0</v>
      </c>
      <c r="BE349" s="166">
        <v>0</v>
      </c>
      <c r="BF349" s="166">
        <v>0</v>
      </c>
      <c r="BG349" s="166">
        <v>0</v>
      </c>
      <c r="BH349" s="166">
        <v>0</v>
      </c>
      <c r="BI349" s="166">
        <v>0</v>
      </c>
      <c r="BJ349" s="166">
        <v>0</v>
      </c>
      <c r="BK349" s="166">
        <v>0</v>
      </c>
      <c r="BL349" s="166">
        <v>0</v>
      </c>
      <c r="BM349" s="166">
        <v>0</v>
      </c>
      <c r="BN349" s="166">
        <v>0</v>
      </c>
      <c r="BO349" s="166">
        <v>0</v>
      </c>
      <c r="BP349" s="166">
        <v>0</v>
      </c>
      <c r="BQ349" s="81" t="s">
        <v>1759</v>
      </c>
      <c r="BS349" s="81" t="s">
        <v>155</v>
      </c>
      <c r="BZ349" s="81" t="s">
        <v>155</v>
      </c>
      <c r="CA349" s="81">
        <v>12</v>
      </c>
      <c r="CC349" s="167">
        <v>0</v>
      </c>
      <c r="CD349" s="167">
        <v>0</v>
      </c>
      <c r="CE349" s="167">
        <v>0</v>
      </c>
      <c r="CF349" s="167">
        <v>0</v>
      </c>
      <c r="CG349" s="167">
        <v>0</v>
      </c>
      <c r="CH349" s="167">
        <v>0</v>
      </c>
      <c r="CI349" s="167">
        <v>0</v>
      </c>
      <c r="CJ349" s="167">
        <v>0</v>
      </c>
      <c r="CK349" s="167">
        <v>0</v>
      </c>
      <c r="CL349" s="167">
        <v>0</v>
      </c>
      <c r="CM349" s="167">
        <v>0</v>
      </c>
      <c r="CN349" s="167">
        <v>87</v>
      </c>
      <c r="CO349" s="167">
        <v>0</v>
      </c>
      <c r="CP349" s="167">
        <v>0</v>
      </c>
      <c r="CQ349" s="167">
        <v>0</v>
      </c>
      <c r="CR349" s="167">
        <v>0</v>
      </c>
      <c r="CS349" s="167">
        <v>0</v>
      </c>
      <c r="CT349" s="167">
        <v>0</v>
      </c>
      <c r="CU349" s="167">
        <v>0</v>
      </c>
      <c r="CV349" s="167">
        <v>0</v>
      </c>
      <c r="CW349" s="167">
        <v>0</v>
      </c>
      <c r="CX349" s="167">
        <f>SUM(CD349:CH349)</f>
        <v>0</v>
      </c>
      <c r="CY349" s="167">
        <f>SUM(CD349:CM349)</f>
        <v>0</v>
      </c>
    </row>
    <row r="350" spans="1:103" ht="12.75" customHeight="1" x14ac:dyDescent="0.2">
      <c r="A350" s="81">
        <v>3511</v>
      </c>
      <c r="B350" s="165" t="s">
        <v>1908</v>
      </c>
      <c r="C350" s="165" t="s">
        <v>33</v>
      </c>
      <c r="D350" s="165" t="s">
        <v>34</v>
      </c>
      <c r="E350" s="165" t="s">
        <v>2412</v>
      </c>
      <c r="F350" s="165" t="s">
        <v>1102</v>
      </c>
      <c r="G350" s="81">
        <v>529369</v>
      </c>
      <c r="H350" s="81">
        <v>177317</v>
      </c>
      <c r="I350" s="165" t="s">
        <v>240</v>
      </c>
      <c r="J350" s="349">
        <v>42825</v>
      </c>
      <c r="L350" s="166">
        <v>0</v>
      </c>
      <c r="M350" s="166">
        <v>198</v>
      </c>
      <c r="N350" s="166">
        <v>198</v>
      </c>
      <c r="O350" s="166">
        <v>2971</v>
      </c>
      <c r="P350" s="166">
        <v>2971</v>
      </c>
      <c r="Q350" s="81" t="s">
        <v>155</v>
      </c>
      <c r="R350" s="165" t="s">
        <v>1090</v>
      </c>
      <c r="S350" s="81" t="s">
        <v>24</v>
      </c>
      <c r="T350" s="349">
        <v>41774</v>
      </c>
      <c r="U350" s="349">
        <v>42046</v>
      </c>
      <c r="W350" s="81" t="s">
        <v>114</v>
      </c>
      <c r="Y350" s="81" t="s">
        <v>115</v>
      </c>
      <c r="Z350" s="81" t="s">
        <v>116</v>
      </c>
      <c r="AA350" s="81" t="s">
        <v>116</v>
      </c>
      <c r="AB350" s="81" t="s">
        <v>117</v>
      </c>
      <c r="AC350" s="166">
        <v>0</v>
      </c>
      <c r="AD350" s="349"/>
      <c r="AG350" s="81" t="s">
        <v>238</v>
      </c>
      <c r="AH350" s="81" t="s">
        <v>118</v>
      </c>
      <c r="AI350" s="81" t="s">
        <v>2413</v>
      </c>
      <c r="AK350" s="166">
        <v>0</v>
      </c>
      <c r="AM350" s="166">
        <v>0</v>
      </c>
      <c r="AO350" s="166">
        <v>23</v>
      </c>
      <c r="AP350" s="166">
        <v>40</v>
      </c>
      <c r="AQ350" s="166">
        <v>120</v>
      </c>
      <c r="AR350" s="166">
        <v>15</v>
      </c>
      <c r="AS350" s="166">
        <v>0</v>
      </c>
      <c r="AT350" s="166">
        <v>0</v>
      </c>
      <c r="AU350" s="166">
        <v>0</v>
      </c>
      <c r="AV350" s="166">
        <v>23</v>
      </c>
      <c r="AW350" s="166">
        <v>40</v>
      </c>
      <c r="AX350" s="166">
        <v>120</v>
      </c>
      <c r="AY350" s="166">
        <v>15</v>
      </c>
      <c r="AZ350" s="166">
        <v>0</v>
      </c>
      <c r="BA350" s="166">
        <v>0</v>
      </c>
      <c r="BB350" s="166">
        <v>0</v>
      </c>
      <c r="BC350" s="166">
        <v>0</v>
      </c>
      <c r="BD350" s="166">
        <v>0</v>
      </c>
      <c r="BE350" s="166">
        <v>0</v>
      </c>
      <c r="BF350" s="166">
        <v>0</v>
      </c>
      <c r="BG350" s="166">
        <v>0</v>
      </c>
      <c r="BH350" s="166">
        <v>0</v>
      </c>
      <c r="BI350" s="166">
        <v>0</v>
      </c>
      <c r="BJ350" s="166">
        <v>0</v>
      </c>
      <c r="BK350" s="166">
        <v>0</v>
      </c>
      <c r="BL350" s="166">
        <v>0</v>
      </c>
      <c r="BM350" s="166">
        <v>0</v>
      </c>
      <c r="BN350" s="166">
        <v>0</v>
      </c>
      <c r="BO350" s="166">
        <v>0</v>
      </c>
      <c r="BP350" s="166">
        <v>0</v>
      </c>
      <c r="BQ350" s="81" t="s">
        <v>1759</v>
      </c>
      <c r="BS350" s="81" t="s">
        <v>155</v>
      </c>
      <c r="BZ350" s="81" t="s">
        <v>155</v>
      </c>
      <c r="CA350" s="81">
        <v>12</v>
      </c>
      <c r="CC350" s="167">
        <v>0</v>
      </c>
      <c r="CD350" s="167">
        <v>0</v>
      </c>
      <c r="CE350" s="167">
        <v>0</v>
      </c>
      <c r="CF350" s="167">
        <v>144</v>
      </c>
      <c r="CG350" s="167">
        <v>54</v>
      </c>
      <c r="CH350" s="167">
        <v>0</v>
      </c>
      <c r="CI350" s="167">
        <v>0</v>
      </c>
      <c r="CJ350" s="167">
        <v>0</v>
      </c>
      <c r="CK350" s="167">
        <v>0</v>
      </c>
      <c r="CL350" s="167">
        <v>0</v>
      </c>
      <c r="CM350" s="167">
        <v>0</v>
      </c>
      <c r="CN350" s="167">
        <v>0</v>
      </c>
      <c r="CO350" s="167">
        <v>0</v>
      </c>
      <c r="CP350" s="167">
        <v>0</v>
      </c>
      <c r="CQ350" s="167">
        <v>0</v>
      </c>
      <c r="CR350" s="167">
        <v>0</v>
      </c>
      <c r="CS350" s="167">
        <v>0</v>
      </c>
      <c r="CT350" s="167">
        <v>0</v>
      </c>
      <c r="CU350" s="167">
        <v>0</v>
      </c>
      <c r="CV350" s="167">
        <v>0</v>
      </c>
      <c r="CW350" s="167">
        <v>0</v>
      </c>
      <c r="CX350" s="167">
        <f>SUM(CD350:CH350)</f>
        <v>198</v>
      </c>
      <c r="CY350" s="167">
        <f>SUM(CD350:CM350)</f>
        <v>198</v>
      </c>
    </row>
    <row r="351" spans="1:103" ht="12.75" customHeight="1" x14ac:dyDescent="0.2">
      <c r="A351" s="81">
        <v>3511</v>
      </c>
      <c r="B351" s="165" t="s">
        <v>1908</v>
      </c>
      <c r="C351" s="165" t="s">
        <v>33</v>
      </c>
      <c r="D351" s="165" t="s">
        <v>34</v>
      </c>
      <c r="E351" s="165" t="s">
        <v>2412</v>
      </c>
      <c r="F351" s="165" t="s">
        <v>1103</v>
      </c>
      <c r="G351" s="81">
        <v>529369</v>
      </c>
      <c r="H351" s="81">
        <v>177317</v>
      </c>
      <c r="I351" s="165" t="s">
        <v>240</v>
      </c>
      <c r="J351" s="349">
        <v>42825</v>
      </c>
      <c r="L351" s="166">
        <v>0</v>
      </c>
      <c r="M351" s="166">
        <v>338</v>
      </c>
      <c r="N351" s="166">
        <v>338</v>
      </c>
      <c r="O351" s="166">
        <v>2971</v>
      </c>
      <c r="P351" s="166">
        <v>2971</v>
      </c>
      <c r="Q351" s="81" t="s">
        <v>155</v>
      </c>
      <c r="R351" s="165" t="s">
        <v>1090</v>
      </c>
      <c r="S351" s="81" t="s">
        <v>24</v>
      </c>
      <c r="T351" s="349">
        <v>41774</v>
      </c>
      <c r="U351" s="349">
        <v>42046</v>
      </c>
      <c r="W351" s="81" t="s">
        <v>114</v>
      </c>
      <c r="Y351" s="81" t="s">
        <v>115</v>
      </c>
      <c r="Z351" s="81" t="s">
        <v>116</v>
      </c>
      <c r="AA351" s="81" t="s">
        <v>116</v>
      </c>
      <c r="AB351" s="81" t="s">
        <v>117</v>
      </c>
      <c r="AC351" s="166">
        <v>0</v>
      </c>
      <c r="AD351" s="349"/>
      <c r="AG351" s="81" t="s">
        <v>238</v>
      </c>
      <c r="AH351" s="81" t="s">
        <v>118</v>
      </c>
      <c r="AI351" s="81" t="s">
        <v>2413</v>
      </c>
      <c r="AK351" s="166">
        <v>0</v>
      </c>
      <c r="AM351" s="166">
        <v>0</v>
      </c>
      <c r="AO351" s="166">
        <v>0</v>
      </c>
      <c r="AP351" s="166">
        <v>67</v>
      </c>
      <c r="AQ351" s="166">
        <v>119</v>
      </c>
      <c r="AR351" s="166">
        <v>152</v>
      </c>
      <c r="AS351" s="166">
        <v>0</v>
      </c>
      <c r="AT351" s="166">
        <v>0</v>
      </c>
      <c r="AU351" s="166">
        <v>0</v>
      </c>
      <c r="AV351" s="166">
        <v>0</v>
      </c>
      <c r="AW351" s="166">
        <v>67</v>
      </c>
      <c r="AX351" s="166">
        <v>119</v>
      </c>
      <c r="AY351" s="166">
        <v>152</v>
      </c>
      <c r="AZ351" s="166">
        <v>0</v>
      </c>
      <c r="BA351" s="166">
        <v>0</v>
      </c>
      <c r="BB351" s="166">
        <v>0</v>
      </c>
      <c r="BC351" s="166">
        <v>0</v>
      </c>
      <c r="BD351" s="166">
        <v>0</v>
      </c>
      <c r="BE351" s="166">
        <v>0</v>
      </c>
      <c r="BF351" s="166">
        <v>0</v>
      </c>
      <c r="BG351" s="166">
        <v>0</v>
      </c>
      <c r="BH351" s="166">
        <v>0</v>
      </c>
      <c r="BI351" s="166">
        <v>0</v>
      </c>
      <c r="BJ351" s="166">
        <v>0</v>
      </c>
      <c r="BK351" s="166">
        <v>0</v>
      </c>
      <c r="BL351" s="166">
        <v>0</v>
      </c>
      <c r="BM351" s="166">
        <v>0</v>
      </c>
      <c r="BN351" s="166">
        <v>0</v>
      </c>
      <c r="BO351" s="166">
        <v>0</v>
      </c>
      <c r="BP351" s="166">
        <v>0</v>
      </c>
      <c r="BQ351" s="81" t="s">
        <v>1759</v>
      </c>
      <c r="BS351" s="81" t="s">
        <v>155</v>
      </c>
      <c r="BZ351" s="81" t="s">
        <v>155</v>
      </c>
      <c r="CA351" s="81">
        <v>12</v>
      </c>
      <c r="CC351" s="167">
        <v>0</v>
      </c>
      <c r="CD351" s="167">
        <v>0</v>
      </c>
      <c r="CE351" s="167">
        <v>0</v>
      </c>
      <c r="CF351" s="167">
        <v>0</v>
      </c>
      <c r="CG351" s="167">
        <v>144</v>
      </c>
      <c r="CH351" s="167">
        <v>144</v>
      </c>
      <c r="CI351" s="167">
        <v>50</v>
      </c>
      <c r="CJ351" s="167">
        <v>0</v>
      </c>
      <c r="CK351" s="167">
        <v>0</v>
      </c>
      <c r="CL351" s="167">
        <v>0</v>
      </c>
      <c r="CM351" s="167">
        <v>0</v>
      </c>
      <c r="CN351" s="167">
        <v>0</v>
      </c>
      <c r="CO351" s="167">
        <v>0</v>
      </c>
      <c r="CP351" s="167">
        <v>0</v>
      </c>
      <c r="CQ351" s="167">
        <v>0</v>
      </c>
      <c r="CR351" s="167">
        <v>0</v>
      </c>
      <c r="CS351" s="167">
        <v>0</v>
      </c>
      <c r="CT351" s="167">
        <v>0</v>
      </c>
      <c r="CU351" s="167">
        <v>0</v>
      </c>
      <c r="CV351" s="167">
        <v>0</v>
      </c>
      <c r="CW351" s="167">
        <v>0</v>
      </c>
      <c r="CX351" s="167">
        <f>SUM(CD351:CH351)</f>
        <v>288</v>
      </c>
      <c r="CY351" s="167">
        <f>SUM(CD351:CM351)</f>
        <v>338</v>
      </c>
    </row>
    <row r="352" spans="1:103" ht="12.75" customHeight="1" x14ac:dyDescent="0.2">
      <c r="A352" s="81">
        <v>3511</v>
      </c>
      <c r="B352" s="165" t="s">
        <v>1908</v>
      </c>
      <c r="C352" s="165" t="s">
        <v>33</v>
      </c>
      <c r="D352" s="165" t="s">
        <v>34</v>
      </c>
      <c r="E352" s="165" t="s">
        <v>2412</v>
      </c>
      <c r="F352" s="165" t="s">
        <v>1104</v>
      </c>
      <c r="G352" s="81">
        <v>529369</v>
      </c>
      <c r="H352" s="81">
        <v>177317</v>
      </c>
      <c r="I352" s="165" t="s">
        <v>240</v>
      </c>
      <c r="J352" s="349">
        <v>42825</v>
      </c>
      <c r="L352" s="166">
        <v>0</v>
      </c>
      <c r="M352" s="166">
        <v>13</v>
      </c>
      <c r="N352" s="166">
        <v>13</v>
      </c>
      <c r="O352" s="166">
        <v>2971</v>
      </c>
      <c r="P352" s="166">
        <v>2971</v>
      </c>
      <c r="Q352" s="81" t="s">
        <v>155</v>
      </c>
      <c r="R352" s="165" t="s">
        <v>1090</v>
      </c>
      <c r="S352" s="81" t="s">
        <v>24</v>
      </c>
      <c r="T352" s="349">
        <v>41774</v>
      </c>
      <c r="U352" s="349">
        <v>42046</v>
      </c>
      <c r="W352" s="81" t="s">
        <v>114</v>
      </c>
      <c r="Y352" s="81" t="s">
        <v>115</v>
      </c>
      <c r="Z352" s="81" t="s">
        <v>116</v>
      </c>
      <c r="AA352" s="81" t="s">
        <v>116</v>
      </c>
      <c r="AB352" s="81" t="s">
        <v>117</v>
      </c>
      <c r="AC352" s="166">
        <v>0</v>
      </c>
      <c r="AD352" s="349"/>
      <c r="AG352" s="81" t="s">
        <v>74</v>
      </c>
      <c r="AH352" s="81" t="s">
        <v>1913</v>
      </c>
      <c r="AI352" s="81" t="s">
        <v>2413</v>
      </c>
      <c r="AK352" s="166">
        <v>0</v>
      </c>
      <c r="AM352" s="166">
        <v>0</v>
      </c>
      <c r="AO352" s="166">
        <v>0</v>
      </c>
      <c r="AP352" s="166">
        <v>6</v>
      </c>
      <c r="AQ352" s="166">
        <v>6</v>
      </c>
      <c r="AR352" s="166">
        <v>1</v>
      </c>
      <c r="AS352" s="166">
        <v>0</v>
      </c>
      <c r="AT352" s="166">
        <v>0</v>
      </c>
      <c r="AU352" s="166">
        <v>0</v>
      </c>
      <c r="AV352" s="166">
        <v>0</v>
      </c>
      <c r="AW352" s="166">
        <v>6</v>
      </c>
      <c r="AX352" s="166">
        <v>6</v>
      </c>
      <c r="AY352" s="166">
        <v>1</v>
      </c>
      <c r="AZ352" s="166">
        <v>0</v>
      </c>
      <c r="BA352" s="166">
        <v>0</v>
      </c>
      <c r="BB352" s="166">
        <v>0</v>
      </c>
      <c r="BC352" s="166">
        <v>0</v>
      </c>
      <c r="BD352" s="166">
        <v>0</v>
      </c>
      <c r="BE352" s="166">
        <v>0</v>
      </c>
      <c r="BF352" s="166">
        <v>0</v>
      </c>
      <c r="BG352" s="166">
        <v>0</v>
      </c>
      <c r="BH352" s="166">
        <v>0</v>
      </c>
      <c r="BI352" s="166">
        <v>0</v>
      </c>
      <c r="BJ352" s="166">
        <v>0</v>
      </c>
      <c r="BK352" s="166">
        <v>0</v>
      </c>
      <c r="BL352" s="166">
        <v>0</v>
      </c>
      <c r="BM352" s="166">
        <v>0</v>
      </c>
      <c r="BN352" s="166">
        <v>0</v>
      </c>
      <c r="BO352" s="166">
        <v>0</v>
      </c>
      <c r="BP352" s="166">
        <v>0</v>
      </c>
      <c r="BQ352" s="81" t="s">
        <v>1759</v>
      </c>
      <c r="BS352" s="81" t="s">
        <v>155</v>
      </c>
      <c r="BZ352" s="81" t="s">
        <v>155</v>
      </c>
      <c r="CA352" s="81">
        <v>12</v>
      </c>
      <c r="CC352" s="167">
        <v>0</v>
      </c>
      <c r="CD352" s="167">
        <v>0</v>
      </c>
      <c r="CE352" s="167">
        <v>13</v>
      </c>
      <c r="CF352" s="167">
        <v>0</v>
      </c>
      <c r="CG352" s="167">
        <v>0</v>
      </c>
      <c r="CH352" s="167">
        <v>0</v>
      </c>
      <c r="CI352" s="167">
        <v>0</v>
      </c>
      <c r="CJ352" s="167">
        <v>0</v>
      </c>
      <c r="CK352" s="167">
        <v>0</v>
      </c>
      <c r="CL352" s="167">
        <v>0</v>
      </c>
      <c r="CM352" s="167">
        <v>0</v>
      </c>
      <c r="CN352" s="167">
        <v>0</v>
      </c>
      <c r="CO352" s="167">
        <v>0</v>
      </c>
      <c r="CP352" s="167">
        <v>0</v>
      </c>
      <c r="CQ352" s="167">
        <v>0</v>
      </c>
      <c r="CR352" s="167">
        <v>0</v>
      </c>
      <c r="CS352" s="167">
        <v>0</v>
      </c>
      <c r="CT352" s="167">
        <v>0</v>
      </c>
      <c r="CU352" s="167">
        <v>0</v>
      </c>
      <c r="CV352" s="167">
        <v>0</v>
      </c>
      <c r="CW352" s="167">
        <v>0</v>
      </c>
      <c r="CX352" s="167">
        <f>SUM(CD352:CH352)</f>
        <v>13</v>
      </c>
      <c r="CY352" s="167">
        <f>SUM(CD352:CM352)</f>
        <v>13</v>
      </c>
    </row>
    <row r="353" spans="1:103" ht="12.75" customHeight="1" x14ac:dyDescent="0.2">
      <c r="A353" s="81">
        <v>3511</v>
      </c>
      <c r="B353" s="165" t="s">
        <v>1908</v>
      </c>
      <c r="C353" s="165" t="s">
        <v>33</v>
      </c>
      <c r="D353" s="165" t="s">
        <v>34</v>
      </c>
      <c r="E353" s="165" t="s">
        <v>2412</v>
      </c>
      <c r="F353" s="165" t="s">
        <v>1105</v>
      </c>
      <c r="G353" s="81">
        <v>529369</v>
      </c>
      <c r="H353" s="81">
        <v>177317</v>
      </c>
      <c r="I353" s="165" t="s">
        <v>240</v>
      </c>
      <c r="J353" s="349">
        <v>42825</v>
      </c>
      <c r="L353" s="166">
        <v>0</v>
      </c>
      <c r="M353" s="166">
        <v>81</v>
      </c>
      <c r="N353" s="166">
        <v>81</v>
      </c>
      <c r="O353" s="166">
        <v>2971</v>
      </c>
      <c r="P353" s="166">
        <v>2971</v>
      </c>
      <c r="Q353" s="81" t="s">
        <v>155</v>
      </c>
      <c r="R353" s="165" t="s">
        <v>1090</v>
      </c>
      <c r="S353" s="81" t="s">
        <v>24</v>
      </c>
      <c r="T353" s="349">
        <v>41774</v>
      </c>
      <c r="U353" s="349">
        <v>42046</v>
      </c>
      <c r="W353" s="81" t="s">
        <v>114</v>
      </c>
      <c r="Y353" s="81" t="s">
        <v>115</v>
      </c>
      <c r="Z353" s="81" t="s">
        <v>116</v>
      </c>
      <c r="AA353" s="81" t="s">
        <v>116</v>
      </c>
      <c r="AB353" s="81" t="s">
        <v>117</v>
      </c>
      <c r="AC353" s="166">
        <v>0</v>
      </c>
      <c r="AD353" s="349"/>
      <c r="AG353" s="81" t="s">
        <v>74</v>
      </c>
      <c r="AH353" s="81" t="s">
        <v>1913</v>
      </c>
      <c r="AI353" s="81" t="s">
        <v>2413</v>
      </c>
      <c r="AK353" s="166">
        <v>0</v>
      </c>
      <c r="AM353" s="166">
        <v>0</v>
      </c>
      <c r="AO353" s="166">
        <v>0</v>
      </c>
      <c r="AP353" s="166">
        <v>37</v>
      </c>
      <c r="AQ353" s="166">
        <v>36</v>
      </c>
      <c r="AR353" s="166">
        <v>8</v>
      </c>
      <c r="AS353" s="166">
        <v>0</v>
      </c>
      <c r="AT353" s="166">
        <v>0</v>
      </c>
      <c r="AU353" s="166">
        <v>0</v>
      </c>
      <c r="AV353" s="166">
        <v>0</v>
      </c>
      <c r="AW353" s="166">
        <v>37</v>
      </c>
      <c r="AX353" s="166">
        <v>36</v>
      </c>
      <c r="AY353" s="166">
        <v>8</v>
      </c>
      <c r="AZ353" s="166">
        <v>0</v>
      </c>
      <c r="BA353" s="166">
        <v>0</v>
      </c>
      <c r="BB353" s="166">
        <v>0</v>
      </c>
      <c r="BC353" s="166">
        <v>0</v>
      </c>
      <c r="BD353" s="166">
        <v>0</v>
      </c>
      <c r="BE353" s="166">
        <v>0</v>
      </c>
      <c r="BF353" s="166">
        <v>0</v>
      </c>
      <c r="BG353" s="166">
        <v>0</v>
      </c>
      <c r="BH353" s="166">
        <v>0</v>
      </c>
      <c r="BI353" s="166">
        <v>0</v>
      </c>
      <c r="BJ353" s="166">
        <v>0</v>
      </c>
      <c r="BK353" s="166">
        <v>0</v>
      </c>
      <c r="BL353" s="166">
        <v>0</v>
      </c>
      <c r="BM353" s="166">
        <v>0</v>
      </c>
      <c r="BN353" s="166">
        <v>0</v>
      </c>
      <c r="BO353" s="166">
        <v>0</v>
      </c>
      <c r="BP353" s="166">
        <v>0</v>
      </c>
      <c r="BQ353" s="81" t="s">
        <v>1759</v>
      </c>
      <c r="BS353" s="81" t="s">
        <v>155</v>
      </c>
      <c r="BZ353" s="81" t="s">
        <v>155</v>
      </c>
      <c r="CA353" s="81">
        <v>12</v>
      </c>
      <c r="CC353" s="167">
        <v>0</v>
      </c>
      <c r="CD353" s="167">
        <v>0</v>
      </c>
      <c r="CE353" s="167">
        <v>0</v>
      </c>
      <c r="CF353" s="167">
        <v>81</v>
      </c>
      <c r="CG353" s="167">
        <v>0</v>
      </c>
      <c r="CH353" s="167">
        <v>0</v>
      </c>
      <c r="CI353" s="167">
        <v>0</v>
      </c>
      <c r="CJ353" s="167">
        <v>0</v>
      </c>
      <c r="CK353" s="167">
        <v>0</v>
      </c>
      <c r="CL353" s="167">
        <v>0</v>
      </c>
      <c r="CM353" s="167">
        <v>0</v>
      </c>
      <c r="CN353" s="167">
        <v>0</v>
      </c>
      <c r="CO353" s="167">
        <v>0</v>
      </c>
      <c r="CP353" s="167">
        <v>0</v>
      </c>
      <c r="CQ353" s="167">
        <v>0</v>
      </c>
      <c r="CR353" s="167">
        <v>0</v>
      </c>
      <c r="CS353" s="167">
        <v>0</v>
      </c>
      <c r="CT353" s="167">
        <v>0</v>
      </c>
      <c r="CU353" s="167">
        <v>0</v>
      </c>
      <c r="CV353" s="167">
        <v>0</v>
      </c>
      <c r="CW353" s="167">
        <v>0</v>
      </c>
      <c r="CX353" s="167">
        <f>SUM(CD353:CH353)</f>
        <v>81</v>
      </c>
      <c r="CY353" s="167">
        <f>SUM(CD353:CM353)</f>
        <v>81</v>
      </c>
    </row>
    <row r="354" spans="1:103" ht="12.75" customHeight="1" x14ac:dyDescent="0.2">
      <c r="A354" s="81">
        <v>3511</v>
      </c>
      <c r="B354" s="165" t="s">
        <v>1908</v>
      </c>
      <c r="C354" s="165" t="s">
        <v>33</v>
      </c>
      <c r="D354" s="165" t="s">
        <v>34</v>
      </c>
      <c r="E354" s="165" t="s">
        <v>2412</v>
      </c>
      <c r="F354" s="165" t="s">
        <v>1106</v>
      </c>
      <c r="G354" s="81">
        <v>529369</v>
      </c>
      <c r="H354" s="81">
        <v>177317</v>
      </c>
      <c r="I354" s="165" t="s">
        <v>240</v>
      </c>
      <c r="J354" s="349">
        <v>42825</v>
      </c>
      <c r="L354" s="166">
        <v>0</v>
      </c>
      <c r="M354" s="166">
        <v>73</v>
      </c>
      <c r="N354" s="166">
        <v>73</v>
      </c>
      <c r="O354" s="166">
        <v>2971</v>
      </c>
      <c r="P354" s="166">
        <v>2971</v>
      </c>
      <c r="Q354" s="81" t="s">
        <v>155</v>
      </c>
      <c r="R354" s="165" t="s">
        <v>1090</v>
      </c>
      <c r="S354" s="81" t="s">
        <v>24</v>
      </c>
      <c r="T354" s="349">
        <v>41774</v>
      </c>
      <c r="U354" s="349">
        <v>42046</v>
      </c>
      <c r="W354" s="81" t="s">
        <v>114</v>
      </c>
      <c r="Y354" s="81" t="s">
        <v>115</v>
      </c>
      <c r="Z354" s="81" t="s">
        <v>116</v>
      </c>
      <c r="AA354" s="81" t="s">
        <v>116</v>
      </c>
      <c r="AB354" s="81" t="s">
        <v>117</v>
      </c>
      <c r="AC354" s="166">
        <v>0</v>
      </c>
      <c r="AD354" s="349"/>
      <c r="AG354" s="81" t="s">
        <v>238</v>
      </c>
      <c r="AH354" s="81" t="s">
        <v>118</v>
      </c>
      <c r="AI354" s="81" t="s">
        <v>2413</v>
      </c>
      <c r="AK354" s="166">
        <v>0</v>
      </c>
      <c r="AM354" s="166">
        <v>0</v>
      </c>
      <c r="AO354" s="166">
        <v>9</v>
      </c>
      <c r="AP354" s="166">
        <v>15</v>
      </c>
      <c r="AQ354" s="166">
        <v>43</v>
      </c>
      <c r="AR354" s="166">
        <v>6</v>
      </c>
      <c r="AS354" s="166">
        <v>0</v>
      </c>
      <c r="AT354" s="166">
        <v>0</v>
      </c>
      <c r="AU354" s="166">
        <v>0</v>
      </c>
      <c r="AV354" s="166">
        <v>9</v>
      </c>
      <c r="AW354" s="166">
        <v>15</v>
      </c>
      <c r="AX354" s="166">
        <v>43</v>
      </c>
      <c r="AY354" s="166">
        <v>6</v>
      </c>
      <c r="AZ354" s="166">
        <v>0</v>
      </c>
      <c r="BA354" s="166">
        <v>0</v>
      </c>
      <c r="BB354" s="166">
        <v>0</v>
      </c>
      <c r="BC354" s="166">
        <v>0</v>
      </c>
      <c r="BD354" s="166">
        <v>0</v>
      </c>
      <c r="BE354" s="166">
        <v>0</v>
      </c>
      <c r="BF354" s="166">
        <v>0</v>
      </c>
      <c r="BG354" s="166">
        <v>0</v>
      </c>
      <c r="BH354" s="166">
        <v>0</v>
      </c>
      <c r="BI354" s="166">
        <v>0</v>
      </c>
      <c r="BJ354" s="166">
        <v>0</v>
      </c>
      <c r="BK354" s="166">
        <v>0</v>
      </c>
      <c r="BL354" s="166">
        <v>0</v>
      </c>
      <c r="BM354" s="166">
        <v>0</v>
      </c>
      <c r="BN354" s="166">
        <v>0</v>
      </c>
      <c r="BO354" s="166">
        <v>0</v>
      </c>
      <c r="BP354" s="166">
        <v>0</v>
      </c>
      <c r="BQ354" s="81" t="s">
        <v>1759</v>
      </c>
      <c r="BS354" s="81" t="s">
        <v>155</v>
      </c>
      <c r="BZ354" s="81" t="s">
        <v>155</v>
      </c>
      <c r="CA354" s="81">
        <v>12</v>
      </c>
      <c r="CC354" s="167">
        <v>0</v>
      </c>
      <c r="CD354" s="167">
        <v>0</v>
      </c>
      <c r="CE354" s="167">
        <v>0</v>
      </c>
      <c r="CF354" s="167">
        <v>73</v>
      </c>
      <c r="CG354" s="167">
        <v>0</v>
      </c>
      <c r="CH354" s="167">
        <v>0</v>
      </c>
      <c r="CI354" s="167">
        <v>0</v>
      </c>
      <c r="CJ354" s="167">
        <v>0</v>
      </c>
      <c r="CK354" s="167">
        <v>0</v>
      </c>
      <c r="CL354" s="167">
        <v>0</v>
      </c>
      <c r="CM354" s="167">
        <v>0</v>
      </c>
      <c r="CN354" s="167">
        <v>0</v>
      </c>
      <c r="CO354" s="167">
        <v>0</v>
      </c>
      <c r="CP354" s="167">
        <v>0</v>
      </c>
      <c r="CQ354" s="167">
        <v>0</v>
      </c>
      <c r="CR354" s="167">
        <v>0</v>
      </c>
      <c r="CS354" s="167">
        <v>0</v>
      </c>
      <c r="CT354" s="167">
        <v>0</v>
      </c>
      <c r="CU354" s="167">
        <v>0</v>
      </c>
      <c r="CV354" s="167">
        <v>0</v>
      </c>
      <c r="CW354" s="167">
        <v>0</v>
      </c>
      <c r="CX354" s="167">
        <f>SUM(CD354:CH354)</f>
        <v>73</v>
      </c>
      <c r="CY354" s="167">
        <f>SUM(CD354:CM354)</f>
        <v>73</v>
      </c>
    </row>
    <row r="355" spans="1:103" ht="12.75" customHeight="1" x14ac:dyDescent="0.2">
      <c r="A355" s="81">
        <v>3511</v>
      </c>
      <c r="B355" s="165" t="s">
        <v>1908</v>
      </c>
      <c r="C355" s="165" t="s">
        <v>33</v>
      </c>
      <c r="D355" s="165" t="s">
        <v>34</v>
      </c>
      <c r="E355" s="165" t="s">
        <v>2412</v>
      </c>
      <c r="F355" s="165" t="s">
        <v>1107</v>
      </c>
      <c r="G355" s="81">
        <v>529369</v>
      </c>
      <c r="H355" s="81">
        <v>177317</v>
      </c>
      <c r="I355" s="165" t="s">
        <v>240</v>
      </c>
      <c r="J355" s="349">
        <v>42825</v>
      </c>
      <c r="L355" s="166">
        <v>0</v>
      </c>
      <c r="M355" s="166">
        <v>84</v>
      </c>
      <c r="N355" s="166">
        <v>84</v>
      </c>
      <c r="O355" s="166">
        <v>2971</v>
      </c>
      <c r="P355" s="166">
        <v>2971</v>
      </c>
      <c r="Q355" s="81" t="s">
        <v>155</v>
      </c>
      <c r="R355" s="165" t="s">
        <v>1090</v>
      </c>
      <c r="S355" s="81" t="s">
        <v>24</v>
      </c>
      <c r="T355" s="349">
        <v>41774</v>
      </c>
      <c r="U355" s="349">
        <v>42046</v>
      </c>
      <c r="W355" s="81" t="s">
        <v>114</v>
      </c>
      <c r="Y355" s="81" t="s">
        <v>115</v>
      </c>
      <c r="Z355" s="81" t="s">
        <v>116</v>
      </c>
      <c r="AA355" s="81" t="s">
        <v>116</v>
      </c>
      <c r="AB355" s="81" t="s">
        <v>117</v>
      </c>
      <c r="AC355" s="166">
        <v>0</v>
      </c>
      <c r="AD355" s="349"/>
      <c r="AG355" s="81" t="s">
        <v>238</v>
      </c>
      <c r="AH355" s="81" t="s">
        <v>118</v>
      </c>
      <c r="AI355" s="81" t="s">
        <v>2413</v>
      </c>
      <c r="AK355" s="166">
        <v>0</v>
      </c>
      <c r="AM355" s="166">
        <v>0</v>
      </c>
      <c r="AO355" s="166">
        <v>11</v>
      </c>
      <c r="AP355" s="166">
        <v>17</v>
      </c>
      <c r="AQ355" s="166">
        <v>50</v>
      </c>
      <c r="AR355" s="166">
        <v>6</v>
      </c>
      <c r="AS355" s="166">
        <v>0</v>
      </c>
      <c r="AT355" s="166">
        <v>0</v>
      </c>
      <c r="AU355" s="166">
        <v>0</v>
      </c>
      <c r="AV355" s="166">
        <v>11</v>
      </c>
      <c r="AW355" s="166">
        <v>17</v>
      </c>
      <c r="AX355" s="166">
        <v>50</v>
      </c>
      <c r="AY355" s="166">
        <v>6</v>
      </c>
      <c r="AZ355" s="166">
        <v>0</v>
      </c>
      <c r="BA355" s="166">
        <v>0</v>
      </c>
      <c r="BB355" s="166">
        <v>0</v>
      </c>
      <c r="BC355" s="166">
        <v>0</v>
      </c>
      <c r="BD355" s="166">
        <v>0</v>
      </c>
      <c r="BE355" s="166">
        <v>0</v>
      </c>
      <c r="BF355" s="166">
        <v>0</v>
      </c>
      <c r="BG355" s="166">
        <v>0</v>
      </c>
      <c r="BH355" s="166">
        <v>0</v>
      </c>
      <c r="BI355" s="166">
        <v>0</v>
      </c>
      <c r="BJ355" s="166">
        <v>0</v>
      </c>
      <c r="BK355" s="166">
        <v>0</v>
      </c>
      <c r="BL355" s="166">
        <v>0</v>
      </c>
      <c r="BM355" s="166">
        <v>0</v>
      </c>
      <c r="BN355" s="166">
        <v>0</v>
      </c>
      <c r="BO355" s="166">
        <v>0</v>
      </c>
      <c r="BP355" s="166">
        <v>0</v>
      </c>
      <c r="BQ355" s="81" t="s">
        <v>1759</v>
      </c>
      <c r="BS355" s="81" t="s">
        <v>155</v>
      </c>
      <c r="BZ355" s="81" t="s">
        <v>155</v>
      </c>
      <c r="CA355" s="81">
        <v>12</v>
      </c>
      <c r="CC355" s="167">
        <v>0</v>
      </c>
      <c r="CD355" s="167">
        <v>0</v>
      </c>
      <c r="CE355" s="167">
        <v>0</v>
      </c>
      <c r="CF355" s="167">
        <v>84</v>
      </c>
      <c r="CG355" s="167">
        <v>0</v>
      </c>
      <c r="CH355" s="167">
        <v>0</v>
      </c>
      <c r="CI355" s="167">
        <v>0</v>
      </c>
      <c r="CJ355" s="167">
        <v>0</v>
      </c>
      <c r="CK355" s="167">
        <v>0</v>
      </c>
      <c r="CL355" s="167">
        <v>0</v>
      </c>
      <c r="CM355" s="167">
        <v>0</v>
      </c>
      <c r="CN355" s="167">
        <v>0</v>
      </c>
      <c r="CO355" s="167">
        <v>0</v>
      </c>
      <c r="CP355" s="167">
        <v>0</v>
      </c>
      <c r="CQ355" s="167">
        <v>0</v>
      </c>
      <c r="CR355" s="167">
        <v>0</v>
      </c>
      <c r="CS355" s="167">
        <v>0</v>
      </c>
      <c r="CT355" s="167">
        <v>0</v>
      </c>
      <c r="CU355" s="167">
        <v>0</v>
      </c>
      <c r="CV355" s="167">
        <v>0</v>
      </c>
      <c r="CW355" s="167">
        <v>0</v>
      </c>
      <c r="CX355" s="167">
        <f>SUM(CD355:CH355)</f>
        <v>84</v>
      </c>
      <c r="CY355" s="167">
        <f>SUM(CD355:CM355)</f>
        <v>84</v>
      </c>
    </row>
    <row r="356" spans="1:103" ht="12.75" customHeight="1" x14ac:dyDescent="0.2">
      <c r="A356" s="81">
        <v>3511</v>
      </c>
      <c r="B356" s="165" t="s">
        <v>1908</v>
      </c>
      <c r="C356" s="165" t="s">
        <v>33</v>
      </c>
      <c r="D356" s="165" t="s">
        <v>34</v>
      </c>
      <c r="E356" s="165" t="s">
        <v>2412</v>
      </c>
      <c r="F356" s="165" t="s">
        <v>1108</v>
      </c>
      <c r="G356" s="81">
        <v>529369</v>
      </c>
      <c r="H356" s="81">
        <v>177317</v>
      </c>
      <c r="I356" s="165" t="s">
        <v>240</v>
      </c>
      <c r="J356" s="349">
        <v>42825</v>
      </c>
      <c r="L356" s="166">
        <v>0</v>
      </c>
      <c r="M356" s="166">
        <v>81</v>
      </c>
      <c r="N356" s="166">
        <v>81</v>
      </c>
      <c r="O356" s="166">
        <v>2971</v>
      </c>
      <c r="P356" s="166">
        <v>2971</v>
      </c>
      <c r="Q356" s="81" t="s">
        <v>155</v>
      </c>
      <c r="R356" s="165" t="s">
        <v>1090</v>
      </c>
      <c r="S356" s="81" t="s">
        <v>24</v>
      </c>
      <c r="T356" s="349">
        <v>41774</v>
      </c>
      <c r="U356" s="349">
        <v>42046</v>
      </c>
      <c r="W356" s="81" t="s">
        <v>114</v>
      </c>
      <c r="Y356" s="81" t="s">
        <v>115</v>
      </c>
      <c r="Z356" s="81" t="s">
        <v>116</v>
      </c>
      <c r="AA356" s="81" t="s">
        <v>116</v>
      </c>
      <c r="AB356" s="81" t="s">
        <v>117</v>
      </c>
      <c r="AC356" s="166">
        <v>0</v>
      </c>
      <c r="AD356" s="349"/>
      <c r="AG356" s="81" t="s">
        <v>238</v>
      </c>
      <c r="AH356" s="81" t="s">
        <v>118</v>
      </c>
      <c r="AI356" s="81" t="s">
        <v>2413</v>
      </c>
      <c r="AK356" s="166">
        <v>0</v>
      </c>
      <c r="AM356" s="166">
        <v>0</v>
      </c>
      <c r="AO356" s="166">
        <v>10</v>
      </c>
      <c r="AP356" s="166">
        <v>16</v>
      </c>
      <c r="AQ356" s="166">
        <v>49</v>
      </c>
      <c r="AR356" s="166">
        <v>6</v>
      </c>
      <c r="AS356" s="166">
        <v>0</v>
      </c>
      <c r="AT356" s="166">
        <v>0</v>
      </c>
      <c r="AU356" s="166">
        <v>0</v>
      </c>
      <c r="AV356" s="166">
        <v>10</v>
      </c>
      <c r="AW356" s="166">
        <v>16</v>
      </c>
      <c r="AX356" s="166">
        <v>49</v>
      </c>
      <c r="AY356" s="166">
        <v>6</v>
      </c>
      <c r="AZ356" s="166">
        <v>0</v>
      </c>
      <c r="BA356" s="166">
        <v>0</v>
      </c>
      <c r="BB356" s="166">
        <v>0</v>
      </c>
      <c r="BC356" s="166">
        <v>0</v>
      </c>
      <c r="BD356" s="166">
        <v>0</v>
      </c>
      <c r="BE356" s="166">
        <v>0</v>
      </c>
      <c r="BF356" s="166">
        <v>0</v>
      </c>
      <c r="BG356" s="166">
        <v>0</v>
      </c>
      <c r="BH356" s="166">
        <v>0</v>
      </c>
      <c r="BI356" s="166">
        <v>0</v>
      </c>
      <c r="BJ356" s="166">
        <v>0</v>
      </c>
      <c r="BK356" s="166">
        <v>0</v>
      </c>
      <c r="BL356" s="166">
        <v>0</v>
      </c>
      <c r="BM356" s="166">
        <v>0</v>
      </c>
      <c r="BN356" s="166">
        <v>0</v>
      </c>
      <c r="BO356" s="166">
        <v>0</v>
      </c>
      <c r="BP356" s="166">
        <v>0</v>
      </c>
      <c r="BQ356" s="81" t="s">
        <v>1759</v>
      </c>
      <c r="BS356" s="81" t="s">
        <v>155</v>
      </c>
      <c r="BZ356" s="81" t="s">
        <v>155</v>
      </c>
      <c r="CA356" s="81">
        <v>12</v>
      </c>
      <c r="CC356" s="167">
        <v>0</v>
      </c>
      <c r="CD356" s="167">
        <v>0</v>
      </c>
      <c r="CE356" s="167">
        <v>0</v>
      </c>
      <c r="CF356" s="167">
        <v>81</v>
      </c>
      <c r="CG356" s="167">
        <v>0</v>
      </c>
      <c r="CH356" s="167">
        <v>0</v>
      </c>
      <c r="CI356" s="167">
        <v>0</v>
      </c>
      <c r="CJ356" s="167">
        <v>0</v>
      </c>
      <c r="CK356" s="167">
        <v>0</v>
      </c>
      <c r="CL356" s="167">
        <v>0</v>
      </c>
      <c r="CM356" s="167">
        <v>0</v>
      </c>
      <c r="CN356" s="167">
        <v>0</v>
      </c>
      <c r="CO356" s="167">
        <v>0</v>
      </c>
      <c r="CP356" s="167">
        <v>0</v>
      </c>
      <c r="CQ356" s="167">
        <v>0</v>
      </c>
      <c r="CR356" s="167">
        <v>0</v>
      </c>
      <c r="CS356" s="167">
        <v>0</v>
      </c>
      <c r="CT356" s="167">
        <v>0</v>
      </c>
      <c r="CU356" s="167">
        <v>0</v>
      </c>
      <c r="CV356" s="167">
        <v>0</v>
      </c>
      <c r="CW356" s="167">
        <v>0</v>
      </c>
      <c r="CX356" s="167">
        <f>SUM(CD356:CH356)</f>
        <v>81</v>
      </c>
      <c r="CY356" s="167">
        <f>SUM(CD356:CM356)</f>
        <v>81</v>
      </c>
    </row>
    <row r="357" spans="1:103" ht="12.75" customHeight="1" x14ac:dyDescent="0.2">
      <c r="A357" s="81">
        <v>3511</v>
      </c>
      <c r="B357" s="165" t="s">
        <v>1908</v>
      </c>
      <c r="C357" s="165" t="s">
        <v>33</v>
      </c>
      <c r="D357" s="165" t="s">
        <v>34</v>
      </c>
      <c r="E357" s="165" t="s">
        <v>2412</v>
      </c>
      <c r="F357" s="165" t="s">
        <v>1109</v>
      </c>
      <c r="G357" s="81">
        <v>529369</v>
      </c>
      <c r="H357" s="81">
        <v>177317</v>
      </c>
      <c r="I357" s="165" t="s">
        <v>240</v>
      </c>
      <c r="J357" s="349">
        <v>42825</v>
      </c>
      <c r="L357" s="166">
        <v>0</v>
      </c>
      <c r="M357" s="166">
        <v>116</v>
      </c>
      <c r="N357" s="166">
        <v>116</v>
      </c>
      <c r="O357" s="166">
        <v>2971</v>
      </c>
      <c r="P357" s="166">
        <v>2971</v>
      </c>
      <c r="Q357" s="81" t="s">
        <v>155</v>
      </c>
      <c r="R357" s="165" t="s">
        <v>1090</v>
      </c>
      <c r="S357" s="81" t="s">
        <v>24</v>
      </c>
      <c r="T357" s="349">
        <v>41774</v>
      </c>
      <c r="U357" s="349">
        <v>42046</v>
      </c>
      <c r="W357" s="81" t="s">
        <v>114</v>
      </c>
      <c r="Y357" s="81" t="s">
        <v>115</v>
      </c>
      <c r="Z357" s="81" t="s">
        <v>116</v>
      </c>
      <c r="AA357" s="81" t="s">
        <v>116</v>
      </c>
      <c r="AB357" s="81" t="s">
        <v>117</v>
      </c>
      <c r="AC357" s="166">
        <v>0</v>
      </c>
      <c r="AD357" s="349"/>
      <c r="AG357" s="81" t="s">
        <v>238</v>
      </c>
      <c r="AH357" s="81" t="s">
        <v>118</v>
      </c>
      <c r="AI357" s="81" t="s">
        <v>2413</v>
      </c>
      <c r="AK357" s="166">
        <v>0</v>
      </c>
      <c r="AM357" s="166">
        <v>0</v>
      </c>
      <c r="AO357" s="166">
        <v>12</v>
      </c>
      <c r="AP357" s="166">
        <v>24</v>
      </c>
      <c r="AQ357" s="166">
        <v>71</v>
      </c>
      <c r="AR357" s="166">
        <v>9</v>
      </c>
      <c r="AS357" s="166">
        <v>0</v>
      </c>
      <c r="AT357" s="166">
        <v>0</v>
      </c>
      <c r="AU357" s="166">
        <v>0</v>
      </c>
      <c r="AV357" s="166">
        <v>12</v>
      </c>
      <c r="AW357" s="166">
        <v>24</v>
      </c>
      <c r="AX357" s="166">
        <v>71</v>
      </c>
      <c r="AY357" s="166">
        <v>9</v>
      </c>
      <c r="AZ357" s="166">
        <v>0</v>
      </c>
      <c r="BA357" s="166">
        <v>0</v>
      </c>
      <c r="BB357" s="166">
        <v>0</v>
      </c>
      <c r="BC357" s="166">
        <v>0</v>
      </c>
      <c r="BD357" s="166">
        <v>0</v>
      </c>
      <c r="BE357" s="166">
        <v>0</v>
      </c>
      <c r="BF357" s="166">
        <v>0</v>
      </c>
      <c r="BG357" s="166">
        <v>0</v>
      </c>
      <c r="BH357" s="166">
        <v>0</v>
      </c>
      <c r="BI357" s="166">
        <v>0</v>
      </c>
      <c r="BJ357" s="166">
        <v>0</v>
      </c>
      <c r="BK357" s="166">
        <v>0</v>
      </c>
      <c r="BL357" s="166">
        <v>0</v>
      </c>
      <c r="BM357" s="166">
        <v>0</v>
      </c>
      <c r="BN357" s="166">
        <v>0</v>
      </c>
      <c r="BO357" s="166">
        <v>0</v>
      </c>
      <c r="BP357" s="166">
        <v>0</v>
      </c>
      <c r="BQ357" s="81" t="s">
        <v>1759</v>
      </c>
      <c r="BS357" s="81" t="s">
        <v>155</v>
      </c>
      <c r="BZ357" s="81" t="s">
        <v>155</v>
      </c>
      <c r="CA357" s="81">
        <v>12</v>
      </c>
      <c r="CC357" s="167">
        <v>0</v>
      </c>
      <c r="CD357" s="167">
        <v>0</v>
      </c>
      <c r="CE357" s="167">
        <v>0</v>
      </c>
      <c r="CF357" s="167">
        <v>116</v>
      </c>
      <c r="CG357" s="167">
        <v>0</v>
      </c>
      <c r="CH357" s="167">
        <v>0</v>
      </c>
      <c r="CI357" s="167">
        <v>0</v>
      </c>
      <c r="CJ357" s="167">
        <v>0</v>
      </c>
      <c r="CK357" s="167">
        <v>0</v>
      </c>
      <c r="CL357" s="167">
        <v>0</v>
      </c>
      <c r="CM357" s="167">
        <v>0</v>
      </c>
      <c r="CN357" s="167">
        <v>0</v>
      </c>
      <c r="CO357" s="167">
        <v>0</v>
      </c>
      <c r="CP357" s="167">
        <v>0</v>
      </c>
      <c r="CQ357" s="167">
        <v>0</v>
      </c>
      <c r="CR357" s="167">
        <v>0</v>
      </c>
      <c r="CS357" s="167">
        <v>0</v>
      </c>
      <c r="CT357" s="167">
        <v>0</v>
      </c>
      <c r="CU357" s="167">
        <v>0</v>
      </c>
      <c r="CV357" s="167">
        <v>0</v>
      </c>
      <c r="CW357" s="167">
        <v>0</v>
      </c>
      <c r="CX357" s="167">
        <f>SUM(CD357:CH357)</f>
        <v>116</v>
      </c>
      <c r="CY357" s="167">
        <f>SUM(CD357:CM357)</f>
        <v>116</v>
      </c>
    </row>
    <row r="358" spans="1:103" ht="12.75" customHeight="1" x14ac:dyDescent="0.2">
      <c r="A358" s="81">
        <v>3511</v>
      </c>
      <c r="B358" s="165" t="s">
        <v>1908</v>
      </c>
      <c r="C358" s="165" t="s">
        <v>33</v>
      </c>
      <c r="D358" s="165" t="s">
        <v>34</v>
      </c>
      <c r="E358" s="165" t="s">
        <v>2412</v>
      </c>
      <c r="F358" s="165" t="s">
        <v>1110</v>
      </c>
      <c r="G358" s="81">
        <v>529369</v>
      </c>
      <c r="H358" s="81">
        <v>177317</v>
      </c>
      <c r="I358" s="165" t="s">
        <v>240</v>
      </c>
      <c r="J358" s="349">
        <v>42825</v>
      </c>
      <c r="L358" s="166">
        <v>0</v>
      </c>
      <c r="M358" s="166">
        <v>120</v>
      </c>
      <c r="N358" s="166">
        <v>120</v>
      </c>
      <c r="O358" s="166">
        <v>2971</v>
      </c>
      <c r="P358" s="166">
        <v>2971</v>
      </c>
      <c r="Q358" s="81" t="s">
        <v>155</v>
      </c>
      <c r="R358" s="165" t="s">
        <v>1090</v>
      </c>
      <c r="S358" s="81" t="s">
        <v>24</v>
      </c>
      <c r="T358" s="349">
        <v>41774</v>
      </c>
      <c r="U358" s="349">
        <v>42046</v>
      </c>
      <c r="W358" s="81" t="s">
        <v>114</v>
      </c>
      <c r="Y358" s="81" t="s">
        <v>115</v>
      </c>
      <c r="Z358" s="81" t="s">
        <v>116</v>
      </c>
      <c r="AA358" s="81" t="s">
        <v>116</v>
      </c>
      <c r="AB358" s="81" t="s">
        <v>117</v>
      </c>
      <c r="AC358" s="166">
        <v>0</v>
      </c>
      <c r="AD358" s="349"/>
      <c r="AG358" s="81" t="s">
        <v>238</v>
      </c>
      <c r="AH358" s="81" t="s">
        <v>118</v>
      </c>
      <c r="AI358" s="81" t="s">
        <v>2413</v>
      </c>
      <c r="AK358" s="166">
        <v>0</v>
      </c>
      <c r="AM358" s="166">
        <v>0</v>
      </c>
      <c r="AO358" s="166">
        <v>0</v>
      </c>
      <c r="AP358" s="166">
        <v>24</v>
      </c>
      <c r="AQ358" s="166">
        <v>42</v>
      </c>
      <c r="AR358" s="166">
        <v>54</v>
      </c>
      <c r="AS358" s="166">
        <v>0</v>
      </c>
      <c r="AT358" s="166">
        <v>0</v>
      </c>
      <c r="AU358" s="166">
        <v>0</v>
      </c>
      <c r="AV358" s="166">
        <v>0</v>
      </c>
      <c r="AW358" s="166">
        <v>24</v>
      </c>
      <c r="AX358" s="166">
        <v>42</v>
      </c>
      <c r="AY358" s="166">
        <v>54</v>
      </c>
      <c r="AZ358" s="166">
        <v>0</v>
      </c>
      <c r="BA358" s="166">
        <v>0</v>
      </c>
      <c r="BB358" s="166">
        <v>0</v>
      </c>
      <c r="BC358" s="166">
        <v>0</v>
      </c>
      <c r="BD358" s="166">
        <v>0</v>
      </c>
      <c r="BE358" s="166">
        <v>0</v>
      </c>
      <c r="BF358" s="166">
        <v>0</v>
      </c>
      <c r="BG358" s="166">
        <v>0</v>
      </c>
      <c r="BH358" s="166">
        <v>0</v>
      </c>
      <c r="BI358" s="166">
        <v>0</v>
      </c>
      <c r="BJ358" s="166">
        <v>0</v>
      </c>
      <c r="BK358" s="166">
        <v>0</v>
      </c>
      <c r="BL358" s="166">
        <v>0</v>
      </c>
      <c r="BM358" s="166">
        <v>0</v>
      </c>
      <c r="BN358" s="166">
        <v>0</v>
      </c>
      <c r="BO358" s="166">
        <v>0</v>
      </c>
      <c r="BP358" s="166">
        <v>0</v>
      </c>
      <c r="BQ358" s="81" t="s">
        <v>1759</v>
      </c>
      <c r="BS358" s="81" t="s">
        <v>155</v>
      </c>
      <c r="BZ358" s="81" t="s">
        <v>155</v>
      </c>
      <c r="CA358" s="81">
        <v>12</v>
      </c>
      <c r="CC358" s="167">
        <v>0</v>
      </c>
      <c r="CD358" s="167">
        <v>0</v>
      </c>
      <c r="CE358" s="167">
        <v>0</v>
      </c>
      <c r="CF358" s="167">
        <v>120</v>
      </c>
      <c r="CG358" s="167">
        <v>0</v>
      </c>
      <c r="CH358" s="167">
        <v>0</v>
      </c>
      <c r="CI358" s="167">
        <v>0</v>
      </c>
      <c r="CJ358" s="167">
        <v>0</v>
      </c>
      <c r="CK358" s="167">
        <v>0</v>
      </c>
      <c r="CL358" s="167">
        <v>0</v>
      </c>
      <c r="CM358" s="167">
        <v>0</v>
      </c>
      <c r="CN358" s="167">
        <v>0</v>
      </c>
      <c r="CO358" s="167">
        <v>0</v>
      </c>
      <c r="CP358" s="167">
        <v>0</v>
      </c>
      <c r="CQ358" s="167">
        <v>0</v>
      </c>
      <c r="CR358" s="167">
        <v>0</v>
      </c>
      <c r="CS358" s="167">
        <v>0</v>
      </c>
      <c r="CT358" s="167">
        <v>0</v>
      </c>
      <c r="CU358" s="167">
        <v>0</v>
      </c>
      <c r="CV358" s="167">
        <v>0</v>
      </c>
      <c r="CW358" s="167">
        <v>0</v>
      </c>
      <c r="CX358" s="167">
        <f>SUM(CD358:CH358)</f>
        <v>120</v>
      </c>
      <c r="CY358" s="167">
        <f>SUM(CD358:CM358)</f>
        <v>120</v>
      </c>
    </row>
    <row r="359" spans="1:103" ht="12.75" customHeight="1" x14ac:dyDescent="0.2">
      <c r="A359" s="81">
        <v>3511</v>
      </c>
      <c r="B359" s="165" t="s">
        <v>1908</v>
      </c>
      <c r="C359" s="165" t="s">
        <v>33</v>
      </c>
      <c r="D359" s="165" t="s">
        <v>34</v>
      </c>
      <c r="E359" s="165" t="s">
        <v>2412</v>
      </c>
      <c r="F359" s="165" t="s">
        <v>1111</v>
      </c>
      <c r="G359" s="81">
        <v>529369</v>
      </c>
      <c r="H359" s="81">
        <v>177317</v>
      </c>
      <c r="I359" s="165" t="s">
        <v>240</v>
      </c>
      <c r="J359" s="349">
        <v>42825</v>
      </c>
      <c r="L359" s="166">
        <v>0</v>
      </c>
      <c r="M359" s="166">
        <v>166</v>
      </c>
      <c r="N359" s="166">
        <v>166</v>
      </c>
      <c r="O359" s="166">
        <v>2971</v>
      </c>
      <c r="P359" s="166">
        <v>2971</v>
      </c>
      <c r="Q359" s="81" t="s">
        <v>155</v>
      </c>
      <c r="R359" s="165" t="s">
        <v>1090</v>
      </c>
      <c r="S359" s="81" t="s">
        <v>24</v>
      </c>
      <c r="T359" s="349">
        <v>41774</v>
      </c>
      <c r="U359" s="349">
        <v>42046</v>
      </c>
      <c r="W359" s="81" t="s">
        <v>114</v>
      </c>
      <c r="Y359" s="81" t="s">
        <v>115</v>
      </c>
      <c r="Z359" s="81" t="s">
        <v>116</v>
      </c>
      <c r="AA359" s="81" t="s">
        <v>116</v>
      </c>
      <c r="AB359" s="81" t="s">
        <v>117</v>
      </c>
      <c r="AC359" s="166">
        <v>0</v>
      </c>
      <c r="AD359" s="349"/>
      <c r="AG359" s="81" t="s">
        <v>238</v>
      </c>
      <c r="AH359" s="81" t="s">
        <v>118</v>
      </c>
      <c r="AI359" s="81" t="s">
        <v>2413</v>
      </c>
      <c r="AK359" s="166">
        <v>0</v>
      </c>
      <c r="AM359" s="166">
        <v>0</v>
      </c>
      <c r="AO359" s="166">
        <v>0</v>
      </c>
      <c r="AP359" s="166">
        <v>33</v>
      </c>
      <c r="AQ359" s="166">
        <v>58</v>
      </c>
      <c r="AR359" s="166">
        <v>75</v>
      </c>
      <c r="AS359" s="166">
        <v>0</v>
      </c>
      <c r="AT359" s="166">
        <v>0</v>
      </c>
      <c r="AU359" s="166">
        <v>0</v>
      </c>
      <c r="AV359" s="166">
        <v>0</v>
      </c>
      <c r="AW359" s="166">
        <v>33</v>
      </c>
      <c r="AX359" s="166">
        <v>58</v>
      </c>
      <c r="AY359" s="166">
        <v>75</v>
      </c>
      <c r="AZ359" s="166">
        <v>0</v>
      </c>
      <c r="BA359" s="166">
        <v>0</v>
      </c>
      <c r="BB359" s="166">
        <v>0</v>
      </c>
      <c r="BC359" s="166">
        <v>0</v>
      </c>
      <c r="BD359" s="166">
        <v>0</v>
      </c>
      <c r="BE359" s="166">
        <v>0</v>
      </c>
      <c r="BF359" s="166">
        <v>0</v>
      </c>
      <c r="BG359" s="166">
        <v>0</v>
      </c>
      <c r="BH359" s="166">
        <v>0</v>
      </c>
      <c r="BI359" s="166">
        <v>0</v>
      </c>
      <c r="BJ359" s="166">
        <v>0</v>
      </c>
      <c r="BK359" s="166">
        <v>0</v>
      </c>
      <c r="BL359" s="166">
        <v>0</v>
      </c>
      <c r="BM359" s="166">
        <v>0</v>
      </c>
      <c r="BN359" s="166">
        <v>0</v>
      </c>
      <c r="BO359" s="166">
        <v>0</v>
      </c>
      <c r="BP359" s="166">
        <v>0</v>
      </c>
      <c r="BQ359" s="81" t="s">
        <v>1759</v>
      </c>
      <c r="BS359" s="81" t="s">
        <v>155</v>
      </c>
      <c r="BZ359" s="81" t="s">
        <v>155</v>
      </c>
      <c r="CA359" s="81">
        <v>12</v>
      </c>
      <c r="CC359" s="167">
        <v>0</v>
      </c>
      <c r="CD359" s="167">
        <v>0</v>
      </c>
      <c r="CE359" s="167">
        <v>0</v>
      </c>
      <c r="CF359" s="167">
        <v>144</v>
      </c>
      <c r="CG359" s="167">
        <v>22</v>
      </c>
      <c r="CH359" s="167">
        <v>0</v>
      </c>
      <c r="CI359" s="167">
        <v>0</v>
      </c>
      <c r="CJ359" s="167">
        <v>0</v>
      </c>
      <c r="CK359" s="167">
        <v>0</v>
      </c>
      <c r="CL359" s="167">
        <v>0</v>
      </c>
      <c r="CM359" s="167">
        <v>0</v>
      </c>
      <c r="CN359" s="167">
        <v>0</v>
      </c>
      <c r="CO359" s="167">
        <v>0</v>
      </c>
      <c r="CP359" s="167">
        <v>0</v>
      </c>
      <c r="CQ359" s="167">
        <v>0</v>
      </c>
      <c r="CR359" s="167">
        <v>0</v>
      </c>
      <c r="CS359" s="167">
        <v>0</v>
      </c>
      <c r="CT359" s="167">
        <v>0</v>
      </c>
      <c r="CU359" s="167">
        <v>0</v>
      </c>
      <c r="CV359" s="167">
        <v>0</v>
      </c>
      <c r="CW359" s="167">
        <v>0</v>
      </c>
      <c r="CX359" s="167">
        <f>SUM(CD359:CH359)</f>
        <v>166</v>
      </c>
      <c r="CY359" s="167">
        <f>SUM(CD359:CM359)</f>
        <v>166</v>
      </c>
    </row>
    <row r="360" spans="1:103" ht="12.75" customHeight="1" x14ac:dyDescent="0.2">
      <c r="A360" s="81">
        <v>3511</v>
      </c>
      <c r="B360" s="165" t="s">
        <v>1908</v>
      </c>
      <c r="C360" s="165" t="s">
        <v>33</v>
      </c>
      <c r="D360" s="165" t="s">
        <v>34</v>
      </c>
      <c r="E360" s="165" t="s">
        <v>2412</v>
      </c>
      <c r="F360" s="165" t="s">
        <v>1112</v>
      </c>
      <c r="G360" s="81">
        <v>529369</v>
      </c>
      <c r="H360" s="81">
        <v>177317</v>
      </c>
      <c r="I360" s="165" t="s">
        <v>240</v>
      </c>
      <c r="J360" s="349">
        <v>42825</v>
      </c>
      <c r="L360" s="166">
        <v>0</v>
      </c>
      <c r="M360" s="166">
        <v>346</v>
      </c>
      <c r="N360" s="166">
        <v>346</v>
      </c>
      <c r="O360" s="166">
        <v>2971</v>
      </c>
      <c r="P360" s="166">
        <v>2971</v>
      </c>
      <c r="Q360" s="81" t="s">
        <v>155</v>
      </c>
      <c r="R360" s="165" t="s">
        <v>1090</v>
      </c>
      <c r="S360" s="81" t="s">
        <v>24</v>
      </c>
      <c r="T360" s="349">
        <v>41774</v>
      </c>
      <c r="U360" s="349">
        <v>42046</v>
      </c>
      <c r="W360" s="81" t="s">
        <v>114</v>
      </c>
      <c r="Y360" s="81" t="s">
        <v>115</v>
      </c>
      <c r="Z360" s="81" t="s">
        <v>116</v>
      </c>
      <c r="AA360" s="81" t="s">
        <v>116</v>
      </c>
      <c r="AB360" s="81" t="s">
        <v>117</v>
      </c>
      <c r="AC360" s="166">
        <v>0</v>
      </c>
      <c r="AD360" s="349">
        <v>43190</v>
      </c>
      <c r="AE360" s="81" t="s">
        <v>155</v>
      </c>
      <c r="AG360" s="81" t="s">
        <v>238</v>
      </c>
      <c r="AH360" s="81" t="s">
        <v>118</v>
      </c>
      <c r="AI360" s="81" t="s">
        <v>2413</v>
      </c>
      <c r="AK360" s="166">
        <v>0</v>
      </c>
      <c r="AM360" s="166">
        <v>0</v>
      </c>
      <c r="AO360" s="166">
        <v>0</v>
      </c>
      <c r="AP360" s="166">
        <v>86</v>
      </c>
      <c r="AQ360" s="166">
        <v>123</v>
      </c>
      <c r="AR360" s="166">
        <v>137</v>
      </c>
      <c r="AS360" s="166">
        <v>0</v>
      </c>
      <c r="AT360" s="166">
        <v>0</v>
      </c>
      <c r="AU360" s="166">
        <v>0</v>
      </c>
      <c r="AV360" s="166">
        <v>0</v>
      </c>
      <c r="AW360" s="166">
        <v>86</v>
      </c>
      <c r="AX360" s="166">
        <v>123</v>
      </c>
      <c r="AY360" s="166">
        <v>137</v>
      </c>
      <c r="AZ360" s="166">
        <v>0</v>
      </c>
      <c r="BA360" s="166">
        <v>0</v>
      </c>
      <c r="BB360" s="166">
        <v>0</v>
      </c>
      <c r="BC360" s="166">
        <v>0</v>
      </c>
      <c r="BD360" s="166">
        <v>0</v>
      </c>
      <c r="BE360" s="166">
        <v>0</v>
      </c>
      <c r="BF360" s="166">
        <v>0</v>
      </c>
      <c r="BG360" s="166">
        <v>0</v>
      </c>
      <c r="BH360" s="166">
        <v>0</v>
      </c>
      <c r="BI360" s="166">
        <v>0</v>
      </c>
      <c r="BJ360" s="166">
        <v>0</v>
      </c>
      <c r="BK360" s="166">
        <v>0</v>
      </c>
      <c r="BL360" s="166">
        <v>0</v>
      </c>
      <c r="BM360" s="166">
        <v>0</v>
      </c>
      <c r="BN360" s="166">
        <v>0</v>
      </c>
      <c r="BO360" s="166">
        <v>0</v>
      </c>
      <c r="BP360" s="166">
        <v>0</v>
      </c>
      <c r="BQ360" s="81" t="s">
        <v>1759</v>
      </c>
      <c r="BS360" s="81" t="s">
        <v>155</v>
      </c>
      <c r="BZ360" s="81" t="s">
        <v>155</v>
      </c>
      <c r="CA360" s="81">
        <v>12</v>
      </c>
      <c r="CC360" s="167">
        <v>0</v>
      </c>
      <c r="CD360" s="167">
        <v>0</v>
      </c>
      <c r="CE360" s="167">
        <v>0</v>
      </c>
      <c r="CF360" s="167">
        <v>0</v>
      </c>
      <c r="CG360" s="167">
        <v>144</v>
      </c>
      <c r="CH360" s="167">
        <v>144</v>
      </c>
      <c r="CI360" s="167">
        <v>58</v>
      </c>
      <c r="CJ360" s="167">
        <v>0</v>
      </c>
      <c r="CK360" s="167">
        <v>0</v>
      </c>
      <c r="CL360" s="167">
        <v>0</v>
      </c>
      <c r="CM360" s="167">
        <v>0</v>
      </c>
      <c r="CN360" s="167">
        <v>0</v>
      </c>
      <c r="CO360" s="167">
        <v>0</v>
      </c>
      <c r="CP360" s="167">
        <v>0</v>
      </c>
      <c r="CQ360" s="167">
        <v>0</v>
      </c>
      <c r="CR360" s="167">
        <v>0</v>
      </c>
      <c r="CS360" s="167">
        <v>0</v>
      </c>
      <c r="CT360" s="167">
        <v>0</v>
      </c>
      <c r="CU360" s="167">
        <v>0</v>
      </c>
      <c r="CV360" s="167">
        <v>0</v>
      </c>
      <c r="CW360" s="167">
        <v>0</v>
      </c>
      <c r="CX360" s="167">
        <f>SUM(CD360:CH360)</f>
        <v>288</v>
      </c>
      <c r="CY360" s="167">
        <f>SUM(CD360:CM360)</f>
        <v>346</v>
      </c>
    </row>
    <row r="361" spans="1:103" ht="12.75" customHeight="1" x14ac:dyDescent="0.2">
      <c r="A361" s="81">
        <v>3511</v>
      </c>
      <c r="B361" s="165" t="s">
        <v>1908</v>
      </c>
      <c r="C361" s="165" t="s">
        <v>33</v>
      </c>
      <c r="D361" s="165" t="s">
        <v>34</v>
      </c>
      <c r="E361" s="165" t="s">
        <v>2412</v>
      </c>
      <c r="F361" s="165" t="s">
        <v>1113</v>
      </c>
      <c r="G361" s="81">
        <v>529369</v>
      </c>
      <c r="H361" s="81">
        <v>177317</v>
      </c>
      <c r="I361" s="165" t="s">
        <v>240</v>
      </c>
      <c r="J361" s="349">
        <v>42825</v>
      </c>
      <c r="L361" s="166">
        <v>0</v>
      </c>
      <c r="M361" s="166">
        <v>251</v>
      </c>
      <c r="N361" s="166">
        <v>251</v>
      </c>
      <c r="O361" s="166">
        <v>2971</v>
      </c>
      <c r="P361" s="166">
        <v>2971</v>
      </c>
      <c r="Q361" s="81" t="s">
        <v>155</v>
      </c>
      <c r="R361" s="165" t="s">
        <v>1090</v>
      </c>
      <c r="S361" s="81" t="s">
        <v>24</v>
      </c>
      <c r="T361" s="349">
        <v>41774</v>
      </c>
      <c r="U361" s="349">
        <v>42046</v>
      </c>
      <c r="W361" s="81" t="s">
        <v>114</v>
      </c>
      <c r="Y361" s="81" t="s">
        <v>115</v>
      </c>
      <c r="Z361" s="81" t="s">
        <v>116</v>
      </c>
      <c r="AA361" s="81" t="s">
        <v>116</v>
      </c>
      <c r="AB361" s="81" t="s">
        <v>117</v>
      </c>
      <c r="AC361" s="166">
        <v>0</v>
      </c>
      <c r="AG361" s="81" t="s">
        <v>238</v>
      </c>
      <c r="AH361" s="81" t="s">
        <v>118</v>
      </c>
      <c r="AI361" s="81" t="s">
        <v>2413</v>
      </c>
      <c r="AK361" s="166">
        <v>0</v>
      </c>
      <c r="AM361" s="166">
        <v>0</v>
      </c>
      <c r="AO361" s="166">
        <v>0</v>
      </c>
      <c r="AP361" s="166">
        <v>50</v>
      </c>
      <c r="AQ361" s="166">
        <v>88</v>
      </c>
      <c r="AR361" s="166">
        <v>113</v>
      </c>
      <c r="AS361" s="166">
        <v>0</v>
      </c>
      <c r="AT361" s="166">
        <v>0</v>
      </c>
      <c r="AU361" s="166">
        <v>0</v>
      </c>
      <c r="AV361" s="166">
        <v>0</v>
      </c>
      <c r="AW361" s="166">
        <v>50</v>
      </c>
      <c r="AX361" s="166">
        <v>88</v>
      </c>
      <c r="AY361" s="166">
        <v>113</v>
      </c>
      <c r="AZ361" s="166">
        <v>0</v>
      </c>
      <c r="BA361" s="166">
        <v>0</v>
      </c>
      <c r="BB361" s="166">
        <v>0</v>
      </c>
      <c r="BC361" s="166">
        <v>0</v>
      </c>
      <c r="BD361" s="166">
        <v>0</v>
      </c>
      <c r="BE361" s="166">
        <v>0</v>
      </c>
      <c r="BF361" s="166">
        <v>0</v>
      </c>
      <c r="BG361" s="166">
        <v>0</v>
      </c>
      <c r="BH361" s="166">
        <v>0</v>
      </c>
      <c r="BI361" s="166">
        <v>0</v>
      </c>
      <c r="BJ361" s="166">
        <v>0</v>
      </c>
      <c r="BK361" s="166">
        <v>0</v>
      </c>
      <c r="BL361" s="166">
        <v>0</v>
      </c>
      <c r="BM361" s="166">
        <v>0</v>
      </c>
      <c r="BN361" s="166">
        <v>0</v>
      </c>
      <c r="BO361" s="166">
        <v>0</v>
      </c>
      <c r="BP361" s="166">
        <v>0</v>
      </c>
      <c r="BQ361" s="81" t="s">
        <v>1759</v>
      </c>
      <c r="BS361" s="81" t="s">
        <v>155</v>
      </c>
      <c r="BZ361" s="81" t="s">
        <v>155</v>
      </c>
      <c r="CA361" s="81">
        <v>12</v>
      </c>
      <c r="CC361" s="167">
        <v>0</v>
      </c>
      <c r="CD361" s="167">
        <v>0</v>
      </c>
      <c r="CE361" s="167">
        <v>0</v>
      </c>
      <c r="CF361" s="167">
        <v>144</v>
      </c>
      <c r="CG361" s="167">
        <v>107</v>
      </c>
      <c r="CH361" s="167">
        <v>0</v>
      </c>
      <c r="CI361" s="167">
        <v>0</v>
      </c>
      <c r="CJ361" s="167">
        <v>0</v>
      </c>
      <c r="CK361" s="167">
        <v>0</v>
      </c>
      <c r="CL361" s="167">
        <v>0</v>
      </c>
      <c r="CM361" s="167">
        <v>0</v>
      </c>
      <c r="CN361" s="167">
        <v>0</v>
      </c>
      <c r="CO361" s="167">
        <v>0</v>
      </c>
      <c r="CP361" s="167">
        <v>0</v>
      </c>
      <c r="CQ361" s="167">
        <v>0</v>
      </c>
      <c r="CR361" s="167">
        <v>0</v>
      </c>
      <c r="CS361" s="167">
        <v>0</v>
      </c>
      <c r="CT361" s="167">
        <v>0</v>
      </c>
      <c r="CU361" s="167">
        <v>0</v>
      </c>
      <c r="CV361" s="167">
        <v>0</v>
      </c>
      <c r="CW361" s="167">
        <v>0</v>
      </c>
      <c r="CX361" s="167">
        <f>SUM(CD361:CH361)</f>
        <v>251</v>
      </c>
      <c r="CY361" s="167">
        <f>SUM(CD361:CM361)</f>
        <v>251</v>
      </c>
    </row>
    <row r="362" spans="1:103" ht="12.75" customHeight="1" x14ac:dyDescent="0.2">
      <c r="A362" s="81">
        <v>3511</v>
      </c>
      <c r="B362" s="165" t="s">
        <v>1908</v>
      </c>
      <c r="C362" s="165" t="s">
        <v>33</v>
      </c>
      <c r="D362" s="165" t="s">
        <v>34</v>
      </c>
      <c r="E362" s="165" t="s">
        <v>2412</v>
      </c>
      <c r="F362" s="165" t="s">
        <v>1114</v>
      </c>
      <c r="G362" s="81">
        <v>529369</v>
      </c>
      <c r="H362" s="81">
        <v>177317</v>
      </c>
      <c r="I362" s="165" t="s">
        <v>240</v>
      </c>
      <c r="J362" s="349">
        <v>42825</v>
      </c>
      <c r="L362" s="166">
        <v>0</v>
      </c>
      <c r="M362" s="166">
        <v>17</v>
      </c>
      <c r="N362" s="166">
        <v>17</v>
      </c>
      <c r="O362" s="166">
        <v>2971</v>
      </c>
      <c r="P362" s="166">
        <v>2971</v>
      </c>
      <c r="Q362" s="81" t="s">
        <v>155</v>
      </c>
      <c r="R362" s="165" t="s">
        <v>1090</v>
      </c>
      <c r="S362" s="81" t="s">
        <v>24</v>
      </c>
      <c r="T362" s="349">
        <v>41774</v>
      </c>
      <c r="U362" s="349">
        <v>42046</v>
      </c>
      <c r="W362" s="81" t="s">
        <v>114</v>
      </c>
      <c r="Y362" s="81" t="s">
        <v>115</v>
      </c>
      <c r="Z362" s="81" t="s">
        <v>116</v>
      </c>
      <c r="AA362" s="81" t="s">
        <v>116</v>
      </c>
      <c r="AB362" s="81" t="s">
        <v>117</v>
      </c>
      <c r="AC362" s="166">
        <v>0</v>
      </c>
      <c r="AG362" s="81" t="s">
        <v>154</v>
      </c>
      <c r="AH362" s="81" t="s">
        <v>312</v>
      </c>
      <c r="AI362" s="81" t="s">
        <v>2413</v>
      </c>
      <c r="AK362" s="166">
        <v>0</v>
      </c>
      <c r="AM362" s="166">
        <v>0</v>
      </c>
      <c r="AO362" s="166">
        <v>0</v>
      </c>
      <c r="AP362" s="166">
        <v>2</v>
      </c>
      <c r="AQ362" s="166">
        <v>7</v>
      </c>
      <c r="AR362" s="166">
        <v>8</v>
      </c>
      <c r="AS362" s="166">
        <v>0</v>
      </c>
      <c r="AT362" s="166">
        <v>0</v>
      </c>
      <c r="AU362" s="166">
        <v>0</v>
      </c>
      <c r="AV362" s="166">
        <v>0</v>
      </c>
      <c r="AW362" s="166">
        <v>2</v>
      </c>
      <c r="AX362" s="166">
        <v>7</v>
      </c>
      <c r="AY362" s="166">
        <v>8</v>
      </c>
      <c r="AZ362" s="166">
        <v>0</v>
      </c>
      <c r="BA362" s="166">
        <v>0</v>
      </c>
      <c r="BB362" s="166">
        <v>0</v>
      </c>
      <c r="BC362" s="166">
        <v>0</v>
      </c>
      <c r="BD362" s="166">
        <v>0</v>
      </c>
      <c r="BE362" s="166">
        <v>0</v>
      </c>
      <c r="BF362" s="166">
        <v>0</v>
      </c>
      <c r="BG362" s="166">
        <v>0</v>
      </c>
      <c r="BH362" s="166">
        <v>0</v>
      </c>
      <c r="BI362" s="166">
        <v>0</v>
      </c>
      <c r="BJ362" s="166">
        <v>0</v>
      </c>
      <c r="BK362" s="166">
        <v>0</v>
      </c>
      <c r="BL362" s="166">
        <v>0</v>
      </c>
      <c r="BM362" s="166">
        <v>0</v>
      </c>
      <c r="BN362" s="166">
        <v>0</v>
      </c>
      <c r="BO362" s="166">
        <v>0</v>
      </c>
      <c r="BP362" s="166">
        <v>0</v>
      </c>
      <c r="BQ362" s="81" t="s">
        <v>1759</v>
      </c>
      <c r="BS362" s="81" t="s">
        <v>155</v>
      </c>
      <c r="BZ362" s="81" t="s">
        <v>155</v>
      </c>
      <c r="CA362" s="81">
        <v>12</v>
      </c>
      <c r="CC362" s="167">
        <v>0</v>
      </c>
      <c r="CD362" s="167">
        <v>0</v>
      </c>
      <c r="CE362" s="167">
        <v>0</v>
      </c>
      <c r="CF362" s="167">
        <v>0</v>
      </c>
      <c r="CG362" s="167">
        <v>0</v>
      </c>
      <c r="CH362" s="167">
        <v>0</v>
      </c>
      <c r="CI362" s="167">
        <v>0</v>
      </c>
      <c r="CJ362" s="167">
        <v>0</v>
      </c>
      <c r="CK362" s="167">
        <v>0</v>
      </c>
      <c r="CL362" s="167">
        <v>0</v>
      </c>
      <c r="CM362" s="167">
        <v>17</v>
      </c>
      <c r="CN362" s="167">
        <v>0</v>
      </c>
      <c r="CO362" s="167">
        <v>0</v>
      </c>
      <c r="CP362" s="167">
        <v>0</v>
      </c>
      <c r="CQ362" s="167">
        <v>0</v>
      </c>
      <c r="CR362" s="167">
        <v>0</v>
      </c>
      <c r="CS362" s="167">
        <v>0</v>
      </c>
      <c r="CT362" s="167">
        <v>0</v>
      </c>
      <c r="CU362" s="167">
        <v>0</v>
      </c>
      <c r="CV362" s="167">
        <v>0</v>
      </c>
      <c r="CW362" s="167">
        <v>0</v>
      </c>
      <c r="CX362" s="167">
        <f>SUM(CD362:CH362)</f>
        <v>0</v>
      </c>
      <c r="CY362" s="167">
        <f>SUM(CD362:CM362)</f>
        <v>17</v>
      </c>
    </row>
    <row r="363" spans="1:103" ht="12.75" customHeight="1" x14ac:dyDescent="0.2">
      <c r="A363" s="81">
        <v>3511</v>
      </c>
      <c r="B363" s="165" t="s">
        <v>1908</v>
      </c>
      <c r="C363" s="165" t="s">
        <v>33</v>
      </c>
      <c r="D363" s="165" t="s">
        <v>34</v>
      </c>
      <c r="E363" s="165" t="s">
        <v>2412</v>
      </c>
      <c r="F363" s="165" t="s">
        <v>1115</v>
      </c>
      <c r="G363" s="81">
        <v>529369</v>
      </c>
      <c r="H363" s="81">
        <v>177317</v>
      </c>
      <c r="I363" s="165" t="s">
        <v>240</v>
      </c>
      <c r="J363" s="349">
        <v>42825</v>
      </c>
      <c r="L363" s="166">
        <v>0</v>
      </c>
      <c r="M363" s="166">
        <v>11</v>
      </c>
      <c r="N363" s="166">
        <v>11</v>
      </c>
      <c r="O363" s="166">
        <v>2971</v>
      </c>
      <c r="P363" s="166">
        <v>2971</v>
      </c>
      <c r="Q363" s="81" t="s">
        <v>155</v>
      </c>
      <c r="R363" s="165" t="s">
        <v>1090</v>
      </c>
      <c r="S363" s="81" t="s">
        <v>24</v>
      </c>
      <c r="T363" s="349">
        <v>41774</v>
      </c>
      <c r="U363" s="349">
        <v>42046</v>
      </c>
      <c r="W363" s="81" t="s">
        <v>114</v>
      </c>
      <c r="Y363" s="81" t="s">
        <v>115</v>
      </c>
      <c r="Z363" s="81" t="s">
        <v>116</v>
      </c>
      <c r="AA363" s="81" t="s">
        <v>116</v>
      </c>
      <c r="AB363" s="81" t="s">
        <v>117</v>
      </c>
      <c r="AC363" s="166">
        <v>0</v>
      </c>
      <c r="AG363" s="81" t="s">
        <v>74</v>
      </c>
      <c r="AH363" s="81" t="s">
        <v>1913</v>
      </c>
      <c r="AI363" s="81" t="s">
        <v>2413</v>
      </c>
      <c r="AK363" s="166">
        <v>0</v>
      </c>
      <c r="AM363" s="166">
        <v>0</v>
      </c>
      <c r="AO363" s="166">
        <v>0</v>
      </c>
      <c r="AP363" s="166">
        <v>2</v>
      </c>
      <c r="AQ363" s="166">
        <v>5</v>
      </c>
      <c r="AR363" s="166">
        <v>4</v>
      </c>
      <c r="AS363" s="166">
        <v>0</v>
      </c>
      <c r="AT363" s="166">
        <v>0</v>
      </c>
      <c r="AU363" s="166">
        <v>0</v>
      </c>
      <c r="AV363" s="166">
        <v>0</v>
      </c>
      <c r="AW363" s="166">
        <v>2</v>
      </c>
      <c r="AX363" s="166">
        <v>5</v>
      </c>
      <c r="AY363" s="166">
        <v>4</v>
      </c>
      <c r="AZ363" s="166">
        <v>0</v>
      </c>
      <c r="BA363" s="166">
        <v>0</v>
      </c>
      <c r="BB363" s="166">
        <v>0</v>
      </c>
      <c r="BC363" s="166">
        <v>0</v>
      </c>
      <c r="BD363" s="166">
        <v>0</v>
      </c>
      <c r="BE363" s="166">
        <v>0</v>
      </c>
      <c r="BF363" s="166">
        <v>0</v>
      </c>
      <c r="BG363" s="166">
        <v>0</v>
      </c>
      <c r="BH363" s="166">
        <v>0</v>
      </c>
      <c r="BI363" s="166">
        <v>0</v>
      </c>
      <c r="BJ363" s="166">
        <v>0</v>
      </c>
      <c r="BK363" s="166">
        <v>0</v>
      </c>
      <c r="BL363" s="166">
        <v>0</v>
      </c>
      <c r="BM363" s="166">
        <v>0</v>
      </c>
      <c r="BN363" s="166">
        <v>0</v>
      </c>
      <c r="BO363" s="166">
        <v>0</v>
      </c>
      <c r="BP363" s="166">
        <v>0</v>
      </c>
      <c r="BQ363" s="81" t="s">
        <v>1759</v>
      </c>
      <c r="BS363" s="81" t="s">
        <v>155</v>
      </c>
      <c r="BZ363" s="81" t="s">
        <v>155</v>
      </c>
      <c r="CA363" s="81">
        <v>12</v>
      </c>
      <c r="CC363" s="167">
        <v>0</v>
      </c>
      <c r="CD363" s="167">
        <v>0</v>
      </c>
      <c r="CE363" s="167">
        <v>0</v>
      </c>
      <c r="CF363" s="167">
        <v>0</v>
      </c>
      <c r="CG363" s="167">
        <v>0</v>
      </c>
      <c r="CH363" s="167">
        <v>0</v>
      </c>
      <c r="CI363" s="167">
        <v>0</v>
      </c>
      <c r="CJ363" s="167">
        <v>0</v>
      </c>
      <c r="CK363" s="167">
        <v>0</v>
      </c>
      <c r="CL363" s="167">
        <v>0</v>
      </c>
      <c r="CM363" s="167">
        <v>11</v>
      </c>
      <c r="CN363" s="167">
        <v>0</v>
      </c>
      <c r="CO363" s="167">
        <v>0</v>
      </c>
      <c r="CP363" s="167">
        <v>0</v>
      </c>
      <c r="CQ363" s="167">
        <v>0</v>
      </c>
      <c r="CR363" s="167">
        <v>0</v>
      </c>
      <c r="CS363" s="167">
        <v>0</v>
      </c>
      <c r="CT363" s="167">
        <v>0</v>
      </c>
      <c r="CU363" s="167">
        <v>0</v>
      </c>
      <c r="CV363" s="167">
        <v>0</v>
      </c>
      <c r="CW363" s="167">
        <v>0</v>
      </c>
      <c r="CX363" s="167">
        <f>SUM(CD363:CH363)</f>
        <v>0</v>
      </c>
      <c r="CY363" s="167">
        <f>SUM(CD363:CM363)</f>
        <v>11</v>
      </c>
    </row>
    <row r="364" spans="1:103" x14ac:dyDescent="0.2">
      <c r="A364" s="81">
        <v>3511</v>
      </c>
      <c r="B364" s="165" t="s">
        <v>1908</v>
      </c>
      <c r="C364" s="165" t="s">
        <v>33</v>
      </c>
      <c r="D364" s="165" t="s">
        <v>34</v>
      </c>
      <c r="E364" s="165" t="s">
        <v>2412</v>
      </c>
      <c r="F364" s="165" t="s">
        <v>1116</v>
      </c>
      <c r="G364" s="81">
        <v>529369</v>
      </c>
      <c r="H364" s="81">
        <v>177317</v>
      </c>
      <c r="I364" s="165" t="s">
        <v>240</v>
      </c>
      <c r="J364" s="349">
        <v>42825</v>
      </c>
      <c r="L364" s="166">
        <v>0</v>
      </c>
      <c r="M364" s="166">
        <v>6</v>
      </c>
      <c r="N364" s="166">
        <v>6</v>
      </c>
      <c r="O364" s="166">
        <v>2971</v>
      </c>
      <c r="P364" s="166">
        <v>2971</v>
      </c>
      <c r="Q364" s="81" t="s">
        <v>155</v>
      </c>
      <c r="R364" s="165" t="s">
        <v>1090</v>
      </c>
      <c r="S364" s="81" t="s">
        <v>24</v>
      </c>
      <c r="T364" s="349">
        <v>41774</v>
      </c>
      <c r="U364" s="349">
        <v>42046</v>
      </c>
      <c r="W364" s="81" t="s">
        <v>114</v>
      </c>
      <c r="Y364" s="81" t="s">
        <v>115</v>
      </c>
      <c r="Z364" s="81" t="s">
        <v>116</v>
      </c>
      <c r="AA364" s="81" t="s">
        <v>116</v>
      </c>
      <c r="AB364" s="81" t="s">
        <v>117</v>
      </c>
      <c r="AC364" s="166">
        <v>0</v>
      </c>
      <c r="AG364" s="81" t="s">
        <v>154</v>
      </c>
      <c r="AH364" s="81" t="s">
        <v>312</v>
      </c>
      <c r="AI364" s="81" t="s">
        <v>2413</v>
      </c>
      <c r="AK364" s="166">
        <v>0</v>
      </c>
      <c r="AM364" s="166">
        <v>0</v>
      </c>
      <c r="AO364" s="166">
        <v>0</v>
      </c>
      <c r="AP364" s="166">
        <v>0</v>
      </c>
      <c r="AQ364" s="166">
        <v>2</v>
      </c>
      <c r="AR364" s="166">
        <v>4</v>
      </c>
      <c r="AS364" s="166">
        <v>0</v>
      </c>
      <c r="AT364" s="166">
        <v>0</v>
      </c>
      <c r="AU364" s="166">
        <v>0</v>
      </c>
      <c r="AV364" s="166">
        <v>0</v>
      </c>
      <c r="AW364" s="166">
        <v>0</v>
      </c>
      <c r="AX364" s="166">
        <v>2</v>
      </c>
      <c r="AY364" s="166">
        <v>4</v>
      </c>
      <c r="AZ364" s="166">
        <v>0</v>
      </c>
      <c r="BA364" s="166">
        <v>0</v>
      </c>
      <c r="BB364" s="166">
        <v>0</v>
      </c>
      <c r="BC364" s="166">
        <v>0</v>
      </c>
      <c r="BD364" s="166">
        <v>0</v>
      </c>
      <c r="BE364" s="166">
        <v>0</v>
      </c>
      <c r="BF364" s="166">
        <v>0</v>
      </c>
      <c r="BG364" s="166">
        <v>0</v>
      </c>
      <c r="BH364" s="166">
        <v>0</v>
      </c>
      <c r="BI364" s="166">
        <v>0</v>
      </c>
      <c r="BJ364" s="166">
        <v>0</v>
      </c>
      <c r="BK364" s="166">
        <v>0</v>
      </c>
      <c r="BL364" s="166">
        <v>0</v>
      </c>
      <c r="BM364" s="166">
        <v>0</v>
      </c>
      <c r="BN364" s="166">
        <v>0</v>
      </c>
      <c r="BO364" s="166">
        <v>0</v>
      </c>
      <c r="BP364" s="166">
        <v>0</v>
      </c>
      <c r="BQ364" s="81" t="s">
        <v>1759</v>
      </c>
      <c r="BS364" s="81" t="s">
        <v>155</v>
      </c>
      <c r="BZ364" s="81" t="s">
        <v>155</v>
      </c>
      <c r="CA364" s="81">
        <v>12</v>
      </c>
      <c r="CC364" s="167">
        <v>0</v>
      </c>
      <c r="CD364" s="167">
        <v>0</v>
      </c>
      <c r="CE364" s="167">
        <v>0</v>
      </c>
      <c r="CF364" s="167">
        <v>0</v>
      </c>
      <c r="CG364" s="167">
        <v>0</v>
      </c>
      <c r="CH364" s="167">
        <v>0</v>
      </c>
      <c r="CI364" s="167">
        <v>0</v>
      </c>
      <c r="CJ364" s="167">
        <v>0</v>
      </c>
      <c r="CK364" s="167">
        <v>0</v>
      </c>
      <c r="CL364" s="167">
        <v>0</v>
      </c>
      <c r="CM364" s="167">
        <v>6</v>
      </c>
      <c r="CN364" s="167">
        <v>0</v>
      </c>
      <c r="CO364" s="167">
        <v>0</v>
      </c>
      <c r="CP364" s="167">
        <v>0</v>
      </c>
      <c r="CQ364" s="167">
        <v>0</v>
      </c>
      <c r="CR364" s="167">
        <v>0</v>
      </c>
      <c r="CS364" s="167">
        <v>0</v>
      </c>
      <c r="CT364" s="167">
        <v>0</v>
      </c>
      <c r="CU364" s="167">
        <v>0</v>
      </c>
      <c r="CV364" s="167">
        <v>0</v>
      </c>
      <c r="CW364" s="167">
        <v>0</v>
      </c>
      <c r="CX364" s="167">
        <f>SUM(CD364:CH364)</f>
        <v>0</v>
      </c>
      <c r="CY364" s="167">
        <f>SUM(CD364:CM364)</f>
        <v>6</v>
      </c>
    </row>
    <row r="365" spans="1:103" ht="12.75" customHeight="1" x14ac:dyDescent="0.2">
      <c r="A365" s="81">
        <v>3511</v>
      </c>
      <c r="B365" s="165" t="s">
        <v>1908</v>
      </c>
      <c r="C365" s="165" t="s">
        <v>33</v>
      </c>
      <c r="D365" s="165" t="s">
        <v>34</v>
      </c>
      <c r="E365" s="165" t="s">
        <v>2412</v>
      </c>
      <c r="F365" s="165" t="s">
        <v>1117</v>
      </c>
      <c r="G365" s="81">
        <v>529369</v>
      </c>
      <c r="H365" s="81">
        <v>177317</v>
      </c>
      <c r="I365" s="165" t="s">
        <v>240</v>
      </c>
      <c r="J365" s="349">
        <v>42825</v>
      </c>
      <c r="L365" s="166">
        <v>0</v>
      </c>
      <c r="M365" s="166">
        <v>17</v>
      </c>
      <c r="N365" s="166">
        <v>17</v>
      </c>
      <c r="O365" s="166">
        <v>2971</v>
      </c>
      <c r="P365" s="166">
        <v>2971</v>
      </c>
      <c r="Q365" s="81" t="s">
        <v>155</v>
      </c>
      <c r="R365" s="165" t="s">
        <v>1090</v>
      </c>
      <c r="S365" s="81" t="s">
        <v>24</v>
      </c>
      <c r="T365" s="349">
        <v>41774</v>
      </c>
      <c r="U365" s="349">
        <v>42046</v>
      </c>
      <c r="W365" s="81" t="s">
        <v>114</v>
      </c>
      <c r="Y365" s="81" t="s">
        <v>115</v>
      </c>
      <c r="Z365" s="81" t="s">
        <v>116</v>
      </c>
      <c r="AA365" s="81" t="s">
        <v>116</v>
      </c>
      <c r="AB365" s="81" t="s">
        <v>117</v>
      </c>
      <c r="AC365" s="166">
        <v>0.30000001192092901</v>
      </c>
      <c r="AG365" s="81" t="s">
        <v>74</v>
      </c>
      <c r="AH365" s="81" t="s">
        <v>1913</v>
      </c>
      <c r="AI365" s="81" t="s">
        <v>2413</v>
      </c>
      <c r="AK365" s="166">
        <v>0</v>
      </c>
      <c r="AM365" s="166">
        <v>0</v>
      </c>
      <c r="AO365" s="166">
        <v>0</v>
      </c>
      <c r="AP365" s="166">
        <v>2</v>
      </c>
      <c r="AQ365" s="166">
        <v>7</v>
      </c>
      <c r="AR365" s="166">
        <v>8</v>
      </c>
      <c r="AS365" s="166">
        <v>0</v>
      </c>
      <c r="AT365" s="166">
        <v>0</v>
      </c>
      <c r="AU365" s="166">
        <v>0</v>
      </c>
      <c r="AV365" s="166">
        <v>0</v>
      </c>
      <c r="AW365" s="166">
        <v>2</v>
      </c>
      <c r="AX365" s="166">
        <v>7</v>
      </c>
      <c r="AY365" s="166">
        <v>8</v>
      </c>
      <c r="AZ365" s="166">
        <v>0</v>
      </c>
      <c r="BA365" s="166">
        <v>0</v>
      </c>
      <c r="BB365" s="166">
        <v>0</v>
      </c>
      <c r="BC365" s="166">
        <v>0</v>
      </c>
      <c r="BD365" s="166">
        <v>0</v>
      </c>
      <c r="BE365" s="166">
        <v>0</v>
      </c>
      <c r="BF365" s="166">
        <v>0</v>
      </c>
      <c r="BG365" s="166">
        <v>0</v>
      </c>
      <c r="BH365" s="166">
        <v>0</v>
      </c>
      <c r="BI365" s="166">
        <v>0</v>
      </c>
      <c r="BJ365" s="166">
        <v>0</v>
      </c>
      <c r="BK365" s="166">
        <v>0</v>
      </c>
      <c r="BL365" s="166">
        <v>0</v>
      </c>
      <c r="BM365" s="166">
        <v>0</v>
      </c>
      <c r="BN365" s="166">
        <v>0</v>
      </c>
      <c r="BO365" s="166">
        <v>0</v>
      </c>
      <c r="BP365" s="166">
        <v>0</v>
      </c>
      <c r="BQ365" s="81" t="s">
        <v>1759</v>
      </c>
      <c r="BS365" s="81" t="s">
        <v>155</v>
      </c>
      <c r="BZ365" s="81" t="s">
        <v>155</v>
      </c>
      <c r="CA365" s="81">
        <v>12</v>
      </c>
      <c r="CC365" s="167">
        <v>0</v>
      </c>
      <c r="CD365" s="167">
        <v>0</v>
      </c>
      <c r="CE365" s="167">
        <v>0</v>
      </c>
      <c r="CF365" s="167">
        <v>0</v>
      </c>
      <c r="CG365" s="167">
        <v>0</v>
      </c>
      <c r="CH365" s="167">
        <v>0</v>
      </c>
      <c r="CI365" s="167">
        <v>0</v>
      </c>
      <c r="CJ365" s="167">
        <v>0</v>
      </c>
      <c r="CK365" s="167">
        <v>0</v>
      </c>
      <c r="CL365" s="167">
        <v>0</v>
      </c>
      <c r="CM365" s="167">
        <v>17</v>
      </c>
      <c r="CN365" s="167">
        <v>0</v>
      </c>
      <c r="CO365" s="167">
        <v>0</v>
      </c>
      <c r="CP365" s="167">
        <v>0</v>
      </c>
      <c r="CQ365" s="167">
        <v>0</v>
      </c>
      <c r="CR365" s="167">
        <v>0</v>
      </c>
      <c r="CS365" s="167">
        <v>0</v>
      </c>
      <c r="CT365" s="167">
        <v>0</v>
      </c>
      <c r="CU365" s="167">
        <v>0</v>
      </c>
      <c r="CV365" s="167">
        <v>0</v>
      </c>
      <c r="CW365" s="167">
        <v>0</v>
      </c>
      <c r="CX365" s="167">
        <f>SUM(CD365:CH365)</f>
        <v>0</v>
      </c>
      <c r="CY365" s="167">
        <f>SUM(CD365:CM365)</f>
        <v>17</v>
      </c>
    </row>
    <row r="366" spans="1:103" ht="12.75" customHeight="1" x14ac:dyDescent="0.2">
      <c r="A366" s="81">
        <v>3514</v>
      </c>
      <c r="B366" s="165" t="s">
        <v>1908</v>
      </c>
      <c r="C366" s="165" t="s">
        <v>51</v>
      </c>
      <c r="E366" s="165" t="s">
        <v>2597</v>
      </c>
      <c r="F366" s="165" t="s">
        <v>904</v>
      </c>
      <c r="G366" s="81">
        <v>528809</v>
      </c>
      <c r="H366" s="81">
        <v>177181</v>
      </c>
      <c r="I366" s="165" t="s">
        <v>240</v>
      </c>
      <c r="J366" s="349">
        <v>42662</v>
      </c>
      <c r="L366" s="166">
        <v>0</v>
      </c>
      <c r="M366" s="166">
        <v>62</v>
      </c>
      <c r="N366" s="166">
        <v>62</v>
      </c>
      <c r="O366" s="166">
        <v>839</v>
      </c>
      <c r="P366" s="166">
        <v>839</v>
      </c>
      <c r="Q366" s="81" t="s">
        <v>155</v>
      </c>
      <c r="R366" s="165" t="s">
        <v>905</v>
      </c>
      <c r="S366" s="81" t="s">
        <v>104</v>
      </c>
      <c r="T366" s="349">
        <v>42039</v>
      </c>
      <c r="U366" s="349">
        <v>42265</v>
      </c>
      <c r="W366" s="81" t="s">
        <v>114</v>
      </c>
      <c r="Y366" s="81" t="s">
        <v>115</v>
      </c>
      <c r="Z366" s="81" t="s">
        <v>116</v>
      </c>
      <c r="AA366" s="81" t="s">
        <v>116</v>
      </c>
      <c r="AB366" s="81" t="s">
        <v>117</v>
      </c>
      <c r="AC366" s="166">
        <v>0.15600000321865101</v>
      </c>
      <c r="AD366" s="349">
        <v>42662</v>
      </c>
      <c r="AG366" s="81" t="s">
        <v>238</v>
      </c>
      <c r="AH366" s="81" t="s">
        <v>118</v>
      </c>
      <c r="AI366" s="81" t="s">
        <v>2598</v>
      </c>
      <c r="AK366" s="166">
        <v>62</v>
      </c>
      <c r="AM366" s="166">
        <v>6</v>
      </c>
      <c r="AO366" s="166">
        <v>0</v>
      </c>
      <c r="AP366" s="166">
        <v>14</v>
      </c>
      <c r="AQ366" s="166">
        <v>42</v>
      </c>
      <c r="AR366" s="166">
        <v>6</v>
      </c>
      <c r="AS366" s="166">
        <v>0</v>
      </c>
      <c r="AT366" s="166">
        <v>0</v>
      </c>
      <c r="AU366" s="166">
        <v>0</v>
      </c>
      <c r="AV366" s="166">
        <v>0</v>
      </c>
      <c r="AW366" s="166">
        <v>14</v>
      </c>
      <c r="AX366" s="166">
        <v>42</v>
      </c>
      <c r="AY366" s="166">
        <v>6</v>
      </c>
      <c r="AZ366" s="166">
        <v>0</v>
      </c>
      <c r="BA366" s="166">
        <v>0</v>
      </c>
      <c r="BB366" s="166">
        <v>0</v>
      </c>
      <c r="BC366" s="166">
        <v>0</v>
      </c>
      <c r="BD366" s="166">
        <v>0</v>
      </c>
      <c r="BE366" s="166">
        <v>0</v>
      </c>
      <c r="BF366" s="166">
        <v>0</v>
      </c>
      <c r="BG366" s="166">
        <v>0</v>
      </c>
      <c r="BH366" s="166">
        <v>0</v>
      </c>
      <c r="BI366" s="166">
        <v>0</v>
      </c>
      <c r="BJ366" s="166">
        <v>0</v>
      </c>
      <c r="BK366" s="166">
        <v>0</v>
      </c>
      <c r="BL366" s="166">
        <v>0</v>
      </c>
      <c r="BM366" s="166">
        <v>0</v>
      </c>
      <c r="BN366" s="166">
        <v>0</v>
      </c>
      <c r="BO366" s="166">
        <v>0</v>
      </c>
      <c r="BP366" s="166">
        <v>0</v>
      </c>
      <c r="BQ366" s="81" t="s">
        <v>1759</v>
      </c>
      <c r="BS366" s="81" t="s">
        <v>155</v>
      </c>
      <c r="BZ366" s="81" t="s">
        <v>155</v>
      </c>
      <c r="CA366" s="81">
        <v>12</v>
      </c>
      <c r="CC366" s="167">
        <v>0</v>
      </c>
      <c r="CD366" s="167">
        <v>0</v>
      </c>
      <c r="CE366" s="167">
        <v>62</v>
      </c>
      <c r="CF366" s="167">
        <v>0</v>
      </c>
      <c r="CG366" s="167">
        <v>0</v>
      </c>
      <c r="CH366" s="167">
        <v>0</v>
      </c>
      <c r="CI366" s="167">
        <v>0</v>
      </c>
      <c r="CJ366" s="167">
        <v>0</v>
      </c>
      <c r="CK366" s="167">
        <v>0</v>
      </c>
      <c r="CL366" s="167">
        <v>0</v>
      </c>
      <c r="CM366" s="167">
        <v>0</v>
      </c>
      <c r="CN366" s="167">
        <v>0</v>
      </c>
      <c r="CO366" s="167">
        <v>0</v>
      </c>
      <c r="CP366" s="167">
        <v>0</v>
      </c>
      <c r="CQ366" s="167">
        <v>0</v>
      </c>
      <c r="CR366" s="167">
        <v>0</v>
      </c>
      <c r="CS366" s="167">
        <v>0</v>
      </c>
      <c r="CT366" s="167">
        <v>0</v>
      </c>
      <c r="CU366" s="167">
        <v>0</v>
      </c>
      <c r="CV366" s="167">
        <v>0</v>
      </c>
      <c r="CW366" s="167">
        <v>0</v>
      </c>
      <c r="CX366" s="167">
        <f>SUM(CD366:CH366)</f>
        <v>62</v>
      </c>
      <c r="CY366" s="167">
        <f>SUM(CD366:CM366)</f>
        <v>62</v>
      </c>
    </row>
    <row r="367" spans="1:103" ht="12.75" customHeight="1" x14ac:dyDescent="0.2">
      <c r="A367" s="81">
        <v>3514</v>
      </c>
      <c r="B367" s="165" t="s">
        <v>1908</v>
      </c>
      <c r="C367" s="165" t="s">
        <v>51</v>
      </c>
      <c r="E367" s="165" t="s">
        <v>2597</v>
      </c>
      <c r="F367" s="165" t="s">
        <v>906</v>
      </c>
      <c r="G367" s="81">
        <v>528809</v>
      </c>
      <c r="H367" s="81">
        <v>177181</v>
      </c>
      <c r="I367" s="165" t="s">
        <v>240</v>
      </c>
      <c r="J367" s="349">
        <v>42662</v>
      </c>
      <c r="L367" s="166">
        <v>0</v>
      </c>
      <c r="M367" s="166">
        <v>5</v>
      </c>
      <c r="N367" s="166">
        <v>5</v>
      </c>
      <c r="O367" s="166">
        <v>839</v>
      </c>
      <c r="P367" s="166">
        <v>839</v>
      </c>
      <c r="Q367" s="81" t="s">
        <v>155</v>
      </c>
      <c r="R367" s="165" t="s">
        <v>905</v>
      </c>
      <c r="S367" s="81" t="s">
        <v>104</v>
      </c>
      <c r="T367" s="349">
        <v>42039</v>
      </c>
      <c r="U367" s="349">
        <v>42265</v>
      </c>
      <c r="W367" s="81" t="s">
        <v>114</v>
      </c>
      <c r="Y367" s="81" t="s">
        <v>115</v>
      </c>
      <c r="Z367" s="81" t="s">
        <v>116</v>
      </c>
      <c r="AA367" s="81" t="s">
        <v>116</v>
      </c>
      <c r="AB367" s="81" t="s">
        <v>117</v>
      </c>
      <c r="AC367" s="166">
        <v>1.7000000923872001E-2</v>
      </c>
      <c r="AD367" s="349">
        <v>42662</v>
      </c>
      <c r="AG367" s="81" t="s">
        <v>74</v>
      </c>
      <c r="AH367" s="81" t="s">
        <v>1913</v>
      </c>
      <c r="AI367" s="81" t="s">
        <v>2598</v>
      </c>
      <c r="AK367" s="166">
        <v>5</v>
      </c>
      <c r="AM367" s="166">
        <v>1</v>
      </c>
      <c r="AO367" s="166">
        <v>0</v>
      </c>
      <c r="AP367" s="166">
        <v>2</v>
      </c>
      <c r="AQ367" s="166">
        <v>3</v>
      </c>
      <c r="AR367" s="166">
        <v>0</v>
      </c>
      <c r="AS367" s="166">
        <v>0</v>
      </c>
      <c r="AT367" s="166">
        <v>0</v>
      </c>
      <c r="AU367" s="166">
        <v>0</v>
      </c>
      <c r="AV367" s="166">
        <v>0</v>
      </c>
      <c r="AW367" s="166">
        <v>2</v>
      </c>
      <c r="AX367" s="166">
        <v>3</v>
      </c>
      <c r="AY367" s="166">
        <v>0</v>
      </c>
      <c r="AZ367" s="166">
        <v>0</v>
      </c>
      <c r="BA367" s="166">
        <v>0</v>
      </c>
      <c r="BB367" s="166">
        <v>0</v>
      </c>
      <c r="BC367" s="166">
        <v>0</v>
      </c>
      <c r="BD367" s="166">
        <v>0</v>
      </c>
      <c r="BE367" s="166">
        <v>0</v>
      </c>
      <c r="BF367" s="166">
        <v>0</v>
      </c>
      <c r="BG367" s="166">
        <v>0</v>
      </c>
      <c r="BH367" s="166">
        <v>0</v>
      </c>
      <c r="BI367" s="166">
        <v>0</v>
      </c>
      <c r="BJ367" s="166">
        <v>0</v>
      </c>
      <c r="BK367" s="166">
        <v>0</v>
      </c>
      <c r="BL367" s="166">
        <v>0</v>
      </c>
      <c r="BM367" s="166">
        <v>0</v>
      </c>
      <c r="BN367" s="166">
        <v>0</v>
      </c>
      <c r="BO367" s="166">
        <v>0</v>
      </c>
      <c r="BP367" s="166">
        <v>0</v>
      </c>
      <c r="BQ367" s="81" t="s">
        <v>1759</v>
      </c>
      <c r="BS367" s="81" t="s">
        <v>155</v>
      </c>
      <c r="BZ367" s="81" t="s">
        <v>155</v>
      </c>
      <c r="CA367" s="81">
        <v>12</v>
      </c>
      <c r="CC367" s="167">
        <v>0</v>
      </c>
      <c r="CD367" s="167">
        <v>0</v>
      </c>
      <c r="CE367" s="167">
        <v>5</v>
      </c>
      <c r="CF367" s="167">
        <v>0</v>
      </c>
      <c r="CG367" s="167">
        <v>0</v>
      </c>
      <c r="CH367" s="167">
        <v>0</v>
      </c>
      <c r="CI367" s="167">
        <v>0</v>
      </c>
      <c r="CJ367" s="167">
        <v>0</v>
      </c>
      <c r="CK367" s="167">
        <v>0</v>
      </c>
      <c r="CL367" s="167">
        <v>0</v>
      </c>
      <c r="CM367" s="167">
        <v>0</v>
      </c>
      <c r="CN367" s="167">
        <v>0</v>
      </c>
      <c r="CO367" s="167">
        <v>0</v>
      </c>
      <c r="CP367" s="167">
        <v>0</v>
      </c>
      <c r="CQ367" s="167">
        <v>0</v>
      </c>
      <c r="CR367" s="167">
        <v>0</v>
      </c>
      <c r="CS367" s="167">
        <v>0</v>
      </c>
      <c r="CT367" s="167">
        <v>0</v>
      </c>
      <c r="CU367" s="167">
        <v>0</v>
      </c>
      <c r="CV367" s="167">
        <v>0</v>
      </c>
      <c r="CW367" s="167">
        <v>0</v>
      </c>
      <c r="CX367" s="167">
        <f>SUM(CD367:CH367)</f>
        <v>5</v>
      </c>
      <c r="CY367" s="167">
        <f>SUM(CD367:CM367)</f>
        <v>5</v>
      </c>
    </row>
    <row r="368" spans="1:103" ht="12.75" customHeight="1" x14ac:dyDescent="0.2">
      <c r="A368" s="81">
        <v>3514</v>
      </c>
      <c r="B368" s="165" t="s">
        <v>1908</v>
      </c>
      <c r="C368" s="165" t="s">
        <v>51</v>
      </c>
      <c r="E368" s="165" t="s">
        <v>2597</v>
      </c>
      <c r="F368" s="165" t="s">
        <v>907</v>
      </c>
      <c r="G368" s="81">
        <v>528809</v>
      </c>
      <c r="H368" s="81">
        <v>177181</v>
      </c>
      <c r="I368" s="165" t="s">
        <v>240</v>
      </c>
      <c r="J368" s="349">
        <v>42662</v>
      </c>
      <c r="L368" s="166">
        <v>0</v>
      </c>
      <c r="M368" s="166">
        <v>5</v>
      </c>
      <c r="N368" s="166">
        <v>5</v>
      </c>
      <c r="O368" s="166">
        <v>839</v>
      </c>
      <c r="P368" s="166">
        <v>839</v>
      </c>
      <c r="Q368" s="81" t="s">
        <v>155</v>
      </c>
      <c r="R368" s="165" t="s">
        <v>905</v>
      </c>
      <c r="S368" s="81" t="s">
        <v>104</v>
      </c>
      <c r="T368" s="349">
        <v>42039</v>
      </c>
      <c r="U368" s="349">
        <v>42265</v>
      </c>
      <c r="W368" s="81" t="s">
        <v>114</v>
      </c>
      <c r="Y368" s="81" t="s">
        <v>115</v>
      </c>
      <c r="Z368" s="81" t="s">
        <v>116</v>
      </c>
      <c r="AA368" s="81" t="s">
        <v>116</v>
      </c>
      <c r="AB368" s="81" t="s">
        <v>117</v>
      </c>
      <c r="AC368" s="166">
        <v>1.7000000923872001E-2</v>
      </c>
      <c r="AD368" s="349">
        <v>42662</v>
      </c>
      <c r="AG368" s="81" t="s">
        <v>74</v>
      </c>
      <c r="AH368" s="81" t="s">
        <v>1913</v>
      </c>
      <c r="AI368" s="81" t="s">
        <v>2598</v>
      </c>
      <c r="AK368" s="166">
        <v>5</v>
      </c>
      <c r="AM368" s="166">
        <v>1</v>
      </c>
      <c r="AO368" s="166">
        <v>0</v>
      </c>
      <c r="AP368" s="166">
        <v>2</v>
      </c>
      <c r="AQ368" s="166">
        <v>3</v>
      </c>
      <c r="AR368" s="166">
        <v>0</v>
      </c>
      <c r="AS368" s="166">
        <v>0</v>
      </c>
      <c r="AT368" s="166">
        <v>0</v>
      </c>
      <c r="AU368" s="166">
        <v>0</v>
      </c>
      <c r="AV368" s="166">
        <v>0</v>
      </c>
      <c r="AW368" s="166">
        <v>2</v>
      </c>
      <c r="AX368" s="166">
        <v>3</v>
      </c>
      <c r="AY368" s="166">
        <v>0</v>
      </c>
      <c r="AZ368" s="166">
        <v>0</v>
      </c>
      <c r="BA368" s="166">
        <v>0</v>
      </c>
      <c r="BB368" s="166">
        <v>0</v>
      </c>
      <c r="BC368" s="166">
        <v>0</v>
      </c>
      <c r="BD368" s="166">
        <v>0</v>
      </c>
      <c r="BE368" s="166">
        <v>0</v>
      </c>
      <c r="BF368" s="166">
        <v>0</v>
      </c>
      <c r="BG368" s="166">
        <v>0</v>
      </c>
      <c r="BH368" s="166">
        <v>0</v>
      </c>
      <c r="BI368" s="166">
        <v>0</v>
      </c>
      <c r="BJ368" s="166">
        <v>0</v>
      </c>
      <c r="BK368" s="166">
        <v>0</v>
      </c>
      <c r="BL368" s="166">
        <v>0</v>
      </c>
      <c r="BM368" s="166">
        <v>0</v>
      </c>
      <c r="BN368" s="166">
        <v>0</v>
      </c>
      <c r="BO368" s="166">
        <v>0</v>
      </c>
      <c r="BP368" s="166">
        <v>0</v>
      </c>
      <c r="BQ368" s="81" t="s">
        <v>1759</v>
      </c>
      <c r="BS368" s="81" t="s">
        <v>155</v>
      </c>
      <c r="BZ368" s="81" t="s">
        <v>155</v>
      </c>
      <c r="CA368" s="81">
        <v>12</v>
      </c>
      <c r="CC368" s="167">
        <v>0</v>
      </c>
      <c r="CD368" s="167">
        <v>0</v>
      </c>
      <c r="CE368" s="167">
        <v>5</v>
      </c>
      <c r="CF368" s="167">
        <v>0</v>
      </c>
      <c r="CG368" s="167">
        <v>0</v>
      </c>
      <c r="CH368" s="167">
        <v>0</v>
      </c>
      <c r="CI368" s="167">
        <v>0</v>
      </c>
      <c r="CJ368" s="167">
        <v>0</v>
      </c>
      <c r="CK368" s="167">
        <v>0</v>
      </c>
      <c r="CL368" s="167">
        <v>0</v>
      </c>
      <c r="CM368" s="167">
        <v>0</v>
      </c>
      <c r="CN368" s="167">
        <v>0</v>
      </c>
      <c r="CO368" s="167">
        <v>0</v>
      </c>
      <c r="CP368" s="167">
        <v>0</v>
      </c>
      <c r="CQ368" s="167">
        <v>0</v>
      </c>
      <c r="CR368" s="167">
        <v>0</v>
      </c>
      <c r="CS368" s="167">
        <v>0</v>
      </c>
      <c r="CT368" s="167">
        <v>0</v>
      </c>
      <c r="CU368" s="167">
        <v>0</v>
      </c>
      <c r="CV368" s="167">
        <v>0</v>
      </c>
      <c r="CW368" s="167">
        <v>0</v>
      </c>
      <c r="CX368" s="167">
        <f>SUM(CD368:CH368)</f>
        <v>5</v>
      </c>
      <c r="CY368" s="167">
        <f>SUM(CD368:CM368)</f>
        <v>5</v>
      </c>
    </row>
    <row r="369" spans="1:103" ht="12.75" customHeight="1" x14ac:dyDescent="0.2">
      <c r="A369" s="81">
        <v>3514</v>
      </c>
      <c r="B369" s="165" t="s">
        <v>1908</v>
      </c>
      <c r="C369" s="165" t="s">
        <v>51</v>
      </c>
      <c r="E369" s="165" t="s">
        <v>2597</v>
      </c>
      <c r="F369" s="165" t="s">
        <v>908</v>
      </c>
      <c r="G369" s="81">
        <v>528809</v>
      </c>
      <c r="H369" s="81">
        <v>177181</v>
      </c>
      <c r="I369" s="165" t="s">
        <v>240</v>
      </c>
      <c r="J369" s="349">
        <v>42662</v>
      </c>
      <c r="L369" s="166">
        <v>0</v>
      </c>
      <c r="M369" s="166">
        <v>5</v>
      </c>
      <c r="N369" s="166">
        <v>5</v>
      </c>
      <c r="O369" s="166">
        <v>839</v>
      </c>
      <c r="P369" s="166">
        <v>839</v>
      </c>
      <c r="Q369" s="81" t="s">
        <v>155</v>
      </c>
      <c r="R369" s="165" t="s">
        <v>905</v>
      </c>
      <c r="S369" s="81" t="s">
        <v>104</v>
      </c>
      <c r="T369" s="349">
        <v>42039</v>
      </c>
      <c r="U369" s="349">
        <v>42265</v>
      </c>
      <c r="W369" s="81" t="s">
        <v>114</v>
      </c>
      <c r="Y369" s="81" t="s">
        <v>115</v>
      </c>
      <c r="Z369" s="81" t="s">
        <v>116</v>
      </c>
      <c r="AA369" s="81" t="s">
        <v>116</v>
      </c>
      <c r="AB369" s="81" t="s">
        <v>117</v>
      </c>
      <c r="AC369" s="166">
        <v>1.7000000923872001E-2</v>
      </c>
      <c r="AD369" s="349">
        <v>42662</v>
      </c>
      <c r="AG369" s="81" t="s">
        <v>74</v>
      </c>
      <c r="AH369" s="81" t="s">
        <v>1913</v>
      </c>
      <c r="AI369" s="81" t="s">
        <v>2598</v>
      </c>
      <c r="AK369" s="166">
        <v>5</v>
      </c>
      <c r="AM369" s="166">
        <v>1</v>
      </c>
      <c r="AO369" s="166">
        <v>0</v>
      </c>
      <c r="AP369" s="166">
        <v>2</v>
      </c>
      <c r="AQ369" s="166">
        <v>3</v>
      </c>
      <c r="AR369" s="166">
        <v>0</v>
      </c>
      <c r="AS369" s="166">
        <v>0</v>
      </c>
      <c r="AT369" s="166">
        <v>0</v>
      </c>
      <c r="AU369" s="166">
        <v>0</v>
      </c>
      <c r="AV369" s="166">
        <v>0</v>
      </c>
      <c r="AW369" s="166">
        <v>2</v>
      </c>
      <c r="AX369" s="166">
        <v>3</v>
      </c>
      <c r="AY369" s="166">
        <v>0</v>
      </c>
      <c r="AZ369" s="166">
        <v>0</v>
      </c>
      <c r="BA369" s="166">
        <v>0</v>
      </c>
      <c r="BB369" s="166">
        <v>0</v>
      </c>
      <c r="BC369" s="166">
        <v>0</v>
      </c>
      <c r="BD369" s="166">
        <v>0</v>
      </c>
      <c r="BE369" s="166">
        <v>0</v>
      </c>
      <c r="BF369" s="166">
        <v>0</v>
      </c>
      <c r="BG369" s="166">
        <v>0</v>
      </c>
      <c r="BH369" s="166">
        <v>0</v>
      </c>
      <c r="BI369" s="166">
        <v>0</v>
      </c>
      <c r="BJ369" s="166">
        <v>0</v>
      </c>
      <c r="BK369" s="166">
        <v>0</v>
      </c>
      <c r="BL369" s="166">
        <v>0</v>
      </c>
      <c r="BM369" s="166">
        <v>0</v>
      </c>
      <c r="BN369" s="166">
        <v>0</v>
      </c>
      <c r="BO369" s="166">
        <v>0</v>
      </c>
      <c r="BP369" s="166">
        <v>0</v>
      </c>
      <c r="BQ369" s="81" t="s">
        <v>1759</v>
      </c>
      <c r="BS369" s="81" t="s">
        <v>155</v>
      </c>
      <c r="BZ369" s="81" t="s">
        <v>155</v>
      </c>
      <c r="CA369" s="81">
        <v>12</v>
      </c>
      <c r="CC369" s="167">
        <v>0</v>
      </c>
      <c r="CD369" s="167">
        <v>0</v>
      </c>
      <c r="CE369" s="167">
        <v>5</v>
      </c>
      <c r="CF369" s="167">
        <v>0</v>
      </c>
      <c r="CG369" s="167">
        <v>0</v>
      </c>
      <c r="CH369" s="167">
        <v>0</v>
      </c>
      <c r="CI369" s="167">
        <v>0</v>
      </c>
      <c r="CJ369" s="167">
        <v>0</v>
      </c>
      <c r="CK369" s="167">
        <v>0</v>
      </c>
      <c r="CL369" s="167">
        <v>0</v>
      </c>
      <c r="CM369" s="167">
        <v>0</v>
      </c>
      <c r="CN369" s="167">
        <v>0</v>
      </c>
      <c r="CO369" s="167">
        <v>0</v>
      </c>
      <c r="CP369" s="167">
        <v>0</v>
      </c>
      <c r="CQ369" s="167">
        <v>0</v>
      </c>
      <c r="CR369" s="167">
        <v>0</v>
      </c>
      <c r="CS369" s="167">
        <v>0</v>
      </c>
      <c r="CT369" s="167">
        <v>0</v>
      </c>
      <c r="CU369" s="167">
        <v>0</v>
      </c>
      <c r="CV369" s="167">
        <v>0</v>
      </c>
      <c r="CW369" s="167">
        <v>0</v>
      </c>
      <c r="CX369" s="167">
        <f>SUM(CD369:CH369)</f>
        <v>5</v>
      </c>
      <c r="CY369" s="167">
        <f>SUM(CD369:CM369)</f>
        <v>5</v>
      </c>
    </row>
    <row r="370" spans="1:103" ht="12.75" customHeight="1" x14ac:dyDescent="0.2">
      <c r="A370" s="81">
        <v>3514</v>
      </c>
      <c r="B370" s="165" t="s">
        <v>1908</v>
      </c>
      <c r="C370" s="165" t="s">
        <v>51</v>
      </c>
      <c r="E370" s="165" t="s">
        <v>2597</v>
      </c>
      <c r="F370" s="165" t="s">
        <v>909</v>
      </c>
      <c r="G370" s="81">
        <v>528809</v>
      </c>
      <c r="H370" s="81">
        <v>177181</v>
      </c>
      <c r="I370" s="165" t="s">
        <v>240</v>
      </c>
      <c r="J370" s="349">
        <v>42662</v>
      </c>
      <c r="L370" s="166">
        <v>0</v>
      </c>
      <c r="M370" s="166">
        <v>43</v>
      </c>
      <c r="N370" s="166">
        <v>43</v>
      </c>
      <c r="O370" s="166">
        <v>839</v>
      </c>
      <c r="P370" s="166">
        <v>839</v>
      </c>
      <c r="Q370" s="81" t="s">
        <v>155</v>
      </c>
      <c r="R370" s="165" t="s">
        <v>905</v>
      </c>
      <c r="S370" s="81" t="s">
        <v>104</v>
      </c>
      <c r="T370" s="349">
        <v>42039</v>
      </c>
      <c r="U370" s="349">
        <v>42265</v>
      </c>
      <c r="W370" s="81" t="s">
        <v>114</v>
      </c>
      <c r="Y370" s="81" t="s">
        <v>115</v>
      </c>
      <c r="Z370" s="81" t="s">
        <v>116</v>
      </c>
      <c r="AA370" s="81" t="s">
        <v>116</v>
      </c>
      <c r="AB370" s="81" t="s">
        <v>117</v>
      </c>
      <c r="AC370" s="166">
        <v>8.9000001549720806E-2</v>
      </c>
      <c r="AD370" s="349">
        <v>42662</v>
      </c>
      <c r="AG370" s="81" t="s">
        <v>238</v>
      </c>
      <c r="AH370" s="81" t="s">
        <v>118</v>
      </c>
      <c r="AI370" s="81" t="s">
        <v>2598</v>
      </c>
      <c r="AK370" s="166">
        <v>43</v>
      </c>
      <c r="AM370" s="166">
        <v>4</v>
      </c>
      <c r="AO370" s="166">
        <v>0</v>
      </c>
      <c r="AP370" s="166">
        <v>10</v>
      </c>
      <c r="AQ370" s="166">
        <v>25</v>
      </c>
      <c r="AR370" s="166">
        <v>8</v>
      </c>
      <c r="AS370" s="166">
        <v>0</v>
      </c>
      <c r="AT370" s="166">
        <v>0</v>
      </c>
      <c r="AU370" s="166">
        <v>0</v>
      </c>
      <c r="AV370" s="166">
        <v>0</v>
      </c>
      <c r="AW370" s="166">
        <v>10</v>
      </c>
      <c r="AX370" s="166">
        <v>25</v>
      </c>
      <c r="AY370" s="166">
        <v>8</v>
      </c>
      <c r="AZ370" s="166">
        <v>0</v>
      </c>
      <c r="BA370" s="166">
        <v>0</v>
      </c>
      <c r="BB370" s="166">
        <v>0</v>
      </c>
      <c r="BC370" s="166">
        <v>0</v>
      </c>
      <c r="BD370" s="166">
        <v>0</v>
      </c>
      <c r="BE370" s="166">
        <v>0</v>
      </c>
      <c r="BF370" s="166">
        <v>0</v>
      </c>
      <c r="BG370" s="166">
        <v>0</v>
      </c>
      <c r="BH370" s="166">
        <v>0</v>
      </c>
      <c r="BI370" s="166">
        <v>0</v>
      </c>
      <c r="BJ370" s="166">
        <v>0</v>
      </c>
      <c r="BK370" s="166">
        <v>0</v>
      </c>
      <c r="BL370" s="166">
        <v>0</v>
      </c>
      <c r="BM370" s="166">
        <v>0</v>
      </c>
      <c r="BN370" s="166">
        <v>0</v>
      </c>
      <c r="BO370" s="166">
        <v>0</v>
      </c>
      <c r="BP370" s="166">
        <v>0</v>
      </c>
      <c r="BQ370" s="81" t="s">
        <v>1759</v>
      </c>
      <c r="BS370" s="81" t="s">
        <v>155</v>
      </c>
      <c r="BZ370" s="81" t="s">
        <v>155</v>
      </c>
      <c r="CA370" s="81">
        <v>12</v>
      </c>
      <c r="CC370" s="167">
        <v>0</v>
      </c>
      <c r="CD370" s="167">
        <v>0</v>
      </c>
      <c r="CE370" s="167">
        <v>43</v>
      </c>
      <c r="CF370" s="167">
        <v>0</v>
      </c>
      <c r="CG370" s="167">
        <v>0</v>
      </c>
      <c r="CH370" s="167">
        <v>0</v>
      </c>
      <c r="CI370" s="167">
        <v>0</v>
      </c>
      <c r="CJ370" s="167">
        <v>0</v>
      </c>
      <c r="CK370" s="167">
        <v>0</v>
      </c>
      <c r="CL370" s="167">
        <v>0</v>
      </c>
      <c r="CM370" s="167">
        <v>0</v>
      </c>
      <c r="CN370" s="167">
        <v>0</v>
      </c>
      <c r="CO370" s="167">
        <v>0</v>
      </c>
      <c r="CP370" s="167">
        <v>0</v>
      </c>
      <c r="CQ370" s="167">
        <v>0</v>
      </c>
      <c r="CR370" s="167">
        <v>0</v>
      </c>
      <c r="CS370" s="167">
        <v>0</v>
      </c>
      <c r="CT370" s="167">
        <v>0</v>
      </c>
      <c r="CU370" s="167">
        <v>0</v>
      </c>
      <c r="CV370" s="167">
        <v>0</v>
      </c>
      <c r="CW370" s="167">
        <v>0</v>
      </c>
      <c r="CX370" s="167">
        <f>SUM(CD370:CH370)</f>
        <v>43</v>
      </c>
      <c r="CY370" s="167">
        <f>SUM(CD370:CM370)</f>
        <v>43</v>
      </c>
    </row>
    <row r="371" spans="1:103" ht="12.75" customHeight="1" x14ac:dyDescent="0.2">
      <c r="A371" s="81">
        <v>3514</v>
      </c>
      <c r="B371" s="165" t="s">
        <v>1908</v>
      </c>
      <c r="C371" s="165" t="s">
        <v>1072</v>
      </c>
      <c r="E371" s="165" t="s">
        <v>2597</v>
      </c>
      <c r="F371" s="165" t="s">
        <v>293</v>
      </c>
      <c r="G371" s="81">
        <v>528809</v>
      </c>
      <c r="H371" s="81">
        <v>177181</v>
      </c>
      <c r="I371" s="165" t="s">
        <v>240</v>
      </c>
      <c r="J371" s="349">
        <v>42662</v>
      </c>
      <c r="L371" s="166">
        <v>0</v>
      </c>
      <c r="M371" s="166">
        <v>46</v>
      </c>
      <c r="N371" s="166">
        <v>46</v>
      </c>
      <c r="O371" s="166">
        <v>835</v>
      </c>
      <c r="P371" s="166">
        <v>835</v>
      </c>
      <c r="Q371" s="81" t="s">
        <v>155</v>
      </c>
      <c r="R371" s="165" t="s">
        <v>1073</v>
      </c>
      <c r="S371" s="81" t="s">
        <v>509</v>
      </c>
      <c r="T371" s="349">
        <v>42675</v>
      </c>
      <c r="U371" s="349">
        <v>42858</v>
      </c>
      <c r="V371" s="81" t="s">
        <v>155</v>
      </c>
      <c r="W371" s="81" t="s">
        <v>114</v>
      </c>
      <c r="Y371" s="81" t="s">
        <v>115</v>
      </c>
      <c r="Z371" s="81" t="s">
        <v>116</v>
      </c>
      <c r="AA371" s="81" t="s">
        <v>116</v>
      </c>
      <c r="AB371" s="81" t="s">
        <v>117</v>
      </c>
      <c r="AC371" s="166">
        <v>0.202000007033348</v>
      </c>
      <c r="AG371" s="81" t="s">
        <v>238</v>
      </c>
      <c r="AH371" s="81" t="s">
        <v>118</v>
      </c>
      <c r="AI371" s="81" t="s">
        <v>2598</v>
      </c>
      <c r="AK371" s="166">
        <v>46</v>
      </c>
      <c r="AM371" s="166">
        <v>5</v>
      </c>
      <c r="AO371" s="166">
        <v>0</v>
      </c>
      <c r="AP371" s="166">
        <v>0</v>
      </c>
      <c r="AQ371" s="166">
        <v>40</v>
      </c>
      <c r="AR371" s="166">
        <v>6</v>
      </c>
      <c r="AS371" s="166">
        <v>0</v>
      </c>
      <c r="AT371" s="166">
        <v>0</v>
      </c>
      <c r="AU371" s="166">
        <v>0</v>
      </c>
      <c r="AV371" s="166">
        <v>0</v>
      </c>
      <c r="AW371" s="166">
        <v>0</v>
      </c>
      <c r="AX371" s="166">
        <v>40</v>
      </c>
      <c r="AY371" s="166">
        <v>6</v>
      </c>
      <c r="AZ371" s="166">
        <v>0</v>
      </c>
      <c r="BA371" s="166">
        <v>0</v>
      </c>
      <c r="BB371" s="166">
        <v>0</v>
      </c>
      <c r="BC371" s="166">
        <v>0</v>
      </c>
      <c r="BD371" s="166">
        <v>0</v>
      </c>
      <c r="BE371" s="166">
        <v>0</v>
      </c>
      <c r="BF371" s="166">
        <v>0</v>
      </c>
      <c r="BG371" s="166">
        <v>0</v>
      </c>
      <c r="BH371" s="166">
        <v>0</v>
      </c>
      <c r="BI371" s="166">
        <v>0</v>
      </c>
      <c r="BJ371" s="166">
        <v>0</v>
      </c>
      <c r="BK371" s="166">
        <v>0</v>
      </c>
      <c r="BL371" s="166">
        <v>0</v>
      </c>
      <c r="BM371" s="166">
        <v>0</v>
      </c>
      <c r="BN371" s="166">
        <v>0</v>
      </c>
      <c r="BO371" s="166">
        <v>0</v>
      </c>
      <c r="BP371" s="166">
        <v>0</v>
      </c>
      <c r="BQ371" s="81" t="s">
        <v>1759</v>
      </c>
      <c r="BS371" s="81" t="s">
        <v>155</v>
      </c>
      <c r="BZ371" s="81" t="s">
        <v>155</v>
      </c>
      <c r="CA371" s="81">
        <v>12</v>
      </c>
      <c r="CC371" s="167">
        <v>0</v>
      </c>
      <c r="CD371" s="167">
        <v>0</v>
      </c>
      <c r="CE371" s="167">
        <v>0</v>
      </c>
      <c r="CF371" s="167">
        <v>0</v>
      </c>
      <c r="CG371" s="167">
        <v>0</v>
      </c>
      <c r="CH371" s="167">
        <v>0</v>
      </c>
      <c r="CI371" s="167">
        <v>0</v>
      </c>
      <c r="CJ371" s="167">
        <v>0</v>
      </c>
      <c r="CK371" s="167">
        <v>46</v>
      </c>
      <c r="CL371" s="167">
        <v>0</v>
      </c>
      <c r="CM371" s="167">
        <v>0</v>
      </c>
      <c r="CN371" s="167">
        <v>0</v>
      </c>
      <c r="CO371" s="167">
        <v>0</v>
      </c>
      <c r="CP371" s="167">
        <v>0</v>
      </c>
      <c r="CQ371" s="167">
        <v>0</v>
      </c>
      <c r="CR371" s="167">
        <v>0</v>
      </c>
      <c r="CS371" s="167">
        <v>0</v>
      </c>
      <c r="CT371" s="167">
        <v>0</v>
      </c>
      <c r="CU371" s="167">
        <v>0</v>
      </c>
      <c r="CV371" s="167">
        <v>0</v>
      </c>
      <c r="CW371" s="167">
        <v>0</v>
      </c>
      <c r="CX371" s="167">
        <f>SUM(CD371:CH371)</f>
        <v>0</v>
      </c>
      <c r="CY371" s="167">
        <f>SUM(CD371:CM371)</f>
        <v>46</v>
      </c>
    </row>
    <row r="372" spans="1:103" ht="12.75" customHeight="1" x14ac:dyDescent="0.2">
      <c r="A372" s="81">
        <v>3514</v>
      </c>
      <c r="B372" s="165" t="s">
        <v>1908</v>
      </c>
      <c r="C372" s="165" t="s">
        <v>1072</v>
      </c>
      <c r="E372" s="165" t="s">
        <v>2597</v>
      </c>
      <c r="F372" s="165" t="s">
        <v>294</v>
      </c>
      <c r="G372" s="81">
        <v>528809</v>
      </c>
      <c r="H372" s="81">
        <v>177181</v>
      </c>
      <c r="I372" s="165" t="s">
        <v>240</v>
      </c>
      <c r="J372" s="349">
        <v>42662</v>
      </c>
      <c r="L372" s="166">
        <v>0</v>
      </c>
      <c r="M372" s="166">
        <v>118</v>
      </c>
      <c r="N372" s="166">
        <v>118</v>
      </c>
      <c r="O372" s="166">
        <v>835</v>
      </c>
      <c r="P372" s="166">
        <v>835</v>
      </c>
      <c r="Q372" s="81" t="s">
        <v>155</v>
      </c>
      <c r="R372" s="165" t="s">
        <v>1073</v>
      </c>
      <c r="S372" s="81" t="s">
        <v>509</v>
      </c>
      <c r="T372" s="349">
        <v>42675</v>
      </c>
      <c r="U372" s="349">
        <v>42858</v>
      </c>
      <c r="V372" s="81" t="s">
        <v>155</v>
      </c>
      <c r="W372" s="81" t="s">
        <v>114</v>
      </c>
      <c r="Y372" s="81" t="s">
        <v>115</v>
      </c>
      <c r="Z372" s="81" t="s">
        <v>116</v>
      </c>
      <c r="AA372" s="81" t="s">
        <v>116</v>
      </c>
      <c r="AB372" s="81" t="s">
        <v>117</v>
      </c>
      <c r="AC372" s="166">
        <v>0.29199999570846602</v>
      </c>
      <c r="AG372" s="81" t="s">
        <v>238</v>
      </c>
      <c r="AH372" s="81" t="s">
        <v>118</v>
      </c>
      <c r="AI372" s="81" t="s">
        <v>2598</v>
      </c>
      <c r="AK372" s="166">
        <v>118</v>
      </c>
      <c r="AM372" s="166">
        <v>12</v>
      </c>
      <c r="AO372" s="166">
        <v>0</v>
      </c>
      <c r="AP372" s="166">
        <v>34</v>
      </c>
      <c r="AQ372" s="166">
        <v>82</v>
      </c>
      <c r="AR372" s="166">
        <v>2</v>
      </c>
      <c r="AS372" s="166">
        <v>0</v>
      </c>
      <c r="AT372" s="166">
        <v>0</v>
      </c>
      <c r="AU372" s="166">
        <v>0</v>
      </c>
      <c r="AV372" s="166">
        <v>0</v>
      </c>
      <c r="AW372" s="166">
        <v>34</v>
      </c>
      <c r="AX372" s="166">
        <v>82</v>
      </c>
      <c r="AY372" s="166">
        <v>2</v>
      </c>
      <c r="AZ372" s="166">
        <v>0</v>
      </c>
      <c r="BA372" s="166">
        <v>0</v>
      </c>
      <c r="BB372" s="166">
        <v>0</v>
      </c>
      <c r="BC372" s="166">
        <v>0</v>
      </c>
      <c r="BD372" s="166">
        <v>0</v>
      </c>
      <c r="BE372" s="166">
        <v>0</v>
      </c>
      <c r="BF372" s="166">
        <v>0</v>
      </c>
      <c r="BG372" s="166">
        <v>0</v>
      </c>
      <c r="BH372" s="166">
        <v>0</v>
      </c>
      <c r="BI372" s="166">
        <v>0</v>
      </c>
      <c r="BJ372" s="166">
        <v>0</v>
      </c>
      <c r="BK372" s="166">
        <v>0</v>
      </c>
      <c r="BL372" s="166">
        <v>0</v>
      </c>
      <c r="BM372" s="166">
        <v>0</v>
      </c>
      <c r="BN372" s="166">
        <v>0</v>
      </c>
      <c r="BO372" s="166">
        <v>0</v>
      </c>
      <c r="BP372" s="166">
        <v>0</v>
      </c>
      <c r="BQ372" s="81" t="s">
        <v>1759</v>
      </c>
      <c r="BS372" s="81" t="s">
        <v>155</v>
      </c>
      <c r="BZ372" s="81" t="s">
        <v>155</v>
      </c>
      <c r="CA372" s="81">
        <v>12</v>
      </c>
      <c r="CC372" s="167">
        <v>0</v>
      </c>
      <c r="CD372" s="167">
        <v>0</v>
      </c>
      <c r="CE372" s="167">
        <v>0</v>
      </c>
      <c r="CF372" s="167">
        <v>0</v>
      </c>
      <c r="CG372" s="167">
        <v>0</v>
      </c>
      <c r="CH372" s="167">
        <v>0</v>
      </c>
      <c r="CI372" s="167">
        <v>0</v>
      </c>
      <c r="CJ372" s="167">
        <v>118</v>
      </c>
      <c r="CK372" s="167">
        <v>0</v>
      </c>
      <c r="CL372" s="167">
        <v>0</v>
      </c>
      <c r="CM372" s="167">
        <v>0</v>
      </c>
      <c r="CN372" s="167">
        <v>0</v>
      </c>
      <c r="CO372" s="167">
        <v>0</v>
      </c>
      <c r="CP372" s="167">
        <v>0</v>
      </c>
      <c r="CQ372" s="167">
        <v>0</v>
      </c>
      <c r="CR372" s="167">
        <v>0</v>
      </c>
      <c r="CS372" s="167">
        <v>0</v>
      </c>
      <c r="CT372" s="167">
        <v>0</v>
      </c>
      <c r="CU372" s="167">
        <v>0</v>
      </c>
      <c r="CV372" s="167">
        <v>0</v>
      </c>
      <c r="CW372" s="167">
        <v>0</v>
      </c>
      <c r="CX372" s="167">
        <f>SUM(CD372:CH372)</f>
        <v>0</v>
      </c>
      <c r="CY372" s="167">
        <f>SUM(CD372:CM372)</f>
        <v>118</v>
      </c>
    </row>
    <row r="373" spans="1:103" ht="12.75" customHeight="1" x14ac:dyDescent="0.2">
      <c r="A373" s="81">
        <v>3514</v>
      </c>
      <c r="B373" s="165" t="s">
        <v>1908</v>
      </c>
      <c r="C373" s="165" t="s">
        <v>1072</v>
      </c>
      <c r="E373" s="165" t="s">
        <v>2597</v>
      </c>
      <c r="F373" s="165" t="s">
        <v>25</v>
      </c>
      <c r="G373" s="81">
        <v>528809</v>
      </c>
      <c r="H373" s="81">
        <v>177181</v>
      </c>
      <c r="I373" s="165" t="s">
        <v>240</v>
      </c>
      <c r="J373" s="349">
        <v>42662</v>
      </c>
      <c r="L373" s="166">
        <v>0</v>
      </c>
      <c r="M373" s="166">
        <v>112</v>
      </c>
      <c r="N373" s="166">
        <v>112</v>
      </c>
      <c r="O373" s="166">
        <v>835</v>
      </c>
      <c r="P373" s="166">
        <v>835</v>
      </c>
      <c r="Q373" s="81" t="s">
        <v>155</v>
      </c>
      <c r="R373" s="165" t="s">
        <v>1073</v>
      </c>
      <c r="S373" s="81" t="s">
        <v>509</v>
      </c>
      <c r="T373" s="349">
        <v>42675</v>
      </c>
      <c r="U373" s="349">
        <v>42858</v>
      </c>
      <c r="V373" s="81" t="s">
        <v>155</v>
      </c>
      <c r="W373" s="81" t="s">
        <v>114</v>
      </c>
      <c r="Y373" s="81" t="s">
        <v>115</v>
      </c>
      <c r="Z373" s="81" t="s">
        <v>116</v>
      </c>
      <c r="AA373" s="81" t="s">
        <v>116</v>
      </c>
      <c r="AB373" s="81" t="s">
        <v>117</v>
      </c>
      <c r="AC373" s="166">
        <v>0.28700000047683699</v>
      </c>
      <c r="AD373" s="349">
        <v>42662</v>
      </c>
      <c r="AG373" s="81" t="s">
        <v>238</v>
      </c>
      <c r="AH373" s="81" t="s">
        <v>118</v>
      </c>
      <c r="AI373" s="81" t="s">
        <v>2598</v>
      </c>
      <c r="AK373" s="166">
        <v>112</v>
      </c>
      <c r="AM373" s="166">
        <v>11</v>
      </c>
      <c r="AO373" s="166">
        <v>0</v>
      </c>
      <c r="AP373" s="166">
        <v>36</v>
      </c>
      <c r="AQ373" s="166">
        <v>66</v>
      </c>
      <c r="AR373" s="166">
        <v>10</v>
      </c>
      <c r="AS373" s="166">
        <v>0</v>
      </c>
      <c r="AT373" s="166">
        <v>0</v>
      </c>
      <c r="AU373" s="166">
        <v>0</v>
      </c>
      <c r="AV373" s="166">
        <v>0</v>
      </c>
      <c r="AW373" s="166">
        <v>36</v>
      </c>
      <c r="AX373" s="166">
        <v>66</v>
      </c>
      <c r="AY373" s="166">
        <v>10</v>
      </c>
      <c r="AZ373" s="166">
        <v>0</v>
      </c>
      <c r="BA373" s="166">
        <v>0</v>
      </c>
      <c r="BB373" s="166">
        <v>0</v>
      </c>
      <c r="BC373" s="166">
        <v>0</v>
      </c>
      <c r="BD373" s="166">
        <v>0</v>
      </c>
      <c r="BE373" s="166">
        <v>0</v>
      </c>
      <c r="BF373" s="166">
        <v>0</v>
      </c>
      <c r="BG373" s="166">
        <v>0</v>
      </c>
      <c r="BH373" s="166">
        <v>0</v>
      </c>
      <c r="BI373" s="166">
        <v>0</v>
      </c>
      <c r="BJ373" s="166">
        <v>0</v>
      </c>
      <c r="BK373" s="166">
        <v>0</v>
      </c>
      <c r="BL373" s="166">
        <v>0</v>
      </c>
      <c r="BM373" s="166">
        <v>0</v>
      </c>
      <c r="BN373" s="166">
        <v>0</v>
      </c>
      <c r="BO373" s="166">
        <v>0</v>
      </c>
      <c r="BP373" s="166">
        <v>0</v>
      </c>
      <c r="BQ373" s="81" t="s">
        <v>1759</v>
      </c>
      <c r="BS373" s="81" t="s">
        <v>155</v>
      </c>
      <c r="BZ373" s="81" t="s">
        <v>155</v>
      </c>
      <c r="CA373" s="81">
        <v>12</v>
      </c>
      <c r="CC373" s="167">
        <v>0</v>
      </c>
      <c r="CD373" s="167">
        <v>0</v>
      </c>
      <c r="CE373" s="167">
        <v>0</v>
      </c>
      <c r="CF373" s="167">
        <v>0</v>
      </c>
      <c r="CG373" s="167">
        <v>0</v>
      </c>
      <c r="CH373" s="167">
        <v>0</v>
      </c>
      <c r="CI373" s="167">
        <v>112</v>
      </c>
      <c r="CJ373" s="167">
        <v>0</v>
      </c>
      <c r="CK373" s="167">
        <v>0</v>
      </c>
      <c r="CL373" s="167">
        <v>0</v>
      </c>
      <c r="CM373" s="167">
        <v>0</v>
      </c>
      <c r="CN373" s="167">
        <v>0</v>
      </c>
      <c r="CO373" s="167">
        <v>0</v>
      </c>
      <c r="CP373" s="167">
        <v>0</v>
      </c>
      <c r="CQ373" s="167">
        <v>0</v>
      </c>
      <c r="CR373" s="167">
        <v>0</v>
      </c>
      <c r="CS373" s="167">
        <v>0</v>
      </c>
      <c r="CT373" s="167">
        <v>0</v>
      </c>
      <c r="CU373" s="167">
        <v>0</v>
      </c>
      <c r="CV373" s="167">
        <v>0</v>
      </c>
      <c r="CW373" s="167">
        <v>0</v>
      </c>
      <c r="CX373" s="167">
        <f>SUM(CD373:CH373)</f>
        <v>0</v>
      </c>
      <c r="CY373" s="167">
        <f>SUM(CD373:CM373)</f>
        <v>112</v>
      </c>
    </row>
    <row r="374" spans="1:103" ht="12.75" customHeight="1" x14ac:dyDescent="0.2">
      <c r="A374" s="81">
        <v>3514</v>
      </c>
      <c r="B374" s="165" t="s">
        <v>1908</v>
      </c>
      <c r="C374" s="165" t="s">
        <v>1072</v>
      </c>
      <c r="E374" s="165" t="s">
        <v>2597</v>
      </c>
      <c r="F374" s="165" t="s">
        <v>295</v>
      </c>
      <c r="G374" s="81">
        <v>528809</v>
      </c>
      <c r="H374" s="81">
        <v>177181</v>
      </c>
      <c r="I374" s="165" t="s">
        <v>240</v>
      </c>
      <c r="J374" s="349">
        <v>42662</v>
      </c>
      <c r="L374" s="166">
        <v>0</v>
      </c>
      <c r="M374" s="166">
        <v>85</v>
      </c>
      <c r="N374" s="166">
        <v>85</v>
      </c>
      <c r="O374" s="166">
        <v>835</v>
      </c>
      <c r="P374" s="166">
        <v>835</v>
      </c>
      <c r="Q374" s="81" t="s">
        <v>155</v>
      </c>
      <c r="R374" s="165" t="s">
        <v>1073</v>
      </c>
      <c r="S374" s="81" t="s">
        <v>509</v>
      </c>
      <c r="T374" s="349">
        <v>42675</v>
      </c>
      <c r="U374" s="349">
        <v>42858</v>
      </c>
      <c r="V374" s="81" t="s">
        <v>155</v>
      </c>
      <c r="W374" s="81" t="s">
        <v>114</v>
      </c>
      <c r="Y374" s="81" t="s">
        <v>115</v>
      </c>
      <c r="Z374" s="81" t="s">
        <v>116</v>
      </c>
      <c r="AA374" s="81" t="s">
        <v>116</v>
      </c>
      <c r="AB374" s="81" t="s">
        <v>117</v>
      </c>
      <c r="AC374" s="166">
        <v>0.225999996066093</v>
      </c>
      <c r="AD374" s="349">
        <v>42662</v>
      </c>
      <c r="AG374" s="81" t="s">
        <v>238</v>
      </c>
      <c r="AH374" s="81" t="s">
        <v>118</v>
      </c>
      <c r="AI374" s="81" t="s">
        <v>2598</v>
      </c>
      <c r="AK374" s="166">
        <v>85</v>
      </c>
      <c r="AM374" s="166">
        <v>9</v>
      </c>
      <c r="AO374" s="166">
        <v>0</v>
      </c>
      <c r="AP374" s="166">
        <v>27</v>
      </c>
      <c r="AQ374" s="166">
        <v>49</v>
      </c>
      <c r="AR374" s="166">
        <v>9</v>
      </c>
      <c r="AS374" s="166">
        <v>0</v>
      </c>
      <c r="AT374" s="166">
        <v>0</v>
      </c>
      <c r="AU374" s="166">
        <v>0</v>
      </c>
      <c r="AV374" s="166">
        <v>0</v>
      </c>
      <c r="AW374" s="166">
        <v>27</v>
      </c>
      <c r="AX374" s="166">
        <v>49</v>
      </c>
      <c r="AY374" s="166">
        <v>9</v>
      </c>
      <c r="AZ374" s="166">
        <v>0</v>
      </c>
      <c r="BA374" s="166">
        <v>0</v>
      </c>
      <c r="BB374" s="166">
        <v>0</v>
      </c>
      <c r="BC374" s="166">
        <v>0</v>
      </c>
      <c r="BD374" s="166">
        <v>0</v>
      </c>
      <c r="BE374" s="166">
        <v>0</v>
      </c>
      <c r="BF374" s="166">
        <v>0</v>
      </c>
      <c r="BG374" s="166">
        <v>0</v>
      </c>
      <c r="BH374" s="166">
        <v>0</v>
      </c>
      <c r="BI374" s="166">
        <v>0</v>
      </c>
      <c r="BJ374" s="166">
        <v>0</v>
      </c>
      <c r="BK374" s="166">
        <v>0</v>
      </c>
      <c r="BL374" s="166">
        <v>0</v>
      </c>
      <c r="BM374" s="166">
        <v>0</v>
      </c>
      <c r="BN374" s="166">
        <v>0</v>
      </c>
      <c r="BO374" s="166">
        <v>0</v>
      </c>
      <c r="BP374" s="166">
        <v>0</v>
      </c>
      <c r="BQ374" s="81" t="s">
        <v>1759</v>
      </c>
      <c r="BS374" s="81" t="s">
        <v>155</v>
      </c>
      <c r="BZ374" s="81" t="s">
        <v>155</v>
      </c>
      <c r="CA374" s="81">
        <v>12</v>
      </c>
      <c r="CC374" s="167">
        <v>0</v>
      </c>
      <c r="CD374" s="167">
        <v>0</v>
      </c>
      <c r="CE374" s="167">
        <v>0</v>
      </c>
      <c r="CF374" s="167">
        <v>85</v>
      </c>
      <c r="CG374" s="167">
        <v>0</v>
      </c>
      <c r="CH374" s="167">
        <v>0</v>
      </c>
      <c r="CI374" s="167">
        <v>0</v>
      </c>
      <c r="CJ374" s="167">
        <v>0</v>
      </c>
      <c r="CK374" s="167">
        <v>0</v>
      </c>
      <c r="CL374" s="167">
        <v>0</v>
      </c>
      <c r="CM374" s="167">
        <v>0</v>
      </c>
      <c r="CN374" s="167">
        <v>0</v>
      </c>
      <c r="CO374" s="167">
        <v>0</v>
      </c>
      <c r="CP374" s="167">
        <v>0</v>
      </c>
      <c r="CQ374" s="167">
        <v>0</v>
      </c>
      <c r="CR374" s="167">
        <v>0</v>
      </c>
      <c r="CS374" s="167">
        <v>0</v>
      </c>
      <c r="CT374" s="167">
        <v>0</v>
      </c>
      <c r="CU374" s="167">
        <v>0</v>
      </c>
      <c r="CV374" s="167">
        <v>0</v>
      </c>
      <c r="CW374" s="167">
        <v>0</v>
      </c>
      <c r="CX374" s="167">
        <f>SUM(CD374:CH374)</f>
        <v>85</v>
      </c>
      <c r="CY374" s="167">
        <f>SUM(CD374:CM374)</f>
        <v>85</v>
      </c>
    </row>
    <row r="375" spans="1:103" ht="12.75" customHeight="1" x14ac:dyDescent="0.2">
      <c r="A375" s="81">
        <v>3514</v>
      </c>
      <c r="B375" s="165" t="s">
        <v>1908</v>
      </c>
      <c r="C375" s="165" t="s">
        <v>1072</v>
      </c>
      <c r="E375" s="165" t="s">
        <v>2597</v>
      </c>
      <c r="F375" s="165" t="s">
        <v>864</v>
      </c>
      <c r="G375" s="81">
        <v>528809</v>
      </c>
      <c r="H375" s="81">
        <v>177181</v>
      </c>
      <c r="I375" s="165" t="s">
        <v>240</v>
      </c>
      <c r="J375" s="349">
        <v>42662</v>
      </c>
      <c r="L375" s="166">
        <v>0</v>
      </c>
      <c r="M375" s="166">
        <v>98</v>
      </c>
      <c r="N375" s="166">
        <v>98</v>
      </c>
      <c r="O375" s="166">
        <v>835</v>
      </c>
      <c r="P375" s="166">
        <v>835</v>
      </c>
      <c r="Q375" s="81" t="s">
        <v>155</v>
      </c>
      <c r="R375" s="165" t="s">
        <v>1073</v>
      </c>
      <c r="S375" s="81" t="s">
        <v>509</v>
      </c>
      <c r="T375" s="349">
        <v>42675</v>
      </c>
      <c r="U375" s="349">
        <v>42858</v>
      </c>
      <c r="V375" s="81" t="s">
        <v>155</v>
      </c>
      <c r="W375" s="81" t="s">
        <v>114</v>
      </c>
      <c r="Y375" s="81" t="s">
        <v>115</v>
      </c>
      <c r="Z375" s="81" t="s">
        <v>116</v>
      </c>
      <c r="AA375" s="81" t="s">
        <v>116</v>
      </c>
      <c r="AB375" s="81" t="s">
        <v>117</v>
      </c>
      <c r="AC375" s="166">
        <v>0.24400000274181399</v>
      </c>
      <c r="AG375" s="81" t="s">
        <v>238</v>
      </c>
      <c r="AH375" s="81" t="s">
        <v>118</v>
      </c>
      <c r="AI375" s="81" t="s">
        <v>2598</v>
      </c>
      <c r="AK375" s="166">
        <v>98</v>
      </c>
      <c r="AM375" s="166">
        <v>10</v>
      </c>
      <c r="AO375" s="166">
        <v>0</v>
      </c>
      <c r="AP375" s="166">
        <v>28</v>
      </c>
      <c r="AQ375" s="166">
        <v>68</v>
      </c>
      <c r="AR375" s="166">
        <v>2</v>
      </c>
      <c r="AS375" s="166">
        <v>0</v>
      </c>
      <c r="AT375" s="166">
        <v>0</v>
      </c>
      <c r="AU375" s="166">
        <v>0</v>
      </c>
      <c r="AV375" s="166">
        <v>0</v>
      </c>
      <c r="AW375" s="166">
        <v>28</v>
      </c>
      <c r="AX375" s="166">
        <v>68</v>
      </c>
      <c r="AY375" s="166">
        <v>2</v>
      </c>
      <c r="AZ375" s="166">
        <v>0</v>
      </c>
      <c r="BA375" s="166">
        <v>0</v>
      </c>
      <c r="BB375" s="166">
        <v>0</v>
      </c>
      <c r="BC375" s="166">
        <v>0</v>
      </c>
      <c r="BD375" s="166">
        <v>0</v>
      </c>
      <c r="BE375" s="166">
        <v>0</v>
      </c>
      <c r="BF375" s="166">
        <v>0</v>
      </c>
      <c r="BG375" s="166">
        <v>0</v>
      </c>
      <c r="BH375" s="166">
        <v>0</v>
      </c>
      <c r="BI375" s="166">
        <v>0</v>
      </c>
      <c r="BJ375" s="166">
        <v>0</v>
      </c>
      <c r="BK375" s="166">
        <v>0</v>
      </c>
      <c r="BL375" s="166">
        <v>0</v>
      </c>
      <c r="BM375" s="166">
        <v>0</v>
      </c>
      <c r="BN375" s="166">
        <v>0</v>
      </c>
      <c r="BO375" s="166">
        <v>0</v>
      </c>
      <c r="BP375" s="166">
        <v>0</v>
      </c>
      <c r="BQ375" s="81" t="s">
        <v>1759</v>
      </c>
      <c r="BS375" s="81" t="s">
        <v>155</v>
      </c>
      <c r="BZ375" s="81" t="s">
        <v>155</v>
      </c>
      <c r="CA375" s="81">
        <v>12</v>
      </c>
      <c r="CC375" s="167">
        <v>0</v>
      </c>
      <c r="CD375" s="167">
        <v>0</v>
      </c>
      <c r="CE375" s="167">
        <v>0</v>
      </c>
      <c r="CF375" s="167">
        <v>0</v>
      </c>
      <c r="CG375" s="167">
        <v>0</v>
      </c>
      <c r="CH375" s="167">
        <v>0</v>
      </c>
      <c r="CI375" s="167">
        <v>0</v>
      </c>
      <c r="CJ375" s="167">
        <v>0</v>
      </c>
      <c r="CK375" s="167">
        <v>98</v>
      </c>
      <c r="CL375" s="167">
        <v>0</v>
      </c>
      <c r="CM375" s="167">
        <v>0</v>
      </c>
      <c r="CN375" s="167">
        <v>0</v>
      </c>
      <c r="CO375" s="167">
        <v>0</v>
      </c>
      <c r="CP375" s="167">
        <v>0</v>
      </c>
      <c r="CQ375" s="167">
        <v>0</v>
      </c>
      <c r="CR375" s="167">
        <v>0</v>
      </c>
      <c r="CS375" s="167">
        <v>0</v>
      </c>
      <c r="CT375" s="167">
        <v>0</v>
      </c>
      <c r="CU375" s="167">
        <v>0</v>
      </c>
      <c r="CV375" s="167">
        <v>0</v>
      </c>
      <c r="CW375" s="167">
        <v>0</v>
      </c>
      <c r="CX375" s="167">
        <f>SUM(CD375:CH375)</f>
        <v>0</v>
      </c>
      <c r="CY375" s="167">
        <f>SUM(CD375:CM375)</f>
        <v>98</v>
      </c>
    </row>
    <row r="376" spans="1:103" ht="12.75" customHeight="1" x14ac:dyDescent="0.2">
      <c r="A376" s="81">
        <v>3514</v>
      </c>
      <c r="B376" s="165" t="s">
        <v>1908</v>
      </c>
      <c r="C376" s="165" t="s">
        <v>1072</v>
      </c>
      <c r="E376" s="165" t="s">
        <v>2597</v>
      </c>
      <c r="F376" s="165" t="s">
        <v>865</v>
      </c>
      <c r="G376" s="81">
        <v>528809</v>
      </c>
      <c r="H376" s="81">
        <v>177181</v>
      </c>
      <c r="I376" s="165" t="s">
        <v>240</v>
      </c>
      <c r="J376" s="349">
        <v>42662</v>
      </c>
      <c r="L376" s="166">
        <v>0</v>
      </c>
      <c r="M376" s="166">
        <v>90</v>
      </c>
      <c r="N376" s="166">
        <v>90</v>
      </c>
      <c r="O376" s="166">
        <v>835</v>
      </c>
      <c r="P376" s="166">
        <v>835</v>
      </c>
      <c r="Q376" s="81" t="s">
        <v>155</v>
      </c>
      <c r="R376" s="165" t="s">
        <v>1073</v>
      </c>
      <c r="S376" s="81" t="s">
        <v>509</v>
      </c>
      <c r="T376" s="349">
        <v>42675</v>
      </c>
      <c r="U376" s="349">
        <v>42858</v>
      </c>
      <c r="V376" s="81" t="s">
        <v>155</v>
      </c>
      <c r="W376" s="81" t="s">
        <v>114</v>
      </c>
      <c r="Y376" s="81" t="s">
        <v>115</v>
      </c>
      <c r="Z376" s="81" t="s">
        <v>116</v>
      </c>
      <c r="AA376" s="81" t="s">
        <v>116</v>
      </c>
      <c r="AB376" s="81" t="s">
        <v>117</v>
      </c>
      <c r="AC376" s="166">
        <v>0.23800000548362699</v>
      </c>
      <c r="AD376" s="349">
        <v>42662</v>
      </c>
      <c r="AG376" s="81" t="s">
        <v>238</v>
      </c>
      <c r="AH376" s="81" t="s">
        <v>118</v>
      </c>
      <c r="AI376" s="81" t="s">
        <v>2598</v>
      </c>
      <c r="AK376" s="166">
        <v>90</v>
      </c>
      <c r="AM376" s="166">
        <v>9</v>
      </c>
      <c r="AO376" s="166">
        <v>0</v>
      </c>
      <c r="AP376" s="166">
        <v>32</v>
      </c>
      <c r="AQ376" s="166">
        <v>32</v>
      </c>
      <c r="AR376" s="166">
        <v>26</v>
      </c>
      <c r="AS376" s="166">
        <v>0</v>
      </c>
      <c r="AT376" s="166">
        <v>0</v>
      </c>
      <c r="AU376" s="166">
        <v>0</v>
      </c>
      <c r="AV376" s="166">
        <v>0</v>
      </c>
      <c r="AW376" s="166">
        <v>32</v>
      </c>
      <c r="AX376" s="166">
        <v>32</v>
      </c>
      <c r="AY376" s="166">
        <v>26</v>
      </c>
      <c r="AZ376" s="166">
        <v>0</v>
      </c>
      <c r="BA376" s="166">
        <v>0</v>
      </c>
      <c r="BB376" s="166">
        <v>0</v>
      </c>
      <c r="BC376" s="166">
        <v>0</v>
      </c>
      <c r="BD376" s="166">
        <v>0</v>
      </c>
      <c r="BE376" s="166">
        <v>0</v>
      </c>
      <c r="BF376" s="166">
        <v>0</v>
      </c>
      <c r="BG376" s="166">
        <v>0</v>
      </c>
      <c r="BH376" s="166">
        <v>0</v>
      </c>
      <c r="BI376" s="166">
        <v>0</v>
      </c>
      <c r="BJ376" s="166">
        <v>0</v>
      </c>
      <c r="BK376" s="166">
        <v>0</v>
      </c>
      <c r="BL376" s="166">
        <v>0</v>
      </c>
      <c r="BM376" s="166">
        <v>0</v>
      </c>
      <c r="BN376" s="166">
        <v>0</v>
      </c>
      <c r="BO376" s="166">
        <v>0</v>
      </c>
      <c r="BP376" s="166">
        <v>0</v>
      </c>
      <c r="BQ376" s="81" t="s">
        <v>1759</v>
      </c>
      <c r="BS376" s="81" t="s">
        <v>155</v>
      </c>
      <c r="BZ376" s="81" t="s">
        <v>155</v>
      </c>
      <c r="CA376" s="81">
        <v>12</v>
      </c>
      <c r="CC376" s="167">
        <v>0</v>
      </c>
      <c r="CD376" s="167">
        <v>0</v>
      </c>
      <c r="CE376" s="167">
        <v>0</v>
      </c>
      <c r="CF376" s="167">
        <v>0</v>
      </c>
      <c r="CG376" s="167">
        <v>0</v>
      </c>
      <c r="CH376" s="167">
        <v>90</v>
      </c>
      <c r="CI376" s="167">
        <v>0</v>
      </c>
      <c r="CJ376" s="167">
        <v>0</v>
      </c>
      <c r="CK376" s="167">
        <v>0</v>
      </c>
      <c r="CL376" s="167">
        <v>0</v>
      </c>
      <c r="CM376" s="167">
        <v>0</v>
      </c>
      <c r="CN376" s="167">
        <v>0</v>
      </c>
      <c r="CO376" s="167">
        <v>0</v>
      </c>
      <c r="CP376" s="167">
        <v>0</v>
      </c>
      <c r="CQ376" s="167">
        <v>0</v>
      </c>
      <c r="CR376" s="167">
        <v>0</v>
      </c>
      <c r="CS376" s="167">
        <v>0</v>
      </c>
      <c r="CT376" s="167">
        <v>0</v>
      </c>
      <c r="CU376" s="167">
        <v>0</v>
      </c>
      <c r="CV376" s="167">
        <v>0</v>
      </c>
      <c r="CW376" s="167">
        <v>0</v>
      </c>
      <c r="CX376" s="167">
        <f>SUM(CD376:CH376)</f>
        <v>90</v>
      </c>
      <c r="CY376" s="167">
        <f>SUM(CD376:CM376)</f>
        <v>90</v>
      </c>
    </row>
    <row r="377" spans="1:103" ht="12.75" customHeight="1" x14ac:dyDescent="0.2">
      <c r="A377" s="81">
        <v>3514</v>
      </c>
      <c r="B377" s="165" t="s">
        <v>1908</v>
      </c>
      <c r="C377" s="165" t="s">
        <v>1072</v>
      </c>
      <c r="E377" s="165" t="s">
        <v>2597</v>
      </c>
      <c r="F377" s="165" t="s">
        <v>865</v>
      </c>
      <c r="G377" s="81">
        <v>528809</v>
      </c>
      <c r="H377" s="81">
        <v>177181</v>
      </c>
      <c r="I377" s="165" t="s">
        <v>240</v>
      </c>
      <c r="J377" s="349">
        <v>42662</v>
      </c>
      <c r="L377" s="166">
        <v>0</v>
      </c>
      <c r="M377" s="166">
        <v>16</v>
      </c>
      <c r="N377" s="166">
        <v>16</v>
      </c>
      <c r="O377" s="166">
        <v>835</v>
      </c>
      <c r="P377" s="166">
        <v>835</v>
      </c>
      <c r="Q377" s="81" t="s">
        <v>155</v>
      </c>
      <c r="R377" s="165" t="s">
        <v>1073</v>
      </c>
      <c r="S377" s="81" t="s">
        <v>509</v>
      </c>
      <c r="T377" s="349">
        <v>42675</v>
      </c>
      <c r="U377" s="349">
        <v>42858</v>
      </c>
      <c r="V377" s="81" t="s">
        <v>155</v>
      </c>
      <c r="W377" s="81" t="s">
        <v>114</v>
      </c>
      <c r="Y377" s="81" t="s">
        <v>115</v>
      </c>
      <c r="Z377" s="81" t="s">
        <v>116</v>
      </c>
      <c r="AA377" s="81" t="s">
        <v>116</v>
      </c>
      <c r="AB377" s="81" t="s">
        <v>117</v>
      </c>
      <c r="AC377" s="166">
        <v>4.1999999433755902E-2</v>
      </c>
      <c r="AD377" s="349">
        <v>42662</v>
      </c>
      <c r="AG377" s="81" t="s">
        <v>74</v>
      </c>
      <c r="AH377" s="81" t="s">
        <v>990</v>
      </c>
      <c r="AI377" s="81" t="s">
        <v>2598</v>
      </c>
      <c r="AK377" s="166">
        <v>16</v>
      </c>
      <c r="AM377" s="166">
        <v>2</v>
      </c>
      <c r="AO377" s="166">
        <v>0</v>
      </c>
      <c r="AP377" s="166">
        <v>8</v>
      </c>
      <c r="AQ377" s="166">
        <v>8</v>
      </c>
      <c r="AR377" s="166">
        <v>0</v>
      </c>
      <c r="AS377" s="166">
        <v>0</v>
      </c>
      <c r="AT377" s="166">
        <v>0</v>
      </c>
      <c r="AU377" s="166">
        <v>0</v>
      </c>
      <c r="AV377" s="166">
        <v>0</v>
      </c>
      <c r="AW377" s="166">
        <v>8</v>
      </c>
      <c r="AX377" s="166">
        <v>8</v>
      </c>
      <c r="AY377" s="166">
        <v>0</v>
      </c>
      <c r="AZ377" s="166">
        <v>0</v>
      </c>
      <c r="BA377" s="166">
        <v>0</v>
      </c>
      <c r="BB377" s="166">
        <v>0</v>
      </c>
      <c r="BC377" s="166">
        <v>0</v>
      </c>
      <c r="BD377" s="166">
        <v>0</v>
      </c>
      <c r="BE377" s="166">
        <v>0</v>
      </c>
      <c r="BF377" s="166">
        <v>0</v>
      </c>
      <c r="BG377" s="166">
        <v>0</v>
      </c>
      <c r="BH377" s="166">
        <v>0</v>
      </c>
      <c r="BI377" s="166">
        <v>0</v>
      </c>
      <c r="BJ377" s="166">
        <v>0</v>
      </c>
      <c r="BK377" s="166">
        <v>0</v>
      </c>
      <c r="BL377" s="166">
        <v>0</v>
      </c>
      <c r="BM377" s="166">
        <v>0</v>
      </c>
      <c r="BN377" s="166">
        <v>0</v>
      </c>
      <c r="BO377" s="166">
        <v>0</v>
      </c>
      <c r="BP377" s="166">
        <v>0</v>
      </c>
      <c r="BQ377" s="81" t="s">
        <v>1759</v>
      </c>
      <c r="BS377" s="81" t="s">
        <v>155</v>
      </c>
      <c r="BZ377" s="81" t="s">
        <v>155</v>
      </c>
      <c r="CA377" s="81">
        <v>12</v>
      </c>
      <c r="CC377" s="167">
        <v>0</v>
      </c>
      <c r="CD377" s="167">
        <v>0</v>
      </c>
      <c r="CE377" s="167">
        <v>0</v>
      </c>
      <c r="CF377" s="167">
        <v>0</v>
      </c>
      <c r="CG377" s="167">
        <v>0</v>
      </c>
      <c r="CH377" s="167">
        <v>16</v>
      </c>
      <c r="CI377" s="167">
        <v>0</v>
      </c>
      <c r="CJ377" s="167">
        <v>0</v>
      </c>
      <c r="CK377" s="167">
        <v>0</v>
      </c>
      <c r="CL377" s="167">
        <v>0</v>
      </c>
      <c r="CM377" s="167">
        <v>0</v>
      </c>
      <c r="CN377" s="167">
        <v>0</v>
      </c>
      <c r="CO377" s="167">
        <v>0</v>
      </c>
      <c r="CP377" s="167">
        <v>0</v>
      </c>
      <c r="CQ377" s="167">
        <v>0</v>
      </c>
      <c r="CR377" s="167">
        <v>0</v>
      </c>
      <c r="CS377" s="167">
        <v>0</v>
      </c>
      <c r="CT377" s="167">
        <v>0</v>
      </c>
      <c r="CU377" s="167">
        <v>0</v>
      </c>
      <c r="CV377" s="167">
        <v>0</v>
      </c>
      <c r="CW377" s="167">
        <v>0</v>
      </c>
      <c r="CX377" s="167">
        <f>SUM(CD377:CH377)</f>
        <v>16</v>
      </c>
      <c r="CY377" s="167">
        <f>SUM(CD377:CM377)</f>
        <v>16</v>
      </c>
    </row>
    <row r="378" spans="1:103" x14ac:dyDescent="0.2">
      <c r="A378" s="81">
        <v>3514</v>
      </c>
      <c r="B378" s="165" t="s">
        <v>1908</v>
      </c>
      <c r="C378" s="165" t="s">
        <v>1072</v>
      </c>
      <c r="E378" s="165" t="s">
        <v>2597</v>
      </c>
      <c r="F378" s="165" t="s">
        <v>866</v>
      </c>
      <c r="G378" s="81">
        <v>528809</v>
      </c>
      <c r="H378" s="81">
        <v>177181</v>
      </c>
      <c r="I378" s="165" t="s">
        <v>240</v>
      </c>
      <c r="J378" s="349">
        <v>42662</v>
      </c>
      <c r="L378" s="166">
        <v>0</v>
      </c>
      <c r="M378" s="166">
        <v>72</v>
      </c>
      <c r="N378" s="166">
        <v>72</v>
      </c>
      <c r="O378" s="166">
        <v>835</v>
      </c>
      <c r="P378" s="166">
        <v>835</v>
      </c>
      <c r="Q378" s="81" t="s">
        <v>155</v>
      </c>
      <c r="R378" s="165" t="s">
        <v>1073</v>
      </c>
      <c r="S378" s="81" t="s">
        <v>509</v>
      </c>
      <c r="T378" s="349">
        <v>42675</v>
      </c>
      <c r="U378" s="349">
        <v>42858</v>
      </c>
      <c r="V378" s="81" t="s">
        <v>155</v>
      </c>
      <c r="W378" s="81" t="s">
        <v>114</v>
      </c>
      <c r="Y378" s="81" t="s">
        <v>115</v>
      </c>
      <c r="Z378" s="81" t="s">
        <v>116</v>
      </c>
      <c r="AA378" s="81" t="s">
        <v>116</v>
      </c>
      <c r="AB378" s="81" t="s">
        <v>117</v>
      </c>
      <c r="AC378" s="166">
        <v>0.17700000107288399</v>
      </c>
      <c r="AD378" s="349">
        <v>42662</v>
      </c>
      <c r="AG378" s="81" t="s">
        <v>238</v>
      </c>
      <c r="AH378" s="81" t="s">
        <v>118</v>
      </c>
      <c r="AI378" s="81" t="s">
        <v>2598</v>
      </c>
      <c r="AK378" s="166">
        <v>72</v>
      </c>
      <c r="AM378" s="166">
        <v>7</v>
      </c>
      <c r="AO378" s="166">
        <v>0</v>
      </c>
      <c r="AP378" s="166">
        <v>32</v>
      </c>
      <c r="AQ378" s="166">
        <v>34</v>
      </c>
      <c r="AR378" s="166">
        <v>6</v>
      </c>
      <c r="AS378" s="166">
        <v>0</v>
      </c>
      <c r="AT378" s="166">
        <v>0</v>
      </c>
      <c r="AU378" s="166">
        <v>0</v>
      </c>
      <c r="AV378" s="166">
        <v>0</v>
      </c>
      <c r="AW378" s="166">
        <v>32</v>
      </c>
      <c r="AX378" s="166">
        <v>34</v>
      </c>
      <c r="AY378" s="166">
        <v>6</v>
      </c>
      <c r="AZ378" s="166">
        <v>0</v>
      </c>
      <c r="BA378" s="166">
        <v>0</v>
      </c>
      <c r="BB378" s="166">
        <v>0</v>
      </c>
      <c r="BC378" s="166">
        <v>0</v>
      </c>
      <c r="BD378" s="166">
        <v>0</v>
      </c>
      <c r="BE378" s="166">
        <v>0</v>
      </c>
      <c r="BF378" s="166">
        <v>0</v>
      </c>
      <c r="BG378" s="166">
        <v>0</v>
      </c>
      <c r="BH378" s="166">
        <v>0</v>
      </c>
      <c r="BI378" s="166">
        <v>0</v>
      </c>
      <c r="BJ378" s="166">
        <v>0</v>
      </c>
      <c r="BK378" s="166">
        <v>0</v>
      </c>
      <c r="BL378" s="166">
        <v>0</v>
      </c>
      <c r="BM378" s="166">
        <v>0</v>
      </c>
      <c r="BN378" s="166">
        <v>0</v>
      </c>
      <c r="BO378" s="166">
        <v>0</v>
      </c>
      <c r="BP378" s="166">
        <v>0</v>
      </c>
      <c r="BQ378" s="81" t="s">
        <v>1759</v>
      </c>
      <c r="BS378" s="81" t="s">
        <v>155</v>
      </c>
      <c r="BZ378" s="81" t="s">
        <v>155</v>
      </c>
      <c r="CA378" s="81">
        <v>12</v>
      </c>
      <c r="CC378" s="167">
        <v>0</v>
      </c>
      <c r="CD378" s="167">
        <v>0</v>
      </c>
      <c r="CE378" s="167">
        <v>72</v>
      </c>
      <c r="CF378" s="167">
        <v>0</v>
      </c>
      <c r="CG378" s="167">
        <v>0</v>
      </c>
      <c r="CH378" s="167">
        <v>0</v>
      </c>
      <c r="CI378" s="167">
        <v>0</v>
      </c>
      <c r="CJ378" s="167">
        <v>0</v>
      </c>
      <c r="CK378" s="167">
        <v>0</v>
      </c>
      <c r="CL378" s="167">
        <v>0</v>
      </c>
      <c r="CM378" s="167">
        <v>0</v>
      </c>
      <c r="CN378" s="167">
        <v>0</v>
      </c>
      <c r="CO378" s="167">
        <v>0</v>
      </c>
      <c r="CP378" s="167">
        <v>0</v>
      </c>
      <c r="CQ378" s="167">
        <v>0</v>
      </c>
      <c r="CR378" s="167">
        <v>0</v>
      </c>
      <c r="CS378" s="167">
        <v>0</v>
      </c>
      <c r="CT378" s="167">
        <v>0</v>
      </c>
      <c r="CU378" s="167">
        <v>0</v>
      </c>
      <c r="CV378" s="167">
        <v>0</v>
      </c>
      <c r="CW378" s="167">
        <v>0</v>
      </c>
      <c r="CX378" s="167">
        <f>SUM(CD378:CH378)</f>
        <v>72</v>
      </c>
      <c r="CY378" s="167">
        <f>SUM(CD378:CM378)</f>
        <v>72</v>
      </c>
    </row>
    <row r="379" spans="1:103" ht="12.75" customHeight="1" x14ac:dyDescent="0.2">
      <c r="A379" s="81">
        <v>3514</v>
      </c>
      <c r="B379" s="165" t="s">
        <v>1908</v>
      </c>
      <c r="C379" s="165" t="s">
        <v>1072</v>
      </c>
      <c r="E379" s="165" t="s">
        <v>2597</v>
      </c>
      <c r="F379" s="165" t="s">
        <v>866</v>
      </c>
      <c r="G379" s="81">
        <v>528809</v>
      </c>
      <c r="H379" s="81">
        <v>177181</v>
      </c>
      <c r="I379" s="165" t="s">
        <v>240</v>
      </c>
      <c r="J379" s="349">
        <v>42662</v>
      </c>
      <c r="L379" s="166">
        <v>0</v>
      </c>
      <c r="M379" s="166">
        <v>22</v>
      </c>
      <c r="N379" s="166">
        <v>22</v>
      </c>
      <c r="O379" s="166">
        <v>835</v>
      </c>
      <c r="P379" s="166">
        <v>835</v>
      </c>
      <c r="Q379" s="81" t="s">
        <v>155</v>
      </c>
      <c r="R379" s="165" t="s">
        <v>1073</v>
      </c>
      <c r="S379" s="81" t="s">
        <v>509</v>
      </c>
      <c r="T379" s="349">
        <v>42675</v>
      </c>
      <c r="U379" s="349">
        <v>42858</v>
      </c>
      <c r="V379" s="81" t="s">
        <v>155</v>
      </c>
      <c r="W379" s="81" t="s">
        <v>114</v>
      </c>
      <c r="Y379" s="81" t="s">
        <v>115</v>
      </c>
      <c r="Z379" s="81" t="s">
        <v>116</v>
      </c>
      <c r="AA379" s="81" t="s">
        <v>116</v>
      </c>
      <c r="AB379" s="81" t="s">
        <v>117</v>
      </c>
      <c r="AC379" s="166">
        <v>5.4000001400709201E-2</v>
      </c>
      <c r="AD379" s="349">
        <v>42662</v>
      </c>
      <c r="AG379" s="81" t="s">
        <v>74</v>
      </c>
      <c r="AH379" s="81" t="s">
        <v>990</v>
      </c>
      <c r="AI379" s="81" t="s">
        <v>2598</v>
      </c>
      <c r="AK379" s="166">
        <v>22</v>
      </c>
      <c r="AM379" s="166">
        <v>2</v>
      </c>
      <c r="AO379" s="166">
        <v>0</v>
      </c>
      <c r="AP379" s="166">
        <v>16</v>
      </c>
      <c r="AQ379" s="166">
        <v>6</v>
      </c>
      <c r="AR379" s="166">
        <v>0</v>
      </c>
      <c r="AS379" s="166">
        <v>0</v>
      </c>
      <c r="AT379" s="166">
        <v>0</v>
      </c>
      <c r="AU379" s="166">
        <v>0</v>
      </c>
      <c r="AV379" s="166">
        <v>0</v>
      </c>
      <c r="AW379" s="166">
        <v>16</v>
      </c>
      <c r="AX379" s="166">
        <v>6</v>
      </c>
      <c r="AY379" s="166">
        <v>0</v>
      </c>
      <c r="AZ379" s="166">
        <v>0</v>
      </c>
      <c r="BA379" s="166">
        <v>0</v>
      </c>
      <c r="BB379" s="166">
        <v>0</v>
      </c>
      <c r="BC379" s="166">
        <v>0</v>
      </c>
      <c r="BD379" s="166">
        <v>0</v>
      </c>
      <c r="BE379" s="166">
        <v>0</v>
      </c>
      <c r="BF379" s="166">
        <v>0</v>
      </c>
      <c r="BG379" s="166">
        <v>0</v>
      </c>
      <c r="BH379" s="166">
        <v>0</v>
      </c>
      <c r="BI379" s="166">
        <v>0</v>
      </c>
      <c r="BJ379" s="166">
        <v>0</v>
      </c>
      <c r="BK379" s="166">
        <v>0</v>
      </c>
      <c r="BL379" s="166">
        <v>0</v>
      </c>
      <c r="BM379" s="166">
        <v>0</v>
      </c>
      <c r="BN379" s="166">
        <v>0</v>
      </c>
      <c r="BO379" s="166">
        <v>0</v>
      </c>
      <c r="BP379" s="166">
        <v>0</v>
      </c>
      <c r="BQ379" s="81" t="s">
        <v>1759</v>
      </c>
      <c r="BS379" s="81" t="s">
        <v>155</v>
      </c>
      <c r="BZ379" s="81" t="s">
        <v>155</v>
      </c>
      <c r="CA379" s="81">
        <v>12</v>
      </c>
      <c r="CC379" s="167">
        <v>0</v>
      </c>
      <c r="CD379" s="167">
        <v>0</v>
      </c>
      <c r="CE379" s="167">
        <v>22</v>
      </c>
      <c r="CF379" s="167">
        <v>0</v>
      </c>
      <c r="CG379" s="167">
        <v>0</v>
      </c>
      <c r="CH379" s="167">
        <v>0</v>
      </c>
      <c r="CI379" s="167">
        <v>0</v>
      </c>
      <c r="CJ379" s="167">
        <v>0</v>
      </c>
      <c r="CK379" s="167">
        <v>0</v>
      </c>
      <c r="CL379" s="167">
        <v>0</v>
      </c>
      <c r="CM379" s="167">
        <v>0</v>
      </c>
      <c r="CN379" s="167">
        <v>0</v>
      </c>
      <c r="CO379" s="167">
        <v>0</v>
      </c>
      <c r="CP379" s="167">
        <v>0</v>
      </c>
      <c r="CQ379" s="167">
        <v>0</v>
      </c>
      <c r="CR379" s="167">
        <v>0</v>
      </c>
      <c r="CS379" s="167">
        <v>0</v>
      </c>
      <c r="CT379" s="167">
        <v>0</v>
      </c>
      <c r="CU379" s="167">
        <v>0</v>
      </c>
      <c r="CV379" s="167">
        <v>0</v>
      </c>
      <c r="CW379" s="167">
        <v>0</v>
      </c>
      <c r="CX379" s="167">
        <f>SUM(CD379:CH379)</f>
        <v>22</v>
      </c>
      <c r="CY379" s="167">
        <f>SUM(CD379:CM379)</f>
        <v>22</v>
      </c>
    </row>
    <row r="380" spans="1:103" ht="12.75" customHeight="1" x14ac:dyDescent="0.2">
      <c r="A380" s="81">
        <v>3514</v>
      </c>
      <c r="B380" s="165" t="s">
        <v>1908</v>
      </c>
      <c r="C380" s="165" t="s">
        <v>1072</v>
      </c>
      <c r="E380" s="165" t="s">
        <v>2597</v>
      </c>
      <c r="F380" s="165" t="s">
        <v>867</v>
      </c>
      <c r="G380" s="81">
        <v>528809</v>
      </c>
      <c r="H380" s="81">
        <v>177181</v>
      </c>
      <c r="I380" s="165" t="s">
        <v>240</v>
      </c>
      <c r="J380" s="349">
        <v>42662</v>
      </c>
      <c r="L380" s="166">
        <v>0</v>
      </c>
      <c r="M380" s="166">
        <v>77</v>
      </c>
      <c r="N380" s="166">
        <v>77</v>
      </c>
      <c r="O380" s="166">
        <v>835</v>
      </c>
      <c r="P380" s="166">
        <v>835</v>
      </c>
      <c r="Q380" s="81" t="s">
        <v>155</v>
      </c>
      <c r="R380" s="165" t="s">
        <v>1073</v>
      </c>
      <c r="S380" s="81" t="s">
        <v>509</v>
      </c>
      <c r="T380" s="349">
        <v>42675</v>
      </c>
      <c r="U380" s="349">
        <v>42858</v>
      </c>
      <c r="V380" s="81" t="s">
        <v>155</v>
      </c>
      <c r="W380" s="81" t="s">
        <v>114</v>
      </c>
      <c r="Y380" s="81" t="s">
        <v>115</v>
      </c>
      <c r="Z380" s="81" t="s">
        <v>116</v>
      </c>
      <c r="AA380" s="81" t="s">
        <v>116</v>
      </c>
      <c r="AB380" s="81" t="s">
        <v>117</v>
      </c>
      <c r="AC380" s="166">
        <v>0.18299999833107</v>
      </c>
      <c r="AD380" s="349">
        <v>42662</v>
      </c>
      <c r="AG380" s="81" t="s">
        <v>154</v>
      </c>
      <c r="AH380" s="81" t="s">
        <v>276</v>
      </c>
      <c r="AI380" s="81" t="s">
        <v>2598</v>
      </c>
      <c r="AK380" s="166">
        <v>77</v>
      </c>
      <c r="AM380" s="166">
        <v>8</v>
      </c>
      <c r="AO380" s="166">
        <v>0</v>
      </c>
      <c r="AP380" s="166">
        <v>33</v>
      </c>
      <c r="AQ380" s="166">
        <v>33</v>
      </c>
      <c r="AR380" s="166">
        <v>11</v>
      </c>
      <c r="AS380" s="166">
        <v>0</v>
      </c>
      <c r="AT380" s="166">
        <v>0</v>
      </c>
      <c r="AU380" s="166">
        <v>0</v>
      </c>
      <c r="AV380" s="166">
        <v>0</v>
      </c>
      <c r="AW380" s="166">
        <v>33</v>
      </c>
      <c r="AX380" s="166">
        <v>33</v>
      </c>
      <c r="AY380" s="166">
        <v>11</v>
      </c>
      <c r="AZ380" s="166">
        <v>0</v>
      </c>
      <c r="BA380" s="166">
        <v>0</v>
      </c>
      <c r="BB380" s="166">
        <v>0</v>
      </c>
      <c r="BC380" s="166">
        <v>0</v>
      </c>
      <c r="BD380" s="166">
        <v>0</v>
      </c>
      <c r="BE380" s="166">
        <v>0</v>
      </c>
      <c r="BF380" s="166">
        <v>0</v>
      </c>
      <c r="BG380" s="166">
        <v>0</v>
      </c>
      <c r="BH380" s="166">
        <v>0</v>
      </c>
      <c r="BI380" s="166">
        <v>0</v>
      </c>
      <c r="BJ380" s="166">
        <v>0</v>
      </c>
      <c r="BK380" s="166">
        <v>0</v>
      </c>
      <c r="BL380" s="166">
        <v>0</v>
      </c>
      <c r="BM380" s="166">
        <v>0</v>
      </c>
      <c r="BN380" s="166">
        <v>0</v>
      </c>
      <c r="BO380" s="166">
        <v>0</v>
      </c>
      <c r="BP380" s="166">
        <v>0</v>
      </c>
      <c r="BQ380" s="81" t="s">
        <v>1759</v>
      </c>
      <c r="BS380" s="81" t="s">
        <v>155</v>
      </c>
      <c r="BZ380" s="81" t="s">
        <v>155</v>
      </c>
      <c r="CA380" s="81">
        <v>12</v>
      </c>
      <c r="CC380" s="167">
        <v>0</v>
      </c>
      <c r="CD380" s="167">
        <v>0</v>
      </c>
      <c r="CE380" s="167">
        <v>0</v>
      </c>
      <c r="CF380" s="167">
        <v>0</v>
      </c>
      <c r="CG380" s="167">
        <v>77</v>
      </c>
      <c r="CH380" s="167">
        <v>0</v>
      </c>
      <c r="CI380" s="167">
        <v>0</v>
      </c>
      <c r="CJ380" s="167">
        <v>0</v>
      </c>
      <c r="CK380" s="167">
        <v>0</v>
      </c>
      <c r="CL380" s="167">
        <v>0</v>
      </c>
      <c r="CM380" s="167">
        <v>0</v>
      </c>
      <c r="CN380" s="167">
        <v>0</v>
      </c>
      <c r="CO380" s="167">
        <v>0</v>
      </c>
      <c r="CP380" s="167">
        <v>0</v>
      </c>
      <c r="CQ380" s="167">
        <v>0</v>
      </c>
      <c r="CR380" s="167">
        <v>0</v>
      </c>
      <c r="CS380" s="167">
        <v>0</v>
      </c>
      <c r="CT380" s="167">
        <v>0</v>
      </c>
      <c r="CU380" s="167">
        <v>0</v>
      </c>
      <c r="CV380" s="167">
        <v>0</v>
      </c>
      <c r="CW380" s="167">
        <v>0</v>
      </c>
      <c r="CX380" s="167">
        <f>SUM(CD380:CH380)</f>
        <v>77</v>
      </c>
      <c r="CY380" s="167">
        <f>SUM(CD380:CM380)</f>
        <v>77</v>
      </c>
    </row>
    <row r="381" spans="1:103" ht="12.75" customHeight="1" x14ac:dyDescent="0.2">
      <c r="A381" s="81">
        <v>3514</v>
      </c>
      <c r="B381" s="165" t="s">
        <v>1908</v>
      </c>
      <c r="C381" s="165" t="s">
        <v>1072</v>
      </c>
      <c r="E381" s="165" t="s">
        <v>2597</v>
      </c>
      <c r="F381" s="165" t="s">
        <v>863</v>
      </c>
      <c r="G381" s="81">
        <v>528809</v>
      </c>
      <c r="H381" s="81">
        <v>177181</v>
      </c>
      <c r="I381" s="165" t="s">
        <v>240</v>
      </c>
      <c r="J381" s="349">
        <v>42662</v>
      </c>
      <c r="L381" s="166">
        <v>0</v>
      </c>
      <c r="M381" s="166">
        <v>99</v>
      </c>
      <c r="N381" s="166">
        <v>99</v>
      </c>
      <c r="O381" s="166">
        <v>835</v>
      </c>
      <c r="P381" s="166">
        <v>835</v>
      </c>
      <c r="Q381" s="81" t="s">
        <v>155</v>
      </c>
      <c r="R381" s="165" t="s">
        <v>1073</v>
      </c>
      <c r="S381" s="81" t="s">
        <v>509</v>
      </c>
      <c r="T381" s="349">
        <v>42675</v>
      </c>
      <c r="U381" s="349">
        <v>42858</v>
      </c>
      <c r="V381" s="81" t="s">
        <v>155</v>
      </c>
      <c r="W381" s="81" t="s">
        <v>114</v>
      </c>
      <c r="Y381" s="81" t="s">
        <v>115</v>
      </c>
      <c r="Z381" s="81" t="s">
        <v>116</v>
      </c>
      <c r="AA381" s="81" t="s">
        <v>116</v>
      </c>
      <c r="AB381" s="81" t="s">
        <v>117</v>
      </c>
      <c r="AC381" s="166">
        <v>0.20399999618530301</v>
      </c>
      <c r="AD381" s="349">
        <v>42662</v>
      </c>
      <c r="AG381" s="81" t="s">
        <v>154</v>
      </c>
      <c r="AH381" s="81" t="s">
        <v>276</v>
      </c>
      <c r="AI381" s="81" t="s">
        <v>2598</v>
      </c>
      <c r="AK381" s="166">
        <v>99</v>
      </c>
      <c r="AM381" s="166">
        <v>10</v>
      </c>
      <c r="AO381" s="166">
        <v>0</v>
      </c>
      <c r="AP381" s="166">
        <v>66</v>
      </c>
      <c r="AQ381" s="166">
        <v>33</v>
      </c>
      <c r="AR381" s="166">
        <v>0</v>
      </c>
      <c r="AS381" s="166">
        <v>0</v>
      </c>
      <c r="AT381" s="166">
        <v>0</v>
      </c>
      <c r="AU381" s="166">
        <v>0</v>
      </c>
      <c r="AV381" s="166">
        <v>0</v>
      </c>
      <c r="AW381" s="166">
        <v>66</v>
      </c>
      <c r="AX381" s="166">
        <v>33</v>
      </c>
      <c r="AY381" s="166">
        <v>0</v>
      </c>
      <c r="AZ381" s="166">
        <v>0</v>
      </c>
      <c r="BA381" s="166">
        <v>0</v>
      </c>
      <c r="BB381" s="166">
        <v>0</v>
      </c>
      <c r="BC381" s="166">
        <v>0</v>
      </c>
      <c r="BD381" s="166">
        <v>0</v>
      </c>
      <c r="BE381" s="166">
        <v>0</v>
      </c>
      <c r="BF381" s="166">
        <v>0</v>
      </c>
      <c r="BG381" s="166">
        <v>0</v>
      </c>
      <c r="BH381" s="166">
        <v>0</v>
      </c>
      <c r="BI381" s="166">
        <v>0</v>
      </c>
      <c r="BJ381" s="166">
        <v>0</v>
      </c>
      <c r="BK381" s="166">
        <v>0</v>
      </c>
      <c r="BL381" s="166">
        <v>0</v>
      </c>
      <c r="BM381" s="166">
        <v>0</v>
      </c>
      <c r="BN381" s="166">
        <v>0</v>
      </c>
      <c r="BO381" s="166">
        <v>0</v>
      </c>
      <c r="BP381" s="166">
        <v>0</v>
      </c>
      <c r="BQ381" s="81" t="s">
        <v>1759</v>
      </c>
      <c r="BS381" s="81" t="s">
        <v>155</v>
      </c>
      <c r="BZ381" s="81" t="s">
        <v>155</v>
      </c>
      <c r="CA381" s="81">
        <v>12</v>
      </c>
      <c r="CC381" s="167">
        <v>0</v>
      </c>
      <c r="CD381" s="167">
        <v>0</v>
      </c>
      <c r="CE381" s="167">
        <v>0</v>
      </c>
      <c r="CF381" s="167">
        <v>0</v>
      </c>
      <c r="CG381" s="167">
        <v>99</v>
      </c>
      <c r="CH381" s="167">
        <v>0</v>
      </c>
      <c r="CI381" s="167">
        <v>0</v>
      </c>
      <c r="CJ381" s="167">
        <v>0</v>
      </c>
      <c r="CK381" s="167">
        <v>0</v>
      </c>
      <c r="CL381" s="167">
        <v>0</v>
      </c>
      <c r="CM381" s="167">
        <v>0</v>
      </c>
      <c r="CN381" s="167">
        <v>0</v>
      </c>
      <c r="CO381" s="167">
        <v>0</v>
      </c>
      <c r="CP381" s="167">
        <v>0</v>
      </c>
      <c r="CQ381" s="167">
        <v>0</v>
      </c>
      <c r="CR381" s="167">
        <v>0</v>
      </c>
      <c r="CS381" s="167">
        <v>0</v>
      </c>
      <c r="CT381" s="167">
        <v>0</v>
      </c>
      <c r="CU381" s="167">
        <v>0</v>
      </c>
      <c r="CV381" s="167">
        <v>0</v>
      </c>
      <c r="CW381" s="167">
        <v>0</v>
      </c>
      <c r="CX381" s="167">
        <f>SUM(CD381:CH381)</f>
        <v>99</v>
      </c>
      <c r="CY381" s="167">
        <f>SUM(CD381:CM381)</f>
        <v>99</v>
      </c>
    </row>
    <row r="382" spans="1:103" ht="12.75" customHeight="1" x14ac:dyDescent="0.2">
      <c r="A382" s="81">
        <v>3514</v>
      </c>
      <c r="B382" s="165" t="s">
        <v>1908</v>
      </c>
      <c r="C382" s="165" t="s">
        <v>2993</v>
      </c>
      <c r="E382" s="165" t="s">
        <v>2597</v>
      </c>
      <c r="G382" s="81">
        <v>528809</v>
      </c>
      <c r="H382" s="81">
        <v>177181</v>
      </c>
      <c r="I382" s="165" t="s">
        <v>240</v>
      </c>
      <c r="J382" s="349">
        <v>42662</v>
      </c>
      <c r="L382" s="166">
        <v>1</v>
      </c>
      <c r="M382" s="166">
        <v>1</v>
      </c>
      <c r="N382" s="166">
        <v>0</v>
      </c>
      <c r="O382" s="166">
        <v>1</v>
      </c>
      <c r="P382" s="166">
        <v>0</v>
      </c>
      <c r="Q382" s="81" t="s">
        <v>155</v>
      </c>
      <c r="R382" s="165" t="s">
        <v>2994</v>
      </c>
      <c r="S382" s="81" t="s">
        <v>509</v>
      </c>
      <c r="T382" s="349">
        <v>43017</v>
      </c>
      <c r="U382" s="349">
        <v>43039</v>
      </c>
      <c r="V382" s="81" t="s">
        <v>155</v>
      </c>
      <c r="W382" s="81" t="s">
        <v>114</v>
      </c>
      <c r="Y382" s="81" t="s">
        <v>115</v>
      </c>
      <c r="Z382" s="81" t="s">
        <v>116</v>
      </c>
      <c r="AA382" s="81" t="s">
        <v>116</v>
      </c>
      <c r="AB382" s="81" t="s">
        <v>117</v>
      </c>
      <c r="AC382" s="166">
        <v>7.1000002324581105E-2</v>
      </c>
      <c r="AD382" s="349">
        <v>42662</v>
      </c>
      <c r="AG382" s="81" t="s">
        <v>238</v>
      </c>
      <c r="AH382" s="81" t="s">
        <v>118</v>
      </c>
      <c r="AI382" s="81" t="s">
        <v>2598</v>
      </c>
      <c r="AK382" s="166">
        <v>0</v>
      </c>
      <c r="AM382" s="166">
        <v>0</v>
      </c>
      <c r="AO382" s="166">
        <v>0</v>
      </c>
      <c r="AP382" s="166">
        <v>0</v>
      </c>
      <c r="AQ382" s="166">
        <v>-1</v>
      </c>
      <c r="AR382" s="166">
        <v>1</v>
      </c>
      <c r="AS382" s="166">
        <v>0</v>
      </c>
      <c r="AT382" s="166">
        <v>0</v>
      </c>
      <c r="AU382" s="166">
        <v>0</v>
      </c>
      <c r="AV382" s="166">
        <v>0</v>
      </c>
      <c r="AW382" s="166">
        <v>0</v>
      </c>
      <c r="AX382" s="166">
        <v>-1</v>
      </c>
      <c r="AY382" s="166">
        <v>1</v>
      </c>
      <c r="AZ382" s="166">
        <v>0</v>
      </c>
      <c r="BA382" s="166">
        <v>0</v>
      </c>
      <c r="BB382" s="166">
        <v>0</v>
      </c>
      <c r="BC382" s="166">
        <v>0</v>
      </c>
      <c r="BD382" s="166">
        <v>0</v>
      </c>
      <c r="BE382" s="166">
        <v>0</v>
      </c>
      <c r="BF382" s="166">
        <v>0</v>
      </c>
      <c r="BG382" s="166">
        <v>0</v>
      </c>
      <c r="BH382" s="166">
        <v>0</v>
      </c>
      <c r="BI382" s="166">
        <v>0</v>
      </c>
      <c r="BJ382" s="166">
        <v>0</v>
      </c>
      <c r="BK382" s="166">
        <v>0</v>
      </c>
      <c r="BL382" s="166">
        <v>0</v>
      </c>
      <c r="BM382" s="166">
        <v>0</v>
      </c>
      <c r="BN382" s="166">
        <v>0</v>
      </c>
      <c r="BO382" s="166">
        <v>0</v>
      </c>
      <c r="BP382" s="166">
        <v>0</v>
      </c>
      <c r="BQ382" s="81" t="s">
        <v>1759</v>
      </c>
      <c r="BS382" s="81" t="s">
        <v>155</v>
      </c>
      <c r="BZ382" s="81" t="s">
        <v>155</v>
      </c>
      <c r="CA382" s="81">
        <v>12</v>
      </c>
      <c r="CC382" s="167">
        <v>0</v>
      </c>
      <c r="CD382" s="167">
        <v>0</v>
      </c>
      <c r="CE382" s="167">
        <v>0</v>
      </c>
      <c r="CF382" s="167">
        <v>0</v>
      </c>
      <c r="CG382" s="167">
        <v>0</v>
      </c>
      <c r="CH382" s="167">
        <v>0</v>
      </c>
      <c r="CI382" s="167">
        <v>0</v>
      </c>
      <c r="CJ382" s="167">
        <v>0</v>
      </c>
      <c r="CK382" s="167">
        <v>0</v>
      </c>
      <c r="CL382" s="167">
        <v>0</v>
      </c>
      <c r="CM382" s="167">
        <v>0</v>
      </c>
      <c r="CN382" s="167">
        <v>0</v>
      </c>
      <c r="CO382" s="167">
        <v>0</v>
      </c>
      <c r="CP382" s="167">
        <v>0</v>
      </c>
      <c r="CQ382" s="167">
        <v>0</v>
      </c>
      <c r="CR382" s="167">
        <v>0</v>
      </c>
      <c r="CS382" s="167">
        <v>0</v>
      </c>
      <c r="CT382" s="167">
        <v>0</v>
      </c>
      <c r="CU382" s="167">
        <v>0</v>
      </c>
      <c r="CV382" s="167">
        <v>0</v>
      </c>
      <c r="CW382" s="167">
        <v>0</v>
      </c>
      <c r="CX382" s="167">
        <f>SUM(CD382:CH382)</f>
        <v>0</v>
      </c>
      <c r="CY382" s="167">
        <f>SUM(CD382:CM382)</f>
        <v>0</v>
      </c>
    </row>
    <row r="383" spans="1:103" ht="12.75" customHeight="1" x14ac:dyDescent="0.2">
      <c r="A383" s="81">
        <v>3518</v>
      </c>
      <c r="B383" s="165" t="s">
        <v>1908</v>
      </c>
      <c r="C383" s="165" t="s">
        <v>68</v>
      </c>
      <c r="D383" s="165" t="s">
        <v>507</v>
      </c>
      <c r="E383" s="165" t="s">
        <v>2692</v>
      </c>
      <c r="F383" s="165" t="s">
        <v>848</v>
      </c>
      <c r="G383" s="81">
        <v>525666</v>
      </c>
      <c r="H383" s="81">
        <v>174804</v>
      </c>
      <c r="I383" s="165" t="s">
        <v>251</v>
      </c>
      <c r="J383" s="349">
        <v>42095</v>
      </c>
      <c r="L383" s="166">
        <v>1</v>
      </c>
      <c r="M383" s="166">
        <v>9</v>
      </c>
      <c r="N383" s="166">
        <v>8</v>
      </c>
      <c r="O383" s="166">
        <v>663</v>
      </c>
      <c r="P383" s="166">
        <v>662</v>
      </c>
      <c r="Q383" s="81" t="s">
        <v>155</v>
      </c>
      <c r="R383" s="165" t="s">
        <v>741</v>
      </c>
      <c r="S383" s="81" t="s">
        <v>24</v>
      </c>
      <c r="T383" s="349">
        <v>41234</v>
      </c>
      <c r="U383" s="349">
        <v>41614</v>
      </c>
      <c r="W383" s="81" t="s">
        <v>114</v>
      </c>
      <c r="Y383" s="81" t="s">
        <v>115</v>
      </c>
      <c r="Z383" s="81" t="s">
        <v>116</v>
      </c>
      <c r="AA383" s="81" t="s">
        <v>116</v>
      </c>
      <c r="AB383" s="81" t="s">
        <v>117</v>
      </c>
      <c r="AC383" s="166">
        <v>0</v>
      </c>
      <c r="AD383" s="349">
        <v>42095</v>
      </c>
      <c r="AG383" s="81" t="s">
        <v>238</v>
      </c>
      <c r="AH383" s="81" t="s">
        <v>118</v>
      </c>
      <c r="AI383" s="81" t="s">
        <v>2693</v>
      </c>
      <c r="AK383" s="166">
        <v>0</v>
      </c>
      <c r="AM383" s="166">
        <v>0</v>
      </c>
      <c r="AO383" s="166">
        <v>0</v>
      </c>
      <c r="AP383" s="166">
        <v>6</v>
      </c>
      <c r="AQ383" s="166">
        <v>3</v>
      </c>
      <c r="AR383" s="166">
        <v>0</v>
      </c>
      <c r="AS383" s="166">
        <v>0</v>
      </c>
      <c r="AT383" s="166">
        <v>0</v>
      </c>
      <c r="AU383" s="166">
        <v>-1</v>
      </c>
      <c r="AV383" s="166">
        <v>0</v>
      </c>
      <c r="AW383" s="166">
        <v>6</v>
      </c>
      <c r="AX383" s="166">
        <v>3</v>
      </c>
      <c r="AY383" s="166">
        <v>0</v>
      </c>
      <c r="AZ383" s="166">
        <v>0</v>
      </c>
      <c r="BA383" s="166">
        <v>0</v>
      </c>
      <c r="BB383" s="166">
        <v>0</v>
      </c>
      <c r="BC383" s="166">
        <v>0</v>
      </c>
      <c r="BD383" s="166">
        <v>0</v>
      </c>
      <c r="BE383" s="166">
        <v>0</v>
      </c>
      <c r="BF383" s="166">
        <v>0</v>
      </c>
      <c r="BG383" s="166">
        <v>0</v>
      </c>
      <c r="BH383" s="166">
        <v>0</v>
      </c>
      <c r="BI383" s="166">
        <v>-1</v>
      </c>
      <c r="BJ383" s="166">
        <v>0</v>
      </c>
      <c r="BK383" s="166">
        <v>0</v>
      </c>
      <c r="BL383" s="166">
        <v>0</v>
      </c>
      <c r="BM383" s="166">
        <v>0</v>
      </c>
      <c r="BN383" s="166">
        <v>0</v>
      </c>
      <c r="BO383" s="166">
        <v>0</v>
      </c>
      <c r="BP383" s="166">
        <v>0</v>
      </c>
      <c r="BQ383" s="81" t="s">
        <v>1758</v>
      </c>
      <c r="BR383" s="81" t="s">
        <v>202</v>
      </c>
      <c r="BT383" s="81" t="s">
        <v>155</v>
      </c>
      <c r="BZ383" s="81" t="s">
        <v>155</v>
      </c>
      <c r="CA383" s="81" t="s">
        <v>3934</v>
      </c>
      <c r="CC383" s="167">
        <v>0</v>
      </c>
      <c r="CD383" s="167">
        <f>N383</f>
        <v>8</v>
      </c>
      <c r="CE383" s="167">
        <v>0</v>
      </c>
      <c r="CF383" s="167">
        <v>0</v>
      </c>
      <c r="CG383" s="167">
        <v>0</v>
      </c>
      <c r="CH383" s="167">
        <v>0</v>
      </c>
      <c r="CI383" s="167">
        <v>0</v>
      </c>
      <c r="CJ383" s="167">
        <v>0</v>
      </c>
      <c r="CK383" s="167">
        <v>0</v>
      </c>
      <c r="CL383" s="167">
        <v>0</v>
      </c>
      <c r="CM383" s="167">
        <v>0</v>
      </c>
      <c r="CN383" s="167">
        <v>0</v>
      </c>
      <c r="CO383" s="167">
        <v>0</v>
      </c>
      <c r="CP383" s="167">
        <v>0</v>
      </c>
      <c r="CQ383" s="167">
        <v>0</v>
      </c>
      <c r="CR383" s="167">
        <v>0</v>
      </c>
      <c r="CS383" s="167">
        <v>0</v>
      </c>
      <c r="CT383" s="167">
        <v>0</v>
      </c>
      <c r="CU383" s="167">
        <v>0</v>
      </c>
      <c r="CV383" s="167">
        <v>0</v>
      </c>
      <c r="CW383" s="167">
        <v>0</v>
      </c>
      <c r="CX383" s="167">
        <f>SUM(CD383:CH383)</f>
        <v>8</v>
      </c>
      <c r="CY383" s="167">
        <f>SUM(CD383:CM383)</f>
        <v>8</v>
      </c>
    </row>
    <row r="384" spans="1:103" ht="12.75" customHeight="1" x14ac:dyDescent="0.2">
      <c r="A384" s="81">
        <v>3518</v>
      </c>
      <c r="B384" s="165" t="s">
        <v>1908</v>
      </c>
      <c r="C384" s="165" t="s">
        <v>68</v>
      </c>
      <c r="D384" s="165" t="s">
        <v>507</v>
      </c>
      <c r="E384" s="165" t="s">
        <v>2692</v>
      </c>
      <c r="F384" s="165" t="s">
        <v>849</v>
      </c>
      <c r="G384" s="81">
        <v>525666</v>
      </c>
      <c r="H384" s="81">
        <v>174804</v>
      </c>
      <c r="I384" s="165" t="s">
        <v>251</v>
      </c>
      <c r="J384" s="349">
        <v>42095</v>
      </c>
      <c r="L384" s="166">
        <v>0</v>
      </c>
      <c r="M384" s="166">
        <v>30</v>
      </c>
      <c r="N384" s="166">
        <v>30</v>
      </c>
      <c r="O384" s="166">
        <v>663</v>
      </c>
      <c r="P384" s="166">
        <v>662</v>
      </c>
      <c r="Q384" s="81" t="s">
        <v>155</v>
      </c>
      <c r="R384" s="165" t="s">
        <v>741</v>
      </c>
      <c r="S384" s="81" t="s">
        <v>24</v>
      </c>
      <c r="T384" s="349">
        <v>41234</v>
      </c>
      <c r="U384" s="349">
        <v>41614</v>
      </c>
      <c r="W384" s="81" t="s">
        <v>114</v>
      </c>
      <c r="Y384" s="81" t="s">
        <v>115</v>
      </c>
      <c r="Z384" s="81" t="s">
        <v>116</v>
      </c>
      <c r="AA384" s="81" t="s">
        <v>116</v>
      </c>
      <c r="AB384" s="81" t="s">
        <v>117</v>
      </c>
      <c r="AC384" s="166">
        <v>0</v>
      </c>
      <c r="AD384" s="349">
        <v>42095</v>
      </c>
      <c r="AG384" s="81" t="s">
        <v>238</v>
      </c>
      <c r="AH384" s="81" t="s">
        <v>118</v>
      </c>
      <c r="AI384" s="81" t="s">
        <v>2693</v>
      </c>
      <c r="AK384" s="166">
        <v>0</v>
      </c>
      <c r="AM384" s="166">
        <v>4</v>
      </c>
      <c r="AO384" s="166">
        <v>0</v>
      </c>
      <c r="AP384" s="166">
        <v>16</v>
      </c>
      <c r="AQ384" s="166">
        <v>14</v>
      </c>
      <c r="AR384" s="166">
        <v>0</v>
      </c>
      <c r="AS384" s="166">
        <v>0</v>
      </c>
      <c r="AT384" s="166">
        <v>0</v>
      </c>
      <c r="AU384" s="166">
        <v>0</v>
      </c>
      <c r="AV384" s="166">
        <v>0</v>
      </c>
      <c r="AW384" s="166">
        <v>16</v>
      </c>
      <c r="AX384" s="166">
        <v>14</v>
      </c>
      <c r="AY384" s="166">
        <v>0</v>
      </c>
      <c r="AZ384" s="166">
        <v>0</v>
      </c>
      <c r="BA384" s="166">
        <v>0</v>
      </c>
      <c r="BB384" s="166">
        <v>0</v>
      </c>
      <c r="BC384" s="166">
        <v>0</v>
      </c>
      <c r="BD384" s="166">
        <v>0</v>
      </c>
      <c r="BE384" s="166">
        <v>0</v>
      </c>
      <c r="BF384" s="166">
        <v>0</v>
      </c>
      <c r="BG384" s="166">
        <v>0</v>
      </c>
      <c r="BH384" s="166">
        <v>0</v>
      </c>
      <c r="BI384" s="166">
        <v>0</v>
      </c>
      <c r="BJ384" s="166">
        <v>0</v>
      </c>
      <c r="BK384" s="166">
        <v>0</v>
      </c>
      <c r="BL384" s="166">
        <v>0</v>
      </c>
      <c r="BM384" s="166">
        <v>0</v>
      </c>
      <c r="BN384" s="166">
        <v>0</v>
      </c>
      <c r="BO384" s="166">
        <v>0</v>
      </c>
      <c r="BP384" s="166">
        <v>0</v>
      </c>
      <c r="BQ384" s="81" t="s">
        <v>1758</v>
      </c>
      <c r="BR384" s="81" t="s">
        <v>202</v>
      </c>
      <c r="BT384" s="81" t="s">
        <v>155</v>
      </c>
      <c r="BZ384" s="81" t="s">
        <v>155</v>
      </c>
      <c r="CA384" s="81" t="s">
        <v>3934</v>
      </c>
      <c r="CC384" s="167">
        <v>0</v>
      </c>
      <c r="CD384" s="167">
        <f>N384</f>
        <v>30</v>
      </c>
      <c r="CE384" s="167">
        <v>0</v>
      </c>
      <c r="CF384" s="167">
        <v>0</v>
      </c>
      <c r="CG384" s="167">
        <v>0</v>
      </c>
      <c r="CH384" s="167">
        <v>0</v>
      </c>
      <c r="CI384" s="167">
        <v>0</v>
      </c>
      <c r="CJ384" s="167">
        <v>0</v>
      </c>
      <c r="CK384" s="167">
        <v>0</v>
      </c>
      <c r="CL384" s="167">
        <v>0</v>
      </c>
      <c r="CM384" s="167">
        <v>0</v>
      </c>
      <c r="CN384" s="167">
        <v>0</v>
      </c>
      <c r="CO384" s="167">
        <v>0</v>
      </c>
      <c r="CP384" s="167">
        <v>0</v>
      </c>
      <c r="CQ384" s="167">
        <v>0</v>
      </c>
      <c r="CR384" s="167">
        <v>0</v>
      </c>
      <c r="CS384" s="167">
        <v>0</v>
      </c>
      <c r="CT384" s="167">
        <v>0</v>
      </c>
      <c r="CU384" s="167">
        <v>0</v>
      </c>
      <c r="CV384" s="167">
        <v>0</v>
      </c>
      <c r="CW384" s="167">
        <v>0</v>
      </c>
      <c r="CX384" s="167">
        <f>SUM(CD384:CH384)</f>
        <v>30</v>
      </c>
      <c r="CY384" s="167">
        <f>SUM(CD384:CM384)</f>
        <v>30</v>
      </c>
    </row>
    <row r="385" spans="1:103" ht="12.75" customHeight="1" x14ac:dyDescent="0.2">
      <c r="A385" s="81">
        <v>3518</v>
      </c>
      <c r="B385" s="165" t="s">
        <v>1908</v>
      </c>
      <c r="C385" s="165" t="s">
        <v>68</v>
      </c>
      <c r="D385" s="165" t="s">
        <v>507</v>
      </c>
      <c r="E385" s="165" t="s">
        <v>2692</v>
      </c>
      <c r="F385" s="165" t="s">
        <v>850</v>
      </c>
      <c r="G385" s="81">
        <v>525666</v>
      </c>
      <c r="H385" s="81">
        <v>174804</v>
      </c>
      <c r="I385" s="165" t="s">
        <v>251</v>
      </c>
      <c r="J385" s="349">
        <v>42095</v>
      </c>
      <c r="L385" s="166">
        <v>0</v>
      </c>
      <c r="M385" s="166">
        <v>12</v>
      </c>
      <c r="N385" s="166">
        <v>12</v>
      </c>
      <c r="O385" s="166">
        <v>663</v>
      </c>
      <c r="P385" s="166">
        <v>662</v>
      </c>
      <c r="Q385" s="81" t="s">
        <v>155</v>
      </c>
      <c r="R385" s="165" t="s">
        <v>741</v>
      </c>
      <c r="S385" s="81" t="s">
        <v>24</v>
      </c>
      <c r="T385" s="349">
        <v>41234</v>
      </c>
      <c r="U385" s="349">
        <v>41614</v>
      </c>
      <c r="W385" s="81" t="s">
        <v>114</v>
      </c>
      <c r="Y385" s="81" t="s">
        <v>115</v>
      </c>
      <c r="Z385" s="81" t="s">
        <v>116</v>
      </c>
      <c r="AA385" s="81" t="s">
        <v>116</v>
      </c>
      <c r="AB385" s="81" t="s">
        <v>117</v>
      </c>
      <c r="AC385" s="166">
        <v>0</v>
      </c>
      <c r="AD385" s="349">
        <v>42095</v>
      </c>
      <c r="AG385" s="81" t="s">
        <v>238</v>
      </c>
      <c r="AH385" s="81" t="s">
        <v>118</v>
      </c>
      <c r="AI385" s="81" t="s">
        <v>2693</v>
      </c>
      <c r="AK385" s="166">
        <v>0</v>
      </c>
      <c r="AM385" s="166">
        <v>0</v>
      </c>
      <c r="AO385" s="166">
        <v>0</v>
      </c>
      <c r="AP385" s="166">
        <v>4</v>
      </c>
      <c r="AQ385" s="166">
        <v>4</v>
      </c>
      <c r="AR385" s="166">
        <v>4</v>
      </c>
      <c r="AS385" s="166">
        <v>0</v>
      </c>
      <c r="AT385" s="166">
        <v>0</v>
      </c>
      <c r="AU385" s="166">
        <v>0</v>
      </c>
      <c r="AV385" s="166">
        <v>0</v>
      </c>
      <c r="AW385" s="166">
        <v>4</v>
      </c>
      <c r="AX385" s="166">
        <v>4</v>
      </c>
      <c r="AY385" s="166">
        <v>4</v>
      </c>
      <c r="AZ385" s="166">
        <v>0</v>
      </c>
      <c r="BA385" s="166">
        <v>0</v>
      </c>
      <c r="BB385" s="166">
        <v>0</v>
      </c>
      <c r="BC385" s="166">
        <v>0</v>
      </c>
      <c r="BD385" s="166">
        <v>0</v>
      </c>
      <c r="BE385" s="166">
        <v>0</v>
      </c>
      <c r="BF385" s="166">
        <v>0</v>
      </c>
      <c r="BG385" s="166">
        <v>0</v>
      </c>
      <c r="BH385" s="166">
        <v>0</v>
      </c>
      <c r="BI385" s="166">
        <v>0</v>
      </c>
      <c r="BJ385" s="166">
        <v>0</v>
      </c>
      <c r="BK385" s="166">
        <v>0</v>
      </c>
      <c r="BL385" s="166">
        <v>0</v>
      </c>
      <c r="BM385" s="166">
        <v>0</v>
      </c>
      <c r="BN385" s="166">
        <v>0</v>
      </c>
      <c r="BO385" s="166">
        <v>0</v>
      </c>
      <c r="BP385" s="166">
        <v>0</v>
      </c>
      <c r="BQ385" s="81" t="s">
        <v>1758</v>
      </c>
      <c r="BR385" s="81" t="s">
        <v>202</v>
      </c>
      <c r="BT385" s="81" t="s">
        <v>155</v>
      </c>
      <c r="BZ385" s="81" t="s">
        <v>155</v>
      </c>
      <c r="CA385" s="81" t="s">
        <v>3934</v>
      </c>
      <c r="CC385" s="167">
        <v>0</v>
      </c>
      <c r="CD385" s="167">
        <f>N385</f>
        <v>12</v>
      </c>
      <c r="CE385" s="167">
        <v>0</v>
      </c>
      <c r="CF385" s="167">
        <v>0</v>
      </c>
      <c r="CG385" s="167">
        <v>0</v>
      </c>
      <c r="CH385" s="167">
        <v>0</v>
      </c>
      <c r="CI385" s="167">
        <v>0</v>
      </c>
      <c r="CJ385" s="167">
        <v>0</v>
      </c>
      <c r="CK385" s="167">
        <v>0</v>
      </c>
      <c r="CL385" s="167">
        <v>0</v>
      </c>
      <c r="CM385" s="167">
        <v>0</v>
      </c>
      <c r="CN385" s="167">
        <v>0</v>
      </c>
      <c r="CO385" s="167">
        <v>0</v>
      </c>
      <c r="CP385" s="167">
        <v>0</v>
      </c>
      <c r="CQ385" s="167">
        <v>0</v>
      </c>
      <c r="CR385" s="167">
        <v>0</v>
      </c>
      <c r="CS385" s="167">
        <v>0</v>
      </c>
      <c r="CT385" s="167">
        <v>0</v>
      </c>
      <c r="CU385" s="167">
        <v>0</v>
      </c>
      <c r="CV385" s="167">
        <v>0</v>
      </c>
      <c r="CW385" s="167">
        <v>0</v>
      </c>
      <c r="CX385" s="167">
        <f>SUM(CD385:CH385)</f>
        <v>12</v>
      </c>
      <c r="CY385" s="167">
        <f>SUM(CD385:CM385)</f>
        <v>12</v>
      </c>
    </row>
    <row r="386" spans="1:103" ht="12.75" customHeight="1" x14ac:dyDescent="0.2">
      <c r="A386" s="81">
        <v>3518</v>
      </c>
      <c r="B386" s="165" t="s">
        <v>1908</v>
      </c>
      <c r="C386" s="165" t="s">
        <v>68</v>
      </c>
      <c r="D386" s="165" t="s">
        <v>507</v>
      </c>
      <c r="E386" s="165" t="s">
        <v>2692</v>
      </c>
      <c r="F386" s="165" t="s">
        <v>853</v>
      </c>
      <c r="G386" s="81">
        <v>525666</v>
      </c>
      <c r="H386" s="81">
        <v>174804</v>
      </c>
      <c r="I386" s="165" t="s">
        <v>251</v>
      </c>
      <c r="J386" s="349">
        <v>42095</v>
      </c>
      <c r="L386" s="166">
        <v>0</v>
      </c>
      <c r="M386" s="166">
        <v>16</v>
      </c>
      <c r="N386" s="166">
        <v>16</v>
      </c>
      <c r="O386" s="166">
        <v>663</v>
      </c>
      <c r="P386" s="166">
        <v>662</v>
      </c>
      <c r="Q386" s="81" t="s">
        <v>155</v>
      </c>
      <c r="R386" s="165" t="s">
        <v>741</v>
      </c>
      <c r="S386" s="81" t="s">
        <v>24</v>
      </c>
      <c r="T386" s="349">
        <v>41234</v>
      </c>
      <c r="U386" s="349">
        <v>41614</v>
      </c>
      <c r="W386" s="81" t="s">
        <v>114</v>
      </c>
      <c r="Y386" s="81" t="s">
        <v>115</v>
      </c>
      <c r="Z386" s="81" t="s">
        <v>116</v>
      </c>
      <c r="AA386" s="81" t="s">
        <v>116</v>
      </c>
      <c r="AB386" s="81" t="s">
        <v>117</v>
      </c>
      <c r="AC386" s="166">
        <v>0</v>
      </c>
      <c r="AG386" s="81" t="s">
        <v>238</v>
      </c>
      <c r="AH386" s="81" t="s">
        <v>118</v>
      </c>
      <c r="AI386" s="81" t="s">
        <v>2693</v>
      </c>
      <c r="AK386" s="166">
        <v>0</v>
      </c>
      <c r="AM386" s="166">
        <v>0</v>
      </c>
      <c r="AO386" s="166">
        <v>0</v>
      </c>
      <c r="AP386" s="166">
        <v>10</v>
      </c>
      <c r="AQ386" s="166">
        <v>6</v>
      </c>
      <c r="AR386" s="166">
        <v>0</v>
      </c>
      <c r="AS386" s="166">
        <v>0</v>
      </c>
      <c r="AT386" s="166">
        <v>0</v>
      </c>
      <c r="AU386" s="166">
        <v>0</v>
      </c>
      <c r="AV386" s="166">
        <v>0</v>
      </c>
      <c r="AW386" s="166">
        <v>10</v>
      </c>
      <c r="AX386" s="166">
        <v>6</v>
      </c>
      <c r="AY386" s="166">
        <v>0</v>
      </c>
      <c r="AZ386" s="166">
        <v>0</v>
      </c>
      <c r="BA386" s="166">
        <v>0</v>
      </c>
      <c r="BB386" s="166">
        <v>0</v>
      </c>
      <c r="BC386" s="166">
        <v>0</v>
      </c>
      <c r="BD386" s="166">
        <v>0</v>
      </c>
      <c r="BE386" s="166">
        <v>0</v>
      </c>
      <c r="BF386" s="166">
        <v>0</v>
      </c>
      <c r="BG386" s="166">
        <v>0</v>
      </c>
      <c r="BH386" s="166">
        <v>0</v>
      </c>
      <c r="BI386" s="166">
        <v>0</v>
      </c>
      <c r="BJ386" s="166">
        <v>0</v>
      </c>
      <c r="BK386" s="166">
        <v>0</v>
      </c>
      <c r="BL386" s="166">
        <v>0</v>
      </c>
      <c r="BM386" s="166">
        <v>0</v>
      </c>
      <c r="BN386" s="166">
        <v>0</v>
      </c>
      <c r="BO386" s="166">
        <v>0</v>
      </c>
      <c r="BP386" s="166">
        <v>0</v>
      </c>
      <c r="BQ386" s="81" t="s">
        <v>1758</v>
      </c>
      <c r="BR386" s="81" t="s">
        <v>202</v>
      </c>
      <c r="BT386" s="81" t="s">
        <v>155</v>
      </c>
      <c r="BZ386" s="81" t="s">
        <v>155</v>
      </c>
      <c r="CA386" s="81" t="s">
        <v>3934</v>
      </c>
      <c r="CC386" s="167">
        <v>0</v>
      </c>
      <c r="CD386" s="167">
        <f>$N386/10</f>
        <v>1.6</v>
      </c>
      <c r="CE386" s="167">
        <f>$N386/10</f>
        <v>1.6</v>
      </c>
      <c r="CF386" s="167">
        <f>$N386/10</f>
        <v>1.6</v>
      </c>
      <c r="CG386" s="167">
        <f>$N386/10</f>
        <v>1.6</v>
      </c>
      <c r="CH386" s="167">
        <f>$N386/10</f>
        <v>1.6</v>
      </c>
      <c r="CI386" s="167">
        <f>$N386/10</f>
        <v>1.6</v>
      </c>
      <c r="CJ386" s="167">
        <f>$N386/10</f>
        <v>1.6</v>
      </c>
      <c r="CK386" s="167">
        <f>$N386/10</f>
        <v>1.6</v>
      </c>
      <c r="CL386" s="167">
        <f>$N386/10</f>
        <v>1.6</v>
      </c>
      <c r="CM386" s="167">
        <f>$N386/10</f>
        <v>1.6</v>
      </c>
      <c r="CN386" s="167">
        <v>0</v>
      </c>
      <c r="CO386" s="167">
        <v>0</v>
      </c>
      <c r="CP386" s="167">
        <v>0</v>
      </c>
      <c r="CQ386" s="167">
        <v>0</v>
      </c>
      <c r="CR386" s="167">
        <v>0</v>
      </c>
      <c r="CS386" s="167">
        <v>0</v>
      </c>
      <c r="CT386" s="167">
        <v>0</v>
      </c>
      <c r="CU386" s="167">
        <v>0</v>
      </c>
      <c r="CV386" s="167">
        <v>0</v>
      </c>
      <c r="CW386" s="167">
        <v>0</v>
      </c>
      <c r="CX386" s="167">
        <f>SUM(CD386:CH386)</f>
        <v>8</v>
      </c>
      <c r="CY386" s="167">
        <f>SUM(CD386:CM386)</f>
        <v>15.999999999999998</v>
      </c>
    </row>
    <row r="387" spans="1:103" ht="12.75" customHeight="1" x14ac:dyDescent="0.2">
      <c r="A387" s="81">
        <v>3518</v>
      </c>
      <c r="B387" s="165" t="s">
        <v>1908</v>
      </c>
      <c r="C387" s="165" t="s">
        <v>68</v>
      </c>
      <c r="D387" s="165" t="s">
        <v>507</v>
      </c>
      <c r="E387" s="165" t="s">
        <v>2692</v>
      </c>
      <c r="F387" s="165" t="s">
        <v>854</v>
      </c>
      <c r="G387" s="81">
        <v>525666</v>
      </c>
      <c r="H387" s="81">
        <v>174804</v>
      </c>
      <c r="I387" s="165" t="s">
        <v>251</v>
      </c>
      <c r="J387" s="349">
        <v>42095</v>
      </c>
      <c r="L387" s="166">
        <v>0</v>
      </c>
      <c r="M387" s="166">
        <v>23</v>
      </c>
      <c r="N387" s="166">
        <v>23</v>
      </c>
      <c r="O387" s="166">
        <v>663</v>
      </c>
      <c r="P387" s="166">
        <v>662</v>
      </c>
      <c r="Q387" s="81" t="s">
        <v>155</v>
      </c>
      <c r="R387" s="165" t="s">
        <v>741</v>
      </c>
      <c r="S387" s="81" t="s">
        <v>24</v>
      </c>
      <c r="T387" s="349">
        <v>41234</v>
      </c>
      <c r="U387" s="349">
        <v>41614</v>
      </c>
      <c r="W387" s="81" t="s">
        <v>114</v>
      </c>
      <c r="Y387" s="81" t="s">
        <v>115</v>
      </c>
      <c r="Z387" s="81" t="s">
        <v>116</v>
      </c>
      <c r="AA387" s="81" t="s">
        <v>116</v>
      </c>
      <c r="AB387" s="81" t="s">
        <v>117</v>
      </c>
      <c r="AC387" s="166">
        <v>0</v>
      </c>
      <c r="AG387" s="81" t="s">
        <v>238</v>
      </c>
      <c r="AH387" s="81" t="s">
        <v>118</v>
      </c>
      <c r="AI387" s="81" t="s">
        <v>2693</v>
      </c>
      <c r="AK387" s="166">
        <v>0</v>
      </c>
      <c r="AM387" s="166">
        <v>1</v>
      </c>
      <c r="AO387" s="166">
        <v>0</v>
      </c>
      <c r="AP387" s="166">
        <v>10</v>
      </c>
      <c r="AQ387" s="166">
        <v>7</v>
      </c>
      <c r="AR387" s="166">
        <v>4</v>
      </c>
      <c r="AS387" s="166">
        <v>2</v>
      </c>
      <c r="AT387" s="166">
        <v>0</v>
      </c>
      <c r="AU387" s="166">
        <v>0</v>
      </c>
      <c r="AV387" s="166">
        <v>0</v>
      </c>
      <c r="AW387" s="166">
        <v>10</v>
      </c>
      <c r="AX387" s="166">
        <v>7</v>
      </c>
      <c r="AY387" s="166">
        <v>4</v>
      </c>
      <c r="AZ387" s="166">
        <v>2</v>
      </c>
      <c r="BA387" s="166">
        <v>0</v>
      </c>
      <c r="BB387" s="166">
        <v>0</v>
      </c>
      <c r="BC387" s="166">
        <v>0</v>
      </c>
      <c r="BD387" s="166">
        <v>0</v>
      </c>
      <c r="BE387" s="166">
        <v>0</v>
      </c>
      <c r="BF387" s="166">
        <v>0</v>
      </c>
      <c r="BG387" s="166">
        <v>0</v>
      </c>
      <c r="BH387" s="166">
        <v>0</v>
      </c>
      <c r="BI387" s="166">
        <v>0</v>
      </c>
      <c r="BJ387" s="166">
        <v>0</v>
      </c>
      <c r="BK387" s="166">
        <v>0</v>
      </c>
      <c r="BL387" s="166">
        <v>0</v>
      </c>
      <c r="BM387" s="166">
        <v>0</v>
      </c>
      <c r="BN387" s="166">
        <v>0</v>
      </c>
      <c r="BO387" s="166">
        <v>0</v>
      </c>
      <c r="BP387" s="166">
        <v>0</v>
      </c>
      <c r="BQ387" s="81" t="s">
        <v>1758</v>
      </c>
      <c r="BR387" s="81" t="s">
        <v>202</v>
      </c>
      <c r="BT387" s="81" t="s">
        <v>155</v>
      </c>
      <c r="BZ387" s="81" t="s">
        <v>155</v>
      </c>
      <c r="CA387" s="81" t="s">
        <v>3934</v>
      </c>
      <c r="CC387" s="167">
        <v>0</v>
      </c>
      <c r="CD387" s="167">
        <f>$N387/10</f>
        <v>2.2999999999999998</v>
      </c>
      <c r="CE387" s="167">
        <f>$N387/10</f>
        <v>2.2999999999999998</v>
      </c>
      <c r="CF387" s="167">
        <f>$N387/10</f>
        <v>2.2999999999999998</v>
      </c>
      <c r="CG387" s="167">
        <f>$N387/10</f>
        <v>2.2999999999999998</v>
      </c>
      <c r="CH387" s="167">
        <f>$N387/10</f>
        <v>2.2999999999999998</v>
      </c>
      <c r="CI387" s="167">
        <f>$N387/10</f>
        <v>2.2999999999999998</v>
      </c>
      <c r="CJ387" s="167">
        <f>$N387/10</f>
        <v>2.2999999999999998</v>
      </c>
      <c r="CK387" s="167">
        <f>$N387/10</f>
        <v>2.2999999999999998</v>
      </c>
      <c r="CL387" s="167">
        <f>$N387/10</f>
        <v>2.2999999999999998</v>
      </c>
      <c r="CM387" s="167">
        <f>$N387/10</f>
        <v>2.2999999999999998</v>
      </c>
      <c r="CN387" s="167">
        <v>0</v>
      </c>
      <c r="CO387" s="167">
        <v>0</v>
      </c>
      <c r="CP387" s="167">
        <v>0</v>
      </c>
      <c r="CQ387" s="167">
        <v>0</v>
      </c>
      <c r="CR387" s="167">
        <v>0</v>
      </c>
      <c r="CS387" s="167">
        <v>0</v>
      </c>
      <c r="CT387" s="167">
        <v>0</v>
      </c>
      <c r="CU387" s="167">
        <v>0</v>
      </c>
      <c r="CV387" s="167">
        <v>0</v>
      </c>
      <c r="CW387" s="167">
        <v>0</v>
      </c>
      <c r="CX387" s="167">
        <f>SUM(CD387:CH387)</f>
        <v>11.5</v>
      </c>
      <c r="CY387" s="167">
        <f>SUM(CD387:CM387)</f>
        <v>23.000000000000004</v>
      </c>
    </row>
    <row r="388" spans="1:103" ht="12.75" customHeight="1" x14ac:dyDescent="0.2">
      <c r="A388" s="81">
        <v>3518</v>
      </c>
      <c r="B388" s="165" t="s">
        <v>1908</v>
      </c>
      <c r="C388" s="165" t="s">
        <v>68</v>
      </c>
      <c r="D388" s="165" t="s">
        <v>507</v>
      </c>
      <c r="E388" s="165" t="s">
        <v>2692</v>
      </c>
      <c r="F388" s="165" t="s">
        <v>855</v>
      </c>
      <c r="G388" s="81">
        <v>525666</v>
      </c>
      <c r="H388" s="81">
        <v>174804</v>
      </c>
      <c r="I388" s="165" t="s">
        <v>251</v>
      </c>
      <c r="J388" s="349">
        <v>42095</v>
      </c>
      <c r="L388" s="166">
        <v>0</v>
      </c>
      <c r="M388" s="166">
        <v>24</v>
      </c>
      <c r="N388" s="166">
        <v>24</v>
      </c>
      <c r="O388" s="166">
        <v>663</v>
      </c>
      <c r="P388" s="166">
        <v>662</v>
      </c>
      <c r="Q388" s="81" t="s">
        <v>155</v>
      </c>
      <c r="R388" s="165" t="s">
        <v>741</v>
      </c>
      <c r="S388" s="81" t="s">
        <v>24</v>
      </c>
      <c r="T388" s="349">
        <v>41234</v>
      </c>
      <c r="U388" s="349">
        <v>41614</v>
      </c>
      <c r="W388" s="81" t="s">
        <v>114</v>
      </c>
      <c r="Y388" s="81" t="s">
        <v>115</v>
      </c>
      <c r="Z388" s="81" t="s">
        <v>116</v>
      </c>
      <c r="AA388" s="81" t="s">
        <v>116</v>
      </c>
      <c r="AB388" s="81" t="s">
        <v>117</v>
      </c>
      <c r="AC388" s="166">
        <v>0</v>
      </c>
      <c r="AG388" s="81" t="s">
        <v>238</v>
      </c>
      <c r="AH388" s="81" t="s">
        <v>118</v>
      </c>
      <c r="AI388" s="81" t="s">
        <v>2693</v>
      </c>
      <c r="AK388" s="166">
        <v>0</v>
      </c>
      <c r="AM388" s="166">
        <v>5</v>
      </c>
      <c r="AO388" s="166">
        <v>0</v>
      </c>
      <c r="AP388" s="166">
        <v>1</v>
      </c>
      <c r="AQ388" s="166">
        <v>19</v>
      </c>
      <c r="AR388" s="166">
        <v>4</v>
      </c>
      <c r="AS388" s="166">
        <v>0</v>
      </c>
      <c r="AT388" s="166">
        <v>0</v>
      </c>
      <c r="AU388" s="166">
        <v>0</v>
      </c>
      <c r="AV388" s="166">
        <v>0</v>
      </c>
      <c r="AW388" s="166">
        <v>1</v>
      </c>
      <c r="AX388" s="166">
        <v>19</v>
      </c>
      <c r="AY388" s="166">
        <v>4</v>
      </c>
      <c r="AZ388" s="166">
        <v>0</v>
      </c>
      <c r="BA388" s="166">
        <v>0</v>
      </c>
      <c r="BB388" s="166">
        <v>0</v>
      </c>
      <c r="BC388" s="166">
        <v>0</v>
      </c>
      <c r="BD388" s="166">
        <v>0</v>
      </c>
      <c r="BE388" s="166">
        <v>0</v>
      </c>
      <c r="BF388" s="166">
        <v>0</v>
      </c>
      <c r="BG388" s="166">
        <v>0</v>
      </c>
      <c r="BH388" s="166">
        <v>0</v>
      </c>
      <c r="BI388" s="166">
        <v>0</v>
      </c>
      <c r="BJ388" s="166">
        <v>0</v>
      </c>
      <c r="BK388" s="166">
        <v>0</v>
      </c>
      <c r="BL388" s="166">
        <v>0</v>
      </c>
      <c r="BM388" s="166">
        <v>0</v>
      </c>
      <c r="BN388" s="166">
        <v>0</v>
      </c>
      <c r="BO388" s="166">
        <v>0</v>
      </c>
      <c r="BP388" s="166">
        <v>0</v>
      </c>
      <c r="BQ388" s="81" t="s">
        <v>1758</v>
      </c>
      <c r="BR388" s="81" t="s">
        <v>202</v>
      </c>
      <c r="BT388" s="81" t="s">
        <v>155</v>
      </c>
      <c r="BZ388" s="81" t="s">
        <v>155</v>
      </c>
      <c r="CA388" s="81" t="s">
        <v>3934</v>
      </c>
      <c r="CC388" s="167">
        <v>0</v>
      </c>
      <c r="CD388" s="167">
        <f>$N388/10</f>
        <v>2.4</v>
      </c>
      <c r="CE388" s="167">
        <f>$N388/10</f>
        <v>2.4</v>
      </c>
      <c r="CF388" s="167">
        <f>$N388/10</f>
        <v>2.4</v>
      </c>
      <c r="CG388" s="167">
        <f>$N388/10</f>
        <v>2.4</v>
      </c>
      <c r="CH388" s="167">
        <f>$N388/10</f>
        <v>2.4</v>
      </c>
      <c r="CI388" s="167">
        <f>$N388/10</f>
        <v>2.4</v>
      </c>
      <c r="CJ388" s="167">
        <f>$N388/10</f>
        <v>2.4</v>
      </c>
      <c r="CK388" s="167">
        <f>$N388/10</f>
        <v>2.4</v>
      </c>
      <c r="CL388" s="167">
        <f>$N388/10</f>
        <v>2.4</v>
      </c>
      <c r="CM388" s="167">
        <f>$N388/10</f>
        <v>2.4</v>
      </c>
      <c r="CN388" s="167">
        <v>0</v>
      </c>
      <c r="CO388" s="167">
        <v>0</v>
      </c>
      <c r="CP388" s="167">
        <v>0</v>
      </c>
      <c r="CQ388" s="167">
        <v>0</v>
      </c>
      <c r="CR388" s="167">
        <v>0</v>
      </c>
      <c r="CS388" s="167">
        <v>0</v>
      </c>
      <c r="CT388" s="167">
        <v>0</v>
      </c>
      <c r="CU388" s="167">
        <v>0</v>
      </c>
      <c r="CV388" s="167">
        <v>0</v>
      </c>
      <c r="CW388" s="167">
        <v>0</v>
      </c>
      <c r="CX388" s="167">
        <f>SUM(CD388:CH388)</f>
        <v>12</v>
      </c>
      <c r="CY388" s="167">
        <f>SUM(CD388:CM388)</f>
        <v>23.999999999999996</v>
      </c>
    </row>
    <row r="389" spans="1:103" ht="12.75" customHeight="1" x14ac:dyDescent="0.2">
      <c r="A389" s="81">
        <v>3518</v>
      </c>
      <c r="B389" s="165" t="s">
        <v>1908</v>
      </c>
      <c r="C389" s="165" t="s">
        <v>68</v>
      </c>
      <c r="D389" s="165" t="s">
        <v>507</v>
      </c>
      <c r="E389" s="165" t="s">
        <v>2692</v>
      </c>
      <c r="F389" s="165" t="s">
        <v>856</v>
      </c>
      <c r="G389" s="81">
        <v>525666</v>
      </c>
      <c r="H389" s="81">
        <v>174804</v>
      </c>
      <c r="I389" s="165" t="s">
        <v>251</v>
      </c>
      <c r="J389" s="349">
        <v>42095</v>
      </c>
      <c r="L389" s="166">
        <v>0</v>
      </c>
      <c r="M389" s="166">
        <v>166</v>
      </c>
      <c r="N389" s="166">
        <v>166</v>
      </c>
      <c r="O389" s="166">
        <v>663</v>
      </c>
      <c r="P389" s="166">
        <v>662</v>
      </c>
      <c r="Q389" s="81" t="s">
        <v>155</v>
      </c>
      <c r="R389" s="165" t="s">
        <v>741</v>
      </c>
      <c r="S389" s="81" t="s">
        <v>24</v>
      </c>
      <c r="T389" s="349">
        <v>41234</v>
      </c>
      <c r="U389" s="349">
        <v>41614</v>
      </c>
      <c r="W389" s="81" t="s">
        <v>114</v>
      </c>
      <c r="Y389" s="81" t="s">
        <v>115</v>
      </c>
      <c r="Z389" s="81" t="s">
        <v>116</v>
      </c>
      <c r="AA389" s="81" t="s">
        <v>116</v>
      </c>
      <c r="AB389" s="81" t="s">
        <v>117</v>
      </c>
      <c r="AC389" s="166">
        <v>0</v>
      </c>
      <c r="AG389" s="81" t="s">
        <v>238</v>
      </c>
      <c r="AH389" s="81" t="s">
        <v>118</v>
      </c>
      <c r="AI389" s="81" t="s">
        <v>2693</v>
      </c>
      <c r="AK389" s="166">
        <v>0</v>
      </c>
      <c r="AM389" s="166">
        <v>10</v>
      </c>
      <c r="AO389" s="166">
        <v>23</v>
      </c>
      <c r="AP389" s="166">
        <v>23</v>
      </c>
      <c r="AQ389" s="166">
        <v>70</v>
      </c>
      <c r="AR389" s="166">
        <v>44</v>
      </c>
      <c r="AS389" s="166">
        <v>6</v>
      </c>
      <c r="AT389" s="166">
        <v>0</v>
      </c>
      <c r="AU389" s="166">
        <v>0</v>
      </c>
      <c r="AV389" s="166">
        <v>23</v>
      </c>
      <c r="AW389" s="166">
        <v>23</v>
      </c>
      <c r="AX389" s="166">
        <v>70</v>
      </c>
      <c r="AY389" s="166">
        <v>44</v>
      </c>
      <c r="AZ389" s="166">
        <v>6</v>
      </c>
      <c r="BA389" s="166">
        <v>0</v>
      </c>
      <c r="BB389" s="166">
        <v>0</v>
      </c>
      <c r="BC389" s="166">
        <v>0</v>
      </c>
      <c r="BD389" s="166">
        <v>0</v>
      </c>
      <c r="BE389" s="166">
        <v>0</v>
      </c>
      <c r="BF389" s="166">
        <v>0</v>
      </c>
      <c r="BG389" s="166">
        <v>0</v>
      </c>
      <c r="BH389" s="166">
        <v>0</v>
      </c>
      <c r="BI389" s="166">
        <v>0</v>
      </c>
      <c r="BJ389" s="166">
        <v>0</v>
      </c>
      <c r="BK389" s="166">
        <v>0</v>
      </c>
      <c r="BL389" s="166">
        <v>0</v>
      </c>
      <c r="BM389" s="166">
        <v>0</v>
      </c>
      <c r="BN389" s="166">
        <v>0</v>
      </c>
      <c r="BO389" s="166">
        <v>0</v>
      </c>
      <c r="BP389" s="166">
        <v>0</v>
      </c>
      <c r="BQ389" s="81" t="s">
        <v>1758</v>
      </c>
      <c r="BR389" s="81" t="s">
        <v>202</v>
      </c>
      <c r="BT389" s="81" t="s">
        <v>155</v>
      </c>
      <c r="BZ389" s="81" t="s">
        <v>155</v>
      </c>
      <c r="CA389" s="81" t="s">
        <v>3934</v>
      </c>
      <c r="CC389" s="167">
        <v>0</v>
      </c>
      <c r="CD389" s="167">
        <f>$N389/10</f>
        <v>16.600000000000001</v>
      </c>
      <c r="CE389" s="167">
        <f>$N389/10</f>
        <v>16.600000000000001</v>
      </c>
      <c r="CF389" s="167">
        <f>$N389/10</f>
        <v>16.600000000000001</v>
      </c>
      <c r="CG389" s="167">
        <f>$N389/10</f>
        <v>16.600000000000001</v>
      </c>
      <c r="CH389" s="167">
        <f>$N389/10</f>
        <v>16.600000000000001</v>
      </c>
      <c r="CI389" s="167">
        <f>$N389/10</f>
        <v>16.600000000000001</v>
      </c>
      <c r="CJ389" s="167">
        <f>$N389/10</f>
        <v>16.600000000000001</v>
      </c>
      <c r="CK389" s="167">
        <f>$N389/10</f>
        <v>16.600000000000001</v>
      </c>
      <c r="CL389" s="167">
        <f>$N389/10</f>
        <v>16.600000000000001</v>
      </c>
      <c r="CM389" s="167">
        <f>$N389/10</f>
        <v>16.600000000000001</v>
      </c>
      <c r="CN389" s="167">
        <v>0</v>
      </c>
      <c r="CO389" s="167">
        <v>0</v>
      </c>
      <c r="CP389" s="167">
        <v>0</v>
      </c>
      <c r="CQ389" s="167">
        <v>0</v>
      </c>
      <c r="CR389" s="167">
        <v>0</v>
      </c>
      <c r="CS389" s="167">
        <v>0</v>
      </c>
      <c r="CT389" s="167">
        <v>0</v>
      </c>
      <c r="CU389" s="167">
        <v>0</v>
      </c>
      <c r="CV389" s="167">
        <v>0</v>
      </c>
      <c r="CW389" s="167">
        <v>0</v>
      </c>
      <c r="CX389" s="167">
        <f>SUM(CD389:CH389)</f>
        <v>83</v>
      </c>
      <c r="CY389" s="167">
        <f>SUM(CD389:CM389)</f>
        <v>165.99999999999997</v>
      </c>
    </row>
    <row r="390" spans="1:103" ht="12.75" customHeight="1" x14ac:dyDescent="0.2">
      <c r="A390" s="81">
        <v>3518</v>
      </c>
      <c r="B390" s="165" t="s">
        <v>1908</v>
      </c>
      <c r="C390" s="165" t="s">
        <v>68</v>
      </c>
      <c r="D390" s="165" t="s">
        <v>507</v>
      </c>
      <c r="E390" s="165" t="s">
        <v>2692</v>
      </c>
      <c r="F390" s="165" t="s">
        <v>857</v>
      </c>
      <c r="G390" s="81">
        <v>525666</v>
      </c>
      <c r="H390" s="81">
        <v>174804</v>
      </c>
      <c r="I390" s="165" t="s">
        <v>251</v>
      </c>
      <c r="J390" s="349">
        <v>42095</v>
      </c>
      <c r="L390" s="166">
        <v>0</v>
      </c>
      <c r="M390" s="166">
        <v>30</v>
      </c>
      <c r="N390" s="166">
        <v>30</v>
      </c>
      <c r="O390" s="166">
        <v>663</v>
      </c>
      <c r="P390" s="166">
        <v>662</v>
      </c>
      <c r="Q390" s="81" t="s">
        <v>155</v>
      </c>
      <c r="R390" s="165" t="s">
        <v>741</v>
      </c>
      <c r="S390" s="81" t="s">
        <v>24</v>
      </c>
      <c r="T390" s="349">
        <v>41234</v>
      </c>
      <c r="U390" s="349">
        <v>41614</v>
      </c>
      <c r="W390" s="81" t="s">
        <v>114</v>
      </c>
      <c r="Y390" s="81" t="s">
        <v>115</v>
      </c>
      <c r="Z390" s="81" t="s">
        <v>116</v>
      </c>
      <c r="AA390" s="81" t="s">
        <v>116</v>
      </c>
      <c r="AB390" s="81" t="s">
        <v>117</v>
      </c>
      <c r="AC390" s="166">
        <v>0</v>
      </c>
      <c r="AG390" s="81" t="s">
        <v>238</v>
      </c>
      <c r="AH390" s="81" t="s">
        <v>118</v>
      </c>
      <c r="AI390" s="81" t="s">
        <v>2693</v>
      </c>
      <c r="AK390" s="166">
        <v>0</v>
      </c>
      <c r="AM390" s="166">
        <v>5</v>
      </c>
      <c r="AO390" s="166">
        <v>0</v>
      </c>
      <c r="AP390" s="166">
        <v>15</v>
      </c>
      <c r="AQ390" s="166">
        <v>5</v>
      </c>
      <c r="AR390" s="166">
        <v>10</v>
      </c>
      <c r="AS390" s="166">
        <v>0</v>
      </c>
      <c r="AT390" s="166">
        <v>0</v>
      </c>
      <c r="AU390" s="166">
        <v>0</v>
      </c>
      <c r="AV390" s="166">
        <v>0</v>
      </c>
      <c r="AW390" s="166">
        <v>15</v>
      </c>
      <c r="AX390" s="166">
        <v>5</v>
      </c>
      <c r="AY390" s="166">
        <v>10</v>
      </c>
      <c r="AZ390" s="166">
        <v>0</v>
      </c>
      <c r="BA390" s="166">
        <v>0</v>
      </c>
      <c r="BB390" s="166">
        <v>0</v>
      </c>
      <c r="BC390" s="166">
        <v>0</v>
      </c>
      <c r="BD390" s="166">
        <v>0</v>
      </c>
      <c r="BE390" s="166">
        <v>0</v>
      </c>
      <c r="BF390" s="166">
        <v>0</v>
      </c>
      <c r="BG390" s="166">
        <v>0</v>
      </c>
      <c r="BH390" s="166">
        <v>0</v>
      </c>
      <c r="BI390" s="166">
        <v>0</v>
      </c>
      <c r="BJ390" s="166">
        <v>0</v>
      </c>
      <c r="BK390" s="166">
        <v>0</v>
      </c>
      <c r="BL390" s="166">
        <v>0</v>
      </c>
      <c r="BM390" s="166">
        <v>0</v>
      </c>
      <c r="BN390" s="166">
        <v>0</v>
      </c>
      <c r="BO390" s="166">
        <v>0</v>
      </c>
      <c r="BP390" s="166">
        <v>0</v>
      </c>
      <c r="BQ390" s="81" t="s">
        <v>1758</v>
      </c>
      <c r="BR390" s="81" t="s">
        <v>202</v>
      </c>
      <c r="BT390" s="81" t="s">
        <v>155</v>
      </c>
      <c r="BZ390" s="81" t="s">
        <v>155</v>
      </c>
      <c r="CA390" s="81" t="s">
        <v>3934</v>
      </c>
      <c r="CC390" s="167">
        <v>0</v>
      </c>
      <c r="CD390" s="167">
        <f>$N390/10</f>
        <v>3</v>
      </c>
      <c r="CE390" s="167">
        <f>$N390/10</f>
        <v>3</v>
      </c>
      <c r="CF390" s="167">
        <f>$N390/10</f>
        <v>3</v>
      </c>
      <c r="CG390" s="167">
        <f>$N390/10</f>
        <v>3</v>
      </c>
      <c r="CH390" s="167">
        <f>$N390/10</f>
        <v>3</v>
      </c>
      <c r="CI390" s="167">
        <f>$N390/10</f>
        <v>3</v>
      </c>
      <c r="CJ390" s="167">
        <f>$N390/10</f>
        <v>3</v>
      </c>
      <c r="CK390" s="167">
        <f>$N390/10</f>
        <v>3</v>
      </c>
      <c r="CL390" s="167">
        <f>$N390/10</f>
        <v>3</v>
      </c>
      <c r="CM390" s="167">
        <f>$N390/10</f>
        <v>3</v>
      </c>
      <c r="CN390" s="167">
        <v>0</v>
      </c>
      <c r="CO390" s="167">
        <v>0</v>
      </c>
      <c r="CP390" s="167">
        <v>0</v>
      </c>
      <c r="CQ390" s="167">
        <v>0</v>
      </c>
      <c r="CR390" s="167">
        <v>0</v>
      </c>
      <c r="CS390" s="167">
        <v>0</v>
      </c>
      <c r="CT390" s="167">
        <v>0</v>
      </c>
      <c r="CU390" s="167">
        <v>0</v>
      </c>
      <c r="CV390" s="167">
        <v>0</v>
      </c>
      <c r="CW390" s="167">
        <v>0</v>
      </c>
      <c r="CX390" s="167">
        <f>SUM(CD390:CH390)</f>
        <v>15</v>
      </c>
      <c r="CY390" s="167">
        <f>SUM(CD390:CM390)</f>
        <v>30</v>
      </c>
    </row>
    <row r="391" spans="1:103" x14ac:dyDescent="0.2">
      <c r="A391" s="81">
        <v>3518</v>
      </c>
      <c r="B391" s="165" t="s">
        <v>1908</v>
      </c>
      <c r="C391" s="165" t="s">
        <v>68</v>
      </c>
      <c r="D391" s="165" t="s">
        <v>507</v>
      </c>
      <c r="E391" s="165" t="s">
        <v>2692</v>
      </c>
      <c r="F391" s="165" t="s">
        <v>858</v>
      </c>
      <c r="G391" s="81">
        <v>525666</v>
      </c>
      <c r="H391" s="81">
        <v>174804</v>
      </c>
      <c r="I391" s="165" t="s">
        <v>251</v>
      </c>
      <c r="J391" s="349">
        <v>42095</v>
      </c>
      <c r="L391" s="166">
        <v>0</v>
      </c>
      <c r="M391" s="166">
        <v>26</v>
      </c>
      <c r="N391" s="166">
        <v>26</v>
      </c>
      <c r="O391" s="166">
        <v>663</v>
      </c>
      <c r="P391" s="166">
        <v>662</v>
      </c>
      <c r="Q391" s="81" t="s">
        <v>155</v>
      </c>
      <c r="R391" s="165" t="s">
        <v>741</v>
      </c>
      <c r="S391" s="81" t="s">
        <v>24</v>
      </c>
      <c r="T391" s="349">
        <v>41234</v>
      </c>
      <c r="U391" s="349">
        <v>41614</v>
      </c>
      <c r="W391" s="81" t="s">
        <v>114</v>
      </c>
      <c r="Y391" s="81" t="s">
        <v>115</v>
      </c>
      <c r="Z391" s="81" t="s">
        <v>116</v>
      </c>
      <c r="AA391" s="81" t="s">
        <v>116</v>
      </c>
      <c r="AB391" s="81" t="s">
        <v>117</v>
      </c>
      <c r="AC391" s="166">
        <v>0</v>
      </c>
      <c r="AD391" s="349">
        <v>42095</v>
      </c>
      <c r="AG391" s="81" t="s">
        <v>238</v>
      </c>
      <c r="AH391" s="81" t="s">
        <v>118</v>
      </c>
      <c r="AI391" s="81" t="s">
        <v>2693</v>
      </c>
      <c r="AK391" s="166">
        <v>0</v>
      </c>
      <c r="AM391" s="166">
        <v>5</v>
      </c>
      <c r="AO391" s="166">
        <v>0</v>
      </c>
      <c r="AP391" s="166">
        <v>10</v>
      </c>
      <c r="AQ391" s="166">
        <v>10</v>
      </c>
      <c r="AR391" s="166">
        <v>2</v>
      </c>
      <c r="AS391" s="166">
        <v>4</v>
      </c>
      <c r="AT391" s="166">
        <v>0</v>
      </c>
      <c r="AU391" s="166">
        <v>0</v>
      </c>
      <c r="AV391" s="166">
        <v>0</v>
      </c>
      <c r="AW391" s="166">
        <v>10</v>
      </c>
      <c r="AX391" s="166">
        <v>10</v>
      </c>
      <c r="AY391" s="166">
        <v>2</v>
      </c>
      <c r="AZ391" s="166">
        <v>4</v>
      </c>
      <c r="BA391" s="166">
        <v>0</v>
      </c>
      <c r="BB391" s="166">
        <v>0</v>
      </c>
      <c r="BC391" s="166">
        <v>0</v>
      </c>
      <c r="BD391" s="166">
        <v>0</v>
      </c>
      <c r="BE391" s="166">
        <v>0</v>
      </c>
      <c r="BF391" s="166">
        <v>0</v>
      </c>
      <c r="BG391" s="166">
        <v>0</v>
      </c>
      <c r="BH391" s="166">
        <v>0</v>
      </c>
      <c r="BI391" s="166">
        <v>0</v>
      </c>
      <c r="BJ391" s="166">
        <v>0</v>
      </c>
      <c r="BK391" s="166">
        <v>0</v>
      </c>
      <c r="BL391" s="166">
        <v>0</v>
      </c>
      <c r="BM391" s="166">
        <v>0</v>
      </c>
      <c r="BN391" s="166">
        <v>0</v>
      </c>
      <c r="BO391" s="166">
        <v>0</v>
      </c>
      <c r="BP391" s="166">
        <v>0</v>
      </c>
      <c r="BQ391" s="81" t="s">
        <v>1758</v>
      </c>
      <c r="BR391" s="81" t="s">
        <v>202</v>
      </c>
      <c r="BT391" s="81" t="s">
        <v>155</v>
      </c>
      <c r="BZ391" s="81" t="s">
        <v>155</v>
      </c>
      <c r="CA391" s="81" t="s">
        <v>3934</v>
      </c>
      <c r="CC391" s="167">
        <v>0</v>
      </c>
      <c r="CD391" s="167">
        <f>N391</f>
        <v>26</v>
      </c>
      <c r="CE391" s="167">
        <v>0</v>
      </c>
      <c r="CF391" s="167">
        <v>0</v>
      </c>
      <c r="CG391" s="167">
        <v>0</v>
      </c>
      <c r="CH391" s="167">
        <v>0</v>
      </c>
      <c r="CI391" s="167">
        <v>0</v>
      </c>
      <c r="CJ391" s="167">
        <v>0</v>
      </c>
      <c r="CK391" s="167">
        <v>0</v>
      </c>
      <c r="CL391" s="167">
        <v>0</v>
      </c>
      <c r="CM391" s="167">
        <v>0</v>
      </c>
      <c r="CN391" s="167">
        <v>0</v>
      </c>
      <c r="CO391" s="167">
        <v>0</v>
      </c>
      <c r="CP391" s="167">
        <v>0</v>
      </c>
      <c r="CQ391" s="167">
        <v>0</v>
      </c>
      <c r="CR391" s="167">
        <v>0</v>
      </c>
      <c r="CS391" s="167">
        <v>0</v>
      </c>
      <c r="CT391" s="167">
        <v>0</v>
      </c>
      <c r="CU391" s="167">
        <v>0</v>
      </c>
      <c r="CV391" s="167">
        <v>0</v>
      </c>
      <c r="CW391" s="167">
        <v>0</v>
      </c>
      <c r="CX391" s="167">
        <f>SUM(CD391:CH391)</f>
        <v>26</v>
      </c>
      <c r="CY391" s="167">
        <f>SUM(CD391:CM391)</f>
        <v>26</v>
      </c>
    </row>
    <row r="392" spans="1:103" x14ac:dyDescent="0.2">
      <c r="A392" s="81">
        <v>3518</v>
      </c>
      <c r="B392" s="165" t="s">
        <v>1908</v>
      </c>
      <c r="C392" s="165" t="s">
        <v>68</v>
      </c>
      <c r="D392" s="165" t="s">
        <v>507</v>
      </c>
      <c r="E392" s="165" t="s">
        <v>2692</v>
      </c>
      <c r="F392" s="165" t="s">
        <v>860</v>
      </c>
      <c r="G392" s="81">
        <v>525666</v>
      </c>
      <c r="H392" s="81">
        <v>174804</v>
      </c>
      <c r="I392" s="165" t="s">
        <v>251</v>
      </c>
      <c r="J392" s="349">
        <v>42095</v>
      </c>
      <c r="L392" s="166">
        <v>0</v>
      </c>
      <c r="M392" s="166">
        <v>30</v>
      </c>
      <c r="N392" s="166">
        <v>30</v>
      </c>
      <c r="O392" s="166">
        <v>663</v>
      </c>
      <c r="P392" s="166">
        <v>662</v>
      </c>
      <c r="Q392" s="81" t="s">
        <v>155</v>
      </c>
      <c r="R392" s="165" t="s">
        <v>741</v>
      </c>
      <c r="S392" s="81" t="s">
        <v>24</v>
      </c>
      <c r="T392" s="349">
        <v>41234</v>
      </c>
      <c r="U392" s="349">
        <v>41614</v>
      </c>
      <c r="W392" s="81" t="s">
        <v>114</v>
      </c>
      <c r="Y392" s="81" t="s">
        <v>115</v>
      </c>
      <c r="Z392" s="81" t="s">
        <v>116</v>
      </c>
      <c r="AA392" s="81" t="s">
        <v>116</v>
      </c>
      <c r="AB392" s="81" t="s">
        <v>117</v>
      </c>
      <c r="AC392" s="166">
        <v>0</v>
      </c>
      <c r="AD392" s="349">
        <v>42095</v>
      </c>
      <c r="AG392" s="81" t="s">
        <v>238</v>
      </c>
      <c r="AH392" s="81" t="s">
        <v>118</v>
      </c>
      <c r="AI392" s="81" t="s">
        <v>2693</v>
      </c>
      <c r="AK392" s="166">
        <v>0</v>
      </c>
      <c r="AM392" s="166">
        <v>0</v>
      </c>
      <c r="AO392" s="166">
        <v>0</v>
      </c>
      <c r="AP392" s="166">
        <v>14</v>
      </c>
      <c r="AQ392" s="166">
        <v>0</v>
      </c>
      <c r="AR392" s="166">
        <v>15</v>
      </c>
      <c r="AS392" s="166">
        <v>1</v>
      </c>
      <c r="AT392" s="166">
        <v>0</v>
      </c>
      <c r="AU392" s="166">
        <v>0</v>
      </c>
      <c r="AV392" s="166">
        <v>0</v>
      </c>
      <c r="AW392" s="166">
        <v>14</v>
      </c>
      <c r="AX392" s="166">
        <v>0</v>
      </c>
      <c r="AY392" s="166">
        <v>15</v>
      </c>
      <c r="AZ392" s="166">
        <v>1</v>
      </c>
      <c r="BA392" s="166">
        <v>0</v>
      </c>
      <c r="BB392" s="166">
        <v>0</v>
      </c>
      <c r="BC392" s="166">
        <v>0</v>
      </c>
      <c r="BD392" s="166">
        <v>0</v>
      </c>
      <c r="BE392" s="166">
        <v>0</v>
      </c>
      <c r="BF392" s="166">
        <v>0</v>
      </c>
      <c r="BG392" s="166">
        <v>0</v>
      </c>
      <c r="BH392" s="166">
        <v>0</v>
      </c>
      <c r="BI392" s="166">
        <v>0</v>
      </c>
      <c r="BJ392" s="166">
        <v>0</v>
      </c>
      <c r="BK392" s="166">
        <v>0</v>
      </c>
      <c r="BL392" s="166">
        <v>0</v>
      </c>
      <c r="BM392" s="166">
        <v>0</v>
      </c>
      <c r="BN392" s="166">
        <v>0</v>
      </c>
      <c r="BO392" s="166">
        <v>0</v>
      </c>
      <c r="BP392" s="166">
        <v>0</v>
      </c>
      <c r="BQ392" s="81" t="s">
        <v>1758</v>
      </c>
      <c r="BR392" s="81" t="s">
        <v>202</v>
      </c>
      <c r="BT392" s="81" t="s">
        <v>155</v>
      </c>
      <c r="BZ392" s="81" t="s">
        <v>155</v>
      </c>
      <c r="CA392" s="81" t="s">
        <v>3934</v>
      </c>
      <c r="CC392" s="167">
        <v>0</v>
      </c>
      <c r="CD392" s="167">
        <f>N392</f>
        <v>30</v>
      </c>
      <c r="CE392" s="167">
        <v>0</v>
      </c>
      <c r="CF392" s="167">
        <v>0</v>
      </c>
      <c r="CG392" s="167">
        <v>0</v>
      </c>
      <c r="CH392" s="167">
        <v>0</v>
      </c>
      <c r="CI392" s="167">
        <v>0</v>
      </c>
      <c r="CJ392" s="167">
        <v>0</v>
      </c>
      <c r="CK392" s="167">
        <v>0</v>
      </c>
      <c r="CL392" s="167">
        <v>0</v>
      </c>
      <c r="CM392" s="167">
        <v>0</v>
      </c>
      <c r="CN392" s="167">
        <v>0</v>
      </c>
      <c r="CO392" s="167">
        <v>0</v>
      </c>
      <c r="CP392" s="167">
        <v>0</v>
      </c>
      <c r="CQ392" s="167">
        <v>0</v>
      </c>
      <c r="CR392" s="167">
        <v>0</v>
      </c>
      <c r="CS392" s="167">
        <v>0</v>
      </c>
      <c r="CT392" s="167">
        <v>0</v>
      </c>
      <c r="CU392" s="167">
        <v>0</v>
      </c>
      <c r="CV392" s="167">
        <v>0</v>
      </c>
      <c r="CW392" s="167">
        <v>0</v>
      </c>
      <c r="CX392" s="167">
        <f>SUM(CD392:CH392)</f>
        <v>30</v>
      </c>
      <c r="CY392" s="167">
        <f>SUM(CD392:CM392)</f>
        <v>30</v>
      </c>
    </row>
    <row r="393" spans="1:103" x14ac:dyDescent="0.2">
      <c r="A393" s="81">
        <v>3518</v>
      </c>
      <c r="B393" s="165" t="s">
        <v>1908</v>
      </c>
      <c r="C393" s="165" t="s">
        <v>68</v>
      </c>
      <c r="D393" s="165" t="s">
        <v>507</v>
      </c>
      <c r="E393" s="165" t="s">
        <v>2692</v>
      </c>
      <c r="F393" s="165" t="s">
        <v>861</v>
      </c>
      <c r="G393" s="81">
        <v>525666</v>
      </c>
      <c r="H393" s="81">
        <v>174804</v>
      </c>
      <c r="I393" s="165" t="s">
        <v>251</v>
      </c>
      <c r="J393" s="349">
        <v>42095</v>
      </c>
      <c r="L393" s="166">
        <v>0</v>
      </c>
      <c r="M393" s="166">
        <v>14</v>
      </c>
      <c r="N393" s="166">
        <v>14</v>
      </c>
      <c r="O393" s="166">
        <v>663</v>
      </c>
      <c r="P393" s="166">
        <v>662</v>
      </c>
      <c r="Q393" s="81" t="s">
        <v>155</v>
      </c>
      <c r="R393" s="165" t="s">
        <v>741</v>
      </c>
      <c r="S393" s="81" t="s">
        <v>24</v>
      </c>
      <c r="T393" s="349">
        <v>41234</v>
      </c>
      <c r="U393" s="349">
        <v>41614</v>
      </c>
      <c r="W393" s="81" t="s">
        <v>114</v>
      </c>
      <c r="Y393" s="81" t="s">
        <v>115</v>
      </c>
      <c r="Z393" s="81" t="s">
        <v>116</v>
      </c>
      <c r="AA393" s="81" t="s">
        <v>116</v>
      </c>
      <c r="AB393" s="81" t="s">
        <v>117</v>
      </c>
      <c r="AC393" s="166">
        <v>0</v>
      </c>
      <c r="AD393" s="349">
        <v>42095</v>
      </c>
      <c r="AG393" s="81" t="s">
        <v>238</v>
      </c>
      <c r="AH393" s="81" t="s">
        <v>118</v>
      </c>
      <c r="AI393" s="81" t="s">
        <v>2693</v>
      </c>
      <c r="AK393" s="166">
        <v>0</v>
      </c>
      <c r="AM393" s="166">
        <v>0</v>
      </c>
      <c r="AO393" s="166">
        <v>0</v>
      </c>
      <c r="AP393" s="166">
        <v>3</v>
      </c>
      <c r="AQ393" s="166">
        <v>10</v>
      </c>
      <c r="AR393" s="166">
        <v>0</v>
      </c>
      <c r="AS393" s="166">
        <v>1</v>
      </c>
      <c r="AT393" s="166">
        <v>0</v>
      </c>
      <c r="AU393" s="166">
        <v>0</v>
      </c>
      <c r="AV393" s="166">
        <v>0</v>
      </c>
      <c r="AW393" s="166">
        <v>3</v>
      </c>
      <c r="AX393" s="166">
        <v>10</v>
      </c>
      <c r="AY393" s="166">
        <v>0</v>
      </c>
      <c r="AZ393" s="166">
        <v>1</v>
      </c>
      <c r="BA393" s="166">
        <v>0</v>
      </c>
      <c r="BB393" s="166">
        <v>0</v>
      </c>
      <c r="BC393" s="166">
        <v>0</v>
      </c>
      <c r="BD393" s="166">
        <v>0</v>
      </c>
      <c r="BE393" s="166">
        <v>0</v>
      </c>
      <c r="BF393" s="166">
        <v>0</v>
      </c>
      <c r="BG393" s="166">
        <v>0</v>
      </c>
      <c r="BH393" s="166">
        <v>0</v>
      </c>
      <c r="BI393" s="166">
        <v>0</v>
      </c>
      <c r="BJ393" s="166">
        <v>0</v>
      </c>
      <c r="BK393" s="166">
        <v>0</v>
      </c>
      <c r="BL393" s="166">
        <v>0</v>
      </c>
      <c r="BM393" s="166">
        <v>0</v>
      </c>
      <c r="BN393" s="166">
        <v>0</v>
      </c>
      <c r="BO393" s="166">
        <v>0</v>
      </c>
      <c r="BP393" s="166">
        <v>0</v>
      </c>
      <c r="BQ393" s="81" t="s">
        <v>1758</v>
      </c>
      <c r="BR393" s="81" t="s">
        <v>202</v>
      </c>
      <c r="BT393" s="81" t="s">
        <v>155</v>
      </c>
      <c r="BZ393" s="81" t="s">
        <v>155</v>
      </c>
      <c r="CA393" s="81" t="s">
        <v>3934</v>
      </c>
      <c r="CC393" s="167">
        <v>0</v>
      </c>
      <c r="CD393" s="167">
        <f>N393</f>
        <v>14</v>
      </c>
      <c r="CE393" s="167">
        <v>0</v>
      </c>
      <c r="CF393" s="167">
        <v>0</v>
      </c>
      <c r="CG393" s="167">
        <v>0</v>
      </c>
      <c r="CH393" s="167">
        <v>0</v>
      </c>
      <c r="CI393" s="167">
        <v>0</v>
      </c>
      <c r="CJ393" s="167">
        <v>0</v>
      </c>
      <c r="CK393" s="167">
        <v>0</v>
      </c>
      <c r="CL393" s="167">
        <v>0</v>
      </c>
      <c r="CM393" s="167">
        <v>0</v>
      </c>
      <c r="CN393" s="167">
        <v>0</v>
      </c>
      <c r="CO393" s="167">
        <v>0</v>
      </c>
      <c r="CP393" s="167">
        <v>0</v>
      </c>
      <c r="CQ393" s="167">
        <v>0</v>
      </c>
      <c r="CR393" s="167">
        <v>0</v>
      </c>
      <c r="CS393" s="167">
        <v>0</v>
      </c>
      <c r="CT393" s="167">
        <v>0</v>
      </c>
      <c r="CU393" s="167">
        <v>0</v>
      </c>
      <c r="CV393" s="167">
        <v>0</v>
      </c>
      <c r="CW393" s="167">
        <v>0</v>
      </c>
      <c r="CX393" s="167">
        <f>SUM(CD393:CH393)</f>
        <v>14</v>
      </c>
      <c r="CY393" s="167">
        <f>SUM(CD393:CM393)</f>
        <v>14</v>
      </c>
    </row>
    <row r="394" spans="1:103" x14ac:dyDescent="0.2">
      <c r="A394" s="81">
        <v>3518</v>
      </c>
      <c r="B394" s="165" t="s">
        <v>1908</v>
      </c>
      <c r="C394" s="165" t="s">
        <v>1067</v>
      </c>
      <c r="D394" s="165" t="s">
        <v>507</v>
      </c>
      <c r="E394" s="165" t="s">
        <v>2692</v>
      </c>
      <c r="F394" s="165" t="s">
        <v>1068</v>
      </c>
      <c r="G394" s="81">
        <v>525666</v>
      </c>
      <c r="H394" s="81">
        <v>174804</v>
      </c>
      <c r="I394" s="165" t="s">
        <v>251</v>
      </c>
      <c r="J394" s="349">
        <v>42095</v>
      </c>
      <c r="L394" s="166">
        <v>0</v>
      </c>
      <c r="M394" s="166">
        <v>66</v>
      </c>
      <c r="N394" s="166">
        <v>66</v>
      </c>
      <c r="O394" s="166">
        <v>66</v>
      </c>
      <c r="P394" s="166">
        <v>66</v>
      </c>
      <c r="Q394" s="81" t="s">
        <v>155</v>
      </c>
      <c r="R394" s="165" t="s">
        <v>1069</v>
      </c>
      <c r="S394" s="81" t="s">
        <v>1916</v>
      </c>
      <c r="T394" s="349">
        <v>42671</v>
      </c>
      <c r="U394" s="349">
        <v>42706</v>
      </c>
      <c r="W394" s="81" t="s">
        <v>114</v>
      </c>
      <c r="Y394" s="81" t="s">
        <v>115</v>
      </c>
      <c r="Z394" s="81" t="s">
        <v>116</v>
      </c>
      <c r="AA394" s="81" t="s">
        <v>116</v>
      </c>
      <c r="AB394" s="81" t="s">
        <v>117</v>
      </c>
      <c r="AC394" s="166">
        <v>0</v>
      </c>
      <c r="AG394" s="81" t="s">
        <v>74</v>
      </c>
      <c r="AH394" s="81" t="s">
        <v>1913</v>
      </c>
      <c r="AI394" s="81" t="s">
        <v>2693</v>
      </c>
      <c r="AK394" s="166">
        <v>10</v>
      </c>
      <c r="AM394" s="166">
        <v>10</v>
      </c>
      <c r="AO394" s="166">
        <v>0</v>
      </c>
      <c r="AP394" s="166">
        <v>36</v>
      </c>
      <c r="AQ394" s="166">
        <v>24</v>
      </c>
      <c r="AR394" s="166">
        <v>6</v>
      </c>
      <c r="AS394" s="166">
        <v>0</v>
      </c>
      <c r="AT394" s="166">
        <v>0</v>
      </c>
      <c r="AU394" s="166">
        <v>0</v>
      </c>
      <c r="AV394" s="166">
        <v>0</v>
      </c>
      <c r="AW394" s="166">
        <v>36</v>
      </c>
      <c r="AX394" s="166">
        <v>24</v>
      </c>
      <c r="AY394" s="166">
        <v>6</v>
      </c>
      <c r="AZ394" s="166">
        <v>0</v>
      </c>
      <c r="BA394" s="166">
        <v>0</v>
      </c>
      <c r="BB394" s="166">
        <v>0</v>
      </c>
      <c r="BC394" s="166">
        <v>0</v>
      </c>
      <c r="BD394" s="166">
        <v>0</v>
      </c>
      <c r="BE394" s="166">
        <v>0</v>
      </c>
      <c r="BF394" s="166">
        <v>0</v>
      </c>
      <c r="BG394" s="166">
        <v>0</v>
      </c>
      <c r="BH394" s="166">
        <v>0</v>
      </c>
      <c r="BI394" s="166">
        <v>0</v>
      </c>
      <c r="BJ394" s="166">
        <v>0</v>
      </c>
      <c r="BK394" s="166">
        <v>0</v>
      </c>
      <c r="BL394" s="166">
        <v>0</v>
      </c>
      <c r="BM394" s="166">
        <v>0</v>
      </c>
      <c r="BN394" s="166">
        <v>0</v>
      </c>
      <c r="BO394" s="166">
        <v>0</v>
      </c>
      <c r="BP394" s="166">
        <v>0</v>
      </c>
      <c r="BQ394" s="81" t="s">
        <v>1758</v>
      </c>
      <c r="BR394" s="81" t="s">
        <v>202</v>
      </c>
      <c r="BT394" s="81" t="s">
        <v>155</v>
      </c>
      <c r="BZ394" s="81" t="s">
        <v>155</v>
      </c>
      <c r="CA394" s="81" t="s">
        <v>3934</v>
      </c>
      <c r="CC394" s="167">
        <v>0</v>
      </c>
      <c r="CD394" s="167">
        <f>$N394/10</f>
        <v>6.6</v>
      </c>
      <c r="CE394" s="167">
        <f>$N394/10</f>
        <v>6.6</v>
      </c>
      <c r="CF394" s="167">
        <f>$N394/10</f>
        <v>6.6</v>
      </c>
      <c r="CG394" s="167">
        <f>$N394/10</f>
        <v>6.6</v>
      </c>
      <c r="CH394" s="167">
        <f>$N394/10</f>
        <v>6.6</v>
      </c>
      <c r="CI394" s="167">
        <f>$N394/10</f>
        <v>6.6</v>
      </c>
      <c r="CJ394" s="167">
        <f>$N394/10</f>
        <v>6.6</v>
      </c>
      <c r="CK394" s="167">
        <f>$N394/10</f>
        <v>6.6</v>
      </c>
      <c r="CL394" s="167">
        <f>$N394/10</f>
        <v>6.6</v>
      </c>
      <c r="CM394" s="167">
        <f>$N394/10</f>
        <v>6.6</v>
      </c>
      <c r="CN394" s="167">
        <v>0</v>
      </c>
      <c r="CO394" s="167">
        <v>0</v>
      </c>
      <c r="CP394" s="167">
        <v>0</v>
      </c>
      <c r="CQ394" s="167">
        <v>0</v>
      </c>
      <c r="CR394" s="167">
        <v>0</v>
      </c>
      <c r="CS394" s="167">
        <v>0</v>
      </c>
      <c r="CT394" s="167">
        <v>0</v>
      </c>
      <c r="CU394" s="167">
        <v>0</v>
      </c>
      <c r="CV394" s="167">
        <v>0</v>
      </c>
      <c r="CW394" s="167">
        <v>0</v>
      </c>
      <c r="CX394" s="167">
        <f>SUM(CD394:CH394)</f>
        <v>33</v>
      </c>
      <c r="CY394" s="167">
        <f>SUM(CD394:CM394)</f>
        <v>66</v>
      </c>
    </row>
    <row r="395" spans="1:103" x14ac:dyDescent="0.2">
      <c r="A395" s="81">
        <v>3521</v>
      </c>
      <c r="B395" s="165" t="s">
        <v>1908</v>
      </c>
      <c r="C395" s="165" t="s">
        <v>103</v>
      </c>
      <c r="E395" s="165" t="s">
        <v>2826</v>
      </c>
      <c r="F395" s="165" t="s">
        <v>261</v>
      </c>
      <c r="G395" s="81">
        <v>527156</v>
      </c>
      <c r="H395" s="81">
        <v>175243</v>
      </c>
      <c r="I395" s="165" t="s">
        <v>255</v>
      </c>
      <c r="J395" s="349">
        <v>41304</v>
      </c>
      <c r="L395" s="166">
        <v>61</v>
      </c>
      <c r="M395" s="166">
        <v>0</v>
      </c>
      <c r="N395" s="166">
        <v>-61</v>
      </c>
      <c r="O395" s="166">
        <v>528</v>
      </c>
      <c r="P395" s="166">
        <v>175</v>
      </c>
      <c r="Q395" s="81" t="s">
        <v>155</v>
      </c>
      <c r="R395" s="165" t="s">
        <v>1084</v>
      </c>
      <c r="S395" s="81" t="s">
        <v>104</v>
      </c>
      <c r="T395" s="349">
        <v>41017</v>
      </c>
      <c r="U395" s="349">
        <v>41200</v>
      </c>
      <c r="W395" s="81" t="s">
        <v>114</v>
      </c>
      <c r="Y395" s="81" t="s">
        <v>115</v>
      </c>
      <c r="Z395" s="81" t="s">
        <v>116</v>
      </c>
      <c r="AA395" s="81" t="s">
        <v>116</v>
      </c>
      <c r="AB395" s="81" t="s">
        <v>117</v>
      </c>
      <c r="AC395" s="166">
        <v>0</v>
      </c>
      <c r="AG395" s="81" t="s">
        <v>238</v>
      </c>
      <c r="AH395" s="81" t="s">
        <v>118</v>
      </c>
      <c r="AI395" s="81" t="s">
        <v>2827</v>
      </c>
      <c r="AK395" s="166">
        <v>0</v>
      </c>
      <c r="AM395" s="166">
        <v>0</v>
      </c>
      <c r="AO395" s="166">
        <v>-1</v>
      </c>
      <c r="AP395" s="166">
        <v>-26</v>
      </c>
      <c r="AQ395" s="166">
        <v>-26</v>
      </c>
      <c r="AR395" s="166">
        <v>-7</v>
      </c>
      <c r="AS395" s="166">
        <v>-1</v>
      </c>
      <c r="AT395" s="166">
        <v>0</v>
      </c>
      <c r="AU395" s="166">
        <v>0</v>
      </c>
      <c r="AV395" s="166">
        <v>-1</v>
      </c>
      <c r="AW395" s="166">
        <v>-26</v>
      </c>
      <c r="AX395" s="166">
        <v>-26</v>
      </c>
      <c r="AY395" s="166">
        <v>-7</v>
      </c>
      <c r="AZ395" s="166">
        <v>-1</v>
      </c>
      <c r="BA395" s="166">
        <v>0</v>
      </c>
      <c r="BB395" s="166">
        <v>0</v>
      </c>
      <c r="BC395" s="166">
        <v>0</v>
      </c>
      <c r="BD395" s="166">
        <v>0</v>
      </c>
      <c r="BE395" s="166">
        <v>0</v>
      </c>
      <c r="BF395" s="166">
        <v>0</v>
      </c>
      <c r="BG395" s="166">
        <v>0</v>
      </c>
      <c r="BH395" s="166">
        <v>0</v>
      </c>
      <c r="BI395" s="166">
        <v>0</v>
      </c>
      <c r="BJ395" s="166">
        <v>0</v>
      </c>
      <c r="BK395" s="166">
        <v>0</v>
      </c>
      <c r="BL395" s="166">
        <v>0</v>
      </c>
      <c r="BM395" s="166">
        <v>0</v>
      </c>
      <c r="BN395" s="166">
        <v>0</v>
      </c>
      <c r="BO395" s="166">
        <v>0</v>
      </c>
      <c r="BP395" s="166">
        <v>0</v>
      </c>
      <c r="BQ395" s="81" t="s">
        <v>1757</v>
      </c>
      <c r="BU395" s="81" t="s">
        <v>155</v>
      </c>
      <c r="BZ395" s="81" t="s">
        <v>155</v>
      </c>
      <c r="CA395" s="81" t="s">
        <v>3934</v>
      </c>
      <c r="CC395" s="167">
        <v>0</v>
      </c>
      <c r="CD395" s="167">
        <v>0</v>
      </c>
      <c r="CE395" s="167">
        <f>$N395/3</f>
        <v>-20.333333333333332</v>
      </c>
      <c r="CF395" s="167">
        <f>$N395/3</f>
        <v>-20.333333333333332</v>
      </c>
      <c r="CG395" s="167">
        <f>$N395/3</f>
        <v>-20.333333333333332</v>
      </c>
      <c r="CH395" s="167">
        <v>0</v>
      </c>
      <c r="CI395" s="167">
        <v>0</v>
      </c>
      <c r="CJ395" s="167">
        <v>0</v>
      </c>
      <c r="CK395" s="167">
        <v>0</v>
      </c>
      <c r="CL395" s="167">
        <v>0</v>
      </c>
      <c r="CM395" s="167">
        <v>0</v>
      </c>
      <c r="CN395" s="167">
        <v>0</v>
      </c>
      <c r="CO395" s="167">
        <v>0</v>
      </c>
      <c r="CP395" s="167">
        <v>0</v>
      </c>
      <c r="CQ395" s="167">
        <v>0</v>
      </c>
      <c r="CR395" s="167">
        <v>0</v>
      </c>
      <c r="CS395" s="167">
        <v>0</v>
      </c>
      <c r="CT395" s="167">
        <v>0</v>
      </c>
      <c r="CU395" s="167">
        <v>0</v>
      </c>
      <c r="CV395" s="167">
        <v>0</v>
      </c>
      <c r="CW395" s="167">
        <v>0</v>
      </c>
      <c r="CX395" s="167">
        <f>SUM(CD395:CH395)</f>
        <v>-61</v>
      </c>
      <c r="CY395" s="167">
        <f>SUM(CD395:CM395)</f>
        <v>-61</v>
      </c>
    </row>
    <row r="396" spans="1:103" x14ac:dyDescent="0.2">
      <c r="A396" s="81">
        <v>3521</v>
      </c>
      <c r="B396" s="165" t="s">
        <v>1908</v>
      </c>
      <c r="C396" s="165" t="s">
        <v>103</v>
      </c>
      <c r="E396" s="165" t="s">
        <v>2826</v>
      </c>
      <c r="F396" s="165" t="s">
        <v>262</v>
      </c>
      <c r="G396" s="81">
        <v>527156</v>
      </c>
      <c r="H396" s="81">
        <v>175243</v>
      </c>
      <c r="I396" s="165" t="s">
        <v>255</v>
      </c>
      <c r="J396" s="349">
        <v>41304</v>
      </c>
      <c r="L396" s="166">
        <v>97</v>
      </c>
      <c r="M396" s="166">
        <v>0</v>
      </c>
      <c r="N396" s="166">
        <v>-97</v>
      </c>
      <c r="O396" s="166">
        <v>528</v>
      </c>
      <c r="P396" s="166">
        <v>175</v>
      </c>
      <c r="Q396" s="81" t="s">
        <v>155</v>
      </c>
      <c r="R396" s="165" t="s">
        <v>1084</v>
      </c>
      <c r="S396" s="81" t="s">
        <v>104</v>
      </c>
      <c r="T396" s="349">
        <v>41017</v>
      </c>
      <c r="U396" s="349">
        <v>41200</v>
      </c>
      <c r="W396" s="81" t="s">
        <v>114</v>
      </c>
      <c r="Y396" s="81" t="s">
        <v>115</v>
      </c>
      <c r="Z396" s="81" t="s">
        <v>116</v>
      </c>
      <c r="AA396" s="81" t="s">
        <v>116</v>
      </c>
      <c r="AB396" s="81" t="s">
        <v>117</v>
      </c>
      <c r="AC396" s="166">
        <v>0</v>
      </c>
      <c r="AG396" s="81" t="s">
        <v>154</v>
      </c>
      <c r="AH396" s="81" t="s">
        <v>312</v>
      </c>
      <c r="AI396" s="81" t="s">
        <v>2827</v>
      </c>
      <c r="AK396" s="166">
        <v>0</v>
      </c>
      <c r="AM396" s="166">
        <v>0</v>
      </c>
      <c r="AO396" s="166">
        <v>-2</v>
      </c>
      <c r="AP396" s="166">
        <v>-31</v>
      </c>
      <c r="AQ396" s="166">
        <v>-39</v>
      </c>
      <c r="AR396" s="166">
        <v>-25</v>
      </c>
      <c r="AS396" s="166">
        <v>0</v>
      </c>
      <c r="AT396" s="166">
        <v>0</v>
      </c>
      <c r="AU396" s="166">
        <v>0</v>
      </c>
      <c r="AV396" s="166">
        <v>-2</v>
      </c>
      <c r="AW396" s="166">
        <v>-31</v>
      </c>
      <c r="AX396" s="166">
        <v>-39</v>
      </c>
      <c r="AY396" s="166">
        <v>-25</v>
      </c>
      <c r="AZ396" s="166">
        <v>0</v>
      </c>
      <c r="BA396" s="166">
        <v>0</v>
      </c>
      <c r="BB396" s="166">
        <v>0</v>
      </c>
      <c r="BC396" s="166">
        <v>0</v>
      </c>
      <c r="BD396" s="166">
        <v>0</v>
      </c>
      <c r="BE396" s="166">
        <v>0</v>
      </c>
      <c r="BF396" s="166">
        <v>0</v>
      </c>
      <c r="BG396" s="166">
        <v>0</v>
      </c>
      <c r="BH396" s="166">
        <v>0</v>
      </c>
      <c r="BI396" s="166">
        <v>0</v>
      </c>
      <c r="BJ396" s="166">
        <v>0</v>
      </c>
      <c r="BK396" s="166">
        <v>0</v>
      </c>
      <c r="BL396" s="166">
        <v>0</v>
      </c>
      <c r="BM396" s="166">
        <v>0</v>
      </c>
      <c r="BN396" s="166">
        <v>0</v>
      </c>
      <c r="BO396" s="166">
        <v>0</v>
      </c>
      <c r="BP396" s="166">
        <v>0</v>
      </c>
      <c r="BQ396" s="81" t="s">
        <v>1757</v>
      </c>
      <c r="BU396" s="81" t="s">
        <v>155</v>
      </c>
      <c r="BZ396" s="81" t="s">
        <v>155</v>
      </c>
      <c r="CA396" s="81" t="s">
        <v>3934</v>
      </c>
      <c r="CC396" s="167">
        <v>0</v>
      </c>
      <c r="CD396" s="167">
        <v>0</v>
      </c>
      <c r="CE396" s="167">
        <f>$N396/3</f>
        <v>-32.333333333333336</v>
      </c>
      <c r="CF396" s="167">
        <f>$N396/3</f>
        <v>-32.333333333333336</v>
      </c>
      <c r="CG396" s="167">
        <f>$N396/3</f>
        <v>-32.333333333333336</v>
      </c>
      <c r="CH396" s="167">
        <v>0</v>
      </c>
      <c r="CI396" s="167">
        <v>0</v>
      </c>
      <c r="CJ396" s="167">
        <v>0</v>
      </c>
      <c r="CK396" s="167">
        <v>0</v>
      </c>
      <c r="CL396" s="167">
        <v>0</v>
      </c>
      <c r="CM396" s="167">
        <v>0</v>
      </c>
      <c r="CN396" s="167">
        <v>0</v>
      </c>
      <c r="CO396" s="167">
        <v>0</v>
      </c>
      <c r="CP396" s="167">
        <v>0</v>
      </c>
      <c r="CQ396" s="167">
        <v>0</v>
      </c>
      <c r="CR396" s="167">
        <v>0</v>
      </c>
      <c r="CS396" s="167">
        <v>0</v>
      </c>
      <c r="CT396" s="167">
        <v>0</v>
      </c>
      <c r="CU396" s="167">
        <v>0</v>
      </c>
      <c r="CV396" s="167">
        <v>0</v>
      </c>
      <c r="CW396" s="167">
        <v>0</v>
      </c>
      <c r="CX396" s="167">
        <f>SUM(CD396:CH396)</f>
        <v>-97</v>
      </c>
      <c r="CY396" s="167">
        <f>SUM(CD396:CM396)</f>
        <v>-97</v>
      </c>
    </row>
    <row r="397" spans="1:103" x14ac:dyDescent="0.2">
      <c r="A397" s="81">
        <v>3521</v>
      </c>
      <c r="B397" s="165" t="s">
        <v>1908</v>
      </c>
      <c r="C397" s="165" t="s">
        <v>103</v>
      </c>
      <c r="E397" s="165" t="s">
        <v>2826</v>
      </c>
      <c r="F397" s="165" t="s">
        <v>263</v>
      </c>
      <c r="G397" s="81">
        <v>527156</v>
      </c>
      <c r="H397" s="81">
        <v>175243</v>
      </c>
      <c r="I397" s="165" t="s">
        <v>255</v>
      </c>
      <c r="J397" s="349">
        <v>41304</v>
      </c>
      <c r="L397" s="166">
        <v>0</v>
      </c>
      <c r="M397" s="166">
        <v>135</v>
      </c>
      <c r="N397" s="166">
        <v>135</v>
      </c>
      <c r="O397" s="166">
        <v>528</v>
      </c>
      <c r="P397" s="166">
        <v>175</v>
      </c>
      <c r="Q397" s="81" t="s">
        <v>155</v>
      </c>
      <c r="R397" s="165" t="s">
        <v>1084</v>
      </c>
      <c r="S397" s="81" t="s">
        <v>104</v>
      </c>
      <c r="T397" s="349">
        <v>41017</v>
      </c>
      <c r="U397" s="349">
        <v>41200</v>
      </c>
      <c r="W397" s="81" t="s">
        <v>114</v>
      </c>
      <c r="Y397" s="81" t="s">
        <v>115</v>
      </c>
      <c r="Z397" s="81" t="s">
        <v>116</v>
      </c>
      <c r="AA397" s="81" t="s">
        <v>116</v>
      </c>
      <c r="AB397" s="81" t="s">
        <v>117</v>
      </c>
      <c r="AC397" s="166">
        <v>0.48500001430511502</v>
      </c>
      <c r="AG397" s="81" t="s">
        <v>238</v>
      </c>
      <c r="AH397" s="81" t="s">
        <v>118</v>
      </c>
      <c r="AI397" s="81" t="s">
        <v>2827</v>
      </c>
      <c r="AK397" s="166">
        <v>135</v>
      </c>
      <c r="AM397" s="166">
        <v>0</v>
      </c>
      <c r="AO397" s="166">
        <v>0</v>
      </c>
      <c r="AP397" s="166">
        <v>43</v>
      </c>
      <c r="AQ397" s="166">
        <v>77</v>
      </c>
      <c r="AR397" s="166">
        <v>15</v>
      </c>
      <c r="AS397" s="166">
        <v>0</v>
      </c>
      <c r="AT397" s="166">
        <v>0</v>
      </c>
      <c r="AU397" s="166">
        <v>0</v>
      </c>
      <c r="AV397" s="166">
        <v>0</v>
      </c>
      <c r="AW397" s="166">
        <v>43</v>
      </c>
      <c r="AX397" s="166">
        <v>77</v>
      </c>
      <c r="AY397" s="166">
        <v>15</v>
      </c>
      <c r="AZ397" s="166">
        <v>0</v>
      </c>
      <c r="BA397" s="166">
        <v>0</v>
      </c>
      <c r="BB397" s="166">
        <v>0</v>
      </c>
      <c r="BC397" s="166">
        <v>0</v>
      </c>
      <c r="BD397" s="166">
        <v>0</v>
      </c>
      <c r="BE397" s="166">
        <v>0</v>
      </c>
      <c r="BF397" s="166">
        <v>0</v>
      </c>
      <c r="BG397" s="166">
        <v>0</v>
      </c>
      <c r="BH397" s="166">
        <v>0</v>
      </c>
      <c r="BI397" s="166">
        <v>0</v>
      </c>
      <c r="BJ397" s="166">
        <v>0</v>
      </c>
      <c r="BK397" s="166">
        <v>0</v>
      </c>
      <c r="BL397" s="166">
        <v>0</v>
      </c>
      <c r="BM397" s="166">
        <v>0</v>
      </c>
      <c r="BN397" s="166">
        <v>0</v>
      </c>
      <c r="BO397" s="166">
        <v>0</v>
      </c>
      <c r="BP397" s="166">
        <v>0</v>
      </c>
      <c r="BQ397" s="81" t="s">
        <v>1757</v>
      </c>
      <c r="BU397" s="81" t="s">
        <v>155</v>
      </c>
      <c r="BZ397" s="81" t="s">
        <v>155</v>
      </c>
      <c r="CA397" s="81" t="s">
        <v>3934</v>
      </c>
      <c r="CC397" s="167">
        <v>0</v>
      </c>
      <c r="CD397" s="167">
        <v>0</v>
      </c>
      <c r="CE397" s="167">
        <f>$N397/3</f>
        <v>45</v>
      </c>
      <c r="CF397" s="167">
        <f>$N397/3</f>
        <v>45</v>
      </c>
      <c r="CG397" s="167">
        <f>$N397/3</f>
        <v>45</v>
      </c>
      <c r="CH397" s="167">
        <v>0</v>
      </c>
      <c r="CI397" s="167">
        <v>0</v>
      </c>
      <c r="CJ397" s="167">
        <v>0</v>
      </c>
      <c r="CK397" s="167">
        <v>0</v>
      </c>
      <c r="CL397" s="167">
        <v>0</v>
      </c>
      <c r="CM397" s="167">
        <v>0</v>
      </c>
      <c r="CN397" s="167">
        <v>0</v>
      </c>
      <c r="CO397" s="167">
        <v>0</v>
      </c>
      <c r="CP397" s="167">
        <v>0</v>
      </c>
      <c r="CQ397" s="167">
        <v>0</v>
      </c>
      <c r="CR397" s="167">
        <v>0</v>
      </c>
      <c r="CS397" s="167">
        <v>0</v>
      </c>
      <c r="CT397" s="167">
        <v>0</v>
      </c>
      <c r="CU397" s="167">
        <v>0</v>
      </c>
      <c r="CV397" s="167">
        <v>0</v>
      </c>
      <c r="CW397" s="167">
        <v>0</v>
      </c>
      <c r="CX397" s="167">
        <f>SUM(CD397:CH397)</f>
        <v>135</v>
      </c>
      <c r="CY397" s="167">
        <f>SUM(CD397:CM397)</f>
        <v>135</v>
      </c>
    </row>
    <row r="398" spans="1:103" ht="12.75" customHeight="1" x14ac:dyDescent="0.2">
      <c r="A398" s="81">
        <v>3521</v>
      </c>
      <c r="B398" s="165" t="s">
        <v>1908</v>
      </c>
      <c r="C398" s="165" t="s">
        <v>103</v>
      </c>
      <c r="E398" s="165" t="s">
        <v>2826</v>
      </c>
      <c r="F398" s="165" t="s">
        <v>264</v>
      </c>
      <c r="G398" s="81">
        <v>527156</v>
      </c>
      <c r="H398" s="81">
        <v>175243</v>
      </c>
      <c r="I398" s="165" t="s">
        <v>255</v>
      </c>
      <c r="J398" s="349">
        <v>41304</v>
      </c>
      <c r="L398" s="166">
        <v>0</v>
      </c>
      <c r="M398" s="166">
        <v>47</v>
      </c>
      <c r="N398" s="166">
        <v>47</v>
      </c>
      <c r="O398" s="166">
        <v>528</v>
      </c>
      <c r="P398" s="166">
        <v>175</v>
      </c>
      <c r="Q398" s="81" t="s">
        <v>155</v>
      </c>
      <c r="R398" s="165" t="s">
        <v>1084</v>
      </c>
      <c r="S398" s="81" t="s">
        <v>104</v>
      </c>
      <c r="T398" s="349">
        <v>41017</v>
      </c>
      <c r="U398" s="349">
        <v>41200</v>
      </c>
      <c r="W398" s="81" t="s">
        <v>114</v>
      </c>
      <c r="Y398" s="81" t="s">
        <v>115</v>
      </c>
      <c r="Z398" s="81" t="s">
        <v>116</v>
      </c>
      <c r="AA398" s="81" t="s">
        <v>116</v>
      </c>
      <c r="AB398" s="81" t="s">
        <v>117</v>
      </c>
      <c r="AC398" s="166">
        <v>0.15099999308586101</v>
      </c>
      <c r="AG398" s="81" t="s">
        <v>154</v>
      </c>
      <c r="AH398" s="81" t="s">
        <v>312</v>
      </c>
      <c r="AI398" s="81" t="s">
        <v>2827</v>
      </c>
      <c r="AK398" s="166">
        <v>42</v>
      </c>
      <c r="AM398" s="166">
        <v>0</v>
      </c>
      <c r="AO398" s="166">
        <v>0</v>
      </c>
      <c r="AP398" s="166">
        <v>9</v>
      </c>
      <c r="AQ398" s="166">
        <v>38</v>
      </c>
      <c r="AR398" s="166">
        <v>0</v>
      </c>
      <c r="AS398" s="166">
        <v>0</v>
      </c>
      <c r="AT398" s="166">
        <v>0</v>
      </c>
      <c r="AU398" s="166">
        <v>0</v>
      </c>
      <c r="AV398" s="166">
        <v>0</v>
      </c>
      <c r="AW398" s="166">
        <v>9</v>
      </c>
      <c r="AX398" s="166">
        <v>38</v>
      </c>
      <c r="AY398" s="166">
        <v>0</v>
      </c>
      <c r="AZ398" s="166">
        <v>0</v>
      </c>
      <c r="BA398" s="166">
        <v>0</v>
      </c>
      <c r="BB398" s="166">
        <v>0</v>
      </c>
      <c r="BC398" s="166">
        <v>0</v>
      </c>
      <c r="BD398" s="166">
        <v>0</v>
      </c>
      <c r="BE398" s="166">
        <v>0</v>
      </c>
      <c r="BF398" s="166">
        <v>0</v>
      </c>
      <c r="BG398" s="166">
        <v>0</v>
      </c>
      <c r="BH398" s="166">
        <v>0</v>
      </c>
      <c r="BI398" s="166">
        <v>0</v>
      </c>
      <c r="BJ398" s="166">
        <v>0</v>
      </c>
      <c r="BK398" s="166">
        <v>0</v>
      </c>
      <c r="BL398" s="166">
        <v>0</v>
      </c>
      <c r="BM398" s="166">
        <v>0</v>
      </c>
      <c r="BN398" s="166">
        <v>0</v>
      </c>
      <c r="BO398" s="166">
        <v>0</v>
      </c>
      <c r="BP398" s="166">
        <v>0</v>
      </c>
      <c r="BQ398" s="81" t="s">
        <v>1757</v>
      </c>
      <c r="BU398" s="81" t="s">
        <v>155</v>
      </c>
      <c r="BZ398" s="81" t="s">
        <v>155</v>
      </c>
      <c r="CA398" s="81" t="s">
        <v>3934</v>
      </c>
      <c r="CC398" s="167">
        <v>0</v>
      </c>
      <c r="CD398" s="167">
        <v>0</v>
      </c>
      <c r="CE398" s="167">
        <f>$N398/3</f>
        <v>15.666666666666666</v>
      </c>
      <c r="CF398" s="167">
        <f>$N398/3</f>
        <v>15.666666666666666</v>
      </c>
      <c r="CG398" s="167">
        <f>$N398/3</f>
        <v>15.666666666666666</v>
      </c>
      <c r="CH398" s="167">
        <v>0</v>
      </c>
      <c r="CI398" s="167">
        <v>0</v>
      </c>
      <c r="CJ398" s="167">
        <v>0</v>
      </c>
      <c r="CK398" s="167">
        <v>0</v>
      </c>
      <c r="CL398" s="167">
        <v>0</v>
      </c>
      <c r="CM398" s="167">
        <v>0</v>
      </c>
      <c r="CN398" s="167">
        <v>0</v>
      </c>
      <c r="CO398" s="167">
        <v>0</v>
      </c>
      <c r="CP398" s="167">
        <v>0</v>
      </c>
      <c r="CQ398" s="167">
        <v>0</v>
      </c>
      <c r="CR398" s="167">
        <v>0</v>
      </c>
      <c r="CS398" s="167">
        <v>0</v>
      </c>
      <c r="CT398" s="167">
        <v>0</v>
      </c>
      <c r="CU398" s="167">
        <v>0</v>
      </c>
      <c r="CV398" s="167">
        <v>0</v>
      </c>
      <c r="CW398" s="167">
        <v>0</v>
      </c>
      <c r="CX398" s="167">
        <f>SUM(CD398:CH398)</f>
        <v>47</v>
      </c>
      <c r="CY398" s="167">
        <f>SUM(CD398:CM398)</f>
        <v>47</v>
      </c>
    </row>
    <row r="399" spans="1:103" ht="12.75" customHeight="1" x14ac:dyDescent="0.2">
      <c r="A399" s="81">
        <v>3521</v>
      </c>
      <c r="B399" s="165" t="s">
        <v>1908</v>
      </c>
      <c r="C399" s="165" t="s">
        <v>103</v>
      </c>
      <c r="E399" s="165" t="s">
        <v>2826</v>
      </c>
      <c r="F399" s="165" t="s">
        <v>265</v>
      </c>
      <c r="G399" s="81">
        <v>527156</v>
      </c>
      <c r="H399" s="81">
        <v>175243</v>
      </c>
      <c r="I399" s="165" t="s">
        <v>255</v>
      </c>
      <c r="J399" s="349">
        <v>41304</v>
      </c>
      <c r="L399" s="166">
        <v>28</v>
      </c>
      <c r="M399" s="166">
        <v>0</v>
      </c>
      <c r="N399" s="166">
        <v>-28</v>
      </c>
      <c r="O399" s="166">
        <v>528</v>
      </c>
      <c r="P399" s="166">
        <v>175</v>
      </c>
      <c r="Q399" s="81" t="s">
        <v>155</v>
      </c>
      <c r="R399" s="165" t="s">
        <v>1084</v>
      </c>
      <c r="S399" s="81" t="s">
        <v>104</v>
      </c>
      <c r="T399" s="349">
        <v>41017</v>
      </c>
      <c r="U399" s="349">
        <v>41200</v>
      </c>
      <c r="W399" s="81" t="s">
        <v>114</v>
      </c>
      <c r="Y399" s="81" t="s">
        <v>115</v>
      </c>
      <c r="Z399" s="81" t="s">
        <v>116</v>
      </c>
      <c r="AA399" s="81" t="s">
        <v>116</v>
      </c>
      <c r="AB399" s="81" t="s">
        <v>117</v>
      </c>
      <c r="AC399" s="166">
        <v>0</v>
      </c>
      <c r="AG399" s="81" t="s">
        <v>238</v>
      </c>
      <c r="AH399" s="81" t="s">
        <v>118</v>
      </c>
      <c r="AI399" s="81" t="s">
        <v>2827</v>
      </c>
      <c r="AK399" s="166">
        <v>0</v>
      </c>
      <c r="AM399" s="166">
        <v>0</v>
      </c>
      <c r="AO399" s="166">
        <v>-1</v>
      </c>
      <c r="AP399" s="166">
        <v>-12</v>
      </c>
      <c r="AQ399" s="166">
        <v>-12</v>
      </c>
      <c r="AR399" s="166">
        <v>-3</v>
      </c>
      <c r="AS399" s="166">
        <v>0</v>
      </c>
      <c r="AT399" s="166">
        <v>0</v>
      </c>
      <c r="AU399" s="166">
        <v>0</v>
      </c>
      <c r="AV399" s="166">
        <v>-1</v>
      </c>
      <c r="AW399" s="166">
        <v>-12</v>
      </c>
      <c r="AX399" s="166">
        <v>-12</v>
      </c>
      <c r="AY399" s="166">
        <v>-3</v>
      </c>
      <c r="AZ399" s="166">
        <v>0</v>
      </c>
      <c r="BA399" s="166">
        <v>0</v>
      </c>
      <c r="BB399" s="166">
        <v>0</v>
      </c>
      <c r="BC399" s="166">
        <v>0</v>
      </c>
      <c r="BD399" s="166">
        <v>0</v>
      </c>
      <c r="BE399" s="166">
        <v>0</v>
      </c>
      <c r="BF399" s="166">
        <v>0</v>
      </c>
      <c r="BG399" s="166">
        <v>0</v>
      </c>
      <c r="BH399" s="166">
        <v>0</v>
      </c>
      <c r="BI399" s="166">
        <v>0</v>
      </c>
      <c r="BJ399" s="166">
        <v>0</v>
      </c>
      <c r="BK399" s="166">
        <v>0</v>
      </c>
      <c r="BL399" s="166">
        <v>0</v>
      </c>
      <c r="BM399" s="166">
        <v>0</v>
      </c>
      <c r="BN399" s="166">
        <v>0</v>
      </c>
      <c r="BO399" s="166">
        <v>0</v>
      </c>
      <c r="BP399" s="166">
        <v>0</v>
      </c>
      <c r="BQ399" s="81" t="s">
        <v>1757</v>
      </c>
      <c r="BU399" s="81" t="s">
        <v>155</v>
      </c>
      <c r="BZ399" s="81" t="s">
        <v>155</v>
      </c>
      <c r="CA399" s="81" t="s">
        <v>3934</v>
      </c>
      <c r="CC399" s="167">
        <v>0</v>
      </c>
      <c r="CD399" s="167">
        <v>0</v>
      </c>
      <c r="CE399" s="167">
        <f>$N399/3</f>
        <v>-9.3333333333333339</v>
      </c>
      <c r="CF399" s="167">
        <f>$N399/3</f>
        <v>-9.3333333333333339</v>
      </c>
      <c r="CG399" s="167">
        <f>$N399/3</f>
        <v>-9.3333333333333339</v>
      </c>
      <c r="CH399" s="167">
        <v>0</v>
      </c>
      <c r="CI399" s="167">
        <v>0</v>
      </c>
      <c r="CJ399" s="167">
        <v>0</v>
      </c>
      <c r="CK399" s="167">
        <v>0</v>
      </c>
      <c r="CL399" s="167">
        <v>0</v>
      </c>
      <c r="CM399" s="167">
        <v>0</v>
      </c>
      <c r="CN399" s="167">
        <v>0</v>
      </c>
      <c r="CO399" s="167">
        <v>0</v>
      </c>
      <c r="CP399" s="167">
        <v>0</v>
      </c>
      <c r="CQ399" s="167">
        <v>0</v>
      </c>
      <c r="CR399" s="167">
        <v>0</v>
      </c>
      <c r="CS399" s="167">
        <v>0</v>
      </c>
      <c r="CT399" s="167">
        <v>0</v>
      </c>
      <c r="CU399" s="167">
        <v>0</v>
      </c>
      <c r="CV399" s="167">
        <v>0</v>
      </c>
      <c r="CW399" s="167">
        <v>0</v>
      </c>
      <c r="CX399" s="167">
        <f>SUM(CD399:CH399)</f>
        <v>-28</v>
      </c>
      <c r="CY399" s="167">
        <f>SUM(CD399:CM399)</f>
        <v>-28</v>
      </c>
    </row>
    <row r="400" spans="1:103" x14ac:dyDescent="0.2">
      <c r="A400" s="81">
        <v>3521</v>
      </c>
      <c r="B400" s="165" t="s">
        <v>1908</v>
      </c>
      <c r="C400" s="165" t="s">
        <v>103</v>
      </c>
      <c r="E400" s="165" t="s">
        <v>2826</v>
      </c>
      <c r="F400" s="165" t="s">
        <v>266</v>
      </c>
      <c r="G400" s="81">
        <v>527156</v>
      </c>
      <c r="H400" s="81">
        <v>175243</v>
      </c>
      <c r="I400" s="165" t="s">
        <v>255</v>
      </c>
      <c r="J400" s="349">
        <v>41304</v>
      </c>
      <c r="L400" s="166">
        <v>56</v>
      </c>
      <c r="M400" s="166">
        <v>0</v>
      </c>
      <c r="N400" s="166">
        <v>-56</v>
      </c>
      <c r="O400" s="166">
        <v>528</v>
      </c>
      <c r="P400" s="166">
        <v>175</v>
      </c>
      <c r="Q400" s="81" t="s">
        <v>155</v>
      </c>
      <c r="R400" s="165" t="s">
        <v>1084</v>
      </c>
      <c r="S400" s="81" t="s">
        <v>104</v>
      </c>
      <c r="T400" s="349">
        <v>41017</v>
      </c>
      <c r="U400" s="349">
        <v>41200</v>
      </c>
      <c r="W400" s="81" t="s">
        <v>114</v>
      </c>
      <c r="Y400" s="81" t="s">
        <v>115</v>
      </c>
      <c r="Z400" s="81" t="s">
        <v>116</v>
      </c>
      <c r="AA400" s="81" t="s">
        <v>116</v>
      </c>
      <c r="AB400" s="81" t="s">
        <v>117</v>
      </c>
      <c r="AC400" s="166">
        <v>0</v>
      </c>
      <c r="AG400" s="81" t="s">
        <v>154</v>
      </c>
      <c r="AH400" s="81" t="s">
        <v>312</v>
      </c>
      <c r="AI400" s="81" t="s">
        <v>2827</v>
      </c>
      <c r="AK400" s="166">
        <v>0</v>
      </c>
      <c r="AM400" s="166">
        <v>0</v>
      </c>
      <c r="AO400" s="166">
        <v>-1</v>
      </c>
      <c r="AP400" s="166">
        <v>-18</v>
      </c>
      <c r="AQ400" s="166">
        <v>-22</v>
      </c>
      <c r="AR400" s="166">
        <v>-15</v>
      </c>
      <c r="AS400" s="166">
        <v>0</v>
      </c>
      <c r="AT400" s="166">
        <v>0</v>
      </c>
      <c r="AU400" s="166">
        <v>0</v>
      </c>
      <c r="AV400" s="166">
        <v>-1</v>
      </c>
      <c r="AW400" s="166">
        <v>-18</v>
      </c>
      <c r="AX400" s="166">
        <v>-22</v>
      </c>
      <c r="AY400" s="166">
        <v>-15</v>
      </c>
      <c r="AZ400" s="166">
        <v>0</v>
      </c>
      <c r="BA400" s="166">
        <v>0</v>
      </c>
      <c r="BB400" s="166">
        <v>0</v>
      </c>
      <c r="BC400" s="166">
        <v>0</v>
      </c>
      <c r="BD400" s="166">
        <v>0</v>
      </c>
      <c r="BE400" s="166">
        <v>0</v>
      </c>
      <c r="BF400" s="166">
        <v>0</v>
      </c>
      <c r="BG400" s="166">
        <v>0</v>
      </c>
      <c r="BH400" s="166">
        <v>0</v>
      </c>
      <c r="BI400" s="166">
        <v>0</v>
      </c>
      <c r="BJ400" s="166">
        <v>0</v>
      </c>
      <c r="BK400" s="166">
        <v>0</v>
      </c>
      <c r="BL400" s="166">
        <v>0</v>
      </c>
      <c r="BM400" s="166">
        <v>0</v>
      </c>
      <c r="BN400" s="166">
        <v>0</v>
      </c>
      <c r="BO400" s="166">
        <v>0</v>
      </c>
      <c r="BP400" s="166">
        <v>0</v>
      </c>
      <c r="BQ400" s="81" t="s">
        <v>1757</v>
      </c>
      <c r="BU400" s="81" t="s">
        <v>155</v>
      </c>
      <c r="BZ400" s="81" t="s">
        <v>155</v>
      </c>
      <c r="CA400" s="81" t="s">
        <v>3934</v>
      </c>
      <c r="CC400" s="167">
        <v>0</v>
      </c>
      <c r="CD400" s="167">
        <v>0</v>
      </c>
      <c r="CE400" s="167">
        <f>$N400/3</f>
        <v>-18.666666666666668</v>
      </c>
      <c r="CF400" s="167">
        <f>$N400/3</f>
        <v>-18.666666666666668</v>
      </c>
      <c r="CG400" s="167">
        <f>$N400/3</f>
        <v>-18.666666666666668</v>
      </c>
      <c r="CH400" s="167">
        <v>0</v>
      </c>
      <c r="CI400" s="167">
        <v>0</v>
      </c>
      <c r="CJ400" s="167">
        <v>0</v>
      </c>
      <c r="CK400" s="167">
        <v>0</v>
      </c>
      <c r="CL400" s="167">
        <v>0</v>
      </c>
      <c r="CM400" s="167">
        <v>0</v>
      </c>
      <c r="CN400" s="167">
        <v>0</v>
      </c>
      <c r="CO400" s="167">
        <v>0</v>
      </c>
      <c r="CP400" s="167">
        <v>0</v>
      </c>
      <c r="CQ400" s="167">
        <v>0</v>
      </c>
      <c r="CR400" s="167">
        <v>0</v>
      </c>
      <c r="CS400" s="167">
        <v>0</v>
      </c>
      <c r="CT400" s="167">
        <v>0</v>
      </c>
      <c r="CU400" s="167">
        <v>0</v>
      </c>
      <c r="CV400" s="167">
        <v>0</v>
      </c>
      <c r="CW400" s="167">
        <v>0</v>
      </c>
      <c r="CX400" s="167">
        <f>SUM(CD400:CH400)</f>
        <v>-56</v>
      </c>
      <c r="CY400" s="167">
        <f>SUM(CD400:CM400)</f>
        <v>-56</v>
      </c>
    </row>
    <row r="401" spans="1:103" ht="12.75" customHeight="1" x14ac:dyDescent="0.2">
      <c r="A401" s="81">
        <v>3521</v>
      </c>
      <c r="B401" s="165" t="s">
        <v>1908</v>
      </c>
      <c r="C401" s="165" t="s">
        <v>103</v>
      </c>
      <c r="E401" s="165" t="s">
        <v>2826</v>
      </c>
      <c r="F401" s="165" t="s">
        <v>267</v>
      </c>
      <c r="G401" s="81">
        <v>527156</v>
      </c>
      <c r="H401" s="81">
        <v>175243</v>
      </c>
      <c r="I401" s="165" t="s">
        <v>255</v>
      </c>
      <c r="J401" s="349">
        <v>41304</v>
      </c>
      <c r="L401" s="166">
        <v>0</v>
      </c>
      <c r="M401" s="166">
        <v>52</v>
      </c>
      <c r="N401" s="166">
        <v>52</v>
      </c>
      <c r="O401" s="166">
        <v>528</v>
      </c>
      <c r="P401" s="166">
        <v>175</v>
      </c>
      <c r="Q401" s="81" t="s">
        <v>155</v>
      </c>
      <c r="R401" s="165" t="s">
        <v>1084</v>
      </c>
      <c r="S401" s="81" t="s">
        <v>104</v>
      </c>
      <c r="T401" s="349">
        <v>41017</v>
      </c>
      <c r="U401" s="349">
        <v>41200</v>
      </c>
      <c r="W401" s="81" t="s">
        <v>114</v>
      </c>
      <c r="Y401" s="81" t="s">
        <v>115</v>
      </c>
      <c r="Z401" s="81" t="s">
        <v>116</v>
      </c>
      <c r="AA401" s="81" t="s">
        <v>116</v>
      </c>
      <c r="AB401" s="81" t="s">
        <v>117</v>
      </c>
      <c r="AC401" s="166">
        <v>0.18299999833107</v>
      </c>
      <c r="AG401" s="81" t="s">
        <v>74</v>
      </c>
      <c r="AH401" s="81" t="s">
        <v>1913</v>
      </c>
      <c r="AI401" s="81" t="s">
        <v>2827</v>
      </c>
      <c r="AK401" s="166">
        <v>51</v>
      </c>
      <c r="AM401" s="166">
        <v>0</v>
      </c>
      <c r="AO401" s="166">
        <v>0</v>
      </c>
      <c r="AP401" s="166">
        <v>18</v>
      </c>
      <c r="AQ401" s="166">
        <v>21</v>
      </c>
      <c r="AR401" s="166">
        <v>13</v>
      </c>
      <c r="AS401" s="166">
        <v>0</v>
      </c>
      <c r="AT401" s="166">
        <v>0</v>
      </c>
      <c r="AU401" s="166">
        <v>0</v>
      </c>
      <c r="AV401" s="166">
        <v>0</v>
      </c>
      <c r="AW401" s="166">
        <v>18</v>
      </c>
      <c r="AX401" s="166">
        <v>21</v>
      </c>
      <c r="AY401" s="166">
        <v>13</v>
      </c>
      <c r="AZ401" s="166">
        <v>0</v>
      </c>
      <c r="BA401" s="166">
        <v>0</v>
      </c>
      <c r="BB401" s="166">
        <v>0</v>
      </c>
      <c r="BC401" s="166">
        <v>0</v>
      </c>
      <c r="BD401" s="166">
        <v>0</v>
      </c>
      <c r="BE401" s="166">
        <v>0</v>
      </c>
      <c r="BF401" s="166">
        <v>0</v>
      </c>
      <c r="BG401" s="166">
        <v>0</v>
      </c>
      <c r="BH401" s="166">
        <v>0</v>
      </c>
      <c r="BI401" s="166">
        <v>0</v>
      </c>
      <c r="BJ401" s="166">
        <v>0</v>
      </c>
      <c r="BK401" s="166">
        <v>0</v>
      </c>
      <c r="BL401" s="166">
        <v>0</v>
      </c>
      <c r="BM401" s="166">
        <v>0</v>
      </c>
      <c r="BN401" s="166">
        <v>0</v>
      </c>
      <c r="BO401" s="166">
        <v>0</v>
      </c>
      <c r="BP401" s="166">
        <v>0</v>
      </c>
      <c r="BQ401" s="81" t="s">
        <v>1757</v>
      </c>
      <c r="BU401" s="81" t="s">
        <v>155</v>
      </c>
      <c r="BZ401" s="81" t="s">
        <v>155</v>
      </c>
      <c r="CA401" s="81" t="s">
        <v>3934</v>
      </c>
      <c r="CC401" s="167">
        <v>0</v>
      </c>
      <c r="CD401" s="167">
        <v>0</v>
      </c>
      <c r="CE401" s="167">
        <f>$N401/3</f>
        <v>17.333333333333332</v>
      </c>
      <c r="CF401" s="167">
        <f>$N401/3</f>
        <v>17.333333333333332</v>
      </c>
      <c r="CG401" s="167">
        <f>$N401/3</f>
        <v>17.333333333333332</v>
      </c>
      <c r="CH401" s="167">
        <v>0</v>
      </c>
      <c r="CI401" s="167">
        <v>0</v>
      </c>
      <c r="CJ401" s="167">
        <v>0</v>
      </c>
      <c r="CK401" s="167">
        <v>0</v>
      </c>
      <c r="CL401" s="167">
        <v>0</v>
      </c>
      <c r="CM401" s="167">
        <v>0</v>
      </c>
      <c r="CN401" s="167">
        <v>0</v>
      </c>
      <c r="CO401" s="167">
        <v>0</v>
      </c>
      <c r="CP401" s="167">
        <v>0</v>
      </c>
      <c r="CQ401" s="167">
        <v>0</v>
      </c>
      <c r="CR401" s="167">
        <v>0</v>
      </c>
      <c r="CS401" s="167">
        <v>0</v>
      </c>
      <c r="CT401" s="167">
        <v>0</v>
      </c>
      <c r="CU401" s="167">
        <v>0</v>
      </c>
      <c r="CV401" s="167">
        <v>0</v>
      </c>
      <c r="CW401" s="167">
        <v>0</v>
      </c>
      <c r="CX401" s="167">
        <f>SUM(CD401:CH401)</f>
        <v>52</v>
      </c>
      <c r="CY401" s="167">
        <f>SUM(CD401:CM401)</f>
        <v>52</v>
      </c>
    </row>
    <row r="402" spans="1:103" ht="12.75" customHeight="1" x14ac:dyDescent="0.2">
      <c r="A402" s="81">
        <v>3526</v>
      </c>
      <c r="B402" s="165" t="s">
        <v>1908</v>
      </c>
      <c r="C402" s="165" t="s">
        <v>3007</v>
      </c>
      <c r="E402" s="165" t="s">
        <v>2998</v>
      </c>
      <c r="F402" s="165" t="s">
        <v>293</v>
      </c>
      <c r="G402" s="81">
        <v>526547</v>
      </c>
      <c r="H402" s="81">
        <v>175744</v>
      </c>
      <c r="I402" s="165" t="s">
        <v>257</v>
      </c>
      <c r="J402" s="349">
        <v>42937</v>
      </c>
      <c r="L402" s="166">
        <v>0</v>
      </c>
      <c r="M402" s="166">
        <v>57</v>
      </c>
      <c r="N402" s="166">
        <v>57</v>
      </c>
      <c r="O402" s="166">
        <v>275</v>
      </c>
      <c r="P402" s="166">
        <v>275</v>
      </c>
      <c r="Q402" s="81" t="s">
        <v>155</v>
      </c>
      <c r="R402" s="165" t="s">
        <v>3008</v>
      </c>
      <c r="S402" s="81" t="s">
        <v>509</v>
      </c>
      <c r="T402" s="349">
        <v>42928</v>
      </c>
      <c r="U402" s="349">
        <v>43160</v>
      </c>
      <c r="V402" s="81" t="s">
        <v>155</v>
      </c>
      <c r="W402" s="81" t="s">
        <v>114</v>
      </c>
      <c r="Y402" s="81" t="s">
        <v>115</v>
      </c>
      <c r="Z402" s="81" t="s">
        <v>116</v>
      </c>
      <c r="AA402" s="81" t="s">
        <v>116</v>
      </c>
      <c r="AB402" s="81" t="s">
        <v>117</v>
      </c>
      <c r="AC402" s="166">
        <v>9.7999997437000302E-2</v>
      </c>
      <c r="AD402" s="349">
        <v>42937</v>
      </c>
      <c r="AE402" s="81" t="s">
        <v>155</v>
      </c>
      <c r="AG402" s="81" t="s">
        <v>238</v>
      </c>
      <c r="AH402" s="81" t="s">
        <v>118</v>
      </c>
      <c r="AI402" s="81" t="s">
        <v>3000</v>
      </c>
      <c r="AK402" s="166">
        <v>0</v>
      </c>
      <c r="AM402" s="166">
        <v>0</v>
      </c>
      <c r="AO402" s="166">
        <v>0</v>
      </c>
      <c r="AP402" s="166">
        <v>7</v>
      </c>
      <c r="AQ402" s="166">
        <v>45</v>
      </c>
      <c r="AR402" s="166">
        <v>5</v>
      </c>
      <c r="AS402" s="166">
        <v>0</v>
      </c>
      <c r="AT402" s="166">
        <v>0</v>
      </c>
      <c r="AU402" s="166">
        <v>0</v>
      </c>
      <c r="AV402" s="166">
        <v>0</v>
      </c>
      <c r="AW402" s="166">
        <v>7</v>
      </c>
      <c r="AX402" s="166">
        <v>45</v>
      </c>
      <c r="AY402" s="166">
        <v>5</v>
      </c>
      <c r="AZ402" s="166">
        <v>0</v>
      </c>
      <c r="BA402" s="166">
        <v>0</v>
      </c>
      <c r="BB402" s="166">
        <v>0</v>
      </c>
      <c r="BC402" s="166">
        <v>0</v>
      </c>
      <c r="BD402" s="166">
        <v>0</v>
      </c>
      <c r="BE402" s="166">
        <v>0</v>
      </c>
      <c r="BF402" s="166">
        <v>0</v>
      </c>
      <c r="BG402" s="166">
        <v>0</v>
      </c>
      <c r="BH402" s="166">
        <v>0</v>
      </c>
      <c r="BI402" s="166">
        <v>0</v>
      </c>
      <c r="BJ402" s="166">
        <v>0</v>
      </c>
      <c r="BK402" s="166">
        <v>0</v>
      </c>
      <c r="BL402" s="166">
        <v>0</v>
      </c>
      <c r="BM402" s="166">
        <v>0</v>
      </c>
      <c r="BN402" s="166">
        <v>0</v>
      </c>
      <c r="BO402" s="166">
        <v>0</v>
      </c>
      <c r="BP402" s="166">
        <v>0</v>
      </c>
      <c r="BQ402" s="81" t="s">
        <v>1757</v>
      </c>
      <c r="BX402" s="81" t="s">
        <v>155</v>
      </c>
      <c r="BZ402" s="81" t="s">
        <v>155</v>
      </c>
      <c r="CA402" s="81" t="s">
        <v>3934</v>
      </c>
      <c r="CC402" s="167">
        <v>0</v>
      </c>
      <c r="CD402" s="167">
        <v>0</v>
      </c>
      <c r="CE402" s="167">
        <v>0</v>
      </c>
      <c r="CF402" s="167">
        <f>N402</f>
        <v>57</v>
      </c>
      <c r="CG402" s="167">
        <v>0</v>
      </c>
      <c r="CH402" s="167">
        <v>0</v>
      </c>
      <c r="CI402" s="167">
        <v>0</v>
      </c>
      <c r="CJ402" s="167">
        <v>0</v>
      </c>
      <c r="CK402" s="167">
        <v>0</v>
      </c>
      <c r="CL402" s="167">
        <v>0</v>
      </c>
      <c r="CM402" s="167">
        <v>0</v>
      </c>
      <c r="CN402" s="167">
        <v>0</v>
      </c>
      <c r="CO402" s="167">
        <v>0</v>
      </c>
      <c r="CP402" s="167">
        <v>0</v>
      </c>
      <c r="CQ402" s="167">
        <v>0</v>
      </c>
      <c r="CR402" s="167">
        <v>0</v>
      </c>
      <c r="CS402" s="167">
        <v>0</v>
      </c>
      <c r="CT402" s="167">
        <v>0</v>
      </c>
      <c r="CU402" s="167">
        <v>0</v>
      </c>
      <c r="CV402" s="167">
        <v>0</v>
      </c>
      <c r="CW402" s="167">
        <v>0</v>
      </c>
      <c r="CX402" s="167">
        <f>SUM(CD402:CH402)</f>
        <v>57</v>
      </c>
      <c r="CY402" s="167">
        <f>SUM(CD402:CM402)</f>
        <v>57</v>
      </c>
    </row>
    <row r="403" spans="1:103" ht="12.75" customHeight="1" x14ac:dyDescent="0.2">
      <c r="A403" s="81">
        <v>3526</v>
      </c>
      <c r="B403" s="165" t="s">
        <v>1908</v>
      </c>
      <c r="C403" s="165" t="s">
        <v>3007</v>
      </c>
      <c r="E403" s="165" t="s">
        <v>2998</v>
      </c>
      <c r="F403" s="165" t="s">
        <v>293</v>
      </c>
      <c r="G403" s="81">
        <v>526547</v>
      </c>
      <c r="H403" s="81">
        <v>175744</v>
      </c>
      <c r="I403" s="165" t="s">
        <v>257</v>
      </c>
      <c r="J403" s="349">
        <v>42937</v>
      </c>
      <c r="L403" s="166">
        <v>0</v>
      </c>
      <c r="M403" s="166">
        <v>16</v>
      </c>
      <c r="N403" s="166">
        <v>16</v>
      </c>
      <c r="O403" s="166">
        <v>275</v>
      </c>
      <c r="P403" s="166">
        <v>275</v>
      </c>
      <c r="Q403" s="81" t="s">
        <v>155</v>
      </c>
      <c r="R403" s="165" t="s">
        <v>3008</v>
      </c>
      <c r="S403" s="81" t="s">
        <v>509</v>
      </c>
      <c r="T403" s="349">
        <v>42928</v>
      </c>
      <c r="U403" s="349">
        <v>43160</v>
      </c>
      <c r="V403" s="81" t="s">
        <v>155</v>
      </c>
      <c r="W403" s="81" t="s">
        <v>114</v>
      </c>
      <c r="Y403" s="81" t="s">
        <v>115</v>
      </c>
      <c r="Z403" s="81" t="s">
        <v>116</v>
      </c>
      <c r="AA403" s="81" t="s">
        <v>116</v>
      </c>
      <c r="AB403" s="81" t="s">
        <v>117</v>
      </c>
      <c r="AC403" s="166">
        <v>2.70000007003546E-2</v>
      </c>
      <c r="AD403" s="349">
        <v>42937</v>
      </c>
      <c r="AE403" s="81" t="s">
        <v>155</v>
      </c>
      <c r="AG403" s="81" t="s">
        <v>74</v>
      </c>
      <c r="AH403" s="81" t="s">
        <v>895</v>
      </c>
      <c r="AI403" s="81" t="s">
        <v>3000</v>
      </c>
      <c r="AK403" s="166">
        <v>0</v>
      </c>
      <c r="AM403" s="166">
        <v>0</v>
      </c>
      <c r="AO403" s="166">
        <v>0</v>
      </c>
      <c r="AP403" s="166">
        <v>12</v>
      </c>
      <c r="AQ403" s="166">
        <v>4</v>
      </c>
      <c r="AR403" s="166">
        <v>0</v>
      </c>
      <c r="AS403" s="166">
        <v>0</v>
      </c>
      <c r="AT403" s="166">
        <v>0</v>
      </c>
      <c r="AU403" s="166">
        <v>0</v>
      </c>
      <c r="AV403" s="166">
        <v>0</v>
      </c>
      <c r="AW403" s="166">
        <v>12</v>
      </c>
      <c r="AX403" s="166">
        <v>4</v>
      </c>
      <c r="AY403" s="166">
        <v>0</v>
      </c>
      <c r="AZ403" s="166">
        <v>0</v>
      </c>
      <c r="BA403" s="166">
        <v>0</v>
      </c>
      <c r="BB403" s="166">
        <v>0</v>
      </c>
      <c r="BC403" s="166">
        <v>0</v>
      </c>
      <c r="BD403" s="166">
        <v>0</v>
      </c>
      <c r="BE403" s="166">
        <v>0</v>
      </c>
      <c r="BF403" s="166">
        <v>0</v>
      </c>
      <c r="BG403" s="166">
        <v>0</v>
      </c>
      <c r="BH403" s="166">
        <v>0</v>
      </c>
      <c r="BI403" s="166">
        <v>0</v>
      </c>
      <c r="BJ403" s="166">
        <v>0</v>
      </c>
      <c r="BK403" s="166">
        <v>0</v>
      </c>
      <c r="BL403" s="166">
        <v>0</v>
      </c>
      <c r="BM403" s="166">
        <v>0</v>
      </c>
      <c r="BN403" s="166">
        <v>0</v>
      </c>
      <c r="BO403" s="166">
        <v>0</v>
      </c>
      <c r="BP403" s="166">
        <v>0</v>
      </c>
      <c r="BQ403" s="81" t="s">
        <v>1757</v>
      </c>
      <c r="BX403" s="81" t="s">
        <v>155</v>
      </c>
      <c r="BZ403" s="81" t="s">
        <v>155</v>
      </c>
      <c r="CA403" s="81" t="s">
        <v>3934</v>
      </c>
      <c r="CC403" s="167">
        <v>0</v>
      </c>
      <c r="CD403" s="167">
        <v>0</v>
      </c>
      <c r="CE403" s="167">
        <v>0</v>
      </c>
      <c r="CF403" s="167">
        <f>N403</f>
        <v>16</v>
      </c>
      <c r="CG403" s="167">
        <v>0</v>
      </c>
      <c r="CH403" s="167">
        <v>0</v>
      </c>
      <c r="CI403" s="167">
        <v>0</v>
      </c>
      <c r="CJ403" s="167">
        <v>0</v>
      </c>
      <c r="CK403" s="167">
        <v>0</v>
      </c>
      <c r="CL403" s="167">
        <v>0</v>
      </c>
      <c r="CM403" s="167">
        <v>0</v>
      </c>
      <c r="CN403" s="167">
        <v>0</v>
      </c>
      <c r="CO403" s="167">
        <v>0</v>
      </c>
      <c r="CP403" s="167">
        <v>0</v>
      </c>
      <c r="CQ403" s="167">
        <v>0</v>
      </c>
      <c r="CR403" s="167">
        <v>0</v>
      </c>
      <c r="CS403" s="167">
        <v>0</v>
      </c>
      <c r="CT403" s="167">
        <v>0</v>
      </c>
      <c r="CU403" s="167">
        <v>0</v>
      </c>
      <c r="CV403" s="167">
        <v>0</v>
      </c>
      <c r="CW403" s="167">
        <v>0</v>
      </c>
      <c r="CX403" s="167">
        <f>SUM(CD403:CH403)</f>
        <v>16</v>
      </c>
      <c r="CY403" s="167">
        <f>SUM(CD403:CM403)</f>
        <v>16</v>
      </c>
    </row>
    <row r="404" spans="1:103" ht="12.75" customHeight="1" x14ac:dyDescent="0.2">
      <c r="A404" s="81">
        <v>3526</v>
      </c>
      <c r="B404" s="165" t="s">
        <v>1908</v>
      </c>
      <c r="C404" s="165" t="s">
        <v>3007</v>
      </c>
      <c r="E404" s="165" t="s">
        <v>2998</v>
      </c>
      <c r="F404" s="165" t="s">
        <v>294</v>
      </c>
      <c r="G404" s="81">
        <v>526547</v>
      </c>
      <c r="H404" s="81">
        <v>175744</v>
      </c>
      <c r="I404" s="165" t="s">
        <v>257</v>
      </c>
      <c r="J404" s="349">
        <v>42937</v>
      </c>
      <c r="L404" s="166">
        <v>0</v>
      </c>
      <c r="M404" s="166">
        <v>71</v>
      </c>
      <c r="N404" s="166">
        <v>71</v>
      </c>
      <c r="O404" s="166">
        <v>275</v>
      </c>
      <c r="P404" s="166">
        <v>275</v>
      </c>
      <c r="Q404" s="81" t="s">
        <v>155</v>
      </c>
      <c r="R404" s="165" t="s">
        <v>3008</v>
      </c>
      <c r="S404" s="81" t="s">
        <v>509</v>
      </c>
      <c r="T404" s="349">
        <v>42928</v>
      </c>
      <c r="U404" s="349">
        <v>43160</v>
      </c>
      <c r="V404" s="81" t="s">
        <v>155</v>
      </c>
      <c r="W404" s="81" t="s">
        <v>114</v>
      </c>
      <c r="Y404" s="81" t="s">
        <v>115</v>
      </c>
      <c r="Z404" s="81" t="s">
        <v>116</v>
      </c>
      <c r="AA404" s="81" t="s">
        <v>116</v>
      </c>
      <c r="AB404" s="81" t="s">
        <v>117</v>
      </c>
      <c r="AC404" s="166">
        <v>0.122000001370907</v>
      </c>
      <c r="AD404" s="349">
        <v>42937</v>
      </c>
      <c r="AE404" s="81" t="s">
        <v>155</v>
      </c>
      <c r="AG404" s="81" t="s">
        <v>238</v>
      </c>
      <c r="AH404" s="81" t="s">
        <v>118</v>
      </c>
      <c r="AI404" s="81" t="s">
        <v>3000</v>
      </c>
      <c r="AK404" s="166">
        <v>0</v>
      </c>
      <c r="AM404" s="166">
        <v>0</v>
      </c>
      <c r="AO404" s="166">
        <v>0</v>
      </c>
      <c r="AP404" s="166">
        <v>8</v>
      </c>
      <c r="AQ404" s="166">
        <v>55</v>
      </c>
      <c r="AR404" s="166">
        <v>8</v>
      </c>
      <c r="AS404" s="166">
        <v>0</v>
      </c>
      <c r="AT404" s="166">
        <v>0</v>
      </c>
      <c r="AU404" s="166">
        <v>0</v>
      </c>
      <c r="AV404" s="166">
        <v>0</v>
      </c>
      <c r="AW404" s="166">
        <v>8</v>
      </c>
      <c r="AX404" s="166">
        <v>55</v>
      </c>
      <c r="AY404" s="166">
        <v>8</v>
      </c>
      <c r="AZ404" s="166">
        <v>0</v>
      </c>
      <c r="BA404" s="166">
        <v>0</v>
      </c>
      <c r="BB404" s="166">
        <v>0</v>
      </c>
      <c r="BC404" s="166">
        <v>0</v>
      </c>
      <c r="BD404" s="166">
        <v>0</v>
      </c>
      <c r="BE404" s="166">
        <v>0</v>
      </c>
      <c r="BF404" s="166">
        <v>0</v>
      </c>
      <c r="BG404" s="166">
        <v>0</v>
      </c>
      <c r="BH404" s="166">
        <v>0</v>
      </c>
      <c r="BI404" s="166">
        <v>0</v>
      </c>
      <c r="BJ404" s="166">
        <v>0</v>
      </c>
      <c r="BK404" s="166">
        <v>0</v>
      </c>
      <c r="BL404" s="166">
        <v>0</v>
      </c>
      <c r="BM404" s="166">
        <v>0</v>
      </c>
      <c r="BN404" s="166">
        <v>0</v>
      </c>
      <c r="BO404" s="166">
        <v>0</v>
      </c>
      <c r="BP404" s="166">
        <v>0</v>
      </c>
      <c r="BQ404" s="81" t="s">
        <v>1757</v>
      </c>
      <c r="BX404" s="81" t="s">
        <v>155</v>
      </c>
      <c r="BZ404" s="81" t="s">
        <v>155</v>
      </c>
      <c r="CA404" s="81" t="s">
        <v>3934</v>
      </c>
      <c r="CC404" s="167">
        <v>0</v>
      </c>
      <c r="CD404" s="167">
        <v>0</v>
      </c>
      <c r="CE404" s="167">
        <v>0</v>
      </c>
      <c r="CF404" s="167">
        <f>N404</f>
        <v>71</v>
      </c>
      <c r="CG404" s="167">
        <v>0</v>
      </c>
      <c r="CH404" s="167">
        <v>0</v>
      </c>
      <c r="CI404" s="167">
        <v>0</v>
      </c>
      <c r="CJ404" s="167">
        <v>0</v>
      </c>
      <c r="CK404" s="167">
        <v>0</v>
      </c>
      <c r="CL404" s="167">
        <v>0</v>
      </c>
      <c r="CM404" s="167">
        <v>0</v>
      </c>
      <c r="CN404" s="167">
        <v>0</v>
      </c>
      <c r="CO404" s="167">
        <v>0</v>
      </c>
      <c r="CP404" s="167">
        <v>0</v>
      </c>
      <c r="CQ404" s="167">
        <v>0</v>
      </c>
      <c r="CR404" s="167">
        <v>0</v>
      </c>
      <c r="CS404" s="167">
        <v>0</v>
      </c>
      <c r="CT404" s="167">
        <v>0</v>
      </c>
      <c r="CU404" s="167">
        <v>0</v>
      </c>
      <c r="CV404" s="167">
        <v>0</v>
      </c>
      <c r="CW404" s="167">
        <v>0</v>
      </c>
      <c r="CX404" s="167">
        <f>SUM(CD404:CH404)</f>
        <v>71</v>
      </c>
      <c r="CY404" s="167">
        <f>SUM(CD404:CM404)</f>
        <v>71</v>
      </c>
    </row>
    <row r="405" spans="1:103" ht="12.75" customHeight="1" x14ac:dyDescent="0.2">
      <c r="A405" s="81">
        <v>3526</v>
      </c>
      <c r="B405" s="165" t="s">
        <v>1908</v>
      </c>
      <c r="C405" s="165" t="s">
        <v>3007</v>
      </c>
      <c r="E405" s="165" t="s">
        <v>2998</v>
      </c>
      <c r="F405" s="165" t="s">
        <v>294</v>
      </c>
      <c r="G405" s="81">
        <v>526547</v>
      </c>
      <c r="H405" s="81">
        <v>175744</v>
      </c>
      <c r="I405" s="165" t="s">
        <v>257</v>
      </c>
      <c r="J405" s="349">
        <v>42937</v>
      </c>
      <c r="L405" s="166">
        <v>0</v>
      </c>
      <c r="M405" s="166">
        <v>25</v>
      </c>
      <c r="N405" s="166">
        <v>25</v>
      </c>
      <c r="O405" s="166">
        <v>275</v>
      </c>
      <c r="P405" s="166">
        <v>275</v>
      </c>
      <c r="Q405" s="81" t="s">
        <v>155</v>
      </c>
      <c r="R405" s="165" t="s">
        <v>3008</v>
      </c>
      <c r="S405" s="81" t="s">
        <v>509</v>
      </c>
      <c r="T405" s="349">
        <v>42928</v>
      </c>
      <c r="U405" s="349">
        <v>43160</v>
      </c>
      <c r="V405" s="81" t="s">
        <v>155</v>
      </c>
      <c r="W405" s="81" t="s">
        <v>114</v>
      </c>
      <c r="Y405" s="81" t="s">
        <v>115</v>
      </c>
      <c r="Z405" s="81" t="s">
        <v>116</v>
      </c>
      <c r="AA405" s="81" t="s">
        <v>116</v>
      </c>
      <c r="AB405" s="81" t="s">
        <v>117</v>
      </c>
      <c r="AC405" s="166">
        <v>4.3000001460313797E-2</v>
      </c>
      <c r="AD405" s="349">
        <v>42937</v>
      </c>
      <c r="AE405" s="81" t="s">
        <v>155</v>
      </c>
      <c r="AG405" s="81" t="s">
        <v>74</v>
      </c>
      <c r="AH405" s="81" t="s">
        <v>895</v>
      </c>
      <c r="AI405" s="81" t="s">
        <v>3000</v>
      </c>
      <c r="AK405" s="166">
        <v>0</v>
      </c>
      <c r="AM405" s="166">
        <v>0</v>
      </c>
      <c r="AO405" s="166">
        <v>0</v>
      </c>
      <c r="AP405" s="166">
        <v>16</v>
      </c>
      <c r="AQ405" s="166">
        <v>9</v>
      </c>
      <c r="AR405" s="166">
        <v>0</v>
      </c>
      <c r="AS405" s="166">
        <v>0</v>
      </c>
      <c r="AT405" s="166">
        <v>0</v>
      </c>
      <c r="AU405" s="166">
        <v>0</v>
      </c>
      <c r="AV405" s="166">
        <v>0</v>
      </c>
      <c r="AW405" s="166">
        <v>16</v>
      </c>
      <c r="AX405" s="166">
        <v>9</v>
      </c>
      <c r="AY405" s="166">
        <v>0</v>
      </c>
      <c r="AZ405" s="166">
        <v>0</v>
      </c>
      <c r="BA405" s="166">
        <v>0</v>
      </c>
      <c r="BB405" s="166">
        <v>0</v>
      </c>
      <c r="BC405" s="166">
        <v>0</v>
      </c>
      <c r="BD405" s="166">
        <v>0</v>
      </c>
      <c r="BE405" s="166">
        <v>0</v>
      </c>
      <c r="BF405" s="166">
        <v>0</v>
      </c>
      <c r="BG405" s="166">
        <v>0</v>
      </c>
      <c r="BH405" s="166">
        <v>0</v>
      </c>
      <c r="BI405" s="166">
        <v>0</v>
      </c>
      <c r="BJ405" s="166">
        <v>0</v>
      </c>
      <c r="BK405" s="166">
        <v>0</v>
      </c>
      <c r="BL405" s="166">
        <v>0</v>
      </c>
      <c r="BM405" s="166">
        <v>0</v>
      </c>
      <c r="BN405" s="166">
        <v>0</v>
      </c>
      <c r="BO405" s="166">
        <v>0</v>
      </c>
      <c r="BP405" s="166">
        <v>0</v>
      </c>
      <c r="BQ405" s="81" t="s">
        <v>1757</v>
      </c>
      <c r="BX405" s="81" t="s">
        <v>155</v>
      </c>
      <c r="BZ405" s="81" t="s">
        <v>155</v>
      </c>
      <c r="CA405" s="81" t="s">
        <v>3934</v>
      </c>
      <c r="CC405" s="167">
        <v>0</v>
      </c>
      <c r="CD405" s="167">
        <v>0</v>
      </c>
      <c r="CE405" s="167">
        <v>0</v>
      </c>
      <c r="CF405" s="167">
        <f>N405</f>
        <v>25</v>
      </c>
      <c r="CG405" s="167">
        <v>0</v>
      </c>
      <c r="CH405" s="167">
        <v>0</v>
      </c>
      <c r="CI405" s="167">
        <v>0</v>
      </c>
      <c r="CJ405" s="167">
        <v>0</v>
      </c>
      <c r="CK405" s="167">
        <v>0</v>
      </c>
      <c r="CL405" s="167">
        <v>0</v>
      </c>
      <c r="CM405" s="167">
        <v>0</v>
      </c>
      <c r="CN405" s="167">
        <v>0</v>
      </c>
      <c r="CO405" s="167">
        <v>0</v>
      </c>
      <c r="CP405" s="167">
        <v>0</v>
      </c>
      <c r="CQ405" s="167">
        <v>0</v>
      </c>
      <c r="CR405" s="167">
        <v>0</v>
      </c>
      <c r="CS405" s="167">
        <v>0</v>
      </c>
      <c r="CT405" s="167">
        <v>0</v>
      </c>
      <c r="CU405" s="167">
        <v>0</v>
      </c>
      <c r="CV405" s="167">
        <v>0</v>
      </c>
      <c r="CW405" s="167">
        <v>0</v>
      </c>
      <c r="CX405" s="167">
        <f>SUM(CD405:CH405)</f>
        <v>25</v>
      </c>
      <c r="CY405" s="167">
        <f>SUM(CD405:CM405)</f>
        <v>25</v>
      </c>
    </row>
    <row r="406" spans="1:103" ht="12.75" customHeight="1" x14ac:dyDescent="0.2">
      <c r="A406" s="81">
        <v>3526</v>
      </c>
      <c r="B406" s="165" t="s">
        <v>1908</v>
      </c>
      <c r="C406" s="165" t="s">
        <v>3007</v>
      </c>
      <c r="E406" s="165" t="s">
        <v>2998</v>
      </c>
      <c r="F406" s="165" t="s">
        <v>25</v>
      </c>
      <c r="G406" s="81">
        <v>526547</v>
      </c>
      <c r="H406" s="81">
        <v>175744</v>
      </c>
      <c r="I406" s="165" t="s">
        <v>257</v>
      </c>
      <c r="J406" s="349">
        <v>42937</v>
      </c>
      <c r="L406" s="166">
        <v>0</v>
      </c>
      <c r="M406" s="166">
        <v>106</v>
      </c>
      <c r="N406" s="166">
        <v>106</v>
      </c>
      <c r="O406" s="166">
        <v>275</v>
      </c>
      <c r="P406" s="166">
        <v>275</v>
      </c>
      <c r="Q406" s="81" t="s">
        <v>155</v>
      </c>
      <c r="R406" s="165" t="s">
        <v>3008</v>
      </c>
      <c r="S406" s="81" t="s">
        <v>509</v>
      </c>
      <c r="T406" s="349">
        <v>42928</v>
      </c>
      <c r="U406" s="349">
        <v>43160</v>
      </c>
      <c r="V406" s="81" t="s">
        <v>155</v>
      </c>
      <c r="W406" s="81" t="s">
        <v>114</v>
      </c>
      <c r="Y406" s="81" t="s">
        <v>115</v>
      </c>
      <c r="Z406" s="81" t="s">
        <v>116</v>
      </c>
      <c r="AA406" s="81" t="s">
        <v>116</v>
      </c>
      <c r="AB406" s="81" t="s">
        <v>117</v>
      </c>
      <c r="AC406" s="166">
        <v>0.18099999427795399</v>
      </c>
      <c r="AD406" s="349">
        <v>42937</v>
      </c>
      <c r="AE406" s="81" t="s">
        <v>155</v>
      </c>
      <c r="AG406" s="81" t="s">
        <v>238</v>
      </c>
      <c r="AH406" s="81" t="s">
        <v>118</v>
      </c>
      <c r="AI406" s="81" t="s">
        <v>3000</v>
      </c>
      <c r="AK406" s="166">
        <v>0</v>
      </c>
      <c r="AM406" s="166">
        <v>0</v>
      </c>
      <c r="AO406" s="166">
        <v>2</v>
      </c>
      <c r="AP406" s="166">
        <v>32</v>
      </c>
      <c r="AQ406" s="166">
        <v>61</v>
      </c>
      <c r="AR406" s="166">
        <v>11</v>
      </c>
      <c r="AS406" s="166">
        <v>0</v>
      </c>
      <c r="AT406" s="166">
        <v>0</v>
      </c>
      <c r="AU406" s="166">
        <v>0</v>
      </c>
      <c r="AV406" s="166">
        <v>2</v>
      </c>
      <c r="AW406" s="166">
        <v>32</v>
      </c>
      <c r="AX406" s="166">
        <v>61</v>
      </c>
      <c r="AY406" s="166">
        <v>11</v>
      </c>
      <c r="AZ406" s="166">
        <v>0</v>
      </c>
      <c r="BA406" s="166">
        <v>0</v>
      </c>
      <c r="BB406" s="166">
        <v>0</v>
      </c>
      <c r="BC406" s="166">
        <v>0</v>
      </c>
      <c r="BD406" s="166">
        <v>0</v>
      </c>
      <c r="BE406" s="166">
        <v>0</v>
      </c>
      <c r="BF406" s="166">
        <v>0</v>
      </c>
      <c r="BG406" s="166">
        <v>0</v>
      </c>
      <c r="BH406" s="166">
        <v>0</v>
      </c>
      <c r="BI406" s="166">
        <v>0</v>
      </c>
      <c r="BJ406" s="166">
        <v>0</v>
      </c>
      <c r="BK406" s="166">
        <v>0</v>
      </c>
      <c r="BL406" s="166">
        <v>0</v>
      </c>
      <c r="BM406" s="166">
        <v>0</v>
      </c>
      <c r="BN406" s="166">
        <v>0</v>
      </c>
      <c r="BO406" s="166">
        <v>0</v>
      </c>
      <c r="BP406" s="166">
        <v>0</v>
      </c>
      <c r="BQ406" s="81" t="s">
        <v>1757</v>
      </c>
      <c r="BX406" s="81" t="s">
        <v>155</v>
      </c>
      <c r="BZ406" s="81" t="s">
        <v>155</v>
      </c>
      <c r="CA406" s="81" t="s">
        <v>3934</v>
      </c>
      <c r="CC406" s="167">
        <v>0</v>
      </c>
      <c r="CD406" s="167">
        <v>0</v>
      </c>
      <c r="CE406" s="167">
        <v>0</v>
      </c>
      <c r="CF406" s="167">
        <f>N406</f>
        <v>106</v>
      </c>
      <c r="CG406" s="167">
        <v>0</v>
      </c>
      <c r="CH406" s="167">
        <v>0</v>
      </c>
      <c r="CI406" s="167">
        <v>0</v>
      </c>
      <c r="CJ406" s="167">
        <v>0</v>
      </c>
      <c r="CK406" s="167">
        <v>0</v>
      </c>
      <c r="CL406" s="167">
        <v>0</v>
      </c>
      <c r="CM406" s="167">
        <v>0</v>
      </c>
      <c r="CN406" s="167">
        <v>0</v>
      </c>
      <c r="CO406" s="167">
        <v>0</v>
      </c>
      <c r="CP406" s="167">
        <v>0</v>
      </c>
      <c r="CQ406" s="167">
        <v>0</v>
      </c>
      <c r="CR406" s="167">
        <v>0</v>
      </c>
      <c r="CS406" s="167">
        <v>0</v>
      </c>
      <c r="CT406" s="167">
        <v>0</v>
      </c>
      <c r="CU406" s="167">
        <v>0</v>
      </c>
      <c r="CV406" s="167">
        <v>0</v>
      </c>
      <c r="CW406" s="167">
        <v>0</v>
      </c>
      <c r="CX406" s="167">
        <f>SUM(CD406:CH406)</f>
        <v>106</v>
      </c>
      <c r="CY406" s="167">
        <f>SUM(CD406:CM406)</f>
        <v>106</v>
      </c>
    </row>
    <row r="407" spans="1:103" ht="12.75" customHeight="1" x14ac:dyDescent="0.2">
      <c r="A407" s="81">
        <v>3568</v>
      </c>
      <c r="B407" s="165" t="s">
        <v>1908</v>
      </c>
      <c r="C407" s="165" t="s">
        <v>3009</v>
      </c>
      <c r="E407" s="165" t="s">
        <v>2072</v>
      </c>
      <c r="G407" s="81">
        <v>521152</v>
      </c>
      <c r="H407" s="81">
        <v>174359</v>
      </c>
      <c r="I407" s="165" t="s">
        <v>877</v>
      </c>
      <c r="J407" s="349">
        <v>43190</v>
      </c>
      <c r="L407" s="166">
        <v>0</v>
      </c>
      <c r="M407" s="166">
        <v>2</v>
      </c>
      <c r="N407" s="166">
        <v>2</v>
      </c>
      <c r="O407" s="166">
        <v>2</v>
      </c>
      <c r="P407" s="166">
        <v>2</v>
      </c>
      <c r="R407" s="165" t="s">
        <v>3010</v>
      </c>
      <c r="S407" s="81" t="s">
        <v>113</v>
      </c>
      <c r="T407" s="349">
        <v>42905</v>
      </c>
      <c r="U407" s="349">
        <v>43027</v>
      </c>
      <c r="V407" s="81" t="s">
        <v>155</v>
      </c>
      <c r="W407" s="81" t="s">
        <v>114</v>
      </c>
      <c r="Y407" s="81" t="s">
        <v>115</v>
      </c>
      <c r="Z407" s="81" t="s">
        <v>116</v>
      </c>
      <c r="AA407" s="81" t="s">
        <v>117</v>
      </c>
      <c r="AB407" s="81" t="s">
        <v>218</v>
      </c>
      <c r="AC407" s="166">
        <v>0.13799999654293099</v>
      </c>
      <c r="AD407" s="349">
        <v>43190</v>
      </c>
      <c r="AE407" s="81" t="s">
        <v>155</v>
      </c>
      <c r="AG407" s="81" t="s">
        <v>238</v>
      </c>
      <c r="AH407" s="81" t="s">
        <v>118</v>
      </c>
      <c r="AK407" s="166">
        <v>0</v>
      </c>
      <c r="AL407" s="166">
        <v>2</v>
      </c>
      <c r="AM407" s="166">
        <v>0</v>
      </c>
      <c r="AO407" s="166">
        <v>0</v>
      </c>
      <c r="AP407" s="166">
        <v>0</v>
      </c>
      <c r="AQ407" s="166">
        <v>0</v>
      </c>
      <c r="AR407" s="166">
        <v>0</v>
      </c>
      <c r="AS407" s="166">
        <v>0</v>
      </c>
      <c r="AT407" s="166">
        <v>2</v>
      </c>
      <c r="AU407" s="166">
        <v>0</v>
      </c>
      <c r="AV407" s="166">
        <v>0</v>
      </c>
      <c r="AW407" s="166">
        <v>0</v>
      </c>
      <c r="AX407" s="166">
        <v>0</v>
      </c>
      <c r="AY407" s="166">
        <v>0</v>
      </c>
      <c r="AZ407" s="166">
        <v>0</v>
      </c>
      <c r="BA407" s="166">
        <v>0</v>
      </c>
      <c r="BB407" s="166">
        <v>0</v>
      </c>
      <c r="BC407" s="166">
        <v>0</v>
      </c>
      <c r="BD407" s="166">
        <v>0</v>
      </c>
      <c r="BE407" s="166">
        <v>0</v>
      </c>
      <c r="BF407" s="166">
        <v>0</v>
      </c>
      <c r="BG407" s="166">
        <v>0</v>
      </c>
      <c r="BH407" s="166">
        <v>2</v>
      </c>
      <c r="BI407" s="166">
        <v>0</v>
      </c>
      <c r="BJ407" s="166">
        <v>0</v>
      </c>
      <c r="BK407" s="166">
        <v>0</v>
      </c>
      <c r="BL407" s="166">
        <v>0</v>
      </c>
      <c r="BM407" s="166">
        <v>0</v>
      </c>
      <c r="BN407" s="166">
        <v>0</v>
      </c>
      <c r="BO407" s="166">
        <v>0</v>
      </c>
      <c r="BP407" s="166">
        <v>0</v>
      </c>
      <c r="BQ407" s="81" t="s">
        <v>1758</v>
      </c>
      <c r="BZ407" s="81" t="s">
        <v>155</v>
      </c>
      <c r="CA407" s="81" t="s">
        <v>3977</v>
      </c>
      <c r="CC407" s="167">
        <v>0</v>
      </c>
      <c r="CD407" s="167">
        <f>$N407/2</f>
        <v>1</v>
      </c>
      <c r="CE407" s="167">
        <f>$N407/2</f>
        <v>1</v>
      </c>
      <c r="CF407" s="167">
        <v>0</v>
      </c>
      <c r="CG407" s="167">
        <v>0</v>
      </c>
      <c r="CH407" s="167">
        <v>0</v>
      </c>
      <c r="CI407" s="167">
        <v>0</v>
      </c>
      <c r="CJ407" s="167">
        <v>0</v>
      </c>
      <c r="CK407" s="167">
        <v>0</v>
      </c>
      <c r="CL407" s="167">
        <v>0</v>
      </c>
      <c r="CM407" s="167">
        <v>0</v>
      </c>
      <c r="CN407" s="167">
        <v>0</v>
      </c>
      <c r="CO407" s="167">
        <v>0</v>
      </c>
      <c r="CP407" s="167">
        <v>0</v>
      </c>
      <c r="CQ407" s="167">
        <v>0</v>
      </c>
      <c r="CR407" s="167">
        <v>0</v>
      </c>
      <c r="CS407" s="167">
        <v>0</v>
      </c>
      <c r="CT407" s="167">
        <v>0</v>
      </c>
      <c r="CU407" s="167">
        <v>0</v>
      </c>
      <c r="CV407" s="167">
        <v>0</v>
      </c>
      <c r="CW407" s="167">
        <v>0</v>
      </c>
      <c r="CX407" s="167">
        <f>SUM(CD407:CH407)</f>
        <v>2</v>
      </c>
      <c r="CY407" s="167">
        <f>SUM(CD407:CM407)</f>
        <v>2</v>
      </c>
    </row>
    <row r="408" spans="1:103" ht="12.75" customHeight="1" x14ac:dyDescent="0.2">
      <c r="A408" s="81">
        <v>3603</v>
      </c>
      <c r="B408" s="165" t="s">
        <v>1908</v>
      </c>
      <c r="C408" s="165" t="s">
        <v>3477</v>
      </c>
      <c r="E408" s="165" t="s">
        <v>3478</v>
      </c>
      <c r="G408" s="81">
        <v>527109</v>
      </c>
      <c r="H408" s="81">
        <v>174953</v>
      </c>
      <c r="I408" s="165" t="s">
        <v>255</v>
      </c>
      <c r="J408" s="349">
        <v>42936</v>
      </c>
      <c r="L408" s="166">
        <v>0</v>
      </c>
      <c r="M408" s="166">
        <v>9</v>
      </c>
      <c r="N408" s="166">
        <v>9</v>
      </c>
      <c r="O408" s="166">
        <v>9</v>
      </c>
      <c r="P408" s="166">
        <v>9</v>
      </c>
      <c r="R408" s="165" t="s">
        <v>3479</v>
      </c>
      <c r="S408" s="81" t="s">
        <v>110</v>
      </c>
      <c r="T408" s="349">
        <v>42863</v>
      </c>
      <c r="U408" s="349">
        <v>42919</v>
      </c>
      <c r="V408" s="81" t="s">
        <v>155</v>
      </c>
      <c r="W408" s="81" t="s">
        <v>114</v>
      </c>
      <c r="Y408" s="81" t="s">
        <v>115</v>
      </c>
      <c r="Z408" s="81" t="s">
        <v>310</v>
      </c>
      <c r="AA408" s="81" t="s">
        <v>117</v>
      </c>
      <c r="AB408" s="81" t="s">
        <v>399</v>
      </c>
      <c r="AC408" s="166">
        <v>1.4000000432133701E-2</v>
      </c>
      <c r="AD408" s="349">
        <v>42936</v>
      </c>
      <c r="AE408" s="81" t="s">
        <v>155</v>
      </c>
      <c r="AG408" s="81" t="s">
        <v>238</v>
      </c>
      <c r="AH408" s="81" t="s">
        <v>118</v>
      </c>
      <c r="AK408" s="166">
        <v>0</v>
      </c>
      <c r="AM408" s="166">
        <v>0</v>
      </c>
      <c r="AO408" s="166">
        <v>9</v>
      </c>
      <c r="AP408" s="166">
        <v>0</v>
      </c>
      <c r="AQ408" s="166">
        <v>0</v>
      </c>
      <c r="AR408" s="166">
        <v>0</v>
      </c>
      <c r="AS408" s="166">
        <v>0</v>
      </c>
      <c r="AT408" s="166">
        <v>0</v>
      </c>
      <c r="AU408" s="166">
        <v>0</v>
      </c>
      <c r="AV408" s="166">
        <v>9</v>
      </c>
      <c r="AW408" s="166">
        <v>0</v>
      </c>
      <c r="AX408" s="166">
        <v>0</v>
      </c>
      <c r="AY408" s="166">
        <v>0</v>
      </c>
      <c r="AZ408" s="166">
        <v>0</v>
      </c>
      <c r="BA408" s="166">
        <v>0</v>
      </c>
      <c r="BB408" s="166">
        <v>0</v>
      </c>
      <c r="BC408" s="166">
        <v>0</v>
      </c>
      <c r="BD408" s="166">
        <v>0</v>
      </c>
      <c r="BE408" s="166">
        <v>0</v>
      </c>
      <c r="BF408" s="166">
        <v>0</v>
      </c>
      <c r="BG408" s="166">
        <v>0</v>
      </c>
      <c r="BH408" s="166">
        <v>0</v>
      </c>
      <c r="BI408" s="166">
        <v>0</v>
      </c>
      <c r="BJ408" s="166">
        <v>0</v>
      </c>
      <c r="BK408" s="166">
        <v>0</v>
      </c>
      <c r="BL408" s="166">
        <v>0</v>
      </c>
      <c r="BM408" s="166">
        <v>0</v>
      </c>
      <c r="BN408" s="166">
        <v>0</v>
      </c>
      <c r="BO408" s="166">
        <v>0</v>
      </c>
      <c r="BP408" s="166">
        <v>0</v>
      </c>
      <c r="BQ408" s="81" t="s">
        <v>1757</v>
      </c>
      <c r="BZ408" s="81" t="s">
        <v>155</v>
      </c>
      <c r="CA408" s="81" t="s">
        <v>3980</v>
      </c>
      <c r="CC408" s="167">
        <v>0</v>
      </c>
      <c r="CD408" s="167">
        <f>N408</f>
        <v>9</v>
      </c>
      <c r="CE408" s="167">
        <v>0</v>
      </c>
      <c r="CF408" s="167">
        <v>0</v>
      </c>
      <c r="CG408" s="167">
        <v>0</v>
      </c>
      <c r="CH408" s="167">
        <v>0</v>
      </c>
      <c r="CI408" s="167">
        <v>0</v>
      </c>
      <c r="CJ408" s="167">
        <v>0</v>
      </c>
      <c r="CK408" s="167">
        <v>0</v>
      </c>
      <c r="CL408" s="167">
        <v>0</v>
      </c>
      <c r="CM408" s="167">
        <v>0</v>
      </c>
      <c r="CN408" s="167">
        <v>0</v>
      </c>
      <c r="CO408" s="167">
        <v>0</v>
      </c>
      <c r="CP408" s="167">
        <v>0</v>
      </c>
      <c r="CQ408" s="167">
        <v>0</v>
      </c>
      <c r="CR408" s="167">
        <v>0</v>
      </c>
      <c r="CS408" s="167">
        <v>0</v>
      </c>
      <c r="CT408" s="167">
        <v>0</v>
      </c>
      <c r="CU408" s="167">
        <v>0</v>
      </c>
      <c r="CV408" s="167">
        <v>0</v>
      </c>
      <c r="CW408" s="167">
        <v>0</v>
      </c>
      <c r="CX408" s="167">
        <f>SUM(CD408:CH408)</f>
        <v>9</v>
      </c>
      <c r="CY408" s="167">
        <f>SUM(CD408:CM408)</f>
        <v>9</v>
      </c>
    </row>
    <row r="409" spans="1:103" ht="12.75" customHeight="1" x14ac:dyDescent="0.2">
      <c r="A409" s="81">
        <v>3603</v>
      </c>
      <c r="B409" s="165" t="s">
        <v>1908</v>
      </c>
      <c r="C409" s="165" t="s">
        <v>3480</v>
      </c>
      <c r="E409" s="165" t="s">
        <v>3478</v>
      </c>
      <c r="G409" s="81">
        <v>527109</v>
      </c>
      <c r="H409" s="81">
        <v>174953</v>
      </c>
      <c r="I409" s="165" t="s">
        <v>255</v>
      </c>
      <c r="J409" s="349">
        <v>42948</v>
      </c>
      <c r="L409" s="166">
        <v>0</v>
      </c>
      <c r="M409" s="166">
        <v>1</v>
      </c>
      <c r="N409" s="166">
        <v>1</v>
      </c>
      <c r="O409" s="166">
        <v>1</v>
      </c>
      <c r="P409" s="166">
        <v>1</v>
      </c>
      <c r="R409" s="165" t="s">
        <v>3481</v>
      </c>
      <c r="S409" s="81" t="s">
        <v>113</v>
      </c>
      <c r="T409" s="349">
        <v>42937</v>
      </c>
      <c r="U409" s="349">
        <v>42993</v>
      </c>
      <c r="V409" s="81" t="s">
        <v>155</v>
      </c>
      <c r="W409" s="81" t="s">
        <v>114</v>
      </c>
      <c r="Y409" s="81" t="s">
        <v>115</v>
      </c>
      <c r="Z409" s="81" t="s">
        <v>219</v>
      </c>
      <c r="AA409" s="81" t="s">
        <v>117</v>
      </c>
      <c r="AB409" s="81" t="s">
        <v>3889</v>
      </c>
      <c r="AC409" s="166">
        <v>4.0000001899898104E-3</v>
      </c>
      <c r="AD409" s="349">
        <v>42948</v>
      </c>
      <c r="AE409" s="81" t="s">
        <v>155</v>
      </c>
      <c r="AG409" s="81" t="s">
        <v>238</v>
      </c>
      <c r="AH409" s="81" t="s">
        <v>118</v>
      </c>
      <c r="AK409" s="166">
        <v>0</v>
      </c>
      <c r="AM409" s="166">
        <v>0</v>
      </c>
      <c r="AO409" s="166">
        <v>0</v>
      </c>
      <c r="AP409" s="166">
        <v>1</v>
      </c>
      <c r="AQ409" s="166">
        <v>0</v>
      </c>
      <c r="AR409" s="166">
        <v>0</v>
      </c>
      <c r="AS409" s="166">
        <v>0</v>
      </c>
      <c r="AT409" s="166">
        <v>0</v>
      </c>
      <c r="AU409" s="166">
        <v>0</v>
      </c>
      <c r="AV409" s="166">
        <v>0</v>
      </c>
      <c r="AW409" s="166">
        <v>1</v>
      </c>
      <c r="AX409" s="166">
        <v>0</v>
      </c>
      <c r="AY409" s="166">
        <v>0</v>
      </c>
      <c r="AZ409" s="166">
        <v>0</v>
      </c>
      <c r="BA409" s="166">
        <v>0</v>
      </c>
      <c r="BB409" s="166">
        <v>0</v>
      </c>
      <c r="BC409" s="166">
        <v>0</v>
      </c>
      <c r="BD409" s="166">
        <v>0</v>
      </c>
      <c r="BE409" s="166">
        <v>0</v>
      </c>
      <c r="BF409" s="166">
        <v>0</v>
      </c>
      <c r="BG409" s="166">
        <v>0</v>
      </c>
      <c r="BH409" s="166">
        <v>0</v>
      </c>
      <c r="BI409" s="166">
        <v>0</v>
      </c>
      <c r="BJ409" s="166">
        <v>0</v>
      </c>
      <c r="BK409" s="166">
        <v>0</v>
      </c>
      <c r="BL409" s="166">
        <v>0</v>
      </c>
      <c r="BM409" s="166">
        <v>0</v>
      </c>
      <c r="BN409" s="166">
        <v>0</v>
      </c>
      <c r="BO409" s="166">
        <v>0</v>
      </c>
      <c r="BP409" s="166">
        <v>0</v>
      </c>
      <c r="BQ409" s="81" t="s">
        <v>1757</v>
      </c>
      <c r="BZ409" s="81" t="s">
        <v>155</v>
      </c>
      <c r="CA409" s="81" t="s">
        <v>3980</v>
      </c>
      <c r="CC409" s="167">
        <v>0</v>
      </c>
      <c r="CD409" s="167">
        <f>N409</f>
        <v>1</v>
      </c>
      <c r="CE409" s="167">
        <v>0</v>
      </c>
      <c r="CF409" s="167">
        <v>0</v>
      </c>
      <c r="CG409" s="167">
        <v>0</v>
      </c>
      <c r="CH409" s="167">
        <v>0</v>
      </c>
      <c r="CI409" s="167">
        <v>0</v>
      </c>
      <c r="CJ409" s="167">
        <v>0</v>
      </c>
      <c r="CK409" s="167">
        <v>0</v>
      </c>
      <c r="CL409" s="167">
        <v>0</v>
      </c>
      <c r="CM409" s="167">
        <v>0</v>
      </c>
      <c r="CN409" s="167">
        <v>0</v>
      </c>
      <c r="CO409" s="167">
        <v>0</v>
      </c>
      <c r="CP409" s="167">
        <v>0</v>
      </c>
      <c r="CQ409" s="167">
        <v>0</v>
      </c>
      <c r="CR409" s="167">
        <v>0</v>
      </c>
      <c r="CS409" s="167">
        <v>0</v>
      </c>
      <c r="CT409" s="167">
        <v>0</v>
      </c>
      <c r="CU409" s="167">
        <v>0</v>
      </c>
      <c r="CV409" s="167">
        <v>0</v>
      </c>
      <c r="CW409" s="167">
        <v>0</v>
      </c>
      <c r="CX409" s="167">
        <f>SUM(CD409:CH409)</f>
        <v>1</v>
      </c>
      <c r="CY409" s="167">
        <f>SUM(CD409:CM409)</f>
        <v>1</v>
      </c>
    </row>
    <row r="410" spans="1:103" ht="12.75" customHeight="1" x14ac:dyDescent="0.2">
      <c r="A410" s="81">
        <v>3745</v>
      </c>
      <c r="B410" s="165" t="s">
        <v>1908</v>
      </c>
      <c r="C410" s="165" t="s">
        <v>800</v>
      </c>
      <c r="D410" s="165" t="s">
        <v>439</v>
      </c>
      <c r="E410" s="165" t="s">
        <v>3003</v>
      </c>
      <c r="G410" s="81">
        <v>529291</v>
      </c>
      <c r="H410" s="81">
        <v>171210</v>
      </c>
      <c r="I410" s="165" t="s">
        <v>252</v>
      </c>
      <c r="J410" s="349">
        <v>42826</v>
      </c>
      <c r="L410" s="166">
        <v>0</v>
      </c>
      <c r="M410" s="166">
        <v>6</v>
      </c>
      <c r="N410" s="166">
        <v>6</v>
      </c>
      <c r="O410" s="166">
        <v>6</v>
      </c>
      <c r="P410" s="166">
        <v>6</v>
      </c>
      <c r="R410" s="165" t="s">
        <v>801</v>
      </c>
      <c r="S410" s="81" t="s">
        <v>113</v>
      </c>
      <c r="T410" s="349">
        <v>42361</v>
      </c>
      <c r="U410" s="349">
        <v>42517</v>
      </c>
      <c r="W410" s="81" t="s">
        <v>114</v>
      </c>
      <c r="Y410" s="81" t="s">
        <v>115</v>
      </c>
      <c r="Z410" s="81" t="s">
        <v>116</v>
      </c>
      <c r="AA410" s="81" t="s">
        <v>117</v>
      </c>
      <c r="AB410" s="81" t="s">
        <v>218</v>
      </c>
      <c r="AC410" s="166">
        <v>0.19799999892711601</v>
      </c>
      <c r="AD410" s="349">
        <v>42826</v>
      </c>
      <c r="AE410" s="81" t="s">
        <v>155</v>
      </c>
      <c r="AG410" s="81" t="s">
        <v>238</v>
      </c>
      <c r="AH410" s="81" t="s">
        <v>118</v>
      </c>
      <c r="AK410" s="166">
        <v>6</v>
      </c>
      <c r="AM410" s="166">
        <v>0</v>
      </c>
      <c r="AO410" s="166">
        <v>0</v>
      </c>
      <c r="AP410" s="166">
        <v>0</v>
      </c>
      <c r="AQ410" s="166">
        <v>0</v>
      </c>
      <c r="AR410" s="166">
        <v>6</v>
      </c>
      <c r="AS410" s="166">
        <v>0</v>
      </c>
      <c r="AT410" s="166">
        <v>0</v>
      </c>
      <c r="AU410" s="166">
        <v>0</v>
      </c>
      <c r="AV410" s="166">
        <v>0</v>
      </c>
      <c r="AW410" s="166">
        <v>0</v>
      </c>
      <c r="AX410" s="166">
        <v>0</v>
      </c>
      <c r="AY410" s="166">
        <v>0</v>
      </c>
      <c r="AZ410" s="166">
        <v>0</v>
      </c>
      <c r="BA410" s="166">
        <v>0</v>
      </c>
      <c r="BB410" s="166">
        <v>0</v>
      </c>
      <c r="BC410" s="166">
        <v>0</v>
      </c>
      <c r="BD410" s="166">
        <v>0</v>
      </c>
      <c r="BE410" s="166">
        <v>0</v>
      </c>
      <c r="BF410" s="166">
        <v>6</v>
      </c>
      <c r="BG410" s="166">
        <v>0</v>
      </c>
      <c r="BH410" s="166">
        <v>0</v>
      </c>
      <c r="BI410" s="166">
        <v>0</v>
      </c>
      <c r="BJ410" s="166">
        <v>0</v>
      </c>
      <c r="BK410" s="166">
        <v>0</v>
      </c>
      <c r="BL410" s="166">
        <v>0</v>
      </c>
      <c r="BM410" s="166">
        <v>0</v>
      </c>
      <c r="BN410" s="166">
        <v>0</v>
      </c>
      <c r="BO410" s="166">
        <v>0</v>
      </c>
      <c r="BP410" s="166">
        <v>0</v>
      </c>
      <c r="BQ410" s="81" t="s">
        <v>1757</v>
      </c>
      <c r="BZ410" s="81" t="s">
        <v>155</v>
      </c>
      <c r="CA410" s="81" t="s">
        <v>3976</v>
      </c>
      <c r="CC410" s="167">
        <v>0</v>
      </c>
      <c r="CD410" s="167">
        <f>N410</f>
        <v>6</v>
      </c>
      <c r="CE410" s="167">
        <v>0</v>
      </c>
      <c r="CF410" s="167">
        <v>0</v>
      </c>
      <c r="CG410" s="167">
        <v>0</v>
      </c>
      <c r="CH410" s="167">
        <v>0</v>
      </c>
      <c r="CI410" s="167">
        <v>0</v>
      </c>
      <c r="CJ410" s="167">
        <v>0</v>
      </c>
      <c r="CK410" s="167">
        <v>0</v>
      </c>
      <c r="CL410" s="167">
        <v>0</v>
      </c>
      <c r="CM410" s="167">
        <v>0</v>
      </c>
      <c r="CN410" s="167">
        <v>0</v>
      </c>
      <c r="CO410" s="167">
        <v>0</v>
      </c>
      <c r="CP410" s="167">
        <v>0</v>
      </c>
      <c r="CQ410" s="167">
        <v>0</v>
      </c>
      <c r="CR410" s="167">
        <v>0</v>
      </c>
      <c r="CS410" s="167">
        <v>0</v>
      </c>
      <c r="CT410" s="167">
        <v>0</v>
      </c>
      <c r="CU410" s="167">
        <v>0</v>
      </c>
      <c r="CV410" s="167">
        <v>0</v>
      </c>
      <c r="CW410" s="167">
        <v>0</v>
      </c>
      <c r="CX410" s="167">
        <f>SUM(CD410:CH410)</f>
        <v>6</v>
      </c>
      <c r="CY410" s="167">
        <f>SUM(CD410:CM410)</f>
        <v>6</v>
      </c>
    </row>
    <row r="411" spans="1:103" ht="12.75" customHeight="1" x14ac:dyDescent="0.2">
      <c r="A411" s="81">
        <v>3805</v>
      </c>
      <c r="B411" s="165" t="s">
        <v>1908</v>
      </c>
      <c r="C411" s="165" t="s">
        <v>402</v>
      </c>
      <c r="E411" s="165" t="s">
        <v>3011</v>
      </c>
      <c r="G411" s="81">
        <v>526104</v>
      </c>
      <c r="H411" s="81">
        <v>174968</v>
      </c>
      <c r="I411" s="165" t="s">
        <v>251</v>
      </c>
      <c r="J411" s="349">
        <v>40908</v>
      </c>
      <c r="L411" s="166">
        <v>2</v>
      </c>
      <c r="M411" s="166">
        <v>4</v>
      </c>
      <c r="N411" s="166">
        <v>2</v>
      </c>
      <c r="O411" s="166">
        <v>4</v>
      </c>
      <c r="P411" s="166">
        <v>2</v>
      </c>
      <c r="R411" s="165" t="s">
        <v>403</v>
      </c>
      <c r="S411" s="81" t="s">
        <v>113</v>
      </c>
      <c r="T411" s="349">
        <v>40786</v>
      </c>
      <c r="U411" s="349">
        <v>40865</v>
      </c>
      <c r="W411" s="81" t="s">
        <v>114</v>
      </c>
      <c r="Y411" s="81" t="s">
        <v>115</v>
      </c>
      <c r="Z411" s="81" t="s">
        <v>116</v>
      </c>
      <c r="AA411" s="81" t="s">
        <v>117</v>
      </c>
      <c r="AB411" s="81" t="s">
        <v>218</v>
      </c>
      <c r="AC411" s="166">
        <v>5.4999999701976797E-2</v>
      </c>
      <c r="AD411" s="349">
        <v>40908</v>
      </c>
      <c r="AG411" s="81" t="s">
        <v>238</v>
      </c>
      <c r="AH411" s="81" t="s">
        <v>118</v>
      </c>
      <c r="AK411" s="166">
        <v>4</v>
      </c>
      <c r="AM411" s="166">
        <v>4</v>
      </c>
      <c r="AO411" s="166">
        <v>0</v>
      </c>
      <c r="AP411" s="166">
        <v>0</v>
      </c>
      <c r="AQ411" s="166">
        <v>0</v>
      </c>
      <c r="AR411" s="166">
        <v>2</v>
      </c>
      <c r="AS411" s="166">
        <v>0</v>
      </c>
      <c r="AT411" s="166">
        <v>0</v>
      </c>
      <c r="AU411" s="166">
        <v>0</v>
      </c>
      <c r="AV411" s="166">
        <v>0</v>
      </c>
      <c r="AW411" s="166">
        <v>0</v>
      </c>
      <c r="AX411" s="166">
        <v>0</v>
      </c>
      <c r="AY411" s="166">
        <v>0</v>
      </c>
      <c r="AZ411" s="166">
        <v>0</v>
      </c>
      <c r="BA411" s="166">
        <v>0</v>
      </c>
      <c r="BB411" s="166">
        <v>0</v>
      </c>
      <c r="BC411" s="166">
        <v>0</v>
      </c>
      <c r="BD411" s="166">
        <v>0</v>
      </c>
      <c r="BE411" s="166">
        <v>0</v>
      </c>
      <c r="BF411" s="166">
        <v>2</v>
      </c>
      <c r="BG411" s="166">
        <v>0</v>
      </c>
      <c r="BH411" s="166">
        <v>0</v>
      </c>
      <c r="BI411" s="166">
        <v>0</v>
      </c>
      <c r="BJ411" s="166">
        <v>0</v>
      </c>
      <c r="BK411" s="166">
        <v>0</v>
      </c>
      <c r="BL411" s="166">
        <v>0</v>
      </c>
      <c r="BM411" s="166">
        <v>0</v>
      </c>
      <c r="BN411" s="166">
        <v>0</v>
      </c>
      <c r="BO411" s="166">
        <v>0</v>
      </c>
      <c r="BP411" s="166">
        <v>0</v>
      </c>
      <c r="BQ411" s="81" t="s">
        <v>1758</v>
      </c>
      <c r="BZ411" s="81" t="s">
        <v>155</v>
      </c>
      <c r="CA411" s="81" t="s">
        <v>3976</v>
      </c>
      <c r="CC411" s="167">
        <v>0</v>
      </c>
      <c r="CD411" s="167">
        <f>N411</f>
        <v>2</v>
      </c>
      <c r="CE411" s="167">
        <v>0</v>
      </c>
      <c r="CF411" s="167">
        <v>0</v>
      </c>
      <c r="CG411" s="167">
        <v>0</v>
      </c>
      <c r="CH411" s="167">
        <v>0</v>
      </c>
      <c r="CI411" s="167">
        <v>0</v>
      </c>
      <c r="CJ411" s="167">
        <v>0</v>
      </c>
      <c r="CK411" s="167">
        <v>0</v>
      </c>
      <c r="CL411" s="167">
        <v>0</v>
      </c>
      <c r="CM411" s="167">
        <v>0</v>
      </c>
      <c r="CN411" s="167">
        <v>0</v>
      </c>
      <c r="CO411" s="167">
        <v>0</v>
      </c>
      <c r="CP411" s="167">
        <v>0</v>
      </c>
      <c r="CQ411" s="167">
        <v>0</v>
      </c>
      <c r="CR411" s="167">
        <v>0</v>
      </c>
      <c r="CS411" s="167">
        <v>0</v>
      </c>
      <c r="CT411" s="167">
        <v>0</v>
      </c>
      <c r="CU411" s="167">
        <v>0</v>
      </c>
      <c r="CV411" s="167">
        <v>0</v>
      </c>
      <c r="CW411" s="167">
        <v>0</v>
      </c>
      <c r="CX411" s="167">
        <f>SUM(CD411:CH411)</f>
        <v>2</v>
      </c>
      <c r="CY411" s="167">
        <f>SUM(CD411:CM411)</f>
        <v>2</v>
      </c>
    </row>
    <row r="412" spans="1:103" ht="12.75" customHeight="1" x14ac:dyDescent="0.2">
      <c r="A412" s="81">
        <v>3943</v>
      </c>
      <c r="B412" s="165" t="s">
        <v>1908</v>
      </c>
      <c r="C412" s="165" t="s">
        <v>1246</v>
      </c>
      <c r="D412" s="165" t="s">
        <v>129</v>
      </c>
      <c r="E412" s="165" t="s">
        <v>3012</v>
      </c>
      <c r="F412" s="165" t="s">
        <v>3013</v>
      </c>
      <c r="G412" s="81">
        <v>529575</v>
      </c>
      <c r="H412" s="81">
        <v>177401</v>
      </c>
      <c r="I412" s="165" t="s">
        <v>240</v>
      </c>
      <c r="J412" s="349">
        <v>41456</v>
      </c>
      <c r="L412" s="166">
        <v>0</v>
      </c>
      <c r="M412" s="166">
        <v>101</v>
      </c>
      <c r="N412" s="166">
        <v>101</v>
      </c>
      <c r="O412" s="166">
        <v>1950</v>
      </c>
      <c r="P412" s="166">
        <v>1950</v>
      </c>
      <c r="Q412" s="81" t="s">
        <v>155</v>
      </c>
      <c r="R412" s="165" t="s">
        <v>1247</v>
      </c>
      <c r="S412" s="81" t="s">
        <v>509</v>
      </c>
      <c r="T412" s="349">
        <v>42481</v>
      </c>
      <c r="U412" s="349">
        <v>42758</v>
      </c>
      <c r="W412" s="81" t="s">
        <v>114</v>
      </c>
      <c r="Y412" s="81" t="s">
        <v>115</v>
      </c>
      <c r="Z412" s="81" t="s">
        <v>116</v>
      </c>
      <c r="AA412" s="81" t="s">
        <v>116</v>
      </c>
      <c r="AB412" s="81" t="s">
        <v>117</v>
      </c>
      <c r="AC412" s="166">
        <v>1.7000000923872001E-2</v>
      </c>
      <c r="AG412" s="81" t="s">
        <v>238</v>
      </c>
      <c r="AH412" s="81" t="s">
        <v>118</v>
      </c>
      <c r="AI412" s="81" t="s">
        <v>3014</v>
      </c>
      <c r="AK412" s="166">
        <v>13</v>
      </c>
      <c r="AL412" s="166">
        <v>91</v>
      </c>
      <c r="AM412" s="166">
        <v>1</v>
      </c>
      <c r="AN412" s="166">
        <v>10</v>
      </c>
      <c r="AO412" s="166">
        <v>6</v>
      </c>
      <c r="AP412" s="166">
        <v>28</v>
      </c>
      <c r="AQ412" s="166">
        <v>44</v>
      </c>
      <c r="AR412" s="166">
        <v>19</v>
      </c>
      <c r="AS412" s="166">
        <v>4</v>
      </c>
      <c r="AT412" s="166">
        <v>0</v>
      </c>
      <c r="AU412" s="166">
        <v>0</v>
      </c>
      <c r="AV412" s="166">
        <v>6</v>
      </c>
      <c r="AW412" s="166">
        <v>28</v>
      </c>
      <c r="AX412" s="166">
        <v>44</v>
      </c>
      <c r="AY412" s="166">
        <v>19</v>
      </c>
      <c r="AZ412" s="166">
        <v>4</v>
      </c>
      <c r="BA412" s="166">
        <v>0</v>
      </c>
      <c r="BB412" s="166">
        <v>0</v>
      </c>
      <c r="BC412" s="166">
        <v>0</v>
      </c>
      <c r="BD412" s="166">
        <v>0</v>
      </c>
      <c r="BE412" s="166">
        <v>0</v>
      </c>
      <c r="BF412" s="166">
        <v>0</v>
      </c>
      <c r="BG412" s="166">
        <v>0</v>
      </c>
      <c r="BH412" s="166">
        <v>0</v>
      </c>
      <c r="BI412" s="166">
        <v>0</v>
      </c>
      <c r="BJ412" s="166">
        <v>0</v>
      </c>
      <c r="BK412" s="166">
        <v>0</v>
      </c>
      <c r="BL412" s="166">
        <v>0</v>
      </c>
      <c r="BM412" s="166">
        <v>0</v>
      </c>
      <c r="BN412" s="166">
        <v>0</v>
      </c>
      <c r="BO412" s="166">
        <v>0</v>
      </c>
      <c r="BP412" s="166">
        <v>0</v>
      </c>
      <c r="BQ412" s="81" t="s">
        <v>1759</v>
      </c>
      <c r="BS412" s="81" t="s">
        <v>155</v>
      </c>
      <c r="BZ412" s="81" t="s">
        <v>155</v>
      </c>
      <c r="CA412" s="81">
        <v>12</v>
      </c>
      <c r="CC412" s="167">
        <v>0</v>
      </c>
      <c r="CD412" s="167">
        <v>0</v>
      </c>
      <c r="CE412" s="167">
        <v>0</v>
      </c>
      <c r="CF412" s="167">
        <v>0</v>
      </c>
      <c r="CG412" s="167">
        <v>0</v>
      </c>
      <c r="CH412" s="167">
        <v>0</v>
      </c>
      <c r="CI412" s="167">
        <v>0</v>
      </c>
      <c r="CJ412" s="167">
        <v>0</v>
      </c>
      <c r="CK412" s="167">
        <v>0</v>
      </c>
      <c r="CL412" s="167">
        <v>0</v>
      </c>
      <c r="CM412" s="167">
        <v>0</v>
      </c>
      <c r="CN412" s="167">
        <v>101</v>
      </c>
      <c r="CO412" s="167">
        <v>0</v>
      </c>
      <c r="CP412" s="167">
        <v>0</v>
      </c>
      <c r="CQ412" s="167">
        <v>0</v>
      </c>
      <c r="CR412" s="167">
        <v>0</v>
      </c>
      <c r="CS412" s="167">
        <v>0</v>
      </c>
      <c r="CT412" s="167">
        <v>0</v>
      </c>
      <c r="CU412" s="167">
        <v>0</v>
      </c>
      <c r="CV412" s="167">
        <v>0</v>
      </c>
      <c r="CW412" s="167">
        <v>0</v>
      </c>
      <c r="CX412" s="167">
        <f>SUM(CD412:CH412)</f>
        <v>0</v>
      </c>
      <c r="CY412" s="167">
        <f>SUM(CD412:CM412)</f>
        <v>0</v>
      </c>
    </row>
    <row r="413" spans="1:103" ht="12.75" customHeight="1" x14ac:dyDescent="0.2">
      <c r="A413" s="81">
        <v>3943</v>
      </c>
      <c r="B413" s="165" t="s">
        <v>1908</v>
      </c>
      <c r="C413" s="165" t="s">
        <v>1246</v>
      </c>
      <c r="D413" s="165" t="s">
        <v>129</v>
      </c>
      <c r="E413" s="165" t="s">
        <v>3012</v>
      </c>
      <c r="F413" s="165" t="s">
        <v>3013</v>
      </c>
      <c r="G413" s="81">
        <v>529575</v>
      </c>
      <c r="H413" s="81">
        <v>177401</v>
      </c>
      <c r="I413" s="165" t="s">
        <v>240</v>
      </c>
      <c r="J413" s="349">
        <v>41456</v>
      </c>
      <c r="L413" s="166">
        <v>0</v>
      </c>
      <c r="M413" s="166">
        <v>10</v>
      </c>
      <c r="N413" s="166">
        <v>10</v>
      </c>
      <c r="O413" s="166">
        <v>1950</v>
      </c>
      <c r="P413" s="166">
        <v>1950</v>
      </c>
      <c r="Q413" s="81" t="s">
        <v>155</v>
      </c>
      <c r="R413" s="165" t="s">
        <v>1247</v>
      </c>
      <c r="S413" s="81" t="s">
        <v>509</v>
      </c>
      <c r="T413" s="349">
        <v>42481</v>
      </c>
      <c r="U413" s="349">
        <v>42758</v>
      </c>
      <c r="W413" s="81" t="s">
        <v>114</v>
      </c>
      <c r="Y413" s="81" t="s">
        <v>115</v>
      </c>
      <c r="Z413" s="81" t="s">
        <v>116</v>
      </c>
      <c r="AA413" s="81" t="s">
        <v>116</v>
      </c>
      <c r="AB413" s="81" t="s">
        <v>117</v>
      </c>
      <c r="AC413" s="166">
        <v>5.6000001728534698E-2</v>
      </c>
      <c r="AG413" s="81" t="s">
        <v>154</v>
      </c>
      <c r="AH413" s="81" t="s">
        <v>276</v>
      </c>
      <c r="AI413" s="81" t="s">
        <v>3014</v>
      </c>
      <c r="AK413" s="166">
        <v>41</v>
      </c>
      <c r="AL413" s="166">
        <v>9</v>
      </c>
      <c r="AM413" s="166">
        <v>5</v>
      </c>
      <c r="AN413" s="166">
        <v>1</v>
      </c>
      <c r="AO413" s="166">
        <v>0</v>
      </c>
      <c r="AP413" s="166">
        <v>3</v>
      </c>
      <c r="AQ413" s="166">
        <v>4</v>
      </c>
      <c r="AR413" s="166">
        <v>2</v>
      </c>
      <c r="AS413" s="166">
        <v>1</v>
      </c>
      <c r="AT413" s="166">
        <v>0</v>
      </c>
      <c r="AU413" s="166">
        <v>0</v>
      </c>
      <c r="AV413" s="166">
        <v>0</v>
      </c>
      <c r="AW413" s="166">
        <v>3</v>
      </c>
      <c r="AX413" s="166">
        <v>4</v>
      </c>
      <c r="AY413" s="166">
        <v>2</v>
      </c>
      <c r="AZ413" s="166">
        <v>1</v>
      </c>
      <c r="BA413" s="166">
        <v>0</v>
      </c>
      <c r="BB413" s="166">
        <v>0</v>
      </c>
      <c r="BC413" s="166">
        <v>0</v>
      </c>
      <c r="BD413" s="166">
        <v>0</v>
      </c>
      <c r="BE413" s="166">
        <v>0</v>
      </c>
      <c r="BF413" s="166">
        <v>0</v>
      </c>
      <c r="BG413" s="166">
        <v>0</v>
      </c>
      <c r="BH413" s="166">
        <v>0</v>
      </c>
      <c r="BI413" s="166">
        <v>0</v>
      </c>
      <c r="BJ413" s="166">
        <v>0</v>
      </c>
      <c r="BK413" s="166">
        <v>0</v>
      </c>
      <c r="BL413" s="166">
        <v>0</v>
      </c>
      <c r="BM413" s="166">
        <v>0</v>
      </c>
      <c r="BN413" s="166">
        <v>0</v>
      </c>
      <c r="BO413" s="166">
        <v>0</v>
      </c>
      <c r="BP413" s="166">
        <v>0</v>
      </c>
      <c r="BQ413" s="81" t="s">
        <v>1759</v>
      </c>
      <c r="BS413" s="81" t="s">
        <v>155</v>
      </c>
      <c r="BZ413" s="81" t="s">
        <v>155</v>
      </c>
      <c r="CA413" s="81">
        <v>12</v>
      </c>
      <c r="CC413" s="167">
        <v>0</v>
      </c>
      <c r="CD413" s="167">
        <v>0</v>
      </c>
      <c r="CE413" s="167">
        <v>0</v>
      </c>
      <c r="CF413" s="167">
        <v>0</v>
      </c>
      <c r="CG413" s="167">
        <v>0</v>
      </c>
      <c r="CH413" s="167">
        <v>0</v>
      </c>
      <c r="CI413" s="167">
        <v>0</v>
      </c>
      <c r="CJ413" s="167">
        <v>0</v>
      </c>
      <c r="CK413" s="167">
        <v>0</v>
      </c>
      <c r="CL413" s="167">
        <v>0</v>
      </c>
      <c r="CM413" s="167">
        <v>0</v>
      </c>
      <c r="CN413" s="167">
        <v>10</v>
      </c>
      <c r="CO413" s="167">
        <v>0</v>
      </c>
      <c r="CP413" s="167">
        <v>0</v>
      </c>
      <c r="CQ413" s="167">
        <v>0</v>
      </c>
      <c r="CR413" s="167">
        <v>0</v>
      </c>
      <c r="CS413" s="167">
        <v>0</v>
      </c>
      <c r="CT413" s="167">
        <v>0</v>
      </c>
      <c r="CU413" s="167">
        <v>0</v>
      </c>
      <c r="CV413" s="167">
        <v>0</v>
      </c>
      <c r="CW413" s="167">
        <v>0</v>
      </c>
      <c r="CX413" s="167">
        <f>SUM(CD413:CH413)</f>
        <v>0</v>
      </c>
      <c r="CY413" s="167">
        <f>SUM(CD413:CM413)</f>
        <v>0</v>
      </c>
    </row>
    <row r="414" spans="1:103" ht="12.75" customHeight="1" x14ac:dyDescent="0.2">
      <c r="A414" s="81">
        <v>3943</v>
      </c>
      <c r="B414" s="165" t="s">
        <v>1908</v>
      </c>
      <c r="C414" s="165" t="s">
        <v>1246</v>
      </c>
      <c r="D414" s="165" t="s">
        <v>129</v>
      </c>
      <c r="E414" s="165" t="s">
        <v>3012</v>
      </c>
      <c r="F414" s="165" t="s">
        <v>3013</v>
      </c>
      <c r="G414" s="81">
        <v>529575</v>
      </c>
      <c r="H414" s="81">
        <v>177401</v>
      </c>
      <c r="I414" s="165" t="s">
        <v>240</v>
      </c>
      <c r="J414" s="349">
        <v>41456</v>
      </c>
      <c r="L414" s="166">
        <v>0</v>
      </c>
      <c r="M414" s="166">
        <v>8</v>
      </c>
      <c r="N414" s="166">
        <v>8</v>
      </c>
      <c r="O414" s="166">
        <v>1950</v>
      </c>
      <c r="P414" s="166">
        <v>1950</v>
      </c>
      <c r="Q414" s="81" t="s">
        <v>155</v>
      </c>
      <c r="R414" s="165" t="s">
        <v>1247</v>
      </c>
      <c r="S414" s="81" t="s">
        <v>509</v>
      </c>
      <c r="T414" s="349">
        <v>42481</v>
      </c>
      <c r="U414" s="349">
        <v>42758</v>
      </c>
      <c r="W414" s="81" t="s">
        <v>114</v>
      </c>
      <c r="Y414" s="81" t="s">
        <v>115</v>
      </c>
      <c r="Z414" s="81" t="s">
        <v>116</v>
      </c>
      <c r="AA414" s="81" t="s">
        <v>116</v>
      </c>
      <c r="AB414" s="81" t="s">
        <v>117</v>
      </c>
      <c r="AC414" s="166">
        <v>2.60000005364418E-2</v>
      </c>
      <c r="AG414" s="81" t="s">
        <v>74</v>
      </c>
      <c r="AH414" s="81" t="s">
        <v>880</v>
      </c>
      <c r="AI414" s="81" t="s">
        <v>3014</v>
      </c>
      <c r="AK414" s="166">
        <v>19</v>
      </c>
      <c r="AL414" s="166">
        <v>7</v>
      </c>
      <c r="AM414" s="166">
        <v>2</v>
      </c>
      <c r="AN414" s="166">
        <v>1</v>
      </c>
      <c r="AO414" s="166">
        <v>0</v>
      </c>
      <c r="AP414" s="166">
        <v>3</v>
      </c>
      <c r="AQ414" s="166">
        <v>3</v>
      </c>
      <c r="AR414" s="166">
        <v>1</v>
      </c>
      <c r="AS414" s="166">
        <v>1</v>
      </c>
      <c r="AT414" s="166">
        <v>0</v>
      </c>
      <c r="AU414" s="166">
        <v>0</v>
      </c>
      <c r="AV414" s="166">
        <v>0</v>
      </c>
      <c r="AW414" s="166">
        <v>3</v>
      </c>
      <c r="AX414" s="166">
        <v>3</v>
      </c>
      <c r="AY414" s="166">
        <v>1</v>
      </c>
      <c r="AZ414" s="166">
        <v>1</v>
      </c>
      <c r="BA414" s="166">
        <v>0</v>
      </c>
      <c r="BB414" s="166">
        <v>0</v>
      </c>
      <c r="BC414" s="166">
        <v>0</v>
      </c>
      <c r="BD414" s="166">
        <v>0</v>
      </c>
      <c r="BE414" s="166">
        <v>0</v>
      </c>
      <c r="BF414" s="166">
        <v>0</v>
      </c>
      <c r="BG414" s="166">
        <v>0</v>
      </c>
      <c r="BH414" s="166">
        <v>0</v>
      </c>
      <c r="BI414" s="166">
        <v>0</v>
      </c>
      <c r="BJ414" s="166">
        <v>0</v>
      </c>
      <c r="BK414" s="166">
        <v>0</v>
      </c>
      <c r="BL414" s="166">
        <v>0</v>
      </c>
      <c r="BM414" s="166">
        <v>0</v>
      </c>
      <c r="BN414" s="166">
        <v>0</v>
      </c>
      <c r="BO414" s="166">
        <v>0</v>
      </c>
      <c r="BP414" s="166">
        <v>0</v>
      </c>
      <c r="BQ414" s="81" t="s">
        <v>1759</v>
      </c>
      <c r="BS414" s="81" t="s">
        <v>155</v>
      </c>
      <c r="BZ414" s="81" t="s">
        <v>155</v>
      </c>
      <c r="CA414" s="81">
        <v>12</v>
      </c>
      <c r="CC414" s="167">
        <v>0</v>
      </c>
      <c r="CD414" s="167">
        <v>0</v>
      </c>
      <c r="CE414" s="167">
        <v>0</v>
      </c>
      <c r="CF414" s="167">
        <v>0</v>
      </c>
      <c r="CG414" s="167">
        <v>0</v>
      </c>
      <c r="CH414" s="167">
        <v>0</v>
      </c>
      <c r="CI414" s="167">
        <v>0</v>
      </c>
      <c r="CJ414" s="167">
        <v>0</v>
      </c>
      <c r="CK414" s="167">
        <v>0</v>
      </c>
      <c r="CL414" s="167">
        <v>0</v>
      </c>
      <c r="CM414" s="167">
        <v>0</v>
      </c>
      <c r="CN414" s="167">
        <v>8</v>
      </c>
      <c r="CO414" s="167">
        <v>0</v>
      </c>
      <c r="CP414" s="167">
        <v>0</v>
      </c>
      <c r="CQ414" s="167">
        <v>0</v>
      </c>
      <c r="CR414" s="167">
        <v>0</v>
      </c>
      <c r="CS414" s="167">
        <v>0</v>
      </c>
      <c r="CT414" s="167">
        <v>0</v>
      </c>
      <c r="CU414" s="167">
        <v>0</v>
      </c>
      <c r="CV414" s="167">
        <v>0</v>
      </c>
      <c r="CW414" s="167">
        <v>0</v>
      </c>
      <c r="CX414" s="167">
        <f>SUM(CD414:CH414)</f>
        <v>0</v>
      </c>
      <c r="CY414" s="167">
        <f>SUM(CD414:CM414)</f>
        <v>0</v>
      </c>
    </row>
    <row r="415" spans="1:103" ht="12.75" customHeight="1" x14ac:dyDescent="0.2">
      <c r="A415" s="81">
        <v>3943</v>
      </c>
      <c r="B415" s="165" t="s">
        <v>1908</v>
      </c>
      <c r="C415" s="165" t="s">
        <v>1246</v>
      </c>
      <c r="D415" s="165" t="s">
        <v>129</v>
      </c>
      <c r="E415" s="165" t="s">
        <v>3012</v>
      </c>
      <c r="F415" s="165" t="s">
        <v>3015</v>
      </c>
      <c r="G415" s="81">
        <v>529575</v>
      </c>
      <c r="H415" s="81">
        <v>177401</v>
      </c>
      <c r="I415" s="165" t="s">
        <v>240</v>
      </c>
      <c r="J415" s="349">
        <v>41456</v>
      </c>
      <c r="L415" s="166">
        <v>0</v>
      </c>
      <c r="M415" s="166">
        <v>330</v>
      </c>
      <c r="N415" s="166">
        <v>330</v>
      </c>
      <c r="O415" s="166">
        <v>1950</v>
      </c>
      <c r="P415" s="166">
        <v>1950</v>
      </c>
      <c r="Q415" s="81" t="s">
        <v>155</v>
      </c>
      <c r="R415" s="165" t="s">
        <v>1247</v>
      </c>
      <c r="S415" s="81" t="s">
        <v>509</v>
      </c>
      <c r="T415" s="349">
        <v>42481</v>
      </c>
      <c r="U415" s="349">
        <v>42758</v>
      </c>
      <c r="W415" s="81" t="s">
        <v>114</v>
      </c>
      <c r="Y415" s="81" t="s">
        <v>115</v>
      </c>
      <c r="Z415" s="81" t="s">
        <v>116</v>
      </c>
      <c r="AA415" s="81" t="s">
        <v>116</v>
      </c>
      <c r="AB415" s="81" t="s">
        <v>117</v>
      </c>
      <c r="AC415" s="166">
        <v>0</v>
      </c>
      <c r="AG415" s="81" t="s">
        <v>238</v>
      </c>
      <c r="AH415" s="81" t="s">
        <v>118</v>
      </c>
      <c r="AI415" s="81" t="s">
        <v>3014</v>
      </c>
      <c r="AK415" s="166">
        <v>0</v>
      </c>
      <c r="AL415" s="166">
        <v>297</v>
      </c>
      <c r="AM415" s="166">
        <v>0</v>
      </c>
      <c r="AN415" s="166">
        <v>33</v>
      </c>
      <c r="AO415" s="166">
        <v>19</v>
      </c>
      <c r="AP415" s="166">
        <v>89</v>
      </c>
      <c r="AQ415" s="166">
        <v>149</v>
      </c>
      <c r="AR415" s="166">
        <v>61</v>
      </c>
      <c r="AS415" s="166">
        <v>12</v>
      </c>
      <c r="AT415" s="166">
        <v>0</v>
      </c>
      <c r="AU415" s="166">
        <v>0</v>
      </c>
      <c r="AV415" s="166">
        <v>19</v>
      </c>
      <c r="AW415" s="166">
        <v>89</v>
      </c>
      <c r="AX415" s="166">
        <v>149</v>
      </c>
      <c r="AY415" s="166">
        <v>61</v>
      </c>
      <c r="AZ415" s="166">
        <v>12</v>
      </c>
      <c r="BA415" s="166">
        <v>0</v>
      </c>
      <c r="BB415" s="166">
        <v>0</v>
      </c>
      <c r="BC415" s="166">
        <v>0</v>
      </c>
      <c r="BD415" s="166">
        <v>0</v>
      </c>
      <c r="BE415" s="166">
        <v>0</v>
      </c>
      <c r="BF415" s="166">
        <v>0</v>
      </c>
      <c r="BG415" s="166">
        <v>0</v>
      </c>
      <c r="BH415" s="166">
        <v>0</v>
      </c>
      <c r="BI415" s="166">
        <v>0</v>
      </c>
      <c r="BJ415" s="166">
        <v>0</v>
      </c>
      <c r="BK415" s="166">
        <v>0</v>
      </c>
      <c r="BL415" s="166">
        <v>0</v>
      </c>
      <c r="BM415" s="166">
        <v>0</v>
      </c>
      <c r="BN415" s="166">
        <v>0</v>
      </c>
      <c r="BO415" s="166">
        <v>0</v>
      </c>
      <c r="BP415" s="166">
        <v>0</v>
      </c>
      <c r="BQ415" s="81" t="s">
        <v>1759</v>
      </c>
      <c r="BS415" s="81" t="s">
        <v>155</v>
      </c>
      <c r="BZ415" s="81" t="s">
        <v>155</v>
      </c>
      <c r="CA415" s="81">
        <v>12</v>
      </c>
      <c r="CC415" s="167">
        <v>0</v>
      </c>
      <c r="CD415" s="167">
        <v>0</v>
      </c>
      <c r="CE415" s="167">
        <v>0</v>
      </c>
      <c r="CF415" s="167">
        <v>0</v>
      </c>
      <c r="CG415" s="167">
        <v>0</v>
      </c>
      <c r="CH415" s="167">
        <v>0</v>
      </c>
      <c r="CI415" s="167">
        <v>144</v>
      </c>
      <c r="CJ415" s="167">
        <v>144</v>
      </c>
      <c r="CK415" s="167">
        <v>42</v>
      </c>
      <c r="CL415" s="167">
        <v>0</v>
      </c>
      <c r="CM415" s="167">
        <v>0</v>
      </c>
      <c r="CN415" s="167">
        <v>0</v>
      </c>
      <c r="CO415" s="167">
        <v>0</v>
      </c>
      <c r="CP415" s="167">
        <v>0</v>
      </c>
      <c r="CQ415" s="167">
        <v>0</v>
      </c>
      <c r="CR415" s="167">
        <v>0</v>
      </c>
      <c r="CS415" s="167">
        <v>0</v>
      </c>
      <c r="CT415" s="167">
        <v>0</v>
      </c>
      <c r="CU415" s="167">
        <v>0</v>
      </c>
      <c r="CV415" s="167">
        <v>0</v>
      </c>
      <c r="CW415" s="167">
        <v>0</v>
      </c>
      <c r="CX415" s="167">
        <f>SUM(CD415:CH415)</f>
        <v>0</v>
      </c>
      <c r="CY415" s="167">
        <f>SUM(CD415:CM415)</f>
        <v>330</v>
      </c>
    </row>
    <row r="416" spans="1:103" ht="12.75" customHeight="1" x14ac:dyDescent="0.2">
      <c r="A416" s="81">
        <v>3943</v>
      </c>
      <c r="B416" s="165" t="s">
        <v>1908</v>
      </c>
      <c r="C416" s="165" t="s">
        <v>1246</v>
      </c>
      <c r="D416" s="165" t="s">
        <v>129</v>
      </c>
      <c r="E416" s="165" t="s">
        <v>3012</v>
      </c>
      <c r="F416" s="165" t="s">
        <v>3015</v>
      </c>
      <c r="G416" s="81">
        <v>529575</v>
      </c>
      <c r="H416" s="81">
        <v>177401</v>
      </c>
      <c r="I416" s="165" t="s">
        <v>240</v>
      </c>
      <c r="J416" s="349">
        <v>41456</v>
      </c>
      <c r="L416" s="166">
        <v>0</v>
      </c>
      <c r="M416" s="166">
        <v>35</v>
      </c>
      <c r="N416" s="166">
        <v>35</v>
      </c>
      <c r="O416" s="166">
        <v>1950</v>
      </c>
      <c r="P416" s="166">
        <v>1950</v>
      </c>
      <c r="Q416" s="81" t="s">
        <v>155</v>
      </c>
      <c r="R416" s="165" t="s">
        <v>1247</v>
      </c>
      <c r="S416" s="81" t="s">
        <v>509</v>
      </c>
      <c r="T416" s="349">
        <v>42481</v>
      </c>
      <c r="U416" s="349">
        <v>42758</v>
      </c>
      <c r="W416" s="81" t="s">
        <v>114</v>
      </c>
      <c r="Y416" s="81" t="s">
        <v>115</v>
      </c>
      <c r="Z416" s="81" t="s">
        <v>116</v>
      </c>
      <c r="AA416" s="81" t="s">
        <v>116</v>
      </c>
      <c r="AB416" s="81" t="s">
        <v>117</v>
      </c>
      <c r="AC416" s="166">
        <v>0</v>
      </c>
      <c r="AG416" s="81" t="s">
        <v>154</v>
      </c>
      <c r="AH416" s="81" t="s">
        <v>276</v>
      </c>
      <c r="AI416" s="81" t="s">
        <v>3014</v>
      </c>
      <c r="AK416" s="166">
        <v>0</v>
      </c>
      <c r="AL416" s="166">
        <v>31</v>
      </c>
      <c r="AM416" s="166">
        <v>0</v>
      </c>
      <c r="AN416" s="166">
        <v>4</v>
      </c>
      <c r="AO416" s="166">
        <v>0</v>
      </c>
      <c r="AP416" s="166">
        <v>13</v>
      </c>
      <c r="AQ416" s="166">
        <v>12</v>
      </c>
      <c r="AR416" s="166">
        <v>7</v>
      </c>
      <c r="AS416" s="166">
        <v>3</v>
      </c>
      <c r="AT416" s="166">
        <v>0</v>
      </c>
      <c r="AU416" s="166">
        <v>0</v>
      </c>
      <c r="AV416" s="166">
        <v>0</v>
      </c>
      <c r="AW416" s="166">
        <v>13</v>
      </c>
      <c r="AX416" s="166">
        <v>12</v>
      </c>
      <c r="AY416" s="166">
        <v>7</v>
      </c>
      <c r="AZ416" s="166">
        <v>3</v>
      </c>
      <c r="BA416" s="166">
        <v>0</v>
      </c>
      <c r="BB416" s="166">
        <v>0</v>
      </c>
      <c r="BC416" s="166">
        <v>0</v>
      </c>
      <c r="BD416" s="166">
        <v>0</v>
      </c>
      <c r="BE416" s="166">
        <v>0</v>
      </c>
      <c r="BF416" s="166">
        <v>0</v>
      </c>
      <c r="BG416" s="166">
        <v>0</v>
      </c>
      <c r="BH416" s="166">
        <v>0</v>
      </c>
      <c r="BI416" s="166">
        <v>0</v>
      </c>
      <c r="BJ416" s="166">
        <v>0</v>
      </c>
      <c r="BK416" s="166">
        <v>0</v>
      </c>
      <c r="BL416" s="166">
        <v>0</v>
      </c>
      <c r="BM416" s="166">
        <v>0</v>
      </c>
      <c r="BN416" s="166">
        <v>0</v>
      </c>
      <c r="BO416" s="166">
        <v>0</v>
      </c>
      <c r="BP416" s="166">
        <v>0</v>
      </c>
      <c r="BQ416" s="81" t="s">
        <v>1759</v>
      </c>
      <c r="BS416" s="81" t="s">
        <v>155</v>
      </c>
      <c r="BZ416" s="81" t="s">
        <v>155</v>
      </c>
      <c r="CA416" s="81">
        <v>12</v>
      </c>
      <c r="CC416" s="167">
        <v>0</v>
      </c>
      <c r="CD416" s="167">
        <v>0</v>
      </c>
      <c r="CE416" s="167">
        <v>0</v>
      </c>
      <c r="CF416" s="167">
        <v>0</v>
      </c>
      <c r="CG416" s="167">
        <v>0</v>
      </c>
      <c r="CH416" s="167">
        <v>0</v>
      </c>
      <c r="CI416" s="167">
        <v>35</v>
      </c>
      <c r="CJ416" s="167">
        <v>0</v>
      </c>
      <c r="CK416" s="167">
        <v>0</v>
      </c>
      <c r="CL416" s="167">
        <v>0</v>
      </c>
      <c r="CM416" s="167">
        <v>0</v>
      </c>
      <c r="CN416" s="167">
        <v>0</v>
      </c>
      <c r="CO416" s="167">
        <v>0</v>
      </c>
      <c r="CP416" s="167">
        <v>0</v>
      </c>
      <c r="CQ416" s="167">
        <v>0</v>
      </c>
      <c r="CR416" s="167">
        <v>0</v>
      </c>
      <c r="CS416" s="167">
        <v>0</v>
      </c>
      <c r="CT416" s="167">
        <v>0</v>
      </c>
      <c r="CU416" s="167">
        <v>0</v>
      </c>
      <c r="CV416" s="167">
        <v>0</v>
      </c>
      <c r="CW416" s="167">
        <v>0</v>
      </c>
      <c r="CX416" s="167">
        <f>SUM(CD416:CH416)</f>
        <v>0</v>
      </c>
      <c r="CY416" s="167">
        <f>SUM(CD416:CM416)</f>
        <v>35</v>
      </c>
    </row>
    <row r="417" spans="1:103" ht="12.75" customHeight="1" x14ac:dyDescent="0.2">
      <c r="A417" s="81">
        <v>3943</v>
      </c>
      <c r="B417" s="165" t="s">
        <v>1908</v>
      </c>
      <c r="C417" s="165" t="s">
        <v>1246</v>
      </c>
      <c r="D417" s="165" t="s">
        <v>129</v>
      </c>
      <c r="E417" s="165" t="s">
        <v>3012</v>
      </c>
      <c r="F417" s="165" t="s">
        <v>3015</v>
      </c>
      <c r="G417" s="81">
        <v>529575</v>
      </c>
      <c r="H417" s="81">
        <v>177401</v>
      </c>
      <c r="I417" s="165" t="s">
        <v>240</v>
      </c>
      <c r="J417" s="349">
        <v>41456</v>
      </c>
      <c r="L417" s="166">
        <v>0</v>
      </c>
      <c r="M417" s="166">
        <v>23</v>
      </c>
      <c r="N417" s="166">
        <v>23</v>
      </c>
      <c r="O417" s="166">
        <v>1950</v>
      </c>
      <c r="P417" s="166">
        <v>1950</v>
      </c>
      <c r="Q417" s="81" t="s">
        <v>155</v>
      </c>
      <c r="R417" s="165" t="s">
        <v>1247</v>
      </c>
      <c r="S417" s="81" t="s">
        <v>509</v>
      </c>
      <c r="T417" s="349">
        <v>42481</v>
      </c>
      <c r="U417" s="349">
        <v>42758</v>
      </c>
      <c r="W417" s="81" t="s">
        <v>114</v>
      </c>
      <c r="Y417" s="81" t="s">
        <v>115</v>
      </c>
      <c r="Z417" s="81" t="s">
        <v>116</v>
      </c>
      <c r="AA417" s="81" t="s">
        <v>116</v>
      </c>
      <c r="AB417" s="81" t="s">
        <v>117</v>
      </c>
      <c r="AC417" s="166">
        <v>0</v>
      </c>
      <c r="AG417" s="81" t="s">
        <v>74</v>
      </c>
      <c r="AH417" s="81" t="s">
        <v>880</v>
      </c>
      <c r="AI417" s="81" t="s">
        <v>3014</v>
      </c>
      <c r="AK417" s="166">
        <v>0</v>
      </c>
      <c r="AL417" s="166">
        <v>21</v>
      </c>
      <c r="AM417" s="166">
        <v>0</v>
      </c>
      <c r="AN417" s="166">
        <v>2</v>
      </c>
      <c r="AO417" s="166">
        <v>0</v>
      </c>
      <c r="AP417" s="166">
        <v>9</v>
      </c>
      <c r="AQ417" s="166">
        <v>7</v>
      </c>
      <c r="AR417" s="166">
        <v>5</v>
      </c>
      <c r="AS417" s="166">
        <v>2</v>
      </c>
      <c r="AT417" s="166">
        <v>0</v>
      </c>
      <c r="AU417" s="166">
        <v>0</v>
      </c>
      <c r="AV417" s="166">
        <v>0</v>
      </c>
      <c r="AW417" s="166">
        <v>9</v>
      </c>
      <c r="AX417" s="166">
        <v>7</v>
      </c>
      <c r="AY417" s="166">
        <v>5</v>
      </c>
      <c r="AZ417" s="166">
        <v>2</v>
      </c>
      <c r="BA417" s="166">
        <v>0</v>
      </c>
      <c r="BB417" s="166">
        <v>0</v>
      </c>
      <c r="BC417" s="166">
        <v>0</v>
      </c>
      <c r="BD417" s="166">
        <v>0</v>
      </c>
      <c r="BE417" s="166">
        <v>0</v>
      </c>
      <c r="BF417" s="166">
        <v>0</v>
      </c>
      <c r="BG417" s="166">
        <v>0</v>
      </c>
      <c r="BH417" s="166">
        <v>0</v>
      </c>
      <c r="BI417" s="166">
        <v>0</v>
      </c>
      <c r="BJ417" s="166">
        <v>0</v>
      </c>
      <c r="BK417" s="166">
        <v>0</v>
      </c>
      <c r="BL417" s="166">
        <v>0</v>
      </c>
      <c r="BM417" s="166">
        <v>0</v>
      </c>
      <c r="BN417" s="166">
        <v>0</v>
      </c>
      <c r="BO417" s="166">
        <v>0</v>
      </c>
      <c r="BP417" s="166">
        <v>0</v>
      </c>
      <c r="BQ417" s="81" t="s">
        <v>1759</v>
      </c>
      <c r="BS417" s="81" t="s">
        <v>155</v>
      </c>
      <c r="BZ417" s="81" t="s">
        <v>155</v>
      </c>
      <c r="CA417" s="81">
        <v>12</v>
      </c>
      <c r="CC417" s="167">
        <v>0</v>
      </c>
      <c r="CD417" s="167">
        <v>0</v>
      </c>
      <c r="CE417" s="167">
        <v>0</v>
      </c>
      <c r="CF417" s="167">
        <v>0</v>
      </c>
      <c r="CG417" s="167">
        <v>0</v>
      </c>
      <c r="CH417" s="167">
        <v>0</v>
      </c>
      <c r="CI417" s="167">
        <v>23</v>
      </c>
      <c r="CJ417" s="167">
        <v>0</v>
      </c>
      <c r="CK417" s="167">
        <v>0</v>
      </c>
      <c r="CL417" s="167">
        <v>0</v>
      </c>
      <c r="CM417" s="167">
        <v>0</v>
      </c>
      <c r="CN417" s="167">
        <v>0</v>
      </c>
      <c r="CO417" s="167">
        <v>0</v>
      </c>
      <c r="CP417" s="167">
        <v>0</v>
      </c>
      <c r="CQ417" s="167">
        <v>0</v>
      </c>
      <c r="CR417" s="167">
        <v>0</v>
      </c>
      <c r="CS417" s="167">
        <v>0</v>
      </c>
      <c r="CT417" s="167">
        <v>0</v>
      </c>
      <c r="CU417" s="167">
        <v>0</v>
      </c>
      <c r="CV417" s="167">
        <v>0</v>
      </c>
      <c r="CW417" s="167">
        <v>0</v>
      </c>
      <c r="CX417" s="167">
        <f>SUM(CD417:CH417)</f>
        <v>0</v>
      </c>
      <c r="CY417" s="167">
        <f>SUM(CD417:CM417)</f>
        <v>23</v>
      </c>
    </row>
    <row r="418" spans="1:103" ht="12.75" customHeight="1" x14ac:dyDescent="0.2">
      <c r="A418" s="81">
        <v>3943</v>
      </c>
      <c r="B418" s="165" t="s">
        <v>1908</v>
      </c>
      <c r="C418" s="165" t="s">
        <v>1246</v>
      </c>
      <c r="D418" s="165" t="s">
        <v>129</v>
      </c>
      <c r="E418" s="165" t="s">
        <v>3012</v>
      </c>
      <c r="F418" s="165" t="s">
        <v>3016</v>
      </c>
      <c r="G418" s="81">
        <v>529575</v>
      </c>
      <c r="H418" s="81">
        <v>177401</v>
      </c>
      <c r="I418" s="165" t="s">
        <v>240</v>
      </c>
      <c r="J418" s="349">
        <v>41456</v>
      </c>
      <c r="L418" s="166">
        <v>0</v>
      </c>
      <c r="M418" s="166">
        <v>197</v>
      </c>
      <c r="N418" s="166">
        <v>197</v>
      </c>
      <c r="O418" s="166">
        <v>1950</v>
      </c>
      <c r="P418" s="166">
        <v>1950</v>
      </c>
      <c r="Q418" s="81" t="s">
        <v>155</v>
      </c>
      <c r="R418" s="165" t="s">
        <v>1247</v>
      </c>
      <c r="S418" s="81" t="s">
        <v>509</v>
      </c>
      <c r="T418" s="349">
        <v>42481</v>
      </c>
      <c r="U418" s="349">
        <v>42758</v>
      </c>
      <c r="W418" s="81" t="s">
        <v>114</v>
      </c>
      <c r="Y418" s="81" t="s">
        <v>115</v>
      </c>
      <c r="Z418" s="81" t="s">
        <v>116</v>
      </c>
      <c r="AA418" s="81" t="s">
        <v>116</v>
      </c>
      <c r="AB418" s="81" t="s">
        <v>117</v>
      </c>
      <c r="AC418" s="166">
        <v>0</v>
      </c>
      <c r="AG418" s="81" t="s">
        <v>238</v>
      </c>
      <c r="AH418" s="81" t="s">
        <v>118</v>
      </c>
      <c r="AI418" s="81" t="s">
        <v>3014</v>
      </c>
      <c r="AK418" s="166">
        <v>0</v>
      </c>
      <c r="AL418" s="166">
        <v>177</v>
      </c>
      <c r="AM418" s="166">
        <v>0</v>
      </c>
      <c r="AN418" s="166">
        <v>20</v>
      </c>
      <c r="AO418" s="166">
        <v>11</v>
      </c>
      <c r="AP418" s="166">
        <v>54</v>
      </c>
      <c r="AQ418" s="166">
        <v>89</v>
      </c>
      <c r="AR418" s="166">
        <v>36</v>
      </c>
      <c r="AS418" s="166">
        <v>7</v>
      </c>
      <c r="AT418" s="166">
        <v>0</v>
      </c>
      <c r="AU418" s="166">
        <v>0</v>
      </c>
      <c r="AV418" s="166">
        <v>11</v>
      </c>
      <c r="AW418" s="166">
        <v>54</v>
      </c>
      <c r="AX418" s="166">
        <v>89</v>
      </c>
      <c r="AY418" s="166">
        <v>36</v>
      </c>
      <c r="AZ418" s="166">
        <v>7</v>
      </c>
      <c r="BA418" s="166">
        <v>0</v>
      </c>
      <c r="BB418" s="166">
        <v>0</v>
      </c>
      <c r="BC418" s="166">
        <v>0</v>
      </c>
      <c r="BD418" s="166">
        <v>0</v>
      </c>
      <c r="BE418" s="166">
        <v>0</v>
      </c>
      <c r="BF418" s="166">
        <v>0</v>
      </c>
      <c r="BG418" s="166">
        <v>0</v>
      </c>
      <c r="BH418" s="166">
        <v>0</v>
      </c>
      <c r="BI418" s="166">
        <v>0</v>
      </c>
      <c r="BJ418" s="166">
        <v>0</v>
      </c>
      <c r="BK418" s="166">
        <v>0</v>
      </c>
      <c r="BL418" s="166">
        <v>0</v>
      </c>
      <c r="BM418" s="166">
        <v>0</v>
      </c>
      <c r="BN418" s="166">
        <v>0</v>
      </c>
      <c r="BO418" s="166">
        <v>0</v>
      </c>
      <c r="BP418" s="166">
        <v>0</v>
      </c>
      <c r="BQ418" s="81" t="s">
        <v>1759</v>
      </c>
      <c r="BS418" s="81" t="s">
        <v>155</v>
      </c>
      <c r="BZ418" s="81" t="s">
        <v>155</v>
      </c>
      <c r="CA418" s="81">
        <v>12</v>
      </c>
      <c r="CC418" s="167">
        <v>0</v>
      </c>
      <c r="CD418" s="167">
        <v>0</v>
      </c>
      <c r="CE418" s="167">
        <v>0</v>
      </c>
      <c r="CF418" s="167">
        <v>0</v>
      </c>
      <c r="CG418" s="167">
        <v>0</v>
      </c>
      <c r="CH418" s="167">
        <v>0</v>
      </c>
      <c r="CI418" s="167">
        <v>144</v>
      </c>
      <c r="CJ418" s="167">
        <f>197-144</f>
        <v>53</v>
      </c>
      <c r="CK418" s="167">
        <v>0</v>
      </c>
      <c r="CL418" s="167">
        <v>0</v>
      </c>
      <c r="CM418" s="167">
        <v>0</v>
      </c>
      <c r="CN418" s="167">
        <v>0</v>
      </c>
      <c r="CO418" s="167">
        <v>0</v>
      </c>
      <c r="CP418" s="167">
        <v>0</v>
      </c>
      <c r="CQ418" s="167">
        <v>0</v>
      </c>
      <c r="CR418" s="167">
        <v>0</v>
      </c>
      <c r="CS418" s="167">
        <v>0</v>
      </c>
      <c r="CT418" s="167">
        <v>0</v>
      </c>
      <c r="CU418" s="167">
        <v>0</v>
      </c>
      <c r="CV418" s="167">
        <v>0</v>
      </c>
      <c r="CW418" s="167">
        <v>0</v>
      </c>
      <c r="CX418" s="167">
        <f>SUM(CD418:CH418)</f>
        <v>0</v>
      </c>
      <c r="CY418" s="167">
        <f>SUM(CD418:CM418)</f>
        <v>197</v>
      </c>
    </row>
    <row r="419" spans="1:103" ht="12.75" customHeight="1" x14ac:dyDescent="0.2">
      <c r="A419" s="81">
        <v>3943</v>
      </c>
      <c r="B419" s="165" t="s">
        <v>1908</v>
      </c>
      <c r="C419" s="165" t="s">
        <v>1246</v>
      </c>
      <c r="D419" s="165" t="s">
        <v>129</v>
      </c>
      <c r="E419" s="165" t="s">
        <v>3012</v>
      </c>
      <c r="F419" s="165" t="s">
        <v>3016</v>
      </c>
      <c r="G419" s="81">
        <v>529575</v>
      </c>
      <c r="H419" s="81">
        <v>177401</v>
      </c>
      <c r="I419" s="165" t="s">
        <v>240</v>
      </c>
      <c r="J419" s="349">
        <v>41456</v>
      </c>
      <c r="L419" s="166">
        <v>0</v>
      </c>
      <c r="M419" s="166">
        <v>39</v>
      </c>
      <c r="N419" s="166">
        <v>39</v>
      </c>
      <c r="O419" s="166">
        <v>1950</v>
      </c>
      <c r="P419" s="166">
        <v>1950</v>
      </c>
      <c r="Q419" s="81" t="s">
        <v>155</v>
      </c>
      <c r="R419" s="165" t="s">
        <v>1247</v>
      </c>
      <c r="S419" s="81" t="s">
        <v>509</v>
      </c>
      <c r="T419" s="349">
        <v>42481</v>
      </c>
      <c r="U419" s="349">
        <v>42758</v>
      </c>
      <c r="W419" s="81" t="s">
        <v>114</v>
      </c>
      <c r="Y419" s="81" t="s">
        <v>115</v>
      </c>
      <c r="Z419" s="81" t="s">
        <v>116</v>
      </c>
      <c r="AA419" s="81" t="s">
        <v>116</v>
      </c>
      <c r="AB419" s="81" t="s">
        <v>117</v>
      </c>
      <c r="AC419" s="166">
        <v>0</v>
      </c>
      <c r="AG419" s="81" t="s">
        <v>154</v>
      </c>
      <c r="AH419" s="81" t="s">
        <v>276</v>
      </c>
      <c r="AI419" s="81" t="s">
        <v>3014</v>
      </c>
      <c r="AK419" s="166">
        <v>0</v>
      </c>
      <c r="AL419" s="166">
        <v>35</v>
      </c>
      <c r="AM419" s="166">
        <v>0</v>
      </c>
      <c r="AN419" s="166">
        <v>4</v>
      </c>
      <c r="AO419" s="166">
        <v>0</v>
      </c>
      <c r="AP419" s="166">
        <v>14</v>
      </c>
      <c r="AQ419" s="166">
        <v>14</v>
      </c>
      <c r="AR419" s="166">
        <v>9</v>
      </c>
      <c r="AS419" s="166">
        <v>2</v>
      </c>
      <c r="AT419" s="166">
        <v>0</v>
      </c>
      <c r="AU419" s="166">
        <v>0</v>
      </c>
      <c r="AV419" s="166">
        <v>0</v>
      </c>
      <c r="AW419" s="166">
        <v>14</v>
      </c>
      <c r="AX419" s="166">
        <v>14</v>
      </c>
      <c r="AY419" s="166">
        <v>9</v>
      </c>
      <c r="AZ419" s="166">
        <v>2</v>
      </c>
      <c r="BA419" s="166">
        <v>0</v>
      </c>
      <c r="BB419" s="166">
        <v>0</v>
      </c>
      <c r="BC419" s="166">
        <v>0</v>
      </c>
      <c r="BD419" s="166">
        <v>0</v>
      </c>
      <c r="BE419" s="166">
        <v>0</v>
      </c>
      <c r="BF419" s="166">
        <v>0</v>
      </c>
      <c r="BG419" s="166">
        <v>0</v>
      </c>
      <c r="BH419" s="166">
        <v>0</v>
      </c>
      <c r="BI419" s="166">
        <v>0</v>
      </c>
      <c r="BJ419" s="166">
        <v>0</v>
      </c>
      <c r="BK419" s="166">
        <v>0</v>
      </c>
      <c r="BL419" s="166">
        <v>0</v>
      </c>
      <c r="BM419" s="166">
        <v>0</v>
      </c>
      <c r="BN419" s="166">
        <v>0</v>
      </c>
      <c r="BO419" s="166">
        <v>0</v>
      </c>
      <c r="BP419" s="166">
        <v>0</v>
      </c>
      <c r="BQ419" s="81" t="s">
        <v>1759</v>
      </c>
      <c r="BS419" s="81" t="s">
        <v>155</v>
      </c>
      <c r="BZ419" s="81" t="s">
        <v>155</v>
      </c>
      <c r="CA419" s="81">
        <v>12</v>
      </c>
      <c r="CC419" s="167">
        <v>0</v>
      </c>
      <c r="CD419" s="167">
        <v>0</v>
      </c>
      <c r="CE419" s="167">
        <v>0</v>
      </c>
      <c r="CF419" s="167">
        <v>0</v>
      </c>
      <c r="CG419" s="167">
        <v>0</v>
      </c>
      <c r="CH419" s="167">
        <v>0</v>
      </c>
      <c r="CI419" s="167">
        <v>21</v>
      </c>
      <c r="CJ419" s="167">
        <f>39-21</f>
        <v>18</v>
      </c>
      <c r="CK419" s="167">
        <v>0</v>
      </c>
      <c r="CL419" s="167">
        <v>0</v>
      </c>
      <c r="CM419" s="167">
        <v>0</v>
      </c>
      <c r="CN419" s="167">
        <v>0</v>
      </c>
      <c r="CO419" s="167">
        <v>0</v>
      </c>
      <c r="CP419" s="167">
        <v>0</v>
      </c>
      <c r="CQ419" s="167">
        <v>0</v>
      </c>
      <c r="CR419" s="167">
        <v>0</v>
      </c>
      <c r="CS419" s="167">
        <v>0</v>
      </c>
      <c r="CT419" s="167">
        <v>0</v>
      </c>
      <c r="CU419" s="167">
        <v>0</v>
      </c>
      <c r="CV419" s="167">
        <v>0</v>
      </c>
      <c r="CW419" s="167">
        <v>0</v>
      </c>
      <c r="CX419" s="167">
        <f>SUM(CD419:CH419)</f>
        <v>0</v>
      </c>
      <c r="CY419" s="167">
        <f>SUM(CD419:CM419)</f>
        <v>39</v>
      </c>
    </row>
    <row r="420" spans="1:103" ht="12.75" customHeight="1" x14ac:dyDescent="0.2">
      <c r="A420" s="81">
        <v>3943</v>
      </c>
      <c r="B420" s="165" t="s">
        <v>1908</v>
      </c>
      <c r="C420" s="165" t="s">
        <v>1246</v>
      </c>
      <c r="D420" s="165" t="s">
        <v>129</v>
      </c>
      <c r="E420" s="165" t="s">
        <v>3012</v>
      </c>
      <c r="F420" s="165" t="s">
        <v>3016</v>
      </c>
      <c r="G420" s="81">
        <v>529575</v>
      </c>
      <c r="H420" s="81">
        <v>177401</v>
      </c>
      <c r="I420" s="165" t="s">
        <v>240</v>
      </c>
      <c r="J420" s="349">
        <v>41456</v>
      </c>
      <c r="L420" s="166">
        <v>0</v>
      </c>
      <c r="M420" s="166">
        <v>26</v>
      </c>
      <c r="N420" s="166">
        <v>26</v>
      </c>
      <c r="O420" s="166">
        <v>1950</v>
      </c>
      <c r="P420" s="166">
        <v>1950</v>
      </c>
      <c r="Q420" s="81" t="s">
        <v>155</v>
      </c>
      <c r="R420" s="165" t="s">
        <v>1247</v>
      </c>
      <c r="S420" s="81" t="s">
        <v>509</v>
      </c>
      <c r="T420" s="349">
        <v>42481</v>
      </c>
      <c r="U420" s="349">
        <v>42758</v>
      </c>
      <c r="W420" s="81" t="s">
        <v>114</v>
      </c>
      <c r="Y420" s="81" t="s">
        <v>115</v>
      </c>
      <c r="Z420" s="81" t="s">
        <v>116</v>
      </c>
      <c r="AA420" s="81" t="s">
        <v>116</v>
      </c>
      <c r="AB420" s="81" t="s">
        <v>117</v>
      </c>
      <c r="AC420" s="166">
        <v>0</v>
      </c>
      <c r="AG420" s="81" t="s">
        <v>74</v>
      </c>
      <c r="AH420" s="81" t="s">
        <v>880</v>
      </c>
      <c r="AI420" s="81" t="s">
        <v>3014</v>
      </c>
      <c r="AK420" s="166">
        <v>0</v>
      </c>
      <c r="AL420" s="166">
        <v>23</v>
      </c>
      <c r="AM420" s="166">
        <v>0</v>
      </c>
      <c r="AN420" s="166">
        <v>3</v>
      </c>
      <c r="AO420" s="166">
        <v>0</v>
      </c>
      <c r="AP420" s="166">
        <v>10</v>
      </c>
      <c r="AQ420" s="166">
        <v>9</v>
      </c>
      <c r="AR420" s="166">
        <v>5</v>
      </c>
      <c r="AS420" s="166">
        <v>2</v>
      </c>
      <c r="AT420" s="166">
        <v>0</v>
      </c>
      <c r="AU420" s="166">
        <v>0</v>
      </c>
      <c r="AV420" s="166">
        <v>0</v>
      </c>
      <c r="AW420" s="166">
        <v>10</v>
      </c>
      <c r="AX420" s="166">
        <v>9</v>
      </c>
      <c r="AY420" s="166">
        <v>5</v>
      </c>
      <c r="AZ420" s="166">
        <v>2</v>
      </c>
      <c r="BA420" s="166">
        <v>0</v>
      </c>
      <c r="BB420" s="166">
        <v>0</v>
      </c>
      <c r="BC420" s="166">
        <v>0</v>
      </c>
      <c r="BD420" s="166">
        <v>0</v>
      </c>
      <c r="BE420" s="166">
        <v>0</v>
      </c>
      <c r="BF420" s="166">
        <v>0</v>
      </c>
      <c r="BG420" s="166">
        <v>0</v>
      </c>
      <c r="BH420" s="166">
        <v>0</v>
      </c>
      <c r="BI420" s="166">
        <v>0</v>
      </c>
      <c r="BJ420" s="166">
        <v>0</v>
      </c>
      <c r="BK420" s="166">
        <v>0</v>
      </c>
      <c r="BL420" s="166">
        <v>0</v>
      </c>
      <c r="BM420" s="166">
        <v>0</v>
      </c>
      <c r="BN420" s="166">
        <v>0</v>
      </c>
      <c r="BO420" s="166">
        <v>0</v>
      </c>
      <c r="BP420" s="166">
        <v>0</v>
      </c>
      <c r="BQ420" s="81" t="s">
        <v>1759</v>
      </c>
      <c r="BS420" s="81" t="s">
        <v>155</v>
      </c>
      <c r="BZ420" s="81" t="s">
        <v>155</v>
      </c>
      <c r="CA420" s="81">
        <v>12</v>
      </c>
      <c r="CC420" s="167">
        <v>0</v>
      </c>
      <c r="CD420" s="167">
        <v>0</v>
      </c>
      <c r="CE420" s="167">
        <v>0</v>
      </c>
      <c r="CF420" s="167">
        <v>0</v>
      </c>
      <c r="CG420" s="167">
        <v>0</v>
      </c>
      <c r="CH420" s="167">
        <v>0</v>
      </c>
      <c r="CI420" s="167">
        <v>14</v>
      </c>
      <c r="CJ420" s="167">
        <f>26-14</f>
        <v>12</v>
      </c>
      <c r="CK420" s="167">
        <v>0</v>
      </c>
      <c r="CL420" s="167">
        <v>0</v>
      </c>
      <c r="CM420" s="167">
        <v>0</v>
      </c>
      <c r="CN420" s="167">
        <v>0</v>
      </c>
      <c r="CO420" s="167">
        <v>0</v>
      </c>
      <c r="CP420" s="167">
        <v>0</v>
      </c>
      <c r="CQ420" s="167">
        <v>0</v>
      </c>
      <c r="CR420" s="167">
        <v>0</v>
      </c>
      <c r="CS420" s="167">
        <v>0</v>
      </c>
      <c r="CT420" s="167">
        <v>0</v>
      </c>
      <c r="CU420" s="167">
        <v>0</v>
      </c>
      <c r="CV420" s="167">
        <v>0</v>
      </c>
      <c r="CW420" s="167">
        <v>0</v>
      </c>
      <c r="CX420" s="167">
        <f>SUM(CD420:CH420)</f>
        <v>0</v>
      </c>
      <c r="CY420" s="167">
        <f>SUM(CD420:CM420)</f>
        <v>26</v>
      </c>
    </row>
    <row r="421" spans="1:103" ht="12.75" customHeight="1" x14ac:dyDescent="0.2">
      <c r="A421" s="81">
        <v>3943</v>
      </c>
      <c r="B421" s="165" t="s">
        <v>1908</v>
      </c>
      <c r="C421" s="165" t="s">
        <v>1246</v>
      </c>
      <c r="D421" s="165" t="s">
        <v>129</v>
      </c>
      <c r="E421" s="165" t="s">
        <v>3012</v>
      </c>
      <c r="F421" s="165" t="s">
        <v>3017</v>
      </c>
      <c r="G421" s="81">
        <v>529575</v>
      </c>
      <c r="H421" s="81">
        <v>177401</v>
      </c>
      <c r="I421" s="165" t="s">
        <v>240</v>
      </c>
      <c r="J421" s="349">
        <v>41456</v>
      </c>
      <c r="L421" s="166">
        <v>0</v>
      </c>
      <c r="M421" s="166">
        <v>326</v>
      </c>
      <c r="N421" s="166">
        <v>326</v>
      </c>
      <c r="O421" s="166">
        <v>1950</v>
      </c>
      <c r="P421" s="166">
        <v>1950</v>
      </c>
      <c r="Q421" s="81" t="s">
        <v>155</v>
      </c>
      <c r="R421" s="165" t="s">
        <v>1247</v>
      </c>
      <c r="S421" s="81" t="s">
        <v>509</v>
      </c>
      <c r="T421" s="349">
        <v>42481</v>
      </c>
      <c r="U421" s="349">
        <v>42758</v>
      </c>
      <c r="W421" s="81" t="s">
        <v>114</v>
      </c>
      <c r="Y421" s="81" t="s">
        <v>115</v>
      </c>
      <c r="Z421" s="81" t="s">
        <v>116</v>
      </c>
      <c r="AA421" s="81" t="s">
        <v>116</v>
      </c>
      <c r="AB421" s="81" t="s">
        <v>117</v>
      </c>
      <c r="AC421" s="166">
        <v>0</v>
      </c>
      <c r="AG421" s="81" t="s">
        <v>238</v>
      </c>
      <c r="AH421" s="81" t="s">
        <v>118</v>
      </c>
      <c r="AI421" s="81" t="s">
        <v>3014</v>
      </c>
      <c r="AK421" s="166">
        <v>0</v>
      </c>
      <c r="AL421" s="166">
        <v>293</v>
      </c>
      <c r="AM421" s="166">
        <v>0</v>
      </c>
      <c r="AN421" s="166">
        <v>33</v>
      </c>
      <c r="AO421" s="166">
        <v>20</v>
      </c>
      <c r="AP421" s="166">
        <v>89</v>
      </c>
      <c r="AQ421" s="166">
        <v>147</v>
      </c>
      <c r="AR421" s="166">
        <v>59</v>
      </c>
      <c r="AS421" s="166">
        <v>11</v>
      </c>
      <c r="AT421" s="166">
        <v>0</v>
      </c>
      <c r="AU421" s="166">
        <v>0</v>
      </c>
      <c r="AV421" s="166">
        <v>20</v>
      </c>
      <c r="AW421" s="166">
        <v>89</v>
      </c>
      <c r="AX421" s="166">
        <v>147</v>
      </c>
      <c r="AY421" s="166">
        <v>59</v>
      </c>
      <c r="AZ421" s="166">
        <v>11</v>
      </c>
      <c r="BA421" s="166">
        <v>0</v>
      </c>
      <c r="BB421" s="166">
        <v>0</v>
      </c>
      <c r="BC421" s="166">
        <v>0</v>
      </c>
      <c r="BD421" s="166">
        <v>0</v>
      </c>
      <c r="BE421" s="166">
        <v>0</v>
      </c>
      <c r="BF421" s="166">
        <v>0</v>
      </c>
      <c r="BG421" s="166">
        <v>0</v>
      </c>
      <c r="BH421" s="166">
        <v>0</v>
      </c>
      <c r="BI421" s="166">
        <v>0</v>
      </c>
      <c r="BJ421" s="166">
        <v>0</v>
      </c>
      <c r="BK421" s="166">
        <v>0</v>
      </c>
      <c r="BL421" s="166">
        <v>0</v>
      </c>
      <c r="BM421" s="166">
        <v>0</v>
      </c>
      <c r="BN421" s="166">
        <v>0</v>
      </c>
      <c r="BO421" s="166">
        <v>0</v>
      </c>
      <c r="BP421" s="166">
        <v>0</v>
      </c>
      <c r="BQ421" s="81" t="s">
        <v>1759</v>
      </c>
      <c r="BS421" s="81" t="s">
        <v>155</v>
      </c>
      <c r="BZ421" s="81" t="s">
        <v>155</v>
      </c>
      <c r="CA421" s="81">
        <v>12</v>
      </c>
      <c r="CC421" s="167">
        <v>0</v>
      </c>
      <c r="CD421" s="167">
        <v>0</v>
      </c>
      <c r="CE421" s="167">
        <v>0</v>
      </c>
      <c r="CF421" s="167">
        <v>0</v>
      </c>
      <c r="CG421" s="167">
        <v>0</v>
      </c>
      <c r="CH421" s="167">
        <v>144</v>
      </c>
      <c r="CI421" s="167">
        <v>144</v>
      </c>
      <c r="CJ421" s="167">
        <v>38</v>
      </c>
      <c r="CK421" s="167">
        <v>0</v>
      </c>
      <c r="CL421" s="167">
        <v>0</v>
      </c>
      <c r="CM421" s="167">
        <v>0</v>
      </c>
      <c r="CN421" s="167">
        <v>0</v>
      </c>
      <c r="CO421" s="167">
        <v>0</v>
      </c>
      <c r="CP421" s="167">
        <v>0</v>
      </c>
      <c r="CQ421" s="167">
        <v>0</v>
      </c>
      <c r="CR421" s="167">
        <v>0</v>
      </c>
      <c r="CS421" s="167">
        <v>0</v>
      </c>
      <c r="CT421" s="167">
        <v>0</v>
      </c>
      <c r="CU421" s="167">
        <v>0</v>
      </c>
      <c r="CV421" s="167">
        <v>0</v>
      </c>
      <c r="CW421" s="167">
        <v>0</v>
      </c>
      <c r="CX421" s="167">
        <f>SUM(CD421:CH421)</f>
        <v>144</v>
      </c>
      <c r="CY421" s="167">
        <f>SUM(CD421:CM421)</f>
        <v>326</v>
      </c>
    </row>
    <row r="422" spans="1:103" ht="12.75" customHeight="1" x14ac:dyDescent="0.2">
      <c r="A422" s="81">
        <v>3943</v>
      </c>
      <c r="B422" s="165" t="s">
        <v>1908</v>
      </c>
      <c r="C422" s="165" t="s">
        <v>1246</v>
      </c>
      <c r="D422" s="165" t="s">
        <v>129</v>
      </c>
      <c r="E422" s="165" t="s">
        <v>3012</v>
      </c>
      <c r="F422" s="165" t="s">
        <v>3017</v>
      </c>
      <c r="G422" s="81">
        <v>529575</v>
      </c>
      <c r="H422" s="81">
        <v>177401</v>
      </c>
      <c r="I422" s="165" t="s">
        <v>240</v>
      </c>
      <c r="J422" s="349">
        <v>41456</v>
      </c>
      <c r="L422" s="166">
        <v>0</v>
      </c>
      <c r="M422" s="166">
        <v>34</v>
      </c>
      <c r="N422" s="166">
        <v>34</v>
      </c>
      <c r="O422" s="166">
        <v>1950</v>
      </c>
      <c r="P422" s="166">
        <v>1950</v>
      </c>
      <c r="Q422" s="81" t="s">
        <v>155</v>
      </c>
      <c r="R422" s="165" t="s">
        <v>1247</v>
      </c>
      <c r="S422" s="81" t="s">
        <v>509</v>
      </c>
      <c r="T422" s="349">
        <v>42481</v>
      </c>
      <c r="U422" s="349">
        <v>42758</v>
      </c>
      <c r="W422" s="81" t="s">
        <v>114</v>
      </c>
      <c r="Y422" s="81" t="s">
        <v>115</v>
      </c>
      <c r="Z422" s="81" t="s">
        <v>116</v>
      </c>
      <c r="AA422" s="81" t="s">
        <v>116</v>
      </c>
      <c r="AB422" s="81" t="s">
        <v>117</v>
      </c>
      <c r="AC422" s="166">
        <v>0</v>
      </c>
      <c r="AG422" s="81" t="s">
        <v>154</v>
      </c>
      <c r="AH422" s="81" t="s">
        <v>276</v>
      </c>
      <c r="AI422" s="81" t="s">
        <v>3014</v>
      </c>
      <c r="AK422" s="166">
        <v>0</v>
      </c>
      <c r="AL422" s="166">
        <v>31</v>
      </c>
      <c r="AM422" s="166">
        <v>0</v>
      </c>
      <c r="AN422" s="166">
        <v>3</v>
      </c>
      <c r="AO422" s="166">
        <v>0</v>
      </c>
      <c r="AP422" s="166">
        <v>13</v>
      </c>
      <c r="AQ422" s="166">
        <v>12</v>
      </c>
      <c r="AR422" s="166">
        <v>6</v>
      </c>
      <c r="AS422" s="166">
        <v>3</v>
      </c>
      <c r="AT422" s="166">
        <v>0</v>
      </c>
      <c r="AU422" s="166">
        <v>0</v>
      </c>
      <c r="AV422" s="166">
        <v>0</v>
      </c>
      <c r="AW422" s="166">
        <v>13</v>
      </c>
      <c r="AX422" s="166">
        <v>12</v>
      </c>
      <c r="AY422" s="166">
        <v>6</v>
      </c>
      <c r="AZ422" s="166">
        <v>3</v>
      </c>
      <c r="BA422" s="166">
        <v>0</v>
      </c>
      <c r="BB422" s="166">
        <v>0</v>
      </c>
      <c r="BC422" s="166">
        <v>0</v>
      </c>
      <c r="BD422" s="166">
        <v>0</v>
      </c>
      <c r="BE422" s="166">
        <v>0</v>
      </c>
      <c r="BF422" s="166">
        <v>0</v>
      </c>
      <c r="BG422" s="166">
        <v>0</v>
      </c>
      <c r="BH422" s="166">
        <v>0</v>
      </c>
      <c r="BI422" s="166">
        <v>0</v>
      </c>
      <c r="BJ422" s="166">
        <v>0</v>
      </c>
      <c r="BK422" s="166">
        <v>0</v>
      </c>
      <c r="BL422" s="166">
        <v>0</v>
      </c>
      <c r="BM422" s="166">
        <v>0</v>
      </c>
      <c r="BN422" s="166">
        <v>0</v>
      </c>
      <c r="BO422" s="166">
        <v>0</v>
      </c>
      <c r="BP422" s="166">
        <v>0</v>
      </c>
      <c r="BQ422" s="81" t="s">
        <v>1759</v>
      </c>
      <c r="BS422" s="81" t="s">
        <v>155</v>
      </c>
      <c r="BZ422" s="81" t="s">
        <v>155</v>
      </c>
      <c r="CA422" s="81">
        <v>12</v>
      </c>
      <c r="CC422" s="167">
        <v>0</v>
      </c>
      <c r="CD422" s="167">
        <v>0</v>
      </c>
      <c r="CE422" s="167">
        <v>0</v>
      </c>
      <c r="CF422" s="167">
        <v>0</v>
      </c>
      <c r="CG422" s="167">
        <v>0</v>
      </c>
      <c r="CH422" s="167">
        <v>34</v>
      </c>
      <c r="CI422" s="167">
        <v>0</v>
      </c>
      <c r="CJ422" s="167">
        <v>0</v>
      </c>
      <c r="CK422" s="167">
        <v>0</v>
      </c>
      <c r="CL422" s="167">
        <v>0</v>
      </c>
      <c r="CM422" s="167">
        <v>0</v>
      </c>
      <c r="CN422" s="167">
        <v>0</v>
      </c>
      <c r="CO422" s="167">
        <v>0</v>
      </c>
      <c r="CP422" s="167">
        <v>0</v>
      </c>
      <c r="CQ422" s="167">
        <v>0</v>
      </c>
      <c r="CR422" s="167">
        <v>0</v>
      </c>
      <c r="CS422" s="167">
        <v>0</v>
      </c>
      <c r="CT422" s="167">
        <v>0</v>
      </c>
      <c r="CU422" s="167">
        <v>0</v>
      </c>
      <c r="CV422" s="167">
        <v>0</v>
      </c>
      <c r="CW422" s="167">
        <v>0</v>
      </c>
      <c r="CX422" s="167">
        <f>SUM(CD422:CH422)</f>
        <v>34</v>
      </c>
      <c r="CY422" s="167">
        <f>SUM(CD422:CM422)</f>
        <v>34</v>
      </c>
    </row>
    <row r="423" spans="1:103" ht="12.75" customHeight="1" x14ac:dyDescent="0.2">
      <c r="A423" s="81">
        <v>3943</v>
      </c>
      <c r="B423" s="165" t="s">
        <v>1908</v>
      </c>
      <c r="C423" s="165" t="s">
        <v>1246</v>
      </c>
      <c r="D423" s="165" t="s">
        <v>129</v>
      </c>
      <c r="E423" s="165" t="s">
        <v>3012</v>
      </c>
      <c r="F423" s="165" t="s">
        <v>3017</v>
      </c>
      <c r="G423" s="81">
        <v>529575</v>
      </c>
      <c r="H423" s="81">
        <v>177401</v>
      </c>
      <c r="I423" s="165" t="s">
        <v>240</v>
      </c>
      <c r="J423" s="349">
        <v>41456</v>
      </c>
      <c r="L423" s="166">
        <v>0</v>
      </c>
      <c r="M423" s="166">
        <v>23</v>
      </c>
      <c r="N423" s="166">
        <v>23</v>
      </c>
      <c r="O423" s="166">
        <v>1950</v>
      </c>
      <c r="P423" s="166">
        <v>1950</v>
      </c>
      <c r="Q423" s="81" t="s">
        <v>155</v>
      </c>
      <c r="R423" s="165" t="s">
        <v>1247</v>
      </c>
      <c r="S423" s="81" t="s">
        <v>509</v>
      </c>
      <c r="T423" s="349">
        <v>42481</v>
      </c>
      <c r="U423" s="349">
        <v>42758</v>
      </c>
      <c r="W423" s="81" t="s">
        <v>114</v>
      </c>
      <c r="Y423" s="81" t="s">
        <v>115</v>
      </c>
      <c r="Z423" s="81" t="s">
        <v>116</v>
      </c>
      <c r="AA423" s="81" t="s">
        <v>116</v>
      </c>
      <c r="AB423" s="81" t="s">
        <v>117</v>
      </c>
      <c r="AC423" s="166">
        <v>0</v>
      </c>
      <c r="AG423" s="81" t="s">
        <v>74</v>
      </c>
      <c r="AH423" s="81" t="s">
        <v>880</v>
      </c>
      <c r="AI423" s="81" t="s">
        <v>3014</v>
      </c>
      <c r="AK423" s="166">
        <v>0</v>
      </c>
      <c r="AL423" s="166">
        <v>21</v>
      </c>
      <c r="AM423" s="166">
        <v>0</v>
      </c>
      <c r="AN423" s="166">
        <v>2</v>
      </c>
      <c r="AO423" s="166">
        <v>0</v>
      </c>
      <c r="AP423" s="166">
        <v>8</v>
      </c>
      <c r="AQ423" s="166">
        <v>8</v>
      </c>
      <c r="AR423" s="166">
        <v>5</v>
      </c>
      <c r="AS423" s="166">
        <v>2</v>
      </c>
      <c r="AT423" s="166">
        <v>0</v>
      </c>
      <c r="AU423" s="166">
        <v>0</v>
      </c>
      <c r="AV423" s="166">
        <v>0</v>
      </c>
      <c r="AW423" s="166">
        <v>8</v>
      </c>
      <c r="AX423" s="166">
        <v>8</v>
      </c>
      <c r="AY423" s="166">
        <v>5</v>
      </c>
      <c r="AZ423" s="166">
        <v>2</v>
      </c>
      <c r="BA423" s="166">
        <v>0</v>
      </c>
      <c r="BB423" s="166">
        <v>0</v>
      </c>
      <c r="BC423" s="166">
        <v>0</v>
      </c>
      <c r="BD423" s="166">
        <v>0</v>
      </c>
      <c r="BE423" s="166">
        <v>0</v>
      </c>
      <c r="BF423" s="166">
        <v>0</v>
      </c>
      <c r="BG423" s="166">
        <v>0</v>
      </c>
      <c r="BH423" s="166">
        <v>0</v>
      </c>
      <c r="BI423" s="166">
        <v>0</v>
      </c>
      <c r="BJ423" s="166">
        <v>0</v>
      </c>
      <c r="BK423" s="166">
        <v>0</v>
      </c>
      <c r="BL423" s="166">
        <v>0</v>
      </c>
      <c r="BM423" s="166">
        <v>0</v>
      </c>
      <c r="BN423" s="166">
        <v>0</v>
      </c>
      <c r="BO423" s="166">
        <v>0</v>
      </c>
      <c r="BP423" s="166">
        <v>0</v>
      </c>
      <c r="BQ423" s="81" t="s">
        <v>1759</v>
      </c>
      <c r="BS423" s="81" t="s">
        <v>155</v>
      </c>
      <c r="BZ423" s="81" t="s">
        <v>155</v>
      </c>
      <c r="CA423" s="81">
        <v>12</v>
      </c>
      <c r="CC423" s="167">
        <v>0</v>
      </c>
      <c r="CD423" s="167">
        <v>0</v>
      </c>
      <c r="CE423" s="167">
        <v>0</v>
      </c>
      <c r="CF423" s="167">
        <v>0</v>
      </c>
      <c r="CG423" s="167">
        <v>0</v>
      </c>
      <c r="CH423" s="167">
        <v>23</v>
      </c>
      <c r="CI423" s="167">
        <v>0</v>
      </c>
      <c r="CJ423" s="167">
        <v>0</v>
      </c>
      <c r="CK423" s="167">
        <v>0</v>
      </c>
      <c r="CL423" s="167">
        <v>0</v>
      </c>
      <c r="CM423" s="167">
        <v>0</v>
      </c>
      <c r="CN423" s="167">
        <v>0</v>
      </c>
      <c r="CO423" s="167">
        <v>0</v>
      </c>
      <c r="CP423" s="167">
        <v>0</v>
      </c>
      <c r="CQ423" s="167">
        <v>0</v>
      </c>
      <c r="CR423" s="167">
        <v>0</v>
      </c>
      <c r="CS423" s="167">
        <v>0</v>
      </c>
      <c r="CT423" s="167">
        <v>0</v>
      </c>
      <c r="CU423" s="167">
        <v>0</v>
      </c>
      <c r="CV423" s="167">
        <v>0</v>
      </c>
      <c r="CW423" s="167">
        <v>0</v>
      </c>
      <c r="CX423" s="167">
        <f>SUM(CD423:CH423)</f>
        <v>23</v>
      </c>
      <c r="CY423" s="167">
        <f>SUM(CD423:CM423)</f>
        <v>23</v>
      </c>
    </row>
    <row r="424" spans="1:103" ht="12.75" customHeight="1" x14ac:dyDescent="0.2">
      <c r="A424" s="81">
        <v>3943</v>
      </c>
      <c r="B424" s="165" t="s">
        <v>1908</v>
      </c>
      <c r="C424" s="165" t="s">
        <v>1246</v>
      </c>
      <c r="D424" s="165" t="s">
        <v>129</v>
      </c>
      <c r="E424" s="165" t="s">
        <v>3012</v>
      </c>
      <c r="F424" s="165" t="s">
        <v>3031</v>
      </c>
      <c r="G424" s="81">
        <v>529575</v>
      </c>
      <c r="H424" s="81">
        <v>177401</v>
      </c>
      <c r="I424" s="165" t="s">
        <v>240</v>
      </c>
      <c r="J424" s="349">
        <v>41456</v>
      </c>
      <c r="L424" s="166">
        <v>0</v>
      </c>
      <c r="M424" s="166">
        <v>286</v>
      </c>
      <c r="N424" s="166">
        <v>286</v>
      </c>
      <c r="O424" s="166">
        <v>1950</v>
      </c>
      <c r="P424" s="166">
        <v>1950</v>
      </c>
      <c r="Q424" s="81" t="s">
        <v>155</v>
      </c>
      <c r="R424" s="165" t="s">
        <v>1247</v>
      </c>
      <c r="S424" s="81" t="s">
        <v>509</v>
      </c>
      <c r="T424" s="349">
        <v>42481</v>
      </c>
      <c r="U424" s="349">
        <v>42758</v>
      </c>
      <c r="W424" s="81" t="s">
        <v>114</v>
      </c>
      <c r="Y424" s="81" t="s">
        <v>115</v>
      </c>
      <c r="Z424" s="81" t="s">
        <v>116</v>
      </c>
      <c r="AA424" s="81" t="s">
        <v>116</v>
      </c>
      <c r="AB424" s="81" t="s">
        <v>117</v>
      </c>
      <c r="AC424" s="166">
        <v>0</v>
      </c>
      <c r="AG424" s="81" t="s">
        <v>238</v>
      </c>
      <c r="AH424" s="81" t="s">
        <v>118</v>
      </c>
      <c r="AI424" s="81" t="s">
        <v>3014</v>
      </c>
      <c r="AK424" s="166">
        <v>0</v>
      </c>
      <c r="AL424" s="166">
        <v>257</v>
      </c>
      <c r="AM424" s="166">
        <v>0</v>
      </c>
      <c r="AN424" s="166">
        <v>29</v>
      </c>
      <c r="AO424" s="166">
        <v>16</v>
      </c>
      <c r="AP424" s="166">
        <v>78</v>
      </c>
      <c r="AQ424" s="166">
        <v>129</v>
      </c>
      <c r="AR424" s="166">
        <v>53</v>
      </c>
      <c r="AS424" s="166">
        <v>10</v>
      </c>
      <c r="AT424" s="166">
        <v>0</v>
      </c>
      <c r="AU424" s="166">
        <v>0</v>
      </c>
      <c r="AV424" s="166">
        <v>16</v>
      </c>
      <c r="AW424" s="166">
        <v>78</v>
      </c>
      <c r="AX424" s="166">
        <v>129</v>
      </c>
      <c r="AY424" s="166">
        <v>53</v>
      </c>
      <c r="AZ424" s="166">
        <v>10</v>
      </c>
      <c r="BA424" s="166">
        <v>0</v>
      </c>
      <c r="BB424" s="166">
        <v>0</v>
      </c>
      <c r="BC424" s="166">
        <v>0</v>
      </c>
      <c r="BD424" s="166">
        <v>0</v>
      </c>
      <c r="BE424" s="166">
        <v>0</v>
      </c>
      <c r="BF424" s="166">
        <v>0</v>
      </c>
      <c r="BG424" s="166">
        <v>0</v>
      </c>
      <c r="BH424" s="166">
        <v>0</v>
      </c>
      <c r="BI424" s="166">
        <v>0</v>
      </c>
      <c r="BJ424" s="166">
        <v>0</v>
      </c>
      <c r="BK424" s="166">
        <v>0</v>
      </c>
      <c r="BL424" s="166">
        <v>0</v>
      </c>
      <c r="BM424" s="166">
        <v>0</v>
      </c>
      <c r="BN424" s="166">
        <v>0</v>
      </c>
      <c r="BO424" s="166">
        <v>0</v>
      </c>
      <c r="BP424" s="166">
        <v>0</v>
      </c>
      <c r="BQ424" s="81" t="s">
        <v>1759</v>
      </c>
      <c r="BS424" s="81" t="s">
        <v>155</v>
      </c>
      <c r="BZ424" s="81" t="s">
        <v>155</v>
      </c>
      <c r="CA424" s="81">
        <v>12</v>
      </c>
      <c r="CC424" s="167">
        <v>0</v>
      </c>
      <c r="CD424" s="167">
        <v>0</v>
      </c>
      <c r="CE424" s="167">
        <v>0</v>
      </c>
      <c r="CF424" s="167">
        <v>0</v>
      </c>
      <c r="CG424" s="167">
        <v>0</v>
      </c>
      <c r="CH424" s="167">
        <v>0</v>
      </c>
      <c r="CI424" s="167">
        <v>0</v>
      </c>
      <c r="CJ424" s="167">
        <v>0</v>
      </c>
      <c r="CK424" s="167">
        <v>144</v>
      </c>
      <c r="CL424" s="167">
        <v>142</v>
      </c>
      <c r="CM424" s="167">
        <v>0</v>
      </c>
      <c r="CN424" s="167">
        <v>0</v>
      </c>
      <c r="CO424" s="167">
        <v>0</v>
      </c>
      <c r="CP424" s="167">
        <v>0</v>
      </c>
      <c r="CQ424" s="167">
        <v>0</v>
      </c>
      <c r="CR424" s="167">
        <v>0</v>
      </c>
      <c r="CS424" s="167">
        <v>0</v>
      </c>
      <c r="CT424" s="167">
        <v>0</v>
      </c>
      <c r="CU424" s="167">
        <v>0</v>
      </c>
      <c r="CV424" s="167">
        <v>0</v>
      </c>
      <c r="CW424" s="167">
        <v>0</v>
      </c>
      <c r="CX424" s="167">
        <f>SUM(CD424:CH424)</f>
        <v>0</v>
      </c>
      <c r="CY424" s="167">
        <f>SUM(CD424:CM424)</f>
        <v>286</v>
      </c>
    </row>
    <row r="425" spans="1:103" ht="12.75" customHeight="1" x14ac:dyDescent="0.2">
      <c r="A425" s="81">
        <v>3943</v>
      </c>
      <c r="B425" s="165" t="s">
        <v>1908</v>
      </c>
      <c r="C425" s="165" t="s">
        <v>1246</v>
      </c>
      <c r="D425" s="165" t="s">
        <v>129</v>
      </c>
      <c r="E425" s="165" t="s">
        <v>3012</v>
      </c>
      <c r="F425" s="165" t="s">
        <v>3031</v>
      </c>
      <c r="G425" s="81">
        <v>529575</v>
      </c>
      <c r="H425" s="81">
        <v>177401</v>
      </c>
      <c r="I425" s="165" t="s">
        <v>240</v>
      </c>
      <c r="J425" s="349">
        <v>41456</v>
      </c>
      <c r="L425" s="166">
        <v>0</v>
      </c>
      <c r="M425" s="166">
        <v>30</v>
      </c>
      <c r="N425" s="166">
        <v>30</v>
      </c>
      <c r="O425" s="166">
        <v>1950</v>
      </c>
      <c r="P425" s="166">
        <v>1950</v>
      </c>
      <c r="Q425" s="81" t="s">
        <v>155</v>
      </c>
      <c r="R425" s="165" t="s">
        <v>1247</v>
      </c>
      <c r="S425" s="81" t="s">
        <v>509</v>
      </c>
      <c r="T425" s="349">
        <v>42481</v>
      </c>
      <c r="U425" s="349">
        <v>42758</v>
      </c>
      <c r="W425" s="81" t="s">
        <v>114</v>
      </c>
      <c r="Y425" s="81" t="s">
        <v>115</v>
      </c>
      <c r="Z425" s="81" t="s">
        <v>116</v>
      </c>
      <c r="AA425" s="81" t="s">
        <v>116</v>
      </c>
      <c r="AB425" s="81" t="s">
        <v>117</v>
      </c>
      <c r="AC425" s="166">
        <v>0</v>
      </c>
      <c r="AG425" s="81" t="s">
        <v>154</v>
      </c>
      <c r="AH425" s="81" t="s">
        <v>276</v>
      </c>
      <c r="AI425" s="81" t="s">
        <v>3014</v>
      </c>
      <c r="AK425" s="166">
        <v>0</v>
      </c>
      <c r="AL425" s="166">
        <v>27</v>
      </c>
      <c r="AM425" s="166">
        <v>0</v>
      </c>
      <c r="AN425" s="166">
        <v>3</v>
      </c>
      <c r="AO425" s="166">
        <v>0</v>
      </c>
      <c r="AP425" s="166">
        <v>11</v>
      </c>
      <c r="AQ425" s="166">
        <v>11</v>
      </c>
      <c r="AR425" s="166">
        <v>6</v>
      </c>
      <c r="AS425" s="166">
        <v>2</v>
      </c>
      <c r="AT425" s="166">
        <v>0</v>
      </c>
      <c r="AU425" s="166">
        <v>0</v>
      </c>
      <c r="AV425" s="166">
        <v>0</v>
      </c>
      <c r="AW425" s="166">
        <v>11</v>
      </c>
      <c r="AX425" s="166">
        <v>11</v>
      </c>
      <c r="AY425" s="166">
        <v>6</v>
      </c>
      <c r="AZ425" s="166">
        <v>2</v>
      </c>
      <c r="BA425" s="166">
        <v>0</v>
      </c>
      <c r="BB425" s="166">
        <v>0</v>
      </c>
      <c r="BC425" s="166">
        <v>0</v>
      </c>
      <c r="BD425" s="166">
        <v>0</v>
      </c>
      <c r="BE425" s="166">
        <v>0</v>
      </c>
      <c r="BF425" s="166">
        <v>0</v>
      </c>
      <c r="BG425" s="166">
        <v>0</v>
      </c>
      <c r="BH425" s="166">
        <v>0</v>
      </c>
      <c r="BI425" s="166">
        <v>0</v>
      </c>
      <c r="BJ425" s="166">
        <v>0</v>
      </c>
      <c r="BK425" s="166">
        <v>0</v>
      </c>
      <c r="BL425" s="166">
        <v>0</v>
      </c>
      <c r="BM425" s="166">
        <v>0</v>
      </c>
      <c r="BN425" s="166">
        <v>0</v>
      </c>
      <c r="BO425" s="166">
        <v>0</v>
      </c>
      <c r="BP425" s="166">
        <v>0</v>
      </c>
      <c r="BQ425" s="81" t="s">
        <v>1759</v>
      </c>
      <c r="BS425" s="81" t="s">
        <v>155</v>
      </c>
      <c r="BZ425" s="81" t="s">
        <v>155</v>
      </c>
      <c r="CA425" s="81">
        <v>12</v>
      </c>
      <c r="CC425" s="167">
        <v>0</v>
      </c>
      <c r="CD425" s="167">
        <v>0</v>
      </c>
      <c r="CE425" s="167">
        <v>0</v>
      </c>
      <c r="CF425" s="167">
        <v>0</v>
      </c>
      <c r="CG425" s="167">
        <v>0</v>
      </c>
      <c r="CH425" s="167">
        <v>0</v>
      </c>
      <c r="CI425" s="167">
        <v>0</v>
      </c>
      <c r="CJ425" s="167">
        <v>0</v>
      </c>
      <c r="CK425" s="167">
        <v>30</v>
      </c>
      <c r="CL425" s="167">
        <v>0</v>
      </c>
      <c r="CM425" s="167">
        <v>0</v>
      </c>
      <c r="CN425" s="167">
        <v>0</v>
      </c>
      <c r="CO425" s="167">
        <v>0</v>
      </c>
      <c r="CP425" s="167">
        <v>0</v>
      </c>
      <c r="CQ425" s="167">
        <v>0</v>
      </c>
      <c r="CR425" s="167">
        <v>0</v>
      </c>
      <c r="CS425" s="167">
        <v>0</v>
      </c>
      <c r="CT425" s="167">
        <v>0</v>
      </c>
      <c r="CU425" s="167">
        <v>0</v>
      </c>
      <c r="CV425" s="167">
        <v>0</v>
      </c>
      <c r="CW425" s="167">
        <v>0</v>
      </c>
      <c r="CX425" s="167">
        <f>SUM(CD425:CH425)</f>
        <v>0</v>
      </c>
      <c r="CY425" s="167">
        <f>SUM(CD425:CM425)</f>
        <v>30</v>
      </c>
    </row>
    <row r="426" spans="1:103" ht="12.75" customHeight="1" x14ac:dyDescent="0.2">
      <c r="A426" s="81">
        <v>3943</v>
      </c>
      <c r="B426" s="165" t="s">
        <v>1908</v>
      </c>
      <c r="C426" s="165" t="s">
        <v>1246</v>
      </c>
      <c r="D426" s="165" t="s">
        <v>129</v>
      </c>
      <c r="E426" s="165" t="s">
        <v>3012</v>
      </c>
      <c r="F426" s="165" t="s">
        <v>3031</v>
      </c>
      <c r="G426" s="81">
        <v>529575</v>
      </c>
      <c r="H426" s="81">
        <v>177401</v>
      </c>
      <c r="I426" s="165" t="s">
        <v>240</v>
      </c>
      <c r="J426" s="349">
        <v>41456</v>
      </c>
      <c r="L426" s="166">
        <v>0</v>
      </c>
      <c r="M426" s="166">
        <v>21</v>
      </c>
      <c r="N426" s="166">
        <v>21</v>
      </c>
      <c r="O426" s="166">
        <v>1950</v>
      </c>
      <c r="P426" s="166">
        <v>1950</v>
      </c>
      <c r="Q426" s="81" t="s">
        <v>155</v>
      </c>
      <c r="R426" s="165" t="s">
        <v>1247</v>
      </c>
      <c r="S426" s="81" t="s">
        <v>509</v>
      </c>
      <c r="T426" s="349">
        <v>42481</v>
      </c>
      <c r="U426" s="349">
        <v>42758</v>
      </c>
      <c r="W426" s="81" t="s">
        <v>114</v>
      </c>
      <c r="Y426" s="81" t="s">
        <v>115</v>
      </c>
      <c r="Z426" s="81" t="s">
        <v>116</v>
      </c>
      <c r="AA426" s="81" t="s">
        <v>116</v>
      </c>
      <c r="AB426" s="81" t="s">
        <v>117</v>
      </c>
      <c r="AC426" s="166">
        <v>0</v>
      </c>
      <c r="AG426" s="81" t="s">
        <v>74</v>
      </c>
      <c r="AH426" s="81" t="s">
        <v>880</v>
      </c>
      <c r="AI426" s="81" t="s">
        <v>3014</v>
      </c>
      <c r="AK426" s="166">
        <v>0</v>
      </c>
      <c r="AL426" s="166">
        <v>19</v>
      </c>
      <c r="AM426" s="166">
        <v>0</v>
      </c>
      <c r="AN426" s="166">
        <v>2</v>
      </c>
      <c r="AO426" s="166">
        <v>0</v>
      </c>
      <c r="AP426" s="166">
        <v>8</v>
      </c>
      <c r="AQ426" s="166">
        <v>7</v>
      </c>
      <c r="AR426" s="166">
        <v>4</v>
      </c>
      <c r="AS426" s="166">
        <v>2</v>
      </c>
      <c r="AT426" s="166">
        <v>0</v>
      </c>
      <c r="AU426" s="166">
        <v>0</v>
      </c>
      <c r="AV426" s="166">
        <v>0</v>
      </c>
      <c r="AW426" s="166">
        <v>8</v>
      </c>
      <c r="AX426" s="166">
        <v>7</v>
      </c>
      <c r="AY426" s="166">
        <v>4</v>
      </c>
      <c r="AZ426" s="166">
        <v>2</v>
      </c>
      <c r="BA426" s="166">
        <v>0</v>
      </c>
      <c r="BB426" s="166">
        <v>0</v>
      </c>
      <c r="BC426" s="166">
        <v>0</v>
      </c>
      <c r="BD426" s="166">
        <v>0</v>
      </c>
      <c r="BE426" s="166">
        <v>0</v>
      </c>
      <c r="BF426" s="166">
        <v>0</v>
      </c>
      <c r="BG426" s="166">
        <v>0</v>
      </c>
      <c r="BH426" s="166">
        <v>0</v>
      </c>
      <c r="BI426" s="166">
        <v>0</v>
      </c>
      <c r="BJ426" s="166">
        <v>0</v>
      </c>
      <c r="BK426" s="166">
        <v>0</v>
      </c>
      <c r="BL426" s="166">
        <v>0</v>
      </c>
      <c r="BM426" s="166">
        <v>0</v>
      </c>
      <c r="BN426" s="166">
        <v>0</v>
      </c>
      <c r="BO426" s="166">
        <v>0</v>
      </c>
      <c r="BP426" s="166">
        <v>0</v>
      </c>
      <c r="BQ426" s="81" t="s">
        <v>1759</v>
      </c>
      <c r="BS426" s="81" t="s">
        <v>155</v>
      </c>
      <c r="BZ426" s="81" t="s">
        <v>155</v>
      </c>
      <c r="CA426" s="81">
        <v>12</v>
      </c>
      <c r="CC426" s="167">
        <v>0</v>
      </c>
      <c r="CD426" s="167">
        <v>0</v>
      </c>
      <c r="CE426" s="167">
        <v>0</v>
      </c>
      <c r="CF426" s="167">
        <v>0</v>
      </c>
      <c r="CG426" s="167">
        <v>0</v>
      </c>
      <c r="CH426" s="167">
        <v>0</v>
      </c>
      <c r="CI426" s="167">
        <v>0</v>
      </c>
      <c r="CJ426" s="167">
        <v>0</v>
      </c>
      <c r="CK426" s="167">
        <v>21</v>
      </c>
      <c r="CL426" s="167">
        <v>0</v>
      </c>
      <c r="CM426" s="167">
        <v>0</v>
      </c>
      <c r="CN426" s="167">
        <v>0</v>
      </c>
      <c r="CO426" s="167">
        <v>0</v>
      </c>
      <c r="CP426" s="167">
        <v>0</v>
      </c>
      <c r="CQ426" s="167">
        <v>0</v>
      </c>
      <c r="CR426" s="167">
        <v>0</v>
      </c>
      <c r="CS426" s="167">
        <v>0</v>
      </c>
      <c r="CT426" s="167">
        <v>0</v>
      </c>
      <c r="CU426" s="167">
        <v>0</v>
      </c>
      <c r="CV426" s="167">
        <v>0</v>
      </c>
      <c r="CW426" s="167">
        <v>0</v>
      </c>
      <c r="CX426" s="167">
        <f>SUM(CD426:CH426)</f>
        <v>0</v>
      </c>
      <c r="CY426" s="167">
        <f>SUM(CD426:CM426)</f>
        <v>21</v>
      </c>
    </row>
    <row r="427" spans="1:103" x14ac:dyDescent="0.2">
      <c r="A427" s="81">
        <v>3943</v>
      </c>
      <c r="B427" s="165" t="s">
        <v>1908</v>
      </c>
      <c r="C427" s="165" t="s">
        <v>1246</v>
      </c>
      <c r="D427" s="165" t="s">
        <v>129</v>
      </c>
      <c r="E427" s="165" t="s">
        <v>3012</v>
      </c>
      <c r="F427" s="165" t="s">
        <v>3035</v>
      </c>
      <c r="G427" s="81">
        <v>529575</v>
      </c>
      <c r="H427" s="81">
        <v>177401</v>
      </c>
      <c r="I427" s="165" t="s">
        <v>240</v>
      </c>
      <c r="J427" s="349">
        <v>41456</v>
      </c>
      <c r="L427" s="166">
        <v>0</v>
      </c>
      <c r="M427" s="166">
        <v>233</v>
      </c>
      <c r="N427" s="166">
        <v>233</v>
      </c>
      <c r="O427" s="166">
        <v>1950</v>
      </c>
      <c r="P427" s="166">
        <v>1950</v>
      </c>
      <c r="Q427" s="81" t="s">
        <v>155</v>
      </c>
      <c r="R427" s="165" t="s">
        <v>1247</v>
      </c>
      <c r="S427" s="81" t="s">
        <v>509</v>
      </c>
      <c r="T427" s="349">
        <v>42481</v>
      </c>
      <c r="U427" s="349">
        <v>42758</v>
      </c>
      <c r="W427" s="81" t="s">
        <v>114</v>
      </c>
      <c r="Y427" s="81" t="s">
        <v>115</v>
      </c>
      <c r="Z427" s="81" t="s">
        <v>116</v>
      </c>
      <c r="AA427" s="81" t="s">
        <v>116</v>
      </c>
      <c r="AB427" s="81" t="s">
        <v>117</v>
      </c>
      <c r="AC427" s="166">
        <v>0</v>
      </c>
      <c r="AG427" s="81" t="s">
        <v>238</v>
      </c>
      <c r="AH427" s="81" t="s">
        <v>118</v>
      </c>
      <c r="AI427" s="81" t="s">
        <v>3014</v>
      </c>
      <c r="AK427" s="166">
        <v>0</v>
      </c>
      <c r="AL427" s="166">
        <v>210</v>
      </c>
      <c r="AM427" s="166">
        <v>0</v>
      </c>
      <c r="AN427" s="166">
        <v>23</v>
      </c>
      <c r="AO427" s="166">
        <v>13</v>
      </c>
      <c r="AP427" s="166">
        <v>64</v>
      </c>
      <c r="AQ427" s="166">
        <v>105</v>
      </c>
      <c r="AR427" s="166">
        <v>43</v>
      </c>
      <c r="AS427" s="166">
        <v>8</v>
      </c>
      <c r="AT427" s="166">
        <v>0</v>
      </c>
      <c r="AU427" s="166">
        <v>0</v>
      </c>
      <c r="AV427" s="166">
        <v>13</v>
      </c>
      <c r="AW427" s="166">
        <v>64</v>
      </c>
      <c r="AX427" s="166">
        <v>105</v>
      </c>
      <c r="AY427" s="166">
        <v>43</v>
      </c>
      <c r="AZ427" s="166">
        <v>8</v>
      </c>
      <c r="BA427" s="166">
        <v>0</v>
      </c>
      <c r="BB427" s="166">
        <v>0</v>
      </c>
      <c r="BC427" s="166">
        <v>0</v>
      </c>
      <c r="BD427" s="166">
        <v>0</v>
      </c>
      <c r="BE427" s="166">
        <v>0</v>
      </c>
      <c r="BF427" s="166">
        <v>0</v>
      </c>
      <c r="BG427" s="166">
        <v>0</v>
      </c>
      <c r="BH427" s="166">
        <v>0</v>
      </c>
      <c r="BI427" s="166">
        <v>0</v>
      </c>
      <c r="BJ427" s="166">
        <v>0</v>
      </c>
      <c r="BK427" s="166">
        <v>0</v>
      </c>
      <c r="BL427" s="166">
        <v>0</v>
      </c>
      <c r="BM427" s="166">
        <v>0</v>
      </c>
      <c r="BN427" s="166">
        <v>0</v>
      </c>
      <c r="BO427" s="166">
        <v>0</v>
      </c>
      <c r="BP427" s="166">
        <v>0</v>
      </c>
      <c r="BQ427" s="81" t="s">
        <v>1759</v>
      </c>
      <c r="BS427" s="81" t="s">
        <v>155</v>
      </c>
      <c r="BZ427" s="81" t="s">
        <v>155</v>
      </c>
      <c r="CA427" s="81">
        <v>12</v>
      </c>
      <c r="CC427" s="167">
        <v>0</v>
      </c>
      <c r="CD427" s="167">
        <v>0</v>
      </c>
      <c r="CE427" s="167">
        <v>0</v>
      </c>
      <c r="CF427" s="167">
        <v>0</v>
      </c>
      <c r="CG427" s="167">
        <v>0</v>
      </c>
      <c r="CH427" s="167">
        <v>0</v>
      </c>
      <c r="CI427" s="167">
        <v>0</v>
      </c>
      <c r="CJ427" s="167">
        <v>0</v>
      </c>
      <c r="CK427" s="167">
        <v>0</v>
      </c>
      <c r="CL427" s="167">
        <v>144</v>
      </c>
      <c r="CM427" s="167">
        <v>89</v>
      </c>
      <c r="CN427" s="167">
        <v>0</v>
      </c>
      <c r="CO427" s="167">
        <v>0</v>
      </c>
      <c r="CP427" s="167">
        <v>0</v>
      </c>
      <c r="CQ427" s="167">
        <v>0</v>
      </c>
      <c r="CR427" s="167">
        <v>0</v>
      </c>
      <c r="CS427" s="167">
        <v>0</v>
      </c>
      <c r="CT427" s="167">
        <v>0</v>
      </c>
      <c r="CU427" s="167">
        <v>0</v>
      </c>
      <c r="CV427" s="167">
        <v>0</v>
      </c>
      <c r="CW427" s="167">
        <v>0</v>
      </c>
      <c r="CX427" s="167">
        <f>SUM(CD427:CH427)</f>
        <v>0</v>
      </c>
      <c r="CY427" s="167">
        <f>SUM(CD427:CM427)</f>
        <v>233</v>
      </c>
    </row>
    <row r="428" spans="1:103" ht="12.75" customHeight="1" x14ac:dyDescent="0.2">
      <c r="A428" s="81">
        <v>3943</v>
      </c>
      <c r="B428" s="165" t="s">
        <v>1908</v>
      </c>
      <c r="C428" s="165" t="s">
        <v>1246</v>
      </c>
      <c r="D428" s="165" t="s">
        <v>129</v>
      </c>
      <c r="E428" s="165" t="s">
        <v>3012</v>
      </c>
      <c r="F428" s="165" t="s">
        <v>3035</v>
      </c>
      <c r="G428" s="81">
        <v>529575</v>
      </c>
      <c r="H428" s="81">
        <v>177401</v>
      </c>
      <c r="I428" s="165" t="s">
        <v>240</v>
      </c>
      <c r="J428" s="349">
        <v>41456</v>
      </c>
      <c r="L428" s="166">
        <v>0</v>
      </c>
      <c r="M428" s="166">
        <v>25</v>
      </c>
      <c r="N428" s="166">
        <v>25</v>
      </c>
      <c r="O428" s="166">
        <v>1950</v>
      </c>
      <c r="P428" s="166">
        <v>1950</v>
      </c>
      <c r="Q428" s="81" t="s">
        <v>155</v>
      </c>
      <c r="R428" s="165" t="s">
        <v>1247</v>
      </c>
      <c r="S428" s="81" t="s">
        <v>509</v>
      </c>
      <c r="T428" s="349">
        <v>42481</v>
      </c>
      <c r="U428" s="349">
        <v>42758</v>
      </c>
      <c r="W428" s="81" t="s">
        <v>114</v>
      </c>
      <c r="Y428" s="81" t="s">
        <v>115</v>
      </c>
      <c r="Z428" s="81" t="s">
        <v>116</v>
      </c>
      <c r="AA428" s="81" t="s">
        <v>116</v>
      </c>
      <c r="AB428" s="81" t="s">
        <v>117</v>
      </c>
      <c r="AC428" s="166">
        <v>0</v>
      </c>
      <c r="AG428" s="81" t="s">
        <v>154</v>
      </c>
      <c r="AH428" s="81" t="s">
        <v>276</v>
      </c>
      <c r="AI428" s="81" t="s">
        <v>3014</v>
      </c>
      <c r="AK428" s="166">
        <v>0</v>
      </c>
      <c r="AL428" s="166">
        <v>22</v>
      </c>
      <c r="AM428" s="166">
        <v>0</v>
      </c>
      <c r="AN428" s="166">
        <v>3</v>
      </c>
      <c r="AO428" s="166">
        <v>0</v>
      </c>
      <c r="AP428" s="166">
        <v>9</v>
      </c>
      <c r="AQ428" s="166">
        <v>9</v>
      </c>
      <c r="AR428" s="166">
        <v>5</v>
      </c>
      <c r="AS428" s="166">
        <v>2</v>
      </c>
      <c r="AT428" s="166">
        <v>0</v>
      </c>
      <c r="AU428" s="166">
        <v>0</v>
      </c>
      <c r="AV428" s="166">
        <v>0</v>
      </c>
      <c r="AW428" s="166">
        <v>9</v>
      </c>
      <c r="AX428" s="166">
        <v>9</v>
      </c>
      <c r="AY428" s="166">
        <v>5</v>
      </c>
      <c r="AZ428" s="166">
        <v>2</v>
      </c>
      <c r="BA428" s="166">
        <v>0</v>
      </c>
      <c r="BB428" s="166">
        <v>0</v>
      </c>
      <c r="BC428" s="166">
        <v>0</v>
      </c>
      <c r="BD428" s="166">
        <v>0</v>
      </c>
      <c r="BE428" s="166">
        <v>0</v>
      </c>
      <c r="BF428" s="166">
        <v>0</v>
      </c>
      <c r="BG428" s="166">
        <v>0</v>
      </c>
      <c r="BH428" s="166">
        <v>0</v>
      </c>
      <c r="BI428" s="166">
        <v>0</v>
      </c>
      <c r="BJ428" s="166">
        <v>0</v>
      </c>
      <c r="BK428" s="166">
        <v>0</v>
      </c>
      <c r="BL428" s="166">
        <v>0</v>
      </c>
      <c r="BM428" s="166">
        <v>0</v>
      </c>
      <c r="BN428" s="166">
        <v>0</v>
      </c>
      <c r="BO428" s="166">
        <v>0</v>
      </c>
      <c r="BP428" s="166">
        <v>0</v>
      </c>
      <c r="BQ428" s="81" t="s">
        <v>1759</v>
      </c>
      <c r="BS428" s="81" t="s">
        <v>155</v>
      </c>
      <c r="BZ428" s="81" t="s">
        <v>155</v>
      </c>
      <c r="CA428" s="81">
        <v>12</v>
      </c>
      <c r="CC428" s="167">
        <v>0</v>
      </c>
      <c r="CD428" s="167">
        <v>0</v>
      </c>
      <c r="CE428" s="167">
        <v>0</v>
      </c>
      <c r="CF428" s="167">
        <v>0</v>
      </c>
      <c r="CG428" s="167">
        <v>0</v>
      </c>
      <c r="CH428" s="167">
        <v>0</v>
      </c>
      <c r="CI428" s="167">
        <v>0</v>
      </c>
      <c r="CJ428" s="167">
        <v>0</v>
      </c>
      <c r="CK428" s="167">
        <v>0</v>
      </c>
      <c r="CL428" s="167">
        <v>25</v>
      </c>
      <c r="CM428" s="167">
        <v>0</v>
      </c>
      <c r="CN428" s="167">
        <v>0</v>
      </c>
      <c r="CO428" s="167">
        <v>0</v>
      </c>
      <c r="CP428" s="167">
        <v>0</v>
      </c>
      <c r="CQ428" s="167">
        <v>0</v>
      </c>
      <c r="CR428" s="167">
        <v>0</v>
      </c>
      <c r="CS428" s="167">
        <v>0</v>
      </c>
      <c r="CT428" s="167">
        <v>0</v>
      </c>
      <c r="CU428" s="167">
        <v>0</v>
      </c>
      <c r="CV428" s="167">
        <v>0</v>
      </c>
      <c r="CW428" s="167">
        <v>0</v>
      </c>
      <c r="CX428" s="167">
        <f>SUM(CD428:CH428)</f>
        <v>0</v>
      </c>
      <c r="CY428" s="167">
        <f>SUM(CD428:CM428)</f>
        <v>25</v>
      </c>
    </row>
    <row r="429" spans="1:103" ht="12.75" customHeight="1" x14ac:dyDescent="0.2">
      <c r="A429" s="81">
        <v>3943</v>
      </c>
      <c r="B429" s="165" t="s">
        <v>1908</v>
      </c>
      <c r="C429" s="165" t="s">
        <v>1246</v>
      </c>
      <c r="D429" s="165" t="s">
        <v>129</v>
      </c>
      <c r="E429" s="165" t="s">
        <v>3012</v>
      </c>
      <c r="F429" s="165" t="s">
        <v>3035</v>
      </c>
      <c r="G429" s="81">
        <v>529575</v>
      </c>
      <c r="H429" s="81">
        <v>177401</v>
      </c>
      <c r="I429" s="165" t="s">
        <v>240</v>
      </c>
      <c r="J429" s="349">
        <v>41456</v>
      </c>
      <c r="L429" s="166">
        <v>0</v>
      </c>
      <c r="M429" s="166">
        <v>16</v>
      </c>
      <c r="N429" s="166">
        <v>16</v>
      </c>
      <c r="O429" s="166">
        <v>1950</v>
      </c>
      <c r="P429" s="166">
        <v>1950</v>
      </c>
      <c r="Q429" s="81" t="s">
        <v>155</v>
      </c>
      <c r="R429" s="165" t="s">
        <v>1247</v>
      </c>
      <c r="S429" s="81" t="s">
        <v>509</v>
      </c>
      <c r="T429" s="349">
        <v>42481</v>
      </c>
      <c r="U429" s="349">
        <v>42758</v>
      </c>
      <c r="W429" s="81" t="s">
        <v>114</v>
      </c>
      <c r="Y429" s="81" t="s">
        <v>115</v>
      </c>
      <c r="Z429" s="81" t="s">
        <v>116</v>
      </c>
      <c r="AA429" s="81" t="s">
        <v>116</v>
      </c>
      <c r="AB429" s="81" t="s">
        <v>117</v>
      </c>
      <c r="AC429" s="166">
        <v>0</v>
      </c>
      <c r="AG429" s="81" t="s">
        <v>74</v>
      </c>
      <c r="AH429" s="81" t="s">
        <v>880</v>
      </c>
      <c r="AI429" s="81" t="s">
        <v>3014</v>
      </c>
      <c r="AK429" s="166">
        <v>0</v>
      </c>
      <c r="AL429" s="166">
        <v>14</v>
      </c>
      <c r="AM429" s="166">
        <v>0</v>
      </c>
      <c r="AN429" s="166">
        <v>2</v>
      </c>
      <c r="AO429" s="166">
        <v>0</v>
      </c>
      <c r="AP429" s="166">
        <v>6</v>
      </c>
      <c r="AQ429" s="166">
        <v>6</v>
      </c>
      <c r="AR429" s="166">
        <v>3</v>
      </c>
      <c r="AS429" s="166">
        <v>1</v>
      </c>
      <c r="AT429" s="166">
        <v>0</v>
      </c>
      <c r="AU429" s="166">
        <v>0</v>
      </c>
      <c r="AV429" s="166">
        <v>0</v>
      </c>
      <c r="AW429" s="166">
        <v>6</v>
      </c>
      <c r="AX429" s="166">
        <v>6</v>
      </c>
      <c r="AY429" s="166">
        <v>3</v>
      </c>
      <c r="AZ429" s="166">
        <v>1</v>
      </c>
      <c r="BA429" s="166">
        <v>0</v>
      </c>
      <c r="BB429" s="166">
        <v>0</v>
      </c>
      <c r="BC429" s="166">
        <v>0</v>
      </c>
      <c r="BD429" s="166">
        <v>0</v>
      </c>
      <c r="BE429" s="166">
        <v>0</v>
      </c>
      <c r="BF429" s="166">
        <v>0</v>
      </c>
      <c r="BG429" s="166">
        <v>0</v>
      </c>
      <c r="BH429" s="166">
        <v>0</v>
      </c>
      <c r="BI429" s="166">
        <v>0</v>
      </c>
      <c r="BJ429" s="166">
        <v>0</v>
      </c>
      <c r="BK429" s="166">
        <v>0</v>
      </c>
      <c r="BL429" s="166">
        <v>0</v>
      </c>
      <c r="BM429" s="166">
        <v>0</v>
      </c>
      <c r="BN429" s="166">
        <v>0</v>
      </c>
      <c r="BO429" s="166">
        <v>0</v>
      </c>
      <c r="BP429" s="166">
        <v>0</v>
      </c>
      <c r="BQ429" s="81" t="s">
        <v>1759</v>
      </c>
      <c r="BS429" s="81" t="s">
        <v>155</v>
      </c>
      <c r="BZ429" s="81" t="s">
        <v>155</v>
      </c>
      <c r="CA429" s="81">
        <v>12</v>
      </c>
      <c r="CC429" s="167">
        <v>0</v>
      </c>
      <c r="CD429" s="167">
        <v>0</v>
      </c>
      <c r="CE429" s="167">
        <v>0</v>
      </c>
      <c r="CF429" s="167">
        <v>0</v>
      </c>
      <c r="CG429" s="167">
        <v>0</v>
      </c>
      <c r="CH429" s="167">
        <v>0</v>
      </c>
      <c r="CI429" s="167">
        <v>0</v>
      </c>
      <c r="CJ429" s="167">
        <v>0</v>
      </c>
      <c r="CK429" s="167">
        <v>0</v>
      </c>
      <c r="CL429" s="167">
        <v>16</v>
      </c>
      <c r="CM429" s="167">
        <v>0</v>
      </c>
      <c r="CN429" s="167">
        <v>0</v>
      </c>
      <c r="CO429" s="167">
        <v>0</v>
      </c>
      <c r="CP429" s="167">
        <v>0</v>
      </c>
      <c r="CQ429" s="167">
        <v>0</v>
      </c>
      <c r="CR429" s="167">
        <v>0</v>
      </c>
      <c r="CS429" s="167">
        <v>0</v>
      </c>
      <c r="CT429" s="167">
        <v>0</v>
      </c>
      <c r="CU429" s="167">
        <v>0</v>
      </c>
      <c r="CV429" s="167">
        <v>0</v>
      </c>
      <c r="CW429" s="167">
        <v>0</v>
      </c>
      <c r="CX429" s="167">
        <f>SUM(CD429:CH429)</f>
        <v>0</v>
      </c>
      <c r="CY429" s="167">
        <f>SUM(CD429:CM429)</f>
        <v>16</v>
      </c>
    </row>
    <row r="430" spans="1:103" x14ac:dyDescent="0.2">
      <c r="A430" s="81">
        <v>3943</v>
      </c>
      <c r="B430" s="165" t="s">
        <v>1908</v>
      </c>
      <c r="C430" s="165" t="s">
        <v>1246</v>
      </c>
      <c r="D430" s="165" t="s">
        <v>129</v>
      </c>
      <c r="E430" s="165" t="s">
        <v>3012</v>
      </c>
      <c r="F430" s="165" t="s">
        <v>3065</v>
      </c>
      <c r="G430" s="81">
        <v>529575</v>
      </c>
      <c r="H430" s="81">
        <v>177401</v>
      </c>
      <c r="I430" s="165" t="s">
        <v>240</v>
      </c>
      <c r="J430" s="349">
        <v>41456</v>
      </c>
      <c r="L430" s="166">
        <v>0</v>
      </c>
      <c r="M430" s="166">
        <v>159</v>
      </c>
      <c r="N430" s="166">
        <v>159</v>
      </c>
      <c r="O430" s="166">
        <v>1950</v>
      </c>
      <c r="P430" s="166">
        <v>1950</v>
      </c>
      <c r="Q430" s="81" t="s">
        <v>155</v>
      </c>
      <c r="R430" s="165" t="s">
        <v>1247</v>
      </c>
      <c r="S430" s="81" t="s">
        <v>509</v>
      </c>
      <c r="T430" s="349">
        <v>42481</v>
      </c>
      <c r="U430" s="349">
        <v>42758</v>
      </c>
      <c r="W430" s="81" t="s">
        <v>114</v>
      </c>
      <c r="Y430" s="81" t="s">
        <v>115</v>
      </c>
      <c r="Z430" s="81" t="s">
        <v>116</v>
      </c>
      <c r="AA430" s="81" t="s">
        <v>116</v>
      </c>
      <c r="AB430" s="81" t="s">
        <v>117</v>
      </c>
      <c r="AC430" s="166">
        <v>0</v>
      </c>
      <c r="AG430" s="81" t="s">
        <v>238</v>
      </c>
      <c r="AH430" s="81" t="s">
        <v>118</v>
      </c>
      <c r="AI430" s="81" t="s">
        <v>3014</v>
      </c>
      <c r="AK430" s="166">
        <v>0</v>
      </c>
      <c r="AL430" s="166">
        <v>143</v>
      </c>
      <c r="AM430" s="166">
        <v>0</v>
      </c>
      <c r="AN430" s="166">
        <v>16</v>
      </c>
      <c r="AO430" s="166">
        <v>9</v>
      </c>
      <c r="AP430" s="166">
        <v>43</v>
      </c>
      <c r="AQ430" s="166">
        <v>72</v>
      </c>
      <c r="AR430" s="166">
        <v>29</v>
      </c>
      <c r="AS430" s="166">
        <v>6</v>
      </c>
      <c r="AT430" s="166">
        <v>0</v>
      </c>
      <c r="AU430" s="166">
        <v>0</v>
      </c>
      <c r="AV430" s="166">
        <v>9</v>
      </c>
      <c r="AW430" s="166">
        <v>43</v>
      </c>
      <c r="AX430" s="166">
        <v>72</v>
      </c>
      <c r="AY430" s="166">
        <v>29</v>
      </c>
      <c r="AZ430" s="166">
        <v>6</v>
      </c>
      <c r="BA430" s="166">
        <v>0</v>
      </c>
      <c r="BB430" s="166">
        <v>0</v>
      </c>
      <c r="BC430" s="166">
        <v>0</v>
      </c>
      <c r="BD430" s="166">
        <v>0</v>
      </c>
      <c r="BE430" s="166">
        <v>0</v>
      </c>
      <c r="BF430" s="166">
        <v>0</v>
      </c>
      <c r="BG430" s="166">
        <v>0</v>
      </c>
      <c r="BH430" s="166">
        <v>0</v>
      </c>
      <c r="BI430" s="166">
        <v>0</v>
      </c>
      <c r="BJ430" s="166">
        <v>0</v>
      </c>
      <c r="BK430" s="166">
        <v>0</v>
      </c>
      <c r="BL430" s="166">
        <v>0</v>
      </c>
      <c r="BM430" s="166">
        <v>0</v>
      </c>
      <c r="BN430" s="166">
        <v>0</v>
      </c>
      <c r="BO430" s="166">
        <v>0</v>
      </c>
      <c r="BP430" s="166">
        <v>0</v>
      </c>
      <c r="BQ430" s="81" t="s">
        <v>1759</v>
      </c>
      <c r="BS430" s="81" t="s">
        <v>155</v>
      </c>
      <c r="BZ430" s="81" t="s">
        <v>155</v>
      </c>
      <c r="CA430" s="81">
        <v>12</v>
      </c>
      <c r="CC430" s="167">
        <v>0</v>
      </c>
      <c r="CD430" s="167">
        <v>0</v>
      </c>
      <c r="CE430" s="167">
        <v>0</v>
      </c>
      <c r="CF430" s="167">
        <v>0</v>
      </c>
      <c r="CG430" s="167">
        <v>0</v>
      </c>
      <c r="CH430" s="167">
        <v>0</v>
      </c>
      <c r="CI430" s="167">
        <v>0</v>
      </c>
      <c r="CJ430" s="167">
        <v>0</v>
      </c>
      <c r="CK430" s="167">
        <v>0</v>
      </c>
      <c r="CL430" s="167">
        <v>0</v>
      </c>
      <c r="CM430" s="167">
        <v>159</v>
      </c>
      <c r="CN430" s="167">
        <v>0</v>
      </c>
      <c r="CO430" s="167">
        <v>0</v>
      </c>
      <c r="CP430" s="167">
        <v>0</v>
      </c>
      <c r="CQ430" s="167">
        <v>0</v>
      </c>
      <c r="CR430" s="167">
        <v>0</v>
      </c>
      <c r="CS430" s="167">
        <v>0</v>
      </c>
      <c r="CT430" s="167">
        <v>0</v>
      </c>
      <c r="CU430" s="167">
        <v>0</v>
      </c>
      <c r="CV430" s="167">
        <v>0</v>
      </c>
      <c r="CW430" s="167">
        <v>0</v>
      </c>
      <c r="CX430" s="167">
        <f>SUM(CD430:CH430)</f>
        <v>0</v>
      </c>
      <c r="CY430" s="167">
        <f>SUM(CD430:CM430)</f>
        <v>159</v>
      </c>
    </row>
    <row r="431" spans="1:103" ht="12.75" customHeight="1" x14ac:dyDescent="0.2">
      <c r="A431" s="81">
        <v>3943</v>
      </c>
      <c r="B431" s="165" t="s">
        <v>1908</v>
      </c>
      <c r="C431" s="165" t="s">
        <v>1246</v>
      </c>
      <c r="D431" s="165" t="s">
        <v>129</v>
      </c>
      <c r="E431" s="165" t="s">
        <v>3012</v>
      </c>
      <c r="F431" s="165" t="s">
        <v>3065</v>
      </c>
      <c r="G431" s="81">
        <v>529575</v>
      </c>
      <c r="H431" s="81">
        <v>177401</v>
      </c>
      <c r="I431" s="165" t="s">
        <v>240</v>
      </c>
      <c r="J431" s="349">
        <v>41456</v>
      </c>
      <c r="L431" s="166">
        <v>0</v>
      </c>
      <c r="M431" s="166">
        <v>16</v>
      </c>
      <c r="N431" s="166">
        <v>16</v>
      </c>
      <c r="O431" s="166">
        <v>1950</v>
      </c>
      <c r="P431" s="166">
        <v>1950</v>
      </c>
      <c r="Q431" s="81" t="s">
        <v>155</v>
      </c>
      <c r="R431" s="165" t="s">
        <v>1247</v>
      </c>
      <c r="S431" s="81" t="s">
        <v>509</v>
      </c>
      <c r="T431" s="349">
        <v>42481</v>
      </c>
      <c r="U431" s="349">
        <v>42758</v>
      </c>
      <c r="W431" s="81" t="s">
        <v>114</v>
      </c>
      <c r="Y431" s="81" t="s">
        <v>115</v>
      </c>
      <c r="Z431" s="81" t="s">
        <v>116</v>
      </c>
      <c r="AA431" s="81" t="s">
        <v>116</v>
      </c>
      <c r="AB431" s="81" t="s">
        <v>117</v>
      </c>
      <c r="AC431" s="166">
        <v>0</v>
      </c>
      <c r="AG431" s="81" t="s">
        <v>154</v>
      </c>
      <c r="AH431" s="81" t="s">
        <v>276</v>
      </c>
      <c r="AI431" s="81" t="s">
        <v>3014</v>
      </c>
      <c r="AK431" s="166">
        <v>0</v>
      </c>
      <c r="AL431" s="166">
        <v>14</v>
      </c>
      <c r="AM431" s="166">
        <v>0</v>
      </c>
      <c r="AN431" s="166">
        <v>2</v>
      </c>
      <c r="AO431" s="166">
        <v>0</v>
      </c>
      <c r="AP431" s="166">
        <v>6</v>
      </c>
      <c r="AQ431" s="166">
        <v>6</v>
      </c>
      <c r="AR431" s="166">
        <v>3</v>
      </c>
      <c r="AS431" s="166">
        <v>1</v>
      </c>
      <c r="AT431" s="166">
        <v>0</v>
      </c>
      <c r="AU431" s="166">
        <v>0</v>
      </c>
      <c r="AV431" s="166">
        <v>0</v>
      </c>
      <c r="AW431" s="166">
        <v>6</v>
      </c>
      <c r="AX431" s="166">
        <v>6</v>
      </c>
      <c r="AY431" s="166">
        <v>3</v>
      </c>
      <c r="AZ431" s="166">
        <v>1</v>
      </c>
      <c r="BA431" s="166">
        <v>0</v>
      </c>
      <c r="BB431" s="166">
        <v>0</v>
      </c>
      <c r="BC431" s="166">
        <v>0</v>
      </c>
      <c r="BD431" s="166">
        <v>0</v>
      </c>
      <c r="BE431" s="166">
        <v>0</v>
      </c>
      <c r="BF431" s="166">
        <v>0</v>
      </c>
      <c r="BG431" s="166">
        <v>0</v>
      </c>
      <c r="BH431" s="166">
        <v>0</v>
      </c>
      <c r="BI431" s="166">
        <v>0</v>
      </c>
      <c r="BJ431" s="166">
        <v>0</v>
      </c>
      <c r="BK431" s="166">
        <v>0</v>
      </c>
      <c r="BL431" s="166">
        <v>0</v>
      </c>
      <c r="BM431" s="166">
        <v>0</v>
      </c>
      <c r="BN431" s="166">
        <v>0</v>
      </c>
      <c r="BO431" s="166">
        <v>0</v>
      </c>
      <c r="BP431" s="166">
        <v>0</v>
      </c>
      <c r="BQ431" s="81" t="s">
        <v>1759</v>
      </c>
      <c r="BS431" s="81" t="s">
        <v>155</v>
      </c>
      <c r="BZ431" s="81" t="s">
        <v>155</v>
      </c>
      <c r="CA431" s="81">
        <v>12</v>
      </c>
      <c r="CC431" s="167">
        <v>0</v>
      </c>
      <c r="CD431" s="167">
        <v>0</v>
      </c>
      <c r="CE431" s="167">
        <v>0</v>
      </c>
      <c r="CF431" s="167">
        <v>0</v>
      </c>
      <c r="CG431" s="167">
        <v>0</v>
      </c>
      <c r="CH431" s="167">
        <v>0</v>
      </c>
      <c r="CI431" s="167">
        <v>0</v>
      </c>
      <c r="CJ431" s="167">
        <v>0</v>
      </c>
      <c r="CK431" s="167">
        <v>0</v>
      </c>
      <c r="CL431" s="167">
        <v>0</v>
      </c>
      <c r="CM431" s="167">
        <v>16</v>
      </c>
      <c r="CN431" s="167">
        <v>0</v>
      </c>
      <c r="CO431" s="167">
        <v>0</v>
      </c>
      <c r="CP431" s="167">
        <v>0</v>
      </c>
      <c r="CQ431" s="167">
        <v>0</v>
      </c>
      <c r="CR431" s="167">
        <v>0</v>
      </c>
      <c r="CS431" s="167">
        <v>0</v>
      </c>
      <c r="CT431" s="167">
        <v>0</v>
      </c>
      <c r="CU431" s="167">
        <v>0</v>
      </c>
      <c r="CV431" s="167">
        <v>0</v>
      </c>
      <c r="CW431" s="167">
        <v>0</v>
      </c>
      <c r="CX431" s="167">
        <f>SUM(CD431:CH431)</f>
        <v>0</v>
      </c>
      <c r="CY431" s="167">
        <f>SUM(CD431:CM431)</f>
        <v>16</v>
      </c>
    </row>
    <row r="432" spans="1:103" x14ac:dyDescent="0.2">
      <c r="A432" s="81">
        <v>3943</v>
      </c>
      <c r="B432" s="165" t="s">
        <v>1908</v>
      </c>
      <c r="C432" s="165" t="s">
        <v>1246</v>
      </c>
      <c r="D432" s="165" t="s">
        <v>129</v>
      </c>
      <c r="E432" s="165" t="s">
        <v>3012</v>
      </c>
      <c r="F432" s="165" t="s">
        <v>3065</v>
      </c>
      <c r="G432" s="81">
        <v>529575</v>
      </c>
      <c r="H432" s="81">
        <v>177401</v>
      </c>
      <c r="I432" s="165" t="s">
        <v>240</v>
      </c>
      <c r="J432" s="349">
        <v>41456</v>
      </c>
      <c r="L432" s="166">
        <v>0</v>
      </c>
      <c r="M432" s="166">
        <v>12</v>
      </c>
      <c r="N432" s="166">
        <v>12</v>
      </c>
      <c r="O432" s="166">
        <v>1950</v>
      </c>
      <c r="P432" s="166">
        <v>1950</v>
      </c>
      <c r="Q432" s="81" t="s">
        <v>155</v>
      </c>
      <c r="R432" s="165" t="s">
        <v>1247</v>
      </c>
      <c r="S432" s="81" t="s">
        <v>509</v>
      </c>
      <c r="T432" s="349">
        <v>42481</v>
      </c>
      <c r="U432" s="349">
        <v>42758</v>
      </c>
      <c r="W432" s="81" t="s">
        <v>114</v>
      </c>
      <c r="Y432" s="81" t="s">
        <v>115</v>
      </c>
      <c r="Z432" s="81" t="s">
        <v>116</v>
      </c>
      <c r="AA432" s="81" t="s">
        <v>116</v>
      </c>
      <c r="AB432" s="81" t="s">
        <v>117</v>
      </c>
      <c r="AC432" s="166">
        <v>0</v>
      </c>
      <c r="AG432" s="81" t="s">
        <v>74</v>
      </c>
      <c r="AH432" s="81" t="s">
        <v>880</v>
      </c>
      <c r="AI432" s="81" t="s">
        <v>3014</v>
      </c>
      <c r="AK432" s="166">
        <v>0</v>
      </c>
      <c r="AL432" s="166">
        <v>11</v>
      </c>
      <c r="AM432" s="166">
        <v>0</v>
      </c>
      <c r="AN432" s="166">
        <v>1</v>
      </c>
      <c r="AO432" s="166">
        <v>0</v>
      </c>
      <c r="AP432" s="166">
        <v>4</v>
      </c>
      <c r="AQ432" s="166">
        <v>5</v>
      </c>
      <c r="AR432" s="166">
        <v>2</v>
      </c>
      <c r="AS432" s="166">
        <v>1</v>
      </c>
      <c r="AT432" s="166">
        <v>0</v>
      </c>
      <c r="AU432" s="166">
        <v>0</v>
      </c>
      <c r="AV432" s="166">
        <v>0</v>
      </c>
      <c r="AW432" s="166">
        <v>4</v>
      </c>
      <c r="AX432" s="166">
        <v>5</v>
      </c>
      <c r="AY432" s="166">
        <v>2</v>
      </c>
      <c r="AZ432" s="166">
        <v>1</v>
      </c>
      <c r="BA432" s="166">
        <v>0</v>
      </c>
      <c r="BB432" s="166">
        <v>0</v>
      </c>
      <c r="BC432" s="166">
        <v>0</v>
      </c>
      <c r="BD432" s="166">
        <v>0</v>
      </c>
      <c r="BE432" s="166">
        <v>0</v>
      </c>
      <c r="BF432" s="166">
        <v>0</v>
      </c>
      <c r="BG432" s="166">
        <v>0</v>
      </c>
      <c r="BH432" s="166">
        <v>0</v>
      </c>
      <c r="BI432" s="166">
        <v>0</v>
      </c>
      <c r="BJ432" s="166">
        <v>0</v>
      </c>
      <c r="BK432" s="166">
        <v>0</v>
      </c>
      <c r="BL432" s="166">
        <v>0</v>
      </c>
      <c r="BM432" s="166">
        <v>0</v>
      </c>
      <c r="BN432" s="166">
        <v>0</v>
      </c>
      <c r="BO432" s="166">
        <v>0</v>
      </c>
      <c r="BP432" s="166">
        <v>0</v>
      </c>
      <c r="BQ432" s="81" t="s">
        <v>1759</v>
      </c>
      <c r="BS432" s="81" t="s">
        <v>155</v>
      </c>
      <c r="BZ432" s="81" t="s">
        <v>155</v>
      </c>
      <c r="CA432" s="81">
        <v>12</v>
      </c>
      <c r="CC432" s="167">
        <v>0</v>
      </c>
      <c r="CD432" s="167">
        <v>0</v>
      </c>
      <c r="CE432" s="167">
        <v>0</v>
      </c>
      <c r="CF432" s="167">
        <v>0</v>
      </c>
      <c r="CG432" s="167">
        <v>0</v>
      </c>
      <c r="CH432" s="167">
        <v>0</v>
      </c>
      <c r="CI432" s="167">
        <v>0</v>
      </c>
      <c r="CJ432" s="167">
        <v>0</v>
      </c>
      <c r="CK432" s="167">
        <v>0</v>
      </c>
      <c r="CL432" s="167">
        <v>0</v>
      </c>
      <c r="CM432" s="167">
        <v>12</v>
      </c>
      <c r="CN432" s="167">
        <v>0</v>
      </c>
      <c r="CO432" s="167">
        <v>0</v>
      </c>
      <c r="CP432" s="167">
        <v>0</v>
      </c>
      <c r="CQ432" s="167">
        <v>0</v>
      </c>
      <c r="CR432" s="167">
        <v>0</v>
      </c>
      <c r="CS432" s="167">
        <v>0</v>
      </c>
      <c r="CT432" s="167">
        <v>0</v>
      </c>
      <c r="CU432" s="167">
        <v>0</v>
      </c>
      <c r="CV432" s="167">
        <v>0</v>
      </c>
      <c r="CW432" s="167">
        <v>0</v>
      </c>
      <c r="CX432" s="167">
        <f>SUM(CD432:CH432)</f>
        <v>0</v>
      </c>
      <c r="CY432" s="167">
        <f>SUM(CD432:CM432)</f>
        <v>12</v>
      </c>
    </row>
    <row r="433" spans="1:103" ht="12.75" customHeight="1" x14ac:dyDescent="0.2">
      <c r="A433" s="81">
        <v>3944</v>
      </c>
      <c r="B433" s="165" t="s">
        <v>1908</v>
      </c>
      <c r="C433" s="165" t="s">
        <v>1045</v>
      </c>
      <c r="D433" s="165" t="s">
        <v>512</v>
      </c>
      <c r="E433" s="165" t="s">
        <v>3091</v>
      </c>
      <c r="F433" s="165" t="s">
        <v>3937</v>
      </c>
      <c r="G433" s="81">
        <v>529725</v>
      </c>
      <c r="H433" s="81">
        <v>177404</v>
      </c>
      <c r="I433" s="165" t="s">
        <v>240</v>
      </c>
      <c r="J433" s="349">
        <v>42095</v>
      </c>
      <c r="L433" s="166">
        <v>0</v>
      </c>
      <c r="M433" s="166">
        <v>118</v>
      </c>
      <c r="N433" s="166">
        <v>118</v>
      </c>
      <c r="O433" s="166">
        <v>514</v>
      </c>
      <c r="P433" s="166">
        <v>514</v>
      </c>
      <c r="Q433" s="81" t="s">
        <v>155</v>
      </c>
      <c r="R433" s="81" t="s">
        <v>1046</v>
      </c>
      <c r="S433" s="165" t="s">
        <v>509</v>
      </c>
      <c r="T433" s="350">
        <v>42669</v>
      </c>
      <c r="U433" s="349">
        <v>42810</v>
      </c>
      <c r="V433" s="349"/>
      <c r="W433" s="81" t="s">
        <v>114</v>
      </c>
      <c r="Y433" s="81" t="s">
        <v>115</v>
      </c>
      <c r="Z433" s="81" t="s">
        <v>116</v>
      </c>
      <c r="AA433" s="81" t="s">
        <v>116</v>
      </c>
      <c r="AB433" s="81" t="s">
        <v>117</v>
      </c>
      <c r="AC433" s="81">
        <v>0.19799999892711601</v>
      </c>
      <c r="AD433" s="351">
        <v>42095</v>
      </c>
      <c r="AE433" s="349"/>
      <c r="AG433" s="81" t="s">
        <v>238</v>
      </c>
      <c r="AH433" s="81" t="s">
        <v>118</v>
      </c>
      <c r="AI433" s="81" t="s">
        <v>3092</v>
      </c>
      <c r="AK433" s="81">
        <v>0</v>
      </c>
      <c r="AM433" s="166">
        <v>0</v>
      </c>
      <c r="AO433" s="166">
        <v>0</v>
      </c>
      <c r="AP433" s="166">
        <v>33</v>
      </c>
      <c r="AQ433" s="166">
        <v>68</v>
      </c>
      <c r="AR433" s="166">
        <v>17</v>
      </c>
      <c r="AS433" s="166">
        <v>0</v>
      </c>
      <c r="AT433" s="166">
        <v>0</v>
      </c>
      <c r="AU433" s="166">
        <v>0</v>
      </c>
      <c r="AV433" s="166">
        <v>0</v>
      </c>
      <c r="AW433" s="166">
        <v>33</v>
      </c>
      <c r="AX433" s="166">
        <v>68</v>
      </c>
      <c r="AY433" s="166">
        <v>17</v>
      </c>
      <c r="AZ433" s="166">
        <v>0</v>
      </c>
      <c r="BA433" s="166">
        <v>0</v>
      </c>
      <c r="BB433" s="166">
        <v>0</v>
      </c>
      <c r="BC433" s="166">
        <v>0</v>
      </c>
      <c r="BD433" s="166">
        <v>0</v>
      </c>
      <c r="BE433" s="166">
        <v>0</v>
      </c>
      <c r="BF433" s="166">
        <v>0</v>
      </c>
      <c r="BG433" s="166">
        <v>0</v>
      </c>
      <c r="BH433" s="166">
        <v>0</v>
      </c>
      <c r="BI433" s="166">
        <v>0</v>
      </c>
      <c r="BJ433" s="166">
        <v>0</v>
      </c>
      <c r="BK433" s="166">
        <v>0</v>
      </c>
      <c r="BL433" s="166">
        <v>0</v>
      </c>
      <c r="BM433" s="166">
        <v>0</v>
      </c>
      <c r="BN433" s="166">
        <v>0</v>
      </c>
      <c r="BO433" s="166">
        <v>0</v>
      </c>
      <c r="BP433" s="166">
        <v>0</v>
      </c>
      <c r="BQ433" s="81" t="s">
        <v>1759</v>
      </c>
      <c r="BS433" s="81" t="s">
        <v>155</v>
      </c>
      <c r="BZ433" s="81" t="s">
        <v>155</v>
      </c>
      <c r="CA433" s="81">
        <v>12</v>
      </c>
      <c r="CC433" s="167">
        <v>0</v>
      </c>
      <c r="CD433" s="167">
        <v>0</v>
      </c>
      <c r="CE433" s="167">
        <f>N433</f>
        <v>118</v>
      </c>
      <c r="CF433" s="167">
        <v>0</v>
      </c>
      <c r="CG433" s="167">
        <v>0</v>
      </c>
      <c r="CH433" s="167">
        <v>0</v>
      </c>
      <c r="CI433" s="167">
        <v>0</v>
      </c>
      <c r="CJ433" s="167">
        <v>0</v>
      </c>
      <c r="CK433" s="167">
        <v>0</v>
      </c>
      <c r="CL433" s="167">
        <v>0</v>
      </c>
      <c r="CM433" s="167">
        <v>0</v>
      </c>
      <c r="CN433" s="167">
        <v>0</v>
      </c>
      <c r="CO433" s="167">
        <v>0</v>
      </c>
      <c r="CP433" s="167">
        <v>0</v>
      </c>
      <c r="CQ433" s="167">
        <v>0</v>
      </c>
      <c r="CR433" s="167">
        <v>0</v>
      </c>
      <c r="CS433" s="167">
        <v>0</v>
      </c>
      <c r="CT433" s="167">
        <v>0</v>
      </c>
      <c r="CU433" s="167">
        <v>0</v>
      </c>
      <c r="CV433" s="167">
        <v>0</v>
      </c>
      <c r="CW433" s="167">
        <v>0</v>
      </c>
      <c r="CX433" s="167">
        <f>SUM(CD433:CH433)</f>
        <v>118</v>
      </c>
      <c r="CY433" s="167">
        <f>SUM(CD433:CM433)</f>
        <v>118</v>
      </c>
    </row>
    <row r="434" spans="1:103" ht="12.75" customHeight="1" x14ac:dyDescent="0.2">
      <c r="A434" s="81">
        <v>3944</v>
      </c>
      <c r="B434" s="165" t="s">
        <v>1908</v>
      </c>
      <c r="C434" s="165" t="s">
        <v>1045</v>
      </c>
      <c r="D434" s="165" t="s">
        <v>512</v>
      </c>
      <c r="E434" s="165" t="s">
        <v>3091</v>
      </c>
      <c r="F434" s="165" t="s">
        <v>3938</v>
      </c>
      <c r="G434" s="81">
        <v>529725</v>
      </c>
      <c r="H434" s="81">
        <v>177404</v>
      </c>
      <c r="I434" s="165" t="s">
        <v>240</v>
      </c>
      <c r="J434" s="349">
        <v>42095</v>
      </c>
      <c r="L434" s="166">
        <v>0</v>
      </c>
      <c r="M434" s="166">
        <v>67</v>
      </c>
      <c r="N434" s="166">
        <v>67</v>
      </c>
      <c r="O434" s="166">
        <v>514</v>
      </c>
      <c r="P434" s="166">
        <v>514</v>
      </c>
      <c r="Q434" s="81" t="s">
        <v>155</v>
      </c>
      <c r="R434" s="81" t="s">
        <v>1046</v>
      </c>
      <c r="S434" s="165" t="s">
        <v>509</v>
      </c>
      <c r="T434" s="350">
        <v>42669</v>
      </c>
      <c r="U434" s="349">
        <v>42810</v>
      </c>
      <c r="V434" s="349"/>
      <c r="W434" s="81" t="s">
        <v>114</v>
      </c>
      <c r="Y434" s="81" t="s">
        <v>115</v>
      </c>
      <c r="Z434" s="81" t="s">
        <v>116</v>
      </c>
      <c r="AA434" s="81" t="s">
        <v>116</v>
      </c>
      <c r="AB434" s="81" t="s">
        <v>117</v>
      </c>
      <c r="AC434" s="81">
        <v>0.11200000345706899</v>
      </c>
      <c r="AD434" s="351">
        <v>42095</v>
      </c>
      <c r="AE434" s="349"/>
      <c r="AG434" s="81" t="s">
        <v>238</v>
      </c>
      <c r="AH434" s="81" t="s">
        <v>118</v>
      </c>
      <c r="AI434" s="81" t="s">
        <v>3092</v>
      </c>
      <c r="AK434" s="81">
        <v>0</v>
      </c>
      <c r="AM434" s="166">
        <v>0</v>
      </c>
      <c r="AO434" s="166">
        <v>0</v>
      </c>
      <c r="AP434" s="166">
        <v>20</v>
      </c>
      <c r="AQ434" s="166">
        <v>34</v>
      </c>
      <c r="AR434" s="166">
        <v>13</v>
      </c>
      <c r="AS434" s="166">
        <v>0</v>
      </c>
      <c r="AT434" s="166">
        <v>0</v>
      </c>
      <c r="AU434" s="166">
        <v>0</v>
      </c>
      <c r="AV434" s="166">
        <v>0</v>
      </c>
      <c r="AW434" s="166">
        <v>20</v>
      </c>
      <c r="AX434" s="166">
        <v>34</v>
      </c>
      <c r="AY434" s="166">
        <v>13</v>
      </c>
      <c r="AZ434" s="166">
        <v>0</v>
      </c>
      <c r="BA434" s="166">
        <v>0</v>
      </c>
      <c r="BB434" s="166">
        <v>0</v>
      </c>
      <c r="BC434" s="166">
        <v>0</v>
      </c>
      <c r="BD434" s="166">
        <v>0</v>
      </c>
      <c r="BE434" s="166">
        <v>0</v>
      </c>
      <c r="BF434" s="166">
        <v>0</v>
      </c>
      <c r="BG434" s="166">
        <v>0</v>
      </c>
      <c r="BH434" s="166">
        <v>0</v>
      </c>
      <c r="BI434" s="166">
        <v>0</v>
      </c>
      <c r="BJ434" s="166">
        <v>0</v>
      </c>
      <c r="BK434" s="166">
        <v>0</v>
      </c>
      <c r="BL434" s="166">
        <v>0</v>
      </c>
      <c r="BM434" s="166">
        <v>0</v>
      </c>
      <c r="BN434" s="166">
        <v>0</v>
      </c>
      <c r="BO434" s="166">
        <v>0</v>
      </c>
      <c r="BP434" s="166">
        <v>0</v>
      </c>
      <c r="BQ434" s="81" t="s">
        <v>1759</v>
      </c>
      <c r="BS434" s="81" t="s">
        <v>155</v>
      </c>
      <c r="BZ434" s="81" t="s">
        <v>155</v>
      </c>
      <c r="CA434" s="81">
        <v>12</v>
      </c>
      <c r="CC434" s="167">
        <v>0</v>
      </c>
      <c r="CD434" s="167">
        <v>5</v>
      </c>
      <c r="CE434" s="167">
        <v>62</v>
      </c>
      <c r="CF434" s="167">
        <v>0</v>
      </c>
      <c r="CG434" s="167">
        <v>0</v>
      </c>
      <c r="CH434" s="167">
        <v>0</v>
      </c>
      <c r="CI434" s="167">
        <v>0</v>
      </c>
      <c r="CJ434" s="167">
        <v>0</v>
      </c>
      <c r="CK434" s="167">
        <v>0</v>
      </c>
      <c r="CL434" s="167">
        <v>0</v>
      </c>
      <c r="CM434" s="167">
        <v>0</v>
      </c>
      <c r="CN434" s="167">
        <v>0</v>
      </c>
      <c r="CO434" s="167">
        <v>0</v>
      </c>
      <c r="CP434" s="167">
        <v>0</v>
      </c>
      <c r="CQ434" s="167">
        <v>0</v>
      </c>
      <c r="CR434" s="167">
        <v>0</v>
      </c>
      <c r="CS434" s="167">
        <v>0</v>
      </c>
      <c r="CT434" s="167">
        <v>0</v>
      </c>
      <c r="CU434" s="167">
        <v>0</v>
      </c>
      <c r="CV434" s="167">
        <v>0</v>
      </c>
      <c r="CW434" s="167">
        <v>0</v>
      </c>
      <c r="CX434" s="167">
        <f>SUM(CD434:CH434)</f>
        <v>67</v>
      </c>
      <c r="CY434" s="167">
        <f>SUM(CD434:CM434)</f>
        <v>67</v>
      </c>
    </row>
    <row r="435" spans="1:103" ht="12.75" customHeight="1" x14ac:dyDescent="0.2">
      <c r="A435" s="81">
        <v>3944</v>
      </c>
      <c r="B435" s="165" t="s">
        <v>1908</v>
      </c>
      <c r="C435" s="165" t="s">
        <v>1045</v>
      </c>
      <c r="D435" s="165" t="s">
        <v>512</v>
      </c>
      <c r="E435" s="165" t="s">
        <v>3091</v>
      </c>
      <c r="F435" s="165" t="s">
        <v>3939</v>
      </c>
      <c r="G435" s="81">
        <v>529725</v>
      </c>
      <c r="H435" s="81">
        <v>177404</v>
      </c>
      <c r="I435" s="165" t="s">
        <v>240</v>
      </c>
      <c r="J435" s="349">
        <v>42095</v>
      </c>
      <c r="L435" s="166">
        <v>0</v>
      </c>
      <c r="M435" s="166">
        <v>88</v>
      </c>
      <c r="N435" s="166">
        <v>88</v>
      </c>
      <c r="O435" s="166">
        <v>514</v>
      </c>
      <c r="P435" s="166">
        <v>514</v>
      </c>
      <c r="Q435" s="81" t="s">
        <v>155</v>
      </c>
      <c r="R435" s="81" t="s">
        <v>1046</v>
      </c>
      <c r="S435" s="165" t="s">
        <v>509</v>
      </c>
      <c r="T435" s="350">
        <v>42669</v>
      </c>
      <c r="U435" s="349">
        <v>42810</v>
      </c>
      <c r="V435" s="349"/>
      <c r="W435" s="81" t="s">
        <v>114</v>
      </c>
      <c r="Y435" s="81" t="s">
        <v>115</v>
      </c>
      <c r="Z435" s="81" t="s">
        <v>116</v>
      </c>
      <c r="AA435" s="81" t="s">
        <v>116</v>
      </c>
      <c r="AB435" s="81" t="s">
        <v>117</v>
      </c>
      <c r="AC435" s="81">
        <v>0.14699999988079099</v>
      </c>
      <c r="AD435" s="351">
        <v>42095</v>
      </c>
      <c r="AE435" s="349"/>
      <c r="AG435" s="81" t="s">
        <v>238</v>
      </c>
      <c r="AH435" s="81" t="s">
        <v>118</v>
      </c>
      <c r="AI435" s="81" t="s">
        <v>3092</v>
      </c>
      <c r="AK435" s="81">
        <v>0</v>
      </c>
      <c r="AM435" s="166">
        <v>0</v>
      </c>
      <c r="AO435" s="166">
        <v>0</v>
      </c>
      <c r="AP435" s="166">
        <v>18</v>
      </c>
      <c r="AQ435" s="166">
        <v>58</v>
      </c>
      <c r="AR435" s="166">
        <v>12</v>
      </c>
      <c r="AS435" s="166">
        <v>0</v>
      </c>
      <c r="AT435" s="166">
        <v>0</v>
      </c>
      <c r="AU435" s="166">
        <v>0</v>
      </c>
      <c r="AV435" s="166">
        <v>0</v>
      </c>
      <c r="AW435" s="166">
        <v>18</v>
      </c>
      <c r="AX435" s="166">
        <v>58</v>
      </c>
      <c r="AY435" s="166">
        <v>12</v>
      </c>
      <c r="AZ435" s="166">
        <v>0</v>
      </c>
      <c r="BA435" s="166">
        <v>0</v>
      </c>
      <c r="BB435" s="166">
        <v>0</v>
      </c>
      <c r="BC435" s="166">
        <v>0</v>
      </c>
      <c r="BD435" s="166">
        <v>0</v>
      </c>
      <c r="BE435" s="166">
        <v>0</v>
      </c>
      <c r="BF435" s="166">
        <v>0</v>
      </c>
      <c r="BG435" s="166">
        <v>0</v>
      </c>
      <c r="BH435" s="166">
        <v>0</v>
      </c>
      <c r="BI435" s="166">
        <v>0</v>
      </c>
      <c r="BJ435" s="166">
        <v>0</v>
      </c>
      <c r="BK435" s="166">
        <v>0</v>
      </c>
      <c r="BL435" s="166">
        <v>0</v>
      </c>
      <c r="BM435" s="166">
        <v>0</v>
      </c>
      <c r="BN435" s="166">
        <v>0</v>
      </c>
      <c r="BO435" s="166">
        <v>0</v>
      </c>
      <c r="BP435" s="166">
        <v>0</v>
      </c>
      <c r="BQ435" s="81" t="s">
        <v>1759</v>
      </c>
      <c r="BS435" s="81" t="s">
        <v>155</v>
      </c>
      <c r="BZ435" s="81" t="s">
        <v>155</v>
      </c>
      <c r="CA435" s="81">
        <v>12</v>
      </c>
      <c r="CC435" s="167">
        <v>0</v>
      </c>
      <c r="CD435" s="167">
        <f>N435</f>
        <v>88</v>
      </c>
      <c r="CE435" s="167">
        <v>0</v>
      </c>
      <c r="CF435" s="167">
        <v>0</v>
      </c>
      <c r="CG435" s="167">
        <v>0</v>
      </c>
      <c r="CH435" s="167">
        <v>0</v>
      </c>
      <c r="CI435" s="167">
        <v>0</v>
      </c>
      <c r="CJ435" s="167">
        <v>0</v>
      </c>
      <c r="CK435" s="167">
        <v>0</v>
      </c>
      <c r="CL435" s="167">
        <v>0</v>
      </c>
      <c r="CM435" s="167">
        <v>0</v>
      </c>
      <c r="CN435" s="167">
        <v>0</v>
      </c>
      <c r="CO435" s="167">
        <v>0</v>
      </c>
      <c r="CP435" s="167">
        <v>0</v>
      </c>
      <c r="CQ435" s="167">
        <v>0</v>
      </c>
      <c r="CR435" s="167">
        <v>0</v>
      </c>
      <c r="CS435" s="167">
        <v>0</v>
      </c>
      <c r="CT435" s="167">
        <v>0</v>
      </c>
      <c r="CU435" s="167">
        <v>0</v>
      </c>
      <c r="CV435" s="167">
        <v>0</v>
      </c>
      <c r="CW435" s="167">
        <v>0</v>
      </c>
      <c r="CX435" s="167">
        <f>SUM(CD435:CH435)</f>
        <v>88</v>
      </c>
      <c r="CY435" s="167">
        <f>SUM(CD435:CM435)</f>
        <v>88</v>
      </c>
    </row>
    <row r="436" spans="1:103" ht="12.75" customHeight="1" x14ac:dyDescent="0.2">
      <c r="A436" s="81">
        <v>3944</v>
      </c>
      <c r="B436" s="165" t="s">
        <v>1908</v>
      </c>
      <c r="C436" s="165" t="s">
        <v>1045</v>
      </c>
      <c r="D436" s="165" t="s">
        <v>512</v>
      </c>
      <c r="E436" s="165" t="s">
        <v>3091</v>
      </c>
      <c r="F436" s="165" t="s">
        <v>3940</v>
      </c>
      <c r="G436" s="81">
        <v>529725</v>
      </c>
      <c r="H436" s="81">
        <v>177404</v>
      </c>
      <c r="I436" s="165" t="s">
        <v>240</v>
      </c>
      <c r="J436" s="349">
        <v>42095</v>
      </c>
      <c r="L436" s="166">
        <v>0</v>
      </c>
      <c r="M436" s="166">
        <v>51</v>
      </c>
      <c r="N436" s="166">
        <v>51</v>
      </c>
      <c r="O436" s="166">
        <v>514</v>
      </c>
      <c r="P436" s="166">
        <v>514</v>
      </c>
      <c r="Q436" s="81" t="s">
        <v>155</v>
      </c>
      <c r="R436" s="81" t="s">
        <v>1046</v>
      </c>
      <c r="S436" s="165" t="s">
        <v>509</v>
      </c>
      <c r="T436" s="350">
        <v>42669</v>
      </c>
      <c r="U436" s="349">
        <v>42810</v>
      </c>
      <c r="V436" s="349"/>
      <c r="W436" s="81" t="s">
        <v>114</v>
      </c>
      <c r="Y436" s="81" t="s">
        <v>115</v>
      </c>
      <c r="Z436" s="81" t="s">
        <v>116</v>
      </c>
      <c r="AA436" s="81" t="s">
        <v>116</v>
      </c>
      <c r="AB436" s="81" t="s">
        <v>117</v>
      </c>
      <c r="AC436" s="81">
        <v>8.5000000894069699E-2</v>
      </c>
      <c r="AD436" s="351">
        <v>42095</v>
      </c>
      <c r="AE436" s="349"/>
      <c r="AG436" s="81" t="s">
        <v>238</v>
      </c>
      <c r="AH436" s="81" t="s">
        <v>118</v>
      </c>
      <c r="AI436" s="81" t="s">
        <v>3092</v>
      </c>
      <c r="AK436" s="81">
        <v>0</v>
      </c>
      <c r="AM436" s="166">
        <v>0</v>
      </c>
      <c r="AO436" s="166">
        <v>0</v>
      </c>
      <c r="AP436" s="166">
        <v>10</v>
      </c>
      <c r="AQ436" s="166">
        <v>34</v>
      </c>
      <c r="AR436" s="166">
        <v>7</v>
      </c>
      <c r="AS436" s="166">
        <v>0</v>
      </c>
      <c r="AT436" s="166">
        <v>0</v>
      </c>
      <c r="AU436" s="166">
        <v>0</v>
      </c>
      <c r="AV436" s="166">
        <v>0</v>
      </c>
      <c r="AW436" s="166">
        <v>10</v>
      </c>
      <c r="AX436" s="166">
        <v>34</v>
      </c>
      <c r="AY436" s="166">
        <v>7</v>
      </c>
      <c r="AZ436" s="166">
        <v>0</v>
      </c>
      <c r="BA436" s="166">
        <v>0</v>
      </c>
      <c r="BB436" s="166">
        <v>0</v>
      </c>
      <c r="BC436" s="166">
        <v>0</v>
      </c>
      <c r="BD436" s="166">
        <v>0</v>
      </c>
      <c r="BE436" s="166">
        <v>0</v>
      </c>
      <c r="BF436" s="166">
        <v>0</v>
      </c>
      <c r="BG436" s="166">
        <v>0</v>
      </c>
      <c r="BH436" s="166">
        <v>0</v>
      </c>
      <c r="BI436" s="166">
        <v>0</v>
      </c>
      <c r="BJ436" s="166">
        <v>0</v>
      </c>
      <c r="BK436" s="166">
        <v>0</v>
      </c>
      <c r="BL436" s="166">
        <v>0</v>
      </c>
      <c r="BM436" s="166">
        <v>0</v>
      </c>
      <c r="BN436" s="166">
        <v>0</v>
      </c>
      <c r="BO436" s="166">
        <v>0</v>
      </c>
      <c r="BP436" s="166">
        <v>0</v>
      </c>
      <c r="BQ436" s="81" t="s">
        <v>1759</v>
      </c>
      <c r="BS436" s="81" t="s">
        <v>155</v>
      </c>
      <c r="BZ436" s="81" t="s">
        <v>155</v>
      </c>
      <c r="CA436" s="81">
        <v>12</v>
      </c>
      <c r="CC436" s="167">
        <v>0</v>
      </c>
      <c r="CD436" s="167">
        <f>N436</f>
        <v>51</v>
      </c>
      <c r="CE436" s="167">
        <v>0</v>
      </c>
      <c r="CF436" s="167">
        <v>0</v>
      </c>
      <c r="CG436" s="167">
        <v>0</v>
      </c>
      <c r="CH436" s="167">
        <v>0</v>
      </c>
      <c r="CI436" s="167">
        <v>0</v>
      </c>
      <c r="CJ436" s="167">
        <v>0</v>
      </c>
      <c r="CK436" s="167">
        <v>0</v>
      </c>
      <c r="CL436" s="167">
        <v>0</v>
      </c>
      <c r="CM436" s="167">
        <v>0</v>
      </c>
      <c r="CN436" s="167">
        <v>0</v>
      </c>
      <c r="CO436" s="167">
        <v>0</v>
      </c>
      <c r="CP436" s="167">
        <v>0</v>
      </c>
      <c r="CQ436" s="167">
        <v>0</v>
      </c>
      <c r="CR436" s="167">
        <v>0</v>
      </c>
      <c r="CS436" s="167">
        <v>0</v>
      </c>
      <c r="CT436" s="167">
        <v>0</v>
      </c>
      <c r="CU436" s="167">
        <v>0</v>
      </c>
      <c r="CV436" s="167">
        <v>0</v>
      </c>
      <c r="CW436" s="167">
        <v>0</v>
      </c>
      <c r="CX436" s="167">
        <f>SUM(CD436:CH436)</f>
        <v>51</v>
      </c>
      <c r="CY436" s="167">
        <f>SUM(CD436:CM436)</f>
        <v>51</v>
      </c>
    </row>
    <row r="437" spans="1:103" x14ac:dyDescent="0.2">
      <c r="A437" s="81">
        <v>3991</v>
      </c>
      <c r="B437" s="165" t="s">
        <v>1908</v>
      </c>
      <c r="C437" s="165" t="s">
        <v>3505</v>
      </c>
      <c r="E437" s="165" t="s">
        <v>3506</v>
      </c>
      <c r="G437" s="81">
        <v>524343</v>
      </c>
      <c r="H437" s="81">
        <v>175170</v>
      </c>
      <c r="I437" s="165" t="s">
        <v>259</v>
      </c>
      <c r="J437" s="349">
        <v>43190</v>
      </c>
      <c r="L437" s="166">
        <v>2</v>
      </c>
      <c r="M437" s="166">
        <v>2</v>
      </c>
      <c r="N437" s="166">
        <v>0</v>
      </c>
      <c r="O437" s="166">
        <v>2</v>
      </c>
      <c r="P437" s="166">
        <v>0</v>
      </c>
      <c r="R437" s="165" t="s">
        <v>3507</v>
      </c>
      <c r="S437" s="81" t="s">
        <v>113</v>
      </c>
      <c r="T437" s="349">
        <v>42867</v>
      </c>
      <c r="U437" s="349">
        <v>42923</v>
      </c>
      <c r="V437" s="81" t="s">
        <v>155</v>
      </c>
      <c r="W437" s="81" t="s">
        <v>114</v>
      </c>
      <c r="Y437" s="81" t="s">
        <v>115</v>
      </c>
      <c r="Z437" s="81" t="s">
        <v>398</v>
      </c>
      <c r="AA437" s="81" t="s">
        <v>117</v>
      </c>
      <c r="AB437" s="81" t="s">
        <v>220</v>
      </c>
      <c r="AC437" s="166">
        <v>5.7000000029802302E-2</v>
      </c>
      <c r="AD437" s="349">
        <v>43190</v>
      </c>
      <c r="AE437" s="81" t="s">
        <v>155</v>
      </c>
      <c r="AG437" s="81" t="s">
        <v>238</v>
      </c>
      <c r="AH437" s="81" t="s">
        <v>118</v>
      </c>
      <c r="AK437" s="166">
        <v>0</v>
      </c>
      <c r="AM437" s="166">
        <v>0</v>
      </c>
      <c r="AO437" s="166">
        <v>0</v>
      </c>
      <c r="AP437" s="166">
        <v>1</v>
      </c>
      <c r="AQ437" s="166">
        <v>0</v>
      </c>
      <c r="AR437" s="166">
        <v>-1</v>
      </c>
      <c r="AS437" s="166">
        <v>0</v>
      </c>
      <c r="AT437" s="166">
        <v>0</v>
      </c>
      <c r="AU437" s="166">
        <v>0</v>
      </c>
      <c r="AV437" s="166">
        <v>0</v>
      </c>
      <c r="AW437" s="166">
        <v>1</v>
      </c>
      <c r="AX437" s="166">
        <v>0</v>
      </c>
      <c r="AY437" s="166">
        <v>-1</v>
      </c>
      <c r="AZ437" s="166">
        <v>0</v>
      </c>
      <c r="BA437" s="166">
        <v>0</v>
      </c>
      <c r="BB437" s="166">
        <v>0</v>
      </c>
      <c r="BC437" s="166">
        <v>0</v>
      </c>
      <c r="BD437" s="166">
        <v>0</v>
      </c>
      <c r="BE437" s="166">
        <v>0</v>
      </c>
      <c r="BF437" s="166">
        <v>0</v>
      </c>
      <c r="BG437" s="166">
        <v>0</v>
      </c>
      <c r="BH437" s="166">
        <v>0</v>
      </c>
      <c r="BI437" s="166">
        <v>0</v>
      </c>
      <c r="BJ437" s="166">
        <v>0</v>
      </c>
      <c r="BK437" s="166">
        <v>0</v>
      </c>
      <c r="BL437" s="166">
        <v>0</v>
      </c>
      <c r="BM437" s="166">
        <v>0</v>
      </c>
      <c r="BN437" s="166">
        <v>0</v>
      </c>
      <c r="BO437" s="166">
        <v>0</v>
      </c>
      <c r="BP437" s="166">
        <v>0</v>
      </c>
      <c r="BQ437" s="81" t="s">
        <v>1758</v>
      </c>
      <c r="BZ437" s="81" t="s">
        <v>155</v>
      </c>
      <c r="CA437" s="81" t="s">
        <v>3981</v>
      </c>
      <c r="CC437" s="167">
        <v>0</v>
      </c>
      <c r="CD437" s="167">
        <f>$N437/2</f>
        <v>0</v>
      </c>
      <c r="CE437" s="167">
        <f>$N437/2</f>
        <v>0</v>
      </c>
      <c r="CF437" s="167">
        <v>0</v>
      </c>
      <c r="CG437" s="167">
        <v>0</v>
      </c>
      <c r="CH437" s="167">
        <v>0</v>
      </c>
      <c r="CI437" s="167">
        <v>0</v>
      </c>
      <c r="CJ437" s="167">
        <v>0</v>
      </c>
      <c r="CK437" s="167">
        <v>0</v>
      </c>
      <c r="CL437" s="167">
        <v>0</v>
      </c>
      <c r="CM437" s="167">
        <v>0</v>
      </c>
      <c r="CN437" s="167">
        <v>0</v>
      </c>
      <c r="CO437" s="167">
        <v>0</v>
      </c>
      <c r="CP437" s="167">
        <v>0</v>
      </c>
      <c r="CQ437" s="167">
        <v>0</v>
      </c>
      <c r="CR437" s="167">
        <v>0</v>
      </c>
      <c r="CS437" s="167">
        <v>0</v>
      </c>
      <c r="CT437" s="167">
        <v>0</v>
      </c>
      <c r="CU437" s="167">
        <v>0</v>
      </c>
      <c r="CV437" s="167">
        <v>0</v>
      </c>
      <c r="CW437" s="167">
        <v>0</v>
      </c>
      <c r="CX437" s="167">
        <f>SUM(CD437:CH437)</f>
        <v>0</v>
      </c>
      <c r="CY437" s="167">
        <f>SUM(CD437:CM437)</f>
        <v>0</v>
      </c>
    </row>
    <row r="438" spans="1:103" ht="12.75" customHeight="1" x14ac:dyDescent="0.2">
      <c r="A438" s="81">
        <v>4167</v>
      </c>
      <c r="B438" s="165" t="s">
        <v>1908</v>
      </c>
      <c r="C438" s="165" t="s">
        <v>1460</v>
      </c>
      <c r="E438" s="165" t="s">
        <v>2088</v>
      </c>
      <c r="G438" s="81">
        <v>522501</v>
      </c>
      <c r="H438" s="81">
        <v>173758</v>
      </c>
      <c r="I438" s="165" t="s">
        <v>877</v>
      </c>
      <c r="J438" s="349">
        <v>43190</v>
      </c>
      <c r="L438" s="166">
        <v>0</v>
      </c>
      <c r="M438" s="166">
        <v>2</v>
      </c>
      <c r="N438" s="166">
        <v>2</v>
      </c>
      <c r="O438" s="166">
        <v>2</v>
      </c>
      <c r="P438" s="166">
        <v>2</v>
      </c>
      <c r="R438" s="165" t="s">
        <v>1461</v>
      </c>
      <c r="S438" s="81" t="s">
        <v>270</v>
      </c>
      <c r="T438" s="349">
        <v>42668</v>
      </c>
      <c r="U438" s="349">
        <v>42723</v>
      </c>
      <c r="W438" s="81" t="s">
        <v>114</v>
      </c>
      <c r="Y438" s="81" t="s">
        <v>115</v>
      </c>
      <c r="Z438" s="81" t="s">
        <v>310</v>
      </c>
      <c r="AA438" s="81" t="s">
        <v>117</v>
      </c>
      <c r="AB438" s="81" t="s">
        <v>399</v>
      </c>
      <c r="AC438" s="166">
        <v>1.2000000104308101E-2</v>
      </c>
      <c r="AD438" s="349">
        <v>43190</v>
      </c>
      <c r="AE438" s="81" t="s">
        <v>155</v>
      </c>
      <c r="AG438" s="81" t="s">
        <v>238</v>
      </c>
      <c r="AH438" s="81" t="s">
        <v>118</v>
      </c>
      <c r="AK438" s="166">
        <v>0</v>
      </c>
      <c r="AM438" s="166">
        <v>0</v>
      </c>
      <c r="AO438" s="166">
        <v>0</v>
      </c>
      <c r="AP438" s="166">
        <v>1</v>
      </c>
      <c r="AQ438" s="166">
        <v>1</v>
      </c>
      <c r="AR438" s="166">
        <v>0</v>
      </c>
      <c r="AS438" s="166">
        <v>0</v>
      </c>
      <c r="AT438" s="166">
        <v>0</v>
      </c>
      <c r="AU438" s="166">
        <v>0</v>
      </c>
      <c r="AV438" s="166">
        <v>0</v>
      </c>
      <c r="AW438" s="166">
        <v>1</v>
      </c>
      <c r="AX438" s="166">
        <v>1</v>
      </c>
      <c r="AY438" s="166">
        <v>0</v>
      </c>
      <c r="AZ438" s="166">
        <v>0</v>
      </c>
      <c r="BA438" s="166">
        <v>0</v>
      </c>
      <c r="BB438" s="166">
        <v>0</v>
      </c>
      <c r="BC438" s="166">
        <v>0</v>
      </c>
      <c r="BD438" s="166">
        <v>0</v>
      </c>
      <c r="BE438" s="166">
        <v>0</v>
      </c>
      <c r="BF438" s="166">
        <v>0</v>
      </c>
      <c r="BG438" s="166">
        <v>0</v>
      </c>
      <c r="BH438" s="166">
        <v>0</v>
      </c>
      <c r="BI438" s="166">
        <v>0</v>
      </c>
      <c r="BJ438" s="166">
        <v>0</v>
      </c>
      <c r="BK438" s="166">
        <v>0</v>
      </c>
      <c r="BL438" s="166">
        <v>0</v>
      </c>
      <c r="BM438" s="166">
        <v>0</v>
      </c>
      <c r="BN438" s="166">
        <v>0</v>
      </c>
      <c r="BO438" s="166">
        <v>0</v>
      </c>
      <c r="BP438" s="166">
        <v>0</v>
      </c>
      <c r="BQ438" s="81" t="s">
        <v>1758</v>
      </c>
      <c r="BZ438" s="81" t="s">
        <v>155</v>
      </c>
      <c r="CA438" s="81" t="s">
        <v>3981</v>
      </c>
      <c r="CC438" s="167">
        <v>0</v>
      </c>
      <c r="CD438" s="167">
        <f>$N438/2</f>
        <v>1</v>
      </c>
      <c r="CE438" s="167">
        <f>$N438/2</f>
        <v>1</v>
      </c>
      <c r="CF438" s="167">
        <v>0</v>
      </c>
      <c r="CG438" s="167">
        <v>0</v>
      </c>
      <c r="CH438" s="167">
        <v>0</v>
      </c>
      <c r="CI438" s="167">
        <v>0</v>
      </c>
      <c r="CJ438" s="167">
        <v>0</v>
      </c>
      <c r="CK438" s="167">
        <v>0</v>
      </c>
      <c r="CL438" s="167">
        <v>0</v>
      </c>
      <c r="CM438" s="167">
        <v>0</v>
      </c>
      <c r="CN438" s="167">
        <v>0</v>
      </c>
      <c r="CO438" s="167">
        <v>0</v>
      </c>
      <c r="CP438" s="167">
        <v>0</v>
      </c>
      <c r="CQ438" s="167">
        <v>0</v>
      </c>
      <c r="CR438" s="167">
        <v>0</v>
      </c>
      <c r="CS438" s="167">
        <v>0</v>
      </c>
      <c r="CT438" s="167">
        <v>0</v>
      </c>
      <c r="CU438" s="167">
        <v>0</v>
      </c>
      <c r="CV438" s="167">
        <v>0</v>
      </c>
      <c r="CW438" s="167">
        <v>0</v>
      </c>
      <c r="CX438" s="167">
        <f>SUM(CD438:CH438)</f>
        <v>2</v>
      </c>
      <c r="CY438" s="167">
        <f>SUM(CD438:CM438)</f>
        <v>2</v>
      </c>
    </row>
    <row r="439" spans="1:103" ht="12.75" customHeight="1" x14ac:dyDescent="0.2">
      <c r="A439" s="81">
        <v>4167</v>
      </c>
      <c r="B439" s="165" t="s">
        <v>1908</v>
      </c>
      <c r="C439" s="165" t="s">
        <v>1523</v>
      </c>
      <c r="E439" s="165" t="s">
        <v>2088</v>
      </c>
      <c r="G439" s="81">
        <v>522501</v>
      </c>
      <c r="H439" s="81">
        <v>173758</v>
      </c>
      <c r="I439" s="165" t="s">
        <v>877</v>
      </c>
      <c r="J439" s="349">
        <v>43190</v>
      </c>
      <c r="L439" s="166">
        <v>0</v>
      </c>
      <c r="M439" s="166">
        <v>2</v>
      </c>
      <c r="N439" s="166">
        <v>2</v>
      </c>
      <c r="O439" s="166">
        <v>2</v>
      </c>
      <c r="P439" s="166">
        <v>2</v>
      </c>
      <c r="R439" s="165" t="s">
        <v>1524</v>
      </c>
      <c r="S439" s="81" t="s">
        <v>113</v>
      </c>
      <c r="T439" s="349">
        <v>42748</v>
      </c>
      <c r="U439" s="349">
        <v>42804</v>
      </c>
      <c r="W439" s="81" t="s">
        <v>114</v>
      </c>
      <c r="Y439" s="81" t="s">
        <v>115</v>
      </c>
      <c r="Z439" s="81" t="s">
        <v>398</v>
      </c>
      <c r="AA439" s="81" t="s">
        <v>117</v>
      </c>
      <c r="AB439" s="81" t="s">
        <v>311</v>
      </c>
      <c r="AC439" s="166">
        <v>1.8999999389052401E-2</v>
      </c>
      <c r="AD439" s="349">
        <v>43190</v>
      </c>
      <c r="AE439" s="81" t="s">
        <v>155</v>
      </c>
      <c r="AG439" s="81" t="s">
        <v>238</v>
      </c>
      <c r="AH439" s="81" t="s">
        <v>118</v>
      </c>
      <c r="AK439" s="166">
        <v>0</v>
      </c>
      <c r="AM439" s="166">
        <v>0</v>
      </c>
      <c r="AO439" s="166">
        <v>0</v>
      </c>
      <c r="AP439" s="166">
        <v>0</v>
      </c>
      <c r="AQ439" s="166">
        <v>2</v>
      </c>
      <c r="AR439" s="166">
        <v>0</v>
      </c>
      <c r="AS439" s="166">
        <v>0</v>
      </c>
      <c r="AT439" s="166">
        <v>0</v>
      </c>
      <c r="AU439" s="166">
        <v>0</v>
      </c>
      <c r="AV439" s="166">
        <v>0</v>
      </c>
      <c r="AW439" s="166">
        <v>0</v>
      </c>
      <c r="AX439" s="166">
        <v>2</v>
      </c>
      <c r="AY439" s="166">
        <v>0</v>
      </c>
      <c r="AZ439" s="166">
        <v>0</v>
      </c>
      <c r="BA439" s="166">
        <v>0</v>
      </c>
      <c r="BB439" s="166">
        <v>0</v>
      </c>
      <c r="BC439" s="166">
        <v>0</v>
      </c>
      <c r="BD439" s="166">
        <v>0</v>
      </c>
      <c r="BE439" s="166">
        <v>0</v>
      </c>
      <c r="BF439" s="166">
        <v>0</v>
      </c>
      <c r="BG439" s="166">
        <v>0</v>
      </c>
      <c r="BH439" s="166">
        <v>0</v>
      </c>
      <c r="BI439" s="166">
        <v>0</v>
      </c>
      <c r="BJ439" s="166">
        <v>0</v>
      </c>
      <c r="BK439" s="166">
        <v>0</v>
      </c>
      <c r="BL439" s="166">
        <v>0</v>
      </c>
      <c r="BM439" s="166">
        <v>0</v>
      </c>
      <c r="BN439" s="166">
        <v>0</v>
      </c>
      <c r="BO439" s="166">
        <v>0</v>
      </c>
      <c r="BP439" s="166">
        <v>0</v>
      </c>
      <c r="BQ439" s="81" t="s">
        <v>1758</v>
      </c>
      <c r="BZ439" s="81" t="s">
        <v>155</v>
      </c>
      <c r="CA439" s="81" t="s">
        <v>3981</v>
      </c>
      <c r="CC439" s="167">
        <v>0</v>
      </c>
      <c r="CD439" s="167">
        <f>$N439/2</f>
        <v>1</v>
      </c>
      <c r="CE439" s="167">
        <f>$N439/2</f>
        <v>1</v>
      </c>
      <c r="CF439" s="167">
        <v>0</v>
      </c>
      <c r="CG439" s="167">
        <v>0</v>
      </c>
      <c r="CH439" s="167">
        <v>0</v>
      </c>
      <c r="CI439" s="167">
        <v>0</v>
      </c>
      <c r="CJ439" s="167">
        <v>0</v>
      </c>
      <c r="CK439" s="167">
        <v>0</v>
      </c>
      <c r="CL439" s="167">
        <v>0</v>
      </c>
      <c r="CM439" s="167">
        <v>0</v>
      </c>
      <c r="CN439" s="167">
        <v>0</v>
      </c>
      <c r="CO439" s="167">
        <v>0</v>
      </c>
      <c r="CP439" s="167">
        <v>0</v>
      </c>
      <c r="CQ439" s="167">
        <v>0</v>
      </c>
      <c r="CR439" s="167">
        <v>0</v>
      </c>
      <c r="CS439" s="167">
        <v>0</v>
      </c>
      <c r="CT439" s="167">
        <v>0</v>
      </c>
      <c r="CU439" s="167">
        <v>0</v>
      </c>
      <c r="CV439" s="167">
        <v>0</v>
      </c>
      <c r="CW439" s="167">
        <v>0</v>
      </c>
      <c r="CX439" s="167">
        <f>SUM(CD439:CH439)</f>
        <v>2</v>
      </c>
      <c r="CY439" s="167">
        <f>SUM(CD439:CM439)</f>
        <v>2</v>
      </c>
    </row>
    <row r="440" spans="1:103" ht="12.75" customHeight="1" x14ac:dyDescent="0.2">
      <c r="A440" s="81">
        <v>4260</v>
      </c>
      <c r="B440" s="165" t="s">
        <v>1908</v>
      </c>
      <c r="C440" s="165" t="s">
        <v>410</v>
      </c>
      <c r="E440" s="165" t="s">
        <v>3508</v>
      </c>
      <c r="G440" s="81">
        <v>526461</v>
      </c>
      <c r="H440" s="81">
        <v>172543</v>
      </c>
      <c r="I440" s="165" t="s">
        <v>249</v>
      </c>
      <c r="J440" s="349">
        <v>43190</v>
      </c>
      <c r="L440" s="166">
        <v>0</v>
      </c>
      <c r="M440" s="166">
        <v>4</v>
      </c>
      <c r="N440" s="166">
        <v>4</v>
      </c>
      <c r="O440" s="166">
        <v>4</v>
      </c>
      <c r="P440" s="166">
        <v>4</v>
      </c>
      <c r="R440" s="165" t="s">
        <v>1087</v>
      </c>
      <c r="S440" s="81" t="s">
        <v>113</v>
      </c>
      <c r="T440" s="349">
        <v>41568</v>
      </c>
      <c r="U440" s="349">
        <v>41568</v>
      </c>
      <c r="W440" s="81" t="s">
        <v>114</v>
      </c>
      <c r="Y440" s="81" t="s">
        <v>115</v>
      </c>
      <c r="Z440" s="81" t="s">
        <v>398</v>
      </c>
      <c r="AA440" s="81" t="s">
        <v>117</v>
      </c>
      <c r="AB440" s="81" t="s">
        <v>102</v>
      </c>
      <c r="AC440" s="166">
        <v>3.4000001847744002E-2</v>
      </c>
      <c r="AD440" s="349">
        <v>43190</v>
      </c>
      <c r="AE440" s="81" t="s">
        <v>155</v>
      </c>
      <c r="AG440" s="81" t="s">
        <v>238</v>
      </c>
      <c r="AH440" s="81" t="s">
        <v>118</v>
      </c>
      <c r="AK440" s="166">
        <v>0</v>
      </c>
      <c r="AM440" s="166">
        <v>0</v>
      </c>
      <c r="AO440" s="166">
        <v>0</v>
      </c>
      <c r="AP440" s="166">
        <v>1</v>
      </c>
      <c r="AQ440" s="166">
        <v>2</v>
      </c>
      <c r="AR440" s="166">
        <v>1</v>
      </c>
      <c r="AS440" s="166">
        <v>0</v>
      </c>
      <c r="AT440" s="166">
        <v>0</v>
      </c>
      <c r="AU440" s="166">
        <v>0</v>
      </c>
      <c r="AV440" s="166">
        <v>0</v>
      </c>
      <c r="AW440" s="166">
        <v>1</v>
      </c>
      <c r="AX440" s="166">
        <v>2</v>
      </c>
      <c r="AY440" s="166">
        <v>1</v>
      </c>
      <c r="AZ440" s="166">
        <v>0</v>
      </c>
      <c r="BA440" s="166">
        <v>0</v>
      </c>
      <c r="BB440" s="166">
        <v>0</v>
      </c>
      <c r="BC440" s="166">
        <v>0</v>
      </c>
      <c r="BD440" s="166">
        <v>0</v>
      </c>
      <c r="BE440" s="166">
        <v>0</v>
      </c>
      <c r="BF440" s="166">
        <v>0</v>
      </c>
      <c r="BG440" s="166">
        <v>0</v>
      </c>
      <c r="BH440" s="166">
        <v>0</v>
      </c>
      <c r="BI440" s="166">
        <v>0</v>
      </c>
      <c r="BJ440" s="166">
        <v>0</v>
      </c>
      <c r="BK440" s="166">
        <v>0</v>
      </c>
      <c r="BL440" s="166">
        <v>0</v>
      </c>
      <c r="BM440" s="166">
        <v>0</v>
      </c>
      <c r="BN440" s="166">
        <v>0</v>
      </c>
      <c r="BO440" s="166">
        <v>0</v>
      </c>
      <c r="BP440" s="166">
        <v>0</v>
      </c>
      <c r="BQ440" s="81" t="s">
        <v>1758</v>
      </c>
      <c r="BZ440" s="81" t="s">
        <v>155</v>
      </c>
      <c r="CA440" s="81" t="s">
        <v>3981</v>
      </c>
      <c r="CC440" s="167">
        <v>0</v>
      </c>
      <c r="CD440" s="167">
        <f>$N440/2</f>
        <v>2</v>
      </c>
      <c r="CE440" s="167">
        <f>$N440/2</f>
        <v>2</v>
      </c>
      <c r="CF440" s="167">
        <v>0</v>
      </c>
      <c r="CG440" s="167">
        <v>0</v>
      </c>
      <c r="CH440" s="167">
        <v>0</v>
      </c>
      <c r="CI440" s="167">
        <v>0</v>
      </c>
      <c r="CJ440" s="167">
        <v>0</v>
      </c>
      <c r="CK440" s="167">
        <v>0</v>
      </c>
      <c r="CL440" s="167">
        <v>0</v>
      </c>
      <c r="CM440" s="167">
        <v>0</v>
      </c>
      <c r="CN440" s="167">
        <v>0</v>
      </c>
      <c r="CO440" s="167">
        <v>0</v>
      </c>
      <c r="CP440" s="167">
        <v>0</v>
      </c>
      <c r="CQ440" s="167">
        <v>0</v>
      </c>
      <c r="CR440" s="167">
        <v>0</v>
      </c>
      <c r="CS440" s="167">
        <v>0</v>
      </c>
      <c r="CT440" s="167">
        <v>0</v>
      </c>
      <c r="CU440" s="167">
        <v>0</v>
      </c>
      <c r="CV440" s="167">
        <v>0</v>
      </c>
      <c r="CW440" s="167">
        <v>0</v>
      </c>
      <c r="CX440" s="167">
        <f>SUM(CD440:CH440)</f>
        <v>4</v>
      </c>
      <c r="CY440" s="167">
        <f>SUM(CD440:CM440)</f>
        <v>4</v>
      </c>
    </row>
    <row r="441" spans="1:103" ht="12.75" customHeight="1" x14ac:dyDescent="0.2">
      <c r="A441" s="81">
        <v>4281</v>
      </c>
      <c r="B441" s="165" t="s">
        <v>1908</v>
      </c>
      <c r="C441" s="165" t="s">
        <v>28</v>
      </c>
      <c r="E441" s="165" t="s">
        <v>3093</v>
      </c>
      <c r="G441" s="81">
        <v>529104</v>
      </c>
      <c r="H441" s="81">
        <v>177095</v>
      </c>
      <c r="I441" s="165" t="s">
        <v>240</v>
      </c>
      <c r="J441" s="349">
        <v>42852</v>
      </c>
      <c r="L441" s="166">
        <v>12</v>
      </c>
      <c r="M441" s="166">
        <v>22</v>
      </c>
      <c r="N441" s="166">
        <v>10</v>
      </c>
      <c r="O441" s="166">
        <v>22</v>
      </c>
      <c r="P441" s="166">
        <v>10</v>
      </c>
      <c r="Q441" s="81" t="s">
        <v>155</v>
      </c>
      <c r="R441" s="165" t="s">
        <v>29</v>
      </c>
      <c r="S441" s="81" t="s">
        <v>113</v>
      </c>
      <c r="T441" s="349">
        <v>41872</v>
      </c>
      <c r="U441" s="349">
        <v>41953</v>
      </c>
      <c r="W441" s="81" t="s">
        <v>114</v>
      </c>
      <c r="Y441" s="81" t="s">
        <v>115</v>
      </c>
      <c r="Z441" s="81" t="s">
        <v>116</v>
      </c>
      <c r="AA441" s="81" t="s">
        <v>116</v>
      </c>
      <c r="AB441" s="81" t="s">
        <v>117</v>
      </c>
      <c r="AC441" s="166">
        <v>0.259999990463257</v>
      </c>
      <c r="AD441" s="349">
        <v>42852</v>
      </c>
      <c r="AE441" s="81" t="s">
        <v>155</v>
      </c>
      <c r="AG441" s="81" t="s">
        <v>154</v>
      </c>
      <c r="AH441" s="81" t="s">
        <v>38</v>
      </c>
      <c r="AI441" s="81" t="s">
        <v>3094</v>
      </c>
      <c r="AK441" s="166">
        <v>22</v>
      </c>
      <c r="AM441" s="166">
        <v>2</v>
      </c>
      <c r="AO441" s="166">
        <v>0</v>
      </c>
      <c r="AP441" s="166">
        <v>-2</v>
      </c>
      <c r="AQ441" s="166">
        <v>11</v>
      </c>
      <c r="AR441" s="166">
        <v>1</v>
      </c>
      <c r="AS441" s="166">
        <v>0</v>
      </c>
      <c r="AT441" s="166">
        <v>0</v>
      </c>
      <c r="AU441" s="166">
        <v>0</v>
      </c>
      <c r="AV441" s="166">
        <v>0</v>
      </c>
      <c r="AW441" s="166">
        <v>-2</v>
      </c>
      <c r="AX441" s="166">
        <v>11</v>
      </c>
      <c r="AY441" s="166">
        <v>1</v>
      </c>
      <c r="AZ441" s="166">
        <v>0</v>
      </c>
      <c r="BA441" s="166">
        <v>0</v>
      </c>
      <c r="BB441" s="166">
        <v>0</v>
      </c>
      <c r="BC441" s="166">
        <v>0</v>
      </c>
      <c r="BD441" s="166">
        <v>0</v>
      </c>
      <c r="BE441" s="166">
        <v>0</v>
      </c>
      <c r="BF441" s="166">
        <v>0</v>
      </c>
      <c r="BG441" s="166">
        <v>0</v>
      </c>
      <c r="BH441" s="166">
        <v>0</v>
      </c>
      <c r="BI441" s="166">
        <v>0</v>
      </c>
      <c r="BJ441" s="166">
        <v>0</v>
      </c>
      <c r="BK441" s="166">
        <v>0</v>
      </c>
      <c r="BL441" s="166">
        <v>0</v>
      </c>
      <c r="BM441" s="166">
        <v>0</v>
      </c>
      <c r="BN441" s="166">
        <v>0</v>
      </c>
      <c r="BO441" s="166">
        <v>0</v>
      </c>
      <c r="BP441" s="166">
        <v>0</v>
      </c>
      <c r="BQ441" s="81" t="s">
        <v>1759</v>
      </c>
      <c r="BS441" s="81" t="s">
        <v>155</v>
      </c>
      <c r="BZ441" s="81" t="s">
        <v>155</v>
      </c>
      <c r="CA441" s="81">
        <v>12</v>
      </c>
      <c r="CC441" s="167">
        <v>0</v>
      </c>
      <c r="CD441" s="167">
        <f>N441</f>
        <v>10</v>
      </c>
      <c r="CE441" s="167">
        <v>0</v>
      </c>
      <c r="CF441" s="167">
        <v>0</v>
      </c>
      <c r="CG441" s="167">
        <v>0</v>
      </c>
      <c r="CH441" s="167">
        <v>0</v>
      </c>
      <c r="CI441" s="167">
        <v>0</v>
      </c>
      <c r="CJ441" s="167">
        <v>0</v>
      </c>
      <c r="CK441" s="167">
        <v>0</v>
      </c>
      <c r="CL441" s="167">
        <v>0</v>
      </c>
      <c r="CM441" s="167">
        <v>0</v>
      </c>
      <c r="CN441" s="167">
        <v>0</v>
      </c>
      <c r="CO441" s="167">
        <v>0</v>
      </c>
      <c r="CP441" s="167">
        <v>0</v>
      </c>
      <c r="CQ441" s="167">
        <v>0</v>
      </c>
      <c r="CR441" s="167">
        <v>0</v>
      </c>
      <c r="CS441" s="167">
        <v>0</v>
      </c>
      <c r="CT441" s="167">
        <v>0</v>
      </c>
      <c r="CU441" s="167">
        <v>0</v>
      </c>
      <c r="CV441" s="167">
        <v>0</v>
      </c>
      <c r="CW441" s="167">
        <v>0</v>
      </c>
      <c r="CX441" s="167">
        <f>SUM(CD441:CH441)</f>
        <v>10</v>
      </c>
      <c r="CY441" s="167">
        <f>SUM(CD441:CM441)</f>
        <v>10</v>
      </c>
    </row>
    <row r="442" spans="1:103" ht="12.75" customHeight="1" x14ac:dyDescent="0.2">
      <c r="A442" s="81">
        <v>4308</v>
      </c>
      <c r="B442" s="165" t="s">
        <v>1908</v>
      </c>
      <c r="C442" s="165" t="s">
        <v>213</v>
      </c>
      <c r="E442" s="165" t="s">
        <v>3095</v>
      </c>
      <c r="G442" s="81">
        <v>528260</v>
      </c>
      <c r="H442" s="81">
        <v>174215</v>
      </c>
      <c r="I442" s="165" t="s">
        <v>247</v>
      </c>
      <c r="J442" s="349">
        <v>42643</v>
      </c>
      <c r="L442" s="166">
        <v>0</v>
      </c>
      <c r="M442" s="166">
        <v>8</v>
      </c>
      <c r="N442" s="166">
        <v>8</v>
      </c>
      <c r="O442" s="166">
        <v>8</v>
      </c>
      <c r="P442" s="166">
        <v>8</v>
      </c>
      <c r="R442" s="165" t="s">
        <v>214</v>
      </c>
      <c r="S442" s="81" t="s">
        <v>113</v>
      </c>
      <c r="T442" s="349">
        <v>41788</v>
      </c>
      <c r="U442" s="349">
        <v>41906</v>
      </c>
      <c r="W442" s="81" t="s">
        <v>114</v>
      </c>
      <c r="Y442" s="81" t="s">
        <v>115</v>
      </c>
      <c r="Z442" s="81" t="s">
        <v>116</v>
      </c>
      <c r="AA442" s="81" t="s">
        <v>117</v>
      </c>
      <c r="AB442" s="81" t="s">
        <v>218</v>
      </c>
      <c r="AC442" s="166">
        <v>0.21799999475479101</v>
      </c>
      <c r="AD442" s="349">
        <v>42643</v>
      </c>
      <c r="AG442" s="81" t="s">
        <v>238</v>
      </c>
      <c r="AH442" s="81" t="s">
        <v>118</v>
      </c>
      <c r="AK442" s="166">
        <v>8</v>
      </c>
      <c r="AM442" s="166">
        <v>1</v>
      </c>
      <c r="AO442" s="166">
        <v>0</v>
      </c>
      <c r="AP442" s="166">
        <v>0</v>
      </c>
      <c r="AQ442" s="166">
        <v>0</v>
      </c>
      <c r="AR442" s="166">
        <v>0</v>
      </c>
      <c r="AS442" s="166">
        <v>8</v>
      </c>
      <c r="AT442" s="166">
        <v>0</v>
      </c>
      <c r="AU442" s="166">
        <v>0</v>
      </c>
      <c r="AV442" s="166">
        <v>0</v>
      </c>
      <c r="AW442" s="166">
        <v>0</v>
      </c>
      <c r="AX442" s="166">
        <v>0</v>
      </c>
      <c r="AY442" s="166">
        <v>0</v>
      </c>
      <c r="AZ442" s="166">
        <v>0</v>
      </c>
      <c r="BA442" s="166">
        <v>0</v>
      </c>
      <c r="BB442" s="166">
        <v>0</v>
      </c>
      <c r="BC442" s="166">
        <v>0</v>
      </c>
      <c r="BD442" s="166">
        <v>0</v>
      </c>
      <c r="BE442" s="166">
        <v>0</v>
      </c>
      <c r="BF442" s="166">
        <v>0</v>
      </c>
      <c r="BG442" s="166">
        <v>8</v>
      </c>
      <c r="BH442" s="166">
        <v>0</v>
      </c>
      <c r="BI442" s="166">
        <v>0</v>
      </c>
      <c r="BJ442" s="166">
        <v>0</v>
      </c>
      <c r="BK442" s="166">
        <v>0</v>
      </c>
      <c r="BL442" s="166">
        <v>0</v>
      </c>
      <c r="BM442" s="166">
        <v>0</v>
      </c>
      <c r="BN442" s="166">
        <v>0</v>
      </c>
      <c r="BO442" s="166">
        <v>0</v>
      </c>
      <c r="BP442" s="166">
        <v>0</v>
      </c>
      <c r="BQ442" s="81" t="s">
        <v>1757</v>
      </c>
      <c r="BZ442" s="81" t="s">
        <v>155</v>
      </c>
      <c r="CA442" s="81" t="s">
        <v>3976</v>
      </c>
      <c r="CC442" s="167">
        <v>0</v>
      </c>
      <c r="CD442" s="167">
        <f>N442</f>
        <v>8</v>
      </c>
      <c r="CE442" s="167">
        <v>0</v>
      </c>
      <c r="CF442" s="167">
        <v>0</v>
      </c>
      <c r="CG442" s="167">
        <v>0</v>
      </c>
      <c r="CH442" s="167">
        <v>0</v>
      </c>
      <c r="CI442" s="167">
        <v>0</v>
      </c>
      <c r="CJ442" s="167">
        <v>0</v>
      </c>
      <c r="CK442" s="167">
        <v>0</v>
      </c>
      <c r="CL442" s="167">
        <v>0</v>
      </c>
      <c r="CM442" s="167">
        <v>0</v>
      </c>
      <c r="CN442" s="167">
        <v>0</v>
      </c>
      <c r="CO442" s="167">
        <v>0</v>
      </c>
      <c r="CP442" s="167">
        <v>0</v>
      </c>
      <c r="CQ442" s="167">
        <v>0</v>
      </c>
      <c r="CR442" s="167">
        <v>0</v>
      </c>
      <c r="CS442" s="167">
        <v>0</v>
      </c>
      <c r="CT442" s="167">
        <v>0</v>
      </c>
      <c r="CU442" s="167">
        <v>0</v>
      </c>
      <c r="CV442" s="167">
        <v>0</v>
      </c>
      <c r="CW442" s="167">
        <v>0</v>
      </c>
      <c r="CX442" s="167">
        <f>SUM(CD442:CH442)</f>
        <v>8</v>
      </c>
      <c r="CY442" s="167">
        <f>SUM(CD442:CM442)</f>
        <v>8</v>
      </c>
    </row>
    <row r="443" spans="1:103" ht="12.75" customHeight="1" x14ac:dyDescent="0.2">
      <c r="A443" s="81">
        <v>4359</v>
      </c>
      <c r="B443" s="165" t="s">
        <v>1908</v>
      </c>
      <c r="C443" s="165" t="s">
        <v>976</v>
      </c>
      <c r="E443" s="165" t="s">
        <v>3096</v>
      </c>
      <c r="G443" s="81">
        <v>526586</v>
      </c>
      <c r="H443" s="81">
        <v>174964</v>
      </c>
      <c r="I443" s="165" t="s">
        <v>251</v>
      </c>
      <c r="J443" s="349">
        <v>42459</v>
      </c>
      <c r="L443" s="166">
        <v>1</v>
      </c>
      <c r="M443" s="166">
        <v>6</v>
      </c>
      <c r="N443" s="166">
        <v>5</v>
      </c>
      <c r="O443" s="166">
        <v>6</v>
      </c>
      <c r="P443" s="166">
        <v>5</v>
      </c>
      <c r="R443" s="165" t="s">
        <v>977</v>
      </c>
      <c r="S443" s="81" t="s">
        <v>113</v>
      </c>
      <c r="T443" s="349">
        <v>42451</v>
      </c>
      <c r="U443" s="349">
        <v>42628</v>
      </c>
      <c r="W443" s="81" t="s">
        <v>114</v>
      </c>
      <c r="Y443" s="81" t="s">
        <v>115</v>
      </c>
      <c r="Z443" s="81" t="s">
        <v>116</v>
      </c>
      <c r="AA443" s="81" t="s">
        <v>117</v>
      </c>
      <c r="AB443" s="81" t="s">
        <v>218</v>
      </c>
      <c r="AC443" s="166">
        <v>3.20000015199184E-2</v>
      </c>
      <c r="AD443" s="349">
        <v>42459</v>
      </c>
      <c r="AG443" s="81" t="s">
        <v>238</v>
      </c>
      <c r="AH443" s="81" t="s">
        <v>118</v>
      </c>
      <c r="AK443" s="166">
        <v>0</v>
      </c>
      <c r="AM443" s="166">
        <v>0</v>
      </c>
      <c r="AO443" s="166">
        <v>1</v>
      </c>
      <c r="AP443" s="166">
        <v>0</v>
      </c>
      <c r="AQ443" s="166">
        <v>5</v>
      </c>
      <c r="AR443" s="166">
        <v>0</v>
      </c>
      <c r="AS443" s="166">
        <v>0</v>
      </c>
      <c r="AT443" s="166">
        <v>-1</v>
      </c>
      <c r="AU443" s="166">
        <v>0</v>
      </c>
      <c r="AV443" s="166">
        <v>1</v>
      </c>
      <c r="AW443" s="166">
        <v>0</v>
      </c>
      <c r="AX443" s="166">
        <v>5</v>
      </c>
      <c r="AY443" s="166">
        <v>0</v>
      </c>
      <c r="AZ443" s="166">
        <v>0</v>
      </c>
      <c r="BA443" s="166">
        <v>-1</v>
      </c>
      <c r="BB443" s="166">
        <v>0</v>
      </c>
      <c r="BC443" s="166">
        <v>0</v>
      </c>
      <c r="BD443" s="166">
        <v>0</v>
      </c>
      <c r="BE443" s="166">
        <v>0</v>
      </c>
      <c r="BF443" s="166">
        <v>0</v>
      </c>
      <c r="BG443" s="166">
        <v>0</v>
      </c>
      <c r="BH443" s="166">
        <v>0</v>
      </c>
      <c r="BI443" s="166">
        <v>0</v>
      </c>
      <c r="BJ443" s="166">
        <v>0</v>
      </c>
      <c r="BK443" s="166">
        <v>0</v>
      </c>
      <c r="BL443" s="166">
        <v>0</v>
      </c>
      <c r="BM443" s="166">
        <v>0</v>
      </c>
      <c r="BN443" s="166">
        <v>0</v>
      </c>
      <c r="BO443" s="166">
        <v>0</v>
      </c>
      <c r="BP443" s="166">
        <v>0</v>
      </c>
      <c r="BQ443" s="81" t="s">
        <v>1758</v>
      </c>
      <c r="BZ443" s="81" t="s">
        <v>155</v>
      </c>
      <c r="CA443" s="81" t="s">
        <v>3976</v>
      </c>
      <c r="CC443" s="167">
        <v>0</v>
      </c>
      <c r="CD443" s="167">
        <f>N443</f>
        <v>5</v>
      </c>
      <c r="CE443" s="167">
        <v>0</v>
      </c>
      <c r="CF443" s="167">
        <v>0</v>
      </c>
      <c r="CG443" s="167">
        <v>0</v>
      </c>
      <c r="CH443" s="167">
        <v>0</v>
      </c>
      <c r="CI443" s="167">
        <v>0</v>
      </c>
      <c r="CJ443" s="167">
        <v>0</v>
      </c>
      <c r="CK443" s="167">
        <v>0</v>
      </c>
      <c r="CL443" s="167">
        <v>0</v>
      </c>
      <c r="CM443" s="167">
        <v>0</v>
      </c>
      <c r="CN443" s="167">
        <v>0</v>
      </c>
      <c r="CO443" s="167">
        <v>0</v>
      </c>
      <c r="CP443" s="167">
        <v>0</v>
      </c>
      <c r="CQ443" s="167">
        <v>0</v>
      </c>
      <c r="CR443" s="167">
        <v>0</v>
      </c>
      <c r="CS443" s="167">
        <v>0</v>
      </c>
      <c r="CT443" s="167">
        <v>0</v>
      </c>
      <c r="CU443" s="167">
        <v>0</v>
      </c>
      <c r="CV443" s="167">
        <v>0</v>
      </c>
      <c r="CW443" s="167">
        <v>0</v>
      </c>
      <c r="CX443" s="167">
        <f>SUM(CD443:CH443)</f>
        <v>5</v>
      </c>
      <c r="CY443" s="167">
        <f>SUM(CD443:CM443)</f>
        <v>5</v>
      </c>
    </row>
    <row r="444" spans="1:103" ht="12.75" customHeight="1" x14ac:dyDescent="0.2">
      <c r="A444" s="81">
        <v>4368</v>
      </c>
      <c r="B444" s="165" t="s">
        <v>1908</v>
      </c>
      <c r="C444" s="165" t="s">
        <v>657</v>
      </c>
      <c r="E444" s="165" t="s">
        <v>3509</v>
      </c>
      <c r="G444" s="81">
        <v>528539</v>
      </c>
      <c r="H444" s="81">
        <v>175783</v>
      </c>
      <c r="I444" s="165" t="s">
        <v>256</v>
      </c>
      <c r="J444" s="349">
        <v>42445</v>
      </c>
      <c r="L444" s="166">
        <v>0</v>
      </c>
      <c r="M444" s="166">
        <v>2</v>
      </c>
      <c r="N444" s="166">
        <v>2</v>
      </c>
      <c r="O444" s="166">
        <v>2</v>
      </c>
      <c r="P444" s="166">
        <v>2</v>
      </c>
      <c r="R444" s="165" t="s">
        <v>658</v>
      </c>
      <c r="S444" s="81" t="s">
        <v>113</v>
      </c>
      <c r="T444" s="349">
        <v>42293</v>
      </c>
      <c r="U444" s="349">
        <v>42445</v>
      </c>
      <c r="W444" s="81" t="s">
        <v>114</v>
      </c>
      <c r="Y444" s="81" t="s">
        <v>115</v>
      </c>
      <c r="Z444" s="81" t="s">
        <v>398</v>
      </c>
      <c r="AA444" s="81" t="s">
        <v>117</v>
      </c>
      <c r="AB444" s="81" t="s">
        <v>218</v>
      </c>
      <c r="AC444" s="166">
        <v>7.0000002160668399E-3</v>
      </c>
      <c r="AD444" s="349">
        <v>42445</v>
      </c>
      <c r="AG444" s="81" t="s">
        <v>238</v>
      </c>
      <c r="AH444" s="81" t="s">
        <v>118</v>
      </c>
      <c r="AK444" s="166">
        <v>0</v>
      </c>
      <c r="AM444" s="166">
        <v>0</v>
      </c>
      <c r="AO444" s="166">
        <v>0</v>
      </c>
      <c r="AP444" s="166">
        <v>1</v>
      </c>
      <c r="AQ444" s="166">
        <v>0</v>
      </c>
      <c r="AR444" s="166">
        <v>1</v>
      </c>
      <c r="AS444" s="166">
        <v>0</v>
      </c>
      <c r="AT444" s="166">
        <v>0</v>
      </c>
      <c r="AU444" s="166">
        <v>0</v>
      </c>
      <c r="AV444" s="166">
        <v>0</v>
      </c>
      <c r="AW444" s="166">
        <v>1</v>
      </c>
      <c r="AX444" s="166">
        <v>0</v>
      </c>
      <c r="AY444" s="166">
        <v>1</v>
      </c>
      <c r="AZ444" s="166">
        <v>0</v>
      </c>
      <c r="BA444" s="166">
        <v>0</v>
      </c>
      <c r="BB444" s="166">
        <v>0</v>
      </c>
      <c r="BC444" s="166">
        <v>0</v>
      </c>
      <c r="BD444" s="166">
        <v>0</v>
      </c>
      <c r="BE444" s="166">
        <v>0</v>
      </c>
      <c r="BF444" s="166">
        <v>0</v>
      </c>
      <c r="BG444" s="166">
        <v>0</v>
      </c>
      <c r="BH444" s="166">
        <v>0</v>
      </c>
      <c r="BI444" s="166">
        <v>0</v>
      </c>
      <c r="BJ444" s="166">
        <v>0</v>
      </c>
      <c r="BK444" s="166">
        <v>0</v>
      </c>
      <c r="BL444" s="166">
        <v>0</v>
      </c>
      <c r="BM444" s="166">
        <v>0</v>
      </c>
      <c r="BN444" s="166">
        <v>0</v>
      </c>
      <c r="BO444" s="166">
        <v>0</v>
      </c>
      <c r="BP444" s="166">
        <v>0</v>
      </c>
      <c r="BQ444" s="81" t="s">
        <v>1757</v>
      </c>
      <c r="BZ444" s="81" t="s">
        <v>155</v>
      </c>
      <c r="CA444" s="81" t="s">
        <v>3980</v>
      </c>
      <c r="CC444" s="167">
        <v>0</v>
      </c>
      <c r="CD444" s="167">
        <f>N444</f>
        <v>2</v>
      </c>
      <c r="CE444" s="167">
        <v>0</v>
      </c>
      <c r="CF444" s="167">
        <v>0</v>
      </c>
      <c r="CG444" s="167">
        <v>0</v>
      </c>
      <c r="CH444" s="167">
        <v>0</v>
      </c>
      <c r="CI444" s="167">
        <v>0</v>
      </c>
      <c r="CJ444" s="167">
        <v>0</v>
      </c>
      <c r="CK444" s="167">
        <v>0</v>
      </c>
      <c r="CL444" s="167">
        <v>0</v>
      </c>
      <c r="CM444" s="167">
        <v>0</v>
      </c>
      <c r="CN444" s="167">
        <v>0</v>
      </c>
      <c r="CO444" s="167">
        <v>0</v>
      </c>
      <c r="CP444" s="167">
        <v>0</v>
      </c>
      <c r="CQ444" s="167">
        <v>0</v>
      </c>
      <c r="CR444" s="167">
        <v>0</v>
      </c>
      <c r="CS444" s="167">
        <v>0</v>
      </c>
      <c r="CT444" s="167">
        <v>0</v>
      </c>
      <c r="CU444" s="167">
        <v>0</v>
      </c>
      <c r="CV444" s="167">
        <v>0</v>
      </c>
      <c r="CW444" s="167">
        <v>0</v>
      </c>
      <c r="CX444" s="167">
        <f>SUM(CD444:CH444)</f>
        <v>2</v>
      </c>
      <c r="CY444" s="167">
        <f>SUM(CD444:CM444)</f>
        <v>2</v>
      </c>
    </row>
    <row r="445" spans="1:103" ht="12.75" customHeight="1" x14ac:dyDescent="0.2">
      <c r="A445" s="81">
        <v>4432</v>
      </c>
      <c r="B445" s="165" t="s">
        <v>1908</v>
      </c>
      <c r="C445" s="165" t="s">
        <v>306</v>
      </c>
      <c r="E445" s="165" t="s">
        <v>3097</v>
      </c>
      <c r="F445" s="165" t="s">
        <v>307</v>
      </c>
      <c r="G445" s="81">
        <v>525103</v>
      </c>
      <c r="H445" s="81">
        <v>175205</v>
      </c>
      <c r="I445" s="165" t="s">
        <v>259</v>
      </c>
      <c r="J445" s="349">
        <v>41347</v>
      </c>
      <c r="L445" s="166">
        <v>0</v>
      </c>
      <c r="M445" s="166">
        <v>8</v>
      </c>
      <c r="N445" s="166">
        <v>8</v>
      </c>
      <c r="O445" s="166">
        <v>29</v>
      </c>
      <c r="P445" s="166">
        <v>29</v>
      </c>
      <c r="Q445" s="81" t="s">
        <v>155</v>
      </c>
      <c r="R445" s="165" t="s">
        <v>737</v>
      </c>
      <c r="S445" s="81" t="s">
        <v>104</v>
      </c>
      <c r="T445" s="349">
        <v>40200</v>
      </c>
      <c r="U445" s="349">
        <v>40882</v>
      </c>
      <c r="W445" s="81" t="s">
        <v>114</v>
      </c>
      <c r="Y445" s="81" t="s">
        <v>115</v>
      </c>
      <c r="Z445" s="81" t="s">
        <v>116</v>
      </c>
      <c r="AA445" s="81" t="s">
        <v>116</v>
      </c>
      <c r="AB445" s="81" t="s">
        <v>117</v>
      </c>
      <c r="AC445" s="166">
        <v>3.0999999493360499E-2</v>
      </c>
      <c r="AD445" s="349">
        <v>41347</v>
      </c>
      <c r="AG445" s="81" t="s">
        <v>74</v>
      </c>
      <c r="AH445" s="81" t="s">
        <v>1913</v>
      </c>
      <c r="AK445" s="166">
        <v>8</v>
      </c>
      <c r="AM445" s="166">
        <v>2</v>
      </c>
      <c r="AO445" s="166">
        <v>0</v>
      </c>
      <c r="AP445" s="166">
        <v>3</v>
      </c>
      <c r="AQ445" s="166">
        <v>4</v>
      </c>
      <c r="AR445" s="166">
        <v>1</v>
      </c>
      <c r="AS445" s="166">
        <v>0</v>
      </c>
      <c r="AT445" s="166">
        <v>0</v>
      </c>
      <c r="AU445" s="166">
        <v>0</v>
      </c>
      <c r="AV445" s="166">
        <v>0</v>
      </c>
      <c r="AW445" s="166">
        <v>3</v>
      </c>
      <c r="AX445" s="166">
        <v>4</v>
      </c>
      <c r="AY445" s="166">
        <v>1</v>
      </c>
      <c r="AZ445" s="166">
        <v>0</v>
      </c>
      <c r="BA445" s="166">
        <v>0</v>
      </c>
      <c r="BB445" s="166">
        <v>0</v>
      </c>
      <c r="BC445" s="166">
        <v>0</v>
      </c>
      <c r="BD445" s="166">
        <v>0</v>
      </c>
      <c r="BE445" s="166">
        <v>0</v>
      </c>
      <c r="BF445" s="166">
        <v>0</v>
      </c>
      <c r="BG445" s="166">
        <v>0</v>
      </c>
      <c r="BH445" s="166">
        <v>0</v>
      </c>
      <c r="BI445" s="166">
        <v>0</v>
      </c>
      <c r="BJ445" s="166">
        <v>0</v>
      </c>
      <c r="BK445" s="166">
        <v>0</v>
      </c>
      <c r="BL445" s="166">
        <v>0</v>
      </c>
      <c r="BM445" s="166">
        <v>0</v>
      </c>
      <c r="BN445" s="166">
        <v>0</v>
      </c>
      <c r="BO445" s="166">
        <v>0</v>
      </c>
      <c r="BP445" s="166">
        <v>0</v>
      </c>
      <c r="BQ445" s="81" t="s">
        <v>1758</v>
      </c>
      <c r="BT445" s="81" t="s">
        <v>155</v>
      </c>
      <c r="BZ445" s="81" t="s">
        <v>155</v>
      </c>
      <c r="CA445" s="81" t="s">
        <v>3934</v>
      </c>
      <c r="CC445" s="167">
        <v>0</v>
      </c>
      <c r="CD445" s="167">
        <v>0</v>
      </c>
      <c r="CE445" s="167">
        <v>0</v>
      </c>
      <c r="CF445" s="167">
        <v>0</v>
      </c>
      <c r="CG445" s="167">
        <v>0</v>
      </c>
      <c r="CH445" s="167">
        <v>0</v>
      </c>
      <c r="CI445" s="167">
        <f>$N445/5</f>
        <v>1.6</v>
      </c>
      <c r="CJ445" s="167">
        <f>$N445/5</f>
        <v>1.6</v>
      </c>
      <c r="CK445" s="167">
        <f>$N445/5</f>
        <v>1.6</v>
      </c>
      <c r="CL445" s="167">
        <f>$N445/5</f>
        <v>1.6</v>
      </c>
      <c r="CM445" s="167">
        <f>$N445/5</f>
        <v>1.6</v>
      </c>
      <c r="CN445" s="167">
        <v>0</v>
      </c>
      <c r="CO445" s="167">
        <v>0</v>
      </c>
      <c r="CP445" s="167">
        <v>0</v>
      </c>
      <c r="CQ445" s="167">
        <v>0</v>
      </c>
      <c r="CR445" s="167">
        <v>0</v>
      </c>
      <c r="CS445" s="167">
        <v>0</v>
      </c>
      <c r="CT445" s="167">
        <v>0</v>
      </c>
      <c r="CU445" s="167">
        <v>0</v>
      </c>
      <c r="CV445" s="167">
        <v>0</v>
      </c>
      <c r="CW445" s="167">
        <v>0</v>
      </c>
      <c r="CX445" s="167">
        <f>SUM(CD445:CH445)</f>
        <v>0</v>
      </c>
      <c r="CY445" s="167">
        <f>SUM(CD445:CM445)</f>
        <v>8</v>
      </c>
    </row>
    <row r="446" spans="1:103" ht="12.75" customHeight="1" x14ac:dyDescent="0.2">
      <c r="A446" s="81">
        <v>4432</v>
      </c>
      <c r="B446" s="165" t="s">
        <v>1908</v>
      </c>
      <c r="C446" s="165" t="s">
        <v>306</v>
      </c>
      <c r="E446" s="165" t="s">
        <v>3097</v>
      </c>
      <c r="G446" s="81">
        <v>525103</v>
      </c>
      <c r="H446" s="81">
        <v>175205</v>
      </c>
      <c r="I446" s="165" t="s">
        <v>259</v>
      </c>
      <c r="J446" s="349">
        <v>41347</v>
      </c>
      <c r="L446" s="166">
        <v>0</v>
      </c>
      <c r="M446" s="166">
        <v>21</v>
      </c>
      <c r="N446" s="166">
        <v>21</v>
      </c>
      <c r="O446" s="166">
        <v>29</v>
      </c>
      <c r="P446" s="166">
        <v>29</v>
      </c>
      <c r="Q446" s="81" t="s">
        <v>155</v>
      </c>
      <c r="R446" s="165" t="s">
        <v>737</v>
      </c>
      <c r="S446" s="81" t="s">
        <v>104</v>
      </c>
      <c r="T446" s="349">
        <v>40200</v>
      </c>
      <c r="U446" s="349">
        <v>40882</v>
      </c>
      <c r="W446" s="81" t="s">
        <v>114</v>
      </c>
      <c r="Y446" s="81" t="s">
        <v>115</v>
      </c>
      <c r="Z446" s="81" t="s">
        <v>116</v>
      </c>
      <c r="AA446" s="81" t="s">
        <v>116</v>
      </c>
      <c r="AB446" s="81" t="s">
        <v>117</v>
      </c>
      <c r="AC446" s="166">
        <v>7.9000003635883304E-2</v>
      </c>
      <c r="AD446" s="349">
        <v>41347</v>
      </c>
      <c r="AG446" s="81" t="s">
        <v>238</v>
      </c>
      <c r="AH446" s="81" t="s">
        <v>118</v>
      </c>
      <c r="AK446" s="166">
        <v>21</v>
      </c>
      <c r="AM446" s="166">
        <v>1</v>
      </c>
      <c r="AO446" s="166">
        <v>0</v>
      </c>
      <c r="AP446" s="166">
        <v>0</v>
      </c>
      <c r="AQ446" s="166">
        <v>19</v>
      </c>
      <c r="AR446" s="166">
        <v>2</v>
      </c>
      <c r="AS446" s="166">
        <v>0</v>
      </c>
      <c r="AT446" s="166">
        <v>0</v>
      </c>
      <c r="AU446" s="166">
        <v>0</v>
      </c>
      <c r="AV446" s="166">
        <v>0</v>
      </c>
      <c r="AW446" s="166">
        <v>0</v>
      </c>
      <c r="AX446" s="166">
        <v>19</v>
      </c>
      <c r="AY446" s="166">
        <v>2</v>
      </c>
      <c r="AZ446" s="166">
        <v>0</v>
      </c>
      <c r="BA446" s="166">
        <v>0</v>
      </c>
      <c r="BB446" s="166">
        <v>0</v>
      </c>
      <c r="BC446" s="166">
        <v>0</v>
      </c>
      <c r="BD446" s="166">
        <v>0</v>
      </c>
      <c r="BE446" s="166">
        <v>0</v>
      </c>
      <c r="BF446" s="166">
        <v>0</v>
      </c>
      <c r="BG446" s="166">
        <v>0</v>
      </c>
      <c r="BH446" s="166">
        <v>0</v>
      </c>
      <c r="BI446" s="166">
        <v>0</v>
      </c>
      <c r="BJ446" s="166">
        <v>0</v>
      </c>
      <c r="BK446" s="166">
        <v>0</v>
      </c>
      <c r="BL446" s="166">
        <v>0</v>
      </c>
      <c r="BM446" s="166">
        <v>0</v>
      </c>
      <c r="BN446" s="166">
        <v>0</v>
      </c>
      <c r="BO446" s="166">
        <v>0</v>
      </c>
      <c r="BP446" s="166">
        <v>0</v>
      </c>
      <c r="BQ446" s="81" t="s">
        <v>1758</v>
      </c>
      <c r="BT446" s="81" t="s">
        <v>155</v>
      </c>
      <c r="BZ446" s="81" t="s">
        <v>155</v>
      </c>
      <c r="CA446" s="81" t="s">
        <v>3934</v>
      </c>
      <c r="CC446" s="167">
        <v>0</v>
      </c>
      <c r="CD446" s="167">
        <v>0</v>
      </c>
      <c r="CE446" s="167">
        <v>0</v>
      </c>
      <c r="CF446" s="167">
        <v>0</v>
      </c>
      <c r="CG446" s="167">
        <v>0</v>
      </c>
      <c r="CH446" s="167">
        <v>0</v>
      </c>
      <c r="CI446" s="167">
        <f>$N446/5</f>
        <v>4.2</v>
      </c>
      <c r="CJ446" s="167">
        <f>$N446/5</f>
        <v>4.2</v>
      </c>
      <c r="CK446" s="167">
        <f>$N446/5</f>
        <v>4.2</v>
      </c>
      <c r="CL446" s="167">
        <f>$N446/5</f>
        <v>4.2</v>
      </c>
      <c r="CM446" s="167">
        <f>$N446/5</f>
        <v>4.2</v>
      </c>
      <c r="CN446" s="167">
        <v>0</v>
      </c>
      <c r="CO446" s="167">
        <v>0</v>
      </c>
      <c r="CP446" s="167">
        <v>0</v>
      </c>
      <c r="CQ446" s="167">
        <v>0</v>
      </c>
      <c r="CR446" s="167">
        <v>0</v>
      </c>
      <c r="CS446" s="167">
        <v>0</v>
      </c>
      <c r="CT446" s="167">
        <v>0</v>
      </c>
      <c r="CU446" s="167">
        <v>0</v>
      </c>
      <c r="CV446" s="167">
        <v>0</v>
      </c>
      <c r="CW446" s="167">
        <v>0</v>
      </c>
      <c r="CX446" s="167">
        <f>SUM(CD446:CH446)</f>
        <v>0</v>
      </c>
      <c r="CY446" s="167">
        <f>SUM(CD446:CM446)</f>
        <v>21</v>
      </c>
    </row>
    <row r="447" spans="1:103" ht="12.75" customHeight="1" x14ac:dyDescent="0.2">
      <c r="A447" s="81">
        <v>4482</v>
      </c>
      <c r="B447" s="165" t="s">
        <v>1908</v>
      </c>
      <c r="C447" s="165" t="s">
        <v>1727</v>
      </c>
      <c r="D447" s="165" t="s">
        <v>1728</v>
      </c>
      <c r="E447" s="165" t="s">
        <v>3111</v>
      </c>
      <c r="G447" s="81">
        <v>525443</v>
      </c>
      <c r="H447" s="81">
        <v>175090</v>
      </c>
      <c r="I447" s="165" t="s">
        <v>259</v>
      </c>
      <c r="J447" s="349">
        <v>43009</v>
      </c>
      <c r="L447" s="166">
        <v>0</v>
      </c>
      <c r="M447" s="166">
        <v>80</v>
      </c>
      <c r="N447" s="166">
        <v>80</v>
      </c>
      <c r="O447" s="166">
        <v>109</v>
      </c>
      <c r="P447" s="166">
        <v>109</v>
      </c>
      <c r="Q447" s="81" t="s">
        <v>155</v>
      </c>
      <c r="R447" s="165" t="s">
        <v>1729</v>
      </c>
      <c r="S447" s="81" t="s">
        <v>104</v>
      </c>
      <c r="T447" s="349">
        <v>42668</v>
      </c>
      <c r="U447" s="349">
        <v>42985</v>
      </c>
      <c r="V447" s="81" t="s">
        <v>155</v>
      </c>
      <c r="W447" s="81" t="s">
        <v>114</v>
      </c>
      <c r="Y447" s="81" t="s">
        <v>115</v>
      </c>
      <c r="Z447" s="81" t="s">
        <v>116</v>
      </c>
      <c r="AA447" s="81" t="s">
        <v>116</v>
      </c>
      <c r="AB447" s="81" t="s">
        <v>117</v>
      </c>
      <c r="AC447" s="166">
        <v>0.14200000464916199</v>
      </c>
      <c r="AD447" s="349">
        <v>43009</v>
      </c>
      <c r="AE447" s="81" t="s">
        <v>155</v>
      </c>
      <c r="AG447" s="81" t="s">
        <v>238</v>
      </c>
      <c r="AH447" s="81" t="s">
        <v>118</v>
      </c>
      <c r="AI447" s="81" t="s">
        <v>3112</v>
      </c>
      <c r="AK447" s="166">
        <v>80</v>
      </c>
      <c r="AL447" s="166">
        <v>75</v>
      </c>
      <c r="AM447" s="166">
        <v>0</v>
      </c>
      <c r="AN447" s="166">
        <v>5</v>
      </c>
      <c r="AO447" s="166">
        <v>0</v>
      </c>
      <c r="AP447" s="166">
        <v>6</v>
      </c>
      <c r="AQ447" s="166">
        <v>64</v>
      </c>
      <c r="AR447" s="166">
        <v>10</v>
      </c>
      <c r="AS447" s="166">
        <v>0</v>
      </c>
      <c r="AT447" s="166">
        <v>0</v>
      </c>
      <c r="AU447" s="166">
        <v>0</v>
      </c>
      <c r="AV447" s="166">
        <v>0</v>
      </c>
      <c r="AW447" s="166">
        <v>6</v>
      </c>
      <c r="AX447" s="166">
        <v>64</v>
      </c>
      <c r="AY447" s="166">
        <v>10</v>
      </c>
      <c r="AZ447" s="166">
        <v>0</v>
      </c>
      <c r="BA447" s="166">
        <v>0</v>
      </c>
      <c r="BB447" s="166">
        <v>0</v>
      </c>
      <c r="BC447" s="166">
        <v>0</v>
      </c>
      <c r="BD447" s="166">
        <v>0</v>
      </c>
      <c r="BE447" s="166">
        <v>0</v>
      </c>
      <c r="BF447" s="166">
        <v>0</v>
      </c>
      <c r="BG447" s="166">
        <v>0</v>
      </c>
      <c r="BH447" s="166">
        <v>0</v>
      </c>
      <c r="BI447" s="166">
        <v>0</v>
      </c>
      <c r="BJ447" s="166">
        <v>0</v>
      </c>
      <c r="BK447" s="166">
        <v>0</v>
      </c>
      <c r="BL447" s="166">
        <v>0</v>
      </c>
      <c r="BM447" s="166">
        <v>0</v>
      </c>
      <c r="BN447" s="166">
        <v>0</v>
      </c>
      <c r="BO447" s="166">
        <v>0</v>
      </c>
      <c r="BP447" s="166">
        <v>0</v>
      </c>
      <c r="BQ447" s="81" t="s">
        <v>1758</v>
      </c>
      <c r="BT447" s="81" t="s">
        <v>155</v>
      </c>
      <c r="BZ447" s="81" t="s">
        <v>155</v>
      </c>
      <c r="CA447" s="81" t="s">
        <v>3934</v>
      </c>
      <c r="CC447" s="167">
        <v>0</v>
      </c>
      <c r="CD447" s="167">
        <v>0</v>
      </c>
      <c r="CE447" s="167">
        <v>0</v>
      </c>
      <c r="CF447" s="167">
        <v>0</v>
      </c>
      <c r="CG447" s="167">
        <f>N447</f>
        <v>80</v>
      </c>
      <c r="CH447" s="167">
        <v>0</v>
      </c>
      <c r="CI447" s="167">
        <v>0</v>
      </c>
      <c r="CJ447" s="167">
        <v>0</v>
      </c>
      <c r="CK447" s="167">
        <v>0</v>
      </c>
      <c r="CL447" s="167">
        <v>0</v>
      </c>
      <c r="CM447" s="167">
        <v>0</v>
      </c>
      <c r="CN447" s="167">
        <v>0</v>
      </c>
      <c r="CO447" s="167">
        <v>0</v>
      </c>
      <c r="CP447" s="167">
        <v>0</v>
      </c>
      <c r="CQ447" s="167">
        <v>0</v>
      </c>
      <c r="CR447" s="167">
        <v>0</v>
      </c>
      <c r="CS447" s="167">
        <v>0</v>
      </c>
      <c r="CT447" s="167">
        <v>0</v>
      </c>
      <c r="CU447" s="167">
        <v>0</v>
      </c>
      <c r="CV447" s="167">
        <v>0</v>
      </c>
      <c r="CW447" s="167">
        <v>0</v>
      </c>
      <c r="CX447" s="167">
        <f>SUM(CD447:CH447)</f>
        <v>80</v>
      </c>
      <c r="CY447" s="167">
        <f>SUM(CD447:CM447)</f>
        <v>80</v>
      </c>
    </row>
    <row r="448" spans="1:103" x14ac:dyDescent="0.2">
      <c r="A448" s="81">
        <v>4482</v>
      </c>
      <c r="B448" s="165" t="s">
        <v>1908</v>
      </c>
      <c r="C448" s="165" t="s">
        <v>1727</v>
      </c>
      <c r="D448" s="165" t="s">
        <v>1728</v>
      </c>
      <c r="E448" s="165" t="s">
        <v>3111</v>
      </c>
      <c r="G448" s="81">
        <v>525443</v>
      </c>
      <c r="H448" s="81">
        <v>175090</v>
      </c>
      <c r="I448" s="165" t="s">
        <v>259</v>
      </c>
      <c r="J448" s="349">
        <v>43009</v>
      </c>
      <c r="L448" s="166">
        <v>0</v>
      </c>
      <c r="M448" s="166">
        <v>29</v>
      </c>
      <c r="N448" s="166">
        <v>29</v>
      </c>
      <c r="O448" s="166">
        <v>109</v>
      </c>
      <c r="P448" s="166">
        <v>109</v>
      </c>
      <c r="Q448" s="81" t="s">
        <v>155</v>
      </c>
      <c r="R448" s="165" t="s">
        <v>1729</v>
      </c>
      <c r="S448" s="81" t="s">
        <v>104</v>
      </c>
      <c r="T448" s="349">
        <v>42668</v>
      </c>
      <c r="U448" s="349">
        <v>42985</v>
      </c>
      <c r="V448" s="81" t="s">
        <v>155</v>
      </c>
      <c r="W448" s="81" t="s">
        <v>114</v>
      </c>
      <c r="Y448" s="81" t="s">
        <v>115</v>
      </c>
      <c r="Z448" s="81" t="s">
        <v>116</v>
      </c>
      <c r="AA448" s="81" t="s">
        <v>116</v>
      </c>
      <c r="AB448" s="81" t="s">
        <v>117</v>
      </c>
      <c r="AC448" s="166">
        <v>9.4999998807907104E-2</v>
      </c>
      <c r="AD448" s="349">
        <v>43009</v>
      </c>
      <c r="AE448" s="81" t="s">
        <v>155</v>
      </c>
      <c r="AG448" s="81" t="s">
        <v>74</v>
      </c>
      <c r="AH448" s="81" t="s">
        <v>990</v>
      </c>
      <c r="AI448" s="81" t="s">
        <v>3112</v>
      </c>
      <c r="AK448" s="166">
        <v>29</v>
      </c>
      <c r="AL448" s="166">
        <v>23</v>
      </c>
      <c r="AM448" s="166">
        <v>0</v>
      </c>
      <c r="AN448" s="166">
        <v>6</v>
      </c>
      <c r="AO448" s="166">
        <v>0</v>
      </c>
      <c r="AP448" s="166">
        <v>16</v>
      </c>
      <c r="AQ448" s="166">
        <v>13</v>
      </c>
      <c r="AR448" s="166">
        <v>0</v>
      </c>
      <c r="AS448" s="166">
        <v>0</v>
      </c>
      <c r="AT448" s="166">
        <v>0</v>
      </c>
      <c r="AU448" s="166">
        <v>0</v>
      </c>
      <c r="AV448" s="166">
        <v>0</v>
      </c>
      <c r="AW448" s="166">
        <v>16</v>
      </c>
      <c r="AX448" s="166">
        <v>13</v>
      </c>
      <c r="AY448" s="166">
        <v>0</v>
      </c>
      <c r="AZ448" s="166">
        <v>0</v>
      </c>
      <c r="BA448" s="166">
        <v>0</v>
      </c>
      <c r="BB448" s="166">
        <v>0</v>
      </c>
      <c r="BC448" s="166">
        <v>0</v>
      </c>
      <c r="BD448" s="166">
        <v>0</v>
      </c>
      <c r="BE448" s="166">
        <v>0</v>
      </c>
      <c r="BF448" s="166">
        <v>0</v>
      </c>
      <c r="BG448" s="166">
        <v>0</v>
      </c>
      <c r="BH448" s="166">
        <v>0</v>
      </c>
      <c r="BI448" s="166">
        <v>0</v>
      </c>
      <c r="BJ448" s="166">
        <v>0</v>
      </c>
      <c r="BK448" s="166">
        <v>0</v>
      </c>
      <c r="BL448" s="166">
        <v>0</v>
      </c>
      <c r="BM448" s="166">
        <v>0</v>
      </c>
      <c r="BN448" s="166">
        <v>0</v>
      </c>
      <c r="BO448" s="166">
        <v>0</v>
      </c>
      <c r="BP448" s="166">
        <v>0</v>
      </c>
      <c r="BQ448" s="81" t="s">
        <v>1758</v>
      </c>
      <c r="BT448" s="81" t="s">
        <v>155</v>
      </c>
      <c r="BZ448" s="81" t="s">
        <v>155</v>
      </c>
      <c r="CA448" s="81" t="s">
        <v>3934</v>
      </c>
      <c r="CC448" s="167">
        <v>0</v>
      </c>
      <c r="CD448" s="167">
        <v>0</v>
      </c>
      <c r="CE448" s="167">
        <v>0</v>
      </c>
      <c r="CF448" s="167">
        <v>0</v>
      </c>
      <c r="CG448" s="167">
        <f>N448</f>
        <v>29</v>
      </c>
      <c r="CH448" s="167">
        <v>0</v>
      </c>
      <c r="CI448" s="167">
        <v>0</v>
      </c>
      <c r="CJ448" s="167">
        <v>0</v>
      </c>
      <c r="CK448" s="167">
        <v>0</v>
      </c>
      <c r="CL448" s="167">
        <v>0</v>
      </c>
      <c r="CM448" s="167">
        <v>0</v>
      </c>
      <c r="CN448" s="167">
        <v>0</v>
      </c>
      <c r="CO448" s="167">
        <v>0</v>
      </c>
      <c r="CP448" s="167">
        <v>0</v>
      </c>
      <c r="CQ448" s="167">
        <v>0</v>
      </c>
      <c r="CR448" s="167">
        <v>0</v>
      </c>
      <c r="CS448" s="167">
        <v>0</v>
      </c>
      <c r="CT448" s="167">
        <v>0</v>
      </c>
      <c r="CU448" s="167">
        <v>0</v>
      </c>
      <c r="CV448" s="167">
        <v>0</v>
      </c>
      <c r="CW448" s="167">
        <v>0</v>
      </c>
      <c r="CX448" s="167">
        <f>SUM(CD448:CH448)</f>
        <v>29</v>
      </c>
      <c r="CY448" s="167">
        <f>SUM(CD448:CM448)</f>
        <v>29</v>
      </c>
    </row>
    <row r="449" spans="1:103" ht="12.75" customHeight="1" x14ac:dyDescent="0.2">
      <c r="A449" s="81">
        <v>4592</v>
      </c>
      <c r="B449" s="165" t="s">
        <v>1908</v>
      </c>
      <c r="C449" s="165" t="s">
        <v>1225</v>
      </c>
      <c r="E449" s="165" t="s">
        <v>3037</v>
      </c>
      <c r="G449" s="81">
        <v>525349</v>
      </c>
      <c r="H449" s="81">
        <v>174610</v>
      </c>
      <c r="I449" s="165" t="s">
        <v>258</v>
      </c>
      <c r="J449" s="349">
        <v>43190</v>
      </c>
      <c r="L449" s="166">
        <v>0</v>
      </c>
      <c r="M449" s="166">
        <v>61</v>
      </c>
      <c r="N449" s="166">
        <v>61</v>
      </c>
      <c r="O449" s="166">
        <v>61</v>
      </c>
      <c r="P449" s="166">
        <v>61</v>
      </c>
      <c r="Q449" s="81" t="s">
        <v>155</v>
      </c>
      <c r="R449" s="165" t="s">
        <v>1226</v>
      </c>
      <c r="S449" s="81" t="s">
        <v>270</v>
      </c>
      <c r="T449" s="349">
        <v>42493</v>
      </c>
      <c r="U449" s="349">
        <v>42543</v>
      </c>
      <c r="W449" s="81" t="s">
        <v>114</v>
      </c>
      <c r="Y449" s="81" t="s">
        <v>115</v>
      </c>
      <c r="Z449" s="81" t="s">
        <v>310</v>
      </c>
      <c r="AA449" s="81" t="s">
        <v>1764</v>
      </c>
      <c r="AB449" s="81" t="s">
        <v>117</v>
      </c>
      <c r="AC449" s="166">
        <v>9.4999998807907104E-2</v>
      </c>
      <c r="AD449" s="349">
        <v>43190</v>
      </c>
      <c r="AE449" s="81" t="s">
        <v>155</v>
      </c>
      <c r="AG449" s="81" t="s">
        <v>238</v>
      </c>
      <c r="AH449" s="81" t="s">
        <v>118</v>
      </c>
      <c r="AK449" s="166">
        <v>0</v>
      </c>
      <c r="AM449" s="166">
        <v>0</v>
      </c>
      <c r="AO449" s="166">
        <v>30</v>
      </c>
      <c r="AP449" s="166">
        <v>19</v>
      </c>
      <c r="AQ449" s="166">
        <v>12</v>
      </c>
      <c r="AR449" s="166">
        <v>0</v>
      </c>
      <c r="AS449" s="166">
        <v>0</v>
      </c>
      <c r="AT449" s="166">
        <v>0</v>
      </c>
      <c r="AU449" s="166">
        <v>0</v>
      </c>
      <c r="AV449" s="166">
        <v>30</v>
      </c>
      <c r="AW449" s="166">
        <v>19</v>
      </c>
      <c r="AX449" s="166">
        <v>12</v>
      </c>
      <c r="AY449" s="166">
        <v>0</v>
      </c>
      <c r="AZ449" s="166">
        <v>0</v>
      </c>
      <c r="BA449" s="166">
        <v>0</v>
      </c>
      <c r="BB449" s="166">
        <v>0</v>
      </c>
      <c r="BC449" s="166">
        <v>0</v>
      </c>
      <c r="BD449" s="166">
        <v>0</v>
      </c>
      <c r="BE449" s="166">
        <v>0</v>
      </c>
      <c r="BF449" s="166">
        <v>0</v>
      </c>
      <c r="BG449" s="166">
        <v>0</v>
      </c>
      <c r="BH449" s="166">
        <v>0</v>
      </c>
      <c r="BI449" s="166">
        <v>0</v>
      </c>
      <c r="BJ449" s="166">
        <v>0</v>
      </c>
      <c r="BK449" s="166">
        <v>0</v>
      </c>
      <c r="BL449" s="166">
        <v>0</v>
      </c>
      <c r="BM449" s="166">
        <v>0</v>
      </c>
      <c r="BN449" s="166">
        <v>0</v>
      </c>
      <c r="BO449" s="166">
        <v>0</v>
      </c>
      <c r="BP449" s="166">
        <v>0</v>
      </c>
      <c r="BQ449" s="81" t="s">
        <v>1758</v>
      </c>
      <c r="BR449" s="81" t="s">
        <v>202</v>
      </c>
      <c r="BT449" s="81" t="s">
        <v>155</v>
      </c>
      <c r="BZ449" s="81" t="s">
        <v>155</v>
      </c>
      <c r="CA449" s="81" t="s">
        <v>3981</v>
      </c>
      <c r="CC449" s="167">
        <v>0</v>
      </c>
      <c r="CD449" s="167">
        <f>$N449/2</f>
        <v>30.5</v>
      </c>
      <c r="CE449" s="167">
        <f>$N449/2</f>
        <v>30.5</v>
      </c>
      <c r="CF449" s="167">
        <v>0</v>
      </c>
      <c r="CG449" s="167">
        <v>0</v>
      </c>
      <c r="CH449" s="167">
        <v>0</v>
      </c>
      <c r="CI449" s="167">
        <v>0</v>
      </c>
      <c r="CJ449" s="167">
        <v>0</v>
      </c>
      <c r="CK449" s="167">
        <v>0</v>
      </c>
      <c r="CL449" s="167">
        <v>0</v>
      </c>
      <c r="CM449" s="167">
        <v>0</v>
      </c>
      <c r="CN449" s="167">
        <v>0</v>
      </c>
      <c r="CO449" s="167">
        <v>0</v>
      </c>
      <c r="CP449" s="167">
        <v>0</v>
      </c>
      <c r="CQ449" s="167">
        <v>0</v>
      </c>
      <c r="CR449" s="167">
        <v>0</v>
      </c>
      <c r="CS449" s="167">
        <v>0</v>
      </c>
      <c r="CT449" s="167">
        <v>0</v>
      </c>
      <c r="CU449" s="167">
        <v>0</v>
      </c>
      <c r="CV449" s="167">
        <v>0</v>
      </c>
      <c r="CW449" s="167">
        <v>0</v>
      </c>
      <c r="CX449" s="167">
        <f>SUM(CD449:CH449)</f>
        <v>61</v>
      </c>
      <c r="CY449" s="167">
        <f>SUM(CD449:CM449)</f>
        <v>61</v>
      </c>
    </row>
    <row r="450" spans="1:103" ht="12.75" customHeight="1" x14ac:dyDescent="0.2">
      <c r="A450" s="81">
        <v>4640</v>
      </c>
      <c r="B450" s="165" t="s">
        <v>1908</v>
      </c>
      <c r="C450" s="165" t="s">
        <v>50</v>
      </c>
      <c r="E450" s="165" t="s">
        <v>3515</v>
      </c>
      <c r="G450" s="81">
        <v>524103</v>
      </c>
      <c r="H450" s="81">
        <v>175546</v>
      </c>
      <c r="I450" s="165" t="s">
        <v>259</v>
      </c>
      <c r="J450" s="349">
        <v>42852</v>
      </c>
      <c r="L450" s="166">
        <v>0</v>
      </c>
      <c r="M450" s="166">
        <v>5</v>
      </c>
      <c r="N450" s="166">
        <v>5</v>
      </c>
      <c r="O450" s="166">
        <v>5</v>
      </c>
      <c r="P450" s="166">
        <v>5</v>
      </c>
      <c r="R450" s="165" t="s">
        <v>758</v>
      </c>
      <c r="S450" s="81" t="s">
        <v>113</v>
      </c>
      <c r="T450" s="349">
        <v>42030</v>
      </c>
      <c r="U450" s="349">
        <v>42230</v>
      </c>
      <c r="W450" s="81" t="s">
        <v>114</v>
      </c>
      <c r="Y450" s="81" t="s">
        <v>115</v>
      </c>
      <c r="Z450" s="81" t="s">
        <v>398</v>
      </c>
      <c r="AA450" s="81" t="s">
        <v>117</v>
      </c>
      <c r="AB450" s="81" t="s">
        <v>399</v>
      </c>
      <c r="AC450" s="166">
        <v>1.09999999403954E-2</v>
      </c>
      <c r="AD450" s="349">
        <v>42852</v>
      </c>
      <c r="AE450" s="81" t="s">
        <v>155</v>
      </c>
      <c r="AG450" s="81" t="s">
        <v>238</v>
      </c>
      <c r="AH450" s="81" t="s">
        <v>118</v>
      </c>
      <c r="AK450" s="166">
        <v>0</v>
      </c>
      <c r="AM450" s="166">
        <v>0</v>
      </c>
      <c r="AO450" s="166">
        <v>0</v>
      </c>
      <c r="AP450" s="166">
        <v>3</v>
      </c>
      <c r="AQ450" s="166">
        <v>2</v>
      </c>
      <c r="AR450" s="166">
        <v>0</v>
      </c>
      <c r="AS450" s="166">
        <v>0</v>
      </c>
      <c r="AT450" s="166">
        <v>0</v>
      </c>
      <c r="AU450" s="166">
        <v>0</v>
      </c>
      <c r="AV450" s="166">
        <v>0</v>
      </c>
      <c r="AW450" s="166">
        <v>3</v>
      </c>
      <c r="AX450" s="166">
        <v>2</v>
      </c>
      <c r="AY450" s="166">
        <v>0</v>
      </c>
      <c r="AZ450" s="166">
        <v>0</v>
      </c>
      <c r="BA450" s="166">
        <v>0</v>
      </c>
      <c r="BB450" s="166">
        <v>0</v>
      </c>
      <c r="BC450" s="166">
        <v>0</v>
      </c>
      <c r="BD450" s="166">
        <v>0</v>
      </c>
      <c r="BE450" s="166">
        <v>0</v>
      </c>
      <c r="BF450" s="166">
        <v>0</v>
      </c>
      <c r="BG450" s="166">
        <v>0</v>
      </c>
      <c r="BH450" s="166">
        <v>0</v>
      </c>
      <c r="BI450" s="166">
        <v>0</v>
      </c>
      <c r="BJ450" s="166">
        <v>0</v>
      </c>
      <c r="BK450" s="166">
        <v>0</v>
      </c>
      <c r="BL450" s="166">
        <v>0</v>
      </c>
      <c r="BM450" s="166">
        <v>0</v>
      </c>
      <c r="BN450" s="166">
        <v>0</v>
      </c>
      <c r="BO450" s="166">
        <v>0</v>
      </c>
      <c r="BP450" s="166">
        <v>0</v>
      </c>
      <c r="BQ450" s="81" t="s">
        <v>1758</v>
      </c>
      <c r="BR450" s="81" t="s">
        <v>161</v>
      </c>
      <c r="BZ450" s="81" t="s">
        <v>155</v>
      </c>
      <c r="CA450" s="81" t="s">
        <v>3980</v>
      </c>
      <c r="CC450" s="167">
        <v>0</v>
      </c>
      <c r="CD450" s="167">
        <f>N450</f>
        <v>5</v>
      </c>
      <c r="CE450" s="167">
        <v>0</v>
      </c>
      <c r="CF450" s="167">
        <v>0</v>
      </c>
      <c r="CG450" s="167">
        <v>0</v>
      </c>
      <c r="CH450" s="167">
        <v>0</v>
      </c>
      <c r="CI450" s="167">
        <v>0</v>
      </c>
      <c r="CJ450" s="167">
        <v>0</v>
      </c>
      <c r="CK450" s="167">
        <v>0</v>
      </c>
      <c r="CL450" s="167">
        <v>0</v>
      </c>
      <c r="CM450" s="167">
        <v>0</v>
      </c>
      <c r="CN450" s="167">
        <v>0</v>
      </c>
      <c r="CO450" s="167">
        <v>0</v>
      </c>
      <c r="CP450" s="167">
        <v>0</v>
      </c>
      <c r="CQ450" s="167">
        <v>0</v>
      </c>
      <c r="CR450" s="167">
        <v>0</v>
      </c>
      <c r="CS450" s="167">
        <v>0</v>
      </c>
      <c r="CT450" s="167">
        <v>0</v>
      </c>
      <c r="CU450" s="167">
        <v>0</v>
      </c>
      <c r="CV450" s="167">
        <v>0</v>
      </c>
      <c r="CW450" s="167">
        <v>0</v>
      </c>
      <c r="CX450" s="167">
        <f>SUM(CD450:CH450)</f>
        <v>5</v>
      </c>
      <c r="CY450" s="167">
        <f>SUM(CD450:CM450)</f>
        <v>5</v>
      </c>
    </row>
    <row r="451" spans="1:103" x14ac:dyDescent="0.2">
      <c r="A451" s="81">
        <v>4682</v>
      </c>
      <c r="B451" s="165" t="s">
        <v>1908</v>
      </c>
      <c r="C451" s="165" t="s">
        <v>1596</v>
      </c>
      <c r="E451" s="165" t="s">
        <v>3516</v>
      </c>
      <c r="G451" s="81">
        <v>522102</v>
      </c>
      <c r="H451" s="81">
        <v>175464</v>
      </c>
      <c r="I451" s="165" t="s">
        <v>59</v>
      </c>
      <c r="J451" s="349">
        <v>43032</v>
      </c>
      <c r="L451" s="166">
        <v>1</v>
      </c>
      <c r="M451" s="166">
        <v>4</v>
      </c>
      <c r="N451" s="166">
        <v>3</v>
      </c>
      <c r="O451" s="166">
        <v>4</v>
      </c>
      <c r="P451" s="166">
        <v>3</v>
      </c>
      <c r="R451" s="165" t="s">
        <v>1597</v>
      </c>
      <c r="S451" s="81" t="s">
        <v>296</v>
      </c>
      <c r="T451" s="349">
        <v>42754</v>
      </c>
      <c r="U451" s="349">
        <v>42810</v>
      </c>
      <c r="V451" s="81" t="s">
        <v>155</v>
      </c>
      <c r="W451" s="81" t="s">
        <v>297</v>
      </c>
      <c r="X451" s="349">
        <v>42983</v>
      </c>
      <c r="Y451" s="81" t="s">
        <v>115</v>
      </c>
      <c r="Z451" s="81" t="s">
        <v>398</v>
      </c>
      <c r="AA451" s="81" t="s">
        <v>117</v>
      </c>
      <c r="AB451" s="81" t="s">
        <v>336</v>
      </c>
      <c r="AC451" s="166">
        <v>2.70000007003546E-2</v>
      </c>
      <c r="AD451" s="349">
        <v>43032</v>
      </c>
      <c r="AE451" s="81" t="s">
        <v>155</v>
      </c>
      <c r="AG451" s="81" t="s">
        <v>238</v>
      </c>
      <c r="AH451" s="81" t="s">
        <v>118</v>
      </c>
      <c r="AK451" s="166">
        <v>0</v>
      </c>
      <c r="AM451" s="166">
        <v>0</v>
      </c>
      <c r="AO451" s="166">
        <v>0</v>
      </c>
      <c r="AP451" s="166">
        <v>0</v>
      </c>
      <c r="AQ451" s="166">
        <v>2</v>
      </c>
      <c r="AR451" s="166">
        <v>1</v>
      </c>
      <c r="AS451" s="166">
        <v>0</v>
      </c>
      <c r="AT451" s="166">
        <v>0</v>
      </c>
      <c r="AU451" s="166">
        <v>0</v>
      </c>
      <c r="AV451" s="166">
        <v>0</v>
      </c>
      <c r="AW451" s="166">
        <v>0</v>
      </c>
      <c r="AX451" s="166">
        <v>2</v>
      </c>
      <c r="AY451" s="166">
        <v>2</v>
      </c>
      <c r="AZ451" s="166">
        <v>0</v>
      </c>
      <c r="BA451" s="166">
        <v>0</v>
      </c>
      <c r="BB451" s="166">
        <v>0</v>
      </c>
      <c r="BC451" s="166">
        <v>0</v>
      </c>
      <c r="BD451" s="166">
        <v>0</v>
      </c>
      <c r="BE451" s="166">
        <v>0</v>
      </c>
      <c r="BF451" s="166">
        <v>-1</v>
      </c>
      <c r="BG451" s="166">
        <v>0</v>
      </c>
      <c r="BH451" s="166">
        <v>0</v>
      </c>
      <c r="BI451" s="166">
        <v>0</v>
      </c>
      <c r="BJ451" s="166">
        <v>0</v>
      </c>
      <c r="BK451" s="166">
        <v>0</v>
      </c>
      <c r="BL451" s="166">
        <v>0</v>
      </c>
      <c r="BM451" s="166">
        <v>0</v>
      </c>
      <c r="BN451" s="166">
        <v>0</v>
      </c>
      <c r="BO451" s="166">
        <v>0</v>
      </c>
      <c r="BP451" s="166">
        <v>0</v>
      </c>
      <c r="BQ451" s="81" t="s">
        <v>1758</v>
      </c>
      <c r="BZ451" s="81" t="s">
        <v>155</v>
      </c>
      <c r="CA451" s="81" t="s">
        <v>3981</v>
      </c>
      <c r="CC451" s="167">
        <v>0</v>
      </c>
      <c r="CD451" s="167">
        <f>$N451/2</f>
        <v>1.5</v>
      </c>
      <c r="CE451" s="167">
        <f>$N451/2</f>
        <v>1.5</v>
      </c>
      <c r="CF451" s="167">
        <v>0</v>
      </c>
      <c r="CG451" s="167">
        <v>0</v>
      </c>
      <c r="CH451" s="167">
        <v>0</v>
      </c>
      <c r="CI451" s="167">
        <v>0</v>
      </c>
      <c r="CJ451" s="167">
        <v>0</v>
      </c>
      <c r="CK451" s="167">
        <v>0</v>
      </c>
      <c r="CL451" s="167">
        <v>0</v>
      </c>
      <c r="CM451" s="167">
        <v>0</v>
      </c>
      <c r="CN451" s="167">
        <v>0</v>
      </c>
      <c r="CO451" s="167">
        <v>0</v>
      </c>
      <c r="CP451" s="167">
        <v>0</v>
      </c>
      <c r="CQ451" s="167">
        <v>0</v>
      </c>
      <c r="CR451" s="167">
        <v>0</v>
      </c>
      <c r="CS451" s="167">
        <v>0</v>
      </c>
      <c r="CT451" s="167">
        <v>0</v>
      </c>
      <c r="CU451" s="167">
        <v>0</v>
      </c>
      <c r="CV451" s="167">
        <v>0</v>
      </c>
      <c r="CW451" s="167">
        <v>0</v>
      </c>
      <c r="CX451" s="167">
        <f>SUM(CD451:CH451)</f>
        <v>3</v>
      </c>
      <c r="CY451" s="167">
        <f>SUM(CD451:CM451)</f>
        <v>3</v>
      </c>
    </row>
    <row r="452" spans="1:103" ht="12.75" customHeight="1" x14ac:dyDescent="0.2">
      <c r="A452" s="81">
        <v>4707</v>
      </c>
      <c r="B452" s="165" t="s">
        <v>1908</v>
      </c>
      <c r="C452" s="165" t="s">
        <v>1262</v>
      </c>
      <c r="E452" s="165" t="s">
        <v>3517</v>
      </c>
      <c r="G452" s="81">
        <v>525177</v>
      </c>
      <c r="H452" s="81">
        <v>173402</v>
      </c>
      <c r="I452" s="165" t="s">
        <v>258</v>
      </c>
      <c r="J452" s="349">
        <v>43039</v>
      </c>
      <c r="L452" s="166">
        <v>0</v>
      </c>
      <c r="M452" s="166">
        <v>1</v>
      </c>
      <c r="N452" s="166">
        <v>1</v>
      </c>
      <c r="O452" s="166">
        <v>1</v>
      </c>
      <c r="P452" s="166">
        <v>1</v>
      </c>
      <c r="R452" s="165" t="s">
        <v>1263</v>
      </c>
      <c r="S452" s="81" t="s">
        <v>110</v>
      </c>
      <c r="T452" s="349">
        <v>42506</v>
      </c>
      <c r="U452" s="349">
        <v>42559</v>
      </c>
      <c r="W452" s="81" t="s">
        <v>114</v>
      </c>
      <c r="Y452" s="81" t="s">
        <v>115</v>
      </c>
      <c r="Z452" s="81" t="s">
        <v>310</v>
      </c>
      <c r="AA452" s="81" t="s">
        <v>117</v>
      </c>
      <c r="AB452" s="81" t="s">
        <v>399</v>
      </c>
      <c r="AC452" s="166">
        <v>2.0000000949949E-3</v>
      </c>
      <c r="AD452" s="349">
        <v>43039</v>
      </c>
      <c r="AE452" s="81" t="s">
        <v>155</v>
      </c>
      <c r="AG452" s="81" t="s">
        <v>238</v>
      </c>
      <c r="AH452" s="81" t="s">
        <v>118</v>
      </c>
      <c r="AK452" s="166">
        <v>0</v>
      </c>
      <c r="AM452" s="166">
        <v>0</v>
      </c>
      <c r="AO452" s="166">
        <v>0</v>
      </c>
      <c r="AP452" s="166">
        <v>1</v>
      </c>
      <c r="AQ452" s="166">
        <v>0</v>
      </c>
      <c r="AR452" s="166">
        <v>0</v>
      </c>
      <c r="AS452" s="166">
        <v>0</v>
      </c>
      <c r="AT452" s="166">
        <v>0</v>
      </c>
      <c r="AU452" s="166">
        <v>0</v>
      </c>
      <c r="AV452" s="166">
        <v>0</v>
      </c>
      <c r="AW452" s="166">
        <v>1</v>
      </c>
      <c r="AX452" s="166">
        <v>0</v>
      </c>
      <c r="AY452" s="166">
        <v>0</v>
      </c>
      <c r="AZ452" s="166">
        <v>0</v>
      </c>
      <c r="BA452" s="166">
        <v>0</v>
      </c>
      <c r="BB452" s="166">
        <v>0</v>
      </c>
      <c r="BC452" s="166">
        <v>0</v>
      </c>
      <c r="BD452" s="166">
        <v>0</v>
      </c>
      <c r="BE452" s="166">
        <v>0</v>
      </c>
      <c r="BF452" s="166">
        <v>0</v>
      </c>
      <c r="BG452" s="166">
        <v>0</v>
      </c>
      <c r="BH452" s="166">
        <v>0</v>
      </c>
      <c r="BI452" s="166">
        <v>0</v>
      </c>
      <c r="BJ452" s="166">
        <v>0</v>
      </c>
      <c r="BK452" s="166">
        <v>0</v>
      </c>
      <c r="BL452" s="166">
        <v>0</v>
      </c>
      <c r="BM452" s="166">
        <v>0</v>
      </c>
      <c r="BN452" s="166">
        <v>0</v>
      </c>
      <c r="BO452" s="166">
        <v>0</v>
      </c>
      <c r="BP452" s="166">
        <v>0</v>
      </c>
      <c r="BQ452" s="81" t="s">
        <v>1758</v>
      </c>
      <c r="BZ452" s="81" t="s">
        <v>155</v>
      </c>
      <c r="CA452" s="81" t="s">
        <v>3981</v>
      </c>
      <c r="CC452" s="167">
        <v>0</v>
      </c>
      <c r="CD452" s="167">
        <f>$N452/2</f>
        <v>0.5</v>
      </c>
      <c r="CE452" s="167">
        <f>$N452/2</f>
        <v>0.5</v>
      </c>
      <c r="CF452" s="167">
        <v>0</v>
      </c>
      <c r="CG452" s="167">
        <v>0</v>
      </c>
      <c r="CH452" s="167">
        <v>0</v>
      </c>
      <c r="CI452" s="167">
        <v>0</v>
      </c>
      <c r="CJ452" s="167">
        <v>0</v>
      </c>
      <c r="CK452" s="167">
        <v>0</v>
      </c>
      <c r="CL452" s="167">
        <v>0</v>
      </c>
      <c r="CM452" s="167">
        <v>0</v>
      </c>
      <c r="CN452" s="167">
        <v>0</v>
      </c>
      <c r="CO452" s="167">
        <v>0</v>
      </c>
      <c r="CP452" s="167">
        <v>0</v>
      </c>
      <c r="CQ452" s="167">
        <v>0</v>
      </c>
      <c r="CR452" s="167">
        <v>0</v>
      </c>
      <c r="CS452" s="167">
        <v>0</v>
      </c>
      <c r="CT452" s="167">
        <v>0</v>
      </c>
      <c r="CU452" s="167">
        <v>0</v>
      </c>
      <c r="CV452" s="167">
        <v>0</v>
      </c>
      <c r="CW452" s="167">
        <v>0</v>
      </c>
      <c r="CX452" s="167">
        <f>SUM(CD452:CH452)</f>
        <v>1</v>
      </c>
      <c r="CY452" s="167">
        <f>SUM(CD452:CM452)</f>
        <v>1</v>
      </c>
    </row>
    <row r="453" spans="1:103" ht="12.75" customHeight="1" x14ac:dyDescent="0.2">
      <c r="A453" s="81">
        <v>4717</v>
      </c>
      <c r="B453" s="165" t="s">
        <v>1908</v>
      </c>
      <c r="C453" s="165" t="s">
        <v>445</v>
      </c>
      <c r="D453" s="165" t="s">
        <v>446</v>
      </c>
      <c r="E453" s="165" t="s">
        <v>3127</v>
      </c>
      <c r="F453" s="165" t="s">
        <v>897</v>
      </c>
      <c r="G453" s="81">
        <v>525735</v>
      </c>
      <c r="H453" s="81">
        <v>174565</v>
      </c>
      <c r="I453" s="165" t="s">
        <v>251</v>
      </c>
      <c r="J453" s="349">
        <v>42522</v>
      </c>
      <c r="L453" s="166">
        <v>0</v>
      </c>
      <c r="M453" s="166">
        <v>21</v>
      </c>
      <c r="N453" s="166">
        <v>21</v>
      </c>
      <c r="O453" s="166">
        <v>201</v>
      </c>
      <c r="P453" s="166">
        <v>201</v>
      </c>
      <c r="Q453" s="81" t="s">
        <v>155</v>
      </c>
      <c r="R453" s="165" t="s">
        <v>898</v>
      </c>
      <c r="S453" s="81" t="s">
        <v>104</v>
      </c>
      <c r="T453" s="349">
        <v>41920</v>
      </c>
      <c r="U453" s="349">
        <v>42193</v>
      </c>
      <c r="W453" s="81" t="s">
        <v>114</v>
      </c>
      <c r="Y453" s="81" t="s">
        <v>115</v>
      </c>
      <c r="Z453" s="81" t="s">
        <v>116</v>
      </c>
      <c r="AA453" s="81" t="s">
        <v>116</v>
      </c>
      <c r="AB453" s="81" t="s">
        <v>117</v>
      </c>
      <c r="AC453" s="166">
        <v>0</v>
      </c>
      <c r="AD453" s="349">
        <v>42522</v>
      </c>
      <c r="AG453" s="81" t="s">
        <v>74</v>
      </c>
      <c r="AH453" s="81" t="s">
        <v>1913</v>
      </c>
      <c r="AI453" s="81" t="s">
        <v>3128</v>
      </c>
      <c r="AK453" s="166">
        <v>21</v>
      </c>
      <c r="AM453" s="166">
        <v>3</v>
      </c>
      <c r="AO453" s="166">
        <v>0</v>
      </c>
      <c r="AP453" s="166">
        <v>10</v>
      </c>
      <c r="AQ453" s="166">
        <v>11</v>
      </c>
      <c r="AR453" s="166">
        <v>0</v>
      </c>
      <c r="AS453" s="166">
        <v>0</v>
      </c>
      <c r="AT453" s="166">
        <v>0</v>
      </c>
      <c r="AU453" s="166">
        <v>0</v>
      </c>
      <c r="AV453" s="166">
        <v>0</v>
      </c>
      <c r="AW453" s="166">
        <v>10</v>
      </c>
      <c r="AX453" s="166">
        <v>11</v>
      </c>
      <c r="AY453" s="166">
        <v>0</v>
      </c>
      <c r="AZ453" s="166">
        <v>0</v>
      </c>
      <c r="BA453" s="166">
        <v>0</v>
      </c>
      <c r="BB453" s="166">
        <v>0</v>
      </c>
      <c r="BC453" s="166">
        <v>0</v>
      </c>
      <c r="BD453" s="166">
        <v>0</v>
      </c>
      <c r="BE453" s="166">
        <v>0</v>
      </c>
      <c r="BF453" s="166">
        <v>0</v>
      </c>
      <c r="BG453" s="166">
        <v>0</v>
      </c>
      <c r="BH453" s="166">
        <v>0</v>
      </c>
      <c r="BI453" s="166">
        <v>0</v>
      </c>
      <c r="BJ453" s="166">
        <v>0</v>
      </c>
      <c r="BK453" s="166">
        <v>0</v>
      </c>
      <c r="BL453" s="166">
        <v>0</v>
      </c>
      <c r="BM453" s="166">
        <v>0</v>
      </c>
      <c r="BN453" s="166">
        <v>0</v>
      </c>
      <c r="BO453" s="166">
        <v>0</v>
      </c>
      <c r="BP453" s="166">
        <v>0</v>
      </c>
      <c r="BQ453" s="81" t="s">
        <v>1758</v>
      </c>
      <c r="BR453" s="81" t="s">
        <v>202</v>
      </c>
      <c r="BT453" s="81" t="s">
        <v>155</v>
      </c>
      <c r="BZ453" s="81" t="s">
        <v>155</v>
      </c>
      <c r="CA453" s="81" t="s">
        <v>3934</v>
      </c>
      <c r="CC453" s="167">
        <v>0</v>
      </c>
      <c r="CD453" s="167">
        <v>0</v>
      </c>
      <c r="CE453" s="167">
        <f>N453</f>
        <v>21</v>
      </c>
      <c r="CF453" s="167">
        <v>0</v>
      </c>
      <c r="CG453" s="167">
        <v>0</v>
      </c>
      <c r="CH453" s="167">
        <v>0</v>
      </c>
      <c r="CI453" s="167">
        <v>0</v>
      </c>
      <c r="CJ453" s="167">
        <v>0</v>
      </c>
      <c r="CK453" s="167">
        <v>0</v>
      </c>
      <c r="CL453" s="167">
        <v>0</v>
      </c>
      <c r="CM453" s="167">
        <v>0</v>
      </c>
      <c r="CN453" s="167">
        <v>0</v>
      </c>
      <c r="CO453" s="167">
        <v>0</v>
      </c>
      <c r="CP453" s="167">
        <v>0</v>
      </c>
      <c r="CQ453" s="167">
        <v>0</v>
      </c>
      <c r="CR453" s="167">
        <v>0</v>
      </c>
      <c r="CS453" s="167">
        <v>0</v>
      </c>
      <c r="CT453" s="167">
        <v>0</v>
      </c>
      <c r="CU453" s="167">
        <v>0</v>
      </c>
      <c r="CV453" s="167">
        <v>0</v>
      </c>
      <c r="CW453" s="167">
        <v>0</v>
      </c>
      <c r="CX453" s="167">
        <f>SUM(CD453:CH453)</f>
        <v>21</v>
      </c>
      <c r="CY453" s="167">
        <f>SUM(CD453:CM453)</f>
        <v>21</v>
      </c>
    </row>
    <row r="454" spans="1:103" ht="12.75" customHeight="1" x14ac:dyDescent="0.2">
      <c r="A454" s="81">
        <v>4717</v>
      </c>
      <c r="B454" s="165" t="s">
        <v>1908</v>
      </c>
      <c r="C454" s="165" t="s">
        <v>445</v>
      </c>
      <c r="D454" s="165" t="s">
        <v>446</v>
      </c>
      <c r="E454" s="165" t="s">
        <v>3127</v>
      </c>
      <c r="F454" s="165" t="s">
        <v>443</v>
      </c>
      <c r="G454" s="81">
        <v>525735</v>
      </c>
      <c r="H454" s="81">
        <v>174565</v>
      </c>
      <c r="I454" s="165" t="s">
        <v>251</v>
      </c>
      <c r="J454" s="349">
        <v>42522</v>
      </c>
      <c r="L454" s="166">
        <v>0</v>
      </c>
      <c r="M454" s="166">
        <v>106</v>
      </c>
      <c r="N454" s="166">
        <v>106</v>
      </c>
      <c r="O454" s="166">
        <v>201</v>
      </c>
      <c r="P454" s="166">
        <v>201</v>
      </c>
      <c r="Q454" s="81" t="s">
        <v>155</v>
      </c>
      <c r="R454" s="165" t="s">
        <v>898</v>
      </c>
      <c r="S454" s="81" t="s">
        <v>104</v>
      </c>
      <c r="T454" s="349">
        <v>41920</v>
      </c>
      <c r="U454" s="349">
        <v>42193</v>
      </c>
      <c r="W454" s="81" t="s">
        <v>114</v>
      </c>
      <c r="Y454" s="81" t="s">
        <v>115</v>
      </c>
      <c r="Z454" s="81" t="s">
        <v>116</v>
      </c>
      <c r="AA454" s="81" t="s">
        <v>116</v>
      </c>
      <c r="AB454" s="81" t="s">
        <v>117</v>
      </c>
      <c r="AC454" s="166">
        <v>0</v>
      </c>
      <c r="AD454" s="349">
        <v>42522</v>
      </c>
      <c r="AG454" s="81" t="s">
        <v>238</v>
      </c>
      <c r="AH454" s="81" t="s">
        <v>118</v>
      </c>
      <c r="AI454" s="81" t="s">
        <v>3128</v>
      </c>
      <c r="AK454" s="166">
        <v>106</v>
      </c>
      <c r="AM454" s="166">
        <v>12</v>
      </c>
      <c r="AO454" s="166">
        <v>0</v>
      </c>
      <c r="AP454" s="166">
        <v>15</v>
      </c>
      <c r="AQ454" s="166">
        <v>84</v>
      </c>
      <c r="AR454" s="166">
        <v>7</v>
      </c>
      <c r="AS454" s="166">
        <v>0</v>
      </c>
      <c r="AT454" s="166">
        <v>0</v>
      </c>
      <c r="AU454" s="166">
        <v>0</v>
      </c>
      <c r="AV454" s="166">
        <v>0</v>
      </c>
      <c r="AW454" s="166">
        <v>15</v>
      </c>
      <c r="AX454" s="166">
        <v>84</v>
      </c>
      <c r="AY454" s="166">
        <v>7</v>
      </c>
      <c r="AZ454" s="166">
        <v>0</v>
      </c>
      <c r="BA454" s="166">
        <v>0</v>
      </c>
      <c r="BB454" s="166">
        <v>0</v>
      </c>
      <c r="BC454" s="166">
        <v>0</v>
      </c>
      <c r="BD454" s="166">
        <v>0</v>
      </c>
      <c r="BE454" s="166">
        <v>0</v>
      </c>
      <c r="BF454" s="166">
        <v>0</v>
      </c>
      <c r="BG454" s="166">
        <v>0</v>
      </c>
      <c r="BH454" s="166">
        <v>0</v>
      </c>
      <c r="BI454" s="166">
        <v>0</v>
      </c>
      <c r="BJ454" s="166">
        <v>0</v>
      </c>
      <c r="BK454" s="166">
        <v>0</v>
      </c>
      <c r="BL454" s="166">
        <v>0</v>
      </c>
      <c r="BM454" s="166">
        <v>0</v>
      </c>
      <c r="BN454" s="166">
        <v>0</v>
      </c>
      <c r="BO454" s="166">
        <v>0</v>
      </c>
      <c r="BP454" s="166">
        <v>0</v>
      </c>
      <c r="BQ454" s="81" t="s">
        <v>1758</v>
      </c>
      <c r="BR454" s="81" t="s">
        <v>202</v>
      </c>
      <c r="BT454" s="81" t="s">
        <v>155</v>
      </c>
      <c r="BZ454" s="81" t="s">
        <v>155</v>
      </c>
      <c r="CA454" s="81" t="s">
        <v>3934</v>
      </c>
      <c r="CC454" s="167">
        <v>0</v>
      </c>
      <c r="CD454" s="167">
        <v>0</v>
      </c>
      <c r="CE454" s="167">
        <f>N454</f>
        <v>106</v>
      </c>
      <c r="CF454" s="167">
        <v>0</v>
      </c>
      <c r="CG454" s="167">
        <v>0</v>
      </c>
      <c r="CH454" s="167">
        <v>0</v>
      </c>
      <c r="CI454" s="167">
        <v>0</v>
      </c>
      <c r="CJ454" s="167">
        <v>0</v>
      </c>
      <c r="CK454" s="167">
        <v>0</v>
      </c>
      <c r="CL454" s="167">
        <v>0</v>
      </c>
      <c r="CM454" s="167">
        <v>0</v>
      </c>
      <c r="CN454" s="167">
        <v>0</v>
      </c>
      <c r="CO454" s="167">
        <v>0</v>
      </c>
      <c r="CP454" s="167">
        <v>0</v>
      </c>
      <c r="CQ454" s="167">
        <v>0</v>
      </c>
      <c r="CR454" s="167">
        <v>0</v>
      </c>
      <c r="CS454" s="167">
        <v>0</v>
      </c>
      <c r="CT454" s="167">
        <v>0</v>
      </c>
      <c r="CU454" s="167">
        <v>0</v>
      </c>
      <c r="CV454" s="167">
        <v>0</v>
      </c>
      <c r="CW454" s="167">
        <v>0</v>
      </c>
      <c r="CX454" s="167">
        <f>SUM(CD454:CH454)</f>
        <v>106</v>
      </c>
      <c r="CY454" s="167">
        <f>SUM(CD454:CM454)</f>
        <v>106</v>
      </c>
    </row>
    <row r="455" spans="1:103" ht="12.75" customHeight="1" x14ac:dyDescent="0.2">
      <c r="A455" s="81">
        <v>4717</v>
      </c>
      <c r="B455" s="165" t="s">
        <v>1908</v>
      </c>
      <c r="C455" s="165" t="s">
        <v>445</v>
      </c>
      <c r="D455" s="165" t="s">
        <v>446</v>
      </c>
      <c r="E455" s="165" t="s">
        <v>3127</v>
      </c>
      <c r="F455" s="165" t="s">
        <v>444</v>
      </c>
      <c r="G455" s="81">
        <v>525735</v>
      </c>
      <c r="H455" s="81">
        <v>174565</v>
      </c>
      <c r="I455" s="165" t="s">
        <v>251</v>
      </c>
      <c r="J455" s="349">
        <v>42522</v>
      </c>
      <c r="L455" s="166">
        <v>0</v>
      </c>
      <c r="M455" s="166">
        <v>45</v>
      </c>
      <c r="N455" s="166">
        <v>45</v>
      </c>
      <c r="O455" s="166">
        <v>201</v>
      </c>
      <c r="P455" s="166">
        <v>201</v>
      </c>
      <c r="Q455" s="81" t="s">
        <v>155</v>
      </c>
      <c r="R455" s="165" t="s">
        <v>898</v>
      </c>
      <c r="S455" s="81" t="s">
        <v>104</v>
      </c>
      <c r="T455" s="349">
        <v>41920</v>
      </c>
      <c r="U455" s="349">
        <v>42193</v>
      </c>
      <c r="W455" s="81" t="s">
        <v>114</v>
      </c>
      <c r="Y455" s="81" t="s">
        <v>115</v>
      </c>
      <c r="Z455" s="81" t="s">
        <v>116</v>
      </c>
      <c r="AA455" s="81" t="s">
        <v>116</v>
      </c>
      <c r="AB455" s="81" t="s">
        <v>117</v>
      </c>
      <c r="AC455" s="166">
        <v>0.67000001668930098</v>
      </c>
      <c r="AD455" s="349">
        <v>42522</v>
      </c>
      <c r="AG455" s="81" t="s">
        <v>238</v>
      </c>
      <c r="AH455" s="81" t="s">
        <v>118</v>
      </c>
      <c r="AI455" s="81" t="s">
        <v>3128</v>
      </c>
      <c r="AK455" s="166">
        <v>45</v>
      </c>
      <c r="AM455" s="166">
        <v>6</v>
      </c>
      <c r="AO455" s="166">
        <v>0</v>
      </c>
      <c r="AP455" s="166">
        <v>0</v>
      </c>
      <c r="AQ455" s="166">
        <v>45</v>
      </c>
      <c r="AR455" s="166">
        <v>0</v>
      </c>
      <c r="AS455" s="166">
        <v>0</v>
      </c>
      <c r="AT455" s="166">
        <v>0</v>
      </c>
      <c r="AU455" s="166">
        <v>0</v>
      </c>
      <c r="AV455" s="166">
        <v>0</v>
      </c>
      <c r="AW455" s="166">
        <v>0</v>
      </c>
      <c r="AX455" s="166">
        <v>45</v>
      </c>
      <c r="AY455" s="166">
        <v>0</v>
      </c>
      <c r="AZ455" s="166">
        <v>0</v>
      </c>
      <c r="BA455" s="166">
        <v>0</v>
      </c>
      <c r="BB455" s="166">
        <v>0</v>
      </c>
      <c r="BC455" s="166">
        <v>0</v>
      </c>
      <c r="BD455" s="166">
        <v>0</v>
      </c>
      <c r="BE455" s="166">
        <v>0</v>
      </c>
      <c r="BF455" s="166">
        <v>0</v>
      </c>
      <c r="BG455" s="166">
        <v>0</v>
      </c>
      <c r="BH455" s="166">
        <v>0</v>
      </c>
      <c r="BI455" s="166">
        <v>0</v>
      </c>
      <c r="BJ455" s="166">
        <v>0</v>
      </c>
      <c r="BK455" s="166">
        <v>0</v>
      </c>
      <c r="BL455" s="166">
        <v>0</v>
      </c>
      <c r="BM455" s="166">
        <v>0</v>
      </c>
      <c r="BN455" s="166">
        <v>0</v>
      </c>
      <c r="BO455" s="166">
        <v>0</v>
      </c>
      <c r="BP455" s="166">
        <v>0</v>
      </c>
      <c r="BQ455" s="81" t="s">
        <v>1758</v>
      </c>
      <c r="BR455" s="81" t="s">
        <v>202</v>
      </c>
      <c r="BT455" s="81" t="s">
        <v>155</v>
      </c>
      <c r="BZ455" s="81" t="s">
        <v>155</v>
      </c>
      <c r="CA455" s="81" t="s">
        <v>3934</v>
      </c>
      <c r="CC455" s="167">
        <v>0</v>
      </c>
      <c r="CD455" s="167">
        <v>0</v>
      </c>
      <c r="CE455" s="167">
        <f>N455</f>
        <v>45</v>
      </c>
      <c r="CF455" s="167">
        <v>0</v>
      </c>
      <c r="CG455" s="167">
        <v>0</v>
      </c>
      <c r="CH455" s="167">
        <v>0</v>
      </c>
      <c r="CI455" s="167">
        <v>0</v>
      </c>
      <c r="CJ455" s="167">
        <v>0</v>
      </c>
      <c r="CK455" s="167">
        <v>0</v>
      </c>
      <c r="CL455" s="167">
        <v>0</v>
      </c>
      <c r="CM455" s="167">
        <v>0</v>
      </c>
      <c r="CN455" s="167">
        <v>0</v>
      </c>
      <c r="CO455" s="167">
        <v>0</v>
      </c>
      <c r="CP455" s="167">
        <v>0</v>
      </c>
      <c r="CQ455" s="167">
        <v>0</v>
      </c>
      <c r="CR455" s="167">
        <v>0</v>
      </c>
      <c r="CS455" s="167">
        <v>0</v>
      </c>
      <c r="CT455" s="167">
        <v>0</v>
      </c>
      <c r="CU455" s="167">
        <v>0</v>
      </c>
      <c r="CV455" s="167">
        <v>0</v>
      </c>
      <c r="CW455" s="167">
        <v>0</v>
      </c>
      <c r="CX455" s="167">
        <f>SUM(CD455:CH455)</f>
        <v>45</v>
      </c>
      <c r="CY455" s="167">
        <f>SUM(CD455:CM455)</f>
        <v>45</v>
      </c>
    </row>
    <row r="456" spans="1:103" ht="12.75" customHeight="1" x14ac:dyDescent="0.2">
      <c r="A456" s="81">
        <v>4717</v>
      </c>
      <c r="B456" s="165" t="s">
        <v>1908</v>
      </c>
      <c r="C456" s="165" t="s">
        <v>445</v>
      </c>
      <c r="D456" s="165" t="s">
        <v>446</v>
      </c>
      <c r="E456" s="165" t="s">
        <v>3127</v>
      </c>
      <c r="F456" s="165" t="s">
        <v>899</v>
      </c>
      <c r="G456" s="81">
        <v>525735</v>
      </c>
      <c r="H456" s="81">
        <v>174565</v>
      </c>
      <c r="I456" s="165" t="s">
        <v>251</v>
      </c>
      <c r="J456" s="349">
        <v>42522</v>
      </c>
      <c r="L456" s="166">
        <v>0</v>
      </c>
      <c r="M456" s="166">
        <v>29</v>
      </c>
      <c r="N456" s="166">
        <v>29</v>
      </c>
      <c r="O456" s="166">
        <v>201</v>
      </c>
      <c r="P456" s="166">
        <v>201</v>
      </c>
      <c r="Q456" s="81" t="s">
        <v>155</v>
      </c>
      <c r="R456" s="165" t="s">
        <v>898</v>
      </c>
      <c r="S456" s="81" t="s">
        <v>104</v>
      </c>
      <c r="T456" s="349">
        <v>41920</v>
      </c>
      <c r="U456" s="349">
        <v>42193</v>
      </c>
      <c r="W456" s="81" t="s">
        <v>114</v>
      </c>
      <c r="Y456" s="81" t="s">
        <v>115</v>
      </c>
      <c r="Z456" s="81" t="s">
        <v>116</v>
      </c>
      <c r="AA456" s="81" t="s">
        <v>116</v>
      </c>
      <c r="AB456" s="81" t="s">
        <v>117</v>
      </c>
      <c r="AC456" s="166">
        <v>0</v>
      </c>
      <c r="AD456" s="349">
        <v>42522</v>
      </c>
      <c r="AG456" s="81" t="s">
        <v>154</v>
      </c>
      <c r="AH456" s="81" t="s">
        <v>276</v>
      </c>
      <c r="AI456" s="81" t="s">
        <v>3128</v>
      </c>
      <c r="AK456" s="166">
        <v>29</v>
      </c>
      <c r="AM456" s="166">
        <v>4</v>
      </c>
      <c r="AO456" s="166">
        <v>0</v>
      </c>
      <c r="AP456" s="166">
        <v>8</v>
      </c>
      <c r="AQ456" s="166">
        <v>13</v>
      </c>
      <c r="AR456" s="166">
        <v>8</v>
      </c>
      <c r="AS456" s="166">
        <v>0</v>
      </c>
      <c r="AT456" s="166">
        <v>0</v>
      </c>
      <c r="AU456" s="166">
        <v>0</v>
      </c>
      <c r="AV456" s="166">
        <v>0</v>
      </c>
      <c r="AW456" s="166">
        <v>8</v>
      </c>
      <c r="AX456" s="166">
        <v>13</v>
      </c>
      <c r="AY456" s="166">
        <v>8</v>
      </c>
      <c r="AZ456" s="166">
        <v>0</v>
      </c>
      <c r="BA456" s="166">
        <v>0</v>
      </c>
      <c r="BB456" s="166">
        <v>0</v>
      </c>
      <c r="BC456" s="166">
        <v>0</v>
      </c>
      <c r="BD456" s="166">
        <v>0</v>
      </c>
      <c r="BE456" s="166">
        <v>0</v>
      </c>
      <c r="BF456" s="166">
        <v>0</v>
      </c>
      <c r="BG456" s="166">
        <v>0</v>
      </c>
      <c r="BH456" s="166">
        <v>0</v>
      </c>
      <c r="BI456" s="166">
        <v>0</v>
      </c>
      <c r="BJ456" s="166">
        <v>0</v>
      </c>
      <c r="BK456" s="166">
        <v>0</v>
      </c>
      <c r="BL456" s="166">
        <v>0</v>
      </c>
      <c r="BM456" s="166">
        <v>0</v>
      </c>
      <c r="BN456" s="166">
        <v>0</v>
      </c>
      <c r="BO456" s="166">
        <v>0</v>
      </c>
      <c r="BP456" s="166">
        <v>0</v>
      </c>
      <c r="BQ456" s="81" t="s">
        <v>1758</v>
      </c>
      <c r="BR456" s="81" t="s">
        <v>202</v>
      </c>
      <c r="BT456" s="81" t="s">
        <v>155</v>
      </c>
      <c r="BZ456" s="81" t="s">
        <v>155</v>
      </c>
      <c r="CA456" s="81" t="s">
        <v>3934</v>
      </c>
      <c r="CC456" s="167">
        <v>0</v>
      </c>
      <c r="CD456" s="167">
        <v>0</v>
      </c>
      <c r="CE456" s="167">
        <f>N456</f>
        <v>29</v>
      </c>
      <c r="CF456" s="167">
        <v>0</v>
      </c>
      <c r="CG456" s="167">
        <v>0</v>
      </c>
      <c r="CH456" s="167">
        <v>0</v>
      </c>
      <c r="CI456" s="167">
        <v>0</v>
      </c>
      <c r="CJ456" s="167">
        <v>0</v>
      </c>
      <c r="CK456" s="167">
        <v>0</v>
      </c>
      <c r="CL456" s="167">
        <v>0</v>
      </c>
      <c r="CM456" s="167">
        <v>0</v>
      </c>
      <c r="CN456" s="167">
        <v>0</v>
      </c>
      <c r="CO456" s="167">
        <v>0</v>
      </c>
      <c r="CP456" s="167">
        <v>0</v>
      </c>
      <c r="CQ456" s="167">
        <v>0</v>
      </c>
      <c r="CR456" s="167">
        <v>0</v>
      </c>
      <c r="CS456" s="167">
        <v>0</v>
      </c>
      <c r="CT456" s="167">
        <v>0</v>
      </c>
      <c r="CU456" s="167">
        <v>0</v>
      </c>
      <c r="CV456" s="167">
        <v>0</v>
      </c>
      <c r="CW456" s="167">
        <v>0</v>
      </c>
      <c r="CX456" s="167">
        <f>SUM(CD456:CH456)</f>
        <v>29</v>
      </c>
      <c r="CY456" s="167">
        <f>SUM(CD456:CM456)</f>
        <v>29</v>
      </c>
    </row>
    <row r="457" spans="1:103" ht="12.75" customHeight="1" x14ac:dyDescent="0.2">
      <c r="A457" s="81">
        <v>4718</v>
      </c>
      <c r="B457" s="165" t="s">
        <v>1908</v>
      </c>
      <c r="C457" s="165" t="s">
        <v>887</v>
      </c>
      <c r="D457" s="165" t="s">
        <v>406</v>
      </c>
      <c r="E457" s="165" t="s">
        <v>3089</v>
      </c>
      <c r="F457" s="165" t="s">
        <v>888</v>
      </c>
      <c r="G457" s="81">
        <v>529643</v>
      </c>
      <c r="H457" s="81">
        <v>177593</v>
      </c>
      <c r="I457" s="165" t="s">
        <v>240</v>
      </c>
      <c r="J457" s="349">
        <v>42614</v>
      </c>
      <c r="L457" s="166">
        <v>0</v>
      </c>
      <c r="M457" s="166">
        <v>179</v>
      </c>
      <c r="N457" s="166">
        <v>179</v>
      </c>
      <c r="O457" s="166">
        <v>1339</v>
      </c>
      <c r="P457" s="166">
        <v>1339</v>
      </c>
      <c r="Q457" s="81" t="s">
        <v>155</v>
      </c>
      <c r="R457" s="165" t="s">
        <v>889</v>
      </c>
      <c r="S457" s="81" t="s">
        <v>509</v>
      </c>
      <c r="T457" s="349">
        <v>41568</v>
      </c>
      <c r="U457" s="349">
        <v>41894</v>
      </c>
      <c r="W457" s="81" t="s">
        <v>114</v>
      </c>
      <c r="Y457" s="81" t="s">
        <v>115</v>
      </c>
      <c r="Z457" s="81" t="s">
        <v>116</v>
      </c>
      <c r="AA457" s="81" t="s">
        <v>116</v>
      </c>
      <c r="AB457" s="81" t="s">
        <v>117</v>
      </c>
      <c r="AC457" s="166">
        <v>0.24099999666214</v>
      </c>
      <c r="AD457" s="349">
        <v>42614</v>
      </c>
      <c r="AG457" s="81" t="s">
        <v>238</v>
      </c>
      <c r="AH457" s="81" t="s">
        <v>118</v>
      </c>
      <c r="AI457" s="81" t="s">
        <v>3090</v>
      </c>
      <c r="AK457" s="166">
        <v>179</v>
      </c>
      <c r="AM457" s="166">
        <v>18</v>
      </c>
      <c r="AO457" s="166">
        <v>3</v>
      </c>
      <c r="AP457" s="166">
        <v>33</v>
      </c>
      <c r="AQ457" s="166">
        <v>133</v>
      </c>
      <c r="AR457" s="166">
        <v>9</v>
      </c>
      <c r="AS457" s="166">
        <v>1</v>
      </c>
      <c r="AT457" s="166">
        <v>0</v>
      </c>
      <c r="AU457" s="166">
        <v>0</v>
      </c>
      <c r="AV457" s="166">
        <v>3</v>
      </c>
      <c r="AW457" s="166">
        <v>33</v>
      </c>
      <c r="AX457" s="166">
        <v>133</v>
      </c>
      <c r="AY457" s="166">
        <v>9</v>
      </c>
      <c r="AZ457" s="166">
        <v>1</v>
      </c>
      <c r="BA457" s="166">
        <v>0</v>
      </c>
      <c r="BB457" s="166">
        <v>0</v>
      </c>
      <c r="BC457" s="166">
        <v>0</v>
      </c>
      <c r="BD457" s="166">
        <v>0</v>
      </c>
      <c r="BE457" s="166">
        <v>0</v>
      </c>
      <c r="BF457" s="166">
        <v>0</v>
      </c>
      <c r="BG457" s="166">
        <v>0</v>
      </c>
      <c r="BH457" s="166">
        <v>0</v>
      </c>
      <c r="BI457" s="166">
        <v>0</v>
      </c>
      <c r="BJ457" s="166">
        <v>0</v>
      </c>
      <c r="BK457" s="166">
        <v>0</v>
      </c>
      <c r="BL457" s="166">
        <v>0</v>
      </c>
      <c r="BM457" s="166">
        <v>0</v>
      </c>
      <c r="BN457" s="166">
        <v>0</v>
      </c>
      <c r="BO457" s="166">
        <v>0</v>
      </c>
      <c r="BP457" s="166">
        <v>0</v>
      </c>
      <c r="BQ457" s="81" t="s">
        <v>1759</v>
      </c>
      <c r="BS457" s="81" t="s">
        <v>155</v>
      </c>
      <c r="BZ457" s="81" t="s">
        <v>155</v>
      </c>
      <c r="CA457" s="81">
        <v>12</v>
      </c>
      <c r="CC457" s="167">
        <v>0</v>
      </c>
      <c r="CD457" s="167">
        <v>144</v>
      </c>
      <c r="CE457" s="167">
        <v>35</v>
      </c>
      <c r="CF457" s="167">
        <v>0</v>
      </c>
      <c r="CG457" s="167">
        <v>0</v>
      </c>
      <c r="CH457" s="167">
        <v>0</v>
      </c>
      <c r="CI457" s="167">
        <v>0</v>
      </c>
      <c r="CJ457" s="167">
        <v>0</v>
      </c>
      <c r="CK457" s="167">
        <v>0</v>
      </c>
      <c r="CL457" s="167">
        <v>0</v>
      </c>
      <c r="CM457" s="167">
        <v>0</v>
      </c>
      <c r="CN457" s="167">
        <v>0</v>
      </c>
      <c r="CO457" s="167">
        <v>0</v>
      </c>
      <c r="CP457" s="167">
        <v>0</v>
      </c>
      <c r="CQ457" s="167">
        <v>0</v>
      </c>
      <c r="CR457" s="167">
        <v>0</v>
      </c>
      <c r="CS457" s="167">
        <v>0</v>
      </c>
      <c r="CT457" s="167">
        <v>0</v>
      </c>
      <c r="CU457" s="167">
        <v>0</v>
      </c>
      <c r="CV457" s="167">
        <v>0</v>
      </c>
      <c r="CW457" s="167">
        <v>0</v>
      </c>
      <c r="CX457" s="167">
        <f>SUM(CD457:CH457)</f>
        <v>179</v>
      </c>
      <c r="CY457" s="167">
        <f>SUM(CD457:CM457)</f>
        <v>179</v>
      </c>
    </row>
    <row r="458" spans="1:103" ht="12.75" customHeight="1" x14ac:dyDescent="0.2">
      <c r="A458" s="81">
        <v>4718</v>
      </c>
      <c r="B458" s="165" t="s">
        <v>1908</v>
      </c>
      <c r="C458" s="165" t="s">
        <v>887</v>
      </c>
      <c r="D458" s="165" t="s">
        <v>406</v>
      </c>
      <c r="E458" s="165" t="s">
        <v>3089</v>
      </c>
      <c r="F458" s="165" t="s">
        <v>888</v>
      </c>
      <c r="G458" s="81">
        <v>529643</v>
      </c>
      <c r="H458" s="81">
        <v>177593</v>
      </c>
      <c r="I458" s="165" t="s">
        <v>240</v>
      </c>
      <c r="J458" s="349">
        <v>42614</v>
      </c>
      <c r="L458" s="166">
        <v>0</v>
      </c>
      <c r="M458" s="166">
        <v>42</v>
      </c>
      <c r="N458" s="166">
        <v>42</v>
      </c>
      <c r="O458" s="166">
        <v>1339</v>
      </c>
      <c r="P458" s="166">
        <v>1339</v>
      </c>
      <c r="Q458" s="81" t="s">
        <v>155</v>
      </c>
      <c r="R458" s="165" t="s">
        <v>889</v>
      </c>
      <c r="S458" s="81" t="s">
        <v>509</v>
      </c>
      <c r="T458" s="349">
        <v>41568</v>
      </c>
      <c r="U458" s="349">
        <v>41894</v>
      </c>
      <c r="W458" s="81" t="s">
        <v>114</v>
      </c>
      <c r="Y458" s="81" t="s">
        <v>115</v>
      </c>
      <c r="Z458" s="81" t="s">
        <v>116</v>
      </c>
      <c r="AA458" s="81" t="s">
        <v>116</v>
      </c>
      <c r="AB458" s="81" t="s">
        <v>117</v>
      </c>
      <c r="AC458" s="166">
        <v>5.6000001728534698E-2</v>
      </c>
      <c r="AD458" s="349">
        <v>42614</v>
      </c>
      <c r="AG458" s="81" t="s">
        <v>154</v>
      </c>
      <c r="AH458" s="81" t="s">
        <v>276</v>
      </c>
      <c r="AI458" s="81" t="s">
        <v>3090</v>
      </c>
      <c r="AK458" s="166">
        <v>42</v>
      </c>
      <c r="AM458" s="166">
        <v>4</v>
      </c>
      <c r="AO458" s="166">
        <v>0</v>
      </c>
      <c r="AP458" s="166">
        <v>7</v>
      </c>
      <c r="AQ458" s="166">
        <v>17</v>
      </c>
      <c r="AR458" s="166">
        <v>14</v>
      </c>
      <c r="AS458" s="166">
        <v>4</v>
      </c>
      <c r="AT458" s="166">
        <v>0</v>
      </c>
      <c r="AU458" s="166">
        <v>0</v>
      </c>
      <c r="AV458" s="166">
        <v>0</v>
      </c>
      <c r="AW458" s="166">
        <v>7</v>
      </c>
      <c r="AX458" s="166">
        <v>17</v>
      </c>
      <c r="AY458" s="166">
        <v>14</v>
      </c>
      <c r="AZ458" s="166">
        <v>4</v>
      </c>
      <c r="BA458" s="166">
        <v>0</v>
      </c>
      <c r="BB458" s="166">
        <v>0</v>
      </c>
      <c r="BC458" s="166">
        <v>0</v>
      </c>
      <c r="BD458" s="166">
        <v>0</v>
      </c>
      <c r="BE458" s="166">
        <v>0</v>
      </c>
      <c r="BF458" s="166">
        <v>0</v>
      </c>
      <c r="BG458" s="166">
        <v>0</v>
      </c>
      <c r="BH458" s="166">
        <v>0</v>
      </c>
      <c r="BI458" s="166">
        <v>0</v>
      </c>
      <c r="BJ458" s="166">
        <v>0</v>
      </c>
      <c r="BK458" s="166">
        <v>0</v>
      </c>
      <c r="BL458" s="166">
        <v>0</v>
      </c>
      <c r="BM458" s="166">
        <v>0</v>
      </c>
      <c r="BN458" s="166">
        <v>0</v>
      </c>
      <c r="BO458" s="166">
        <v>0</v>
      </c>
      <c r="BP458" s="166">
        <v>0</v>
      </c>
      <c r="BQ458" s="81" t="s">
        <v>1759</v>
      </c>
      <c r="BS458" s="81" t="s">
        <v>155</v>
      </c>
      <c r="BZ458" s="81" t="s">
        <v>155</v>
      </c>
      <c r="CA458" s="81">
        <v>12</v>
      </c>
      <c r="CC458" s="167">
        <v>0</v>
      </c>
      <c r="CD458" s="167">
        <v>0</v>
      </c>
      <c r="CE458" s="167">
        <v>42</v>
      </c>
      <c r="CF458" s="167">
        <v>0</v>
      </c>
      <c r="CG458" s="167">
        <v>0</v>
      </c>
      <c r="CH458" s="167">
        <v>0</v>
      </c>
      <c r="CI458" s="167">
        <v>0</v>
      </c>
      <c r="CJ458" s="167">
        <v>0</v>
      </c>
      <c r="CK458" s="167">
        <v>0</v>
      </c>
      <c r="CL458" s="167">
        <v>0</v>
      </c>
      <c r="CM458" s="167">
        <v>0</v>
      </c>
      <c r="CN458" s="167">
        <v>0</v>
      </c>
      <c r="CO458" s="167">
        <v>0</v>
      </c>
      <c r="CP458" s="167">
        <v>0</v>
      </c>
      <c r="CQ458" s="167">
        <v>0</v>
      </c>
      <c r="CR458" s="167">
        <v>0</v>
      </c>
      <c r="CS458" s="167">
        <v>0</v>
      </c>
      <c r="CT458" s="167">
        <v>0</v>
      </c>
      <c r="CU458" s="167">
        <v>0</v>
      </c>
      <c r="CV458" s="167">
        <v>0</v>
      </c>
      <c r="CW458" s="167">
        <v>0</v>
      </c>
      <c r="CX458" s="167">
        <f>SUM(CD458:CH458)</f>
        <v>42</v>
      </c>
      <c r="CY458" s="167">
        <f>SUM(CD458:CM458)</f>
        <v>42</v>
      </c>
    </row>
    <row r="459" spans="1:103" ht="12.75" customHeight="1" x14ac:dyDescent="0.2">
      <c r="A459" s="81">
        <v>4718</v>
      </c>
      <c r="B459" s="165" t="s">
        <v>1908</v>
      </c>
      <c r="C459" s="165" t="s">
        <v>887</v>
      </c>
      <c r="D459" s="165" t="s">
        <v>406</v>
      </c>
      <c r="E459" s="165" t="s">
        <v>3089</v>
      </c>
      <c r="F459" s="165" t="s">
        <v>888</v>
      </c>
      <c r="G459" s="81">
        <v>529643</v>
      </c>
      <c r="H459" s="81">
        <v>177593</v>
      </c>
      <c r="I459" s="165" t="s">
        <v>240</v>
      </c>
      <c r="J459" s="349">
        <v>42614</v>
      </c>
      <c r="L459" s="166">
        <v>0</v>
      </c>
      <c r="M459" s="166">
        <v>38</v>
      </c>
      <c r="N459" s="166">
        <v>38</v>
      </c>
      <c r="O459" s="166">
        <v>1339</v>
      </c>
      <c r="P459" s="166">
        <v>1339</v>
      </c>
      <c r="Q459" s="81" t="s">
        <v>155</v>
      </c>
      <c r="R459" s="165" t="s">
        <v>889</v>
      </c>
      <c r="S459" s="81" t="s">
        <v>509</v>
      </c>
      <c r="T459" s="349">
        <v>41568</v>
      </c>
      <c r="U459" s="349">
        <v>41894</v>
      </c>
      <c r="W459" s="81" t="s">
        <v>114</v>
      </c>
      <c r="Y459" s="81" t="s">
        <v>115</v>
      </c>
      <c r="Z459" s="81" t="s">
        <v>116</v>
      </c>
      <c r="AA459" s="81" t="s">
        <v>116</v>
      </c>
      <c r="AB459" s="81" t="s">
        <v>117</v>
      </c>
      <c r="AC459" s="166">
        <v>5.0999999046325697E-2</v>
      </c>
      <c r="AD459" s="349">
        <v>42614</v>
      </c>
      <c r="AG459" s="81" t="s">
        <v>74</v>
      </c>
      <c r="AH459" s="81" t="s">
        <v>880</v>
      </c>
      <c r="AI459" s="81" t="s">
        <v>3090</v>
      </c>
      <c r="AK459" s="166">
        <v>38</v>
      </c>
      <c r="AM459" s="166">
        <v>4</v>
      </c>
      <c r="AO459" s="166">
        <v>0</v>
      </c>
      <c r="AP459" s="166">
        <v>14</v>
      </c>
      <c r="AQ459" s="166">
        <v>24</v>
      </c>
      <c r="AR459" s="166">
        <v>0</v>
      </c>
      <c r="AS459" s="166">
        <v>0</v>
      </c>
      <c r="AT459" s="166">
        <v>0</v>
      </c>
      <c r="AU459" s="166">
        <v>0</v>
      </c>
      <c r="AV459" s="166">
        <v>0</v>
      </c>
      <c r="AW459" s="166">
        <v>14</v>
      </c>
      <c r="AX459" s="166">
        <v>24</v>
      </c>
      <c r="AY459" s="166">
        <v>0</v>
      </c>
      <c r="AZ459" s="166">
        <v>0</v>
      </c>
      <c r="BA459" s="166">
        <v>0</v>
      </c>
      <c r="BB459" s="166">
        <v>0</v>
      </c>
      <c r="BC459" s="166">
        <v>0</v>
      </c>
      <c r="BD459" s="166">
        <v>0</v>
      </c>
      <c r="BE459" s="166">
        <v>0</v>
      </c>
      <c r="BF459" s="166">
        <v>0</v>
      </c>
      <c r="BG459" s="166">
        <v>0</v>
      </c>
      <c r="BH459" s="166">
        <v>0</v>
      </c>
      <c r="BI459" s="166">
        <v>0</v>
      </c>
      <c r="BJ459" s="166">
        <v>0</v>
      </c>
      <c r="BK459" s="166">
        <v>0</v>
      </c>
      <c r="BL459" s="166">
        <v>0</v>
      </c>
      <c r="BM459" s="166">
        <v>0</v>
      </c>
      <c r="BN459" s="166">
        <v>0</v>
      </c>
      <c r="BO459" s="166">
        <v>0</v>
      </c>
      <c r="BP459" s="166">
        <v>0</v>
      </c>
      <c r="BQ459" s="81" t="s">
        <v>1759</v>
      </c>
      <c r="BS459" s="81" t="s">
        <v>155</v>
      </c>
      <c r="BZ459" s="81" t="s">
        <v>155</v>
      </c>
      <c r="CA459" s="81">
        <v>12</v>
      </c>
      <c r="CC459" s="167">
        <v>0</v>
      </c>
      <c r="CD459" s="167">
        <v>0</v>
      </c>
      <c r="CE459" s="167">
        <v>38</v>
      </c>
      <c r="CF459" s="167">
        <v>0</v>
      </c>
      <c r="CG459" s="167">
        <v>0</v>
      </c>
      <c r="CH459" s="167">
        <v>0</v>
      </c>
      <c r="CI459" s="167">
        <v>0</v>
      </c>
      <c r="CJ459" s="167">
        <v>0</v>
      </c>
      <c r="CK459" s="167">
        <v>0</v>
      </c>
      <c r="CL459" s="167">
        <v>0</v>
      </c>
      <c r="CM459" s="167">
        <v>0</v>
      </c>
      <c r="CN459" s="167">
        <v>0</v>
      </c>
      <c r="CO459" s="167">
        <v>0</v>
      </c>
      <c r="CP459" s="167">
        <v>0</v>
      </c>
      <c r="CQ459" s="167">
        <v>0</v>
      </c>
      <c r="CR459" s="167">
        <v>0</v>
      </c>
      <c r="CS459" s="167">
        <v>0</v>
      </c>
      <c r="CT459" s="167">
        <v>0</v>
      </c>
      <c r="CU459" s="167">
        <v>0</v>
      </c>
      <c r="CV459" s="167">
        <v>0</v>
      </c>
      <c r="CW459" s="167">
        <v>0</v>
      </c>
      <c r="CX459" s="167">
        <f>SUM(CD459:CH459)</f>
        <v>38</v>
      </c>
      <c r="CY459" s="167">
        <f>SUM(CD459:CM459)</f>
        <v>38</v>
      </c>
    </row>
    <row r="460" spans="1:103" ht="12.75" customHeight="1" x14ac:dyDescent="0.2">
      <c r="A460" s="81">
        <v>4718</v>
      </c>
      <c r="B460" s="165" t="s">
        <v>1908</v>
      </c>
      <c r="C460" s="165" t="s">
        <v>887</v>
      </c>
      <c r="D460" s="165" t="s">
        <v>406</v>
      </c>
      <c r="E460" s="165" t="s">
        <v>3089</v>
      </c>
      <c r="F460" s="165" t="s">
        <v>890</v>
      </c>
      <c r="G460" s="81">
        <v>529643</v>
      </c>
      <c r="H460" s="81">
        <v>177593</v>
      </c>
      <c r="I460" s="165" t="s">
        <v>240</v>
      </c>
      <c r="J460" s="349">
        <v>42614</v>
      </c>
      <c r="L460" s="166">
        <v>0</v>
      </c>
      <c r="M460" s="166">
        <v>83</v>
      </c>
      <c r="N460" s="166">
        <v>83</v>
      </c>
      <c r="O460" s="166">
        <v>1339</v>
      </c>
      <c r="P460" s="166">
        <v>1339</v>
      </c>
      <c r="Q460" s="81" t="s">
        <v>155</v>
      </c>
      <c r="R460" s="165" t="s">
        <v>889</v>
      </c>
      <c r="S460" s="81" t="s">
        <v>509</v>
      </c>
      <c r="T460" s="349">
        <v>41568</v>
      </c>
      <c r="U460" s="349">
        <v>41894</v>
      </c>
      <c r="W460" s="81" t="s">
        <v>114</v>
      </c>
      <c r="Y460" s="81" t="s">
        <v>115</v>
      </c>
      <c r="Z460" s="81" t="s">
        <v>116</v>
      </c>
      <c r="AA460" s="81" t="s">
        <v>116</v>
      </c>
      <c r="AB460" s="81" t="s">
        <v>117</v>
      </c>
      <c r="AC460" s="166">
        <v>0.11200000345706899</v>
      </c>
      <c r="AD460" s="349">
        <v>42614</v>
      </c>
      <c r="AG460" s="81" t="s">
        <v>154</v>
      </c>
      <c r="AH460" s="81" t="s">
        <v>276</v>
      </c>
      <c r="AI460" s="81" t="s">
        <v>3090</v>
      </c>
      <c r="AK460" s="166">
        <v>83</v>
      </c>
      <c r="AM460" s="166">
        <v>8</v>
      </c>
      <c r="AO460" s="166">
        <v>0</v>
      </c>
      <c r="AP460" s="166">
        <v>11</v>
      </c>
      <c r="AQ460" s="166">
        <v>24</v>
      </c>
      <c r="AR460" s="166">
        <v>31</v>
      </c>
      <c r="AS460" s="166">
        <v>17</v>
      </c>
      <c r="AT460" s="166">
        <v>0</v>
      </c>
      <c r="AU460" s="166">
        <v>0</v>
      </c>
      <c r="AV460" s="166">
        <v>0</v>
      </c>
      <c r="AW460" s="166">
        <v>11</v>
      </c>
      <c r="AX460" s="166">
        <v>24</v>
      </c>
      <c r="AY460" s="166">
        <v>31</v>
      </c>
      <c r="AZ460" s="166">
        <v>17</v>
      </c>
      <c r="BA460" s="166">
        <v>0</v>
      </c>
      <c r="BB460" s="166">
        <v>0</v>
      </c>
      <c r="BC460" s="166">
        <v>0</v>
      </c>
      <c r="BD460" s="166">
        <v>0</v>
      </c>
      <c r="BE460" s="166">
        <v>0</v>
      </c>
      <c r="BF460" s="166">
        <v>0</v>
      </c>
      <c r="BG460" s="166">
        <v>0</v>
      </c>
      <c r="BH460" s="166">
        <v>0</v>
      </c>
      <c r="BI460" s="166">
        <v>0</v>
      </c>
      <c r="BJ460" s="166">
        <v>0</v>
      </c>
      <c r="BK460" s="166">
        <v>0</v>
      </c>
      <c r="BL460" s="166">
        <v>0</v>
      </c>
      <c r="BM460" s="166">
        <v>0</v>
      </c>
      <c r="BN460" s="166">
        <v>0</v>
      </c>
      <c r="BO460" s="166">
        <v>0</v>
      </c>
      <c r="BP460" s="166">
        <v>0</v>
      </c>
      <c r="BQ460" s="81" t="s">
        <v>1759</v>
      </c>
      <c r="BS460" s="81" t="s">
        <v>155</v>
      </c>
      <c r="BZ460" s="81" t="s">
        <v>155</v>
      </c>
      <c r="CA460" s="81">
        <v>12</v>
      </c>
      <c r="CC460" s="167">
        <v>0</v>
      </c>
      <c r="CD460" s="167">
        <v>83</v>
      </c>
      <c r="CE460" s="167">
        <v>0</v>
      </c>
      <c r="CF460" s="167">
        <v>0</v>
      </c>
      <c r="CG460" s="167">
        <v>0</v>
      </c>
      <c r="CH460" s="167">
        <v>0</v>
      </c>
      <c r="CI460" s="167">
        <v>0</v>
      </c>
      <c r="CJ460" s="167">
        <v>0</v>
      </c>
      <c r="CK460" s="167">
        <v>0</v>
      </c>
      <c r="CL460" s="167">
        <v>0</v>
      </c>
      <c r="CM460" s="167">
        <v>0</v>
      </c>
      <c r="CN460" s="167">
        <v>0</v>
      </c>
      <c r="CO460" s="167">
        <v>0</v>
      </c>
      <c r="CP460" s="167">
        <v>0</v>
      </c>
      <c r="CQ460" s="167">
        <v>0</v>
      </c>
      <c r="CR460" s="167">
        <v>0</v>
      </c>
      <c r="CS460" s="167">
        <v>0</v>
      </c>
      <c r="CT460" s="167">
        <v>0</v>
      </c>
      <c r="CU460" s="167">
        <v>0</v>
      </c>
      <c r="CV460" s="167">
        <v>0</v>
      </c>
      <c r="CW460" s="167">
        <v>0</v>
      </c>
      <c r="CX460" s="167">
        <f>SUM(CD460:CH460)</f>
        <v>83</v>
      </c>
      <c r="CY460" s="167">
        <f>SUM(CD460:CM460)</f>
        <v>83</v>
      </c>
    </row>
    <row r="461" spans="1:103" ht="12.75" customHeight="1" x14ac:dyDescent="0.2">
      <c r="A461" s="81">
        <v>4718</v>
      </c>
      <c r="B461" s="165" t="s">
        <v>1908</v>
      </c>
      <c r="C461" s="165" t="s">
        <v>916</v>
      </c>
      <c r="D461" s="165" t="s">
        <v>406</v>
      </c>
      <c r="E461" s="165" t="s">
        <v>3089</v>
      </c>
      <c r="F461" s="165" t="s">
        <v>917</v>
      </c>
      <c r="G461" s="81">
        <v>529643</v>
      </c>
      <c r="H461" s="81">
        <v>177593</v>
      </c>
      <c r="I461" s="165" t="s">
        <v>240</v>
      </c>
      <c r="J461" s="349">
        <v>42614</v>
      </c>
      <c r="L461" s="166">
        <v>0</v>
      </c>
      <c r="M461" s="166">
        <v>279</v>
      </c>
      <c r="N461" s="166">
        <v>279</v>
      </c>
      <c r="O461" s="166">
        <v>530</v>
      </c>
      <c r="P461" s="166">
        <v>530</v>
      </c>
      <c r="Q461" s="81" t="s">
        <v>155</v>
      </c>
      <c r="R461" s="165" t="s">
        <v>918</v>
      </c>
      <c r="S461" s="81" t="s">
        <v>1998</v>
      </c>
      <c r="T461" s="349">
        <v>42229</v>
      </c>
      <c r="U461" s="349">
        <v>42880</v>
      </c>
      <c r="V461" s="81" t="s">
        <v>155</v>
      </c>
      <c r="W461" s="81" t="s">
        <v>114</v>
      </c>
      <c r="Y461" s="81" t="s">
        <v>115</v>
      </c>
      <c r="Z461" s="81" t="s">
        <v>116</v>
      </c>
      <c r="AA461" s="81" t="s">
        <v>116</v>
      </c>
      <c r="AB461" s="81" t="s">
        <v>117</v>
      </c>
      <c r="AC461" s="166">
        <v>0.375</v>
      </c>
      <c r="AD461" s="349">
        <v>42614</v>
      </c>
      <c r="AG461" s="81" t="s">
        <v>238</v>
      </c>
      <c r="AH461" s="81" t="s">
        <v>118</v>
      </c>
      <c r="AI461" s="81" t="s">
        <v>3090</v>
      </c>
      <c r="AK461" s="166">
        <v>279</v>
      </c>
      <c r="AM461" s="166">
        <v>28</v>
      </c>
      <c r="AO461" s="166">
        <v>12</v>
      </c>
      <c r="AP461" s="166">
        <v>26</v>
      </c>
      <c r="AQ461" s="166">
        <v>213</v>
      </c>
      <c r="AR461" s="166">
        <v>26</v>
      </c>
      <c r="AS461" s="166">
        <v>2</v>
      </c>
      <c r="AT461" s="166">
        <v>0</v>
      </c>
      <c r="AU461" s="166">
        <v>0</v>
      </c>
      <c r="AV461" s="166">
        <v>12</v>
      </c>
      <c r="AW461" s="166">
        <v>26</v>
      </c>
      <c r="AX461" s="166">
        <v>213</v>
      </c>
      <c r="AY461" s="166">
        <v>26</v>
      </c>
      <c r="AZ461" s="166">
        <v>2</v>
      </c>
      <c r="BA461" s="166">
        <v>0</v>
      </c>
      <c r="BB461" s="166">
        <v>0</v>
      </c>
      <c r="BC461" s="166">
        <v>0</v>
      </c>
      <c r="BD461" s="166">
        <v>0</v>
      </c>
      <c r="BE461" s="166">
        <v>0</v>
      </c>
      <c r="BF461" s="166">
        <v>0</v>
      </c>
      <c r="BG461" s="166">
        <v>0</v>
      </c>
      <c r="BH461" s="166">
        <v>0</v>
      </c>
      <c r="BI461" s="166">
        <v>0</v>
      </c>
      <c r="BJ461" s="166">
        <v>0</v>
      </c>
      <c r="BK461" s="166">
        <v>0</v>
      </c>
      <c r="BL461" s="166">
        <v>0</v>
      </c>
      <c r="BM461" s="166">
        <v>0</v>
      </c>
      <c r="BN461" s="166">
        <v>0</v>
      </c>
      <c r="BO461" s="166">
        <v>0</v>
      </c>
      <c r="BP461" s="166">
        <v>0</v>
      </c>
      <c r="BQ461" s="81" t="s">
        <v>1759</v>
      </c>
      <c r="BS461" s="81" t="s">
        <v>155</v>
      </c>
      <c r="BZ461" s="81" t="s">
        <v>155</v>
      </c>
      <c r="CA461" s="81">
        <v>12</v>
      </c>
      <c r="CC461" s="167">
        <v>0</v>
      </c>
      <c r="CD461" s="167">
        <v>144</v>
      </c>
      <c r="CE461" s="167">
        <v>135</v>
      </c>
      <c r="CF461" s="167">
        <v>0</v>
      </c>
      <c r="CG461" s="167">
        <v>0</v>
      </c>
      <c r="CH461" s="167">
        <v>0</v>
      </c>
      <c r="CI461" s="167">
        <v>0</v>
      </c>
      <c r="CJ461" s="167">
        <v>0</v>
      </c>
      <c r="CK461" s="167">
        <v>0</v>
      </c>
      <c r="CL461" s="167">
        <v>0</v>
      </c>
      <c r="CM461" s="167">
        <v>0</v>
      </c>
      <c r="CN461" s="167">
        <v>0</v>
      </c>
      <c r="CO461" s="167">
        <v>0</v>
      </c>
      <c r="CP461" s="167">
        <v>0</v>
      </c>
      <c r="CQ461" s="167">
        <v>0</v>
      </c>
      <c r="CR461" s="167">
        <v>0</v>
      </c>
      <c r="CS461" s="167">
        <v>0</v>
      </c>
      <c r="CT461" s="167">
        <v>0</v>
      </c>
      <c r="CU461" s="167">
        <v>0</v>
      </c>
      <c r="CV461" s="167">
        <v>0</v>
      </c>
      <c r="CW461" s="167">
        <v>0</v>
      </c>
      <c r="CX461" s="167">
        <f>SUM(CD461:CH461)</f>
        <v>279</v>
      </c>
      <c r="CY461" s="167">
        <f>SUM(CD461:CM461)</f>
        <v>279</v>
      </c>
    </row>
    <row r="462" spans="1:103" x14ac:dyDescent="0.2">
      <c r="A462" s="81">
        <v>4718</v>
      </c>
      <c r="B462" s="165" t="s">
        <v>1908</v>
      </c>
      <c r="C462" s="165" t="s">
        <v>916</v>
      </c>
      <c r="D462" s="165" t="s">
        <v>406</v>
      </c>
      <c r="E462" s="165" t="s">
        <v>3089</v>
      </c>
      <c r="F462" s="165" t="s">
        <v>890</v>
      </c>
      <c r="G462" s="81">
        <v>529643</v>
      </c>
      <c r="H462" s="81">
        <v>177593</v>
      </c>
      <c r="I462" s="165" t="s">
        <v>240</v>
      </c>
      <c r="J462" s="349">
        <v>42614</v>
      </c>
      <c r="L462" s="166">
        <v>0</v>
      </c>
      <c r="M462" s="166">
        <v>251</v>
      </c>
      <c r="N462" s="166">
        <v>251</v>
      </c>
      <c r="O462" s="166">
        <v>530</v>
      </c>
      <c r="P462" s="166">
        <v>530</v>
      </c>
      <c r="Q462" s="81" t="s">
        <v>155</v>
      </c>
      <c r="R462" s="165" t="s">
        <v>918</v>
      </c>
      <c r="S462" s="81" t="s">
        <v>509</v>
      </c>
      <c r="T462" s="349">
        <v>42229</v>
      </c>
      <c r="U462" s="349">
        <v>42880</v>
      </c>
      <c r="V462" s="81" t="s">
        <v>155</v>
      </c>
      <c r="W462" s="81" t="s">
        <v>114</v>
      </c>
      <c r="Y462" s="81" t="s">
        <v>115</v>
      </c>
      <c r="Z462" s="81" t="s">
        <v>116</v>
      </c>
      <c r="AA462" s="81" t="s">
        <v>116</v>
      </c>
      <c r="AB462" s="81" t="s">
        <v>117</v>
      </c>
      <c r="AC462" s="166">
        <v>0</v>
      </c>
      <c r="AD462" s="349">
        <v>42614</v>
      </c>
      <c r="AG462" s="81" t="s">
        <v>238</v>
      </c>
      <c r="AH462" s="81" t="s">
        <v>118</v>
      </c>
      <c r="AI462" s="81" t="s">
        <v>3090</v>
      </c>
      <c r="AK462" s="166">
        <v>251</v>
      </c>
      <c r="AM462" s="166">
        <v>25</v>
      </c>
      <c r="AO462" s="166">
        <v>0</v>
      </c>
      <c r="AP462" s="166">
        <v>20</v>
      </c>
      <c r="AQ462" s="166">
        <v>47</v>
      </c>
      <c r="AR462" s="166">
        <v>160</v>
      </c>
      <c r="AS462" s="166">
        <v>23</v>
      </c>
      <c r="AT462" s="166">
        <v>1</v>
      </c>
      <c r="AU462" s="166">
        <v>0</v>
      </c>
      <c r="AV462" s="166">
        <v>0</v>
      </c>
      <c r="AW462" s="166">
        <v>20</v>
      </c>
      <c r="AX462" s="166">
        <v>47</v>
      </c>
      <c r="AY462" s="166">
        <v>160</v>
      </c>
      <c r="AZ462" s="166">
        <v>23</v>
      </c>
      <c r="BA462" s="166">
        <v>1</v>
      </c>
      <c r="BB462" s="166">
        <v>0</v>
      </c>
      <c r="BC462" s="166">
        <v>0</v>
      </c>
      <c r="BD462" s="166">
        <v>0</v>
      </c>
      <c r="BE462" s="166">
        <v>0</v>
      </c>
      <c r="BF462" s="166">
        <v>0</v>
      </c>
      <c r="BG462" s="166">
        <v>0</v>
      </c>
      <c r="BH462" s="166">
        <v>0</v>
      </c>
      <c r="BI462" s="166">
        <v>0</v>
      </c>
      <c r="BJ462" s="166">
        <v>0</v>
      </c>
      <c r="BK462" s="166">
        <v>0</v>
      </c>
      <c r="BL462" s="166">
        <v>0</v>
      </c>
      <c r="BM462" s="166">
        <v>0</v>
      </c>
      <c r="BN462" s="166">
        <v>0</v>
      </c>
      <c r="BO462" s="166">
        <v>0</v>
      </c>
      <c r="BP462" s="166">
        <v>0</v>
      </c>
      <c r="BQ462" s="81" t="s">
        <v>1759</v>
      </c>
      <c r="BS462" s="81" t="s">
        <v>155</v>
      </c>
      <c r="BZ462" s="81" t="s">
        <v>155</v>
      </c>
      <c r="CA462" s="81">
        <v>12</v>
      </c>
      <c r="CC462" s="167">
        <v>0</v>
      </c>
      <c r="CD462" s="167">
        <v>144</v>
      </c>
      <c r="CE462" s="167">
        <v>107</v>
      </c>
      <c r="CF462" s="167">
        <v>0</v>
      </c>
      <c r="CG462" s="167">
        <v>0</v>
      </c>
      <c r="CH462" s="167">
        <v>0</v>
      </c>
      <c r="CI462" s="167">
        <v>0</v>
      </c>
      <c r="CJ462" s="167">
        <v>0</v>
      </c>
      <c r="CK462" s="167">
        <v>0</v>
      </c>
      <c r="CL462" s="167">
        <v>0</v>
      </c>
      <c r="CM462" s="167">
        <v>0</v>
      </c>
      <c r="CN462" s="167">
        <v>0</v>
      </c>
      <c r="CO462" s="167">
        <v>0</v>
      </c>
      <c r="CP462" s="167">
        <v>0</v>
      </c>
      <c r="CQ462" s="167">
        <v>0</v>
      </c>
      <c r="CR462" s="167">
        <v>0</v>
      </c>
      <c r="CS462" s="167">
        <v>0</v>
      </c>
      <c r="CT462" s="167">
        <v>0</v>
      </c>
      <c r="CU462" s="167">
        <v>0</v>
      </c>
      <c r="CV462" s="167">
        <v>0</v>
      </c>
      <c r="CW462" s="167">
        <v>0</v>
      </c>
      <c r="CX462" s="167">
        <f>SUM(CD462:CH462)</f>
        <v>251</v>
      </c>
      <c r="CY462" s="167">
        <f>SUM(CD462:CM462)</f>
        <v>251</v>
      </c>
    </row>
    <row r="463" spans="1:103" ht="12.75" customHeight="1" x14ac:dyDescent="0.2">
      <c r="A463" s="81">
        <v>4718</v>
      </c>
      <c r="B463" s="165" t="s">
        <v>1908</v>
      </c>
      <c r="C463" s="165" t="s">
        <v>1542</v>
      </c>
      <c r="D463" s="165" t="s">
        <v>406</v>
      </c>
      <c r="E463" s="165" t="s">
        <v>3089</v>
      </c>
      <c r="F463" s="165" t="s">
        <v>1543</v>
      </c>
      <c r="G463" s="81">
        <v>529643</v>
      </c>
      <c r="H463" s="81">
        <v>177593</v>
      </c>
      <c r="I463" s="165" t="s">
        <v>240</v>
      </c>
      <c r="J463" s="349">
        <v>42961</v>
      </c>
      <c r="L463" s="166">
        <v>0</v>
      </c>
      <c r="M463" s="166">
        <v>207</v>
      </c>
      <c r="N463" s="166">
        <v>207</v>
      </c>
      <c r="O463" s="166">
        <v>468</v>
      </c>
      <c r="P463" s="166">
        <v>468</v>
      </c>
      <c r="Q463" s="81" t="s">
        <v>155</v>
      </c>
      <c r="R463" s="165" t="s">
        <v>1544</v>
      </c>
      <c r="S463" s="81" t="s">
        <v>509</v>
      </c>
      <c r="T463" s="349">
        <v>42283</v>
      </c>
      <c r="U463" s="349">
        <v>42865</v>
      </c>
      <c r="V463" s="81" t="s">
        <v>155</v>
      </c>
      <c r="W463" s="81" t="s">
        <v>114</v>
      </c>
      <c r="Y463" s="81" t="s">
        <v>115</v>
      </c>
      <c r="Z463" s="81" t="s">
        <v>116</v>
      </c>
      <c r="AA463" s="81" t="s">
        <v>116</v>
      </c>
      <c r="AB463" s="81" t="s">
        <v>117</v>
      </c>
      <c r="AC463" s="166">
        <v>0.277999997138977</v>
      </c>
      <c r="AD463" s="349">
        <v>42961</v>
      </c>
      <c r="AE463" s="81" t="s">
        <v>155</v>
      </c>
      <c r="AG463" s="81" t="s">
        <v>238</v>
      </c>
      <c r="AH463" s="81" t="s">
        <v>118</v>
      </c>
      <c r="AI463" s="81" t="s">
        <v>3090</v>
      </c>
      <c r="AK463" s="166">
        <v>207</v>
      </c>
      <c r="AM463" s="166">
        <v>21</v>
      </c>
      <c r="AO463" s="166">
        <v>18</v>
      </c>
      <c r="AP463" s="166">
        <v>49</v>
      </c>
      <c r="AQ463" s="166">
        <v>124</v>
      </c>
      <c r="AR463" s="166">
        <v>16</v>
      </c>
      <c r="AS463" s="166">
        <v>0</v>
      </c>
      <c r="AT463" s="166">
        <v>0</v>
      </c>
      <c r="AU463" s="166">
        <v>0</v>
      </c>
      <c r="AV463" s="166">
        <v>18</v>
      </c>
      <c r="AW463" s="166">
        <v>49</v>
      </c>
      <c r="AX463" s="166">
        <v>124</v>
      </c>
      <c r="AY463" s="166">
        <v>16</v>
      </c>
      <c r="AZ463" s="166">
        <v>0</v>
      </c>
      <c r="BA463" s="166">
        <v>0</v>
      </c>
      <c r="BB463" s="166">
        <v>0</v>
      </c>
      <c r="BC463" s="166">
        <v>0</v>
      </c>
      <c r="BD463" s="166">
        <v>0</v>
      </c>
      <c r="BE463" s="166">
        <v>0</v>
      </c>
      <c r="BF463" s="166">
        <v>0</v>
      </c>
      <c r="BG463" s="166">
        <v>0</v>
      </c>
      <c r="BH463" s="166">
        <v>0</v>
      </c>
      <c r="BI463" s="166">
        <v>0</v>
      </c>
      <c r="BJ463" s="166">
        <v>0</v>
      </c>
      <c r="BK463" s="166">
        <v>0</v>
      </c>
      <c r="BL463" s="166">
        <v>0</v>
      </c>
      <c r="BM463" s="166">
        <v>0</v>
      </c>
      <c r="BN463" s="166">
        <v>0</v>
      </c>
      <c r="BO463" s="166">
        <v>0</v>
      </c>
      <c r="BP463" s="166">
        <v>0</v>
      </c>
      <c r="BQ463" s="81" t="s">
        <v>1759</v>
      </c>
      <c r="BS463" s="81" t="s">
        <v>155</v>
      </c>
      <c r="BZ463" s="81" t="s">
        <v>155</v>
      </c>
      <c r="CA463" s="81">
        <v>12</v>
      </c>
      <c r="CC463" s="167">
        <v>0</v>
      </c>
      <c r="CD463" s="167">
        <v>0</v>
      </c>
      <c r="CE463" s="167">
        <v>0</v>
      </c>
      <c r="CF463" s="167">
        <v>0</v>
      </c>
      <c r="CG463" s="167">
        <v>0</v>
      </c>
      <c r="CH463" s="167">
        <v>0</v>
      </c>
      <c r="CI463" s="167">
        <v>0</v>
      </c>
      <c r="CJ463" s="167">
        <v>144</v>
      </c>
      <c r="CK463" s="167">
        <v>63</v>
      </c>
      <c r="CL463" s="167">
        <v>0</v>
      </c>
      <c r="CM463" s="167">
        <v>0</v>
      </c>
      <c r="CN463" s="167">
        <v>0</v>
      </c>
      <c r="CO463" s="167">
        <v>0</v>
      </c>
      <c r="CP463" s="167">
        <v>0</v>
      </c>
      <c r="CQ463" s="167">
        <v>0</v>
      </c>
      <c r="CR463" s="167">
        <v>0</v>
      </c>
      <c r="CS463" s="167">
        <v>0</v>
      </c>
      <c r="CT463" s="167">
        <v>0</v>
      </c>
      <c r="CU463" s="167">
        <v>0</v>
      </c>
      <c r="CV463" s="167">
        <v>0</v>
      </c>
      <c r="CW463" s="167">
        <v>0</v>
      </c>
      <c r="CX463" s="167">
        <f>SUM(CD463:CH463)</f>
        <v>0</v>
      </c>
      <c r="CY463" s="167">
        <f>SUM(CD463:CM463)</f>
        <v>207</v>
      </c>
    </row>
    <row r="464" spans="1:103" ht="12.75" customHeight="1" x14ac:dyDescent="0.2">
      <c r="A464" s="81">
        <v>4718</v>
      </c>
      <c r="B464" s="165" t="s">
        <v>1908</v>
      </c>
      <c r="C464" s="165" t="s">
        <v>1542</v>
      </c>
      <c r="D464" s="165" t="s">
        <v>406</v>
      </c>
      <c r="E464" s="165" t="s">
        <v>3089</v>
      </c>
      <c r="F464" s="165" t="s">
        <v>1545</v>
      </c>
      <c r="G464" s="81">
        <v>529643</v>
      </c>
      <c r="H464" s="81">
        <v>177593</v>
      </c>
      <c r="I464" s="165" t="s">
        <v>240</v>
      </c>
      <c r="J464" s="349">
        <v>42961</v>
      </c>
      <c r="L464" s="166">
        <v>0</v>
      </c>
      <c r="M464" s="166">
        <v>222</v>
      </c>
      <c r="N464" s="166">
        <v>222</v>
      </c>
      <c r="O464" s="166">
        <v>468</v>
      </c>
      <c r="P464" s="166">
        <v>468</v>
      </c>
      <c r="Q464" s="81" t="s">
        <v>155</v>
      </c>
      <c r="R464" s="165" t="s">
        <v>1544</v>
      </c>
      <c r="S464" s="81" t="s">
        <v>509</v>
      </c>
      <c r="T464" s="349">
        <v>42283</v>
      </c>
      <c r="U464" s="349">
        <v>42865</v>
      </c>
      <c r="V464" s="81" t="s">
        <v>155</v>
      </c>
      <c r="W464" s="81" t="s">
        <v>114</v>
      </c>
      <c r="Y464" s="81" t="s">
        <v>115</v>
      </c>
      <c r="Z464" s="81" t="s">
        <v>116</v>
      </c>
      <c r="AA464" s="81" t="s">
        <v>116</v>
      </c>
      <c r="AB464" s="81" t="s">
        <v>117</v>
      </c>
      <c r="AC464" s="166">
        <v>0.29699999094009399</v>
      </c>
      <c r="AG464" s="81" t="s">
        <v>238</v>
      </c>
      <c r="AH464" s="81" t="s">
        <v>118</v>
      </c>
      <c r="AI464" s="81" t="s">
        <v>3090</v>
      </c>
      <c r="AK464" s="166">
        <v>222</v>
      </c>
      <c r="AM464" s="166">
        <v>22</v>
      </c>
      <c r="AO464" s="166">
        <v>8</v>
      </c>
      <c r="AP464" s="166">
        <v>27</v>
      </c>
      <c r="AQ464" s="166">
        <v>159</v>
      </c>
      <c r="AR464" s="166">
        <v>14</v>
      </c>
      <c r="AS464" s="166">
        <v>14</v>
      </c>
      <c r="AT464" s="166">
        <v>0</v>
      </c>
      <c r="AU464" s="166">
        <v>0</v>
      </c>
      <c r="AV464" s="166">
        <v>8</v>
      </c>
      <c r="AW464" s="166">
        <v>27</v>
      </c>
      <c r="AX464" s="166">
        <v>159</v>
      </c>
      <c r="AY464" s="166">
        <v>14</v>
      </c>
      <c r="AZ464" s="166">
        <v>14</v>
      </c>
      <c r="BA464" s="166">
        <v>0</v>
      </c>
      <c r="BB464" s="166">
        <v>0</v>
      </c>
      <c r="BC464" s="166">
        <v>0</v>
      </c>
      <c r="BD464" s="166">
        <v>0</v>
      </c>
      <c r="BE464" s="166">
        <v>0</v>
      </c>
      <c r="BF464" s="166">
        <v>0</v>
      </c>
      <c r="BG464" s="166">
        <v>0</v>
      </c>
      <c r="BH464" s="166">
        <v>0</v>
      </c>
      <c r="BI464" s="166">
        <v>0</v>
      </c>
      <c r="BJ464" s="166">
        <v>0</v>
      </c>
      <c r="BK464" s="166">
        <v>0</v>
      </c>
      <c r="BL464" s="166">
        <v>0</v>
      </c>
      <c r="BM464" s="166">
        <v>0</v>
      </c>
      <c r="BN464" s="166">
        <v>0</v>
      </c>
      <c r="BO464" s="166">
        <v>0</v>
      </c>
      <c r="BP464" s="166">
        <v>0</v>
      </c>
      <c r="BQ464" s="81" t="s">
        <v>1759</v>
      </c>
      <c r="BS464" s="81" t="s">
        <v>155</v>
      </c>
      <c r="BZ464" s="81" t="s">
        <v>155</v>
      </c>
      <c r="CA464" s="81">
        <v>12</v>
      </c>
      <c r="CC464" s="167">
        <v>0</v>
      </c>
      <c r="CD464" s="167">
        <v>0</v>
      </c>
      <c r="CE464" s="167">
        <v>0</v>
      </c>
      <c r="CF464" s="167">
        <v>0</v>
      </c>
      <c r="CG464" s="167">
        <v>0</v>
      </c>
      <c r="CH464" s="167">
        <v>0</v>
      </c>
      <c r="CI464" s="167">
        <v>0</v>
      </c>
      <c r="CJ464" s="167">
        <v>0</v>
      </c>
      <c r="CK464" s="167">
        <v>0</v>
      </c>
      <c r="CL464" s="167">
        <v>0</v>
      </c>
      <c r="CM464" s="167">
        <v>0</v>
      </c>
      <c r="CN464" s="167">
        <v>0</v>
      </c>
      <c r="CO464" s="167">
        <v>0</v>
      </c>
      <c r="CP464" s="167">
        <v>0</v>
      </c>
      <c r="CQ464" s="167">
        <v>0</v>
      </c>
      <c r="CR464" s="167">
        <v>0</v>
      </c>
      <c r="CS464" s="167">
        <v>0</v>
      </c>
      <c r="CT464" s="167">
        <v>0</v>
      </c>
      <c r="CU464" s="167">
        <v>0</v>
      </c>
      <c r="CV464" s="167">
        <v>0</v>
      </c>
      <c r="CW464" s="167">
        <v>0</v>
      </c>
      <c r="CX464" s="167">
        <f>SUM(CD464:CH464)</f>
        <v>0</v>
      </c>
      <c r="CY464" s="167">
        <f>SUM(CD464:CM464)</f>
        <v>0</v>
      </c>
    </row>
    <row r="465" spans="1:103" ht="12.75" customHeight="1" x14ac:dyDescent="0.2">
      <c r="A465" s="81">
        <v>4718</v>
      </c>
      <c r="B465" s="165" t="s">
        <v>1908</v>
      </c>
      <c r="C465" s="165" t="s">
        <v>1542</v>
      </c>
      <c r="D465" s="165" t="s">
        <v>406</v>
      </c>
      <c r="E465" s="165" t="s">
        <v>3089</v>
      </c>
      <c r="F465" s="165" t="s">
        <v>1545</v>
      </c>
      <c r="G465" s="81">
        <v>529643</v>
      </c>
      <c r="H465" s="81">
        <v>177593</v>
      </c>
      <c r="I465" s="165" t="s">
        <v>240</v>
      </c>
      <c r="J465" s="349">
        <v>42961</v>
      </c>
      <c r="L465" s="166">
        <v>0</v>
      </c>
      <c r="M465" s="166">
        <v>20</v>
      </c>
      <c r="N465" s="166">
        <v>20</v>
      </c>
      <c r="O465" s="166">
        <v>468</v>
      </c>
      <c r="P465" s="166">
        <v>468</v>
      </c>
      <c r="Q465" s="81" t="s">
        <v>155</v>
      </c>
      <c r="R465" s="165" t="s">
        <v>1544</v>
      </c>
      <c r="S465" s="81" t="s">
        <v>509</v>
      </c>
      <c r="T465" s="349">
        <v>42283</v>
      </c>
      <c r="U465" s="349">
        <v>42865</v>
      </c>
      <c r="V465" s="81" t="s">
        <v>155</v>
      </c>
      <c r="W465" s="81" t="s">
        <v>114</v>
      </c>
      <c r="Y465" s="81" t="s">
        <v>115</v>
      </c>
      <c r="Z465" s="81" t="s">
        <v>116</v>
      </c>
      <c r="AA465" s="81" t="s">
        <v>116</v>
      </c>
      <c r="AB465" s="81" t="s">
        <v>117</v>
      </c>
      <c r="AC465" s="166">
        <v>2.70000007003546E-2</v>
      </c>
      <c r="AD465" s="349">
        <v>43190</v>
      </c>
      <c r="AE465" s="81" t="s">
        <v>155</v>
      </c>
      <c r="AG465" s="81" t="s">
        <v>74</v>
      </c>
      <c r="AH465" s="81" t="s">
        <v>880</v>
      </c>
      <c r="AI465" s="81" t="s">
        <v>3090</v>
      </c>
      <c r="AK465" s="166">
        <v>20</v>
      </c>
      <c r="AM465" s="166">
        <v>2</v>
      </c>
      <c r="AO465" s="166">
        <v>0</v>
      </c>
      <c r="AP465" s="166">
        <v>7</v>
      </c>
      <c r="AQ465" s="166">
        <v>9</v>
      </c>
      <c r="AR465" s="166">
        <v>4</v>
      </c>
      <c r="AS465" s="166">
        <v>0</v>
      </c>
      <c r="AT465" s="166">
        <v>0</v>
      </c>
      <c r="AU465" s="166">
        <v>0</v>
      </c>
      <c r="AV465" s="166">
        <v>0</v>
      </c>
      <c r="AW465" s="166">
        <v>7</v>
      </c>
      <c r="AX465" s="166">
        <v>9</v>
      </c>
      <c r="AY465" s="166">
        <v>4</v>
      </c>
      <c r="AZ465" s="166">
        <v>0</v>
      </c>
      <c r="BA465" s="166">
        <v>0</v>
      </c>
      <c r="BB465" s="166">
        <v>0</v>
      </c>
      <c r="BC465" s="166">
        <v>0</v>
      </c>
      <c r="BD465" s="166">
        <v>0</v>
      </c>
      <c r="BE465" s="166">
        <v>0</v>
      </c>
      <c r="BF465" s="166">
        <v>0</v>
      </c>
      <c r="BG465" s="166">
        <v>0</v>
      </c>
      <c r="BH465" s="166">
        <v>0</v>
      </c>
      <c r="BI465" s="166">
        <v>0</v>
      </c>
      <c r="BJ465" s="166">
        <v>0</v>
      </c>
      <c r="BK465" s="166">
        <v>0</v>
      </c>
      <c r="BL465" s="166">
        <v>0</v>
      </c>
      <c r="BM465" s="166">
        <v>0</v>
      </c>
      <c r="BN465" s="166">
        <v>0</v>
      </c>
      <c r="BO465" s="166">
        <v>0</v>
      </c>
      <c r="BP465" s="166">
        <v>0</v>
      </c>
      <c r="BQ465" s="81" t="s">
        <v>1759</v>
      </c>
      <c r="BS465" s="81" t="s">
        <v>155</v>
      </c>
      <c r="BZ465" s="81" t="s">
        <v>155</v>
      </c>
      <c r="CA465" s="81">
        <v>12</v>
      </c>
      <c r="CC465" s="167">
        <v>0</v>
      </c>
      <c r="CD465" s="167">
        <v>0</v>
      </c>
      <c r="CE465" s="167">
        <v>0</v>
      </c>
      <c r="CF465" s="167">
        <v>0</v>
      </c>
      <c r="CG465" s="167">
        <v>0</v>
      </c>
      <c r="CH465" s="167">
        <v>0</v>
      </c>
      <c r="CI465" s="167">
        <v>0</v>
      </c>
      <c r="CJ465" s="167">
        <v>0</v>
      </c>
      <c r="CK465" s="167">
        <v>0</v>
      </c>
      <c r="CL465" s="167">
        <v>0</v>
      </c>
      <c r="CM465" s="167">
        <v>0</v>
      </c>
      <c r="CN465" s="167">
        <v>0</v>
      </c>
      <c r="CO465" s="167">
        <v>0</v>
      </c>
      <c r="CP465" s="167">
        <v>0</v>
      </c>
      <c r="CQ465" s="167">
        <v>0</v>
      </c>
      <c r="CR465" s="167">
        <v>0</v>
      </c>
      <c r="CS465" s="167">
        <v>0</v>
      </c>
      <c r="CT465" s="167">
        <v>0</v>
      </c>
      <c r="CU465" s="167">
        <v>0</v>
      </c>
      <c r="CV465" s="167">
        <v>0</v>
      </c>
      <c r="CW465" s="167">
        <v>0</v>
      </c>
      <c r="CX465" s="167">
        <f>SUM(CD465:CH465)</f>
        <v>0</v>
      </c>
      <c r="CY465" s="167">
        <f>SUM(CD465:CM465)</f>
        <v>0</v>
      </c>
    </row>
    <row r="466" spans="1:103" ht="12.75" customHeight="1" x14ac:dyDescent="0.2">
      <c r="A466" s="81">
        <v>4718</v>
      </c>
      <c r="B466" s="165" t="s">
        <v>1908</v>
      </c>
      <c r="C466" s="165" t="s">
        <v>1542</v>
      </c>
      <c r="D466" s="165" t="s">
        <v>406</v>
      </c>
      <c r="E466" s="165" t="s">
        <v>3089</v>
      </c>
      <c r="F466" s="165" t="s">
        <v>1545</v>
      </c>
      <c r="G466" s="81">
        <v>529643</v>
      </c>
      <c r="H466" s="81">
        <v>177593</v>
      </c>
      <c r="I466" s="165" t="s">
        <v>240</v>
      </c>
      <c r="J466" s="349">
        <v>42961</v>
      </c>
      <c r="L466" s="166">
        <v>0</v>
      </c>
      <c r="M466" s="166">
        <v>19</v>
      </c>
      <c r="N466" s="166">
        <v>19</v>
      </c>
      <c r="O466" s="166">
        <v>468</v>
      </c>
      <c r="P466" s="166">
        <v>468</v>
      </c>
      <c r="Q466" s="81" t="s">
        <v>155</v>
      </c>
      <c r="R466" s="165" t="s">
        <v>1544</v>
      </c>
      <c r="S466" s="81" t="s">
        <v>509</v>
      </c>
      <c r="T466" s="349">
        <v>42283</v>
      </c>
      <c r="U466" s="349">
        <v>42865</v>
      </c>
      <c r="V466" s="81" t="s">
        <v>155</v>
      </c>
      <c r="W466" s="81" t="s">
        <v>114</v>
      </c>
      <c r="Y466" s="81" t="s">
        <v>115</v>
      </c>
      <c r="Z466" s="81" t="s">
        <v>116</v>
      </c>
      <c r="AA466" s="81" t="s">
        <v>116</v>
      </c>
      <c r="AB466" s="81" t="s">
        <v>117</v>
      </c>
      <c r="AC466" s="166">
        <v>2.60000005364418E-2</v>
      </c>
      <c r="AG466" s="81" t="s">
        <v>154</v>
      </c>
      <c r="AH466" s="81" t="s">
        <v>276</v>
      </c>
      <c r="AI466" s="81" t="s">
        <v>3090</v>
      </c>
      <c r="AK466" s="166">
        <v>19</v>
      </c>
      <c r="AM466" s="166">
        <v>2</v>
      </c>
      <c r="AO466" s="166">
        <v>0</v>
      </c>
      <c r="AP466" s="166">
        <v>3</v>
      </c>
      <c r="AQ466" s="166">
        <v>6</v>
      </c>
      <c r="AR466" s="166">
        <v>7</v>
      </c>
      <c r="AS466" s="166">
        <v>3</v>
      </c>
      <c r="AT466" s="166">
        <v>0</v>
      </c>
      <c r="AU466" s="166">
        <v>0</v>
      </c>
      <c r="AV466" s="166">
        <v>0</v>
      </c>
      <c r="AW466" s="166">
        <v>3</v>
      </c>
      <c r="AX466" s="166">
        <v>6</v>
      </c>
      <c r="AY466" s="166">
        <v>7</v>
      </c>
      <c r="AZ466" s="166">
        <v>3</v>
      </c>
      <c r="BA466" s="166">
        <v>0</v>
      </c>
      <c r="BB466" s="166">
        <v>0</v>
      </c>
      <c r="BC466" s="166">
        <v>0</v>
      </c>
      <c r="BD466" s="166">
        <v>0</v>
      </c>
      <c r="BE466" s="166">
        <v>0</v>
      </c>
      <c r="BF466" s="166">
        <v>0</v>
      </c>
      <c r="BG466" s="166">
        <v>0</v>
      </c>
      <c r="BH466" s="166">
        <v>0</v>
      </c>
      <c r="BI466" s="166">
        <v>0</v>
      </c>
      <c r="BJ466" s="166">
        <v>0</v>
      </c>
      <c r="BK466" s="166">
        <v>0</v>
      </c>
      <c r="BL466" s="166">
        <v>0</v>
      </c>
      <c r="BM466" s="166">
        <v>0</v>
      </c>
      <c r="BN466" s="166">
        <v>0</v>
      </c>
      <c r="BO466" s="166">
        <v>0</v>
      </c>
      <c r="BP466" s="166">
        <v>0</v>
      </c>
      <c r="BQ466" s="81" t="s">
        <v>1759</v>
      </c>
      <c r="BS466" s="81" t="s">
        <v>155</v>
      </c>
      <c r="BZ466" s="81" t="s">
        <v>155</v>
      </c>
      <c r="CA466" s="81">
        <v>12</v>
      </c>
      <c r="CC466" s="167">
        <v>0</v>
      </c>
      <c r="CD466" s="167">
        <v>0</v>
      </c>
      <c r="CE466" s="167">
        <v>0</v>
      </c>
      <c r="CF466" s="167">
        <v>0</v>
      </c>
      <c r="CG466" s="167">
        <v>0</v>
      </c>
      <c r="CH466" s="167">
        <v>0</v>
      </c>
      <c r="CI466" s="167">
        <v>0</v>
      </c>
      <c r="CJ466" s="167">
        <v>144</v>
      </c>
      <c r="CK466" s="167">
        <v>117</v>
      </c>
      <c r="CL466" s="167">
        <v>0</v>
      </c>
      <c r="CM466" s="167">
        <v>0</v>
      </c>
      <c r="CN466" s="167">
        <v>0</v>
      </c>
      <c r="CO466" s="167">
        <v>0</v>
      </c>
      <c r="CP466" s="167">
        <v>0</v>
      </c>
      <c r="CQ466" s="167">
        <v>0</v>
      </c>
      <c r="CR466" s="167">
        <v>0</v>
      </c>
      <c r="CS466" s="167">
        <v>0</v>
      </c>
      <c r="CT466" s="167">
        <v>0</v>
      </c>
      <c r="CU466" s="167">
        <v>0</v>
      </c>
      <c r="CV466" s="167">
        <v>0</v>
      </c>
      <c r="CW466" s="167">
        <v>0</v>
      </c>
      <c r="CX466" s="167">
        <f>SUM(CD466:CH466)</f>
        <v>0</v>
      </c>
      <c r="CY466" s="167">
        <f>SUM(CD466:CM466)</f>
        <v>261</v>
      </c>
    </row>
    <row r="467" spans="1:103" ht="12.75" customHeight="1" x14ac:dyDescent="0.2">
      <c r="A467" s="81">
        <v>4722</v>
      </c>
      <c r="B467" s="165" t="s">
        <v>1908</v>
      </c>
      <c r="C467" s="165" t="s">
        <v>327</v>
      </c>
      <c r="E467" s="165" t="s">
        <v>3334</v>
      </c>
      <c r="G467" s="81">
        <v>528478</v>
      </c>
      <c r="H467" s="81">
        <v>173353</v>
      </c>
      <c r="I467" s="165" t="s">
        <v>254</v>
      </c>
      <c r="J467" s="349">
        <v>42825</v>
      </c>
      <c r="L467" s="166">
        <v>0</v>
      </c>
      <c r="M467" s="166">
        <v>8</v>
      </c>
      <c r="N467" s="166">
        <v>8</v>
      </c>
      <c r="O467" s="166">
        <v>8</v>
      </c>
      <c r="P467" s="166">
        <v>8</v>
      </c>
      <c r="R467" s="165" t="s">
        <v>892</v>
      </c>
      <c r="S467" s="81" t="s">
        <v>113</v>
      </c>
      <c r="T467" s="349">
        <v>41668</v>
      </c>
      <c r="U467" s="349">
        <v>42114</v>
      </c>
      <c r="W467" s="81" t="s">
        <v>114</v>
      </c>
      <c r="Y467" s="81" t="s">
        <v>115</v>
      </c>
      <c r="Z467" s="81" t="s">
        <v>116</v>
      </c>
      <c r="AA467" s="81" t="s">
        <v>117</v>
      </c>
      <c r="AB467" s="81" t="s">
        <v>218</v>
      </c>
      <c r="AC467" s="166">
        <v>0.112999998033047</v>
      </c>
      <c r="AD467" s="349">
        <v>42825</v>
      </c>
      <c r="AG467" s="81" t="s">
        <v>238</v>
      </c>
      <c r="AH467" s="81" t="s">
        <v>118</v>
      </c>
      <c r="AK467" s="166">
        <v>8</v>
      </c>
      <c r="AM467" s="166">
        <v>6</v>
      </c>
      <c r="AO467" s="166">
        <v>0</v>
      </c>
      <c r="AP467" s="166">
        <v>3</v>
      </c>
      <c r="AQ467" s="166">
        <v>5</v>
      </c>
      <c r="AR467" s="166">
        <v>0</v>
      </c>
      <c r="AS467" s="166">
        <v>0</v>
      </c>
      <c r="AT467" s="166">
        <v>0</v>
      </c>
      <c r="AU467" s="166">
        <v>0</v>
      </c>
      <c r="AV467" s="166">
        <v>0</v>
      </c>
      <c r="AW467" s="166">
        <v>3</v>
      </c>
      <c r="AX467" s="166">
        <v>5</v>
      </c>
      <c r="AY467" s="166">
        <v>0</v>
      </c>
      <c r="AZ467" s="166">
        <v>0</v>
      </c>
      <c r="BA467" s="166">
        <v>0</v>
      </c>
      <c r="BB467" s="166">
        <v>0</v>
      </c>
      <c r="BC467" s="166">
        <v>0</v>
      </c>
      <c r="BD467" s="166">
        <v>0</v>
      </c>
      <c r="BE467" s="166">
        <v>0</v>
      </c>
      <c r="BF467" s="166">
        <v>0</v>
      </c>
      <c r="BG467" s="166">
        <v>0</v>
      </c>
      <c r="BH467" s="166">
        <v>0</v>
      </c>
      <c r="BI467" s="166">
        <v>0</v>
      </c>
      <c r="BJ467" s="166">
        <v>0</v>
      </c>
      <c r="BK467" s="166">
        <v>0</v>
      </c>
      <c r="BL467" s="166">
        <v>0</v>
      </c>
      <c r="BM467" s="166">
        <v>0</v>
      </c>
      <c r="BN467" s="166">
        <v>0</v>
      </c>
      <c r="BO467" s="166">
        <v>0</v>
      </c>
      <c r="BP467" s="166">
        <v>0</v>
      </c>
      <c r="BQ467" s="81" t="s">
        <v>1757</v>
      </c>
      <c r="BR467" s="81" t="s">
        <v>247</v>
      </c>
      <c r="BZ467" s="81" t="s">
        <v>155</v>
      </c>
      <c r="CA467" s="81" t="s">
        <v>3976</v>
      </c>
      <c r="CC467" s="167">
        <v>0</v>
      </c>
      <c r="CD467" s="167">
        <f>N467</f>
        <v>8</v>
      </c>
      <c r="CE467" s="167">
        <v>0</v>
      </c>
      <c r="CF467" s="167">
        <v>0</v>
      </c>
      <c r="CG467" s="167">
        <v>0</v>
      </c>
      <c r="CH467" s="167">
        <v>0</v>
      </c>
      <c r="CI467" s="167">
        <v>0</v>
      </c>
      <c r="CJ467" s="167">
        <v>0</v>
      </c>
      <c r="CK467" s="167">
        <v>0</v>
      </c>
      <c r="CL467" s="167">
        <v>0</v>
      </c>
      <c r="CM467" s="167">
        <v>0</v>
      </c>
      <c r="CN467" s="167">
        <v>0</v>
      </c>
      <c r="CO467" s="167">
        <v>0</v>
      </c>
      <c r="CP467" s="167">
        <v>0</v>
      </c>
      <c r="CQ467" s="167">
        <v>0</v>
      </c>
      <c r="CR467" s="167">
        <v>0</v>
      </c>
      <c r="CS467" s="167">
        <v>0</v>
      </c>
      <c r="CT467" s="167">
        <v>0</v>
      </c>
      <c r="CU467" s="167">
        <v>0</v>
      </c>
      <c r="CV467" s="167">
        <v>0</v>
      </c>
      <c r="CW467" s="167">
        <v>0</v>
      </c>
      <c r="CX467" s="167">
        <f>SUM(CD467:CH467)</f>
        <v>8</v>
      </c>
      <c r="CY467" s="167">
        <f>SUM(CD467:CM467)</f>
        <v>8</v>
      </c>
    </row>
    <row r="468" spans="1:103" x14ac:dyDescent="0.2">
      <c r="A468" s="81">
        <v>4746</v>
      </c>
      <c r="B468" s="165" t="s">
        <v>1908</v>
      </c>
      <c r="C468" s="165" t="s">
        <v>348</v>
      </c>
      <c r="E468" s="165" t="s">
        <v>3335</v>
      </c>
      <c r="G468" s="81">
        <v>528869</v>
      </c>
      <c r="H468" s="81">
        <v>170872</v>
      </c>
      <c r="I468" s="165" t="s">
        <v>252</v>
      </c>
      <c r="J468" s="349">
        <v>42825</v>
      </c>
      <c r="L468" s="166">
        <v>0</v>
      </c>
      <c r="M468" s="166">
        <v>2</v>
      </c>
      <c r="N468" s="166">
        <v>2</v>
      </c>
      <c r="O468" s="166">
        <v>2</v>
      </c>
      <c r="P468" s="166">
        <v>2</v>
      </c>
      <c r="R468" s="165" t="s">
        <v>349</v>
      </c>
      <c r="S468" s="81" t="s">
        <v>113</v>
      </c>
      <c r="T468" s="349">
        <v>41430</v>
      </c>
      <c r="U468" s="349">
        <v>41745</v>
      </c>
      <c r="W468" s="81" t="s">
        <v>114</v>
      </c>
      <c r="Y468" s="81" t="s">
        <v>115</v>
      </c>
      <c r="Z468" s="81" t="s">
        <v>116</v>
      </c>
      <c r="AA468" s="81" t="s">
        <v>117</v>
      </c>
      <c r="AB468" s="81" t="s">
        <v>218</v>
      </c>
      <c r="AC468" s="166">
        <v>3.29999998211861E-2</v>
      </c>
      <c r="AD468" s="349">
        <v>42825</v>
      </c>
      <c r="AG468" s="81" t="s">
        <v>238</v>
      </c>
      <c r="AH468" s="81" t="s">
        <v>118</v>
      </c>
      <c r="AK468" s="166">
        <v>0</v>
      </c>
      <c r="AM468" s="166">
        <v>0</v>
      </c>
      <c r="AO468" s="166">
        <v>0</v>
      </c>
      <c r="AP468" s="166">
        <v>0</v>
      </c>
      <c r="AQ468" s="166">
        <v>0</v>
      </c>
      <c r="AR468" s="166">
        <v>0</v>
      </c>
      <c r="AS468" s="166">
        <v>0</v>
      </c>
      <c r="AT468" s="166">
        <v>2</v>
      </c>
      <c r="AU468" s="166">
        <v>0</v>
      </c>
      <c r="AV468" s="166">
        <v>0</v>
      </c>
      <c r="AW468" s="166">
        <v>0</v>
      </c>
      <c r="AX468" s="166">
        <v>0</v>
      </c>
      <c r="AY468" s="166">
        <v>0</v>
      </c>
      <c r="AZ468" s="166">
        <v>0</v>
      </c>
      <c r="BA468" s="166">
        <v>0</v>
      </c>
      <c r="BB468" s="166">
        <v>0</v>
      </c>
      <c r="BC468" s="166">
        <v>0</v>
      </c>
      <c r="BD468" s="166">
        <v>0</v>
      </c>
      <c r="BE468" s="166">
        <v>0</v>
      </c>
      <c r="BF468" s="166">
        <v>0</v>
      </c>
      <c r="BG468" s="166">
        <v>0</v>
      </c>
      <c r="BH468" s="166">
        <v>2</v>
      </c>
      <c r="BI468" s="166">
        <v>0</v>
      </c>
      <c r="BJ468" s="166">
        <v>0</v>
      </c>
      <c r="BK468" s="166">
        <v>0</v>
      </c>
      <c r="BL468" s="166">
        <v>0</v>
      </c>
      <c r="BM468" s="166">
        <v>0</v>
      </c>
      <c r="BN468" s="166">
        <v>0</v>
      </c>
      <c r="BO468" s="166">
        <v>0</v>
      </c>
      <c r="BP468" s="166">
        <v>0</v>
      </c>
      <c r="BQ468" s="81" t="s">
        <v>1757</v>
      </c>
      <c r="BZ468" s="81" t="s">
        <v>155</v>
      </c>
      <c r="CA468" s="81" t="s">
        <v>3976</v>
      </c>
      <c r="CC468" s="167">
        <v>0</v>
      </c>
      <c r="CD468" s="167">
        <f>N468</f>
        <v>2</v>
      </c>
      <c r="CE468" s="167">
        <v>0</v>
      </c>
      <c r="CF468" s="167">
        <v>0</v>
      </c>
      <c r="CG468" s="167">
        <v>0</v>
      </c>
      <c r="CH468" s="167">
        <v>0</v>
      </c>
      <c r="CI468" s="167">
        <v>0</v>
      </c>
      <c r="CJ468" s="167">
        <v>0</v>
      </c>
      <c r="CK468" s="167">
        <v>0</v>
      </c>
      <c r="CL468" s="167">
        <v>0</v>
      </c>
      <c r="CM468" s="167">
        <v>0</v>
      </c>
      <c r="CN468" s="167">
        <v>0</v>
      </c>
      <c r="CO468" s="167">
        <v>0</v>
      </c>
      <c r="CP468" s="167">
        <v>0</v>
      </c>
      <c r="CQ468" s="167">
        <v>0</v>
      </c>
      <c r="CR468" s="167">
        <v>0</v>
      </c>
      <c r="CS468" s="167">
        <v>0</v>
      </c>
      <c r="CT468" s="167">
        <v>0</v>
      </c>
      <c r="CU468" s="167">
        <v>0</v>
      </c>
      <c r="CV468" s="167">
        <v>0</v>
      </c>
      <c r="CW468" s="167">
        <v>0</v>
      </c>
      <c r="CX468" s="167">
        <f>SUM(CD468:CH468)</f>
        <v>2</v>
      </c>
      <c r="CY468" s="167">
        <f>SUM(CD468:CM468)</f>
        <v>2</v>
      </c>
    </row>
    <row r="469" spans="1:103" ht="12.75" customHeight="1" x14ac:dyDescent="0.2">
      <c r="A469" s="81">
        <v>4751</v>
      </c>
      <c r="B469" s="165" t="s">
        <v>1908</v>
      </c>
      <c r="C469" s="165" t="s">
        <v>688</v>
      </c>
      <c r="E469" s="165" t="s">
        <v>3337</v>
      </c>
      <c r="G469" s="81">
        <v>524675</v>
      </c>
      <c r="H469" s="81">
        <v>173310</v>
      </c>
      <c r="I469" s="165" t="s">
        <v>111</v>
      </c>
      <c r="J469" s="349">
        <v>42825</v>
      </c>
      <c r="L469" s="166">
        <v>0</v>
      </c>
      <c r="M469" s="166">
        <v>1</v>
      </c>
      <c r="N469" s="166">
        <v>1</v>
      </c>
      <c r="O469" s="166">
        <v>1</v>
      </c>
      <c r="P469" s="166">
        <v>1</v>
      </c>
      <c r="R469" s="165" t="s">
        <v>689</v>
      </c>
      <c r="S469" s="81" t="s">
        <v>113</v>
      </c>
      <c r="T469" s="349">
        <v>42339</v>
      </c>
      <c r="U469" s="349">
        <v>42429</v>
      </c>
      <c r="W469" s="81" t="s">
        <v>114</v>
      </c>
      <c r="Y469" s="81" t="s">
        <v>115</v>
      </c>
      <c r="Z469" s="81" t="s">
        <v>116</v>
      </c>
      <c r="AA469" s="81" t="s">
        <v>117</v>
      </c>
      <c r="AB469" s="81" t="s">
        <v>218</v>
      </c>
      <c r="AC469" s="166">
        <v>7.0000002160668399E-3</v>
      </c>
      <c r="AD469" s="349">
        <v>42825</v>
      </c>
      <c r="AG469" s="81" t="s">
        <v>238</v>
      </c>
      <c r="AH469" s="81" t="s">
        <v>118</v>
      </c>
      <c r="AK469" s="166">
        <v>1</v>
      </c>
      <c r="AM469" s="166">
        <v>0</v>
      </c>
      <c r="AO469" s="166">
        <v>0</v>
      </c>
      <c r="AP469" s="166">
        <v>0</v>
      </c>
      <c r="AQ469" s="166">
        <v>1</v>
      </c>
      <c r="AR469" s="166">
        <v>0</v>
      </c>
      <c r="AS469" s="166">
        <v>0</v>
      </c>
      <c r="AT469" s="166">
        <v>0</v>
      </c>
      <c r="AU469" s="166">
        <v>0</v>
      </c>
      <c r="AV469" s="166">
        <v>0</v>
      </c>
      <c r="AW469" s="166">
        <v>0</v>
      </c>
      <c r="AX469" s="166">
        <v>0</v>
      </c>
      <c r="AY469" s="166">
        <v>0</v>
      </c>
      <c r="AZ469" s="166">
        <v>0</v>
      </c>
      <c r="BA469" s="166">
        <v>0</v>
      </c>
      <c r="BB469" s="166">
        <v>0</v>
      </c>
      <c r="BC469" s="166">
        <v>0</v>
      </c>
      <c r="BD469" s="166">
        <v>0</v>
      </c>
      <c r="BE469" s="166">
        <v>1</v>
      </c>
      <c r="BF469" s="166">
        <v>0</v>
      </c>
      <c r="BG469" s="166">
        <v>0</v>
      </c>
      <c r="BH469" s="166">
        <v>0</v>
      </c>
      <c r="BI469" s="166">
        <v>0</v>
      </c>
      <c r="BJ469" s="166">
        <v>0</v>
      </c>
      <c r="BK469" s="166">
        <v>0</v>
      </c>
      <c r="BL469" s="166">
        <v>0</v>
      </c>
      <c r="BM469" s="166">
        <v>0</v>
      </c>
      <c r="BN469" s="166">
        <v>0</v>
      </c>
      <c r="BO469" s="166">
        <v>0</v>
      </c>
      <c r="BP469" s="166">
        <v>0</v>
      </c>
      <c r="BQ469" s="81" t="s">
        <v>1758</v>
      </c>
      <c r="BZ469" s="81" t="s">
        <v>155</v>
      </c>
      <c r="CA469" s="81" t="s">
        <v>3976</v>
      </c>
      <c r="CC469" s="167">
        <v>0</v>
      </c>
      <c r="CD469" s="167">
        <f>N469</f>
        <v>1</v>
      </c>
      <c r="CE469" s="167">
        <v>0</v>
      </c>
      <c r="CF469" s="167">
        <v>0</v>
      </c>
      <c r="CG469" s="167">
        <v>0</v>
      </c>
      <c r="CH469" s="167">
        <v>0</v>
      </c>
      <c r="CI469" s="167">
        <v>0</v>
      </c>
      <c r="CJ469" s="167">
        <v>0</v>
      </c>
      <c r="CK469" s="167">
        <v>0</v>
      </c>
      <c r="CL469" s="167">
        <v>0</v>
      </c>
      <c r="CM469" s="167">
        <v>0</v>
      </c>
      <c r="CN469" s="167">
        <v>0</v>
      </c>
      <c r="CO469" s="167">
        <v>0</v>
      </c>
      <c r="CP469" s="167">
        <v>0</v>
      </c>
      <c r="CQ469" s="167">
        <v>0</v>
      </c>
      <c r="CR469" s="167">
        <v>0</v>
      </c>
      <c r="CS469" s="167">
        <v>0</v>
      </c>
      <c r="CT469" s="167">
        <v>0</v>
      </c>
      <c r="CU469" s="167">
        <v>0</v>
      </c>
      <c r="CV469" s="167">
        <v>0</v>
      </c>
      <c r="CW469" s="167">
        <v>0</v>
      </c>
      <c r="CX469" s="167">
        <f>SUM(CD469:CH469)</f>
        <v>1</v>
      </c>
      <c r="CY469" s="167">
        <f>SUM(CD469:CM469)</f>
        <v>1</v>
      </c>
    </row>
    <row r="470" spans="1:103" x14ac:dyDescent="0.2">
      <c r="A470" s="81">
        <v>4757</v>
      </c>
      <c r="B470" s="165" t="s">
        <v>1908</v>
      </c>
      <c r="C470" s="165" t="s">
        <v>152</v>
      </c>
      <c r="E470" s="165" t="s">
        <v>3352</v>
      </c>
      <c r="G470" s="81">
        <v>527783</v>
      </c>
      <c r="H470" s="81">
        <v>174496</v>
      </c>
      <c r="I470" s="165" t="s">
        <v>255</v>
      </c>
      <c r="J470" s="349">
        <v>41666</v>
      </c>
      <c r="L470" s="166">
        <v>1</v>
      </c>
      <c r="M470" s="166">
        <v>1</v>
      </c>
      <c r="N470" s="166">
        <v>0</v>
      </c>
      <c r="O470" s="166">
        <v>1</v>
      </c>
      <c r="P470" s="166">
        <v>0</v>
      </c>
      <c r="R470" s="165" t="s">
        <v>153</v>
      </c>
      <c r="S470" s="81" t="s">
        <v>113</v>
      </c>
      <c r="T470" s="349">
        <v>40882</v>
      </c>
      <c r="U470" s="349">
        <v>40961</v>
      </c>
      <c r="W470" s="81" t="s">
        <v>114</v>
      </c>
      <c r="Y470" s="81" t="s">
        <v>115</v>
      </c>
      <c r="Z470" s="81" t="s">
        <v>116</v>
      </c>
      <c r="AA470" s="81" t="s">
        <v>117</v>
      </c>
      <c r="AB470" s="81" t="s">
        <v>218</v>
      </c>
      <c r="AC470" s="166">
        <v>9.9999997764825804E-3</v>
      </c>
      <c r="AD470" s="349">
        <v>41666</v>
      </c>
      <c r="AG470" s="81" t="s">
        <v>238</v>
      </c>
      <c r="AH470" s="81" t="s">
        <v>118</v>
      </c>
      <c r="AK470" s="166">
        <v>0</v>
      </c>
      <c r="AM470" s="166">
        <v>0</v>
      </c>
      <c r="AO470" s="166">
        <v>0</v>
      </c>
      <c r="AP470" s="166">
        <v>0</v>
      </c>
      <c r="AQ470" s="166">
        <v>-1</v>
      </c>
      <c r="AR470" s="166">
        <v>0</v>
      </c>
      <c r="AS470" s="166">
        <v>1</v>
      </c>
      <c r="AT470" s="166">
        <v>0</v>
      </c>
      <c r="AU470" s="166">
        <v>0</v>
      </c>
      <c r="AV470" s="166">
        <v>0</v>
      </c>
      <c r="AW470" s="166">
        <v>0</v>
      </c>
      <c r="AX470" s="166">
        <v>0</v>
      </c>
      <c r="AY470" s="166">
        <v>0</v>
      </c>
      <c r="AZ470" s="166">
        <v>0</v>
      </c>
      <c r="BA470" s="166">
        <v>0</v>
      </c>
      <c r="BB470" s="166">
        <v>0</v>
      </c>
      <c r="BC470" s="166">
        <v>0</v>
      </c>
      <c r="BD470" s="166">
        <v>0</v>
      </c>
      <c r="BE470" s="166">
        <v>-1</v>
      </c>
      <c r="BF470" s="166">
        <v>0</v>
      </c>
      <c r="BG470" s="166">
        <v>1</v>
      </c>
      <c r="BH470" s="166">
        <v>0</v>
      </c>
      <c r="BI470" s="166">
        <v>0</v>
      </c>
      <c r="BJ470" s="166">
        <v>0</v>
      </c>
      <c r="BK470" s="166">
        <v>0</v>
      </c>
      <c r="BL470" s="166">
        <v>0</v>
      </c>
      <c r="BM470" s="166">
        <v>0</v>
      </c>
      <c r="BN470" s="166">
        <v>0</v>
      </c>
      <c r="BO470" s="166">
        <v>0</v>
      </c>
      <c r="BP470" s="166">
        <v>0</v>
      </c>
      <c r="BQ470" s="81" t="s">
        <v>1757</v>
      </c>
      <c r="BZ470" s="81" t="s">
        <v>155</v>
      </c>
      <c r="CA470" s="81" t="s">
        <v>3976</v>
      </c>
      <c r="CC470" s="167">
        <v>0</v>
      </c>
      <c r="CD470" s="167">
        <f>N470</f>
        <v>0</v>
      </c>
      <c r="CE470" s="167">
        <v>0</v>
      </c>
      <c r="CF470" s="167">
        <v>0</v>
      </c>
      <c r="CG470" s="167">
        <v>0</v>
      </c>
      <c r="CH470" s="167">
        <v>0</v>
      </c>
      <c r="CI470" s="167">
        <v>0</v>
      </c>
      <c r="CJ470" s="167">
        <v>0</v>
      </c>
      <c r="CK470" s="167">
        <v>0</v>
      </c>
      <c r="CL470" s="167">
        <v>0</v>
      </c>
      <c r="CM470" s="167">
        <v>0</v>
      </c>
      <c r="CN470" s="167">
        <v>0</v>
      </c>
      <c r="CO470" s="167">
        <v>0</v>
      </c>
      <c r="CP470" s="167">
        <v>0</v>
      </c>
      <c r="CQ470" s="167">
        <v>0</v>
      </c>
      <c r="CR470" s="167">
        <v>0</v>
      </c>
      <c r="CS470" s="167">
        <v>0</v>
      </c>
      <c r="CT470" s="167">
        <v>0</v>
      </c>
      <c r="CU470" s="167">
        <v>0</v>
      </c>
      <c r="CV470" s="167">
        <v>0</v>
      </c>
      <c r="CW470" s="167">
        <v>0</v>
      </c>
      <c r="CX470" s="167">
        <f>SUM(CD470:CH470)</f>
        <v>0</v>
      </c>
      <c r="CY470" s="167">
        <f>SUM(CD470:CM470)</f>
        <v>0</v>
      </c>
    </row>
    <row r="471" spans="1:103" ht="12.75" customHeight="1" x14ac:dyDescent="0.2">
      <c r="A471" s="81">
        <v>4801</v>
      </c>
      <c r="B471" s="165" t="s">
        <v>1908</v>
      </c>
      <c r="C471" s="165" t="s">
        <v>91</v>
      </c>
      <c r="E471" s="165" t="s">
        <v>3098</v>
      </c>
      <c r="G471" s="81">
        <v>529529</v>
      </c>
      <c r="H471" s="81">
        <v>176787</v>
      </c>
      <c r="I471" s="165" t="s">
        <v>240</v>
      </c>
      <c r="J471" s="349">
        <v>42094</v>
      </c>
      <c r="L471" s="166">
        <v>0</v>
      </c>
      <c r="M471" s="166">
        <v>15</v>
      </c>
      <c r="N471" s="166">
        <v>15</v>
      </c>
      <c r="O471" s="166">
        <v>15</v>
      </c>
      <c r="P471" s="166">
        <v>15</v>
      </c>
      <c r="Q471" s="81" t="s">
        <v>155</v>
      </c>
      <c r="R471" s="165" t="s">
        <v>753</v>
      </c>
      <c r="S471" s="81" t="s">
        <v>113</v>
      </c>
      <c r="T471" s="349">
        <v>41872</v>
      </c>
      <c r="U471" s="349">
        <v>41953</v>
      </c>
      <c r="W471" s="81" t="s">
        <v>114</v>
      </c>
      <c r="Y471" s="81" t="s">
        <v>115</v>
      </c>
      <c r="Z471" s="81" t="s">
        <v>310</v>
      </c>
      <c r="AA471" s="81" t="s">
        <v>92</v>
      </c>
      <c r="AB471" s="81" t="s">
        <v>117</v>
      </c>
      <c r="AC471" s="166">
        <v>0.15099999308586101</v>
      </c>
      <c r="AD471" s="349">
        <v>42094</v>
      </c>
      <c r="AG471" s="81" t="s">
        <v>154</v>
      </c>
      <c r="AH471" s="81" t="s">
        <v>38</v>
      </c>
      <c r="AK471" s="166">
        <v>15</v>
      </c>
      <c r="AM471" s="166">
        <v>2</v>
      </c>
      <c r="AO471" s="166">
        <v>0</v>
      </c>
      <c r="AP471" s="166">
        <v>1</v>
      </c>
      <c r="AQ471" s="166">
        <v>7</v>
      </c>
      <c r="AR471" s="166">
        <v>3</v>
      </c>
      <c r="AS471" s="166">
        <v>4</v>
      </c>
      <c r="AT471" s="166">
        <v>0</v>
      </c>
      <c r="AU471" s="166">
        <v>0</v>
      </c>
      <c r="AV471" s="166">
        <v>0</v>
      </c>
      <c r="AW471" s="166">
        <v>1</v>
      </c>
      <c r="AX471" s="166">
        <v>7</v>
      </c>
      <c r="AY471" s="166">
        <v>0</v>
      </c>
      <c r="AZ471" s="166">
        <v>0</v>
      </c>
      <c r="BA471" s="166">
        <v>0</v>
      </c>
      <c r="BB471" s="166">
        <v>0</v>
      </c>
      <c r="BC471" s="166">
        <v>0</v>
      </c>
      <c r="BD471" s="166">
        <v>0</v>
      </c>
      <c r="BE471" s="166">
        <v>0</v>
      </c>
      <c r="BF471" s="166">
        <v>3</v>
      </c>
      <c r="BG471" s="166">
        <v>4</v>
      </c>
      <c r="BH471" s="166">
        <v>0</v>
      </c>
      <c r="BI471" s="166">
        <v>0</v>
      </c>
      <c r="BJ471" s="166">
        <v>0</v>
      </c>
      <c r="BK471" s="166">
        <v>0</v>
      </c>
      <c r="BL471" s="166">
        <v>0</v>
      </c>
      <c r="BM471" s="166">
        <v>0</v>
      </c>
      <c r="BN471" s="166">
        <v>0</v>
      </c>
      <c r="BO471" s="166">
        <v>0</v>
      </c>
      <c r="BP471" s="166">
        <v>0</v>
      </c>
      <c r="BQ471" s="81" t="s">
        <v>1759</v>
      </c>
      <c r="BS471" s="81" t="s">
        <v>155</v>
      </c>
      <c r="BZ471" s="81" t="s">
        <v>155</v>
      </c>
      <c r="CA471" s="81">
        <v>12</v>
      </c>
      <c r="CC471" s="167">
        <v>0</v>
      </c>
      <c r="CD471" s="167">
        <f>N471</f>
        <v>15</v>
      </c>
      <c r="CE471" s="167">
        <v>0</v>
      </c>
      <c r="CF471" s="167">
        <v>0</v>
      </c>
      <c r="CG471" s="167">
        <v>0</v>
      </c>
      <c r="CH471" s="167">
        <v>0</v>
      </c>
      <c r="CI471" s="167">
        <v>0</v>
      </c>
      <c r="CJ471" s="167">
        <v>0</v>
      </c>
      <c r="CK471" s="167">
        <v>0</v>
      </c>
      <c r="CL471" s="167">
        <v>0</v>
      </c>
      <c r="CM471" s="167">
        <v>0</v>
      </c>
      <c r="CN471" s="167">
        <v>0</v>
      </c>
      <c r="CO471" s="167">
        <v>0</v>
      </c>
      <c r="CP471" s="167">
        <v>0</v>
      </c>
      <c r="CQ471" s="167">
        <v>0</v>
      </c>
      <c r="CR471" s="167">
        <v>0</v>
      </c>
      <c r="CS471" s="167">
        <v>0</v>
      </c>
      <c r="CT471" s="167">
        <v>0</v>
      </c>
      <c r="CU471" s="167">
        <v>0</v>
      </c>
      <c r="CV471" s="167">
        <v>0</v>
      </c>
      <c r="CW471" s="167">
        <v>0</v>
      </c>
      <c r="CX471" s="167">
        <f>SUM(CD471:CH471)</f>
        <v>15</v>
      </c>
      <c r="CY471" s="167">
        <f>SUM(CD471:CM471)</f>
        <v>15</v>
      </c>
    </row>
    <row r="472" spans="1:103" ht="12.75" customHeight="1" x14ac:dyDescent="0.2">
      <c r="A472" s="81">
        <v>4877</v>
      </c>
      <c r="B472" s="165" t="s">
        <v>1908</v>
      </c>
      <c r="C472" s="165" t="s">
        <v>168</v>
      </c>
      <c r="E472" s="165" t="s">
        <v>3356</v>
      </c>
      <c r="G472" s="81">
        <v>527228</v>
      </c>
      <c r="H472" s="81">
        <v>175145</v>
      </c>
      <c r="I472" s="165" t="s">
        <v>255</v>
      </c>
      <c r="J472" s="349">
        <v>42228</v>
      </c>
      <c r="L472" s="166">
        <v>0</v>
      </c>
      <c r="M472" s="166">
        <v>1</v>
      </c>
      <c r="N472" s="166">
        <v>1</v>
      </c>
      <c r="O472" s="166">
        <v>1</v>
      </c>
      <c r="P472" s="166">
        <v>1</v>
      </c>
      <c r="R472" s="165" t="s">
        <v>169</v>
      </c>
      <c r="S472" s="81" t="s">
        <v>113</v>
      </c>
      <c r="T472" s="349">
        <v>41808</v>
      </c>
      <c r="U472" s="349">
        <v>41920</v>
      </c>
      <c r="W472" s="81" t="s">
        <v>114</v>
      </c>
      <c r="Y472" s="81" t="s">
        <v>115</v>
      </c>
      <c r="Z472" s="81" t="s">
        <v>116</v>
      </c>
      <c r="AA472" s="81" t="s">
        <v>117</v>
      </c>
      <c r="AB472" s="81" t="s">
        <v>218</v>
      </c>
      <c r="AC472" s="166">
        <v>1.7999999225139601E-2</v>
      </c>
      <c r="AD472" s="349">
        <v>42228</v>
      </c>
      <c r="AG472" s="81" t="s">
        <v>238</v>
      </c>
      <c r="AH472" s="81" t="s">
        <v>118</v>
      </c>
      <c r="AK472" s="166">
        <v>0</v>
      </c>
      <c r="AM472" s="166">
        <v>0</v>
      </c>
      <c r="AO472" s="166">
        <v>0</v>
      </c>
      <c r="AP472" s="166">
        <v>0</v>
      </c>
      <c r="AQ472" s="166">
        <v>0</v>
      </c>
      <c r="AR472" s="166">
        <v>1</v>
      </c>
      <c r="AS472" s="166">
        <v>0</v>
      </c>
      <c r="AT472" s="166">
        <v>0</v>
      </c>
      <c r="AU472" s="166">
        <v>0</v>
      </c>
      <c r="AV472" s="166">
        <v>0</v>
      </c>
      <c r="AW472" s="166">
        <v>0</v>
      </c>
      <c r="AX472" s="166">
        <v>0</v>
      </c>
      <c r="AY472" s="166">
        <v>0</v>
      </c>
      <c r="AZ472" s="166">
        <v>0</v>
      </c>
      <c r="BA472" s="166">
        <v>0</v>
      </c>
      <c r="BB472" s="166">
        <v>0</v>
      </c>
      <c r="BC472" s="166">
        <v>0</v>
      </c>
      <c r="BD472" s="166">
        <v>0</v>
      </c>
      <c r="BE472" s="166">
        <v>0</v>
      </c>
      <c r="BF472" s="166">
        <v>0</v>
      </c>
      <c r="BG472" s="166">
        <v>0</v>
      </c>
      <c r="BH472" s="166">
        <v>0</v>
      </c>
      <c r="BI472" s="166">
        <v>0</v>
      </c>
      <c r="BJ472" s="166">
        <v>0</v>
      </c>
      <c r="BK472" s="166">
        <v>0</v>
      </c>
      <c r="BL472" s="166">
        <v>0</v>
      </c>
      <c r="BM472" s="166">
        <v>1</v>
      </c>
      <c r="BN472" s="166">
        <v>0</v>
      </c>
      <c r="BO472" s="166">
        <v>0</v>
      </c>
      <c r="BP472" s="166">
        <v>0</v>
      </c>
      <c r="BQ472" s="81" t="s">
        <v>1757</v>
      </c>
      <c r="BZ472" s="81" t="s">
        <v>155</v>
      </c>
      <c r="CA472" s="81" t="s">
        <v>3976</v>
      </c>
      <c r="CC472" s="167">
        <v>0</v>
      </c>
      <c r="CD472" s="167">
        <f>N472</f>
        <v>1</v>
      </c>
      <c r="CE472" s="167">
        <v>0</v>
      </c>
      <c r="CF472" s="167">
        <v>0</v>
      </c>
      <c r="CG472" s="167">
        <v>0</v>
      </c>
      <c r="CH472" s="167">
        <v>0</v>
      </c>
      <c r="CI472" s="167">
        <v>0</v>
      </c>
      <c r="CJ472" s="167">
        <v>0</v>
      </c>
      <c r="CK472" s="167">
        <v>0</v>
      </c>
      <c r="CL472" s="167">
        <v>0</v>
      </c>
      <c r="CM472" s="167">
        <v>0</v>
      </c>
      <c r="CN472" s="167">
        <v>0</v>
      </c>
      <c r="CO472" s="167">
        <v>0</v>
      </c>
      <c r="CP472" s="167">
        <v>0</v>
      </c>
      <c r="CQ472" s="167">
        <v>0</v>
      </c>
      <c r="CR472" s="167">
        <v>0</v>
      </c>
      <c r="CS472" s="167">
        <v>0</v>
      </c>
      <c r="CT472" s="167">
        <v>0</v>
      </c>
      <c r="CU472" s="167">
        <v>0</v>
      </c>
      <c r="CV472" s="167">
        <v>0</v>
      </c>
      <c r="CW472" s="167">
        <v>0</v>
      </c>
      <c r="CX472" s="167">
        <f>SUM(CD472:CH472)</f>
        <v>1</v>
      </c>
      <c r="CY472" s="167">
        <f>SUM(CD472:CM472)</f>
        <v>1</v>
      </c>
    </row>
    <row r="473" spans="1:103" ht="12.75" customHeight="1" x14ac:dyDescent="0.2">
      <c r="A473" s="81">
        <v>4945</v>
      </c>
      <c r="B473" s="165" t="s">
        <v>1908</v>
      </c>
      <c r="C473" s="165" t="s">
        <v>599</v>
      </c>
      <c r="E473" s="165" t="s">
        <v>2541</v>
      </c>
      <c r="G473" s="81">
        <v>528361</v>
      </c>
      <c r="H473" s="81">
        <v>172945</v>
      </c>
      <c r="I473" s="165" t="s">
        <v>248</v>
      </c>
      <c r="J473" s="349">
        <v>43190</v>
      </c>
      <c r="L473" s="166">
        <v>1</v>
      </c>
      <c r="M473" s="166">
        <v>2</v>
      </c>
      <c r="N473" s="166">
        <v>1</v>
      </c>
      <c r="O473" s="166">
        <v>2</v>
      </c>
      <c r="P473" s="166">
        <v>1</v>
      </c>
      <c r="R473" s="165" t="s">
        <v>600</v>
      </c>
      <c r="S473" s="81" t="s">
        <v>113</v>
      </c>
      <c r="T473" s="349">
        <v>42254</v>
      </c>
      <c r="U473" s="349">
        <v>42377</v>
      </c>
      <c r="W473" s="81" t="s">
        <v>114</v>
      </c>
      <c r="Y473" s="81" t="s">
        <v>115</v>
      </c>
      <c r="Z473" s="81" t="s">
        <v>219</v>
      </c>
      <c r="AA473" s="81" t="s">
        <v>117</v>
      </c>
      <c r="AB473" s="81" t="s">
        <v>3889</v>
      </c>
      <c r="AC473" s="166">
        <v>1.7999999225139601E-2</v>
      </c>
      <c r="AD473" s="349">
        <v>43190</v>
      </c>
      <c r="AE473" s="81" t="s">
        <v>155</v>
      </c>
      <c r="AG473" s="81" t="s">
        <v>238</v>
      </c>
      <c r="AH473" s="81" t="s">
        <v>118</v>
      </c>
      <c r="AK473" s="166">
        <v>0</v>
      </c>
      <c r="AM473" s="166">
        <v>0</v>
      </c>
      <c r="AO473" s="166">
        <v>-1</v>
      </c>
      <c r="AP473" s="166">
        <v>2</v>
      </c>
      <c r="AQ473" s="166">
        <v>0</v>
      </c>
      <c r="AR473" s="166">
        <v>0</v>
      </c>
      <c r="AS473" s="166">
        <v>0</v>
      </c>
      <c r="AT473" s="166">
        <v>0</v>
      </c>
      <c r="AU473" s="166">
        <v>0</v>
      </c>
      <c r="AV473" s="166">
        <v>-1</v>
      </c>
      <c r="AW473" s="166">
        <v>2</v>
      </c>
      <c r="AX473" s="166">
        <v>0</v>
      </c>
      <c r="AY473" s="166">
        <v>0</v>
      </c>
      <c r="AZ473" s="166">
        <v>0</v>
      </c>
      <c r="BA473" s="166">
        <v>0</v>
      </c>
      <c r="BB473" s="166">
        <v>0</v>
      </c>
      <c r="BC473" s="166">
        <v>0</v>
      </c>
      <c r="BD473" s="166">
        <v>0</v>
      </c>
      <c r="BE473" s="166">
        <v>0</v>
      </c>
      <c r="BF473" s="166">
        <v>0</v>
      </c>
      <c r="BG473" s="166">
        <v>0</v>
      </c>
      <c r="BH473" s="166">
        <v>0</v>
      </c>
      <c r="BI473" s="166">
        <v>0</v>
      </c>
      <c r="BJ473" s="166">
        <v>0</v>
      </c>
      <c r="BK473" s="166">
        <v>0</v>
      </c>
      <c r="BL473" s="166">
        <v>0</v>
      </c>
      <c r="BM473" s="166">
        <v>0</v>
      </c>
      <c r="BN473" s="166">
        <v>0</v>
      </c>
      <c r="BO473" s="166">
        <v>0</v>
      </c>
      <c r="BP473" s="166">
        <v>0</v>
      </c>
      <c r="BQ473" s="81" t="s">
        <v>1757</v>
      </c>
      <c r="BZ473" s="81" t="s">
        <v>155</v>
      </c>
      <c r="CA473" s="81" t="s">
        <v>3981</v>
      </c>
      <c r="CC473" s="167">
        <v>0</v>
      </c>
      <c r="CD473" s="167">
        <f>$N473/2</f>
        <v>0.5</v>
      </c>
      <c r="CE473" s="167">
        <f>$N473/2</f>
        <v>0.5</v>
      </c>
      <c r="CF473" s="167">
        <v>0</v>
      </c>
      <c r="CG473" s="167">
        <v>0</v>
      </c>
      <c r="CH473" s="167">
        <v>0</v>
      </c>
      <c r="CI473" s="167">
        <v>0</v>
      </c>
      <c r="CJ473" s="167">
        <v>0</v>
      </c>
      <c r="CK473" s="167">
        <v>0</v>
      </c>
      <c r="CL473" s="167">
        <v>0</v>
      </c>
      <c r="CM473" s="167">
        <v>0</v>
      </c>
      <c r="CN473" s="167">
        <v>0</v>
      </c>
      <c r="CO473" s="167">
        <v>0</v>
      </c>
      <c r="CP473" s="167">
        <v>0</v>
      </c>
      <c r="CQ473" s="167">
        <v>0</v>
      </c>
      <c r="CR473" s="167">
        <v>0</v>
      </c>
      <c r="CS473" s="167">
        <v>0</v>
      </c>
      <c r="CT473" s="167">
        <v>0</v>
      </c>
      <c r="CU473" s="167">
        <v>0</v>
      </c>
      <c r="CV473" s="167">
        <v>0</v>
      </c>
      <c r="CW473" s="167">
        <v>0</v>
      </c>
      <c r="CX473" s="167">
        <f>SUM(CD473:CH473)</f>
        <v>1</v>
      </c>
      <c r="CY473" s="167">
        <f>SUM(CD473:CM473)</f>
        <v>1</v>
      </c>
    </row>
    <row r="474" spans="1:103" ht="12.75" customHeight="1" x14ac:dyDescent="0.2">
      <c r="A474" s="81">
        <v>4978</v>
      </c>
      <c r="B474" s="165" t="s">
        <v>1908</v>
      </c>
      <c r="C474" s="165" t="s">
        <v>1011</v>
      </c>
      <c r="E474" s="165" t="s">
        <v>3359</v>
      </c>
      <c r="G474" s="81">
        <v>523988</v>
      </c>
      <c r="H474" s="81">
        <v>175472</v>
      </c>
      <c r="I474" s="165" t="s">
        <v>259</v>
      </c>
      <c r="J474" s="349">
        <v>42825</v>
      </c>
      <c r="L474" s="166">
        <v>0</v>
      </c>
      <c r="M474" s="166">
        <v>6</v>
      </c>
      <c r="N474" s="166">
        <v>6</v>
      </c>
      <c r="O474" s="166">
        <v>6</v>
      </c>
      <c r="P474" s="166">
        <v>6</v>
      </c>
      <c r="R474" s="165" t="s">
        <v>1012</v>
      </c>
      <c r="S474" s="81" t="s">
        <v>113</v>
      </c>
      <c r="T474" s="349">
        <v>42529</v>
      </c>
      <c r="U474" s="349">
        <v>42628</v>
      </c>
      <c r="W474" s="81" t="s">
        <v>114</v>
      </c>
      <c r="Y474" s="81" t="s">
        <v>115</v>
      </c>
      <c r="Z474" s="81" t="s">
        <v>116</v>
      </c>
      <c r="AA474" s="81" t="s">
        <v>117</v>
      </c>
      <c r="AB474" s="81" t="s">
        <v>218</v>
      </c>
      <c r="AC474" s="166">
        <v>6.1000000685453401E-2</v>
      </c>
      <c r="AD474" s="349">
        <v>42825</v>
      </c>
      <c r="AG474" s="81" t="s">
        <v>238</v>
      </c>
      <c r="AH474" s="81" t="s">
        <v>118</v>
      </c>
      <c r="AK474" s="166">
        <v>6</v>
      </c>
      <c r="AM474" s="166">
        <v>2</v>
      </c>
      <c r="AO474" s="166">
        <v>0</v>
      </c>
      <c r="AP474" s="166">
        <v>0</v>
      </c>
      <c r="AQ474" s="166">
        <v>6</v>
      </c>
      <c r="AR474" s="166">
        <v>0</v>
      </c>
      <c r="AS474" s="166">
        <v>0</v>
      </c>
      <c r="AT474" s="166">
        <v>0</v>
      </c>
      <c r="AU474" s="166">
        <v>0</v>
      </c>
      <c r="AV474" s="166">
        <v>0</v>
      </c>
      <c r="AW474" s="166">
        <v>0</v>
      </c>
      <c r="AX474" s="166">
        <v>6</v>
      </c>
      <c r="AY474" s="166">
        <v>0</v>
      </c>
      <c r="AZ474" s="166">
        <v>0</v>
      </c>
      <c r="BA474" s="166">
        <v>0</v>
      </c>
      <c r="BB474" s="166">
        <v>0</v>
      </c>
      <c r="BC474" s="166">
        <v>0</v>
      </c>
      <c r="BD474" s="166">
        <v>0</v>
      </c>
      <c r="BE474" s="166">
        <v>0</v>
      </c>
      <c r="BF474" s="166">
        <v>0</v>
      </c>
      <c r="BG474" s="166">
        <v>0</v>
      </c>
      <c r="BH474" s="166">
        <v>0</v>
      </c>
      <c r="BI474" s="166">
        <v>0</v>
      </c>
      <c r="BJ474" s="166">
        <v>0</v>
      </c>
      <c r="BK474" s="166">
        <v>0</v>
      </c>
      <c r="BL474" s="166">
        <v>0</v>
      </c>
      <c r="BM474" s="166">
        <v>0</v>
      </c>
      <c r="BN474" s="166">
        <v>0</v>
      </c>
      <c r="BO474" s="166">
        <v>0</v>
      </c>
      <c r="BP474" s="166">
        <v>0</v>
      </c>
      <c r="BQ474" s="81" t="s">
        <v>1758</v>
      </c>
      <c r="BR474" s="81" t="s">
        <v>161</v>
      </c>
      <c r="BZ474" s="81" t="s">
        <v>155</v>
      </c>
      <c r="CA474" s="81" t="s">
        <v>3976</v>
      </c>
      <c r="CC474" s="167">
        <v>0</v>
      </c>
      <c r="CD474" s="167">
        <f>N474</f>
        <v>6</v>
      </c>
      <c r="CE474" s="167">
        <v>0</v>
      </c>
      <c r="CF474" s="167">
        <v>0</v>
      </c>
      <c r="CG474" s="167">
        <v>0</v>
      </c>
      <c r="CH474" s="167">
        <v>0</v>
      </c>
      <c r="CI474" s="167">
        <v>0</v>
      </c>
      <c r="CJ474" s="167">
        <v>0</v>
      </c>
      <c r="CK474" s="167">
        <v>0</v>
      </c>
      <c r="CL474" s="167">
        <v>0</v>
      </c>
      <c r="CM474" s="167">
        <v>0</v>
      </c>
      <c r="CN474" s="167">
        <v>0</v>
      </c>
      <c r="CO474" s="167">
        <v>0</v>
      </c>
      <c r="CP474" s="167">
        <v>0</v>
      </c>
      <c r="CQ474" s="167">
        <v>0</v>
      </c>
      <c r="CR474" s="167">
        <v>0</v>
      </c>
      <c r="CS474" s="167">
        <v>0</v>
      </c>
      <c r="CT474" s="167">
        <v>0</v>
      </c>
      <c r="CU474" s="167">
        <v>0</v>
      </c>
      <c r="CV474" s="167">
        <v>0</v>
      </c>
      <c r="CW474" s="167">
        <v>0</v>
      </c>
      <c r="CX474" s="167">
        <f>SUM(CD474:CH474)</f>
        <v>6</v>
      </c>
      <c r="CY474" s="167">
        <f>SUM(CD474:CM474)</f>
        <v>6</v>
      </c>
    </row>
    <row r="475" spans="1:103" ht="12.75" customHeight="1" x14ac:dyDescent="0.2">
      <c r="A475" s="81">
        <v>5109</v>
      </c>
      <c r="B475" s="165" t="s">
        <v>1908</v>
      </c>
      <c r="C475" s="165" t="s">
        <v>1439</v>
      </c>
      <c r="E475" s="165" t="s">
        <v>3360</v>
      </c>
      <c r="G475" s="81">
        <v>527405</v>
      </c>
      <c r="H475" s="81">
        <v>171440</v>
      </c>
      <c r="I475" s="165" t="s">
        <v>242</v>
      </c>
      <c r="J475" s="349">
        <v>43190</v>
      </c>
      <c r="L475" s="166">
        <v>0</v>
      </c>
      <c r="M475" s="166">
        <v>1</v>
      </c>
      <c r="N475" s="166">
        <v>1</v>
      </c>
      <c r="O475" s="166">
        <v>1</v>
      </c>
      <c r="P475" s="166">
        <v>1</v>
      </c>
      <c r="R475" s="165" t="s">
        <v>1440</v>
      </c>
      <c r="S475" s="81" t="s">
        <v>113</v>
      </c>
      <c r="T475" s="349">
        <v>42646</v>
      </c>
      <c r="U475" s="349">
        <v>42702</v>
      </c>
      <c r="W475" s="81" t="s">
        <v>114</v>
      </c>
      <c r="Y475" s="81" t="s">
        <v>115</v>
      </c>
      <c r="Z475" s="81" t="s">
        <v>116</v>
      </c>
      <c r="AA475" s="81" t="s">
        <v>117</v>
      </c>
      <c r="AB475" s="81" t="s">
        <v>218</v>
      </c>
      <c r="AC475" s="166">
        <v>2.5000000372528999E-2</v>
      </c>
      <c r="AD475" s="349">
        <v>43190</v>
      </c>
      <c r="AE475" s="81" t="s">
        <v>155</v>
      </c>
      <c r="AG475" s="81" t="s">
        <v>238</v>
      </c>
      <c r="AH475" s="81" t="s">
        <v>118</v>
      </c>
      <c r="AK475" s="166">
        <v>1</v>
      </c>
      <c r="AM475" s="166">
        <v>0</v>
      </c>
      <c r="AO475" s="166">
        <v>0</v>
      </c>
      <c r="AP475" s="166">
        <v>1</v>
      </c>
      <c r="AQ475" s="166">
        <v>0</v>
      </c>
      <c r="AR475" s="166">
        <v>0</v>
      </c>
      <c r="AS475" s="166">
        <v>0</v>
      </c>
      <c r="AT475" s="166">
        <v>0</v>
      </c>
      <c r="AU475" s="166">
        <v>0</v>
      </c>
      <c r="AV475" s="166">
        <v>0</v>
      </c>
      <c r="AW475" s="166">
        <v>0</v>
      </c>
      <c r="AX475" s="166">
        <v>0</v>
      </c>
      <c r="AY475" s="166">
        <v>0</v>
      </c>
      <c r="AZ475" s="166">
        <v>0</v>
      </c>
      <c r="BA475" s="166">
        <v>0</v>
      </c>
      <c r="BB475" s="166">
        <v>0</v>
      </c>
      <c r="BC475" s="166">
        <v>0</v>
      </c>
      <c r="BD475" s="166">
        <v>1</v>
      </c>
      <c r="BE475" s="166">
        <v>0</v>
      </c>
      <c r="BF475" s="166">
        <v>0</v>
      </c>
      <c r="BG475" s="166">
        <v>0</v>
      </c>
      <c r="BH475" s="166">
        <v>0</v>
      </c>
      <c r="BI475" s="166">
        <v>0</v>
      </c>
      <c r="BJ475" s="166">
        <v>0</v>
      </c>
      <c r="BK475" s="166">
        <v>0</v>
      </c>
      <c r="BL475" s="166">
        <v>0</v>
      </c>
      <c r="BM475" s="166">
        <v>0</v>
      </c>
      <c r="BN475" s="166">
        <v>0</v>
      </c>
      <c r="BO475" s="166">
        <v>0</v>
      </c>
      <c r="BP475" s="166">
        <v>0</v>
      </c>
      <c r="BQ475" s="81" t="s">
        <v>1757</v>
      </c>
      <c r="BR475" s="81" t="s">
        <v>242</v>
      </c>
      <c r="BZ475" s="81" t="s">
        <v>155</v>
      </c>
      <c r="CA475" s="81" t="s">
        <v>3977</v>
      </c>
      <c r="CC475" s="167">
        <v>0</v>
      </c>
      <c r="CD475" s="167">
        <f>$N475/2</f>
        <v>0.5</v>
      </c>
      <c r="CE475" s="167">
        <f>$N475/2</f>
        <v>0.5</v>
      </c>
      <c r="CF475" s="167">
        <v>0</v>
      </c>
      <c r="CG475" s="167">
        <v>0</v>
      </c>
      <c r="CH475" s="167">
        <v>0</v>
      </c>
      <c r="CI475" s="167">
        <v>0</v>
      </c>
      <c r="CJ475" s="167">
        <v>0</v>
      </c>
      <c r="CK475" s="167">
        <v>0</v>
      </c>
      <c r="CL475" s="167">
        <v>0</v>
      </c>
      <c r="CM475" s="167">
        <v>0</v>
      </c>
      <c r="CN475" s="167">
        <v>0</v>
      </c>
      <c r="CO475" s="167">
        <v>0</v>
      </c>
      <c r="CP475" s="167">
        <v>0</v>
      </c>
      <c r="CQ475" s="167">
        <v>0</v>
      </c>
      <c r="CR475" s="167">
        <v>0</v>
      </c>
      <c r="CS475" s="167">
        <v>0</v>
      </c>
      <c r="CT475" s="167">
        <v>0</v>
      </c>
      <c r="CU475" s="167">
        <v>0</v>
      </c>
      <c r="CV475" s="167">
        <v>0</v>
      </c>
      <c r="CW475" s="167">
        <v>0</v>
      </c>
      <c r="CX475" s="167">
        <f>SUM(CD475:CH475)</f>
        <v>1</v>
      </c>
      <c r="CY475" s="167">
        <f>SUM(CD475:CM475)</f>
        <v>1</v>
      </c>
    </row>
    <row r="476" spans="1:103" ht="12.75" customHeight="1" x14ac:dyDescent="0.2">
      <c r="A476" s="81">
        <v>5113</v>
      </c>
      <c r="B476" s="165" t="s">
        <v>1908</v>
      </c>
      <c r="C476" s="165" t="s">
        <v>124</v>
      </c>
      <c r="E476" s="165" t="s">
        <v>3361</v>
      </c>
      <c r="G476" s="81">
        <v>527175</v>
      </c>
      <c r="H476" s="81">
        <v>173907</v>
      </c>
      <c r="I476" s="165" t="s">
        <v>260</v>
      </c>
      <c r="J476" s="349">
        <v>42339</v>
      </c>
      <c r="L476" s="166">
        <v>6</v>
      </c>
      <c r="M476" s="166">
        <v>3</v>
      </c>
      <c r="N476" s="166">
        <v>-3</v>
      </c>
      <c r="O476" s="166">
        <v>3</v>
      </c>
      <c r="P476" s="166">
        <v>-3</v>
      </c>
      <c r="R476" s="165" t="s">
        <v>125</v>
      </c>
      <c r="S476" s="81" t="s">
        <v>113</v>
      </c>
      <c r="T476" s="349">
        <v>41162</v>
      </c>
      <c r="U476" s="349">
        <v>41318</v>
      </c>
      <c r="W476" s="81" t="s">
        <v>114</v>
      </c>
      <c r="Y476" s="81" t="s">
        <v>115</v>
      </c>
      <c r="Z476" s="81" t="s">
        <v>116</v>
      </c>
      <c r="AA476" s="81" t="s">
        <v>117</v>
      </c>
      <c r="AB476" s="81" t="s">
        <v>218</v>
      </c>
      <c r="AC476" s="166">
        <v>7.9000003635883304E-2</v>
      </c>
      <c r="AD476" s="349">
        <v>42339</v>
      </c>
      <c r="AG476" s="81" t="s">
        <v>238</v>
      </c>
      <c r="AH476" s="81" t="s">
        <v>118</v>
      </c>
      <c r="AK476" s="166">
        <v>3</v>
      </c>
      <c r="AM476" s="166">
        <v>0</v>
      </c>
      <c r="AO476" s="166">
        <v>0</v>
      </c>
      <c r="AP476" s="166">
        <v>0</v>
      </c>
      <c r="AQ476" s="166">
        <v>-6</v>
      </c>
      <c r="AR476" s="166">
        <v>0</v>
      </c>
      <c r="AS476" s="166">
        <v>0</v>
      </c>
      <c r="AT476" s="166">
        <v>3</v>
      </c>
      <c r="AU476" s="166">
        <v>0</v>
      </c>
      <c r="AV476" s="166">
        <v>0</v>
      </c>
      <c r="AW476" s="166">
        <v>0</v>
      </c>
      <c r="AX476" s="166">
        <v>-6</v>
      </c>
      <c r="AY476" s="166">
        <v>0</v>
      </c>
      <c r="AZ476" s="166">
        <v>0</v>
      </c>
      <c r="BA476" s="166">
        <v>0</v>
      </c>
      <c r="BB476" s="166">
        <v>0</v>
      </c>
      <c r="BC476" s="166">
        <v>0</v>
      </c>
      <c r="BD476" s="166">
        <v>0</v>
      </c>
      <c r="BE476" s="166">
        <v>0</v>
      </c>
      <c r="BF476" s="166">
        <v>0</v>
      </c>
      <c r="BG476" s="166">
        <v>0</v>
      </c>
      <c r="BH476" s="166">
        <v>3</v>
      </c>
      <c r="BI476" s="166">
        <v>0</v>
      </c>
      <c r="BJ476" s="166">
        <v>0</v>
      </c>
      <c r="BK476" s="166">
        <v>0</v>
      </c>
      <c r="BL476" s="166">
        <v>0</v>
      </c>
      <c r="BM476" s="166">
        <v>0</v>
      </c>
      <c r="BN476" s="166">
        <v>0</v>
      </c>
      <c r="BO476" s="166">
        <v>0</v>
      </c>
      <c r="BP476" s="166">
        <v>0</v>
      </c>
      <c r="BQ476" s="81" t="s">
        <v>1758</v>
      </c>
      <c r="BZ476" s="81" t="s">
        <v>155</v>
      </c>
      <c r="CA476" s="81" t="s">
        <v>3976</v>
      </c>
      <c r="CC476" s="167">
        <v>0</v>
      </c>
      <c r="CD476" s="167">
        <f>N476</f>
        <v>-3</v>
      </c>
      <c r="CE476" s="167">
        <v>0</v>
      </c>
      <c r="CF476" s="167">
        <v>0</v>
      </c>
      <c r="CG476" s="167">
        <v>0</v>
      </c>
      <c r="CH476" s="167">
        <v>0</v>
      </c>
      <c r="CI476" s="167">
        <v>0</v>
      </c>
      <c r="CJ476" s="167">
        <v>0</v>
      </c>
      <c r="CK476" s="167">
        <v>0</v>
      </c>
      <c r="CL476" s="167">
        <v>0</v>
      </c>
      <c r="CM476" s="167">
        <v>0</v>
      </c>
      <c r="CN476" s="167">
        <v>0</v>
      </c>
      <c r="CO476" s="167">
        <v>0</v>
      </c>
      <c r="CP476" s="167">
        <v>0</v>
      </c>
      <c r="CQ476" s="167">
        <v>0</v>
      </c>
      <c r="CR476" s="167">
        <v>0</v>
      </c>
      <c r="CS476" s="167">
        <v>0</v>
      </c>
      <c r="CT476" s="167">
        <v>0</v>
      </c>
      <c r="CU476" s="167">
        <v>0</v>
      </c>
      <c r="CV476" s="167">
        <v>0</v>
      </c>
      <c r="CW476" s="167">
        <v>0</v>
      </c>
      <c r="CX476" s="167">
        <f>SUM(CD476:CH476)</f>
        <v>-3</v>
      </c>
      <c r="CY476" s="167">
        <f>SUM(CD476:CM476)</f>
        <v>-3</v>
      </c>
    </row>
    <row r="477" spans="1:103" ht="12.75" customHeight="1" x14ac:dyDescent="0.2">
      <c r="A477" s="81">
        <v>5114</v>
      </c>
      <c r="B477" s="165" t="s">
        <v>1908</v>
      </c>
      <c r="C477" s="165" t="s">
        <v>995</v>
      </c>
      <c r="D477" s="165" t="s">
        <v>289</v>
      </c>
      <c r="E477" s="165" t="s">
        <v>3362</v>
      </c>
      <c r="G477" s="81">
        <v>527786</v>
      </c>
      <c r="H477" s="81">
        <v>171065</v>
      </c>
      <c r="I477" s="165" t="s">
        <v>253</v>
      </c>
      <c r="J477" s="349">
        <v>42825</v>
      </c>
      <c r="L477" s="166">
        <v>0</v>
      </c>
      <c r="M477" s="166">
        <v>9</v>
      </c>
      <c r="N477" s="166">
        <v>9</v>
      </c>
      <c r="O477" s="166">
        <v>9</v>
      </c>
      <c r="P477" s="166">
        <v>9</v>
      </c>
      <c r="R477" s="165" t="s">
        <v>996</v>
      </c>
      <c r="S477" s="81" t="s">
        <v>113</v>
      </c>
      <c r="T477" s="349">
        <v>42474</v>
      </c>
      <c r="U477" s="349">
        <v>42599</v>
      </c>
      <c r="W477" s="81" t="s">
        <v>114</v>
      </c>
      <c r="Y477" s="81" t="s">
        <v>115</v>
      </c>
      <c r="Z477" s="81" t="s">
        <v>116</v>
      </c>
      <c r="AA477" s="81" t="s">
        <v>117</v>
      </c>
      <c r="AB477" s="81" t="s">
        <v>218</v>
      </c>
      <c r="AC477" s="166">
        <v>4.3000001460313797E-2</v>
      </c>
      <c r="AD477" s="349">
        <v>42825</v>
      </c>
      <c r="AG477" s="81" t="s">
        <v>238</v>
      </c>
      <c r="AH477" s="81" t="s">
        <v>118</v>
      </c>
      <c r="AK477" s="166">
        <v>9</v>
      </c>
      <c r="AM477" s="166">
        <v>0</v>
      </c>
      <c r="AO477" s="166">
        <v>0</v>
      </c>
      <c r="AP477" s="166">
        <v>2</v>
      </c>
      <c r="AQ477" s="166">
        <v>5</v>
      </c>
      <c r="AR477" s="166">
        <v>2</v>
      </c>
      <c r="AS477" s="166">
        <v>0</v>
      </c>
      <c r="AT477" s="166">
        <v>0</v>
      </c>
      <c r="AU477" s="166">
        <v>0</v>
      </c>
      <c r="AV477" s="166">
        <v>0</v>
      </c>
      <c r="AW477" s="166">
        <v>2</v>
      </c>
      <c r="AX477" s="166">
        <v>5</v>
      </c>
      <c r="AY477" s="166">
        <v>2</v>
      </c>
      <c r="AZ477" s="166">
        <v>0</v>
      </c>
      <c r="BA477" s="166">
        <v>0</v>
      </c>
      <c r="BB477" s="166">
        <v>0</v>
      </c>
      <c r="BC477" s="166">
        <v>0</v>
      </c>
      <c r="BD477" s="166">
        <v>0</v>
      </c>
      <c r="BE477" s="166">
        <v>0</v>
      </c>
      <c r="BF477" s="166">
        <v>0</v>
      </c>
      <c r="BG477" s="166">
        <v>0</v>
      </c>
      <c r="BH477" s="166">
        <v>0</v>
      </c>
      <c r="BI477" s="166">
        <v>0</v>
      </c>
      <c r="BJ477" s="166">
        <v>0</v>
      </c>
      <c r="BK477" s="166">
        <v>0</v>
      </c>
      <c r="BL477" s="166">
        <v>0</v>
      </c>
      <c r="BM477" s="166">
        <v>0</v>
      </c>
      <c r="BN477" s="166">
        <v>0</v>
      </c>
      <c r="BO477" s="166">
        <v>0</v>
      </c>
      <c r="BP477" s="166">
        <v>0</v>
      </c>
      <c r="BQ477" s="81" t="s">
        <v>1757</v>
      </c>
      <c r="BR477" s="81" t="s">
        <v>242</v>
      </c>
      <c r="BZ477" s="81" t="s">
        <v>155</v>
      </c>
      <c r="CA477" s="81" t="s">
        <v>3976</v>
      </c>
      <c r="CC477" s="167">
        <v>0</v>
      </c>
      <c r="CD477" s="167">
        <f>N477</f>
        <v>9</v>
      </c>
      <c r="CE477" s="167">
        <v>0</v>
      </c>
      <c r="CF477" s="167">
        <v>0</v>
      </c>
      <c r="CG477" s="167">
        <v>0</v>
      </c>
      <c r="CH477" s="167">
        <v>0</v>
      </c>
      <c r="CI477" s="167">
        <v>0</v>
      </c>
      <c r="CJ477" s="167">
        <v>0</v>
      </c>
      <c r="CK477" s="167">
        <v>0</v>
      </c>
      <c r="CL477" s="167">
        <v>0</v>
      </c>
      <c r="CM477" s="167">
        <v>0</v>
      </c>
      <c r="CN477" s="167">
        <v>0</v>
      </c>
      <c r="CO477" s="167">
        <v>0</v>
      </c>
      <c r="CP477" s="167">
        <v>0</v>
      </c>
      <c r="CQ477" s="167">
        <v>0</v>
      </c>
      <c r="CR477" s="167">
        <v>0</v>
      </c>
      <c r="CS477" s="167">
        <v>0</v>
      </c>
      <c r="CT477" s="167">
        <v>0</v>
      </c>
      <c r="CU477" s="167">
        <v>0</v>
      </c>
      <c r="CV477" s="167">
        <v>0</v>
      </c>
      <c r="CW477" s="167">
        <v>0</v>
      </c>
      <c r="CX477" s="167">
        <f>SUM(CD477:CH477)</f>
        <v>9</v>
      </c>
      <c r="CY477" s="167">
        <f>SUM(CD477:CM477)</f>
        <v>9</v>
      </c>
    </row>
    <row r="478" spans="1:103" ht="12.75" customHeight="1" x14ac:dyDescent="0.2">
      <c r="A478" s="81">
        <v>5181</v>
      </c>
      <c r="B478" s="165" t="s">
        <v>1908</v>
      </c>
      <c r="C478" s="165" t="s">
        <v>301</v>
      </c>
      <c r="E478" s="165" t="s">
        <v>3529</v>
      </c>
      <c r="G478" s="81">
        <v>524012</v>
      </c>
      <c r="H478" s="81">
        <v>175048</v>
      </c>
      <c r="I478" s="165" t="s">
        <v>259</v>
      </c>
      <c r="J478" s="349">
        <v>41612</v>
      </c>
      <c r="L478" s="166">
        <v>0</v>
      </c>
      <c r="M478" s="166">
        <v>4</v>
      </c>
      <c r="N478" s="166">
        <v>4</v>
      </c>
      <c r="O478" s="166">
        <v>4</v>
      </c>
      <c r="P478" s="166">
        <v>4</v>
      </c>
      <c r="R478" s="165" t="s">
        <v>742</v>
      </c>
      <c r="S478" s="81" t="s">
        <v>113</v>
      </c>
      <c r="T478" s="349">
        <v>41323</v>
      </c>
      <c r="U478" s="349">
        <v>41404</v>
      </c>
      <c r="W478" s="81" t="s">
        <v>114</v>
      </c>
      <c r="Y478" s="81" t="s">
        <v>115</v>
      </c>
      <c r="Z478" s="81" t="s">
        <v>398</v>
      </c>
      <c r="AA478" s="81" t="s">
        <v>117</v>
      </c>
      <c r="AB478" s="81" t="s">
        <v>399</v>
      </c>
      <c r="AC478" s="166">
        <v>8.0000003799796104E-3</v>
      </c>
      <c r="AD478" s="349">
        <v>41612</v>
      </c>
      <c r="AG478" s="81" t="s">
        <v>238</v>
      </c>
      <c r="AH478" s="81" t="s">
        <v>118</v>
      </c>
      <c r="AK478" s="166">
        <v>0</v>
      </c>
      <c r="AM478" s="166">
        <v>0</v>
      </c>
      <c r="AO478" s="166">
        <v>1</v>
      </c>
      <c r="AP478" s="166">
        <v>3</v>
      </c>
      <c r="AQ478" s="166">
        <v>0</v>
      </c>
      <c r="AR478" s="166">
        <v>0</v>
      </c>
      <c r="AS478" s="166">
        <v>0</v>
      </c>
      <c r="AT478" s="166">
        <v>0</v>
      </c>
      <c r="AU478" s="166">
        <v>0</v>
      </c>
      <c r="AV478" s="166">
        <v>1</v>
      </c>
      <c r="AW478" s="166">
        <v>3</v>
      </c>
      <c r="AX478" s="166">
        <v>0</v>
      </c>
      <c r="AY478" s="166">
        <v>0</v>
      </c>
      <c r="AZ478" s="166">
        <v>0</v>
      </c>
      <c r="BA478" s="166">
        <v>0</v>
      </c>
      <c r="BB478" s="166">
        <v>0</v>
      </c>
      <c r="BC478" s="166">
        <v>0</v>
      </c>
      <c r="BD478" s="166">
        <v>0</v>
      </c>
      <c r="BE478" s="166">
        <v>0</v>
      </c>
      <c r="BF478" s="166">
        <v>0</v>
      </c>
      <c r="BG478" s="166">
        <v>0</v>
      </c>
      <c r="BH478" s="166">
        <v>0</v>
      </c>
      <c r="BI478" s="166">
        <v>0</v>
      </c>
      <c r="BJ478" s="166">
        <v>0</v>
      </c>
      <c r="BK478" s="166">
        <v>0</v>
      </c>
      <c r="BL478" s="166">
        <v>0</v>
      </c>
      <c r="BM478" s="166">
        <v>0</v>
      </c>
      <c r="BN478" s="166">
        <v>0</v>
      </c>
      <c r="BO478" s="166">
        <v>0</v>
      </c>
      <c r="BP478" s="166">
        <v>0</v>
      </c>
      <c r="BQ478" s="81" t="s">
        <v>1758</v>
      </c>
      <c r="BR478" s="81" t="s">
        <v>161</v>
      </c>
      <c r="BV478" s="81" t="s">
        <v>155</v>
      </c>
      <c r="BZ478" s="81" t="s">
        <v>155</v>
      </c>
      <c r="CA478" s="81" t="s">
        <v>3980</v>
      </c>
      <c r="CC478" s="167">
        <v>0</v>
      </c>
      <c r="CD478" s="167">
        <f>N478</f>
        <v>4</v>
      </c>
      <c r="CE478" s="167">
        <v>0</v>
      </c>
      <c r="CF478" s="167">
        <v>0</v>
      </c>
      <c r="CG478" s="167">
        <v>0</v>
      </c>
      <c r="CH478" s="167">
        <v>0</v>
      </c>
      <c r="CI478" s="167">
        <v>0</v>
      </c>
      <c r="CJ478" s="167">
        <v>0</v>
      </c>
      <c r="CK478" s="167">
        <v>0</v>
      </c>
      <c r="CL478" s="167">
        <v>0</v>
      </c>
      <c r="CM478" s="167">
        <v>0</v>
      </c>
      <c r="CN478" s="167">
        <v>0</v>
      </c>
      <c r="CO478" s="167">
        <v>0</v>
      </c>
      <c r="CP478" s="167">
        <v>0</v>
      </c>
      <c r="CQ478" s="167">
        <v>0</v>
      </c>
      <c r="CR478" s="167">
        <v>0</v>
      </c>
      <c r="CS478" s="167">
        <v>0</v>
      </c>
      <c r="CT478" s="167">
        <v>0</v>
      </c>
      <c r="CU478" s="167">
        <v>0</v>
      </c>
      <c r="CV478" s="167">
        <v>0</v>
      </c>
      <c r="CW478" s="167">
        <v>0</v>
      </c>
      <c r="CX478" s="167">
        <f>SUM(CD478:CH478)</f>
        <v>4</v>
      </c>
      <c r="CY478" s="167">
        <f>SUM(CD478:CM478)</f>
        <v>4</v>
      </c>
    </row>
    <row r="479" spans="1:103" x14ac:dyDescent="0.2">
      <c r="A479" s="81">
        <v>5195</v>
      </c>
      <c r="B479" s="165" t="s">
        <v>1908</v>
      </c>
      <c r="C479" s="165" t="s">
        <v>223</v>
      </c>
      <c r="D479" s="165" t="s">
        <v>64</v>
      </c>
      <c r="E479" s="165" t="s">
        <v>3363</v>
      </c>
      <c r="G479" s="81">
        <v>523820</v>
      </c>
      <c r="H479" s="81">
        <v>173605</v>
      </c>
      <c r="I479" s="165" t="s">
        <v>111</v>
      </c>
      <c r="J479" s="349">
        <v>42522</v>
      </c>
      <c r="L479" s="166">
        <v>0</v>
      </c>
      <c r="M479" s="166">
        <v>110</v>
      </c>
      <c r="N479" s="166">
        <v>110</v>
      </c>
      <c r="O479" s="166">
        <v>110</v>
      </c>
      <c r="P479" s="166">
        <v>110</v>
      </c>
      <c r="Q479" s="81" t="s">
        <v>155</v>
      </c>
      <c r="R479" s="165" t="s">
        <v>882</v>
      </c>
      <c r="S479" s="81" t="s">
        <v>104</v>
      </c>
      <c r="T479" s="349">
        <v>41423</v>
      </c>
      <c r="U479" s="349">
        <v>41569</v>
      </c>
      <c r="W479" s="81" t="s">
        <v>114</v>
      </c>
      <c r="Y479" s="81" t="s">
        <v>115</v>
      </c>
      <c r="Z479" s="81" t="s">
        <v>116</v>
      </c>
      <c r="AA479" s="81" t="s">
        <v>116</v>
      </c>
      <c r="AB479" s="81" t="s">
        <v>117</v>
      </c>
      <c r="AC479" s="166">
        <v>1.2489999532699601</v>
      </c>
      <c r="AD479" s="349">
        <v>42522</v>
      </c>
      <c r="AG479" s="81" t="s">
        <v>238</v>
      </c>
      <c r="AH479" s="81" t="s">
        <v>118</v>
      </c>
      <c r="AK479" s="166">
        <v>110</v>
      </c>
      <c r="AL479" s="166">
        <v>99</v>
      </c>
      <c r="AM479" s="166">
        <v>11</v>
      </c>
      <c r="AN479" s="166">
        <v>11</v>
      </c>
      <c r="AO479" s="166">
        <v>0</v>
      </c>
      <c r="AP479" s="166">
        <v>19</v>
      </c>
      <c r="AQ479" s="166">
        <v>30</v>
      </c>
      <c r="AR479" s="166">
        <v>26</v>
      </c>
      <c r="AS479" s="166">
        <v>35</v>
      </c>
      <c r="AT479" s="166">
        <v>0</v>
      </c>
      <c r="AU479" s="166">
        <v>0</v>
      </c>
      <c r="AV479" s="166">
        <v>0</v>
      </c>
      <c r="AW479" s="166">
        <v>19</v>
      </c>
      <c r="AX479" s="166">
        <v>30</v>
      </c>
      <c r="AY479" s="166">
        <v>6</v>
      </c>
      <c r="AZ479" s="166">
        <v>0</v>
      </c>
      <c r="BA479" s="166">
        <v>0</v>
      </c>
      <c r="BB479" s="166">
        <v>0</v>
      </c>
      <c r="BC479" s="166">
        <v>0</v>
      </c>
      <c r="BD479" s="166">
        <v>0</v>
      </c>
      <c r="BE479" s="166">
        <v>0</v>
      </c>
      <c r="BF479" s="166">
        <v>20</v>
      </c>
      <c r="BG479" s="166">
        <v>35</v>
      </c>
      <c r="BH479" s="166">
        <v>0</v>
      </c>
      <c r="BI479" s="166">
        <v>0</v>
      </c>
      <c r="BJ479" s="166">
        <v>0</v>
      </c>
      <c r="BK479" s="166">
        <v>0</v>
      </c>
      <c r="BL479" s="166">
        <v>0</v>
      </c>
      <c r="BM479" s="166">
        <v>0</v>
      </c>
      <c r="BN479" s="166">
        <v>0</v>
      </c>
      <c r="BO479" s="166">
        <v>0</v>
      </c>
      <c r="BP479" s="166">
        <v>0</v>
      </c>
      <c r="BQ479" s="81" t="s">
        <v>1758</v>
      </c>
      <c r="BZ479" s="81" t="s">
        <v>155</v>
      </c>
      <c r="CA479" s="81" t="s">
        <v>3934</v>
      </c>
      <c r="CC479" s="167">
        <v>0</v>
      </c>
      <c r="CD479" s="167">
        <v>0</v>
      </c>
      <c r="CE479" s="167">
        <f>N479</f>
        <v>110</v>
      </c>
      <c r="CF479" s="167">
        <v>0</v>
      </c>
      <c r="CG479" s="167">
        <v>0</v>
      </c>
      <c r="CH479" s="167">
        <v>0</v>
      </c>
      <c r="CI479" s="167">
        <v>0</v>
      </c>
      <c r="CJ479" s="167">
        <v>0</v>
      </c>
      <c r="CK479" s="167">
        <v>0</v>
      </c>
      <c r="CL479" s="167">
        <v>0</v>
      </c>
      <c r="CM479" s="167">
        <v>0</v>
      </c>
      <c r="CN479" s="167">
        <v>0</v>
      </c>
      <c r="CO479" s="167">
        <v>0</v>
      </c>
      <c r="CP479" s="167">
        <v>0</v>
      </c>
      <c r="CQ479" s="167">
        <v>0</v>
      </c>
      <c r="CR479" s="167">
        <v>0</v>
      </c>
      <c r="CS479" s="167">
        <v>0</v>
      </c>
      <c r="CT479" s="167">
        <v>0</v>
      </c>
      <c r="CU479" s="167">
        <v>0</v>
      </c>
      <c r="CV479" s="167">
        <v>0</v>
      </c>
      <c r="CW479" s="167">
        <v>0</v>
      </c>
      <c r="CX479" s="167">
        <f>SUM(CD479:CH479)</f>
        <v>110</v>
      </c>
      <c r="CY479" s="167">
        <f>SUM(CD479:CM479)</f>
        <v>110</v>
      </c>
    </row>
    <row r="480" spans="1:103" ht="12.75" customHeight="1" x14ac:dyDescent="0.2">
      <c r="A480" s="81">
        <v>5215</v>
      </c>
      <c r="B480" s="165" t="s">
        <v>1908</v>
      </c>
      <c r="C480" s="165" t="s">
        <v>3365</v>
      </c>
      <c r="E480" s="165" t="s">
        <v>3366</v>
      </c>
      <c r="G480" s="81">
        <v>528754</v>
      </c>
      <c r="H480" s="81">
        <v>173676</v>
      </c>
      <c r="I480" s="165" t="s">
        <v>247</v>
      </c>
      <c r="J480" s="349">
        <v>43190</v>
      </c>
      <c r="L480" s="166">
        <v>0</v>
      </c>
      <c r="M480" s="166">
        <v>1</v>
      </c>
      <c r="N480" s="166">
        <v>1</v>
      </c>
      <c r="O480" s="166">
        <v>1</v>
      </c>
      <c r="P480" s="166">
        <v>1</v>
      </c>
      <c r="R480" s="165" t="s">
        <v>3367</v>
      </c>
      <c r="S480" s="81" t="s">
        <v>113</v>
      </c>
      <c r="T480" s="349">
        <v>42944</v>
      </c>
      <c r="U480" s="349">
        <v>43000</v>
      </c>
      <c r="V480" s="81" t="s">
        <v>155</v>
      </c>
      <c r="W480" s="81" t="s">
        <v>114</v>
      </c>
      <c r="Y480" s="81" t="s">
        <v>115</v>
      </c>
      <c r="Z480" s="81" t="s">
        <v>116</v>
      </c>
      <c r="AA480" s="81" t="s">
        <v>117</v>
      </c>
      <c r="AB480" s="81" t="s">
        <v>218</v>
      </c>
      <c r="AC480" s="166">
        <v>4.0000001899898104E-3</v>
      </c>
      <c r="AD480" s="349">
        <v>43190</v>
      </c>
      <c r="AE480" s="81" t="s">
        <v>155</v>
      </c>
      <c r="AG480" s="81" t="s">
        <v>238</v>
      </c>
      <c r="AH480" s="81" t="s">
        <v>118</v>
      </c>
      <c r="AK480" s="166">
        <v>0</v>
      </c>
      <c r="AM480" s="166">
        <v>0</v>
      </c>
      <c r="AO480" s="166">
        <v>0</v>
      </c>
      <c r="AP480" s="166">
        <v>1</v>
      </c>
      <c r="AQ480" s="166">
        <v>0</v>
      </c>
      <c r="AR480" s="166">
        <v>0</v>
      </c>
      <c r="AS480" s="166">
        <v>0</v>
      </c>
      <c r="AT480" s="166">
        <v>0</v>
      </c>
      <c r="AU480" s="166">
        <v>0</v>
      </c>
      <c r="AV480" s="166">
        <v>0</v>
      </c>
      <c r="AW480" s="166">
        <v>1</v>
      </c>
      <c r="AX480" s="166">
        <v>0</v>
      </c>
      <c r="AY480" s="166">
        <v>0</v>
      </c>
      <c r="AZ480" s="166">
        <v>0</v>
      </c>
      <c r="BA480" s="166">
        <v>0</v>
      </c>
      <c r="BB480" s="166">
        <v>0</v>
      </c>
      <c r="BC480" s="166">
        <v>0</v>
      </c>
      <c r="BD480" s="166">
        <v>0</v>
      </c>
      <c r="BE480" s="166">
        <v>0</v>
      </c>
      <c r="BF480" s="166">
        <v>0</v>
      </c>
      <c r="BG480" s="166">
        <v>0</v>
      </c>
      <c r="BH480" s="166">
        <v>0</v>
      </c>
      <c r="BI480" s="166">
        <v>0</v>
      </c>
      <c r="BJ480" s="166">
        <v>0</v>
      </c>
      <c r="BK480" s="166">
        <v>0</v>
      </c>
      <c r="BL480" s="166">
        <v>0</v>
      </c>
      <c r="BM480" s="166">
        <v>0</v>
      </c>
      <c r="BN480" s="166">
        <v>0</v>
      </c>
      <c r="BO480" s="166">
        <v>0</v>
      </c>
      <c r="BP480" s="166">
        <v>0</v>
      </c>
      <c r="BQ480" s="81" t="s">
        <v>1757</v>
      </c>
      <c r="BR480" s="81" t="s">
        <v>247</v>
      </c>
      <c r="BZ480" s="81" t="s">
        <v>155</v>
      </c>
      <c r="CA480" s="81" t="s">
        <v>3977</v>
      </c>
      <c r="CC480" s="167">
        <v>0</v>
      </c>
      <c r="CD480" s="167">
        <f>$N480/2</f>
        <v>0.5</v>
      </c>
      <c r="CE480" s="167">
        <f>$N480/2</f>
        <v>0.5</v>
      </c>
      <c r="CF480" s="167">
        <v>0</v>
      </c>
      <c r="CG480" s="167">
        <v>0</v>
      </c>
      <c r="CH480" s="167">
        <v>0</v>
      </c>
      <c r="CI480" s="167">
        <v>0</v>
      </c>
      <c r="CJ480" s="167">
        <v>0</v>
      </c>
      <c r="CK480" s="167">
        <v>0</v>
      </c>
      <c r="CL480" s="167">
        <v>0</v>
      </c>
      <c r="CM480" s="167">
        <v>0</v>
      </c>
      <c r="CN480" s="167">
        <v>0</v>
      </c>
      <c r="CO480" s="167">
        <v>0</v>
      </c>
      <c r="CP480" s="167">
        <v>0</v>
      </c>
      <c r="CQ480" s="167">
        <v>0</v>
      </c>
      <c r="CR480" s="167">
        <v>0</v>
      </c>
      <c r="CS480" s="167">
        <v>0</v>
      </c>
      <c r="CT480" s="167">
        <v>0</v>
      </c>
      <c r="CU480" s="167">
        <v>0</v>
      </c>
      <c r="CV480" s="167">
        <v>0</v>
      </c>
      <c r="CW480" s="167">
        <v>0</v>
      </c>
      <c r="CX480" s="167">
        <f>SUM(CD480:CH480)</f>
        <v>1</v>
      </c>
      <c r="CY480" s="167">
        <f>SUM(CD480:CM480)</f>
        <v>1</v>
      </c>
    </row>
    <row r="481" spans="1:103" x14ac:dyDescent="0.2">
      <c r="A481" s="81">
        <v>5235</v>
      </c>
      <c r="B481" s="165" t="s">
        <v>1908</v>
      </c>
      <c r="C481" s="165" t="s">
        <v>1154</v>
      </c>
      <c r="E481" s="165" t="s">
        <v>3530</v>
      </c>
      <c r="G481" s="81">
        <v>528062</v>
      </c>
      <c r="H481" s="81">
        <v>175605</v>
      </c>
      <c r="I481" s="165" t="s">
        <v>256</v>
      </c>
      <c r="J481" s="349">
        <v>43190</v>
      </c>
      <c r="L481" s="166">
        <v>0</v>
      </c>
      <c r="M481" s="166">
        <v>1</v>
      </c>
      <c r="N481" s="166">
        <v>1</v>
      </c>
      <c r="O481" s="166">
        <v>1</v>
      </c>
      <c r="P481" s="166">
        <v>1</v>
      </c>
      <c r="R481" s="165" t="s">
        <v>1155</v>
      </c>
      <c r="S481" s="81" t="s">
        <v>296</v>
      </c>
      <c r="T481" s="349">
        <v>42317</v>
      </c>
      <c r="U481" s="349">
        <v>42447</v>
      </c>
      <c r="W481" s="81" t="s">
        <v>297</v>
      </c>
      <c r="X481" s="349">
        <v>42768</v>
      </c>
      <c r="Y481" s="81" t="s">
        <v>115</v>
      </c>
      <c r="Z481" s="81" t="s">
        <v>398</v>
      </c>
      <c r="AA481" s="81" t="s">
        <v>117</v>
      </c>
      <c r="AB481" s="81" t="s">
        <v>218</v>
      </c>
      <c r="AC481" s="166">
        <v>4.0000001899898104E-3</v>
      </c>
      <c r="AD481" s="349">
        <v>43190</v>
      </c>
      <c r="AE481" s="81" t="s">
        <v>155</v>
      </c>
      <c r="AG481" s="81" t="s">
        <v>238</v>
      </c>
      <c r="AH481" s="81" t="s">
        <v>118</v>
      </c>
      <c r="AK481" s="166">
        <v>0</v>
      </c>
      <c r="AM481" s="166">
        <v>0</v>
      </c>
      <c r="AO481" s="166">
        <v>0</v>
      </c>
      <c r="AP481" s="166">
        <v>1</v>
      </c>
      <c r="AQ481" s="166">
        <v>0</v>
      </c>
      <c r="AR481" s="166">
        <v>0</v>
      </c>
      <c r="AS481" s="166">
        <v>0</v>
      </c>
      <c r="AT481" s="166">
        <v>0</v>
      </c>
      <c r="AU481" s="166">
        <v>0</v>
      </c>
      <c r="AV481" s="166">
        <v>0</v>
      </c>
      <c r="AW481" s="166">
        <v>1</v>
      </c>
      <c r="AX481" s="166">
        <v>0</v>
      </c>
      <c r="AY481" s="166">
        <v>0</v>
      </c>
      <c r="AZ481" s="166">
        <v>0</v>
      </c>
      <c r="BA481" s="166">
        <v>0</v>
      </c>
      <c r="BB481" s="166">
        <v>0</v>
      </c>
      <c r="BC481" s="166">
        <v>0</v>
      </c>
      <c r="BD481" s="166">
        <v>0</v>
      </c>
      <c r="BE481" s="166">
        <v>0</v>
      </c>
      <c r="BF481" s="166">
        <v>0</v>
      </c>
      <c r="BG481" s="166">
        <v>0</v>
      </c>
      <c r="BH481" s="166">
        <v>0</v>
      </c>
      <c r="BI481" s="166">
        <v>0</v>
      </c>
      <c r="BJ481" s="166">
        <v>0</v>
      </c>
      <c r="BK481" s="166">
        <v>0</v>
      </c>
      <c r="BL481" s="166">
        <v>0</v>
      </c>
      <c r="BM481" s="166">
        <v>0</v>
      </c>
      <c r="BN481" s="166">
        <v>0</v>
      </c>
      <c r="BO481" s="166">
        <v>0</v>
      </c>
      <c r="BP481" s="166">
        <v>0</v>
      </c>
      <c r="BQ481" s="81" t="s">
        <v>1757</v>
      </c>
      <c r="BZ481" s="81" t="s">
        <v>155</v>
      </c>
      <c r="CA481" s="81" t="s">
        <v>3981</v>
      </c>
      <c r="CC481" s="167">
        <v>0</v>
      </c>
      <c r="CD481" s="167">
        <f>$N481/2</f>
        <v>0.5</v>
      </c>
      <c r="CE481" s="167">
        <f>$N481/2</f>
        <v>0.5</v>
      </c>
      <c r="CF481" s="167">
        <v>0</v>
      </c>
      <c r="CG481" s="167">
        <v>0</v>
      </c>
      <c r="CH481" s="167">
        <v>0</v>
      </c>
      <c r="CI481" s="167">
        <v>0</v>
      </c>
      <c r="CJ481" s="167">
        <v>0</v>
      </c>
      <c r="CK481" s="167">
        <v>0</v>
      </c>
      <c r="CL481" s="167">
        <v>0</v>
      </c>
      <c r="CM481" s="167">
        <v>0</v>
      </c>
      <c r="CN481" s="167">
        <v>0</v>
      </c>
      <c r="CO481" s="167">
        <v>0</v>
      </c>
      <c r="CP481" s="167">
        <v>0</v>
      </c>
      <c r="CQ481" s="167">
        <v>0</v>
      </c>
      <c r="CR481" s="167">
        <v>0</v>
      </c>
      <c r="CS481" s="167">
        <v>0</v>
      </c>
      <c r="CT481" s="167">
        <v>0</v>
      </c>
      <c r="CU481" s="167">
        <v>0</v>
      </c>
      <c r="CV481" s="167">
        <v>0</v>
      </c>
      <c r="CW481" s="167">
        <v>0</v>
      </c>
      <c r="CX481" s="167">
        <f>SUM(CD481:CH481)</f>
        <v>1</v>
      </c>
      <c r="CY481" s="167">
        <f>SUM(CD481:CM481)</f>
        <v>1</v>
      </c>
    </row>
    <row r="482" spans="1:103" ht="12.75" customHeight="1" x14ac:dyDescent="0.2">
      <c r="A482" s="81">
        <v>5245</v>
      </c>
      <c r="B482" s="165" t="s">
        <v>1908</v>
      </c>
      <c r="C482" s="165" t="s">
        <v>309</v>
      </c>
      <c r="E482" s="165" t="s">
        <v>3373</v>
      </c>
      <c r="G482" s="81">
        <v>529554</v>
      </c>
      <c r="H482" s="81">
        <v>176699</v>
      </c>
      <c r="I482" s="165" t="s">
        <v>240</v>
      </c>
      <c r="J482" s="349">
        <v>42461</v>
      </c>
      <c r="L482" s="166">
        <v>0</v>
      </c>
      <c r="M482" s="166">
        <v>16</v>
      </c>
      <c r="N482" s="166">
        <v>16</v>
      </c>
      <c r="O482" s="166">
        <v>16</v>
      </c>
      <c r="P482" s="166">
        <v>16</v>
      </c>
      <c r="Q482" s="81" t="s">
        <v>155</v>
      </c>
      <c r="R482" s="165" t="s">
        <v>1085</v>
      </c>
      <c r="S482" s="81" t="s">
        <v>104</v>
      </c>
      <c r="T482" s="349">
        <v>41354</v>
      </c>
      <c r="U482" s="349">
        <v>41555</v>
      </c>
      <c r="W482" s="81" t="s">
        <v>114</v>
      </c>
      <c r="Y482" s="81" t="s">
        <v>115</v>
      </c>
      <c r="Z482" s="81" t="s">
        <v>116</v>
      </c>
      <c r="AA482" s="81" t="s">
        <v>116</v>
      </c>
      <c r="AB482" s="81" t="s">
        <v>117</v>
      </c>
      <c r="AC482" s="166">
        <v>2.0999999716877899E-2</v>
      </c>
      <c r="AD482" s="349">
        <v>42461</v>
      </c>
      <c r="AG482" s="81" t="s">
        <v>238</v>
      </c>
      <c r="AH482" s="81" t="s">
        <v>118</v>
      </c>
      <c r="AK482" s="166">
        <v>16</v>
      </c>
      <c r="AM482" s="166">
        <v>16</v>
      </c>
      <c r="AO482" s="166">
        <v>0</v>
      </c>
      <c r="AP482" s="166">
        <v>3</v>
      </c>
      <c r="AQ482" s="166">
        <v>8</v>
      </c>
      <c r="AR482" s="166">
        <v>5</v>
      </c>
      <c r="AS482" s="166">
        <v>0</v>
      </c>
      <c r="AT482" s="166">
        <v>0</v>
      </c>
      <c r="AU482" s="166">
        <v>0</v>
      </c>
      <c r="AV482" s="166">
        <v>0</v>
      </c>
      <c r="AW482" s="166">
        <v>3</v>
      </c>
      <c r="AX482" s="166">
        <v>8</v>
      </c>
      <c r="AY482" s="166">
        <v>5</v>
      </c>
      <c r="AZ482" s="166">
        <v>0</v>
      </c>
      <c r="BA482" s="166">
        <v>0</v>
      </c>
      <c r="BB482" s="166">
        <v>0</v>
      </c>
      <c r="BC482" s="166">
        <v>0</v>
      </c>
      <c r="BD482" s="166">
        <v>0</v>
      </c>
      <c r="BE482" s="166">
        <v>0</v>
      </c>
      <c r="BF482" s="166">
        <v>0</v>
      </c>
      <c r="BG482" s="166">
        <v>0</v>
      </c>
      <c r="BH482" s="166">
        <v>0</v>
      </c>
      <c r="BI482" s="166">
        <v>0</v>
      </c>
      <c r="BJ482" s="166">
        <v>0</v>
      </c>
      <c r="BK482" s="166">
        <v>0</v>
      </c>
      <c r="BL482" s="166">
        <v>0</v>
      </c>
      <c r="BM482" s="166">
        <v>0</v>
      </c>
      <c r="BN482" s="166">
        <v>0</v>
      </c>
      <c r="BO482" s="166">
        <v>0</v>
      </c>
      <c r="BP482" s="166">
        <v>0</v>
      </c>
      <c r="BQ482" s="81" t="s">
        <v>1759</v>
      </c>
      <c r="BS482" s="81" t="s">
        <v>155</v>
      </c>
      <c r="BZ482" s="81" t="s">
        <v>155</v>
      </c>
      <c r="CA482" s="81" t="s">
        <v>3976</v>
      </c>
      <c r="CC482" s="167">
        <v>0</v>
      </c>
      <c r="CD482" s="167">
        <f>N482</f>
        <v>16</v>
      </c>
      <c r="CE482" s="167">
        <v>0</v>
      </c>
      <c r="CF482" s="167">
        <v>0</v>
      </c>
      <c r="CG482" s="167">
        <v>0</v>
      </c>
      <c r="CH482" s="167">
        <v>0</v>
      </c>
      <c r="CI482" s="167">
        <v>0</v>
      </c>
      <c r="CJ482" s="167">
        <v>0</v>
      </c>
      <c r="CK482" s="167">
        <v>0</v>
      </c>
      <c r="CL482" s="167">
        <v>0</v>
      </c>
      <c r="CM482" s="167">
        <v>0</v>
      </c>
      <c r="CN482" s="167">
        <v>0</v>
      </c>
      <c r="CO482" s="167">
        <v>0</v>
      </c>
      <c r="CP482" s="167">
        <v>0</v>
      </c>
      <c r="CQ482" s="167">
        <v>0</v>
      </c>
      <c r="CR482" s="167">
        <v>0</v>
      </c>
      <c r="CS482" s="167">
        <v>0</v>
      </c>
      <c r="CT482" s="167">
        <v>0</v>
      </c>
      <c r="CU482" s="167">
        <v>0</v>
      </c>
      <c r="CV482" s="167">
        <v>0</v>
      </c>
      <c r="CW482" s="167">
        <v>0</v>
      </c>
      <c r="CX482" s="167">
        <f>SUM(CD482:CH482)</f>
        <v>16</v>
      </c>
      <c r="CY482" s="167">
        <f>SUM(CD482:CM482)</f>
        <v>16</v>
      </c>
    </row>
    <row r="483" spans="1:103" ht="12.75" customHeight="1" x14ac:dyDescent="0.2">
      <c r="A483" s="81">
        <v>5292</v>
      </c>
      <c r="B483" s="165" t="s">
        <v>1908</v>
      </c>
      <c r="C483" s="165" t="s">
        <v>604</v>
      </c>
      <c r="E483" s="165" t="s">
        <v>3374</v>
      </c>
      <c r="F483" s="165" t="s">
        <v>605</v>
      </c>
      <c r="G483" s="81">
        <v>524279</v>
      </c>
      <c r="H483" s="81">
        <v>174909</v>
      </c>
      <c r="I483" s="165" t="s">
        <v>250</v>
      </c>
      <c r="J483" s="349">
        <v>42825</v>
      </c>
      <c r="L483" s="166">
        <v>0</v>
      </c>
      <c r="M483" s="166">
        <v>2</v>
      </c>
      <c r="N483" s="166">
        <v>2</v>
      </c>
      <c r="O483" s="166">
        <v>73</v>
      </c>
      <c r="P483" s="166">
        <v>73</v>
      </c>
      <c r="Q483" s="81" t="s">
        <v>155</v>
      </c>
      <c r="R483" s="165" t="s">
        <v>1138</v>
      </c>
      <c r="S483" s="81" t="s">
        <v>104</v>
      </c>
      <c r="T483" s="349">
        <v>42188</v>
      </c>
      <c r="U483" s="349">
        <v>42335</v>
      </c>
      <c r="W483" s="81" t="s">
        <v>114</v>
      </c>
      <c r="Y483" s="81" t="s">
        <v>115</v>
      </c>
      <c r="Z483" s="81" t="s">
        <v>116</v>
      </c>
      <c r="AA483" s="81" t="s">
        <v>116</v>
      </c>
      <c r="AB483" s="81" t="s">
        <v>117</v>
      </c>
      <c r="AC483" s="166">
        <v>0</v>
      </c>
      <c r="AD483" s="349">
        <v>42825</v>
      </c>
      <c r="AG483" s="81" t="s">
        <v>238</v>
      </c>
      <c r="AH483" s="81" t="s">
        <v>118</v>
      </c>
      <c r="AI483" s="81" t="s">
        <v>3375</v>
      </c>
      <c r="AK483" s="166">
        <v>2</v>
      </c>
      <c r="AM483" s="166">
        <v>0</v>
      </c>
      <c r="AO483" s="166">
        <v>0</v>
      </c>
      <c r="AP483" s="166">
        <v>0</v>
      </c>
      <c r="AQ483" s="166">
        <v>2</v>
      </c>
      <c r="AR483" s="166">
        <v>0</v>
      </c>
      <c r="AS483" s="166">
        <v>0</v>
      </c>
      <c r="AT483" s="166">
        <v>0</v>
      </c>
      <c r="AU483" s="166">
        <v>0</v>
      </c>
      <c r="AV483" s="166">
        <v>0</v>
      </c>
      <c r="AW483" s="166">
        <v>0</v>
      </c>
      <c r="AX483" s="166">
        <v>2</v>
      </c>
      <c r="AY483" s="166">
        <v>0</v>
      </c>
      <c r="AZ483" s="166">
        <v>0</v>
      </c>
      <c r="BA483" s="166">
        <v>0</v>
      </c>
      <c r="BB483" s="166">
        <v>0</v>
      </c>
      <c r="BC483" s="166">
        <v>0</v>
      </c>
      <c r="BD483" s="166">
        <v>0</v>
      </c>
      <c r="BE483" s="166">
        <v>0</v>
      </c>
      <c r="BF483" s="166">
        <v>0</v>
      </c>
      <c r="BG483" s="166">
        <v>0</v>
      </c>
      <c r="BH483" s="166">
        <v>0</v>
      </c>
      <c r="BI483" s="166">
        <v>0</v>
      </c>
      <c r="BJ483" s="166">
        <v>0</v>
      </c>
      <c r="BK483" s="166">
        <v>0</v>
      </c>
      <c r="BL483" s="166">
        <v>0</v>
      </c>
      <c r="BM483" s="166">
        <v>0</v>
      </c>
      <c r="BN483" s="166">
        <v>0</v>
      </c>
      <c r="BO483" s="166">
        <v>0</v>
      </c>
      <c r="BP483" s="166">
        <v>0</v>
      </c>
      <c r="BQ483" s="81" t="s">
        <v>1758</v>
      </c>
      <c r="BR483" s="81" t="s">
        <v>161</v>
      </c>
      <c r="BV483" s="81" t="s">
        <v>155</v>
      </c>
      <c r="BZ483" s="81" t="s">
        <v>155</v>
      </c>
      <c r="CA483" s="81" t="s">
        <v>3934</v>
      </c>
      <c r="CC483" s="167">
        <v>0</v>
      </c>
      <c r="CD483" s="167">
        <v>0</v>
      </c>
      <c r="CE483" s="167">
        <f>N483</f>
        <v>2</v>
      </c>
      <c r="CF483" s="167">
        <v>0</v>
      </c>
      <c r="CG483" s="167">
        <v>0</v>
      </c>
      <c r="CH483" s="167">
        <v>0</v>
      </c>
      <c r="CI483" s="167">
        <v>0</v>
      </c>
      <c r="CJ483" s="167">
        <v>0</v>
      </c>
      <c r="CK483" s="167">
        <v>0</v>
      </c>
      <c r="CL483" s="167">
        <v>0</v>
      </c>
      <c r="CM483" s="167">
        <v>0</v>
      </c>
      <c r="CN483" s="167">
        <v>0</v>
      </c>
      <c r="CO483" s="167">
        <v>0</v>
      </c>
      <c r="CP483" s="167">
        <v>0</v>
      </c>
      <c r="CQ483" s="167">
        <v>0</v>
      </c>
      <c r="CR483" s="167">
        <v>0</v>
      </c>
      <c r="CS483" s="167">
        <v>0</v>
      </c>
      <c r="CT483" s="167">
        <v>0</v>
      </c>
      <c r="CU483" s="167">
        <v>0</v>
      </c>
      <c r="CV483" s="167">
        <v>0</v>
      </c>
      <c r="CW483" s="167">
        <v>0</v>
      </c>
      <c r="CX483" s="167">
        <f>SUM(CD483:CH483)</f>
        <v>2</v>
      </c>
      <c r="CY483" s="167">
        <f>SUM(CD483:CM483)</f>
        <v>2</v>
      </c>
    </row>
    <row r="484" spans="1:103" ht="12.75" customHeight="1" x14ac:dyDescent="0.2">
      <c r="A484" s="81">
        <v>5292</v>
      </c>
      <c r="B484" s="165" t="s">
        <v>1908</v>
      </c>
      <c r="C484" s="165" t="s">
        <v>604</v>
      </c>
      <c r="E484" s="165" t="s">
        <v>3374</v>
      </c>
      <c r="F484" s="165" t="s">
        <v>606</v>
      </c>
      <c r="G484" s="81">
        <v>524279</v>
      </c>
      <c r="H484" s="81">
        <v>174909</v>
      </c>
      <c r="I484" s="165" t="s">
        <v>250</v>
      </c>
      <c r="J484" s="349">
        <v>42825</v>
      </c>
      <c r="L484" s="166">
        <v>0</v>
      </c>
      <c r="M484" s="166">
        <v>1</v>
      </c>
      <c r="N484" s="166">
        <v>1</v>
      </c>
      <c r="O484" s="166">
        <v>73</v>
      </c>
      <c r="P484" s="166">
        <v>73</v>
      </c>
      <c r="Q484" s="81" t="s">
        <v>155</v>
      </c>
      <c r="R484" s="165" t="s">
        <v>1138</v>
      </c>
      <c r="S484" s="81" t="s">
        <v>104</v>
      </c>
      <c r="T484" s="349">
        <v>42188</v>
      </c>
      <c r="U484" s="349">
        <v>42335</v>
      </c>
      <c r="W484" s="81" t="s">
        <v>114</v>
      </c>
      <c r="Y484" s="81" t="s">
        <v>115</v>
      </c>
      <c r="Z484" s="81" t="s">
        <v>116</v>
      </c>
      <c r="AA484" s="81" t="s">
        <v>116</v>
      </c>
      <c r="AB484" s="81" t="s">
        <v>117</v>
      </c>
      <c r="AC484" s="166">
        <v>0</v>
      </c>
      <c r="AD484" s="349">
        <v>42825</v>
      </c>
      <c r="AG484" s="81" t="s">
        <v>238</v>
      </c>
      <c r="AH484" s="81" t="s">
        <v>118</v>
      </c>
      <c r="AI484" s="81" t="s">
        <v>3375</v>
      </c>
      <c r="AK484" s="166">
        <v>1</v>
      </c>
      <c r="AM484" s="166">
        <v>0</v>
      </c>
      <c r="AO484" s="166">
        <v>0</v>
      </c>
      <c r="AP484" s="166">
        <v>0</v>
      </c>
      <c r="AQ484" s="166">
        <v>0</v>
      </c>
      <c r="AR484" s="166">
        <v>1</v>
      </c>
      <c r="AS484" s="166">
        <v>0</v>
      </c>
      <c r="AT484" s="166">
        <v>0</v>
      </c>
      <c r="AU484" s="166">
        <v>0</v>
      </c>
      <c r="AV484" s="166">
        <v>0</v>
      </c>
      <c r="AW484" s="166">
        <v>0</v>
      </c>
      <c r="AX484" s="166">
        <v>0</v>
      </c>
      <c r="AY484" s="166">
        <v>1</v>
      </c>
      <c r="AZ484" s="166">
        <v>0</v>
      </c>
      <c r="BA484" s="166">
        <v>0</v>
      </c>
      <c r="BB484" s="166">
        <v>0</v>
      </c>
      <c r="BC484" s="166">
        <v>0</v>
      </c>
      <c r="BD484" s="166">
        <v>0</v>
      </c>
      <c r="BE484" s="166">
        <v>0</v>
      </c>
      <c r="BF484" s="166">
        <v>0</v>
      </c>
      <c r="BG484" s="166">
        <v>0</v>
      </c>
      <c r="BH484" s="166">
        <v>0</v>
      </c>
      <c r="BI484" s="166">
        <v>0</v>
      </c>
      <c r="BJ484" s="166">
        <v>0</v>
      </c>
      <c r="BK484" s="166">
        <v>0</v>
      </c>
      <c r="BL484" s="166">
        <v>0</v>
      </c>
      <c r="BM484" s="166">
        <v>0</v>
      </c>
      <c r="BN484" s="166">
        <v>0</v>
      </c>
      <c r="BO484" s="166">
        <v>0</v>
      </c>
      <c r="BP484" s="166">
        <v>0</v>
      </c>
      <c r="BQ484" s="81" t="s">
        <v>1758</v>
      </c>
      <c r="BR484" s="81" t="s">
        <v>161</v>
      </c>
      <c r="BV484" s="81" t="s">
        <v>155</v>
      </c>
      <c r="BZ484" s="81" t="s">
        <v>155</v>
      </c>
      <c r="CA484" s="81" t="s">
        <v>3934</v>
      </c>
      <c r="CC484" s="167">
        <v>0</v>
      </c>
      <c r="CD484" s="167">
        <v>0</v>
      </c>
      <c r="CE484" s="167">
        <f>N484</f>
        <v>1</v>
      </c>
      <c r="CF484" s="167">
        <v>0</v>
      </c>
      <c r="CG484" s="167">
        <v>0</v>
      </c>
      <c r="CH484" s="167">
        <v>0</v>
      </c>
      <c r="CI484" s="167">
        <v>0</v>
      </c>
      <c r="CJ484" s="167">
        <v>0</v>
      </c>
      <c r="CK484" s="167">
        <v>0</v>
      </c>
      <c r="CL484" s="167">
        <v>0</v>
      </c>
      <c r="CM484" s="167">
        <v>0</v>
      </c>
      <c r="CN484" s="167">
        <v>0</v>
      </c>
      <c r="CO484" s="167">
        <v>0</v>
      </c>
      <c r="CP484" s="167">
        <v>0</v>
      </c>
      <c r="CQ484" s="167">
        <v>0</v>
      </c>
      <c r="CR484" s="167">
        <v>0</v>
      </c>
      <c r="CS484" s="167">
        <v>0</v>
      </c>
      <c r="CT484" s="167">
        <v>0</v>
      </c>
      <c r="CU484" s="167">
        <v>0</v>
      </c>
      <c r="CV484" s="167">
        <v>0</v>
      </c>
      <c r="CW484" s="167">
        <v>0</v>
      </c>
      <c r="CX484" s="167">
        <f>SUM(CD484:CH484)</f>
        <v>1</v>
      </c>
      <c r="CY484" s="167">
        <f>SUM(CD484:CM484)</f>
        <v>1</v>
      </c>
    </row>
    <row r="485" spans="1:103" ht="12.75" customHeight="1" x14ac:dyDescent="0.2">
      <c r="A485" s="81">
        <v>5292</v>
      </c>
      <c r="B485" s="165" t="s">
        <v>1908</v>
      </c>
      <c r="C485" s="165" t="s">
        <v>604</v>
      </c>
      <c r="E485" s="165" t="s">
        <v>3374</v>
      </c>
      <c r="F485" s="165" t="s">
        <v>607</v>
      </c>
      <c r="G485" s="81">
        <v>524279</v>
      </c>
      <c r="H485" s="81">
        <v>174909</v>
      </c>
      <c r="I485" s="165" t="s">
        <v>250</v>
      </c>
      <c r="J485" s="349">
        <v>42825</v>
      </c>
      <c r="L485" s="166">
        <v>0</v>
      </c>
      <c r="M485" s="166">
        <v>1</v>
      </c>
      <c r="N485" s="166">
        <v>1</v>
      </c>
      <c r="O485" s="166">
        <v>73</v>
      </c>
      <c r="P485" s="166">
        <v>73</v>
      </c>
      <c r="Q485" s="81" t="s">
        <v>155</v>
      </c>
      <c r="R485" s="165" t="s">
        <v>1138</v>
      </c>
      <c r="S485" s="81" t="s">
        <v>104</v>
      </c>
      <c r="T485" s="349">
        <v>42188</v>
      </c>
      <c r="U485" s="349">
        <v>42335</v>
      </c>
      <c r="W485" s="81" t="s">
        <v>114</v>
      </c>
      <c r="Y485" s="81" t="s">
        <v>115</v>
      </c>
      <c r="Z485" s="81" t="s">
        <v>116</v>
      </c>
      <c r="AA485" s="81" t="s">
        <v>116</v>
      </c>
      <c r="AB485" s="81" t="s">
        <v>117</v>
      </c>
      <c r="AC485" s="166">
        <v>0</v>
      </c>
      <c r="AD485" s="349">
        <v>42825</v>
      </c>
      <c r="AG485" s="81" t="s">
        <v>238</v>
      </c>
      <c r="AH485" s="81" t="s">
        <v>118</v>
      </c>
      <c r="AI485" s="81" t="s">
        <v>3375</v>
      </c>
      <c r="AK485" s="166">
        <v>1</v>
      </c>
      <c r="AM485" s="166">
        <v>0</v>
      </c>
      <c r="AO485" s="166">
        <v>0</v>
      </c>
      <c r="AP485" s="166">
        <v>0</v>
      </c>
      <c r="AQ485" s="166">
        <v>0</v>
      </c>
      <c r="AR485" s="166">
        <v>1</v>
      </c>
      <c r="AS485" s="166">
        <v>0</v>
      </c>
      <c r="AT485" s="166">
        <v>0</v>
      </c>
      <c r="AU485" s="166">
        <v>0</v>
      </c>
      <c r="AV485" s="166">
        <v>0</v>
      </c>
      <c r="AW485" s="166">
        <v>0</v>
      </c>
      <c r="AX485" s="166">
        <v>0</v>
      </c>
      <c r="AY485" s="166">
        <v>1</v>
      </c>
      <c r="AZ485" s="166">
        <v>0</v>
      </c>
      <c r="BA485" s="166">
        <v>0</v>
      </c>
      <c r="BB485" s="166">
        <v>0</v>
      </c>
      <c r="BC485" s="166">
        <v>0</v>
      </c>
      <c r="BD485" s="166">
        <v>0</v>
      </c>
      <c r="BE485" s="166">
        <v>0</v>
      </c>
      <c r="BF485" s="166">
        <v>0</v>
      </c>
      <c r="BG485" s="166">
        <v>0</v>
      </c>
      <c r="BH485" s="166">
        <v>0</v>
      </c>
      <c r="BI485" s="166">
        <v>0</v>
      </c>
      <c r="BJ485" s="166">
        <v>0</v>
      </c>
      <c r="BK485" s="166">
        <v>0</v>
      </c>
      <c r="BL485" s="166">
        <v>0</v>
      </c>
      <c r="BM485" s="166">
        <v>0</v>
      </c>
      <c r="BN485" s="166">
        <v>0</v>
      </c>
      <c r="BO485" s="166">
        <v>0</v>
      </c>
      <c r="BP485" s="166">
        <v>0</v>
      </c>
      <c r="BQ485" s="81" t="s">
        <v>1758</v>
      </c>
      <c r="BR485" s="81" t="s">
        <v>161</v>
      </c>
      <c r="BV485" s="81" t="s">
        <v>155</v>
      </c>
      <c r="BZ485" s="81" t="s">
        <v>155</v>
      </c>
      <c r="CA485" s="81" t="s">
        <v>3934</v>
      </c>
      <c r="CC485" s="167">
        <v>0</v>
      </c>
      <c r="CD485" s="167">
        <v>0</v>
      </c>
      <c r="CE485" s="167">
        <f>N485</f>
        <v>1</v>
      </c>
      <c r="CF485" s="167">
        <v>0</v>
      </c>
      <c r="CG485" s="167">
        <v>0</v>
      </c>
      <c r="CH485" s="167">
        <v>0</v>
      </c>
      <c r="CI485" s="167">
        <v>0</v>
      </c>
      <c r="CJ485" s="167">
        <v>0</v>
      </c>
      <c r="CK485" s="167">
        <v>0</v>
      </c>
      <c r="CL485" s="167">
        <v>0</v>
      </c>
      <c r="CM485" s="167">
        <v>0</v>
      </c>
      <c r="CN485" s="167">
        <v>0</v>
      </c>
      <c r="CO485" s="167">
        <v>0</v>
      </c>
      <c r="CP485" s="167">
        <v>0</v>
      </c>
      <c r="CQ485" s="167">
        <v>0</v>
      </c>
      <c r="CR485" s="167">
        <v>0</v>
      </c>
      <c r="CS485" s="167">
        <v>0</v>
      </c>
      <c r="CT485" s="167">
        <v>0</v>
      </c>
      <c r="CU485" s="167">
        <v>0</v>
      </c>
      <c r="CV485" s="167">
        <v>0</v>
      </c>
      <c r="CW485" s="167">
        <v>0</v>
      </c>
      <c r="CX485" s="167">
        <f>SUM(CD485:CH485)</f>
        <v>1</v>
      </c>
      <c r="CY485" s="167">
        <f>SUM(CD485:CM485)</f>
        <v>1</v>
      </c>
    </row>
    <row r="486" spans="1:103" ht="12.75" customHeight="1" x14ac:dyDescent="0.2">
      <c r="A486" s="81">
        <v>5292</v>
      </c>
      <c r="B486" s="165" t="s">
        <v>1908</v>
      </c>
      <c r="C486" s="165" t="s">
        <v>604</v>
      </c>
      <c r="E486" s="165" t="s">
        <v>3374</v>
      </c>
      <c r="F486" s="165" t="s">
        <v>608</v>
      </c>
      <c r="G486" s="81">
        <v>524279</v>
      </c>
      <c r="H486" s="81">
        <v>174909</v>
      </c>
      <c r="I486" s="165" t="s">
        <v>250</v>
      </c>
      <c r="J486" s="349">
        <v>42825</v>
      </c>
      <c r="L486" s="166">
        <v>0</v>
      </c>
      <c r="M486" s="166">
        <v>5</v>
      </c>
      <c r="N486" s="166">
        <v>5</v>
      </c>
      <c r="O486" s="166">
        <v>73</v>
      </c>
      <c r="P486" s="166">
        <v>73</v>
      </c>
      <c r="Q486" s="81" t="s">
        <v>155</v>
      </c>
      <c r="R486" s="165" t="s">
        <v>1138</v>
      </c>
      <c r="S486" s="81" t="s">
        <v>104</v>
      </c>
      <c r="T486" s="349">
        <v>42188</v>
      </c>
      <c r="U486" s="349">
        <v>42335</v>
      </c>
      <c r="W486" s="81" t="s">
        <v>114</v>
      </c>
      <c r="Y486" s="81" t="s">
        <v>115</v>
      </c>
      <c r="Z486" s="81" t="s">
        <v>116</v>
      </c>
      <c r="AA486" s="81" t="s">
        <v>116</v>
      </c>
      <c r="AB486" s="81" t="s">
        <v>117</v>
      </c>
      <c r="AC486" s="166">
        <v>0</v>
      </c>
      <c r="AD486" s="349">
        <v>42825</v>
      </c>
      <c r="AG486" s="81" t="s">
        <v>238</v>
      </c>
      <c r="AH486" s="81" t="s">
        <v>118</v>
      </c>
      <c r="AI486" s="81" t="s">
        <v>3375</v>
      </c>
      <c r="AK486" s="166">
        <v>5</v>
      </c>
      <c r="AM486" s="166">
        <v>1</v>
      </c>
      <c r="AO486" s="166">
        <v>0</v>
      </c>
      <c r="AP486" s="166">
        <v>2</v>
      </c>
      <c r="AQ486" s="166">
        <v>3</v>
      </c>
      <c r="AR486" s="166">
        <v>0</v>
      </c>
      <c r="AS486" s="166">
        <v>0</v>
      </c>
      <c r="AT486" s="166">
        <v>0</v>
      </c>
      <c r="AU486" s="166">
        <v>0</v>
      </c>
      <c r="AV486" s="166">
        <v>0</v>
      </c>
      <c r="AW486" s="166">
        <v>2</v>
      </c>
      <c r="AX486" s="166">
        <v>3</v>
      </c>
      <c r="AY486" s="166">
        <v>0</v>
      </c>
      <c r="AZ486" s="166">
        <v>0</v>
      </c>
      <c r="BA486" s="166">
        <v>0</v>
      </c>
      <c r="BB486" s="166">
        <v>0</v>
      </c>
      <c r="BC486" s="166">
        <v>0</v>
      </c>
      <c r="BD486" s="166">
        <v>0</v>
      </c>
      <c r="BE486" s="166">
        <v>0</v>
      </c>
      <c r="BF486" s="166">
        <v>0</v>
      </c>
      <c r="BG486" s="166">
        <v>0</v>
      </c>
      <c r="BH486" s="166">
        <v>0</v>
      </c>
      <c r="BI486" s="166">
        <v>0</v>
      </c>
      <c r="BJ486" s="166">
        <v>0</v>
      </c>
      <c r="BK486" s="166">
        <v>0</v>
      </c>
      <c r="BL486" s="166">
        <v>0</v>
      </c>
      <c r="BM486" s="166">
        <v>0</v>
      </c>
      <c r="BN486" s="166">
        <v>0</v>
      </c>
      <c r="BO486" s="166">
        <v>0</v>
      </c>
      <c r="BP486" s="166">
        <v>0</v>
      </c>
      <c r="BQ486" s="81" t="s">
        <v>1758</v>
      </c>
      <c r="BR486" s="81" t="s">
        <v>161</v>
      </c>
      <c r="BV486" s="81" t="s">
        <v>155</v>
      </c>
      <c r="BZ486" s="81" t="s">
        <v>155</v>
      </c>
      <c r="CA486" s="81" t="s">
        <v>3934</v>
      </c>
      <c r="CC486" s="167">
        <v>0</v>
      </c>
      <c r="CD486" s="167">
        <v>0</v>
      </c>
      <c r="CE486" s="167">
        <f>N486</f>
        <v>5</v>
      </c>
      <c r="CF486" s="167">
        <v>0</v>
      </c>
      <c r="CG486" s="167">
        <v>0</v>
      </c>
      <c r="CH486" s="167">
        <v>0</v>
      </c>
      <c r="CI486" s="167">
        <v>0</v>
      </c>
      <c r="CJ486" s="167">
        <v>0</v>
      </c>
      <c r="CK486" s="167">
        <v>0</v>
      </c>
      <c r="CL486" s="167">
        <v>0</v>
      </c>
      <c r="CM486" s="167">
        <v>0</v>
      </c>
      <c r="CN486" s="167">
        <v>0</v>
      </c>
      <c r="CO486" s="167">
        <v>0</v>
      </c>
      <c r="CP486" s="167">
        <v>0</v>
      </c>
      <c r="CQ486" s="167">
        <v>0</v>
      </c>
      <c r="CR486" s="167">
        <v>0</v>
      </c>
      <c r="CS486" s="167">
        <v>0</v>
      </c>
      <c r="CT486" s="167">
        <v>0</v>
      </c>
      <c r="CU486" s="167">
        <v>0</v>
      </c>
      <c r="CV486" s="167">
        <v>0</v>
      </c>
      <c r="CW486" s="167">
        <v>0</v>
      </c>
      <c r="CX486" s="167">
        <f>SUM(CD486:CH486)</f>
        <v>5</v>
      </c>
      <c r="CY486" s="167">
        <f>SUM(CD486:CM486)</f>
        <v>5</v>
      </c>
    </row>
    <row r="487" spans="1:103" ht="12.75" customHeight="1" x14ac:dyDescent="0.2">
      <c r="A487" s="81">
        <v>5292</v>
      </c>
      <c r="B487" s="165" t="s">
        <v>1908</v>
      </c>
      <c r="C487" s="165" t="s">
        <v>604</v>
      </c>
      <c r="E487" s="165" t="s">
        <v>3374</v>
      </c>
      <c r="F487" s="165" t="s">
        <v>608</v>
      </c>
      <c r="G487" s="81">
        <v>524279</v>
      </c>
      <c r="H487" s="81">
        <v>174909</v>
      </c>
      <c r="I487" s="165" t="s">
        <v>250</v>
      </c>
      <c r="J487" s="349">
        <v>42825</v>
      </c>
      <c r="L487" s="166">
        <v>0</v>
      </c>
      <c r="M487" s="166">
        <v>2</v>
      </c>
      <c r="N487" s="166">
        <v>2</v>
      </c>
      <c r="O487" s="166">
        <v>73</v>
      </c>
      <c r="P487" s="166">
        <v>73</v>
      </c>
      <c r="Q487" s="81" t="s">
        <v>155</v>
      </c>
      <c r="R487" s="165" t="s">
        <v>1138</v>
      </c>
      <c r="S487" s="81" t="s">
        <v>104</v>
      </c>
      <c r="T487" s="349">
        <v>42188</v>
      </c>
      <c r="U487" s="349">
        <v>42335</v>
      </c>
      <c r="W487" s="81" t="s">
        <v>114</v>
      </c>
      <c r="Y487" s="81" t="s">
        <v>115</v>
      </c>
      <c r="Z487" s="81" t="s">
        <v>116</v>
      </c>
      <c r="AA487" s="81" t="s">
        <v>116</v>
      </c>
      <c r="AB487" s="81" t="s">
        <v>117</v>
      </c>
      <c r="AC487" s="166">
        <v>0</v>
      </c>
      <c r="AD487" s="349">
        <v>42825</v>
      </c>
      <c r="AG487" s="81" t="s">
        <v>154</v>
      </c>
      <c r="AH487" s="81" t="s">
        <v>276</v>
      </c>
      <c r="AI487" s="81" t="s">
        <v>3375</v>
      </c>
      <c r="AK487" s="166">
        <v>2</v>
      </c>
      <c r="AM487" s="166">
        <v>1</v>
      </c>
      <c r="AO487" s="166">
        <v>0</v>
      </c>
      <c r="AP487" s="166">
        <v>2</v>
      </c>
      <c r="AQ487" s="166">
        <v>0</v>
      </c>
      <c r="AR487" s="166">
        <v>0</v>
      </c>
      <c r="AS487" s="166">
        <v>0</v>
      </c>
      <c r="AT487" s="166">
        <v>0</v>
      </c>
      <c r="AU487" s="166">
        <v>0</v>
      </c>
      <c r="AV487" s="166">
        <v>0</v>
      </c>
      <c r="AW487" s="166">
        <v>2</v>
      </c>
      <c r="AX487" s="166">
        <v>0</v>
      </c>
      <c r="AY487" s="166">
        <v>0</v>
      </c>
      <c r="AZ487" s="166">
        <v>0</v>
      </c>
      <c r="BA487" s="166">
        <v>0</v>
      </c>
      <c r="BB487" s="166">
        <v>0</v>
      </c>
      <c r="BC487" s="166">
        <v>0</v>
      </c>
      <c r="BD487" s="166">
        <v>0</v>
      </c>
      <c r="BE487" s="166">
        <v>0</v>
      </c>
      <c r="BF487" s="166">
        <v>0</v>
      </c>
      <c r="BG487" s="166">
        <v>0</v>
      </c>
      <c r="BH487" s="166">
        <v>0</v>
      </c>
      <c r="BI487" s="166">
        <v>0</v>
      </c>
      <c r="BJ487" s="166">
        <v>0</v>
      </c>
      <c r="BK487" s="166">
        <v>0</v>
      </c>
      <c r="BL487" s="166">
        <v>0</v>
      </c>
      <c r="BM487" s="166">
        <v>0</v>
      </c>
      <c r="BN487" s="166">
        <v>0</v>
      </c>
      <c r="BO487" s="166">
        <v>0</v>
      </c>
      <c r="BP487" s="166">
        <v>0</v>
      </c>
      <c r="BQ487" s="81" t="s">
        <v>1758</v>
      </c>
      <c r="BR487" s="81" t="s">
        <v>161</v>
      </c>
      <c r="BV487" s="81" t="s">
        <v>155</v>
      </c>
      <c r="BZ487" s="81" t="s">
        <v>155</v>
      </c>
      <c r="CA487" s="81" t="s">
        <v>3934</v>
      </c>
      <c r="CC487" s="167">
        <v>0</v>
      </c>
      <c r="CD487" s="167">
        <v>0</v>
      </c>
      <c r="CE487" s="167">
        <f>N487</f>
        <v>2</v>
      </c>
      <c r="CF487" s="167">
        <v>0</v>
      </c>
      <c r="CG487" s="167">
        <v>0</v>
      </c>
      <c r="CH487" s="167">
        <v>0</v>
      </c>
      <c r="CI487" s="167">
        <v>0</v>
      </c>
      <c r="CJ487" s="167">
        <v>0</v>
      </c>
      <c r="CK487" s="167">
        <v>0</v>
      </c>
      <c r="CL487" s="167">
        <v>0</v>
      </c>
      <c r="CM487" s="167">
        <v>0</v>
      </c>
      <c r="CN487" s="167">
        <v>0</v>
      </c>
      <c r="CO487" s="167">
        <v>0</v>
      </c>
      <c r="CP487" s="167">
        <v>0</v>
      </c>
      <c r="CQ487" s="167">
        <v>0</v>
      </c>
      <c r="CR487" s="167">
        <v>0</v>
      </c>
      <c r="CS487" s="167">
        <v>0</v>
      </c>
      <c r="CT487" s="167">
        <v>0</v>
      </c>
      <c r="CU487" s="167">
        <v>0</v>
      </c>
      <c r="CV487" s="167">
        <v>0</v>
      </c>
      <c r="CW487" s="167">
        <v>0</v>
      </c>
      <c r="CX487" s="167">
        <f>SUM(CD487:CH487)</f>
        <v>2</v>
      </c>
      <c r="CY487" s="167">
        <f>SUM(CD487:CM487)</f>
        <v>2</v>
      </c>
    </row>
    <row r="488" spans="1:103" ht="12.75" customHeight="1" x14ac:dyDescent="0.2">
      <c r="A488" s="81">
        <v>5292</v>
      </c>
      <c r="B488" s="165" t="s">
        <v>1908</v>
      </c>
      <c r="C488" s="165" t="s">
        <v>604</v>
      </c>
      <c r="E488" s="165" t="s">
        <v>3374</v>
      </c>
      <c r="F488" s="165" t="s">
        <v>609</v>
      </c>
      <c r="G488" s="81">
        <v>524279</v>
      </c>
      <c r="H488" s="81">
        <v>174909</v>
      </c>
      <c r="I488" s="165" t="s">
        <v>250</v>
      </c>
      <c r="J488" s="349">
        <v>42825</v>
      </c>
      <c r="L488" s="166">
        <v>0</v>
      </c>
      <c r="M488" s="166">
        <v>2</v>
      </c>
      <c r="N488" s="166">
        <v>2</v>
      </c>
      <c r="O488" s="166">
        <v>73</v>
      </c>
      <c r="P488" s="166">
        <v>73</v>
      </c>
      <c r="Q488" s="81" t="s">
        <v>155</v>
      </c>
      <c r="R488" s="165" t="s">
        <v>1138</v>
      </c>
      <c r="S488" s="81" t="s">
        <v>104</v>
      </c>
      <c r="T488" s="349">
        <v>42188</v>
      </c>
      <c r="U488" s="349">
        <v>42335</v>
      </c>
      <c r="W488" s="81" t="s">
        <v>114</v>
      </c>
      <c r="Y488" s="81" t="s">
        <v>115</v>
      </c>
      <c r="Z488" s="81" t="s">
        <v>116</v>
      </c>
      <c r="AA488" s="81" t="s">
        <v>116</v>
      </c>
      <c r="AB488" s="81" t="s">
        <v>117</v>
      </c>
      <c r="AC488" s="166">
        <v>0</v>
      </c>
      <c r="AD488" s="349">
        <v>42825</v>
      </c>
      <c r="AG488" s="81" t="s">
        <v>238</v>
      </c>
      <c r="AH488" s="81" t="s">
        <v>118</v>
      </c>
      <c r="AI488" s="81" t="s">
        <v>3375</v>
      </c>
      <c r="AK488" s="166">
        <v>2</v>
      </c>
      <c r="AM488" s="166">
        <v>0</v>
      </c>
      <c r="AO488" s="166">
        <v>0</v>
      </c>
      <c r="AP488" s="166">
        <v>0</v>
      </c>
      <c r="AQ488" s="166">
        <v>2</v>
      </c>
      <c r="AR488" s="166">
        <v>0</v>
      </c>
      <c r="AS488" s="166">
        <v>0</v>
      </c>
      <c r="AT488" s="166">
        <v>0</v>
      </c>
      <c r="AU488" s="166">
        <v>0</v>
      </c>
      <c r="AV488" s="166">
        <v>0</v>
      </c>
      <c r="AW488" s="166">
        <v>0</v>
      </c>
      <c r="AX488" s="166">
        <v>2</v>
      </c>
      <c r="AY488" s="166">
        <v>0</v>
      </c>
      <c r="AZ488" s="166">
        <v>0</v>
      </c>
      <c r="BA488" s="166">
        <v>0</v>
      </c>
      <c r="BB488" s="166">
        <v>0</v>
      </c>
      <c r="BC488" s="166">
        <v>0</v>
      </c>
      <c r="BD488" s="166">
        <v>0</v>
      </c>
      <c r="BE488" s="166">
        <v>0</v>
      </c>
      <c r="BF488" s="166">
        <v>0</v>
      </c>
      <c r="BG488" s="166">
        <v>0</v>
      </c>
      <c r="BH488" s="166">
        <v>0</v>
      </c>
      <c r="BI488" s="166">
        <v>0</v>
      </c>
      <c r="BJ488" s="166">
        <v>0</v>
      </c>
      <c r="BK488" s="166">
        <v>0</v>
      </c>
      <c r="BL488" s="166">
        <v>0</v>
      </c>
      <c r="BM488" s="166">
        <v>0</v>
      </c>
      <c r="BN488" s="166">
        <v>0</v>
      </c>
      <c r="BO488" s="166">
        <v>0</v>
      </c>
      <c r="BP488" s="166">
        <v>0</v>
      </c>
      <c r="BQ488" s="81" t="s">
        <v>1758</v>
      </c>
      <c r="BR488" s="81" t="s">
        <v>161</v>
      </c>
      <c r="BV488" s="81" t="s">
        <v>155</v>
      </c>
      <c r="BZ488" s="81" t="s">
        <v>155</v>
      </c>
      <c r="CA488" s="81" t="s">
        <v>3934</v>
      </c>
      <c r="CC488" s="167">
        <v>0</v>
      </c>
      <c r="CD488" s="167">
        <v>0</v>
      </c>
      <c r="CE488" s="167">
        <f>N488</f>
        <v>2</v>
      </c>
      <c r="CF488" s="167">
        <v>0</v>
      </c>
      <c r="CG488" s="167">
        <v>0</v>
      </c>
      <c r="CH488" s="167">
        <v>0</v>
      </c>
      <c r="CI488" s="167">
        <v>0</v>
      </c>
      <c r="CJ488" s="167">
        <v>0</v>
      </c>
      <c r="CK488" s="167">
        <v>0</v>
      </c>
      <c r="CL488" s="167">
        <v>0</v>
      </c>
      <c r="CM488" s="167">
        <v>0</v>
      </c>
      <c r="CN488" s="167">
        <v>0</v>
      </c>
      <c r="CO488" s="167">
        <v>0</v>
      </c>
      <c r="CP488" s="167">
        <v>0</v>
      </c>
      <c r="CQ488" s="167">
        <v>0</v>
      </c>
      <c r="CR488" s="167">
        <v>0</v>
      </c>
      <c r="CS488" s="167">
        <v>0</v>
      </c>
      <c r="CT488" s="167">
        <v>0</v>
      </c>
      <c r="CU488" s="167">
        <v>0</v>
      </c>
      <c r="CV488" s="167">
        <v>0</v>
      </c>
      <c r="CW488" s="167">
        <v>0</v>
      </c>
      <c r="CX488" s="167">
        <f>SUM(CD488:CH488)</f>
        <v>2</v>
      </c>
      <c r="CY488" s="167">
        <f>SUM(CD488:CM488)</f>
        <v>2</v>
      </c>
    </row>
    <row r="489" spans="1:103" ht="12.75" customHeight="1" x14ac:dyDescent="0.2">
      <c r="A489" s="81">
        <v>5292</v>
      </c>
      <c r="B489" s="165" t="s">
        <v>1908</v>
      </c>
      <c r="C489" s="165" t="s">
        <v>604</v>
      </c>
      <c r="E489" s="165" t="s">
        <v>3374</v>
      </c>
      <c r="F489" s="165" t="s">
        <v>610</v>
      </c>
      <c r="G489" s="81">
        <v>524279</v>
      </c>
      <c r="H489" s="81">
        <v>174909</v>
      </c>
      <c r="I489" s="165" t="s">
        <v>250</v>
      </c>
      <c r="J489" s="349">
        <v>42825</v>
      </c>
      <c r="L489" s="166">
        <v>0</v>
      </c>
      <c r="M489" s="166">
        <v>8</v>
      </c>
      <c r="N489" s="166">
        <v>8</v>
      </c>
      <c r="O489" s="166">
        <v>73</v>
      </c>
      <c r="P489" s="166">
        <v>73</v>
      </c>
      <c r="Q489" s="81" t="s">
        <v>155</v>
      </c>
      <c r="R489" s="165" t="s">
        <v>1138</v>
      </c>
      <c r="S489" s="81" t="s">
        <v>104</v>
      </c>
      <c r="T489" s="349">
        <v>42188</v>
      </c>
      <c r="U489" s="349">
        <v>42335</v>
      </c>
      <c r="W489" s="81" t="s">
        <v>114</v>
      </c>
      <c r="Y489" s="81" t="s">
        <v>115</v>
      </c>
      <c r="Z489" s="81" t="s">
        <v>116</v>
      </c>
      <c r="AA489" s="81" t="s">
        <v>116</v>
      </c>
      <c r="AB489" s="81" t="s">
        <v>117</v>
      </c>
      <c r="AC489" s="166">
        <v>0</v>
      </c>
      <c r="AD489" s="349">
        <v>42825</v>
      </c>
      <c r="AG489" s="81" t="s">
        <v>238</v>
      </c>
      <c r="AH489" s="81" t="s">
        <v>118</v>
      </c>
      <c r="AI489" s="81" t="s">
        <v>3375</v>
      </c>
      <c r="AK489" s="166">
        <v>8</v>
      </c>
      <c r="AM489" s="166">
        <v>1</v>
      </c>
      <c r="AO489" s="166">
        <v>0</v>
      </c>
      <c r="AP489" s="166">
        <v>3</v>
      </c>
      <c r="AQ489" s="166">
        <v>5</v>
      </c>
      <c r="AR489" s="166">
        <v>0</v>
      </c>
      <c r="AS489" s="166">
        <v>0</v>
      </c>
      <c r="AT489" s="166">
        <v>0</v>
      </c>
      <c r="AU489" s="166">
        <v>0</v>
      </c>
      <c r="AV489" s="166">
        <v>0</v>
      </c>
      <c r="AW489" s="166">
        <v>3</v>
      </c>
      <c r="AX489" s="166">
        <v>5</v>
      </c>
      <c r="AY489" s="166">
        <v>0</v>
      </c>
      <c r="AZ489" s="166">
        <v>0</v>
      </c>
      <c r="BA489" s="166">
        <v>0</v>
      </c>
      <c r="BB489" s="166">
        <v>0</v>
      </c>
      <c r="BC489" s="166">
        <v>0</v>
      </c>
      <c r="BD489" s="166">
        <v>0</v>
      </c>
      <c r="BE489" s="166">
        <v>0</v>
      </c>
      <c r="BF489" s="166">
        <v>0</v>
      </c>
      <c r="BG489" s="166">
        <v>0</v>
      </c>
      <c r="BH489" s="166">
        <v>0</v>
      </c>
      <c r="BI489" s="166">
        <v>0</v>
      </c>
      <c r="BJ489" s="166">
        <v>0</v>
      </c>
      <c r="BK489" s="166">
        <v>0</v>
      </c>
      <c r="BL489" s="166">
        <v>0</v>
      </c>
      <c r="BM489" s="166">
        <v>0</v>
      </c>
      <c r="BN489" s="166">
        <v>0</v>
      </c>
      <c r="BO489" s="166">
        <v>0</v>
      </c>
      <c r="BP489" s="166">
        <v>0</v>
      </c>
      <c r="BQ489" s="81" t="s">
        <v>1758</v>
      </c>
      <c r="BR489" s="81" t="s">
        <v>161</v>
      </c>
      <c r="BV489" s="81" t="s">
        <v>155</v>
      </c>
      <c r="BZ489" s="81" t="s">
        <v>155</v>
      </c>
      <c r="CA489" s="81" t="s">
        <v>3934</v>
      </c>
      <c r="CC489" s="167">
        <v>0</v>
      </c>
      <c r="CD489" s="167">
        <v>0</v>
      </c>
      <c r="CE489" s="167">
        <f>N489</f>
        <v>8</v>
      </c>
      <c r="CF489" s="167">
        <v>0</v>
      </c>
      <c r="CG489" s="167">
        <v>0</v>
      </c>
      <c r="CH489" s="167">
        <v>0</v>
      </c>
      <c r="CI489" s="167">
        <v>0</v>
      </c>
      <c r="CJ489" s="167">
        <v>0</v>
      </c>
      <c r="CK489" s="167">
        <v>0</v>
      </c>
      <c r="CL489" s="167">
        <v>0</v>
      </c>
      <c r="CM489" s="167">
        <v>0</v>
      </c>
      <c r="CN489" s="167">
        <v>0</v>
      </c>
      <c r="CO489" s="167">
        <v>0</v>
      </c>
      <c r="CP489" s="167">
        <v>0</v>
      </c>
      <c r="CQ489" s="167">
        <v>0</v>
      </c>
      <c r="CR489" s="167">
        <v>0</v>
      </c>
      <c r="CS489" s="167">
        <v>0</v>
      </c>
      <c r="CT489" s="167">
        <v>0</v>
      </c>
      <c r="CU489" s="167">
        <v>0</v>
      </c>
      <c r="CV489" s="167">
        <v>0</v>
      </c>
      <c r="CW489" s="167">
        <v>0</v>
      </c>
      <c r="CX489" s="167">
        <f>SUM(CD489:CH489)</f>
        <v>8</v>
      </c>
      <c r="CY489" s="167">
        <f>SUM(CD489:CM489)</f>
        <v>8</v>
      </c>
    </row>
    <row r="490" spans="1:103" ht="12.75" customHeight="1" x14ac:dyDescent="0.2">
      <c r="A490" s="81">
        <v>5292</v>
      </c>
      <c r="B490" s="165" t="s">
        <v>1908</v>
      </c>
      <c r="C490" s="165" t="s">
        <v>604</v>
      </c>
      <c r="E490" s="165" t="s">
        <v>3374</v>
      </c>
      <c r="F490" s="165" t="s">
        <v>611</v>
      </c>
      <c r="G490" s="81">
        <v>524279</v>
      </c>
      <c r="H490" s="81">
        <v>174909</v>
      </c>
      <c r="I490" s="165" t="s">
        <v>250</v>
      </c>
      <c r="J490" s="349">
        <v>42825</v>
      </c>
      <c r="L490" s="166">
        <v>0</v>
      </c>
      <c r="M490" s="166">
        <v>8</v>
      </c>
      <c r="N490" s="166">
        <v>8</v>
      </c>
      <c r="O490" s="166">
        <v>73</v>
      </c>
      <c r="P490" s="166">
        <v>73</v>
      </c>
      <c r="Q490" s="81" t="s">
        <v>155</v>
      </c>
      <c r="R490" s="165" t="s">
        <v>1138</v>
      </c>
      <c r="S490" s="81" t="s">
        <v>104</v>
      </c>
      <c r="T490" s="349">
        <v>42188</v>
      </c>
      <c r="U490" s="349">
        <v>42335</v>
      </c>
      <c r="W490" s="81" t="s">
        <v>114</v>
      </c>
      <c r="Y490" s="81" t="s">
        <v>115</v>
      </c>
      <c r="Z490" s="81" t="s">
        <v>116</v>
      </c>
      <c r="AA490" s="81" t="s">
        <v>116</v>
      </c>
      <c r="AB490" s="81" t="s">
        <v>117</v>
      </c>
      <c r="AC490" s="166">
        <v>0</v>
      </c>
      <c r="AD490" s="349">
        <v>42825</v>
      </c>
      <c r="AG490" s="81" t="s">
        <v>238</v>
      </c>
      <c r="AH490" s="81" t="s">
        <v>118</v>
      </c>
      <c r="AI490" s="81" t="s">
        <v>3375</v>
      </c>
      <c r="AK490" s="166">
        <v>8</v>
      </c>
      <c r="AM490" s="166">
        <v>1</v>
      </c>
      <c r="AO490" s="166">
        <v>0</v>
      </c>
      <c r="AP490" s="166">
        <v>2</v>
      </c>
      <c r="AQ490" s="166">
        <v>6</v>
      </c>
      <c r="AR490" s="166">
        <v>0</v>
      </c>
      <c r="AS490" s="166">
        <v>0</v>
      </c>
      <c r="AT490" s="166">
        <v>0</v>
      </c>
      <c r="AU490" s="166">
        <v>0</v>
      </c>
      <c r="AV490" s="166">
        <v>0</v>
      </c>
      <c r="AW490" s="166">
        <v>2</v>
      </c>
      <c r="AX490" s="166">
        <v>6</v>
      </c>
      <c r="AY490" s="166">
        <v>0</v>
      </c>
      <c r="AZ490" s="166">
        <v>0</v>
      </c>
      <c r="BA490" s="166">
        <v>0</v>
      </c>
      <c r="BB490" s="166">
        <v>0</v>
      </c>
      <c r="BC490" s="166">
        <v>0</v>
      </c>
      <c r="BD490" s="166">
        <v>0</v>
      </c>
      <c r="BE490" s="166">
        <v>0</v>
      </c>
      <c r="BF490" s="166">
        <v>0</v>
      </c>
      <c r="BG490" s="166">
        <v>0</v>
      </c>
      <c r="BH490" s="166">
        <v>0</v>
      </c>
      <c r="BI490" s="166">
        <v>0</v>
      </c>
      <c r="BJ490" s="166">
        <v>0</v>
      </c>
      <c r="BK490" s="166">
        <v>0</v>
      </c>
      <c r="BL490" s="166">
        <v>0</v>
      </c>
      <c r="BM490" s="166">
        <v>0</v>
      </c>
      <c r="BN490" s="166">
        <v>0</v>
      </c>
      <c r="BO490" s="166">
        <v>0</v>
      </c>
      <c r="BP490" s="166">
        <v>0</v>
      </c>
      <c r="BQ490" s="81" t="s">
        <v>1758</v>
      </c>
      <c r="BR490" s="81" t="s">
        <v>161</v>
      </c>
      <c r="BV490" s="81" t="s">
        <v>155</v>
      </c>
      <c r="BZ490" s="81" t="s">
        <v>155</v>
      </c>
      <c r="CA490" s="81" t="s">
        <v>3934</v>
      </c>
      <c r="CC490" s="167">
        <v>0</v>
      </c>
      <c r="CD490" s="167">
        <v>0</v>
      </c>
      <c r="CE490" s="167">
        <f>N490</f>
        <v>8</v>
      </c>
      <c r="CF490" s="167">
        <v>0</v>
      </c>
      <c r="CG490" s="167">
        <v>0</v>
      </c>
      <c r="CH490" s="167">
        <v>0</v>
      </c>
      <c r="CI490" s="167">
        <v>0</v>
      </c>
      <c r="CJ490" s="167">
        <v>0</v>
      </c>
      <c r="CK490" s="167">
        <v>0</v>
      </c>
      <c r="CL490" s="167">
        <v>0</v>
      </c>
      <c r="CM490" s="167">
        <v>0</v>
      </c>
      <c r="CN490" s="167">
        <v>0</v>
      </c>
      <c r="CO490" s="167">
        <v>0</v>
      </c>
      <c r="CP490" s="167">
        <v>0</v>
      </c>
      <c r="CQ490" s="167">
        <v>0</v>
      </c>
      <c r="CR490" s="167">
        <v>0</v>
      </c>
      <c r="CS490" s="167">
        <v>0</v>
      </c>
      <c r="CT490" s="167">
        <v>0</v>
      </c>
      <c r="CU490" s="167">
        <v>0</v>
      </c>
      <c r="CV490" s="167">
        <v>0</v>
      </c>
      <c r="CW490" s="167">
        <v>0</v>
      </c>
      <c r="CX490" s="167">
        <f>SUM(CD490:CH490)</f>
        <v>8</v>
      </c>
      <c r="CY490" s="167">
        <f>SUM(CD490:CM490)</f>
        <v>8</v>
      </c>
    </row>
    <row r="491" spans="1:103" ht="12.75" customHeight="1" x14ac:dyDescent="0.2">
      <c r="A491" s="81">
        <v>5292</v>
      </c>
      <c r="B491" s="165" t="s">
        <v>1908</v>
      </c>
      <c r="C491" s="165" t="s">
        <v>604</v>
      </c>
      <c r="E491" s="165" t="s">
        <v>3374</v>
      </c>
      <c r="F491" s="165" t="s">
        <v>612</v>
      </c>
      <c r="G491" s="81">
        <v>524279</v>
      </c>
      <c r="H491" s="81">
        <v>174909</v>
      </c>
      <c r="I491" s="165" t="s">
        <v>250</v>
      </c>
      <c r="J491" s="349">
        <v>42825</v>
      </c>
      <c r="L491" s="166">
        <v>0</v>
      </c>
      <c r="M491" s="166">
        <v>8</v>
      </c>
      <c r="N491" s="166">
        <v>8</v>
      </c>
      <c r="O491" s="166">
        <v>73</v>
      </c>
      <c r="P491" s="166">
        <v>73</v>
      </c>
      <c r="Q491" s="81" t="s">
        <v>155</v>
      </c>
      <c r="R491" s="165" t="s">
        <v>1138</v>
      </c>
      <c r="S491" s="81" t="s">
        <v>104</v>
      </c>
      <c r="T491" s="349">
        <v>42188</v>
      </c>
      <c r="U491" s="349">
        <v>42335</v>
      </c>
      <c r="W491" s="81" t="s">
        <v>114</v>
      </c>
      <c r="Y491" s="81" t="s">
        <v>115</v>
      </c>
      <c r="Z491" s="81" t="s">
        <v>116</v>
      </c>
      <c r="AA491" s="81" t="s">
        <v>116</v>
      </c>
      <c r="AB491" s="81" t="s">
        <v>117</v>
      </c>
      <c r="AC491" s="166">
        <v>0</v>
      </c>
      <c r="AD491" s="349">
        <v>42825</v>
      </c>
      <c r="AG491" s="81" t="s">
        <v>238</v>
      </c>
      <c r="AH491" s="81" t="s">
        <v>118</v>
      </c>
      <c r="AI491" s="81" t="s">
        <v>3375</v>
      </c>
      <c r="AK491" s="166">
        <v>8</v>
      </c>
      <c r="AM491" s="166">
        <v>1</v>
      </c>
      <c r="AO491" s="166">
        <v>0</v>
      </c>
      <c r="AP491" s="166">
        <v>2</v>
      </c>
      <c r="AQ491" s="166">
        <v>6</v>
      </c>
      <c r="AR491" s="166">
        <v>0</v>
      </c>
      <c r="AS491" s="166">
        <v>0</v>
      </c>
      <c r="AT491" s="166">
        <v>0</v>
      </c>
      <c r="AU491" s="166">
        <v>0</v>
      </c>
      <c r="AV491" s="166">
        <v>0</v>
      </c>
      <c r="AW491" s="166">
        <v>2</v>
      </c>
      <c r="AX491" s="166">
        <v>6</v>
      </c>
      <c r="AY491" s="166">
        <v>0</v>
      </c>
      <c r="AZ491" s="166">
        <v>0</v>
      </c>
      <c r="BA491" s="166">
        <v>0</v>
      </c>
      <c r="BB491" s="166">
        <v>0</v>
      </c>
      <c r="BC491" s="166">
        <v>0</v>
      </c>
      <c r="BD491" s="166">
        <v>0</v>
      </c>
      <c r="BE491" s="166">
        <v>0</v>
      </c>
      <c r="BF491" s="166">
        <v>0</v>
      </c>
      <c r="BG491" s="166">
        <v>0</v>
      </c>
      <c r="BH491" s="166">
        <v>0</v>
      </c>
      <c r="BI491" s="166">
        <v>0</v>
      </c>
      <c r="BJ491" s="166">
        <v>0</v>
      </c>
      <c r="BK491" s="166">
        <v>0</v>
      </c>
      <c r="BL491" s="166">
        <v>0</v>
      </c>
      <c r="BM491" s="166">
        <v>0</v>
      </c>
      <c r="BN491" s="166">
        <v>0</v>
      </c>
      <c r="BO491" s="166">
        <v>0</v>
      </c>
      <c r="BP491" s="166">
        <v>0</v>
      </c>
      <c r="BQ491" s="81" t="s">
        <v>1758</v>
      </c>
      <c r="BR491" s="81" t="s">
        <v>161</v>
      </c>
      <c r="BV491" s="81" t="s">
        <v>155</v>
      </c>
      <c r="BZ491" s="81" t="s">
        <v>155</v>
      </c>
      <c r="CA491" s="81" t="s">
        <v>3934</v>
      </c>
      <c r="CC491" s="167">
        <v>0</v>
      </c>
      <c r="CD491" s="167">
        <v>0</v>
      </c>
      <c r="CE491" s="167">
        <f>N491</f>
        <v>8</v>
      </c>
      <c r="CF491" s="167">
        <v>0</v>
      </c>
      <c r="CG491" s="167">
        <v>0</v>
      </c>
      <c r="CH491" s="167">
        <v>0</v>
      </c>
      <c r="CI491" s="167">
        <v>0</v>
      </c>
      <c r="CJ491" s="167">
        <v>0</v>
      </c>
      <c r="CK491" s="167">
        <v>0</v>
      </c>
      <c r="CL491" s="167">
        <v>0</v>
      </c>
      <c r="CM491" s="167">
        <v>0</v>
      </c>
      <c r="CN491" s="167">
        <v>0</v>
      </c>
      <c r="CO491" s="167">
        <v>0</v>
      </c>
      <c r="CP491" s="167">
        <v>0</v>
      </c>
      <c r="CQ491" s="167">
        <v>0</v>
      </c>
      <c r="CR491" s="167">
        <v>0</v>
      </c>
      <c r="CS491" s="167">
        <v>0</v>
      </c>
      <c r="CT491" s="167">
        <v>0</v>
      </c>
      <c r="CU491" s="167">
        <v>0</v>
      </c>
      <c r="CV491" s="167">
        <v>0</v>
      </c>
      <c r="CW491" s="167">
        <v>0</v>
      </c>
      <c r="CX491" s="167">
        <f>SUM(CD491:CH491)</f>
        <v>8</v>
      </c>
      <c r="CY491" s="167">
        <f>SUM(CD491:CM491)</f>
        <v>8</v>
      </c>
    </row>
    <row r="492" spans="1:103" ht="12.75" customHeight="1" x14ac:dyDescent="0.2">
      <c r="A492" s="81">
        <v>5292</v>
      </c>
      <c r="B492" s="165" t="s">
        <v>1908</v>
      </c>
      <c r="C492" s="165" t="s">
        <v>604</v>
      </c>
      <c r="E492" s="165" t="s">
        <v>3374</v>
      </c>
      <c r="F492" s="165" t="s">
        <v>613</v>
      </c>
      <c r="G492" s="81">
        <v>524279</v>
      </c>
      <c r="H492" s="81">
        <v>174909</v>
      </c>
      <c r="I492" s="165" t="s">
        <v>250</v>
      </c>
      <c r="J492" s="349">
        <v>42825</v>
      </c>
      <c r="L492" s="166">
        <v>0</v>
      </c>
      <c r="M492" s="166">
        <v>8</v>
      </c>
      <c r="N492" s="166">
        <v>8</v>
      </c>
      <c r="O492" s="166">
        <v>73</v>
      </c>
      <c r="P492" s="166">
        <v>73</v>
      </c>
      <c r="Q492" s="81" t="s">
        <v>155</v>
      </c>
      <c r="R492" s="165" t="s">
        <v>1138</v>
      </c>
      <c r="S492" s="81" t="s">
        <v>104</v>
      </c>
      <c r="T492" s="349">
        <v>42188</v>
      </c>
      <c r="U492" s="349">
        <v>42335</v>
      </c>
      <c r="W492" s="81" t="s">
        <v>114</v>
      </c>
      <c r="Y492" s="81" t="s">
        <v>115</v>
      </c>
      <c r="Z492" s="81" t="s">
        <v>116</v>
      </c>
      <c r="AA492" s="81" t="s">
        <v>116</v>
      </c>
      <c r="AB492" s="81" t="s">
        <v>117</v>
      </c>
      <c r="AC492" s="166">
        <v>0</v>
      </c>
      <c r="AD492" s="349">
        <v>42825</v>
      </c>
      <c r="AG492" s="81" t="s">
        <v>238</v>
      </c>
      <c r="AH492" s="81" t="s">
        <v>118</v>
      </c>
      <c r="AI492" s="81" t="s">
        <v>3375</v>
      </c>
      <c r="AK492" s="166">
        <v>8</v>
      </c>
      <c r="AM492" s="166">
        <v>1</v>
      </c>
      <c r="AO492" s="166">
        <v>0</v>
      </c>
      <c r="AP492" s="166">
        <v>2</v>
      </c>
      <c r="AQ492" s="166">
        <v>6</v>
      </c>
      <c r="AR492" s="166">
        <v>0</v>
      </c>
      <c r="AS492" s="166">
        <v>0</v>
      </c>
      <c r="AT492" s="166">
        <v>0</v>
      </c>
      <c r="AU492" s="166">
        <v>0</v>
      </c>
      <c r="AV492" s="166">
        <v>0</v>
      </c>
      <c r="AW492" s="166">
        <v>2</v>
      </c>
      <c r="AX492" s="166">
        <v>6</v>
      </c>
      <c r="AY492" s="166">
        <v>0</v>
      </c>
      <c r="AZ492" s="166">
        <v>0</v>
      </c>
      <c r="BA492" s="166">
        <v>0</v>
      </c>
      <c r="BB492" s="166">
        <v>0</v>
      </c>
      <c r="BC492" s="166">
        <v>0</v>
      </c>
      <c r="BD492" s="166">
        <v>0</v>
      </c>
      <c r="BE492" s="166">
        <v>0</v>
      </c>
      <c r="BF492" s="166">
        <v>0</v>
      </c>
      <c r="BG492" s="166">
        <v>0</v>
      </c>
      <c r="BH492" s="166">
        <v>0</v>
      </c>
      <c r="BI492" s="166">
        <v>0</v>
      </c>
      <c r="BJ492" s="166">
        <v>0</v>
      </c>
      <c r="BK492" s="166">
        <v>0</v>
      </c>
      <c r="BL492" s="166">
        <v>0</v>
      </c>
      <c r="BM492" s="166">
        <v>0</v>
      </c>
      <c r="BN492" s="166">
        <v>0</v>
      </c>
      <c r="BO492" s="166">
        <v>0</v>
      </c>
      <c r="BP492" s="166">
        <v>0</v>
      </c>
      <c r="BQ492" s="81" t="s">
        <v>1758</v>
      </c>
      <c r="BR492" s="81" t="s">
        <v>161</v>
      </c>
      <c r="BV492" s="81" t="s">
        <v>155</v>
      </c>
      <c r="BZ492" s="81" t="s">
        <v>155</v>
      </c>
      <c r="CA492" s="81" t="s">
        <v>3934</v>
      </c>
      <c r="CC492" s="167">
        <v>0</v>
      </c>
      <c r="CD492" s="167">
        <v>0</v>
      </c>
      <c r="CE492" s="167">
        <f>N492</f>
        <v>8</v>
      </c>
      <c r="CF492" s="167">
        <v>0</v>
      </c>
      <c r="CG492" s="167">
        <v>0</v>
      </c>
      <c r="CH492" s="167">
        <v>0</v>
      </c>
      <c r="CI492" s="167">
        <v>0</v>
      </c>
      <c r="CJ492" s="167">
        <v>0</v>
      </c>
      <c r="CK492" s="167">
        <v>0</v>
      </c>
      <c r="CL492" s="167">
        <v>0</v>
      </c>
      <c r="CM492" s="167">
        <v>0</v>
      </c>
      <c r="CN492" s="167">
        <v>0</v>
      </c>
      <c r="CO492" s="167">
        <v>0</v>
      </c>
      <c r="CP492" s="167">
        <v>0</v>
      </c>
      <c r="CQ492" s="167">
        <v>0</v>
      </c>
      <c r="CR492" s="167">
        <v>0</v>
      </c>
      <c r="CS492" s="167">
        <v>0</v>
      </c>
      <c r="CT492" s="167">
        <v>0</v>
      </c>
      <c r="CU492" s="167">
        <v>0</v>
      </c>
      <c r="CV492" s="167">
        <v>0</v>
      </c>
      <c r="CW492" s="167">
        <v>0</v>
      </c>
      <c r="CX492" s="167">
        <f>SUM(CD492:CH492)</f>
        <v>8</v>
      </c>
      <c r="CY492" s="167">
        <f>SUM(CD492:CM492)</f>
        <v>8</v>
      </c>
    </row>
    <row r="493" spans="1:103" ht="12.75" customHeight="1" x14ac:dyDescent="0.2">
      <c r="A493" s="81">
        <v>5292</v>
      </c>
      <c r="B493" s="165" t="s">
        <v>1908</v>
      </c>
      <c r="C493" s="165" t="s">
        <v>604</v>
      </c>
      <c r="E493" s="165" t="s">
        <v>3374</v>
      </c>
      <c r="F493" s="165" t="s">
        <v>614</v>
      </c>
      <c r="G493" s="81">
        <v>524279</v>
      </c>
      <c r="H493" s="81">
        <v>174909</v>
      </c>
      <c r="I493" s="165" t="s">
        <v>250</v>
      </c>
      <c r="J493" s="349">
        <v>42825</v>
      </c>
      <c r="L493" s="166">
        <v>0</v>
      </c>
      <c r="M493" s="166">
        <v>7</v>
      </c>
      <c r="N493" s="166">
        <v>7</v>
      </c>
      <c r="O493" s="166">
        <v>73</v>
      </c>
      <c r="P493" s="166">
        <v>73</v>
      </c>
      <c r="Q493" s="81" t="s">
        <v>155</v>
      </c>
      <c r="R493" s="165" t="s">
        <v>1138</v>
      </c>
      <c r="S493" s="81" t="s">
        <v>104</v>
      </c>
      <c r="T493" s="349">
        <v>42188</v>
      </c>
      <c r="U493" s="349">
        <v>42335</v>
      </c>
      <c r="W493" s="81" t="s">
        <v>114</v>
      </c>
      <c r="Y493" s="81" t="s">
        <v>115</v>
      </c>
      <c r="Z493" s="81" t="s">
        <v>116</v>
      </c>
      <c r="AA493" s="81" t="s">
        <v>116</v>
      </c>
      <c r="AB493" s="81" t="s">
        <v>117</v>
      </c>
      <c r="AC493" s="166">
        <v>0</v>
      </c>
      <c r="AD493" s="349">
        <v>42825</v>
      </c>
      <c r="AG493" s="81" t="s">
        <v>238</v>
      </c>
      <c r="AH493" s="81" t="s">
        <v>118</v>
      </c>
      <c r="AI493" s="81" t="s">
        <v>3375</v>
      </c>
      <c r="AK493" s="166">
        <v>7</v>
      </c>
      <c r="AM493" s="166">
        <v>1</v>
      </c>
      <c r="AO493" s="166">
        <v>0</v>
      </c>
      <c r="AP493" s="166">
        <v>0</v>
      </c>
      <c r="AQ493" s="166">
        <v>6</v>
      </c>
      <c r="AR493" s="166">
        <v>1</v>
      </c>
      <c r="AS493" s="166">
        <v>0</v>
      </c>
      <c r="AT493" s="166">
        <v>0</v>
      </c>
      <c r="AU493" s="166">
        <v>0</v>
      </c>
      <c r="AV493" s="166">
        <v>0</v>
      </c>
      <c r="AW493" s="166">
        <v>0</v>
      </c>
      <c r="AX493" s="166">
        <v>6</v>
      </c>
      <c r="AY493" s="166">
        <v>1</v>
      </c>
      <c r="AZ493" s="166">
        <v>0</v>
      </c>
      <c r="BA493" s="166">
        <v>0</v>
      </c>
      <c r="BB493" s="166">
        <v>0</v>
      </c>
      <c r="BC493" s="166">
        <v>0</v>
      </c>
      <c r="BD493" s="166">
        <v>0</v>
      </c>
      <c r="BE493" s="166">
        <v>0</v>
      </c>
      <c r="BF493" s="166">
        <v>0</v>
      </c>
      <c r="BG493" s="166">
        <v>0</v>
      </c>
      <c r="BH493" s="166">
        <v>0</v>
      </c>
      <c r="BI493" s="166">
        <v>0</v>
      </c>
      <c r="BJ493" s="166">
        <v>0</v>
      </c>
      <c r="BK493" s="166">
        <v>0</v>
      </c>
      <c r="BL493" s="166">
        <v>0</v>
      </c>
      <c r="BM493" s="166">
        <v>0</v>
      </c>
      <c r="BN493" s="166">
        <v>0</v>
      </c>
      <c r="BO493" s="166">
        <v>0</v>
      </c>
      <c r="BP493" s="166">
        <v>0</v>
      </c>
      <c r="BQ493" s="81" t="s">
        <v>1758</v>
      </c>
      <c r="BR493" s="81" t="s">
        <v>161</v>
      </c>
      <c r="BV493" s="81" t="s">
        <v>155</v>
      </c>
      <c r="BZ493" s="81" t="s">
        <v>155</v>
      </c>
      <c r="CA493" s="81" t="s">
        <v>3934</v>
      </c>
      <c r="CC493" s="167">
        <v>0</v>
      </c>
      <c r="CD493" s="167">
        <v>0</v>
      </c>
      <c r="CE493" s="167">
        <f>N493</f>
        <v>7</v>
      </c>
      <c r="CF493" s="167">
        <v>0</v>
      </c>
      <c r="CG493" s="167">
        <v>0</v>
      </c>
      <c r="CH493" s="167">
        <v>0</v>
      </c>
      <c r="CI493" s="167">
        <v>0</v>
      </c>
      <c r="CJ493" s="167">
        <v>0</v>
      </c>
      <c r="CK493" s="167">
        <v>0</v>
      </c>
      <c r="CL493" s="167">
        <v>0</v>
      </c>
      <c r="CM493" s="167">
        <v>0</v>
      </c>
      <c r="CN493" s="167">
        <v>0</v>
      </c>
      <c r="CO493" s="167">
        <v>0</v>
      </c>
      <c r="CP493" s="167">
        <v>0</v>
      </c>
      <c r="CQ493" s="167">
        <v>0</v>
      </c>
      <c r="CR493" s="167">
        <v>0</v>
      </c>
      <c r="CS493" s="167">
        <v>0</v>
      </c>
      <c r="CT493" s="167">
        <v>0</v>
      </c>
      <c r="CU493" s="167">
        <v>0</v>
      </c>
      <c r="CV493" s="167">
        <v>0</v>
      </c>
      <c r="CW493" s="167">
        <v>0</v>
      </c>
      <c r="CX493" s="167">
        <f>SUM(CD493:CH493)</f>
        <v>7</v>
      </c>
      <c r="CY493" s="167">
        <f>SUM(CD493:CM493)</f>
        <v>7</v>
      </c>
    </row>
    <row r="494" spans="1:103" ht="12.75" customHeight="1" x14ac:dyDescent="0.2">
      <c r="A494" s="81">
        <v>5292</v>
      </c>
      <c r="B494" s="165" t="s">
        <v>1908</v>
      </c>
      <c r="C494" s="165" t="s">
        <v>604</v>
      </c>
      <c r="E494" s="165" t="s">
        <v>3374</v>
      </c>
      <c r="F494" s="165" t="s">
        <v>615</v>
      </c>
      <c r="G494" s="81">
        <v>524279</v>
      </c>
      <c r="H494" s="81">
        <v>174909</v>
      </c>
      <c r="I494" s="165" t="s">
        <v>250</v>
      </c>
      <c r="J494" s="349">
        <v>42825</v>
      </c>
      <c r="L494" s="166">
        <v>0</v>
      </c>
      <c r="M494" s="166">
        <v>4</v>
      </c>
      <c r="N494" s="166">
        <v>4</v>
      </c>
      <c r="O494" s="166">
        <v>73</v>
      </c>
      <c r="P494" s="166">
        <v>73</v>
      </c>
      <c r="Q494" s="81" t="s">
        <v>155</v>
      </c>
      <c r="R494" s="165" t="s">
        <v>1138</v>
      </c>
      <c r="S494" s="81" t="s">
        <v>104</v>
      </c>
      <c r="T494" s="349">
        <v>42188</v>
      </c>
      <c r="U494" s="349">
        <v>42335</v>
      </c>
      <c r="W494" s="81" t="s">
        <v>114</v>
      </c>
      <c r="Y494" s="81" t="s">
        <v>115</v>
      </c>
      <c r="Z494" s="81" t="s">
        <v>116</v>
      </c>
      <c r="AA494" s="81" t="s">
        <v>116</v>
      </c>
      <c r="AB494" s="81" t="s">
        <v>117</v>
      </c>
      <c r="AC494" s="166">
        <v>0</v>
      </c>
      <c r="AD494" s="349">
        <v>42825</v>
      </c>
      <c r="AG494" s="81" t="s">
        <v>238</v>
      </c>
      <c r="AH494" s="81" t="s">
        <v>118</v>
      </c>
      <c r="AI494" s="81" t="s">
        <v>3375</v>
      </c>
      <c r="AK494" s="166">
        <v>4</v>
      </c>
      <c r="AM494" s="166">
        <v>0</v>
      </c>
      <c r="AO494" s="166">
        <v>0</v>
      </c>
      <c r="AP494" s="166">
        <v>0</v>
      </c>
      <c r="AQ494" s="166">
        <v>2</v>
      </c>
      <c r="AR494" s="166">
        <v>2</v>
      </c>
      <c r="AS494" s="166">
        <v>0</v>
      </c>
      <c r="AT494" s="166">
        <v>0</v>
      </c>
      <c r="AU494" s="166">
        <v>0</v>
      </c>
      <c r="AV494" s="166">
        <v>0</v>
      </c>
      <c r="AW494" s="166">
        <v>0</v>
      </c>
      <c r="AX494" s="166">
        <v>2</v>
      </c>
      <c r="AY494" s="166">
        <v>2</v>
      </c>
      <c r="AZ494" s="166">
        <v>0</v>
      </c>
      <c r="BA494" s="166">
        <v>0</v>
      </c>
      <c r="BB494" s="166">
        <v>0</v>
      </c>
      <c r="BC494" s="166">
        <v>0</v>
      </c>
      <c r="BD494" s="166">
        <v>0</v>
      </c>
      <c r="BE494" s="166">
        <v>0</v>
      </c>
      <c r="BF494" s="166">
        <v>0</v>
      </c>
      <c r="BG494" s="166">
        <v>0</v>
      </c>
      <c r="BH494" s="166">
        <v>0</v>
      </c>
      <c r="BI494" s="166">
        <v>0</v>
      </c>
      <c r="BJ494" s="166">
        <v>0</v>
      </c>
      <c r="BK494" s="166">
        <v>0</v>
      </c>
      <c r="BL494" s="166">
        <v>0</v>
      </c>
      <c r="BM494" s="166">
        <v>0</v>
      </c>
      <c r="BN494" s="166">
        <v>0</v>
      </c>
      <c r="BO494" s="166">
        <v>0</v>
      </c>
      <c r="BP494" s="166">
        <v>0</v>
      </c>
      <c r="BQ494" s="81" t="s">
        <v>1758</v>
      </c>
      <c r="BR494" s="81" t="s">
        <v>161</v>
      </c>
      <c r="BV494" s="81" t="s">
        <v>155</v>
      </c>
      <c r="BZ494" s="81" t="s">
        <v>155</v>
      </c>
      <c r="CA494" s="81" t="s">
        <v>3934</v>
      </c>
      <c r="CC494" s="167">
        <v>0</v>
      </c>
      <c r="CD494" s="167">
        <v>0</v>
      </c>
      <c r="CE494" s="167">
        <f>N494</f>
        <v>4</v>
      </c>
      <c r="CF494" s="167">
        <v>0</v>
      </c>
      <c r="CG494" s="167">
        <v>0</v>
      </c>
      <c r="CH494" s="167">
        <v>0</v>
      </c>
      <c r="CI494" s="167">
        <v>0</v>
      </c>
      <c r="CJ494" s="167">
        <v>0</v>
      </c>
      <c r="CK494" s="167">
        <v>0</v>
      </c>
      <c r="CL494" s="167">
        <v>0</v>
      </c>
      <c r="CM494" s="167">
        <v>0</v>
      </c>
      <c r="CN494" s="167">
        <v>0</v>
      </c>
      <c r="CO494" s="167">
        <v>0</v>
      </c>
      <c r="CP494" s="167">
        <v>0</v>
      </c>
      <c r="CQ494" s="167">
        <v>0</v>
      </c>
      <c r="CR494" s="167">
        <v>0</v>
      </c>
      <c r="CS494" s="167">
        <v>0</v>
      </c>
      <c r="CT494" s="167">
        <v>0</v>
      </c>
      <c r="CU494" s="167">
        <v>0</v>
      </c>
      <c r="CV494" s="167">
        <v>0</v>
      </c>
      <c r="CW494" s="167">
        <v>0</v>
      </c>
      <c r="CX494" s="167">
        <f>SUM(CD494:CH494)</f>
        <v>4</v>
      </c>
      <c r="CY494" s="167">
        <f>SUM(CD494:CM494)</f>
        <v>4</v>
      </c>
    </row>
    <row r="495" spans="1:103" ht="12.75" customHeight="1" x14ac:dyDescent="0.2">
      <c r="A495" s="81">
        <v>5292</v>
      </c>
      <c r="B495" s="165" t="s">
        <v>1908</v>
      </c>
      <c r="C495" s="165" t="s">
        <v>604</v>
      </c>
      <c r="E495" s="165" t="s">
        <v>3374</v>
      </c>
      <c r="F495" s="165" t="s">
        <v>616</v>
      </c>
      <c r="G495" s="81">
        <v>524279</v>
      </c>
      <c r="H495" s="81">
        <v>174909</v>
      </c>
      <c r="I495" s="165" t="s">
        <v>250</v>
      </c>
      <c r="J495" s="349">
        <v>42825</v>
      </c>
      <c r="L495" s="166">
        <v>0</v>
      </c>
      <c r="M495" s="166">
        <v>4</v>
      </c>
      <c r="N495" s="166">
        <v>4</v>
      </c>
      <c r="O495" s="166">
        <v>73</v>
      </c>
      <c r="P495" s="166">
        <v>73</v>
      </c>
      <c r="Q495" s="81" t="s">
        <v>155</v>
      </c>
      <c r="R495" s="165" t="s">
        <v>1138</v>
      </c>
      <c r="S495" s="81" t="s">
        <v>104</v>
      </c>
      <c r="T495" s="349">
        <v>42188</v>
      </c>
      <c r="U495" s="349">
        <v>42335</v>
      </c>
      <c r="W495" s="81" t="s">
        <v>114</v>
      </c>
      <c r="Y495" s="81" t="s">
        <v>115</v>
      </c>
      <c r="Z495" s="81" t="s">
        <v>116</v>
      </c>
      <c r="AA495" s="81" t="s">
        <v>116</v>
      </c>
      <c r="AB495" s="81" t="s">
        <v>117</v>
      </c>
      <c r="AC495" s="166">
        <v>0</v>
      </c>
      <c r="AD495" s="349">
        <v>42825</v>
      </c>
      <c r="AG495" s="81" t="s">
        <v>238</v>
      </c>
      <c r="AH495" s="81" t="s">
        <v>118</v>
      </c>
      <c r="AI495" s="81" t="s">
        <v>3375</v>
      </c>
      <c r="AK495" s="166">
        <v>4</v>
      </c>
      <c r="AM495" s="166">
        <v>0</v>
      </c>
      <c r="AO495" s="166">
        <v>0</v>
      </c>
      <c r="AP495" s="166">
        <v>0</v>
      </c>
      <c r="AQ495" s="166">
        <v>2</v>
      </c>
      <c r="AR495" s="166">
        <v>2</v>
      </c>
      <c r="AS495" s="166">
        <v>0</v>
      </c>
      <c r="AT495" s="166">
        <v>0</v>
      </c>
      <c r="AU495" s="166">
        <v>0</v>
      </c>
      <c r="AV495" s="166">
        <v>0</v>
      </c>
      <c r="AW495" s="166">
        <v>0</v>
      </c>
      <c r="AX495" s="166">
        <v>2</v>
      </c>
      <c r="AY495" s="166">
        <v>2</v>
      </c>
      <c r="AZ495" s="166">
        <v>0</v>
      </c>
      <c r="BA495" s="166">
        <v>0</v>
      </c>
      <c r="BB495" s="166">
        <v>0</v>
      </c>
      <c r="BC495" s="166">
        <v>0</v>
      </c>
      <c r="BD495" s="166">
        <v>0</v>
      </c>
      <c r="BE495" s="166">
        <v>0</v>
      </c>
      <c r="BF495" s="166">
        <v>0</v>
      </c>
      <c r="BG495" s="166">
        <v>0</v>
      </c>
      <c r="BH495" s="166">
        <v>0</v>
      </c>
      <c r="BI495" s="166">
        <v>0</v>
      </c>
      <c r="BJ495" s="166">
        <v>0</v>
      </c>
      <c r="BK495" s="166">
        <v>0</v>
      </c>
      <c r="BL495" s="166">
        <v>0</v>
      </c>
      <c r="BM495" s="166">
        <v>0</v>
      </c>
      <c r="BN495" s="166">
        <v>0</v>
      </c>
      <c r="BO495" s="166">
        <v>0</v>
      </c>
      <c r="BP495" s="166">
        <v>0</v>
      </c>
      <c r="BQ495" s="81" t="s">
        <v>1758</v>
      </c>
      <c r="BR495" s="81" t="s">
        <v>161</v>
      </c>
      <c r="BV495" s="81" t="s">
        <v>155</v>
      </c>
      <c r="BZ495" s="81" t="s">
        <v>155</v>
      </c>
      <c r="CA495" s="81" t="s">
        <v>3934</v>
      </c>
      <c r="CC495" s="167">
        <v>0</v>
      </c>
      <c r="CD495" s="167">
        <v>0</v>
      </c>
      <c r="CE495" s="167">
        <f>N495</f>
        <v>4</v>
      </c>
      <c r="CF495" s="167">
        <v>0</v>
      </c>
      <c r="CG495" s="167">
        <v>0</v>
      </c>
      <c r="CH495" s="167">
        <v>0</v>
      </c>
      <c r="CI495" s="167">
        <v>0</v>
      </c>
      <c r="CJ495" s="167">
        <v>0</v>
      </c>
      <c r="CK495" s="167">
        <v>0</v>
      </c>
      <c r="CL495" s="167">
        <v>0</v>
      </c>
      <c r="CM495" s="167">
        <v>0</v>
      </c>
      <c r="CN495" s="167">
        <v>0</v>
      </c>
      <c r="CO495" s="167">
        <v>0</v>
      </c>
      <c r="CP495" s="167">
        <v>0</v>
      </c>
      <c r="CQ495" s="167">
        <v>0</v>
      </c>
      <c r="CR495" s="167">
        <v>0</v>
      </c>
      <c r="CS495" s="167">
        <v>0</v>
      </c>
      <c r="CT495" s="167">
        <v>0</v>
      </c>
      <c r="CU495" s="167">
        <v>0</v>
      </c>
      <c r="CV495" s="167">
        <v>0</v>
      </c>
      <c r="CW495" s="167">
        <v>0</v>
      </c>
      <c r="CX495" s="167">
        <f>SUM(CD495:CH495)</f>
        <v>4</v>
      </c>
      <c r="CY495" s="167">
        <f>SUM(CD495:CM495)</f>
        <v>4</v>
      </c>
    </row>
    <row r="496" spans="1:103" ht="12.75" customHeight="1" x14ac:dyDescent="0.2">
      <c r="A496" s="81">
        <v>5292</v>
      </c>
      <c r="B496" s="165" t="s">
        <v>1908</v>
      </c>
      <c r="C496" s="165" t="s">
        <v>604</v>
      </c>
      <c r="E496" s="165" t="s">
        <v>3374</v>
      </c>
      <c r="F496" s="165" t="s">
        <v>617</v>
      </c>
      <c r="G496" s="81">
        <v>524279</v>
      </c>
      <c r="H496" s="81">
        <v>174909</v>
      </c>
      <c r="I496" s="165" t="s">
        <v>250</v>
      </c>
      <c r="J496" s="349">
        <v>42825</v>
      </c>
      <c r="L496" s="166">
        <v>0</v>
      </c>
      <c r="M496" s="166">
        <v>4</v>
      </c>
      <c r="N496" s="166">
        <v>4</v>
      </c>
      <c r="O496" s="166">
        <v>73</v>
      </c>
      <c r="P496" s="166">
        <v>73</v>
      </c>
      <c r="Q496" s="81" t="s">
        <v>155</v>
      </c>
      <c r="R496" s="165" t="s">
        <v>1138</v>
      </c>
      <c r="S496" s="81" t="s">
        <v>104</v>
      </c>
      <c r="T496" s="349">
        <v>42188</v>
      </c>
      <c r="U496" s="349">
        <v>42335</v>
      </c>
      <c r="W496" s="81" t="s">
        <v>114</v>
      </c>
      <c r="Y496" s="81" t="s">
        <v>115</v>
      </c>
      <c r="Z496" s="81" t="s">
        <v>116</v>
      </c>
      <c r="AA496" s="81" t="s">
        <v>116</v>
      </c>
      <c r="AB496" s="81" t="s">
        <v>117</v>
      </c>
      <c r="AC496" s="166">
        <v>0.21400000154972099</v>
      </c>
      <c r="AD496" s="349">
        <v>42825</v>
      </c>
      <c r="AG496" s="81" t="s">
        <v>154</v>
      </c>
      <c r="AH496" s="81" t="s">
        <v>276</v>
      </c>
      <c r="AI496" s="81" t="s">
        <v>3375</v>
      </c>
      <c r="AK496" s="166">
        <v>4</v>
      </c>
      <c r="AM496" s="166">
        <v>1</v>
      </c>
      <c r="AO496" s="166">
        <v>0</v>
      </c>
      <c r="AP496" s="166">
        <v>2</v>
      </c>
      <c r="AQ496" s="166">
        <v>1</v>
      </c>
      <c r="AR496" s="166">
        <v>1</v>
      </c>
      <c r="AS496" s="166">
        <v>0</v>
      </c>
      <c r="AT496" s="166">
        <v>0</v>
      </c>
      <c r="AU496" s="166">
        <v>0</v>
      </c>
      <c r="AV496" s="166">
        <v>0</v>
      </c>
      <c r="AW496" s="166">
        <v>2</v>
      </c>
      <c r="AX496" s="166">
        <v>1</v>
      </c>
      <c r="AY496" s="166">
        <v>1</v>
      </c>
      <c r="AZ496" s="166">
        <v>0</v>
      </c>
      <c r="BA496" s="166">
        <v>0</v>
      </c>
      <c r="BB496" s="166">
        <v>0</v>
      </c>
      <c r="BC496" s="166">
        <v>0</v>
      </c>
      <c r="BD496" s="166">
        <v>0</v>
      </c>
      <c r="BE496" s="166">
        <v>0</v>
      </c>
      <c r="BF496" s="166">
        <v>0</v>
      </c>
      <c r="BG496" s="166">
        <v>0</v>
      </c>
      <c r="BH496" s="166">
        <v>0</v>
      </c>
      <c r="BI496" s="166">
        <v>0</v>
      </c>
      <c r="BJ496" s="166">
        <v>0</v>
      </c>
      <c r="BK496" s="166">
        <v>0</v>
      </c>
      <c r="BL496" s="166">
        <v>0</v>
      </c>
      <c r="BM496" s="166">
        <v>0</v>
      </c>
      <c r="BN496" s="166">
        <v>0</v>
      </c>
      <c r="BO496" s="166">
        <v>0</v>
      </c>
      <c r="BP496" s="166">
        <v>0</v>
      </c>
      <c r="BQ496" s="81" t="s">
        <v>1758</v>
      </c>
      <c r="BR496" s="81" t="s">
        <v>161</v>
      </c>
      <c r="BV496" s="81" t="s">
        <v>155</v>
      </c>
      <c r="BZ496" s="81" t="s">
        <v>155</v>
      </c>
      <c r="CA496" s="81" t="s">
        <v>3934</v>
      </c>
      <c r="CC496" s="167">
        <v>0</v>
      </c>
      <c r="CD496" s="167">
        <v>0</v>
      </c>
      <c r="CE496" s="167">
        <f>N496</f>
        <v>4</v>
      </c>
      <c r="CF496" s="167">
        <v>0</v>
      </c>
      <c r="CG496" s="167">
        <v>0</v>
      </c>
      <c r="CH496" s="167">
        <v>0</v>
      </c>
      <c r="CI496" s="167">
        <v>0</v>
      </c>
      <c r="CJ496" s="167">
        <v>0</v>
      </c>
      <c r="CK496" s="167">
        <v>0</v>
      </c>
      <c r="CL496" s="167">
        <v>0</v>
      </c>
      <c r="CM496" s="167">
        <v>0</v>
      </c>
      <c r="CN496" s="167">
        <v>0</v>
      </c>
      <c r="CO496" s="167">
        <v>0</v>
      </c>
      <c r="CP496" s="167">
        <v>0</v>
      </c>
      <c r="CQ496" s="167">
        <v>0</v>
      </c>
      <c r="CR496" s="167">
        <v>0</v>
      </c>
      <c r="CS496" s="167">
        <v>0</v>
      </c>
      <c r="CT496" s="167">
        <v>0</v>
      </c>
      <c r="CU496" s="167">
        <v>0</v>
      </c>
      <c r="CV496" s="167">
        <v>0</v>
      </c>
      <c r="CW496" s="167">
        <v>0</v>
      </c>
      <c r="CX496" s="167">
        <f>SUM(CD496:CH496)</f>
        <v>4</v>
      </c>
      <c r="CY496" s="167">
        <f>SUM(CD496:CM496)</f>
        <v>4</v>
      </c>
    </row>
    <row r="497" spans="1:103" ht="12.75" customHeight="1" x14ac:dyDescent="0.2">
      <c r="A497" s="81">
        <v>5292</v>
      </c>
      <c r="B497" s="165" t="s">
        <v>1908</v>
      </c>
      <c r="C497" s="165" t="s">
        <v>604</v>
      </c>
      <c r="E497" s="165" t="s">
        <v>3374</v>
      </c>
      <c r="F497" s="165" t="s">
        <v>618</v>
      </c>
      <c r="G497" s="81">
        <v>524279</v>
      </c>
      <c r="H497" s="81">
        <v>174909</v>
      </c>
      <c r="I497" s="165" t="s">
        <v>250</v>
      </c>
      <c r="J497" s="349">
        <v>42825</v>
      </c>
      <c r="L497" s="166">
        <v>0</v>
      </c>
      <c r="M497" s="166">
        <v>5</v>
      </c>
      <c r="N497" s="166">
        <v>5</v>
      </c>
      <c r="O497" s="166">
        <v>73</v>
      </c>
      <c r="P497" s="166">
        <v>73</v>
      </c>
      <c r="Q497" s="81" t="s">
        <v>155</v>
      </c>
      <c r="R497" s="165" t="s">
        <v>1138</v>
      </c>
      <c r="S497" s="81" t="s">
        <v>104</v>
      </c>
      <c r="T497" s="349">
        <v>42188</v>
      </c>
      <c r="U497" s="349">
        <v>42335</v>
      </c>
      <c r="W497" s="81" t="s">
        <v>114</v>
      </c>
      <c r="Y497" s="81" t="s">
        <v>115</v>
      </c>
      <c r="Z497" s="81" t="s">
        <v>116</v>
      </c>
      <c r="AA497" s="81" t="s">
        <v>116</v>
      </c>
      <c r="AB497" s="81" t="s">
        <v>117</v>
      </c>
      <c r="AC497" s="166">
        <v>0</v>
      </c>
      <c r="AD497" s="349">
        <v>42825</v>
      </c>
      <c r="AG497" s="81" t="s">
        <v>154</v>
      </c>
      <c r="AH497" s="81" t="s">
        <v>276</v>
      </c>
      <c r="AI497" s="81" t="s">
        <v>3375</v>
      </c>
      <c r="AK497" s="166">
        <v>5</v>
      </c>
      <c r="AM497" s="166">
        <v>0</v>
      </c>
      <c r="AO497" s="166">
        <v>0</v>
      </c>
      <c r="AP497" s="166">
        <v>3</v>
      </c>
      <c r="AQ497" s="166">
        <v>1</v>
      </c>
      <c r="AR497" s="166">
        <v>1</v>
      </c>
      <c r="AS497" s="166">
        <v>0</v>
      </c>
      <c r="AT497" s="166">
        <v>0</v>
      </c>
      <c r="AU497" s="166">
        <v>0</v>
      </c>
      <c r="AV497" s="166">
        <v>0</v>
      </c>
      <c r="AW497" s="166">
        <v>3</v>
      </c>
      <c r="AX497" s="166">
        <v>1</v>
      </c>
      <c r="AY497" s="166">
        <v>1</v>
      </c>
      <c r="AZ497" s="166">
        <v>0</v>
      </c>
      <c r="BA497" s="166">
        <v>0</v>
      </c>
      <c r="BB497" s="166">
        <v>0</v>
      </c>
      <c r="BC497" s="166">
        <v>0</v>
      </c>
      <c r="BD497" s="166">
        <v>0</v>
      </c>
      <c r="BE497" s="166">
        <v>0</v>
      </c>
      <c r="BF497" s="166">
        <v>0</v>
      </c>
      <c r="BG497" s="166">
        <v>0</v>
      </c>
      <c r="BH497" s="166">
        <v>0</v>
      </c>
      <c r="BI497" s="166">
        <v>0</v>
      </c>
      <c r="BJ497" s="166">
        <v>0</v>
      </c>
      <c r="BK497" s="166">
        <v>0</v>
      </c>
      <c r="BL497" s="166">
        <v>0</v>
      </c>
      <c r="BM497" s="166">
        <v>0</v>
      </c>
      <c r="BN497" s="166">
        <v>0</v>
      </c>
      <c r="BO497" s="166">
        <v>0</v>
      </c>
      <c r="BP497" s="166">
        <v>0</v>
      </c>
      <c r="BQ497" s="81" t="s">
        <v>1758</v>
      </c>
      <c r="BR497" s="81" t="s">
        <v>161</v>
      </c>
      <c r="BV497" s="81" t="s">
        <v>155</v>
      </c>
      <c r="BZ497" s="81" t="s">
        <v>155</v>
      </c>
      <c r="CA497" s="81" t="s">
        <v>3934</v>
      </c>
      <c r="CC497" s="167">
        <v>0</v>
      </c>
      <c r="CD497" s="167">
        <v>0</v>
      </c>
      <c r="CE497" s="167">
        <f>N497</f>
        <v>5</v>
      </c>
      <c r="CF497" s="167">
        <v>0</v>
      </c>
      <c r="CG497" s="167">
        <v>0</v>
      </c>
      <c r="CH497" s="167">
        <v>0</v>
      </c>
      <c r="CI497" s="167">
        <v>0</v>
      </c>
      <c r="CJ497" s="167">
        <v>0</v>
      </c>
      <c r="CK497" s="167">
        <v>0</v>
      </c>
      <c r="CL497" s="167">
        <v>0</v>
      </c>
      <c r="CM497" s="167">
        <v>0</v>
      </c>
      <c r="CN497" s="167">
        <v>0</v>
      </c>
      <c r="CO497" s="167">
        <v>0</v>
      </c>
      <c r="CP497" s="167">
        <v>0</v>
      </c>
      <c r="CQ497" s="167">
        <v>0</v>
      </c>
      <c r="CR497" s="167">
        <v>0</v>
      </c>
      <c r="CS497" s="167">
        <v>0</v>
      </c>
      <c r="CT497" s="167">
        <v>0</v>
      </c>
      <c r="CU497" s="167">
        <v>0</v>
      </c>
      <c r="CV497" s="167">
        <v>0</v>
      </c>
      <c r="CW497" s="167">
        <v>0</v>
      </c>
      <c r="CX497" s="167">
        <f>SUM(CD497:CH497)</f>
        <v>5</v>
      </c>
      <c r="CY497" s="167">
        <f>SUM(CD497:CM497)</f>
        <v>5</v>
      </c>
    </row>
    <row r="498" spans="1:103" ht="12.75" customHeight="1" x14ac:dyDescent="0.2">
      <c r="A498" s="81">
        <v>5292</v>
      </c>
      <c r="B498" s="165" t="s">
        <v>1908</v>
      </c>
      <c r="C498" s="165" t="s">
        <v>604</v>
      </c>
      <c r="E498" s="165" t="s">
        <v>3374</v>
      </c>
      <c r="F498" s="165" t="s">
        <v>619</v>
      </c>
      <c r="G498" s="81">
        <v>524279</v>
      </c>
      <c r="H498" s="81">
        <v>174909</v>
      </c>
      <c r="I498" s="165" t="s">
        <v>250</v>
      </c>
      <c r="J498" s="349">
        <v>42825</v>
      </c>
      <c r="L498" s="166">
        <v>0</v>
      </c>
      <c r="M498" s="166">
        <v>4</v>
      </c>
      <c r="N498" s="166">
        <v>4</v>
      </c>
      <c r="O498" s="166">
        <v>73</v>
      </c>
      <c r="P498" s="166">
        <v>73</v>
      </c>
      <c r="Q498" s="81" t="s">
        <v>155</v>
      </c>
      <c r="R498" s="165" t="s">
        <v>1138</v>
      </c>
      <c r="S498" s="81" t="s">
        <v>104</v>
      </c>
      <c r="T498" s="349">
        <v>42188</v>
      </c>
      <c r="U498" s="349">
        <v>42335</v>
      </c>
      <c r="W498" s="81" t="s">
        <v>114</v>
      </c>
      <c r="Y498" s="81" t="s">
        <v>115</v>
      </c>
      <c r="Z498" s="81" t="s">
        <v>116</v>
      </c>
      <c r="AA498" s="81" t="s">
        <v>116</v>
      </c>
      <c r="AB498" s="81" t="s">
        <v>117</v>
      </c>
      <c r="AC498" s="166">
        <v>0</v>
      </c>
      <c r="AD498" s="349">
        <v>42825</v>
      </c>
      <c r="AG498" s="81" t="s">
        <v>154</v>
      </c>
      <c r="AH498" s="81" t="s">
        <v>276</v>
      </c>
      <c r="AI498" s="81" t="s">
        <v>3375</v>
      </c>
      <c r="AK498" s="166">
        <v>4</v>
      </c>
      <c r="AM498" s="166">
        <v>0</v>
      </c>
      <c r="AO498" s="166">
        <v>0</v>
      </c>
      <c r="AP498" s="166">
        <v>2</v>
      </c>
      <c r="AQ498" s="166">
        <v>1</v>
      </c>
      <c r="AR498" s="166">
        <v>1</v>
      </c>
      <c r="AS498" s="166">
        <v>0</v>
      </c>
      <c r="AT498" s="166">
        <v>0</v>
      </c>
      <c r="AU498" s="166">
        <v>0</v>
      </c>
      <c r="AV498" s="166">
        <v>0</v>
      </c>
      <c r="AW498" s="166">
        <v>2</v>
      </c>
      <c r="AX498" s="166">
        <v>1</v>
      </c>
      <c r="AY498" s="166">
        <v>1</v>
      </c>
      <c r="AZ498" s="166">
        <v>0</v>
      </c>
      <c r="BA498" s="166">
        <v>0</v>
      </c>
      <c r="BB498" s="166">
        <v>0</v>
      </c>
      <c r="BC498" s="166">
        <v>0</v>
      </c>
      <c r="BD498" s="166">
        <v>0</v>
      </c>
      <c r="BE498" s="166">
        <v>0</v>
      </c>
      <c r="BF498" s="166">
        <v>0</v>
      </c>
      <c r="BG498" s="166">
        <v>0</v>
      </c>
      <c r="BH498" s="166">
        <v>0</v>
      </c>
      <c r="BI498" s="166">
        <v>0</v>
      </c>
      <c r="BJ498" s="166">
        <v>0</v>
      </c>
      <c r="BK498" s="166">
        <v>0</v>
      </c>
      <c r="BL498" s="166">
        <v>0</v>
      </c>
      <c r="BM498" s="166">
        <v>0</v>
      </c>
      <c r="BN498" s="166">
        <v>0</v>
      </c>
      <c r="BO498" s="166">
        <v>0</v>
      </c>
      <c r="BP498" s="166">
        <v>0</v>
      </c>
      <c r="BQ498" s="81" t="s">
        <v>1758</v>
      </c>
      <c r="BR498" s="81" t="s">
        <v>161</v>
      </c>
      <c r="BV498" s="81" t="s">
        <v>155</v>
      </c>
      <c r="BZ498" s="81" t="s">
        <v>155</v>
      </c>
      <c r="CA498" s="81" t="s">
        <v>3934</v>
      </c>
      <c r="CC498" s="167">
        <v>0</v>
      </c>
      <c r="CD498" s="167">
        <v>0</v>
      </c>
      <c r="CE498" s="167">
        <f>N498</f>
        <v>4</v>
      </c>
      <c r="CF498" s="167">
        <v>0</v>
      </c>
      <c r="CG498" s="167">
        <v>0</v>
      </c>
      <c r="CH498" s="167">
        <v>0</v>
      </c>
      <c r="CI498" s="167">
        <v>0</v>
      </c>
      <c r="CJ498" s="167">
        <v>0</v>
      </c>
      <c r="CK498" s="167">
        <v>0</v>
      </c>
      <c r="CL498" s="167">
        <v>0</v>
      </c>
      <c r="CM498" s="167">
        <v>0</v>
      </c>
      <c r="CN498" s="167">
        <v>0</v>
      </c>
      <c r="CO498" s="167">
        <v>0</v>
      </c>
      <c r="CP498" s="167">
        <v>0</v>
      </c>
      <c r="CQ498" s="167">
        <v>0</v>
      </c>
      <c r="CR498" s="167">
        <v>0</v>
      </c>
      <c r="CS498" s="167">
        <v>0</v>
      </c>
      <c r="CT498" s="167">
        <v>0</v>
      </c>
      <c r="CU498" s="167">
        <v>0</v>
      </c>
      <c r="CV498" s="167">
        <v>0</v>
      </c>
      <c r="CW498" s="167">
        <v>0</v>
      </c>
      <c r="CX498" s="167">
        <f>SUM(CD498:CH498)</f>
        <v>4</v>
      </c>
      <c r="CY498" s="167">
        <f>SUM(CD498:CM498)</f>
        <v>4</v>
      </c>
    </row>
    <row r="499" spans="1:103" x14ac:dyDescent="0.2">
      <c r="A499" s="81">
        <v>5348</v>
      </c>
      <c r="B499" s="165" t="s">
        <v>1908</v>
      </c>
      <c r="C499" s="165" t="s">
        <v>534</v>
      </c>
      <c r="E499" s="165" t="s">
        <v>3547</v>
      </c>
      <c r="G499" s="81">
        <v>527772</v>
      </c>
      <c r="H499" s="81">
        <v>173569</v>
      </c>
      <c r="I499" s="165" t="s">
        <v>254</v>
      </c>
      <c r="J499" s="349">
        <v>43190</v>
      </c>
      <c r="L499" s="166">
        <v>0</v>
      </c>
      <c r="M499" s="166">
        <v>5</v>
      </c>
      <c r="N499" s="166">
        <v>5</v>
      </c>
      <c r="O499" s="166">
        <v>5</v>
      </c>
      <c r="P499" s="166">
        <v>5</v>
      </c>
      <c r="R499" s="165" t="s">
        <v>1086</v>
      </c>
      <c r="S499" s="81" t="s">
        <v>296</v>
      </c>
      <c r="T499" s="349">
        <v>41457</v>
      </c>
      <c r="U499" s="349">
        <v>41936</v>
      </c>
      <c r="W499" s="81" t="s">
        <v>297</v>
      </c>
      <c r="X499" s="349">
        <v>42269</v>
      </c>
      <c r="Y499" s="81" t="s">
        <v>115</v>
      </c>
      <c r="Z499" s="81" t="s">
        <v>398</v>
      </c>
      <c r="AA499" s="81" t="s">
        <v>117</v>
      </c>
      <c r="AB499" s="81" t="s">
        <v>311</v>
      </c>
      <c r="AC499" s="166">
        <v>3.20000015199184E-2</v>
      </c>
      <c r="AD499" s="349">
        <v>43190</v>
      </c>
      <c r="AE499" s="81" t="s">
        <v>155</v>
      </c>
      <c r="AG499" s="81" t="s">
        <v>238</v>
      </c>
      <c r="AH499" s="81" t="s">
        <v>118</v>
      </c>
      <c r="AK499" s="166">
        <v>0</v>
      </c>
      <c r="AM499" s="166">
        <v>0</v>
      </c>
      <c r="AO499" s="166">
        <v>1</v>
      </c>
      <c r="AP499" s="166">
        <v>2</v>
      </c>
      <c r="AQ499" s="166">
        <v>0</v>
      </c>
      <c r="AR499" s="166">
        <v>2</v>
      </c>
      <c r="AS499" s="166">
        <v>0</v>
      </c>
      <c r="AT499" s="166">
        <v>0</v>
      </c>
      <c r="AU499" s="166">
        <v>0</v>
      </c>
      <c r="AV499" s="166">
        <v>1</v>
      </c>
      <c r="AW499" s="166">
        <v>2</v>
      </c>
      <c r="AX499" s="166">
        <v>0</v>
      </c>
      <c r="AY499" s="166">
        <v>2</v>
      </c>
      <c r="AZ499" s="166">
        <v>0</v>
      </c>
      <c r="BA499" s="166">
        <v>0</v>
      </c>
      <c r="BB499" s="166">
        <v>0</v>
      </c>
      <c r="BC499" s="166">
        <v>0</v>
      </c>
      <c r="BD499" s="166">
        <v>0</v>
      </c>
      <c r="BE499" s="166">
        <v>0</v>
      </c>
      <c r="BF499" s="166">
        <v>0</v>
      </c>
      <c r="BG499" s="166">
        <v>0</v>
      </c>
      <c r="BH499" s="166">
        <v>0</v>
      </c>
      <c r="BI499" s="166">
        <v>0</v>
      </c>
      <c r="BJ499" s="166">
        <v>0</v>
      </c>
      <c r="BK499" s="166">
        <v>0</v>
      </c>
      <c r="BL499" s="166">
        <v>0</v>
      </c>
      <c r="BM499" s="166">
        <v>0</v>
      </c>
      <c r="BN499" s="166">
        <v>0</v>
      </c>
      <c r="BO499" s="166">
        <v>0</v>
      </c>
      <c r="BP499" s="166">
        <v>0</v>
      </c>
      <c r="BQ499" s="81" t="s">
        <v>1757</v>
      </c>
      <c r="BZ499" s="81" t="s">
        <v>155</v>
      </c>
      <c r="CA499" s="81" t="s">
        <v>3981</v>
      </c>
      <c r="CC499" s="167">
        <v>0</v>
      </c>
      <c r="CD499" s="167">
        <f>$N499/2</f>
        <v>2.5</v>
      </c>
      <c r="CE499" s="167">
        <f>$N499/2</f>
        <v>2.5</v>
      </c>
      <c r="CF499" s="167">
        <v>0</v>
      </c>
      <c r="CG499" s="167">
        <v>0</v>
      </c>
      <c r="CH499" s="167">
        <v>0</v>
      </c>
      <c r="CI499" s="167">
        <v>0</v>
      </c>
      <c r="CJ499" s="167">
        <v>0</v>
      </c>
      <c r="CK499" s="167">
        <v>0</v>
      </c>
      <c r="CL499" s="167">
        <v>0</v>
      </c>
      <c r="CM499" s="167">
        <v>0</v>
      </c>
      <c r="CN499" s="167">
        <v>0</v>
      </c>
      <c r="CO499" s="167">
        <v>0</v>
      </c>
      <c r="CP499" s="167">
        <v>0</v>
      </c>
      <c r="CQ499" s="167">
        <v>0</v>
      </c>
      <c r="CR499" s="167">
        <v>0</v>
      </c>
      <c r="CS499" s="167">
        <v>0</v>
      </c>
      <c r="CT499" s="167">
        <v>0</v>
      </c>
      <c r="CU499" s="167">
        <v>0</v>
      </c>
      <c r="CV499" s="167">
        <v>0</v>
      </c>
      <c r="CW499" s="167">
        <v>0</v>
      </c>
      <c r="CX499" s="167">
        <f>SUM(CD499:CH499)</f>
        <v>5</v>
      </c>
      <c r="CY499" s="167">
        <f>SUM(CD499:CM499)</f>
        <v>5</v>
      </c>
    </row>
    <row r="500" spans="1:103" ht="12.75" customHeight="1" x14ac:dyDescent="0.2">
      <c r="A500" s="81">
        <v>5363</v>
      </c>
      <c r="B500" s="165" t="s">
        <v>1908</v>
      </c>
      <c r="C500" s="165" t="s">
        <v>591</v>
      </c>
      <c r="E500" s="165" t="s">
        <v>2563</v>
      </c>
      <c r="G500" s="81">
        <v>525417</v>
      </c>
      <c r="H500" s="81">
        <v>174604</v>
      </c>
      <c r="I500" s="165" t="s">
        <v>258</v>
      </c>
      <c r="J500" s="349">
        <v>42825</v>
      </c>
      <c r="L500" s="166">
        <v>0</v>
      </c>
      <c r="M500" s="166">
        <v>3</v>
      </c>
      <c r="N500" s="166">
        <v>3</v>
      </c>
      <c r="O500" s="166">
        <v>3</v>
      </c>
      <c r="P500" s="166">
        <v>3</v>
      </c>
      <c r="R500" s="165" t="s">
        <v>546</v>
      </c>
      <c r="S500" s="81" t="s">
        <v>110</v>
      </c>
      <c r="T500" s="349">
        <v>42173</v>
      </c>
      <c r="U500" s="349">
        <v>42263</v>
      </c>
      <c r="W500" s="81" t="s">
        <v>114</v>
      </c>
      <c r="Y500" s="81" t="s">
        <v>115</v>
      </c>
      <c r="Z500" s="81" t="s">
        <v>310</v>
      </c>
      <c r="AA500" s="81" t="s">
        <v>117</v>
      </c>
      <c r="AB500" s="81" t="s">
        <v>399</v>
      </c>
      <c r="AC500" s="166">
        <v>4.1999999433755902E-2</v>
      </c>
      <c r="AD500" s="349">
        <v>42825</v>
      </c>
      <c r="AG500" s="81" t="s">
        <v>238</v>
      </c>
      <c r="AH500" s="81" t="s">
        <v>118</v>
      </c>
      <c r="AK500" s="166">
        <v>0</v>
      </c>
      <c r="AM500" s="166">
        <v>0</v>
      </c>
      <c r="AO500" s="166">
        <v>0</v>
      </c>
      <c r="AP500" s="166">
        <v>0</v>
      </c>
      <c r="AQ500" s="166">
        <v>3</v>
      </c>
      <c r="AR500" s="166">
        <v>0</v>
      </c>
      <c r="AS500" s="166">
        <v>0</v>
      </c>
      <c r="AT500" s="166">
        <v>0</v>
      </c>
      <c r="AU500" s="166">
        <v>0</v>
      </c>
      <c r="AV500" s="166">
        <v>0</v>
      </c>
      <c r="AW500" s="166">
        <v>0</v>
      </c>
      <c r="AX500" s="166">
        <v>3</v>
      </c>
      <c r="AY500" s="166">
        <v>0</v>
      </c>
      <c r="AZ500" s="166">
        <v>0</v>
      </c>
      <c r="BA500" s="166">
        <v>0</v>
      </c>
      <c r="BB500" s="166">
        <v>0</v>
      </c>
      <c r="BC500" s="166">
        <v>0</v>
      </c>
      <c r="BD500" s="166">
        <v>0</v>
      </c>
      <c r="BE500" s="166">
        <v>0</v>
      </c>
      <c r="BF500" s="166">
        <v>0</v>
      </c>
      <c r="BG500" s="166">
        <v>0</v>
      </c>
      <c r="BH500" s="166">
        <v>0</v>
      </c>
      <c r="BI500" s="166">
        <v>0</v>
      </c>
      <c r="BJ500" s="166">
        <v>0</v>
      </c>
      <c r="BK500" s="166">
        <v>0</v>
      </c>
      <c r="BL500" s="166">
        <v>0</v>
      </c>
      <c r="BM500" s="166">
        <v>0</v>
      </c>
      <c r="BN500" s="166">
        <v>0</v>
      </c>
      <c r="BO500" s="166">
        <v>0</v>
      </c>
      <c r="BP500" s="166">
        <v>0</v>
      </c>
      <c r="BQ500" s="81" t="s">
        <v>1758</v>
      </c>
      <c r="BR500" s="81" t="s">
        <v>202</v>
      </c>
      <c r="BT500" s="81" t="s">
        <v>155</v>
      </c>
      <c r="BZ500" s="81" t="s">
        <v>155</v>
      </c>
      <c r="CA500" s="81" t="s">
        <v>3980</v>
      </c>
      <c r="CC500" s="167">
        <v>0</v>
      </c>
      <c r="CD500" s="167">
        <f>N500</f>
        <v>3</v>
      </c>
      <c r="CE500" s="167">
        <v>0</v>
      </c>
      <c r="CF500" s="167">
        <v>0</v>
      </c>
      <c r="CG500" s="167">
        <v>0</v>
      </c>
      <c r="CH500" s="167">
        <v>0</v>
      </c>
      <c r="CI500" s="167">
        <v>0</v>
      </c>
      <c r="CJ500" s="167">
        <v>0</v>
      </c>
      <c r="CK500" s="167">
        <v>0</v>
      </c>
      <c r="CL500" s="167">
        <v>0</v>
      </c>
      <c r="CM500" s="167">
        <v>0</v>
      </c>
      <c r="CN500" s="167">
        <v>0</v>
      </c>
      <c r="CO500" s="167">
        <v>0</v>
      </c>
      <c r="CP500" s="167">
        <v>0</v>
      </c>
      <c r="CQ500" s="167">
        <v>0</v>
      </c>
      <c r="CR500" s="167">
        <v>0</v>
      </c>
      <c r="CS500" s="167">
        <v>0</v>
      </c>
      <c r="CT500" s="167">
        <v>0</v>
      </c>
      <c r="CU500" s="167">
        <v>0</v>
      </c>
      <c r="CV500" s="167">
        <v>0</v>
      </c>
      <c r="CW500" s="167">
        <v>0</v>
      </c>
      <c r="CX500" s="167">
        <f>SUM(CD500:CH500)</f>
        <v>3</v>
      </c>
      <c r="CY500" s="167">
        <f>SUM(CD500:CM500)</f>
        <v>3</v>
      </c>
    </row>
    <row r="501" spans="1:103" ht="12.75" customHeight="1" x14ac:dyDescent="0.2">
      <c r="A501" s="81">
        <v>5376</v>
      </c>
      <c r="B501" s="165" t="s">
        <v>1908</v>
      </c>
      <c r="C501" s="165" t="s">
        <v>401</v>
      </c>
      <c r="E501" s="165" t="s">
        <v>3385</v>
      </c>
      <c r="G501" s="81">
        <v>528703</v>
      </c>
      <c r="H501" s="81">
        <v>173099</v>
      </c>
      <c r="I501" s="165" t="s">
        <v>254</v>
      </c>
      <c r="J501" s="349">
        <v>42552</v>
      </c>
      <c r="L501" s="166">
        <v>0</v>
      </c>
      <c r="M501" s="166">
        <v>1</v>
      </c>
      <c r="N501" s="166">
        <v>1</v>
      </c>
      <c r="O501" s="166">
        <v>1</v>
      </c>
      <c r="P501" s="166">
        <v>1</v>
      </c>
      <c r="R501" s="165" t="s">
        <v>885</v>
      </c>
      <c r="S501" s="81" t="s">
        <v>113</v>
      </c>
      <c r="T501" s="349">
        <v>41509</v>
      </c>
      <c r="U501" s="349">
        <v>41843</v>
      </c>
      <c r="W501" s="81" t="s">
        <v>114</v>
      </c>
      <c r="Y501" s="81" t="s">
        <v>115</v>
      </c>
      <c r="Z501" s="81" t="s">
        <v>116</v>
      </c>
      <c r="AA501" s="81" t="s">
        <v>117</v>
      </c>
      <c r="AB501" s="81" t="s">
        <v>218</v>
      </c>
      <c r="AC501" s="166">
        <v>8.9999996125698107E-3</v>
      </c>
      <c r="AD501" s="349">
        <v>42552</v>
      </c>
      <c r="AG501" s="81" t="s">
        <v>238</v>
      </c>
      <c r="AH501" s="81" t="s">
        <v>118</v>
      </c>
      <c r="AK501" s="166">
        <v>0</v>
      </c>
      <c r="AM501" s="166">
        <v>0</v>
      </c>
      <c r="AO501" s="166">
        <v>0</v>
      </c>
      <c r="AP501" s="166">
        <v>0</v>
      </c>
      <c r="AQ501" s="166">
        <v>1</v>
      </c>
      <c r="AR501" s="166">
        <v>0</v>
      </c>
      <c r="AS501" s="166">
        <v>0</v>
      </c>
      <c r="AT501" s="166">
        <v>0</v>
      </c>
      <c r="AU501" s="166">
        <v>0</v>
      </c>
      <c r="AV501" s="166">
        <v>0</v>
      </c>
      <c r="AW501" s="166">
        <v>0</v>
      </c>
      <c r="AX501" s="166">
        <v>1</v>
      </c>
      <c r="AY501" s="166">
        <v>0</v>
      </c>
      <c r="AZ501" s="166">
        <v>0</v>
      </c>
      <c r="BA501" s="166">
        <v>0</v>
      </c>
      <c r="BB501" s="166">
        <v>0</v>
      </c>
      <c r="BC501" s="166">
        <v>0</v>
      </c>
      <c r="BD501" s="166">
        <v>0</v>
      </c>
      <c r="BE501" s="166">
        <v>0</v>
      </c>
      <c r="BF501" s="166">
        <v>0</v>
      </c>
      <c r="BG501" s="166">
        <v>0</v>
      </c>
      <c r="BH501" s="166">
        <v>0</v>
      </c>
      <c r="BI501" s="166">
        <v>0</v>
      </c>
      <c r="BJ501" s="166">
        <v>0</v>
      </c>
      <c r="BK501" s="166">
        <v>0</v>
      </c>
      <c r="BL501" s="166">
        <v>0</v>
      </c>
      <c r="BM501" s="166">
        <v>0</v>
      </c>
      <c r="BN501" s="166">
        <v>0</v>
      </c>
      <c r="BO501" s="166">
        <v>0</v>
      </c>
      <c r="BP501" s="166">
        <v>0</v>
      </c>
      <c r="BQ501" s="81" t="s">
        <v>1757</v>
      </c>
      <c r="BZ501" s="81" t="s">
        <v>155</v>
      </c>
      <c r="CA501" s="81" t="s">
        <v>3976</v>
      </c>
      <c r="CC501" s="167">
        <v>0</v>
      </c>
      <c r="CD501" s="167">
        <f>N501</f>
        <v>1</v>
      </c>
      <c r="CE501" s="167">
        <v>0</v>
      </c>
      <c r="CF501" s="167">
        <v>0</v>
      </c>
      <c r="CG501" s="167">
        <v>0</v>
      </c>
      <c r="CH501" s="167">
        <v>0</v>
      </c>
      <c r="CI501" s="167">
        <v>0</v>
      </c>
      <c r="CJ501" s="167">
        <v>0</v>
      </c>
      <c r="CK501" s="167">
        <v>0</v>
      </c>
      <c r="CL501" s="167">
        <v>0</v>
      </c>
      <c r="CM501" s="167">
        <v>0</v>
      </c>
      <c r="CN501" s="167">
        <v>0</v>
      </c>
      <c r="CO501" s="167">
        <v>0</v>
      </c>
      <c r="CP501" s="167">
        <v>0</v>
      </c>
      <c r="CQ501" s="167">
        <v>0</v>
      </c>
      <c r="CR501" s="167">
        <v>0</v>
      </c>
      <c r="CS501" s="167">
        <v>0</v>
      </c>
      <c r="CT501" s="167">
        <v>0</v>
      </c>
      <c r="CU501" s="167">
        <v>0</v>
      </c>
      <c r="CV501" s="167">
        <v>0</v>
      </c>
      <c r="CW501" s="167">
        <v>0</v>
      </c>
      <c r="CX501" s="167">
        <f>SUM(CD501:CH501)</f>
        <v>1</v>
      </c>
      <c r="CY501" s="167">
        <f>SUM(CD501:CM501)</f>
        <v>1</v>
      </c>
    </row>
    <row r="502" spans="1:103" ht="12.75" customHeight="1" x14ac:dyDescent="0.2">
      <c r="A502" s="81">
        <v>5376</v>
      </c>
      <c r="B502" s="165" t="s">
        <v>1908</v>
      </c>
      <c r="C502" s="165" t="s">
        <v>3548</v>
      </c>
      <c r="E502" s="165" t="s">
        <v>3385</v>
      </c>
      <c r="G502" s="81">
        <v>528703</v>
      </c>
      <c r="H502" s="81">
        <v>173099</v>
      </c>
      <c r="I502" s="165" t="s">
        <v>254</v>
      </c>
      <c r="J502" s="349">
        <v>43045</v>
      </c>
      <c r="L502" s="166">
        <v>0</v>
      </c>
      <c r="M502" s="166">
        <v>1</v>
      </c>
      <c r="N502" s="166">
        <v>1</v>
      </c>
      <c r="O502" s="166">
        <v>1</v>
      </c>
      <c r="P502" s="166">
        <v>1</v>
      </c>
      <c r="R502" s="165" t="s">
        <v>3549</v>
      </c>
      <c r="S502" s="81" t="s">
        <v>113</v>
      </c>
      <c r="T502" s="349">
        <v>42990</v>
      </c>
      <c r="U502" s="349">
        <v>43045</v>
      </c>
      <c r="V502" s="81" t="s">
        <v>155</v>
      </c>
      <c r="W502" s="81" t="s">
        <v>114</v>
      </c>
      <c r="Y502" s="81" t="s">
        <v>115</v>
      </c>
      <c r="Z502" s="81" t="s">
        <v>219</v>
      </c>
      <c r="AA502" s="81" t="s">
        <v>117</v>
      </c>
      <c r="AB502" s="81" t="s">
        <v>3889</v>
      </c>
      <c r="AC502" s="166">
        <v>4.0000001899898104E-3</v>
      </c>
      <c r="AD502" s="349">
        <v>43045</v>
      </c>
      <c r="AE502" s="81" t="s">
        <v>155</v>
      </c>
      <c r="AG502" s="81" t="s">
        <v>238</v>
      </c>
      <c r="AH502" s="81" t="s">
        <v>118</v>
      </c>
      <c r="AK502" s="166">
        <v>0</v>
      </c>
      <c r="AM502" s="166">
        <v>0</v>
      </c>
      <c r="AO502" s="166">
        <v>1</v>
      </c>
      <c r="AP502" s="166">
        <v>0</v>
      </c>
      <c r="AQ502" s="166">
        <v>0</v>
      </c>
      <c r="AR502" s="166">
        <v>0</v>
      </c>
      <c r="AS502" s="166">
        <v>0</v>
      </c>
      <c r="AT502" s="166">
        <v>0</v>
      </c>
      <c r="AU502" s="166">
        <v>0</v>
      </c>
      <c r="AV502" s="166">
        <v>1</v>
      </c>
      <c r="AW502" s="166">
        <v>0</v>
      </c>
      <c r="AX502" s="166">
        <v>0</v>
      </c>
      <c r="AY502" s="166">
        <v>0</v>
      </c>
      <c r="AZ502" s="166">
        <v>0</v>
      </c>
      <c r="BA502" s="166">
        <v>0</v>
      </c>
      <c r="BB502" s="166">
        <v>0</v>
      </c>
      <c r="BC502" s="166">
        <v>0</v>
      </c>
      <c r="BD502" s="166">
        <v>0</v>
      </c>
      <c r="BE502" s="166">
        <v>0</v>
      </c>
      <c r="BF502" s="166">
        <v>0</v>
      </c>
      <c r="BG502" s="166">
        <v>0</v>
      </c>
      <c r="BH502" s="166">
        <v>0</v>
      </c>
      <c r="BI502" s="166">
        <v>0</v>
      </c>
      <c r="BJ502" s="166">
        <v>0</v>
      </c>
      <c r="BK502" s="166">
        <v>0</v>
      </c>
      <c r="BL502" s="166">
        <v>0</v>
      </c>
      <c r="BM502" s="166">
        <v>0</v>
      </c>
      <c r="BN502" s="166">
        <v>0</v>
      </c>
      <c r="BO502" s="166">
        <v>0</v>
      </c>
      <c r="BP502" s="166">
        <v>0</v>
      </c>
      <c r="BQ502" s="81" t="s">
        <v>1757</v>
      </c>
      <c r="BZ502" s="81" t="s">
        <v>155</v>
      </c>
      <c r="CA502" s="81" t="s">
        <v>3981</v>
      </c>
      <c r="CC502" s="167">
        <v>0</v>
      </c>
      <c r="CD502" s="167">
        <f>$N502/2</f>
        <v>0.5</v>
      </c>
      <c r="CE502" s="167">
        <f>$N502/2</f>
        <v>0.5</v>
      </c>
      <c r="CF502" s="167">
        <v>0</v>
      </c>
      <c r="CG502" s="167">
        <v>0</v>
      </c>
      <c r="CH502" s="167">
        <v>0</v>
      </c>
      <c r="CI502" s="167">
        <v>0</v>
      </c>
      <c r="CJ502" s="167">
        <v>0</v>
      </c>
      <c r="CK502" s="167">
        <v>0</v>
      </c>
      <c r="CL502" s="167">
        <v>0</v>
      </c>
      <c r="CM502" s="167">
        <v>0</v>
      </c>
      <c r="CN502" s="167">
        <v>0</v>
      </c>
      <c r="CO502" s="167">
        <v>0</v>
      </c>
      <c r="CP502" s="167">
        <v>0</v>
      </c>
      <c r="CQ502" s="167">
        <v>0</v>
      </c>
      <c r="CR502" s="167">
        <v>0</v>
      </c>
      <c r="CS502" s="167">
        <v>0</v>
      </c>
      <c r="CT502" s="167">
        <v>0</v>
      </c>
      <c r="CU502" s="167">
        <v>0</v>
      </c>
      <c r="CV502" s="167">
        <v>0</v>
      </c>
      <c r="CW502" s="167">
        <v>0</v>
      </c>
      <c r="CX502" s="167">
        <f>SUM(CD502:CH502)</f>
        <v>1</v>
      </c>
      <c r="CY502" s="167">
        <f>SUM(CD502:CM502)</f>
        <v>1</v>
      </c>
    </row>
    <row r="503" spans="1:103" ht="12.75" customHeight="1" x14ac:dyDescent="0.2">
      <c r="A503" s="81">
        <v>5377</v>
      </c>
      <c r="B503" s="165" t="s">
        <v>1908</v>
      </c>
      <c r="C503" s="165" t="s">
        <v>1358</v>
      </c>
      <c r="E503" s="165" t="s">
        <v>3550</v>
      </c>
      <c r="G503" s="81">
        <v>528146</v>
      </c>
      <c r="H503" s="81">
        <v>172290</v>
      </c>
      <c r="I503" s="165" t="s">
        <v>248</v>
      </c>
      <c r="J503" s="349">
        <v>43190</v>
      </c>
      <c r="L503" s="166">
        <v>1</v>
      </c>
      <c r="M503" s="166">
        <v>3</v>
      </c>
      <c r="N503" s="166">
        <v>2</v>
      </c>
      <c r="O503" s="166">
        <v>3</v>
      </c>
      <c r="P503" s="166">
        <v>2</v>
      </c>
      <c r="R503" s="165" t="s">
        <v>1359</v>
      </c>
      <c r="S503" s="81" t="s">
        <v>113</v>
      </c>
      <c r="T503" s="349">
        <v>42587</v>
      </c>
      <c r="U503" s="349">
        <v>42667</v>
      </c>
      <c r="W503" s="81" t="s">
        <v>114</v>
      </c>
      <c r="Y503" s="81" t="s">
        <v>115</v>
      </c>
      <c r="Z503" s="81" t="s">
        <v>398</v>
      </c>
      <c r="AA503" s="81" t="s">
        <v>117</v>
      </c>
      <c r="AB503" s="81" t="s">
        <v>220</v>
      </c>
      <c r="AC503" s="166">
        <v>7.0000002160668399E-3</v>
      </c>
      <c r="AD503" s="349">
        <v>43190</v>
      </c>
      <c r="AE503" s="81" t="s">
        <v>155</v>
      </c>
      <c r="AG503" s="81" t="s">
        <v>238</v>
      </c>
      <c r="AH503" s="81" t="s">
        <v>118</v>
      </c>
      <c r="AK503" s="166">
        <v>0</v>
      </c>
      <c r="AM503" s="166">
        <v>0</v>
      </c>
      <c r="AO503" s="166">
        <v>0</v>
      </c>
      <c r="AP503" s="166">
        <v>2</v>
      </c>
      <c r="AQ503" s="166">
        <v>1</v>
      </c>
      <c r="AR503" s="166">
        <v>-1</v>
      </c>
      <c r="AS503" s="166">
        <v>0</v>
      </c>
      <c r="AT503" s="166">
        <v>0</v>
      </c>
      <c r="AU503" s="166">
        <v>0</v>
      </c>
      <c r="AV503" s="166">
        <v>0</v>
      </c>
      <c r="AW503" s="166">
        <v>2</v>
      </c>
      <c r="AX503" s="166">
        <v>1</v>
      </c>
      <c r="AY503" s="166">
        <v>-1</v>
      </c>
      <c r="AZ503" s="166">
        <v>0</v>
      </c>
      <c r="BA503" s="166">
        <v>0</v>
      </c>
      <c r="BB503" s="166">
        <v>0</v>
      </c>
      <c r="BC503" s="166">
        <v>0</v>
      </c>
      <c r="BD503" s="166">
        <v>0</v>
      </c>
      <c r="BE503" s="166">
        <v>0</v>
      </c>
      <c r="BF503" s="166">
        <v>0</v>
      </c>
      <c r="BG503" s="166">
        <v>0</v>
      </c>
      <c r="BH503" s="166">
        <v>0</v>
      </c>
      <c r="BI503" s="166">
        <v>0</v>
      </c>
      <c r="BJ503" s="166">
        <v>0</v>
      </c>
      <c r="BK503" s="166">
        <v>0</v>
      </c>
      <c r="BL503" s="166">
        <v>0</v>
      </c>
      <c r="BM503" s="166">
        <v>0</v>
      </c>
      <c r="BN503" s="166">
        <v>0</v>
      </c>
      <c r="BO503" s="166">
        <v>0</v>
      </c>
      <c r="BP503" s="166">
        <v>0</v>
      </c>
      <c r="BQ503" s="81" t="s">
        <v>1757</v>
      </c>
      <c r="BZ503" s="81" t="s">
        <v>155</v>
      </c>
      <c r="CA503" s="81" t="s">
        <v>3981</v>
      </c>
      <c r="CC503" s="167">
        <v>0</v>
      </c>
      <c r="CD503" s="167">
        <f>$N503/2</f>
        <v>1</v>
      </c>
      <c r="CE503" s="167">
        <f>$N503/2</f>
        <v>1</v>
      </c>
      <c r="CF503" s="167">
        <v>0</v>
      </c>
      <c r="CG503" s="167">
        <v>0</v>
      </c>
      <c r="CH503" s="167">
        <v>0</v>
      </c>
      <c r="CI503" s="167">
        <v>0</v>
      </c>
      <c r="CJ503" s="167">
        <v>0</v>
      </c>
      <c r="CK503" s="167">
        <v>0</v>
      </c>
      <c r="CL503" s="167">
        <v>0</v>
      </c>
      <c r="CM503" s="167">
        <v>0</v>
      </c>
      <c r="CN503" s="167">
        <v>0</v>
      </c>
      <c r="CO503" s="167">
        <v>0</v>
      </c>
      <c r="CP503" s="167">
        <v>0</v>
      </c>
      <c r="CQ503" s="167">
        <v>0</v>
      </c>
      <c r="CR503" s="167">
        <v>0</v>
      </c>
      <c r="CS503" s="167">
        <v>0</v>
      </c>
      <c r="CT503" s="167">
        <v>0</v>
      </c>
      <c r="CU503" s="167">
        <v>0</v>
      </c>
      <c r="CV503" s="167">
        <v>0</v>
      </c>
      <c r="CW503" s="167">
        <v>0</v>
      </c>
      <c r="CX503" s="167">
        <f>SUM(CD503:CH503)</f>
        <v>2</v>
      </c>
      <c r="CY503" s="167">
        <f>SUM(CD503:CM503)</f>
        <v>2</v>
      </c>
    </row>
    <row r="504" spans="1:103" ht="12.75" customHeight="1" x14ac:dyDescent="0.2">
      <c r="A504" s="81">
        <v>5410</v>
      </c>
      <c r="B504" s="165" t="s">
        <v>1908</v>
      </c>
      <c r="C504" s="165" t="s">
        <v>3386</v>
      </c>
      <c r="E504" s="165" t="s">
        <v>3387</v>
      </c>
      <c r="G504" s="81">
        <v>524095</v>
      </c>
      <c r="H504" s="81">
        <v>173645</v>
      </c>
      <c r="I504" s="165" t="s">
        <v>111</v>
      </c>
      <c r="J504" s="349">
        <v>43126</v>
      </c>
      <c r="L504" s="166">
        <v>0</v>
      </c>
      <c r="M504" s="166">
        <v>28</v>
      </c>
      <c r="N504" s="166">
        <v>28</v>
      </c>
      <c r="O504" s="166">
        <v>28</v>
      </c>
      <c r="P504" s="166">
        <v>28</v>
      </c>
      <c r="Q504" s="81" t="s">
        <v>155</v>
      </c>
      <c r="R504" s="165" t="s">
        <v>3388</v>
      </c>
      <c r="S504" s="81" t="s">
        <v>104</v>
      </c>
      <c r="T504" s="349">
        <v>42852</v>
      </c>
      <c r="U504" s="349">
        <v>43126</v>
      </c>
      <c r="V504" s="81" t="s">
        <v>155</v>
      </c>
      <c r="W504" s="81" t="s">
        <v>114</v>
      </c>
      <c r="Y504" s="81" t="s">
        <v>115</v>
      </c>
      <c r="Z504" s="81" t="s">
        <v>116</v>
      </c>
      <c r="AA504" s="81" t="s">
        <v>116</v>
      </c>
      <c r="AB504" s="81" t="s">
        <v>117</v>
      </c>
      <c r="AC504" s="166">
        <v>4.6999998390674598E-2</v>
      </c>
      <c r="AD504" s="349">
        <v>43126</v>
      </c>
      <c r="AE504" s="81" t="s">
        <v>155</v>
      </c>
      <c r="AG504" s="81" t="s">
        <v>238</v>
      </c>
      <c r="AH504" s="81" t="s">
        <v>118</v>
      </c>
      <c r="AK504" s="166">
        <v>0</v>
      </c>
      <c r="AM504" s="166">
        <v>0</v>
      </c>
      <c r="AN504" s="166">
        <v>3</v>
      </c>
      <c r="AO504" s="166">
        <v>0</v>
      </c>
      <c r="AP504" s="166">
        <v>13</v>
      </c>
      <c r="AQ504" s="166">
        <v>11</v>
      </c>
      <c r="AR504" s="166">
        <v>4</v>
      </c>
      <c r="AS504" s="166">
        <v>0</v>
      </c>
      <c r="AT504" s="166">
        <v>0</v>
      </c>
      <c r="AU504" s="166">
        <v>0</v>
      </c>
      <c r="AV504" s="166">
        <v>0</v>
      </c>
      <c r="AW504" s="166">
        <v>13</v>
      </c>
      <c r="AX504" s="166">
        <v>11</v>
      </c>
      <c r="AY504" s="166">
        <v>4</v>
      </c>
      <c r="AZ504" s="166">
        <v>0</v>
      </c>
      <c r="BA504" s="166">
        <v>0</v>
      </c>
      <c r="BB504" s="166">
        <v>0</v>
      </c>
      <c r="BC504" s="166">
        <v>0</v>
      </c>
      <c r="BD504" s="166">
        <v>0</v>
      </c>
      <c r="BE504" s="166">
        <v>0</v>
      </c>
      <c r="BF504" s="166">
        <v>0</v>
      </c>
      <c r="BG504" s="166">
        <v>0</v>
      </c>
      <c r="BH504" s="166">
        <v>0</v>
      </c>
      <c r="BI504" s="166">
        <v>0</v>
      </c>
      <c r="BJ504" s="166">
        <v>0</v>
      </c>
      <c r="BK504" s="166">
        <v>0</v>
      </c>
      <c r="BL504" s="166">
        <v>0</v>
      </c>
      <c r="BM504" s="166">
        <v>0</v>
      </c>
      <c r="BN504" s="166">
        <v>0</v>
      </c>
      <c r="BO504" s="166">
        <v>0</v>
      </c>
      <c r="BP504" s="166">
        <v>0</v>
      </c>
      <c r="BQ504" s="81" t="s">
        <v>1758</v>
      </c>
      <c r="BZ504" s="81" t="s">
        <v>155</v>
      </c>
      <c r="CA504" s="81" t="s">
        <v>3935</v>
      </c>
      <c r="CC504" s="167">
        <v>0</v>
      </c>
      <c r="CD504" s="167">
        <v>0</v>
      </c>
      <c r="CE504" s="167">
        <f>$N504/5</f>
        <v>5.6</v>
      </c>
      <c r="CF504" s="167">
        <f>$N504/5</f>
        <v>5.6</v>
      </c>
      <c r="CG504" s="167">
        <f>$N504/5</f>
        <v>5.6</v>
      </c>
      <c r="CH504" s="167">
        <f>$N504/5</f>
        <v>5.6</v>
      </c>
      <c r="CI504" s="167">
        <f>$N504/5</f>
        <v>5.6</v>
      </c>
      <c r="CJ504" s="167">
        <v>0</v>
      </c>
      <c r="CK504" s="167">
        <v>0</v>
      </c>
      <c r="CL504" s="167">
        <v>0</v>
      </c>
      <c r="CM504" s="167">
        <v>0</v>
      </c>
      <c r="CN504" s="167">
        <v>0</v>
      </c>
      <c r="CO504" s="167">
        <v>0</v>
      </c>
      <c r="CP504" s="167">
        <v>0</v>
      </c>
      <c r="CQ504" s="167">
        <v>0</v>
      </c>
      <c r="CR504" s="167">
        <v>0</v>
      </c>
      <c r="CS504" s="167">
        <v>0</v>
      </c>
      <c r="CT504" s="167">
        <v>0</v>
      </c>
      <c r="CU504" s="167">
        <v>0</v>
      </c>
      <c r="CV504" s="167">
        <v>0</v>
      </c>
      <c r="CW504" s="167">
        <v>0</v>
      </c>
      <c r="CX504" s="167">
        <f>SUM(CD504:CH504)</f>
        <v>22.4</v>
      </c>
      <c r="CY504" s="167">
        <f>SUM(CD504:CM504)</f>
        <v>28</v>
      </c>
    </row>
    <row r="505" spans="1:103" ht="12.75" customHeight="1" x14ac:dyDescent="0.2">
      <c r="A505" s="81">
        <v>5442</v>
      </c>
      <c r="B505" s="165" t="s">
        <v>1908</v>
      </c>
      <c r="C505" s="165" t="s">
        <v>184</v>
      </c>
      <c r="E505" s="165" t="s">
        <v>3389</v>
      </c>
      <c r="G505" s="81">
        <v>525614</v>
      </c>
      <c r="H505" s="81">
        <v>172864</v>
      </c>
      <c r="I505" s="165" t="s">
        <v>258</v>
      </c>
      <c r="J505" s="349">
        <v>41729</v>
      </c>
      <c r="L505" s="166">
        <v>0</v>
      </c>
      <c r="M505" s="166">
        <v>1</v>
      </c>
      <c r="N505" s="166">
        <v>1</v>
      </c>
      <c r="O505" s="166">
        <v>1</v>
      </c>
      <c r="P505" s="166">
        <v>1</v>
      </c>
      <c r="R505" s="165" t="s">
        <v>185</v>
      </c>
      <c r="S505" s="81" t="s">
        <v>113</v>
      </c>
      <c r="T505" s="349">
        <v>41470</v>
      </c>
      <c r="U505" s="349">
        <v>41558</v>
      </c>
      <c r="W505" s="81" t="s">
        <v>114</v>
      </c>
      <c r="Y505" s="81" t="s">
        <v>115</v>
      </c>
      <c r="Z505" s="81" t="s">
        <v>116</v>
      </c>
      <c r="AA505" s="81" t="s">
        <v>117</v>
      </c>
      <c r="AB505" s="81" t="s">
        <v>218</v>
      </c>
      <c r="AC505" s="166">
        <v>4.0000001899898104E-3</v>
      </c>
      <c r="AG505" s="81" t="s">
        <v>238</v>
      </c>
      <c r="AH505" s="81" t="s">
        <v>118</v>
      </c>
      <c r="AK505" s="166">
        <v>0</v>
      </c>
      <c r="AM505" s="166">
        <v>0</v>
      </c>
      <c r="AO505" s="166">
        <v>0</v>
      </c>
      <c r="AP505" s="166">
        <v>1</v>
      </c>
      <c r="AQ505" s="166">
        <v>0</v>
      </c>
      <c r="AR505" s="166">
        <v>0</v>
      </c>
      <c r="AS505" s="166">
        <v>0</v>
      </c>
      <c r="AT505" s="166">
        <v>0</v>
      </c>
      <c r="AU505" s="166">
        <v>0</v>
      </c>
      <c r="AV505" s="166">
        <v>0</v>
      </c>
      <c r="AW505" s="166">
        <v>0</v>
      </c>
      <c r="AX505" s="166">
        <v>0</v>
      </c>
      <c r="AY505" s="166">
        <v>0</v>
      </c>
      <c r="AZ505" s="166">
        <v>0</v>
      </c>
      <c r="BA505" s="166">
        <v>0</v>
      </c>
      <c r="BB505" s="166">
        <v>0</v>
      </c>
      <c r="BC505" s="166">
        <v>0</v>
      </c>
      <c r="BD505" s="166">
        <v>1</v>
      </c>
      <c r="BE505" s="166">
        <v>0</v>
      </c>
      <c r="BF505" s="166">
        <v>0</v>
      </c>
      <c r="BG505" s="166">
        <v>0</v>
      </c>
      <c r="BH505" s="166">
        <v>0</v>
      </c>
      <c r="BI505" s="166">
        <v>0</v>
      </c>
      <c r="BJ505" s="166">
        <v>0</v>
      </c>
      <c r="BK505" s="166">
        <v>0</v>
      </c>
      <c r="BL505" s="166">
        <v>0</v>
      </c>
      <c r="BM505" s="166">
        <v>0</v>
      </c>
      <c r="BN505" s="166">
        <v>0</v>
      </c>
      <c r="BO505" s="166">
        <v>0</v>
      </c>
      <c r="BP505" s="166">
        <v>0</v>
      </c>
      <c r="BQ505" s="81" t="s">
        <v>1758</v>
      </c>
      <c r="BY505" s="81" t="s">
        <v>155</v>
      </c>
      <c r="BZ505" s="81" t="s">
        <v>155</v>
      </c>
      <c r="CA505" s="81" t="s">
        <v>3976</v>
      </c>
      <c r="CC505" s="167">
        <v>0</v>
      </c>
      <c r="CD505" s="167">
        <f>N505</f>
        <v>1</v>
      </c>
      <c r="CE505" s="167">
        <v>0</v>
      </c>
      <c r="CF505" s="167">
        <v>0</v>
      </c>
      <c r="CG505" s="167">
        <v>0</v>
      </c>
      <c r="CH505" s="167">
        <v>0</v>
      </c>
      <c r="CI505" s="167">
        <v>0</v>
      </c>
      <c r="CJ505" s="167">
        <v>0</v>
      </c>
      <c r="CK505" s="167">
        <v>0</v>
      </c>
      <c r="CL505" s="167">
        <v>0</v>
      </c>
      <c r="CM505" s="167">
        <v>0</v>
      </c>
      <c r="CN505" s="167">
        <v>0</v>
      </c>
      <c r="CO505" s="167">
        <v>0</v>
      </c>
      <c r="CP505" s="167">
        <v>0</v>
      </c>
      <c r="CQ505" s="167">
        <v>0</v>
      </c>
      <c r="CR505" s="167">
        <v>0</v>
      </c>
      <c r="CS505" s="167">
        <v>0</v>
      </c>
      <c r="CT505" s="167">
        <v>0</v>
      </c>
      <c r="CU505" s="167">
        <v>0</v>
      </c>
      <c r="CV505" s="167">
        <v>0</v>
      </c>
      <c r="CW505" s="167">
        <v>0</v>
      </c>
      <c r="CX505" s="167">
        <f>SUM(CD505:CH505)</f>
        <v>1</v>
      </c>
      <c r="CY505" s="167">
        <f>SUM(CD505:CM505)</f>
        <v>1</v>
      </c>
    </row>
    <row r="506" spans="1:103" ht="12.75" customHeight="1" x14ac:dyDescent="0.2">
      <c r="A506" s="81">
        <v>5445</v>
      </c>
      <c r="B506" s="165" t="s">
        <v>1908</v>
      </c>
      <c r="C506" s="165" t="s">
        <v>335</v>
      </c>
      <c r="E506" s="165" t="s">
        <v>3551</v>
      </c>
      <c r="F506" s="165" t="s">
        <v>400</v>
      </c>
      <c r="G506" s="81">
        <v>527585</v>
      </c>
      <c r="H506" s="81">
        <v>176783</v>
      </c>
      <c r="I506" s="165" t="s">
        <v>257</v>
      </c>
      <c r="J506" s="349">
        <v>42825</v>
      </c>
      <c r="L506" s="166">
        <v>3</v>
      </c>
      <c r="M506" s="166">
        <v>1</v>
      </c>
      <c r="N506" s="166">
        <v>-2</v>
      </c>
      <c r="O506" s="166">
        <v>1</v>
      </c>
      <c r="P506" s="166">
        <v>-2</v>
      </c>
      <c r="R506" s="165" t="s">
        <v>884</v>
      </c>
      <c r="S506" s="81" t="s">
        <v>113</v>
      </c>
      <c r="T506" s="349">
        <v>41457</v>
      </c>
      <c r="U506" s="349">
        <v>41582</v>
      </c>
      <c r="W506" s="81" t="s">
        <v>114</v>
      </c>
      <c r="Y506" s="81" t="s">
        <v>115</v>
      </c>
      <c r="Z506" s="81" t="s">
        <v>398</v>
      </c>
      <c r="AA506" s="81" t="s">
        <v>117</v>
      </c>
      <c r="AB506" s="81" t="s">
        <v>336</v>
      </c>
      <c r="AC506" s="166">
        <v>2.4000000208616298E-2</v>
      </c>
      <c r="AD506" s="349">
        <v>42825</v>
      </c>
      <c r="AG506" s="81" t="s">
        <v>238</v>
      </c>
      <c r="AH506" s="81" t="s">
        <v>118</v>
      </c>
      <c r="AK506" s="166">
        <v>0</v>
      </c>
      <c r="AM506" s="166">
        <v>0</v>
      </c>
      <c r="AO506" s="166">
        <v>0</v>
      </c>
      <c r="AP506" s="166">
        <v>-1</v>
      </c>
      <c r="AQ506" s="166">
        <v>-2</v>
      </c>
      <c r="AR506" s="166">
        <v>0</v>
      </c>
      <c r="AS506" s="166">
        <v>1</v>
      </c>
      <c r="AT506" s="166">
        <v>0</v>
      </c>
      <c r="AU506" s="166">
        <v>0</v>
      </c>
      <c r="AV506" s="166">
        <v>0</v>
      </c>
      <c r="AW506" s="166">
        <v>-1</v>
      </c>
      <c r="AX506" s="166">
        <v>-2</v>
      </c>
      <c r="AY506" s="166">
        <v>0</v>
      </c>
      <c r="AZ506" s="166">
        <v>0</v>
      </c>
      <c r="BA506" s="166">
        <v>0</v>
      </c>
      <c r="BB506" s="166">
        <v>0</v>
      </c>
      <c r="BC506" s="166">
        <v>0</v>
      </c>
      <c r="BD506" s="166">
        <v>0</v>
      </c>
      <c r="BE506" s="166">
        <v>0</v>
      </c>
      <c r="BF506" s="166">
        <v>0</v>
      </c>
      <c r="BG506" s="166">
        <v>1</v>
      </c>
      <c r="BH506" s="166">
        <v>0</v>
      </c>
      <c r="BI506" s="166">
        <v>0</v>
      </c>
      <c r="BJ506" s="166">
        <v>0</v>
      </c>
      <c r="BK506" s="166">
        <v>0</v>
      </c>
      <c r="BL506" s="166">
        <v>0</v>
      </c>
      <c r="BM506" s="166">
        <v>0</v>
      </c>
      <c r="BN506" s="166">
        <v>0</v>
      </c>
      <c r="BO506" s="166">
        <v>0</v>
      </c>
      <c r="BP506" s="166">
        <v>0</v>
      </c>
      <c r="BQ506" s="81" t="s">
        <v>1757</v>
      </c>
      <c r="BZ506" s="81" t="s">
        <v>155</v>
      </c>
      <c r="CA506" s="81" t="s">
        <v>3980</v>
      </c>
      <c r="CC506" s="167">
        <v>0</v>
      </c>
      <c r="CD506" s="167">
        <f>N506</f>
        <v>-2</v>
      </c>
      <c r="CE506" s="167">
        <v>0</v>
      </c>
      <c r="CF506" s="167">
        <v>0</v>
      </c>
      <c r="CG506" s="167">
        <v>0</v>
      </c>
      <c r="CH506" s="167">
        <v>0</v>
      </c>
      <c r="CI506" s="167">
        <v>0</v>
      </c>
      <c r="CJ506" s="167">
        <v>0</v>
      </c>
      <c r="CK506" s="167">
        <v>0</v>
      </c>
      <c r="CL506" s="167">
        <v>0</v>
      </c>
      <c r="CM506" s="167">
        <v>0</v>
      </c>
      <c r="CN506" s="167">
        <v>0</v>
      </c>
      <c r="CO506" s="167">
        <v>0</v>
      </c>
      <c r="CP506" s="167">
        <v>0</v>
      </c>
      <c r="CQ506" s="167">
        <v>0</v>
      </c>
      <c r="CR506" s="167">
        <v>0</v>
      </c>
      <c r="CS506" s="167">
        <v>0</v>
      </c>
      <c r="CT506" s="167">
        <v>0</v>
      </c>
      <c r="CU506" s="167">
        <v>0</v>
      </c>
      <c r="CV506" s="167">
        <v>0</v>
      </c>
      <c r="CW506" s="167">
        <v>0</v>
      </c>
      <c r="CX506" s="167">
        <f>SUM(CD506:CH506)</f>
        <v>-2</v>
      </c>
      <c r="CY506" s="167">
        <f>SUM(CD506:CM506)</f>
        <v>-2</v>
      </c>
    </row>
    <row r="507" spans="1:103" ht="12.75" customHeight="1" x14ac:dyDescent="0.2">
      <c r="A507" s="81">
        <v>5447</v>
      </c>
      <c r="B507" s="165" t="s">
        <v>1908</v>
      </c>
      <c r="C507" s="165" t="s">
        <v>284</v>
      </c>
      <c r="E507" s="165" t="s">
        <v>3390</v>
      </c>
      <c r="G507" s="81">
        <v>528513</v>
      </c>
      <c r="H507" s="81">
        <v>175788</v>
      </c>
      <c r="I507" s="165" t="s">
        <v>256</v>
      </c>
      <c r="J507" s="349">
        <v>43011</v>
      </c>
      <c r="L507" s="166">
        <v>0</v>
      </c>
      <c r="M507" s="166">
        <v>1</v>
      </c>
      <c r="N507" s="166">
        <v>1</v>
      </c>
      <c r="O507" s="166">
        <v>1</v>
      </c>
      <c r="P507" s="166">
        <v>1</v>
      </c>
      <c r="R507" s="165" t="s">
        <v>285</v>
      </c>
      <c r="S507" s="81" t="s">
        <v>113</v>
      </c>
      <c r="T507" s="349">
        <v>41647</v>
      </c>
      <c r="U507" s="349">
        <v>41808</v>
      </c>
      <c r="W507" s="81" t="s">
        <v>114</v>
      </c>
      <c r="Y507" s="81" t="s">
        <v>115</v>
      </c>
      <c r="Z507" s="81" t="s">
        <v>116</v>
      </c>
      <c r="AA507" s="81" t="s">
        <v>117</v>
      </c>
      <c r="AB507" s="81" t="s">
        <v>218</v>
      </c>
      <c r="AC507" s="166">
        <v>2.3000000044703501E-2</v>
      </c>
      <c r="AD507" s="349">
        <v>43011</v>
      </c>
      <c r="AE507" s="81" t="s">
        <v>155</v>
      </c>
      <c r="AG507" s="81" t="s">
        <v>238</v>
      </c>
      <c r="AH507" s="81" t="s">
        <v>118</v>
      </c>
      <c r="AK507" s="166">
        <v>0</v>
      </c>
      <c r="AM507" s="166">
        <v>0</v>
      </c>
      <c r="AO507" s="166">
        <v>0</v>
      </c>
      <c r="AP507" s="166">
        <v>1</v>
      </c>
      <c r="AQ507" s="166">
        <v>0</v>
      </c>
      <c r="AR507" s="166">
        <v>0</v>
      </c>
      <c r="AS507" s="166">
        <v>0</v>
      </c>
      <c r="AT507" s="166">
        <v>0</v>
      </c>
      <c r="AU507" s="166">
        <v>0</v>
      </c>
      <c r="AV507" s="166">
        <v>0</v>
      </c>
      <c r="AW507" s="166">
        <v>0</v>
      </c>
      <c r="AX507" s="166">
        <v>0</v>
      </c>
      <c r="AY507" s="166">
        <v>0</v>
      </c>
      <c r="AZ507" s="166">
        <v>0</v>
      </c>
      <c r="BA507" s="166">
        <v>0</v>
      </c>
      <c r="BB507" s="166">
        <v>0</v>
      </c>
      <c r="BC507" s="166">
        <v>0</v>
      </c>
      <c r="BD507" s="166">
        <v>1</v>
      </c>
      <c r="BE507" s="166">
        <v>0</v>
      </c>
      <c r="BF507" s="166">
        <v>0</v>
      </c>
      <c r="BG507" s="166">
        <v>0</v>
      </c>
      <c r="BH507" s="166">
        <v>0</v>
      </c>
      <c r="BI507" s="166">
        <v>0</v>
      </c>
      <c r="BJ507" s="166">
        <v>0</v>
      </c>
      <c r="BK507" s="166">
        <v>0</v>
      </c>
      <c r="BL507" s="166">
        <v>0</v>
      </c>
      <c r="BM507" s="166">
        <v>0</v>
      </c>
      <c r="BN507" s="166">
        <v>0</v>
      </c>
      <c r="BO507" s="166">
        <v>0</v>
      </c>
      <c r="BP507" s="166">
        <v>0</v>
      </c>
      <c r="BQ507" s="81" t="s">
        <v>1757</v>
      </c>
      <c r="BZ507" s="81" t="s">
        <v>155</v>
      </c>
      <c r="CA507" s="81" t="s">
        <v>3977</v>
      </c>
      <c r="CC507" s="167">
        <v>0</v>
      </c>
      <c r="CD507" s="167">
        <f>$N507/2</f>
        <v>0.5</v>
      </c>
      <c r="CE507" s="167">
        <f>$N507/2</f>
        <v>0.5</v>
      </c>
      <c r="CF507" s="167">
        <v>0</v>
      </c>
      <c r="CG507" s="167">
        <v>0</v>
      </c>
      <c r="CH507" s="167">
        <v>0</v>
      </c>
      <c r="CI507" s="167">
        <v>0</v>
      </c>
      <c r="CJ507" s="167">
        <v>0</v>
      </c>
      <c r="CK507" s="167">
        <v>0</v>
      </c>
      <c r="CL507" s="167">
        <v>0</v>
      </c>
      <c r="CM507" s="167">
        <v>0</v>
      </c>
      <c r="CN507" s="167">
        <v>0</v>
      </c>
      <c r="CO507" s="167">
        <v>0</v>
      </c>
      <c r="CP507" s="167">
        <v>0</v>
      </c>
      <c r="CQ507" s="167">
        <v>0</v>
      </c>
      <c r="CR507" s="167">
        <v>0</v>
      </c>
      <c r="CS507" s="167">
        <v>0</v>
      </c>
      <c r="CT507" s="167">
        <v>0</v>
      </c>
      <c r="CU507" s="167">
        <v>0</v>
      </c>
      <c r="CV507" s="167">
        <v>0</v>
      </c>
      <c r="CW507" s="167">
        <v>0</v>
      </c>
      <c r="CX507" s="167">
        <f>SUM(CD507:CH507)</f>
        <v>1</v>
      </c>
      <c r="CY507" s="167">
        <f>SUM(CD507:CM507)</f>
        <v>1</v>
      </c>
    </row>
    <row r="508" spans="1:103" ht="12.75" customHeight="1" x14ac:dyDescent="0.2">
      <c r="A508" s="81">
        <v>5453</v>
      </c>
      <c r="B508" s="165" t="s">
        <v>1908</v>
      </c>
      <c r="C508" s="165" t="s">
        <v>3391</v>
      </c>
      <c r="E508" s="165" t="s">
        <v>3392</v>
      </c>
      <c r="G508" s="81">
        <v>527274</v>
      </c>
      <c r="H508" s="81">
        <v>174710</v>
      </c>
      <c r="I508" s="165" t="s">
        <v>255</v>
      </c>
      <c r="J508" s="349">
        <v>43190</v>
      </c>
      <c r="L508" s="166">
        <v>0</v>
      </c>
      <c r="M508" s="166">
        <v>1</v>
      </c>
      <c r="N508" s="166">
        <v>1</v>
      </c>
      <c r="O508" s="166">
        <v>1</v>
      </c>
      <c r="P508" s="166">
        <v>1</v>
      </c>
      <c r="R508" s="165" t="s">
        <v>3393</v>
      </c>
      <c r="S508" s="81" t="s">
        <v>113</v>
      </c>
      <c r="T508" s="349">
        <v>42989</v>
      </c>
      <c r="U508" s="349">
        <v>43075</v>
      </c>
      <c r="V508" s="81" t="s">
        <v>155</v>
      </c>
      <c r="W508" s="81" t="s">
        <v>114</v>
      </c>
      <c r="Y508" s="81" t="s">
        <v>397</v>
      </c>
      <c r="Z508" s="81" t="s">
        <v>116</v>
      </c>
      <c r="AA508" s="81" t="s">
        <v>117</v>
      </c>
      <c r="AB508" s="81" t="s">
        <v>218</v>
      </c>
      <c r="AC508" s="166">
        <v>9.00000035762787E-2</v>
      </c>
      <c r="AD508" s="349">
        <v>43190</v>
      </c>
      <c r="AE508" s="81" t="s">
        <v>155</v>
      </c>
      <c r="AG508" s="81" t="s">
        <v>238</v>
      </c>
      <c r="AH508" s="81" t="s">
        <v>118</v>
      </c>
      <c r="AK508" s="166">
        <v>0</v>
      </c>
      <c r="AM508" s="166">
        <v>0</v>
      </c>
      <c r="AO508" s="166">
        <v>0</v>
      </c>
      <c r="AP508" s="166">
        <v>0</v>
      </c>
      <c r="AQ508" s="166">
        <v>0</v>
      </c>
      <c r="AR508" s="166">
        <v>0</v>
      </c>
      <c r="AS508" s="166">
        <v>0</v>
      </c>
      <c r="AT508" s="166">
        <v>1</v>
      </c>
      <c r="AU508" s="166">
        <v>0</v>
      </c>
      <c r="AV508" s="166">
        <v>0</v>
      </c>
      <c r="AW508" s="166">
        <v>0</v>
      </c>
      <c r="AX508" s="166">
        <v>0</v>
      </c>
      <c r="AY508" s="166">
        <v>0</v>
      </c>
      <c r="AZ508" s="166">
        <v>0</v>
      </c>
      <c r="BA508" s="166">
        <v>0</v>
      </c>
      <c r="BB508" s="166">
        <v>0</v>
      </c>
      <c r="BC508" s="166">
        <v>0</v>
      </c>
      <c r="BD508" s="166">
        <v>0</v>
      </c>
      <c r="BE508" s="166">
        <v>0</v>
      </c>
      <c r="BF508" s="166">
        <v>0</v>
      </c>
      <c r="BG508" s="166">
        <v>0</v>
      </c>
      <c r="BH508" s="166">
        <v>1</v>
      </c>
      <c r="BI508" s="166">
        <v>0</v>
      </c>
      <c r="BJ508" s="166">
        <v>0</v>
      </c>
      <c r="BK508" s="166">
        <v>0</v>
      </c>
      <c r="BL508" s="166">
        <v>0</v>
      </c>
      <c r="BM508" s="166">
        <v>0</v>
      </c>
      <c r="BN508" s="166">
        <v>0</v>
      </c>
      <c r="BO508" s="166">
        <v>0</v>
      </c>
      <c r="BP508" s="166">
        <v>0</v>
      </c>
      <c r="BQ508" s="81" t="s">
        <v>1757</v>
      </c>
      <c r="BZ508" s="81" t="s">
        <v>155</v>
      </c>
      <c r="CA508" s="81" t="s">
        <v>3977</v>
      </c>
      <c r="CC508" s="167">
        <v>0</v>
      </c>
      <c r="CD508" s="167">
        <f>$N508/2</f>
        <v>0.5</v>
      </c>
      <c r="CE508" s="167">
        <f>$N508/2</f>
        <v>0.5</v>
      </c>
      <c r="CF508" s="167">
        <v>0</v>
      </c>
      <c r="CG508" s="167">
        <v>0</v>
      </c>
      <c r="CH508" s="167">
        <v>0</v>
      </c>
      <c r="CI508" s="167">
        <v>0</v>
      </c>
      <c r="CJ508" s="167">
        <v>0</v>
      </c>
      <c r="CK508" s="167">
        <v>0</v>
      </c>
      <c r="CL508" s="167">
        <v>0</v>
      </c>
      <c r="CM508" s="167">
        <v>0</v>
      </c>
      <c r="CN508" s="167">
        <v>0</v>
      </c>
      <c r="CO508" s="167">
        <v>0</v>
      </c>
      <c r="CP508" s="167">
        <v>0</v>
      </c>
      <c r="CQ508" s="167">
        <v>0</v>
      </c>
      <c r="CR508" s="167">
        <v>0</v>
      </c>
      <c r="CS508" s="167">
        <v>0</v>
      </c>
      <c r="CT508" s="167">
        <v>0</v>
      </c>
      <c r="CU508" s="167">
        <v>0</v>
      </c>
      <c r="CV508" s="167">
        <v>0</v>
      </c>
      <c r="CW508" s="167">
        <v>0</v>
      </c>
      <c r="CX508" s="167">
        <f>SUM(CD508:CH508)</f>
        <v>1</v>
      </c>
      <c r="CY508" s="167">
        <f>SUM(CD508:CM508)</f>
        <v>1</v>
      </c>
    </row>
    <row r="509" spans="1:103" ht="12.75" customHeight="1" x14ac:dyDescent="0.2">
      <c r="A509" s="81">
        <v>5475</v>
      </c>
      <c r="B509" s="165" t="s">
        <v>1908</v>
      </c>
      <c r="C509" s="165" t="s">
        <v>18</v>
      </c>
      <c r="E509" s="165" t="s">
        <v>3394</v>
      </c>
      <c r="G509" s="81">
        <v>527437</v>
      </c>
      <c r="H509" s="81">
        <v>176713</v>
      </c>
      <c r="I509" s="165" t="s">
        <v>257</v>
      </c>
      <c r="J509" s="349">
        <v>42094</v>
      </c>
      <c r="L509" s="166">
        <v>1</v>
      </c>
      <c r="M509" s="166">
        <v>1</v>
      </c>
      <c r="N509" s="166">
        <v>0</v>
      </c>
      <c r="O509" s="166">
        <v>1</v>
      </c>
      <c r="P509" s="166">
        <v>0</v>
      </c>
      <c r="R509" s="165" t="s">
        <v>746</v>
      </c>
      <c r="S509" s="81" t="s">
        <v>113</v>
      </c>
      <c r="T509" s="349">
        <v>41605</v>
      </c>
      <c r="U509" s="349">
        <v>41810</v>
      </c>
      <c r="W509" s="81" t="s">
        <v>114</v>
      </c>
      <c r="Y509" s="81" t="s">
        <v>115</v>
      </c>
      <c r="Z509" s="81" t="s">
        <v>116</v>
      </c>
      <c r="AA509" s="81" t="s">
        <v>117</v>
      </c>
      <c r="AB509" s="81" t="s">
        <v>218</v>
      </c>
      <c r="AC509" s="166">
        <v>3.9000000804662698E-2</v>
      </c>
      <c r="AD509" s="349">
        <v>42094</v>
      </c>
      <c r="AG509" s="81" t="s">
        <v>238</v>
      </c>
      <c r="AH509" s="81" t="s">
        <v>118</v>
      </c>
      <c r="AK509" s="166">
        <v>0</v>
      </c>
      <c r="AM509" s="166">
        <v>0</v>
      </c>
      <c r="AO509" s="166">
        <v>0</v>
      </c>
      <c r="AP509" s="166">
        <v>0</v>
      </c>
      <c r="AQ509" s="166">
        <v>0</v>
      </c>
      <c r="AR509" s="166">
        <v>0</v>
      </c>
      <c r="AS509" s="166">
        <v>-1</v>
      </c>
      <c r="AT509" s="166">
        <v>1</v>
      </c>
      <c r="AU509" s="166">
        <v>0</v>
      </c>
      <c r="AV509" s="166">
        <v>0</v>
      </c>
      <c r="AW509" s="166">
        <v>0</v>
      </c>
      <c r="AX509" s="166">
        <v>0</v>
      </c>
      <c r="AY509" s="166">
        <v>0</v>
      </c>
      <c r="AZ509" s="166">
        <v>0</v>
      </c>
      <c r="BA509" s="166">
        <v>0</v>
      </c>
      <c r="BB509" s="166">
        <v>0</v>
      </c>
      <c r="BC509" s="166">
        <v>0</v>
      </c>
      <c r="BD509" s="166">
        <v>0</v>
      </c>
      <c r="BE509" s="166">
        <v>0</v>
      </c>
      <c r="BF509" s="166">
        <v>0</v>
      </c>
      <c r="BG509" s="166">
        <v>-1</v>
      </c>
      <c r="BH509" s="166">
        <v>1</v>
      </c>
      <c r="BI509" s="166">
        <v>0</v>
      </c>
      <c r="BJ509" s="166">
        <v>0</v>
      </c>
      <c r="BK509" s="166">
        <v>0</v>
      </c>
      <c r="BL509" s="166">
        <v>0</v>
      </c>
      <c r="BM509" s="166">
        <v>0</v>
      </c>
      <c r="BN509" s="166">
        <v>0</v>
      </c>
      <c r="BO509" s="166">
        <v>0</v>
      </c>
      <c r="BP509" s="166">
        <v>0</v>
      </c>
      <c r="BQ509" s="81" t="s">
        <v>1757</v>
      </c>
      <c r="BZ509" s="81" t="s">
        <v>155</v>
      </c>
      <c r="CA509" s="81" t="s">
        <v>3976</v>
      </c>
      <c r="CC509" s="167">
        <v>0</v>
      </c>
      <c r="CD509" s="167">
        <f>N509</f>
        <v>0</v>
      </c>
      <c r="CE509" s="167">
        <v>0</v>
      </c>
      <c r="CF509" s="167">
        <v>0</v>
      </c>
      <c r="CG509" s="167">
        <v>0</v>
      </c>
      <c r="CH509" s="167">
        <v>0</v>
      </c>
      <c r="CI509" s="167">
        <v>0</v>
      </c>
      <c r="CJ509" s="167">
        <v>0</v>
      </c>
      <c r="CK509" s="167">
        <v>0</v>
      </c>
      <c r="CL509" s="167">
        <v>0</v>
      </c>
      <c r="CM509" s="167">
        <v>0</v>
      </c>
      <c r="CN509" s="167">
        <v>0</v>
      </c>
      <c r="CO509" s="167">
        <v>0</v>
      </c>
      <c r="CP509" s="167">
        <v>0</v>
      </c>
      <c r="CQ509" s="167">
        <v>0</v>
      </c>
      <c r="CR509" s="167">
        <v>0</v>
      </c>
      <c r="CS509" s="167">
        <v>0</v>
      </c>
      <c r="CT509" s="167">
        <v>0</v>
      </c>
      <c r="CU509" s="167">
        <v>0</v>
      </c>
      <c r="CV509" s="167">
        <v>0</v>
      </c>
      <c r="CW509" s="167">
        <v>0</v>
      </c>
      <c r="CX509" s="167">
        <f>SUM(CD509:CH509)</f>
        <v>0</v>
      </c>
      <c r="CY509" s="167">
        <f>SUM(CD509:CM509)</f>
        <v>0</v>
      </c>
    </row>
    <row r="510" spans="1:103" ht="12.75" customHeight="1" x14ac:dyDescent="0.2">
      <c r="A510" s="81">
        <v>5514</v>
      </c>
      <c r="B510" s="165" t="s">
        <v>1908</v>
      </c>
      <c r="C510" s="165" t="s">
        <v>325</v>
      </c>
      <c r="E510" s="165" t="s">
        <v>3552</v>
      </c>
      <c r="G510" s="81">
        <v>529246</v>
      </c>
      <c r="H510" s="81">
        <v>170855</v>
      </c>
      <c r="I510" s="165" t="s">
        <v>252</v>
      </c>
      <c r="J510" s="349">
        <v>42826</v>
      </c>
      <c r="L510" s="166">
        <v>0</v>
      </c>
      <c r="M510" s="166">
        <v>1</v>
      </c>
      <c r="N510" s="166">
        <v>1</v>
      </c>
      <c r="O510" s="166">
        <v>1</v>
      </c>
      <c r="P510" s="166">
        <v>1</v>
      </c>
      <c r="R510" s="165" t="s">
        <v>326</v>
      </c>
      <c r="S510" s="81" t="s">
        <v>113</v>
      </c>
      <c r="T510" s="349">
        <v>41647</v>
      </c>
      <c r="U510" s="349">
        <v>42107</v>
      </c>
      <c r="W510" s="81" t="s">
        <v>114</v>
      </c>
      <c r="Y510" s="81" t="s">
        <v>115</v>
      </c>
      <c r="Z510" s="81" t="s">
        <v>398</v>
      </c>
      <c r="AA510" s="81" t="s">
        <v>117</v>
      </c>
      <c r="AB510" s="81" t="s">
        <v>218</v>
      </c>
      <c r="AC510" s="166">
        <v>7.0000002160668399E-3</v>
      </c>
      <c r="AD510" s="349">
        <v>42826</v>
      </c>
      <c r="AE510" s="81" t="s">
        <v>155</v>
      </c>
      <c r="AG510" s="81" t="s">
        <v>238</v>
      </c>
      <c r="AH510" s="81" t="s">
        <v>118</v>
      </c>
      <c r="AK510" s="166">
        <v>1</v>
      </c>
      <c r="AM510" s="166">
        <v>0</v>
      </c>
      <c r="AO510" s="166">
        <v>0</v>
      </c>
      <c r="AP510" s="166">
        <v>0</v>
      </c>
      <c r="AQ510" s="166">
        <v>1</v>
      </c>
      <c r="AR510" s="166">
        <v>0</v>
      </c>
      <c r="AS510" s="166">
        <v>0</v>
      </c>
      <c r="AT510" s="166">
        <v>0</v>
      </c>
      <c r="AU510" s="166">
        <v>0</v>
      </c>
      <c r="AV510" s="166">
        <v>0</v>
      </c>
      <c r="AW510" s="166">
        <v>0</v>
      </c>
      <c r="AX510" s="166">
        <v>0</v>
      </c>
      <c r="AY510" s="166">
        <v>0</v>
      </c>
      <c r="AZ510" s="166">
        <v>0</v>
      </c>
      <c r="BA510" s="166">
        <v>0</v>
      </c>
      <c r="BB510" s="166">
        <v>0</v>
      </c>
      <c r="BC510" s="166">
        <v>0</v>
      </c>
      <c r="BD510" s="166">
        <v>0</v>
      </c>
      <c r="BE510" s="166">
        <v>1</v>
      </c>
      <c r="BF510" s="166">
        <v>0</v>
      </c>
      <c r="BG510" s="166">
        <v>0</v>
      </c>
      <c r="BH510" s="166">
        <v>0</v>
      </c>
      <c r="BI510" s="166">
        <v>0</v>
      </c>
      <c r="BJ510" s="166">
        <v>0</v>
      </c>
      <c r="BK510" s="166">
        <v>0</v>
      </c>
      <c r="BL510" s="166">
        <v>0</v>
      </c>
      <c r="BM510" s="166">
        <v>0</v>
      </c>
      <c r="BN510" s="166">
        <v>0</v>
      </c>
      <c r="BO510" s="166">
        <v>0</v>
      </c>
      <c r="BP510" s="166">
        <v>0</v>
      </c>
      <c r="BQ510" s="81" t="s">
        <v>1757</v>
      </c>
      <c r="BZ510" s="81" t="s">
        <v>155</v>
      </c>
      <c r="CA510" s="81" t="s">
        <v>3980</v>
      </c>
      <c r="CC510" s="167">
        <v>0</v>
      </c>
      <c r="CD510" s="167">
        <f>N510</f>
        <v>1</v>
      </c>
      <c r="CE510" s="167">
        <v>0</v>
      </c>
      <c r="CF510" s="167">
        <v>0</v>
      </c>
      <c r="CG510" s="167">
        <v>0</v>
      </c>
      <c r="CH510" s="167">
        <v>0</v>
      </c>
      <c r="CI510" s="167">
        <v>0</v>
      </c>
      <c r="CJ510" s="167">
        <v>0</v>
      </c>
      <c r="CK510" s="167">
        <v>0</v>
      </c>
      <c r="CL510" s="167">
        <v>0</v>
      </c>
      <c r="CM510" s="167">
        <v>0</v>
      </c>
      <c r="CN510" s="167">
        <v>0</v>
      </c>
      <c r="CO510" s="167">
        <v>0</v>
      </c>
      <c r="CP510" s="167">
        <v>0</v>
      </c>
      <c r="CQ510" s="167">
        <v>0</v>
      </c>
      <c r="CR510" s="167">
        <v>0</v>
      </c>
      <c r="CS510" s="167">
        <v>0</v>
      </c>
      <c r="CT510" s="167">
        <v>0</v>
      </c>
      <c r="CU510" s="167">
        <v>0</v>
      </c>
      <c r="CV510" s="167">
        <v>0</v>
      </c>
      <c r="CW510" s="167">
        <v>0</v>
      </c>
      <c r="CX510" s="167">
        <f>SUM(CD510:CH510)</f>
        <v>1</v>
      </c>
      <c r="CY510" s="167">
        <f>SUM(CD510:CM510)</f>
        <v>1</v>
      </c>
    </row>
    <row r="511" spans="1:103" ht="12.75" customHeight="1" x14ac:dyDescent="0.2">
      <c r="A511" s="81">
        <v>5532</v>
      </c>
      <c r="B511" s="165" t="s">
        <v>1908</v>
      </c>
      <c r="C511" s="165" t="s">
        <v>282</v>
      </c>
      <c r="E511" s="165" t="s">
        <v>3395</v>
      </c>
      <c r="G511" s="81">
        <v>526348</v>
      </c>
      <c r="H511" s="81">
        <v>174401</v>
      </c>
      <c r="I511" s="165" t="s">
        <v>260</v>
      </c>
      <c r="J511" s="349">
        <v>42846</v>
      </c>
      <c r="L511" s="166">
        <v>0</v>
      </c>
      <c r="M511" s="166">
        <v>9</v>
      </c>
      <c r="N511" s="166">
        <v>9</v>
      </c>
      <c r="O511" s="166">
        <v>9</v>
      </c>
      <c r="P511" s="166">
        <v>9</v>
      </c>
      <c r="R511" s="165" t="s">
        <v>283</v>
      </c>
      <c r="S511" s="81" t="s">
        <v>113</v>
      </c>
      <c r="T511" s="349">
        <v>41646</v>
      </c>
      <c r="U511" s="349">
        <v>41719</v>
      </c>
      <c r="W511" s="81" t="s">
        <v>114</v>
      </c>
      <c r="Y511" s="81" t="s">
        <v>115</v>
      </c>
      <c r="Z511" s="81" t="s">
        <v>116</v>
      </c>
      <c r="AA511" s="81" t="s">
        <v>117</v>
      </c>
      <c r="AB511" s="81" t="s">
        <v>218</v>
      </c>
      <c r="AC511" s="166">
        <v>6.7000001668930095E-2</v>
      </c>
      <c r="AD511" s="349">
        <v>42846</v>
      </c>
      <c r="AE511" s="81" t="s">
        <v>155</v>
      </c>
      <c r="AG511" s="81" t="s">
        <v>154</v>
      </c>
      <c r="AH511" s="81" t="s">
        <v>312</v>
      </c>
      <c r="AK511" s="166">
        <v>9</v>
      </c>
      <c r="AM511" s="166">
        <v>2</v>
      </c>
      <c r="AO511" s="166">
        <v>0</v>
      </c>
      <c r="AP511" s="166">
        <v>9</v>
      </c>
      <c r="AQ511" s="166">
        <v>0</v>
      </c>
      <c r="AR511" s="166">
        <v>0</v>
      </c>
      <c r="AS511" s="166">
        <v>0</v>
      </c>
      <c r="AT511" s="166">
        <v>0</v>
      </c>
      <c r="AU511" s="166">
        <v>0</v>
      </c>
      <c r="AV511" s="166">
        <v>0</v>
      </c>
      <c r="AW511" s="166">
        <v>9</v>
      </c>
      <c r="AX511" s="166">
        <v>0</v>
      </c>
      <c r="AY511" s="166">
        <v>0</v>
      </c>
      <c r="AZ511" s="166">
        <v>0</v>
      </c>
      <c r="BA511" s="166">
        <v>0</v>
      </c>
      <c r="BB511" s="166">
        <v>0</v>
      </c>
      <c r="BC511" s="166">
        <v>0</v>
      </c>
      <c r="BD511" s="166">
        <v>0</v>
      </c>
      <c r="BE511" s="166">
        <v>0</v>
      </c>
      <c r="BF511" s="166">
        <v>0</v>
      </c>
      <c r="BG511" s="166">
        <v>0</v>
      </c>
      <c r="BH511" s="166">
        <v>0</v>
      </c>
      <c r="BI511" s="166">
        <v>0</v>
      </c>
      <c r="BJ511" s="166">
        <v>0</v>
      </c>
      <c r="BK511" s="166">
        <v>0</v>
      </c>
      <c r="BL511" s="166">
        <v>0</v>
      </c>
      <c r="BM511" s="166">
        <v>0</v>
      </c>
      <c r="BN511" s="166">
        <v>0</v>
      </c>
      <c r="BO511" s="166">
        <v>0</v>
      </c>
      <c r="BP511" s="166">
        <v>0</v>
      </c>
      <c r="BQ511" s="81" t="s">
        <v>1758</v>
      </c>
      <c r="BZ511" s="81" t="s">
        <v>155</v>
      </c>
      <c r="CA511" s="81" t="s">
        <v>3976</v>
      </c>
      <c r="CC511" s="167">
        <v>0</v>
      </c>
      <c r="CD511" s="167">
        <f>N511</f>
        <v>9</v>
      </c>
      <c r="CE511" s="167">
        <v>0</v>
      </c>
      <c r="CF511" s="167">
        <v>0</v>
      </c>
      <c r="CG511" s="167">
        <v>0</v>
      </c>
      <c r="CH511" s="167">
        <v>0</v>
      </c>
      <c r="CI511" s="167">
        <v>0</v>
      </c>
      <c r="CJ511" s="167">
        <v>0</v>
      </c>
      <c r="CK511" s="167">
        <v>0</v>
      </c>
      <c r="CL511" s="167">
        <v>0</v>
      </c>
      <c r="CM511" s="167">
        <v>0</v>
      </c>
      <c r="CN511" s="167">
        <v>0</v>
      </c>
      <c r="CO511" s="167">
        <v>0</v>
      </c>
      <c r="CP511" s="167">
        <v>0</v>
      </c>
      <c r="CQ511" s="167">
        <v>0</v>
      </c>
      <c r="CR511" s="167">
        <v>0</v>
      </c>
      <c r="CS511" s="167">
        <v>0</v>
      </c>
      <c r="CT511" s="167">
        <v>0</v>
      </c>
      <c r="CU511" s="167">
        <v>0</v>
      </c>
      <c r="CV511" s="167">
        <v>0</v>
      </c>
      <c r="CW511" s="167">
        <v>0</v>
      </c>
      <c r="CX511" s="167">
        <f>SUM(CD511:CH511)</f>
        <v>9</v>
      </c>
      <c r="CY511" s="167">
        <f>SUM(CD511:CM511)</f>
        <v>9</v>
      </c>
    </row>
    <row r="512" spans="1:103" ht="12.75" customHeight="1" x14ac:dyDescent="0.2">
      <c r="A512" s="81">
        <v>5554</v>
      </c>
      <c r="B512" s="165" t="s">
        <v>1908</v>
      </c>
      <c r="C512" s="165" t="s">
        <v>304</v>
      </c>
      <c r="E512" s="165" t="s">
        <v>3396</v>
      </c>
      <c r="G512" s="81">
        <v>523841</v>
      </c>
      <c r="H512" s="81">
        <v>174804</v>
      </c>
      <c r="I512" s="165" t="s">
        <v>250</v>
      </c>
      <c r="J512" s="349">
        <v>42937</v>
      </c>
      <c r="L512" s="166">
        <v>1</v>
      </c>
      <c r="M512" s="166">
        <v>1</v>
      </c>
      <c r="N512" s="166">
        <v>0</v>
      </c>
      <c r="O512" s="166">
        <v>1</v>
      </c>
      <c r="P512" s="166">
        <v>0</v>
      </c>
      <c r="R512" s="165" t="s">
        <v>305</v>
      </c>
      <c r="S512" s="81" t="s">
        <v>113</v>
      </c>
      <c r="T512" s="349">
        <v>42024</v>
      </c>
      <c r="U512" s="349">
        <v>42080</v>
      </c>
      <c r="W512" s="81" t="s">
        <v>114</v>
      </c>
      <c r="Y512" s="81" t="s">
        <v>115</v>
      </c>
      <c r="Z512" s="81" t="s">
        <v>116</v>
      </c>
      <c r="AA512" s="81" t="s">
        <v>117</v>
      </c>
      <c r="AB512" s="81" t="s">
        <v>218</v>
      </c>
      <c r="AC512" s="166">
        <v>2.3000000044703501E-2</v>
      </c>
      <c r="AD512" s="349">
        <v>42937</v>
      </c>
      <c r="AE512" s="81" t="s">
        <v>155</v>
      </c>
      <c r="AG512" s="81" t="s">
        <v>238</v>
      </c>
      <c r="AH512" s="81" t="s">
        <v>118</v>
      </c>
      <c r="AK512" s="166">
        <v>0</v>
      </c>
      <c r="AM512" s="166">
        <v>0</v>
      </c>
      <c r="AO512" s="166">
        <v>0</v>
      </c>
      <c r="AP512" s="166">
        <v>0</v>
      </c>
      <c r="AQ512" s="166">
        <v>0</v>
      </c>
      <c r="AR512" s="166">
        <v>-1</v>
      </c>
      <c r="AS512" s="166">
        <v>1</v>
      </c>
      <c r="AT512" s="166">
        <v>0</v>
      </c>
      <c r="AU512" s="166">
        <v>0</v>
      </c>
      <c r="AV512" s="166">
        <v>0</v>
      </c>
      <c r="AW512" s="166">
        <v>0</v>
      </c>
      <c r="AX512" s="166">
        <v>0</v>
      </c>
      <c r="AY512" s="166">
        <v>0</v>
      </c>
      <c r="AZ512" s="166">
        <v>0</v>
      </c>
      <c r="BA512" s="166">
        <v>0</v>
      </c>
      <c r="BB512" s="166">
        <v>0</v>
      </c>
      <c r="BC512" s="166">
        <v>0</v>
      </c>
      <c r="BD512" s="166">
        <v>0</v>
      </c>
      <c r="BE512" s="166">
        <v>0</v>
      </c>
      <c r="BF512" s="166">
        <v>-1</v>
      </c>
      <c r="BG512" s="166">
        <v>1</v>
      </c>
      <c r="BH512" s="166">
        <v>0</v>
      </c>
      <c r="BI512" s="166">
        <v>0</v>
      </c>
      <c r="BJ512" s="166">
        <v>0</v>
      </c>
      <c r="BK512" s="166">
        <v>0</v>
      </c>
      <c r="BL512" s="166">
        <v>0</v>
      </c>
      <c r="BM512" s="166">
        <v>0</v>
      </c>
      <c r="BN512" s="166">
        <v>0</v>
      </c>
      <c r="BO512" s="166">
        <v>0</v>
      </c>
      <c r="BP512" s="166">
        <v>0</v>
      </c>
      <c r="BQ512" s="81" t="s">
        <v>1758</v>
      </c>
      <c r="BZ512" s="81" t="s">
        <v>155</v>
      </c>
      <c r="CA512" s="81" t="s">
        <v>3976</v>
      </c>
      <c r="CC512" s="167">
        <v>0</v>
      </c>
      <c r="CD512" s="167">
        <f>N512</f>
        <v>0</v>
      </c>
      <c r="CE512" s="167">
        <v>0</v>
      </c>
      <c r="CF512" s="167">
        <v>0</v>
      </c>
      <c r="CG512" s="167">
        <v>0</v>
      </c>
      <c r="CH512" s="167">
        <v>0</v>
      </c>
      <c r="CI512" s="167">
        <v>0</v>
      </c>
      <c r="CJ512" s="167">
        <v>0</v>
      </c>
      <c r="CK512" s="167">
        <v>0</v>
      </c>
      <c r="CL512" s="167">
        <v>0</v>
      </c>
      <c r="CM512" s="167">
        <v>0</v>
      </c>
      <c r="CN512" s="167">
        <v>0</v>
      </c>
      <c r="CO512" s="167">
        <v>0</v>
      </c>
      <c r="CP512" s="167">
        <v>0</v>
      </c>
      <c r="CQ512" s="167">
        <v>0</v>
      </c>
      <c r="CR512" s="167">
        <v>0</v>
      </c>
      <c r="CS512" s="167">
        <v>0</v>
      </c>
      <c r="CT512" s="167">
        <v>0</v>
      </c>
      <c r="CU512" s="167">
        <v>0</v>
      </c>
      <c r="CV512" s="167">
        <v>0</v>
      </c>
      <c r="CW512" s="167">
        <v>0</v>
      </c>
      <c r="CX512" s="167">
        <f>SUM(CD512:CH512)</f>
        <v>0</v>
      </c>
      <c r="CY512" s="167">
        <f>SUM(CD512:CM512)</f>
        <v>0</v>
      </c>
    </row>
    <row r="513" spans="1:103" ht="12.75" customHeight="1" x14ac:dyDescent="0.2">
      <c r="A513" s="81">
        <v>5555</v>
      </c>
      <c r="B513" s="165" t="s">
        <v>1908</v>
      </c>
      <c r="C513" s="165" t="s">
        <v>535</v>
      </c>
      <c r="E513" s="165" t="s">
        <v>3397</v>
      </c>
      <c r="G513" s="81">
        <v>527992</v>
      </c>
      <c r="H513" s="81">
        <v>176642</v>
      </c>
      <c r="I513" s="165" t="s">
        <v>240</v>
      </c>
      <c r="J513" s="349">
        <v>42825</v>
      </c>
      <c r="L513" s="166">
        <v>0</v>
      </c>
      <c r="M513" s="166">
        <v>9</v>
      </c>
      <c r="N513" s="166">
        <v>9</v>
      </c>
      <c r="O513" s="166">
        <v>9</v>
      </c>
      <c r="P513" s="166">
        <v>9</v>
      </c>
      <c r="R513" s="165" t="s">
        <v>891</v>
      </c>
      <c r="S513" s="81" t="s">
        <v>113</v>
      </c>
      <c r="T513" s="349">
        <v>41696</v>
      </c>
      <c r="U513" s="349">
        <v>42025</v>
      </c>
      <c r="W513" s="81" t="s">
        <v>114</v>
      </c>
      <c r="Y513" s="81" t="s">
        <v>115</v>
      </c>
      <c r="Z513" s="81" t="s">
        <v>116</v>
      </c>
      <c r="AA513" s="81" t="s">
        <v>117</v>
      </c>
      <c r="AB513" s="81" t="s">
        <v>218</v>
      </c>
      <c r="AC513" s="166">
        <v>0.25600001215934798</v>
      </c>
      <c r="AD513" s="349">
        <v>42825</v>
      </c>
      <c r="AG513" s="81" t="s">
        <v>238</v>
      </c>
      <c r="AH513" s="81" t="s">
        <v>118</v>
      </c>
      <c r="AK513" s="166">
        <v>9</v>
      </c>
      <c r="AM513" s="166">
        <v>0</v>
      </c>
      <c r="AO513" s="166">
        <v>0</v>
      </c>
      <c r="AP513" s="166">
        <v>0</v>
      </c>
      <c r="AQ513" s="166">
        <v>0</v>
      </c>
      <c r="AR513" s="166">
        <v>0</v>
      </c>
      <c r="AS513" s="166">
        <v>0</v>
      </c>
      <c r="AT513" s="166">
        <v>9</v>
      </c>
      <c r="AU513" s="166">
        <v>0</v>
      </c>
      <c r="AV513" s="166">
        <v>0</v>
      </c>
      <c r="AW513" s="166">
        <v>0</v>
      </c>
      <c r="AX513" s="166">
        <v>0</v>
      </c>
      <c r="AY513" s="166">
        <v>0</v>
      </c>
      <c r="AZ513" s="166">
        <v>0</v>
      </c>
      <c r="BA513" s="166">
        <v>0</v>
      </c>
      <c r="BB513" s="166">
        <v>0</v>
      </c>
      <c r="BC513" s="166">
        <v>0</v>
      </c>
      <c r="BD513" s="166">
        <v>0</v>
      </c>
      <c r="BE513" s="166">
        <v>0</v>
      </c>
      <c r="BF513" s="166">
        <v>0</v>
      </c>
      <c r="BG513" s="166">
        <v>0</v>
      </c>
      <c r="BH513" s="166">
        <v>9</v>
      </c>
      <c r="BI513" s="166">
        <v>0</v>
      </c>
      <c r="BJ513" s="166">
        <v>0</v>
      </c>
      <c r="BK513" s="166">
        <v>0</v>
      </c>
      <c r="BL513" s="166">
        <v>0</v>
      </c>
      <c r="BM513" s="166">
        <v>0</v>
      </c>
      <c r="BN513" s="166">
        <v>0</v>
      </c>
      <c r="BO513" s="166">
        <v>0</v>
      </c>
      <c r="BP513" s="166">
        <v>0</v>
      </c>
      <c r="BQ513" s="81" t="s">
        <v>1757</v>
      </c>
      <c r="BZ513" s="81" t="s">
        <v>155</v>
      </c>
      <c r="CA513" s="81" t="s">
        <v>3976</v>
      </c>
      <c r="CC513" s="167">
        <v>0</v>
      </c>
      <c r="CD513" s="167">
        <f>N513</f>
        <v>9</v>
      </c>
      <c r="CE513" s="167">
        <v>0</v>
      </c>
      <c r="CF513" s="167">
        <v>0</v>
      </c>
      <c r="CG513" s="167">
        <v>0</v>
      </c>
      <c r="CH513" s="167">
        <v>0</v>
      </c>
      <c r="CI513" s="167">
        <v>0</v>
      </c>
      <c r="CJ513" s="167">
        <v>0</v>
      </c>
      <c r="CK513" s="167">
        <v>0</v>
      </c>
      <c r="CL513" s="167">
        <v>0</v>
      </c>
      <c r="CM513" s="167">
        <v>0</v>
      </c>
      <c r="CN513" s="167">
        <v>0</v>
      </c>
      <c r="CO513" s="167">
        <v>0</v>
      </c>
      <c r="CP513" s="167">
        <v>0</v>
      </c>
      <c r="CQ513" s="167">
        <v>0</v>
      </c>
      <c r="CR513" s="167">
        <v>0</v>
      </c>
      <c r="CS513" s="167">
        <v>0</v>
      </c>
      <c r="CT513" s="167">
        <v>0</v>
      </c>
      <c r="CU513" s="167">
        <v>0</v>
      </c>
      <c r="CV513" s="167">
        <v>0</v>
      </c>
      <c r="CW513" s="167">
        <v>0</v>
      </c>
      <c r="CX513" s="167">
        <f>SUM(CD513:CH513)</f>
        <v>9</v>
      </c>
      <c r="CY513" s="167">
        <f>SUM(CD513:CM513)</f>
        <v>9</v>
      </c>
    </row>
    <row r="514" spans="1:103" ht="12.75" customHeight="1" x14ac:dyDescent="0.2">
      <c r="A514" s="81">
        <v>5585</v>
      </c>
      <c r="B514" s="165" t="s">
        <v>1908</v>
      </c>
      <c r="C514" s="165" t="s">
        <v>538</v>
      </c>
      <c r="E514" s="165" t="s">
        <v>3398</v>
      </c>
      <c r="G514" s="81">
        <v>528205</v>
      </c>
      <c r="H514" s="81">
        <v>174157</v>
      </c>
      <c r="I514" s="165" t="s">
        <v>247</v>
      </c>
      <c r="J514" s="349">
        <v>42663</v>
      </c>
      <c r="L514" s="166">
        <v>0</v>
      </c>
      <c r="M514" s="166">
        <v>1</v>
      </c>
      <c r="N514" s="166">
        <v>1</v>
      </c>
      <c r="O514" s="166">
        <v>1</v>
      </c>
      <c r="P514" s="166">
        <v>1</v>
      </c>
      <c r="R514" s="165" t="s">
        <v>894</v>
      </c>
      <c r="S514" s="81" t="s">
        <v>113</v>
      </c>
      <c r="T514" s="349">
        <v>41725</v>
      </c>
      <c r="U514" s="349">
        <v>42087</v>
      </c>
      <c r="W514" s="81" t="s">
        <v>114</v>
      </c>
      <c r="Y514" s="81" t="s">
        <v>115</v>
      </c>
      <c r="Z514" s="81" t="s">
        <v>116</v>
      </c>
      <c r="AA514" s="81" t="s">
        <v>117</v>
      </c>
      <c r="AB514" s="81" t="s">
        <v>218</v>
      </c>
      <c r="AC514" s="166">
        <v>8.0000003799796104E-3</v>
      </c>
      <c r="AD514" s="349">
        <v>42663</v>
      </c>
      <c r="AG514" s="81" t="s">
        <v>238</v>
      </c>
      <c r="AH514" s="81" t="s">
        <v>118</v>
      </c>
      <c r="AK514" s="166">
        <v>0</v>
      </c>
      <c r="AM514" s="166">
        <v>0</v>
      </c>
      <c r="AO514" s="166">
        <v>0</v>
      </c>
      <c r="AP514" s="166">
        <v>0</v>
      </c>
      <c r="AQ514" s="166">
        <v>1</v>
      </c>
      <c r="AR514" s="166">
        <v>0</v>
      </c>
      <c r="AS514" s="166">
        <v>0</v>
      </c>
      <c r="AT514" s="166">
        <v>0</v>
      </c>
      <c r="AU514" s="166">
        <v>0</v>
      </c>
      <c r="AV514" s="166">
        <v>0</v>
      </c>
      <c r="AW514" s="166">
        <v>0</v>
      </c>
      <c r="AX514" s="166">
        <v>1</v>
      </c>
      <c r="AY514" s="166">
        <v>0</v>
      </c>
      <c r="AZ514" s="166">
        <v>0</v>
      </c>
      <c r="BA514" s="166">
        <v>0</v>
      </c>
      <c r="BB514" s="166">
        <v>0</v>
      </c>
      <c r="BC514" s="166">
        <v>0</v>
      </c>
      <c r="BD514" s="166">
        <v>0</v>
      </c>
      <c r="BE514" s="166">
        <v>0</v>
      </c>
      <c r="BF514" s="166">
        <v>0</v>
      </c>
      <c r="BG514" s="166">
        <v>0</v>
      </c>
      <c r="BH514" s="166">
        <v>0</v>
      </c>
      <c r="BI514" s="166">
        <v>0</v>
      </c>
      <c r="BJ514" s="166">
        <v>0</v>
      </c>
      <c r="BK514" s="166">
        <v>0</v>
      </c>
      <c r="BL514" s="166">
        <v>0</v>
      </c>
      <c r="BM514" s="166">
        <v>0</v>
      </c>
      <c r="BN514" s="166">
        <v>0</v>
      </c>
      <c r="BO514" s="166">
        <v>0</v>
      </c>
      <c r="BP514" s="166">
        <v>0</v>
      </c>
      <c r="BQ514" s="81" t="s">
        <v>1757</v>
      </c>
      <c r="BZ514" s="81" t="s">
        <v>155</v>
      </c>
      <c r="CA514" s="81" t="s">
        <v>3976</v>
      </c>
      <c r="CC514" s="167">
        <v>0</v>
      </c>
      <c r="CD514" s="167">
        <f>N514</f>
        <v>1</v>
      </c>
      <c r="CE514" s="167">
        <v>0</v>
      </c>
      <c r="CF514" s="167">
        <v>0</v>
      </c>
      <c r="CG514" s="167">
        <v>0</v>
      </c>
      <c r="CH514" s="167">
        <v>0</v>
      </c>
      <c r="CI514" s="167">
        <v>0</v>
      </c>
      <c r="CJ514" s="167">
        <v>0</v>
      </c>
      <c r="CK514" s="167">
        <v>0</v>
      </c>
      <c r="CL514" s="167">
        <v>0</v>
      </c>
      <c r="CM514" s="167">
        <v>0</v>
      </c>
      <c r="CN514" s="167">
        <v>0</v>
      </c>
      <c r="CO514" s="167">
        <v>0</v>
      </c>
      <c r="CP514" s="167">
        <v>0</v>
      </c>
      <c r="CQ514" s="167">
        <v>0</v>
      </c>
      <c r="CR514" s="167">
        <v>0</v>
      </c>
      <c r="CS514" s="167">
        <v>0</v>
      </c>
      <c r="CT514" s="167">
        <v>0</v>
      </c>
      <c r="CU514" s="167">
        <v>0</v>
      </c>
      <c r="CV514" s="167">
        <v>0</v>
      </c>
      <c r="CW514" s="167">
        <v>0</v>
      </c>
      <c r="CX514" s="167">
        <f>SUM(CD514:CH514)</f>
        <v>1</v>
      </c>
      <c r="CY514" s="167">
        <f>SUM(CD514:CM514)</f>
        <v>1</v>
      </c>
    </row>
    <row r="515" spans="1:103" ht="12.75" customHeight="1" x14ac:dyDescent="0.2">
      <c r="A515" s="81">
        <v>5592</v>
      </c>
      <c r="B515" s="165" t="s">
        <v>1908</v>
      </c>
      <c r="C515" s="165" t="s">
        <v>180</v>
      </c>
      <c r="E515" s="165" t="s">
        <v>3399</v>
      </c>
      <c r="G515" s="81">
        <v>526732</v>
      </c>
      <c r="H515" s="81">
        <v>175022</v>
      </c>
      <c r="I515" s="165" t="s">
        <v>251</v>
      </c>
      <c r="J515" s="349">
        <v>42094</v>
      </c>
      <c r="L515" s="166">
        <v>1</v>
      </c>
      <c r="M515" s="166">
        <v>3</v>
      </c>
      <c r="N515" s="166">
        <v>2</v>
      </c>
      <c r="O515" s="166">
        <v>3</v>
      </c>
      <c r="P515" s="166">
        <v>2</v>
      </c>
      <c r="R515" s="165" t="s">
        <v>181</v>
      </c>
      <c r="S515" s="81" t="s">
        <v>113</v>
      </c>
      <c r="T515" s="349">
        <v>41663</v>
      </c>
      <c r="U515" s="349">
        <v>41744</v>
      </c>
      <c r="W515" s="81" t="s">
        <v>114</v>
      </c>
      <c r="Y515" s="81" t="s">
        <v>115</v>
      </c>
      <c r="Z515" s="81" t="s">
        <v>116</v>
      </c>
      <c r="AA515" s="81" t="s">
        <v>117</v>
      </c>
      <c r="AB515" s="81" t="s">
        <v>218</v>
      </c>
      <c r="AC515" s="166">
        <v>3.9999999105930301E-2</v>
      </c>
      <c r="AD515" s="349">
        <v>42094</v>
      </c>
      <c r="AG515" s="81" t="s">
        <v>238</v>
      </c>
      <c r="AH515" s="81" t="s">
        <v>118</v>
      </c>
      <c r="AK515" s="166">
        <v>0</v>
      </c>
      <c r="AM515" s="166">
        <v>0</v>
      </c>
      <c r="AO515" s="166">
        <v>0</v>
      </c>
      <c r="AP515" s="166">
        <v>0</v>
      </c>
      <c r="AQ515" s="166">
        <v>2</v>
      </c>
      <c r="AR515" s="166">
        <v>0</v>
      </c>
      <c r="AS515" s="166">
        <v>0</v>
      </c>
      <c r="AT515" s="166">
        <v>0</v>
      </c>
      <c r="AU515" s="166">
        <v>0</v>
      </c>
      <c r="AV515" s="166">
        <v>0</v>
      </c>
      <c r="AW515" s="166">
        <v>0</v>
      </c>
      <c r="AX515" s="166">
        <v>2</v>
      </c>
      <c r="AY515" s="166">
        <v>0</v>
      </c>
      <c r="AZ515" s="166">
        <v>0</v>
      </c>
      <c r="BA515" s="166">
        <v>0</v>
      </c>
      <c r="BB515" s="166">
        <v>0</v>
      </c>
      <c r="BC515" s="166">
        <v>0</v>
      </c>
      <c r="BD515" s="166">
        <v>0</v>
      </c>
      <c r="BE515" s="166">
        <v>0</v>
      </c>
      <c r="BF515" s="166">
        <v>0</v>
      </c>
      <c r="BG515" s="166">
        <v>0</v>
      </c>
      <c r="BH515" s="166">
        <v>0</v>
      </c>
      <c r="BI515" s="166">
        <v>0</v>
      </c>
      <c r="BJ515" s="166">
        <v>0</v>
      </c>
      <c r="BK515" s="166">
        <v>0</v>
      </c>
      <c r="BL515" s="166">
        <v>0</v>
      </c>
      <c r="BM515" s="166">
        <v>0</v>
      </c>
      <c r="BN515" s="166">
        <v>0</v>
      </c>
      <c r="BO515" s="166">
        <v>0</v>
      </c>
      <c r="BP515" s="166">
        <v>0</v>
      </c>
      <c r="BQ515" s="81" t="s">
        <v>1758</v>
      </c>
      <c r="BZ515" s="81" t="s">
        <v>155</v>
      </c>
      <c r="CA515" s="81" t="s">
        <v>3976</v>
      </c>
      <c r="CC515" s="167">
        <v>0</v>
      </c>
      <c r="CD515" s="167">
        <f>N515</f>
        <v>2</v>
      </c>
      <c r="CE515" s="167">
        <v>0</v>
      </c>
      <c r="CF515" s="167">
        <v>0</v>
      </c>
      <c r="CG515" s="167">
        <v>0</v>
      </c>
      <c r="CH515" s="167">
        <v>0</v>
      </c>
      <c r="CI515" s="167">
        <v>0</v>
      </c>
      <c r="CJ515" s="167">
        <v>0</v>
      </c>
      <c r="CK515" s="167">
        <v>0</v>
      </c>
      <c r="CL515" s="167">
        <v>0</v>
      </c>
      <c r="CM515" s="167">
        <v>0</v>
      </c>
      <c r="CN515" s="167">
        <v>0</v>
      </c>
      <c r="CO515" s="167">
        <v>0</v>
      </c>
      <c r="CP515" s="167">
        <v>0</v>
      </c>
      <c r="CQ515" s="167">
        <v>0</v>
      </c>
      <c r="CR515" s="167">
        <v>0</v>
      </c>
      <c r="CS515" s="167">
        <v>0</v>
      </c>
      <c r="CT515" s="167">
        <v>0</v>
      </c>
      <c r="CU515" s="167">
        <v>0</v>
      </c>
      <c r="CV515" s="167">
        <v>0</v>
      </c>
      <c r="CW515" s="167">
        <v>0</v>
      </c>
      <c r="CX515" s="167">
        <f>SUM(CD515:CH515)</f>
        <v>2</v>
      </c>
      <c r="CY515" s="167">
        <f>SUM(CD515:CM515)</f>
        <v>2</v>
      </c>
    </row>
    <row r="516" spans="1:103" ht="12.75" customHeight="1" x14ac:dyDescent="0.2">
      <c r="A516" s="81">
        <v>5598</v>
      </c>
      <c r="B516" s="165" t="s">
        <v>1908</v>
      </c>
      <c r="C516" s="165" t="s">
        <v>681</v>
      </c>
      <c r="E516" s="165" t="s">
        <v>3400</v>
      </c>
      <c r="G516" s="81">
        <v>529349</v>
      </c>
      <c r="H516" s="81">
        <v>171212</v>
      </c>
      <c r="I516" s="165" t="s">
        <v>252</v>
      </c>
      <c r="J516" s="349">
        <v>42537</v>
      </c>
      <c r="L516" s="166">
        <v>0</v>
      </c>
      <c r="M516" s="166">
        <v>3</v>
      </c>
      <c r="N516" s="166">
        <v>3</v>
      </c>
      <c r="O516" s="166">
        <v>3</v>
      </c>
      <c r="P516" s="166">
        <v>3</v>
      </c>
      <c r="R516" s="165" t="s">
        <v>682</v>
      </c>
      <c r="S516" s="81" t="s">
        <v>113</v>
      </c>
      <c r="T516" s="349">
        <v>42338</v>
      </c>
      <c r="U516" s="349">
        <v>42394</v>
      </c>
      <c r="W516" s="81" t="s">
        <v>114</v>
      </c>
      <c r="Y516" s="81" t="s">
        <v>115</v>
      </c>
      <c r="Z516" s="81" t="s">
        <v>116</v>
      </c>
      <c r="AA516" s="81" t="s">
        <v>117</v>
      </c>
      <c r="AB516" s="81" t="s">
        <v>218</v>
      </c>
      <c r="AC516" s="166">
        <v>8.0000003799796104E-3</v>
      </c>
      <c r="AD516" s="349">
        <v>42537</v>
      </c>
      <c r="AG516" s="81" t="s">
        <v>238</v>
      </c>
      <c r="AH516" s="81" t="s">
        <v>118</v>
      </c>
      <c r="AK516" s="166">
        <v>3</v>
      </c>
      <c r="AM516" s="166">
        <v>0</v>
      </c>
      <c r="AO516" s="166">
        <v>0</v>
      </c>
      <c r="AP516" s="166">
        <v>1</v>
      </c>
      <c r="AQ516" s="166">
        <v>2</v>
      </c>
      <c r="AR516" s="166">
        <v>0</v>
      </c>
      <c r="AS516" s="166">
        <v>0</v>
      </c>
      <c r="AT516" s="166">
        <v>0</v>
      </c>
      <c r="AU516" s="166">
        <v>0</v>
      </c>
      <c r="AV516" s="166">
        <v>0</v>
      </c>
      <c r="AW516" s="166">
        <v>1</v>
      </c>
      <c r="AX516" s="166">
        <v>2</v>
      </c>
      <c r="AY516" s="166">
        <v>0</v>
      </c>
      <c r="AZ516" s="166">
        <v>0</v>
      </c>
      <c r="BA516" s="166">
        <v>0</v>
      </c>
      <c r="BB516" s="166">
        <v>0</v>
      </c>
      <c r="BC516" s="166">
        <v>0</v>
      </c>
      <c r="BD516" s="166">
        <v>0</v>
      </c>
      <c r="BE516" s="166">
        <v>0</v>
      </c>
      <c r="BF516" s="166">
        <v>0</v>
      </c>
      <c r="BG516" s="166">
        <v>0</v>
      </c>
      <c r="BH516" s="166">
        <v>0</v>
      </c>
      <c r="BI516" s="166">
        <v>0</v>
      </c>
      <c r="BJ516" s="166">
        <v>0</v>
      </c>
      <c r="BK516" s="166">
        <v>0</v>
      </c>
      <c r="BL516" s="166">
        <v>0</v>
      </c>
      <c r="BM516" s="166">
        <v>0</v>
      </c>
      <c r="BN516" s="166">
        <v>0</v>
      </c>
      <c r="BO516" s="166">
        <v>0</v>
      </c>
      <c r="BP516" s="166">
        <v>0</v>
      </c>
      <c r="BQ516" s="81" t="s">
        <v>1757</v>
      </c>
      <c r="BZ516" s="81" t="s">
        <v>155</v>
      </c>
      <c r="CA516" s="81" t="s">
        <v>3976</v>
      </c>
      <c r="CC516" s="167">
        <v>0</v>
      </c>
      <c r="CD516" s="167">
        <f>N516</f>
        <v>3</v>
      </c>
      <c r="CE516" s="167">
        <v>0</v>
      </c>
      <c r="CF516" s="167">
        <v>0</v>
      </c>
      <c r="CG516" s="167">
        <v>0</v>
      </c>
      <c r="CH516" s="167">
        <v>0</v>
      </c>
      <c r="CI516" s="167">
        <v>0</v>
      </c>
      <c r="CJ516" s="167">
        <v>0</v>
      </c>
      <c r="CK516" s="167">
        <v>0</v>
      </c>
      <c r="CL516" s="167">
        <v>0</v>
      </c>
      <c r="CM516" s="167">
        <v>0</v>
      </c>
      <c r="CN516" s="167">
        <v>0</v>
      </c>
      <c r="CO516" s="167">
        <v>0</v>
      </c>
      <c r="CP516" s="167">
        <v>0</v>
      </c>
      <c r="CQ516" s="167">
        <v>0</v>
      </c>
      <c r="CR516" s="167">
        <v>0</v>
      </c>
      <c r="CS516" s="167">
        <v>0</v>
      </c>
      <c r="CT516" s="167">
        <v>0</v>
      </c>
      <c r="CU516" s="167">
        <v>0</v>
      </c>
      <c r="CV516" s="167">
        <v>0</v>
      </c>
      <c r="CW516" s="167">
        <v>0</v>
      </c>
      <c r="CX516" s="167">
        <f>SUM(CD516:CH516)</f>
        <v>3</v>
      </c>
      <c r="CY516" s="167">
        <f>SUM(CD516:CM516)</f>
        <v>3</v>
      </c>
    </row>
    <row r="517" spans="1:103" ht="12.75" customHeight="1" x14ac:dyDescent="0.2">
      <c r="A517" s="81">
        <v>5621</v>
      </c>
      <c r="B517" s="165" t="s">
        <v>1908</v>
      </c>
      <c r="C517" s="165" t="s">
        <v>286</v>
      </c>
      <c r="E517" s="165" t="s">
        <v>3557</v>
      </c>
      <c r="G517" s="81">
        <v>527083</v>
      </c>
      <c r="H517" s="81">
        <v>171544</v>
      </c>
      <c r="I517" s="165" t="s">
        <v>242</v>
      </c>
      <c r="J517" s="349">
        <v>42361</v>
      </c>
      <c r="L517" s="166">
        <v>1</v>
      </c>
      <c r="M517" s="166">
        <v>3</v>
      </c>
      <c r="N517" s="166">
        <v>2</v>
      </c>
      <c r="O517" s="166">
        <v>3</v>
      </c>
      <c r="P517" s="166">
        <v>2</v>
      </c>
      <c r="R517" s="165" t="s">
        <v>287</v>
      </c>
      <c r="S517" s="81" t="s">
        <v>113</v>
      </c>
      <c r="T517" s="349">
        <v>41654</v>
      </c>
      <c r="U517" s="349">
        <v>41803</v>
      </c>
      <c r="W517" s="81" t="s">
        <v>114</v>
      </c>
      <c r="Y517" s="81" t="s">
        <v>115</v>
      </c>
      <c r="Z517" s="81" t="s">
        <v>119</v>
      </c>
      <c r="AA517" s="81" t="s">
        <v>117</v>
      </c>
      <c r="AB517" s="81" t="s">
        <v>120</v>
      </c>
      <c r="AC517" s="166">
        <v>1.60000007599592E-2</v>
      </c>
      <c r="AD517" s="349">
        <v>42361</v>
      </c>
      <c r="AG517" s="81" t="s">
        <v>238</v>
      </c>
      <c r="AH517" s="81" t="s">
        <v>118</v>
      </c>
      <c r="AK517" s="166">
        <v>0</v>
      </c>
      <c r="AM517" s="166">
        <v>0</v>
      </c>
      <c r="AO517" s="166">
        <v>0</v>
      </c>
      <c r="AP517" s="166">
        <v>1</v>
      </c>
      <c r="AQ517" s="166">
        <v>1</v>
      </c>
      <c r="AR517" s="166">
        <v>1</v>
      </c>
      <c r="AS517" s="166">
        <v>-1</v>
      </c>
      <c r="AT517" s="166">
        <v>0</v>
      </c>
      <c r="AU517" s="166">
        <v>0</v>
      </c>
      <c r="AV517" s="166">
        <v>0</v>
      </c>
      <c r="AW517" s="166">
        <v>1</v>
      </c>
      <c r="AX517" s="166">
        <v>1</v>
      </c>
      <c r="AY517" s="166">
        <v>1</v>
      </c>
      <c r="AZ517" s="166">
        <v>0</v>
      </c>
      <c r="BA517" s="166">
        <v>0</v>
      </c>
      <c r="BB517" s="166">
        <v>0</v>
      </c>
      <c r="BC517" s="166">
        <v>0</v>
      </c>
      <c r="BD517" s="166">
        <v>0</v>
      </c>
      <c r="BE517" s="166">
        <v>0</v>
      </c>
      <c r="BF517" s="166">
        <v>0</v>
      </c>
      <c r="BG517" s="166">
        <v>-1</v>
      </c>
      <c r="BH517" s="166">
        <v>0</v>
      </c>
      <c r="BI517" s="166">
        <v>0</v>
      </c>
      <c r="BJ517" s="166">
        <v>0</v>
      </c>
      <c r="BK517" s="166">
        <v>0</v>
      </c>
      <c r="BL517" s="166">
        <v>0</v>
      </c>
      <c r="BM517" s="166">
        <v>0</v>
      </c>
      <c r="BN517" s="166">
        <v>0</v>
      </c>
      <c r="BO517" s="166">
        <v>0</v>
      </c>
      <c r="BP517" s="166">
        <v>0</v>
      </c>
      <c r="BQ517" s="81" t="s">
        <v>1757</v>
      </c>
      <c r="BZ517" s="81" t="s">
        <v>155</v>
      </c>
      <c r="CA517" s="81" t="s">
        <v>3980</v>
      </c>
      <c r="CC517" s="167">
        <v>0</v>
      </c>
      <c r="CD517" s="167">
        <f>N517</f>
        <v>2</v>
      </c>
      <c r="CE517" s="167">
        <v>0</v>
      </c>
      <c r="CF517" s="167">
        <v>0</v>
      </c>
      <c r="CG517" s="167">
        <v>0</v>
      </c>
      <c r="CH517" s="167">
        <v>0</v>
      </c>
      <c r="CI517" s="167">
        <v>0</v>
      </c>
      <c r="CJ517" s="167">
        <v>0</v>
      </c>
      <c r="CK517" s="167">
        <v>0</v>
      </c>
      <c r="CL517" s="167">
        <v>0</v>
      </c>
      <c r="CM517" s="167">
        <v>0</v>
      </c>
      <c r="CN517" s="167">
        <v>0</v>
      </c>
      <c r="CO517" s="167">
        <v>0</v>
      </c>
      <c r="CP517" s="167">
        <v>0</v>
      </c>
      <c r="CQ517" s="167">
        <v>0</v>
      </c>
      <c r="CR517" s="167">
        <v>0</v>
      </c>
      <c r="CS517" s="167">
        <v>0</v>
      </c>
      <c r="CT517" s="167">
        <v>0</v>
      </c>
      <c r="CU517" s="167">
        <v>0</v>
      </c>
      <c r="CV517" s="167">
        <v>0</v>
      </c>
      <c r="CW517" s="167">
        <v>0</v>
      </c>
      <c r="CX517" s="167">
        <f>SUM(CD517:CH517)</f>
        <v>2</v>
      </c>
      <c r="CY517" s="167">
        <f>SUM(CD517:CM517)</f>
        <v>2</v>
      </c>
    </row>
    <row r="518" spans="1:103" ht="12.75" customHeight="1" x14ac:dyDescent="0.2">
      <c r="A518" s="81">
        <v>5625</v>
      </c>
      <c r="B518" s="165" t="s">
        <v>1908</v>
      </c>
      <c r="C518" s="165" t="s">
        <v>288</v>
      </c>
      <c r="E518" s="165" t="s">
        <v>3401</v>
      </c>
      <c r="G518" s="81">
        <v>529202</v>
      </c>
      <c r="H518" s="81">
        <v>172619</v>
      </c>
      <c r="I518" s="165" t="s">
        <v>248</v>
      </c>
      <c r="J518" s="349">
        <v>42927</v>
      </c>
      <c r="L518" s="166">
        <v>0</v>
      </c>
      <c r="M518" s="166">
        <v>2</v>
      </c>
      <c r="N518" s="166">
        <v>2</v>
      </c>
      <c r="O518" s="166">
        <v>2</v>
      </c>
      <c r="P518" s="166">
        <v>2</v>
      </c>
      <c r="R518" s="165" t="s">
        <v>1088</v>
      </c>
      <c r="S518" s="81" t="s">
        <v>113</v>
      </c>
      <c r="T518" s="349">
        <v>41680</v>
      </c>
      <c r="U518" s="349">
        <v>41816</v>
      </c>
      <c r="W518" s="81" t="s">
        <v>114</v>
      </c>
      <c r="Y518" s="81" t="s">
        <v>115</v>
      </c>
      <c r="Z518" s="81" t="s">
        <v>116</v>
      </c>
      <c r="AA518" s="81" t="s">
        <v>117</v>
      </c>
      <c r="AB518" s="81" t="s">
        <v>218</v>
      </c>
      <c r="AC518" s="166">
        <v>2.0999999716877899E-2</v>
      </c>
      <c r="AD518" s="349">
        <v>42927</v>
      </c>
      <c r="AE518" s="81" t="s">
        <v>155</v>
      </c>
      <c r="AG518" s="81" t="s">
        <v>238</v>
      </c>
      <c r="AH518" s="81" t="s">
        <v>118</v>
      </c>
      <c r="AK518" s="166">
        <v>0</v>
      </c>
      <c r="AM518" s="166">
        <v>0</v>
      </c>
      <c r="AO518" s="166">
        <v>0</v>
      </c>
      <c r="AP518" s="166">
        <v>0</v>
      </c>
      <c r="AQ518" s="166">
        <v>2</v>
      </c>
      <c r="AR518" s="166">
        <v>0</v>
      </c>
      <c r="AS518" s="166">
        <v>0</v>
      </c>
      <c r="AT518" s="166">
        <v>0</v>
      </c>
      <c r="AU518" s="166">
        <v>0</v>
      </c>
      <c r="AV518" s="166">
        <v>0</v>
      </c>
      <c r="AW518" s="166">
        <v>0</v>
      </c>
      <c r="AX518" s="166">
        <v>2</v>
      </c>
      <c r="AY518" s="166">
        <v>0</v>
      </c>
      <c r="AZ518" s="166">
        <v>0</v>
      </c>
      <c r="BA518" s="166">
        <v>0</v>
      </c>
      <c r="BB518" s="166">
        <v>0</v>
      </c>
      <c r="BC518" s="166">
        <v>0</v>
      </c>
      <c r="BD518" s="166">
        <v>0</v>
      </c>
      <c r="BE518" s="166">
        <v>0</v>
      </c>
      <c r="BF518" s="166">
        <v>0</v>
      </c>
      <c r="BG518" s="166">
        <v>0</v>
      </c>
      <c r="BH518" s="166">
        <v>0</v>
      </c>
      <c r="BI518" s="166">
        <v>0</v>
      </c>
      <c r="BJ518" s="166">
        <v>0</v>
      </c>
      <c r="BK518" s="166">
        <v>0</v>
      </c>
      <c r="BL518" s="166">
        <v>0</v>
      </c>
      <c r="BM518" s="166">
        <v>0</v>
      </c>
      <c r="BN518" s="166">
        <v>0</v>
      </c>
      <c r="BO518" s="166">
        <v>0</v>
      </c>
      <c r="BP518" s="166">
        <v>0</v>
      </c>
      <c r="BQ518" s="81" t="s">
        <v>1757</v>
      </c>
      <c r="BZ518" s="81" t="s">
        <v>155</v>
      </c>
      <c r="CA518" s="81" t="s">
        <v>3976</v>
      </c>
      <c r="CC518" s="167">
        <v>0</v>
      </c>
      <c r="CD518" s="167">
        <f>N518</f>
        <v>2</v>
      </c>
      <c r="CE518" s="167">
        <v>0</v>
      </c>
      <c r="CF518" s="167">
        <v>0</v>
      </c>
      <c r="CG518" s="167">
        <v>0</v>
      </c>
      <c r="CH518" s="167">
        <v>0</v>
      </c>
      <c r="CI518" s="167">
        <v>0</v>
      </c>
      <c r="CJ518" s="167">
        <v>0</v>
      </c>
      <c r="CK518" s="167">
        <v>0</v>
      </c>
      <c r="CL518" s="167">
        <v>0</v>
      </c>
      <c r="CM518" s="167">
        <v>0</v>
      </c>
      <c r="CN518" s="167">
        <v>0</v>
      </c>
      <c r="CO518" s="167">
        <v>0</v>
      </c>
      <c r="CP518" s="167">
        <v>0</v>
      </c>
      <c r="CQ518" s="167">
        <v>0</v>
      </c>
      <c r="CR518" s="167">
        <v>0</v>
      </c>
      <c r="CS518" s="167">
        <v>0</v>
      </c>
      <c r="CT518" s="167">
        <v>0</v>
      </c>
      <c r="CU518" s="167">
        <v>0</v>
      </c>
      <c r="CV518" s="167">
        <v>0</v>
      </c>
      <c r="CW518" s="167">
        <v>0</v>
      </c>
      <c r="CX518" s="167">
        <f>SUM(CD518:CH518)</f>
        <v>2</v>
      </c>
      <c r="CY518" s="167">
        <f>SUM(CD518:CM518)</f>
        <v>2</v>
      </c>
    </row>
    <row r="519" spans="1:103" ht="12.75" customHeight="1" x14ac:dyDescent="0.2">
      <c r="A519" s="81">
        <v>5626</v>
      </c>
      <c r="B519" s="165" t="s">
        <v>1908</v>
      </c>
      <c r="C519" s="165" t="s">
        <v>395</v>
      </c>
      <c r="E519" s="165" t="s">
        <v>3402</v>
      </c>
      <c r="G519" s="81">
        <v>528298</v>
      </c>
      <c r="H519" s="81">
        <v>172753</v>
      </c>
      <c r="I519" s="165" t="s">
        <v>248</v>
      </c>
      <c r="J519" s="349">
        <v>42825</v>
      </c>
      <c r="L519" s="166">
        <v>0</v>
      </c>
      <c r="M519" s="166">
        <v>41</v>
      </c>
      <c r="N519" s="166">
        <v>41</v>
      </c>
      <c r="O519" s="166">
        <v>52</v>
      </c>
      <c r="P519" s="166">
        <v>52</v>
      </c>
      <c r="Q519" s="81" t="s">
        <v>155</v>
      </c>
      <c r="R519" s="165" t="s">
        <v>893</v>
      </c>
      <c r="S519" s="81" t="s">
        <v>104</v>
      </c>
      <c r="T519" s="349">
        <v>41680</v>
      </c>
      <c r="U519" s="349">
        <v>41817</v>
      </c>
      <c r="W519" s="81" t="s">
        <v>114</v>
      </c>
      <c r="Y519" s="81" t="s">
        <v>115</v>
      </c>
      <c r="Z519" s="81" t="s">
        <v>116</v>
      </c>
      <c r="AA519" s="81" t="s">
        <v>116</v>
      </c>
      <c r="AB519" s="81" t="s">
        <v>117</v>
      </c>
      <c r="AC519" s="166">
        <v>8.5000000894069699E-2</v>
      </c>
      <c r="AD519" s="349">
        <v>42825</v>
      </c>
      <c r="AG519" s="81" t="s">
        <v>238</v>
      </c>
      <c r="AH519" s="81" t="s">
        <v>118</v>
      </c>
      <c r="AK519" s="166">
        <v>32</v>
      </c>
      <c r="AM519" s="166">
        <v>4</v>
      </c>
      <c r="AO519" s="166">
        <v>0</v>
      </c>
      <c r="AP519" s="166">
        <v>7</v>
      </c>
      <c r="AQ519" s="166">
        <v>32</v>
      </c>
      <c r="AR519" s="166">
        <v>2</v>
      </c>
      <c r="AS519" s="166">
        <v>0</v>
      </c>
      <c r="AT519" s="166">
        <v>0</v>
      </c>
      <c r="AU519" s="166">
        <v>0</v>
      </c>
      <c r="AV519" s="166">
        <v>0</v>
      </c>
      <c r="AW519" s="166">
        <v>7</v>
      </c>
      <c r="AX519" s="166">
        <v>32</v>
      </c>
      <c r="AY519" s="166">
        <v>2</v>
      </c>
      <c r="AZ519" s="166">
        <v>0</v>
      </c>
      <c r="BA519" s="166">
        <v>0</v>
      </c>
      <c r="BB519" s="166">
        <v>0</v>
      </c>
      <c r="BC519" s="166">
        <v>0</v>
      </c>
      <c r="BD519" s="166">
        <v>0</v>
      </c>
      <c r="BE519" s="166">
        <v>0</v>
      </c>
      <c r="BF519" s="166">
        <v>0</v>
      </c>
      <c r="BG519" s="166">
        <v>0</v>
      </c>
      <c r="BH519" s="166">
        <v>0</v>
      </c>
      <c r="BI519" s="166">
        <v>0</v>
      </c>
      <c r="BJ519" s="166">
        <v>0</v>
      </c>
      <c r="BK519" s="166">
        <v>0</v>
      </c>
      <c r="BL519" s="166">
        <v>0</v>
      </c>
      <c r="BM519" s="166">
        <v>0</v>
      </c>
      <c r="BN519" s="166">
        <v>0</v>
      </c>
      <c r="BO519" s="166">
        <v>0</v>
      </c>
      <c r="BP519" s="166">
        <v>0</v>
      </c>
      <c r="BQ519" s="81" t="s">
        <v>1757</v>
      </c>
      <c r="BZ519" s="81" t="s">
        <v>155</v>
      </c>
      <c r="CA519" s="81" t="s">
        <v>3934</v>
      </c>
      <c r="CC519" s="167">
        <v>0</v>
      </c>
      <c r="CD519" s="167">
        <v>0</v>
      </c>
      <c r="CE519" s="167">
        <f>N519</f>
        <v>41</v>
      </c>
      <c r="CF519" s="167">
        <v>0</v>
      </c>
      <c r="CG519" s="167">
        <v>0</v>
      </c>
      <c r="CH519" s="167">
        <v>0</v>
      </c>
      <c r="CI519" s="167">
        <v>0</v>
      </c>
      <c r="CJ519" s="167">
        <v>0</v>
      </c>
      <c r="CK519" s="167">
        <v>0</v>
      </c>
      <c r="CL519" s="167">
        <v>0</v>
      </c>
      <c r="CM519" s="167">
        <v>0</v>
      </c>
      <c r="CN519" s="167">
        <v>0</v>
      </c>
      <c r="CO519" s="167">
        <v>0</v>
      </c>
      <c r="CP519" s="167">
        <v>0</v>
      </c>
      <c r="CQ519" s="167">
        <v>0</v>
      </c>
      <c r="CR519" s="167">
        <v>0</v>
      </c>
      <c r="CS519" s="167">
        <v>0</v>
      </c>
      <c r="CT519" s="167">
        <v>0</v>
      </c>
      <c r="CU519" s="167">
        <v>0</v>
      </c>
      <c r="CV519" s="167">
        <v>0</v>
      </c>
      <c r="CW519" s="167">
        <v>0</v>
      </c>
      <c r="CX519" s="167">
        <f>SUM(CD519:CH519)</f>
        <v>41</v>
      </c>
      <c r="CY519" s="167">
        <f>SUM(CD519:CM519)</f>
        <v>41</v>
      </c>
    </row>
    <row r="520" spans="1:103" ht="12.75" customHeight="1" x14ac:dyDescent="0.2">
      <c r="A520" s="81">
        <v>5626</v>
      </c>
      <c r="B520" s="165" t="s">
        <v>1908</v>
      </c>
      <c r="C520" s="165" t="s">
        <v>395</v>
      </c>
      <c r="E520" s="165" t="s">
        <v>3402</v>
      </c>
      <c r="G520" s="81">
        <v>528298</v>
      </c>
      <c r="H520" s="81">
        <v>172753</v>
      </c>
      <c r="I520" s="165" t="s">
        <v>248</v>
      </c>
      <c r="J520" s="349">
        <v>42825</v>
      </c>
      <c r="L520" s="166">
        <v>0</v>
      </c>
      <c r="M520" s="166">
        <v>9</v>
      </c>
      <c r="N520" s="166">
        <v>9</v>
      </c>
      <c r="O520" s="166">
        <v>52</v>
      </c>
      <c r="P520" s="166">
        <v>52</v>
      </c>
      <c r="Q520" s="81" t="s">
        <v>155</v>
      </c>
      <c r="R520" s="165" t="s">
        <v>893</v>
      </c>
      <c r="S520" s="81" t="s">
        <v>104</v>
      </c>
      <c r="T520" s="349">
        <v>41680</v>
      </c>
      <c r="U520" s="349">
        <v>41817</v>
      </c>
      <c r="W520" s="81" t="s">
        <v>114</v>
      </c>
      <c r="Y520" s="81" t="s">
        <v>115</v>
      </c>
      <c r="Z520" s="81" t="s">
        <v>116</v>
      </c>
      <c r="AA520" s="81" t="s">
        <v>116</v>
      </c>
      <c r="AB520" s="81" t="s">
        <v>117</v>
      </c>
      <c r="AC520" s="166">
        <v>1.4999999664723899E-2</v>
      </c>
      <c r="AD520" s="349">
        <v>42825</v>
      </c>
      <c r="AG520" s="81" t="s">
        <v>154</v>
      </c>
      <c r="AH520" s="81" t="s">
        <v>312</v>
      </c>
      <c r="AK520" s="166">
        <v>9</v>
      </c>
      <c r="AM520" s="166">
        <v>1</v>
      </c>
      <c r="AO520" s="166">
        <v>0</v>
      </c>
      <c r="AP520" s="166">
        <v>1</v>
      </c>
      <c r="AQ520" s="166">
        <v>7</v>
      </c>
      <c r="AR520" s="166">
        <v>1</v>
      </c>
      <c r="AS520" s="166">
        <v>0</v>
      </c>
      <c r="AT520" s="166">
        <v>0</v>
      </c>
      <c r="AU520" s="166">
        <v>0</v>
      </c>
      <c r="AV520" s="166">
        <v>0</v>
      </c>
      <c r="AW520" s="166">
        <v>1</v>
      </c>
      <c r="AX520" s="166">
        <v>7</v>
      </c>
      <c r="AY520" s="166">
        <v>1</v>
      </c>
      <c r="AZ520" s="166">
        <v>0</v>
      </c>
      <c r="BA520" s="166">
        <v>0</v>
      </c>
      <c r="BB520" s="166">
        <v>0</v>
      </c>
      <c r="BC520" s="166">
        <v>0</v>
      </c>
      <c r="BD520" s="166">
        <v>0</v>
      </c>
      <c r="BE520" s="166">
        <v>0</v>
      </c>
      <c r="BF520" s="166">
        <v>0</v>
      </c>
      <c r="BG520" s="166">
        <v>0</v>
      </c>
      <c r="BH520" s="166">
        <v>0</v>
      </c>
      <c r="BI520" s="166">
        <v>0</v>
      </c>
      <c r="BJ520" s="166">
        <v>0</v>
      </c>
      <c r="BK520" s="166">
        <v>0</v>
      </c>
      <c r="BL520" s="166">
        <v>0</v>
      </c>
      <c r="BM520" s="166">
        <v>0</v>
      </c>
      <c r="BN520" s="166">
        <v>0</v>
      </c>
      <c r="BO520" s="166">
        <v>0</v>
      </c>
      <c r="BP520" s="166">
        <v>0</v>
      </c>
      <c r="BQ520" s="81" t="s">
        <v>1757</v>
      </c>
      <c r="BZ520" s="81" t="s">
        <v>155</v>
      </c>
      <c r="CA520" s="81" t="s">
        <v>3934</v>
      </c>
      <c r="CC520" s="167">
        <v>0</v>
      </c>
      <c r="CD520" s="167">
        <v>0</v>
      </c>
      <c r="CE520" s="167">
        <f>N520</f>
        <v>9</v>
      </c>
      <c r="CF520" s="167">
        <v>0</v>
      </c>
      <c r="CG520" s="167">
        <v>0</v>
      </c>
      <c r="CH520" s="167">
        <v>0</v>
      </c>
      <c r="CI520" s="167">
        <v>0</v>
      </c>
      <c r="CJ520" s="167">
        <v>0</v>
      </c>
      <c r="CK520" s="167">
        <v>0</v>
      </c>
      <c r="CL520" s="167">
        <v>0</v>
      </c>
      <c r="CM520" s="167">
        <v>0</v>
      </c>
      <c r="CN520" s="167">
        <v>0</v>
      </c>
      <c r="CO520" s="167">
        <v>0</v>
      </c>
      <c r="CP520" s="167">
        <v>0</v>
      </c>
      <c r="CQ520" s="167">
        <v>0</v>
      </c>
      <c r="CR520" s="167">
        <v>0</v>
      </c>
      <c r="CS520" s="167">
        <v>0</v>
      </c>
      <c r="CT520" s="167">
        <v>0</v>
      </c>
      <c r="CU520" s="167">
        <v>0</v>
      </c>
      <c r="CV520" s="167">
        <v>0</v>
      </c>
      <c r="CW520" s="167">
        <v>0</v>
      </c>
      <c r="CX520" s="167">
        <f>SUM(CD520:CH520)</f>
        <v>9</v>
      </c>
      <c r="CY520" s="167">
        <f>SUM(CD520:CM520)</f>
        <v>9</v>
      </c>
    </row>
    <row r="521" spans="1:103" ht="12.75" customHeight="1" x14ac:dyDescent="0.2">
      <c r="A521" s="81">
        <v>5626</v>
      </c>
      <c r="B521" s="165" t="s">
        <v>1908</v>
      </c>
      <c r="C521" s="165" t="s">
        <v>395</v>
      </c>
      <c r="E521" s="165" t="s">
        <v>3402</v>
      </c>
      <c r="G521" s="81">
        <v>528298</v>
      </c>
      <c r="H521" s="81">
        <v>172753</v>
      </c>
      <c r="I521" s="165" t="s">
        <v>248</v>
      </c>
      <c r="J521" s="349">
        <v>42825</v>
      </c>
      <c r="L521" s="166">
        <v>0</v>
      </c>
      <c r="M521" s="166">
        <v>2</v>
      </c>
      <c r="N521" s="166">
        <v>2</v>
      </c>
      <c r="O521" s="166">
        <v>52</v>
      </c>
      <c r="P521" s="166">
        <v>52</v>
      </c>
      <c r="Q521" s="81" t="s">
        <v>155</v>
      </c>
      <c r="R521" s="165" t="s">
        <v>893</v>
      </c>
      <c r="S521" s="81" t="s">
        <v>104</v>
      </c>
      <c r="T521" s="349">
        <v>41680</v>
      </c>
      <c r="U521" s="349">
        <v>41817</v>
      </c>
      <c r="W521" s="81" t="s">
        <v>114</v>
      </c>
      <c r="Y521" s="81" t="s">
        <v>115</v>
      </c>
      <c r="Z521" s="81" t="s">
        <v>116</v>
      </c>
      <c r="AA521" s="81" t="s">
        <v>116</v>
      </c>
      <c r="AB521" s="81" t="s">
        <v>117</v>
      </c>
      <c r="AC521" s="166">
        <v>8.9999996125698107E-3</v>
      </c>
      <c r="AD521" s="349">
        <v>42825</v>
      </c>
      <c r="AG521" s="81" t="s">
        <v>74</v>
      </c>
      <c r="AH521" s="81" t="s">
        <v>1913</v>
      </c>
      <c r="AK521" s="166">
        <v>2</v>
      </c>
      <c r="AM521" s="166">
        <v>0</v>
      </c>
      <c r="AO521" s="166">
        <v>0</v>
      </c>
      <c r="AP521" s="166">
        <v>0</v>
      </c>
      <c r="AQ521" s="166">
        <v>2</v>
      </c>
      <c r="AR521" s="166">
        <v>0</v>
      </c>
      <c r="AS521" s="166">
        <v>0</v>
      </c>
      <c r="AT521" s="166">
        <v>0</v>
      </c>
      <c r="AU521" s="166">
        <v>0</v>
      </c>
      <c r="AV521" s="166">
        <v>0</v>
      </c>
      <c r="AW521" s="166">
        <v>0</v>
      </c>
      <c r="AX521" s="166">
        <v>2</v>
      </c>
      <c r="AY521" s="166">
        <v>0</v>
      </c>
      <c r="AZ521" s="166">
        <v>0</v>
      </c>
      <c r="BA521" s="166">
        <v>0</v>
      </c>
      <c r="BB521" s="166">
        <v>0</v>
      </c>
      <c r="BC521" s="166">
        <v>0</v>
      </c>
      <c r="BD521" s="166">
        <v>0</v>
      </c>
      <c r="BE521" s="166">
        <v>0</v>
      </c>
      <c r="BF521" s="166">
        <v>0</v>
      </c>
      <c r="BG521" s="166">
        <v>0</v>
      </c>
      <c r="BH521" s="166">
        <v>0</v>
      </c>
      <c r="BI521" s="166">
        <v>0</v>
      </c>
      <c r="BJ521" s="166">
        <v>0</v>
      </c>
      <c r="BK521" s="166">
        <v>0</v>
      </c>
      <c r="BL521" s="166">
        <v>0</v>
      </c>
      <c r="BM521" s="166">
        <v>0</v>
      </c>
      <c r="BN521" s="166">
        <v>0</v>
      </c>
      <c r="BO521" s="166">
        <v>0</v>
      </c>
      <c r="BP521" s="166">
        <v>0</v>
      </c>
      <c r="BQ521" s="81" t="s">
        <v>1757</v>
      </c>
      <c r="BZ521" s="81" t="s">
        <v>155</v>
      </c>
      <c r="CA521" s="81" t="s">
        <v>3934</v>
      </c>
      <c r="CC521" s="167">
        <v>0</v>
      </c>
      <c r="CD521" s="167">
        <v>0</v>
      </c>
      <c r="CE521" s="167">
        <f>N521</f>
        <v>2</v>
      </c>
      <c r="CF521" s="167">
        <v>0</v>
      </c>
      <c r="CG521" s="167">
        <v>0</v>
      </c>
      <c r="CH521" s="167">
        <v>0</v>
      </c>
      <c r="CI521" s="167">
        <v>0</v>
      </c>
      <c r="CJ521" s="167">
        <v>0</v>
      </c>
      <c r="CK521" s="167">
        <v>0</v>
      </c>
      <c r="CL521" s="167">
        <v>0</v>
      </c>
      <c r="CM521" s="167">
        <v>0</v>
      </c>
      <c r="CN521" s="167">
        <v>0</v>
      </c>
      <c r="CO521" s="167">
        <v>0</v>
      </c>
      <c r="CP521" s="167">
        <v>0</v>
      </c>
      <c r="CQ521" s="167">
        <v>0</v>
      </c>
      <c r="CR521" s="167">
        <v>0</v>
      </c>
      <c r="CS521" s="167">
        <v>0</v>
      </c>
      <c r="CT521" s="167">
        <v>0</v>
      </c>
      <c r="CU521" s="167">
        <v>0</v>
      </c>
      <c r="CV521" s="167">
        <v>0</v>
      </c>
      <c r="CW521" s="167">
        <v>0</v>
      </c>
      <c r="CX521" s="167">
        <f>SUM(CD521:CH521)</f>
        <v>2</v>
      </c>
      <c r="CY521" s="167">
        <f>SUM(CD521:CM521)</f>
        <v>2</v>
      </c>
    </row>
    <row r="522" spans="1:103" ht="12.75" customHeight="1" x14ac:dyDescent="0.2">
      <c r="A522" s="81">
        <v>5630</v>
      </c>
      <c r="B522" s="165" t="s">
        <v>1908</v>
      </c>
      <c r="C522" s="165" t="s">
        <v>387</v>
      </c>
      <c r="E522" s="165" t="s">
        <v>3561</v>
      </c>
      <c r="G522" s="81">
        <v>527902</v>
      </c>
      <c r="H522" s="81">
        <v>172490</v>
      </c>
      <c r="I522" s="165" t="s">
        <v>254</v>
      </c>
      <c r="J522" s="349">
        <v>42919</v>
      </c>
      <c r="L522" s="166">
        <v>0</v>
      </c>
      <c r="M522" s="166">
        <v>1</v>
      </c>
      <c r="N522" s="166">
        <v>1</v>
      </c>
      <c r="O522" s="166">
        <v>1</v>
      </c>
      <c r="P522" s="166">
        <v>1</v>
      </c>
      <c r="R522" s="165" t="s">
        <v>394</v>
      </c>
      <c r="S522" s="81" t="s">
        <v>113</v>
      </c>
      <c r="T522" s="349">
        <v>41677</v>
      </c>
      <c r="U522" s="349">
        <v>41831</v>
      </c>
      <c r="W522" s="81" t="s">
        <v>114</v>
      </c>
      <c r="Y522" s="81" t="s">
        <v>115</v>
      </c>
      <c r="Z522" s="81" t="s">
        <v>398</v>
      </c>
      <c r="AA522" s="81" t="s">
        <v>117</v>
      </c>
      <c r="AB522" s="81" t="s">
        <v>218</v>
      </c>
      <c r="AC522" s="166">
        <v>4.9999998882412902E-3</v>
      </c>
      <c r="AD522" s="349">
        <v>42919</v>
      </c>
      <c r="AE522" s="81" t="s">
        <v>155</v>
      </c>
      <c r="AG522" s="81" t="s">
        <v>238</v>
      </c>
      <c r="AH522" s="81" t="s">
        <v>118</v>
      </c>
      <c r="AK522" s="166">
        <v>0</v>
      </c>
      <c r="AM522" s="166">
        <v>0</v>
      </c>
      <c r="AO522" s="166">
        <v>0</v>
      </c>
      <c r="AP522" s="166">
        <v>1</v>
      </c>
      <c r="AQ522" s="166">
        <v>0</v>
      </c>
      <c r="AR522" s="166">
        <v>0</v>
      </c>
      <c r="AS522" s="166">
        <v>0</v>
      </c>
      <c r="AT522" s="166">
        <v>0</v>
      </c>
      <c r="AU522" s="166">
        <v>0</v>
      </c>
      <c r="AV522" s="166">
        <v>0</v>
      </c>
      <c r="AW522" s="166">
        <v>1</v>
      </c>
      <c r="AX522" s="166">
        <v>0</v>
      </c>
      <c r="AY522" s="166">
        <v>0</v>
      </c>
      <c r="AZ522" s="166">
        <v>0</v>
      </c>
      <c r="BA522" s="166">
        <v>0</v>
      </c>
      <c r="BB522" s="166">
        <v>0</v>
      </c>
      <c r="BC522" s="166">
        <v>0</v>
      </c>
      <c r="BD522" s="166">
        <v>0</v>
      </c>
      <c r="BE522" s="166">
        <v>0</v>
      </c>
      <c r="BF522" s="166">
        <v>0</v>
      </c>
      <c r="BG522" s="166">
        <v>0</v>
      </c>
      <c r="BH522" s="166">
        <v>0</v>
      </c>
      <c r="BI522" s="166">
        <v>0</v>
      </c>
      <c r="BJ522" s="166">
        <v>0</v>
      </c>
      <c r="BK522" s="166">
        <v>0</v>
      </c>
      <c r="BL522" s="166">
        <v>0</v>
      </c>
      <c r="BM522" s="166">
        <v>0</v>
      </c>
      <c r="BN522" s="166">
        <v>0</v>
      </c>
      <c r="BO522" s="166">
        <v>0</v>
      </c>
      <c r="BP522" s="166">
        <v>0</v>
      </c>
      <c r="BQ522" s="81" t="s">
        <v>1757</v>
      </c>
      <c r="BZ522" s="81" t="s">
        <v>155</v>
      </c>
      <c r="CA522" s="81" t="s">
        <v>3980</v>
      </c>
      <c r="CC522" s="167">
        <v>0</v>
      </c>
      <c r="CD522" s="167">
        <f>N522</f>
        <v>1</v>
      </c>
      <c r="CE522" s="167">
        <v>0</v>
      </c>
      <c r="CF522" s="167">
        <v>0</v>
      </c>
      <c r="CG522" s="167">
        <v>0</v>
      </c>
      <c r="CH522" s="167">
        <v>0</v>
      </c>
      <c r="CI522" s="167">
        <v>0</v>
      </c>
      <c r="CJ522" s="167">
        <v>0</v>
      </c>
      <c r="CK522" s="167">
        <v>0</v>
      </c>
      <c r="CL522" s="167">
        <v>0</v>
      </c>
      <c r="CM522" s="167">
        <v>0</v>
      </c>
      <c r="CN522" s="167">
        <v>0</v>
      </c>
      <c r="CO522" s="167">
        <v>0</v>
      </c>
      <c r="CP522" s="167">
        <v>0</v>
      </c>
      <c r="CQ522" s="167">
        <v>0</v>
      </c>
      <c r="CR522" s="167">
        <v>0</v>
      </c>
      <c r="CS522" s="167">
        <v>0</v>
      </c>
      <c r="CT522" s="167">
        <v>0</v>
      </c>
      <c r="CU522" s="167">
        <v>0</v>
      </c>
      <c r="CV522" s="167">
        <v>0</v>
      </c>
      <c r="CW522" s="167">
        <v>0</v>
      </c>
      <c r="CX522" s="167">
        <f>SUM(CD522:CH522)</f>
        <v>1</v>
      </c>
      <c r="CY522" s="167">
        <f>SUM(CD522:CM522)</f>
        <v>1</v>
      </c>
    </row>
    <row r="523" spans="1:103" ht="12.75" customHeight="1" x14ac:dyDescent="0.2">
      <c r="A523" s="81">
        <v>5645</v>
      </c>
      <c r="B523" s="165" t="s">
        <v>1908</v>
      </c>
      <c r="C523" s="165" t="s">
        <v>63</v>
      </c>
      <c r="D523" s="165" t="s">
        <v>2107</v>
      </c>
      <c r="E523" s="165" t="s">
        <v>3145</v>
      </c>
      <c r="G523" s="81">
        <v>527292</v>
      </c>
      <c r="H523" s="81">
        <v>177189</v>
      </c>
      <c r="I523" s="165" t="s">
        <v>257</v>
      </c>
      <c r="J523" s="349">
        <v>42060</v>
      </c>
      <c r="L523" s="166">
        <v>0</v>
      </c>
      <c r="M523" s="166">
        <v>1</v>
      </c>
      <c r="N523" s="166">
        <v>1</v>
      </c>
      <c r="O523" s="166">
        <v>2</v>
      </c>
      <c r="P523" s="166">
        <v>2</v>
      </c>
      <c r="R523" s="165" t="s">
        <v>42</v>
      </c>
      <c r="S523" s="81" t="s">
        <v>270</v>
      </c>
      <c r="T523" s="349">
        <v>41947</v>
      </c>
      <c r="U523" s="349">
        <v>42060</v>
      </c>
      <c r="W523" s="81" t="s">
        <v>114</v>
      </c>
      <c r="Y523" s="81" t="s">
        <v>115</v>
      </c>
      <c r="Z523" s="81" t="s">
        <v>310</v>
      </c>
      <c r="AA523" s="81" t="s">
        <v>117</v>
      </c>
      <c r="AB523" s="81" t="s">
        <v>399</v>
      </c>
      <c r="AC523" s="166">
        <v>4.9999998882412902E-3</v>
      </c>
      <c r="AG523" s="81" t="s">
        <v>238</v>
      </c>
      <c r="AH523" s="81" t="s">
        <v>118</v>
      </c>
      <c r="AK523" s="166">
        <v>0</v>
      </c>
      <c r="AM523" s="166">
        <v>0</v>
      </c>
      <c r="AO523" s="166">
        <v>1</v>
      </c>
      <c r="AP523" s="166">
        <v>0</v>
      </c>
      <c r="AQ523" s="166">
        <v>0</v>
      </c>
      <c r="AR523" s="166">
        <v>0</v>
      </c>
      <c r="AS523" s="166">
        <v>0</v>
      </c>
      <c r="AT523" s="166">
        <v>0</v>
      </c>
      <c r="AU523" s="166">
        <v>0</v>
      </c>
      <c r="AV523" s="166">
        <v>1</v>
      </c>
      <c r="AW523" s="166">
        <v>0</v>
      </c>
      <c r="AX523" s="166">
        <v>0</v>
      </c>
      <c r="AY523" s="166">
        <v>0</v>
      </c>
      <c r="AZ523" s="166">
        <v>0</v>
      </c>
      <c r="BA523" s="166">
        <v>0</v>
      </c>
      <c r="BB523" s="166">
        <v>0</v>
      </c>
      <c r="BC523" s="166">
        <v>0</v>
      </c>
      <c r="BD523" s="166">
        <v>0</v>
      </c>
      <c r="BE523" s="166">
        <v>0</v>
      </c>
      <c r="BF523" s="166">
        <v>0</v>
      </c>
      <c r="BG523" s="166">
        <v>0</v>
      </c>
      <c r="BH523" s="166">
        <v>0</v>
      </c>
      <c r="BI523" s="166">
        <v>0</v>
      </c>
      <c r="BJ523" s="166">
        <v>0</v>
      </c>
      <c r="BK523" s="166">
        <v>0</v>
      </c>
      <c r="BL523" s="166">
        <v>0</v>
      </c>
      <c r="BM523" s="166">
        <v>0</v>
      </c>
      <c r="BN523" s="166">
        <v>0</v>
      </c>
      <c r="BO523" s="166">
        <v>0</v>
      </c>
      <c r="BP523" s="166">
        <v>0</v>
      </c>
      <c r="BQ523" s="81" t="s">
        <v>1757</v>
      </c>
      <c r="BX523" s="81" t="s">
        <v>155</v>
      </c>
      <c r="BZ523" s="81" t="s">
        <v>155</v>
      </c>
      <c r="CA523" s="81" t="s">
        <v>3980</v>
      </c>
      <c r="CC523" s="167">
        <v>0</v>
      </c>
      <c r="CD523" s="167">
        <f>N523</f>
        <v>1</v>
      </c>
      <c r="CE523" s="167">
        <v>0</v>
      </c>
      <c r="CF523" s="167">
        <v>0</v>
      </c>
      <c r="CG523" s="167">
        <v>0</v>
      </c>
      <c r="CH523" s="167">
        <v>0</v>
      </c>
      <c r="CI523" s="167">
        <v>0</v>
      </c>
      <c r="CJ523" s="167">
        <v>0</v>
      </c>
      <c r="CK523" s="167">
        <v>0</v>
      </c>
      <c r="CL523" s="167">
        <v>0</v>
      </c>
      <c r="CM523" s="167">
        <v>0</v>
      </c>
      <c r="CN523" s="167">
        <v>0</v>
      </c>
      <c r="CO523" s="167">
        <v>0</v>
      </c>
      <c r="CP523" s="167">
        <v>0</v>
      </c>
      <c r="CQ523" s="167">
        <v>0</v>
      </c>
      <c r="CR523" s="167">
        <v>0</v>
      </c>
      <c r="CS523" s="167">
        <v>0</v>
      </c>
      <c r="CT523" s="167">
        <v>0</v>
      </c>
      <c r="CU523" s="167">
        <v>0</v>
      </c>
      <c r="CV523" s="167">
        <v>0</v>
      </c>
      <c r="CW523" s="167">
        <v>0</v>
      </c>
      <c r="CX523" s="167">
        <f>SUM(CD523:CH523)</f>
        <v>1</v>
      </c>
      <c r="CY523" s="167">
        <f>SUM(CD523:CM523)</f>
        <v>1</v>
      </c>
    </row>
    <row r="524" spans="1:103" ht="12.75" customHeight="1" x14ac:dyDescent="0.2">
      <c r="A524" s="81">
        <v>5646</v>
      </c>
      <c r="B524" s="165" t="s">
        <v>1908</v>
      </c>
      <c r="C524" s="165" t="s">
        <v>3562</v>
      </c>
      <c r="E524" s="165" t="s">
        <v>3563</v>
      </c>
      <c r="G524" s="81">
        <v>527378</v>
      </c>
      <c r="H524" s="81">
        <v>175255</v>
      </c>
      <c r="I524" s="165" t="s">
        <v>255</v>
      </c>
      <c r="J524" s="349">
        <v>42993</v>
      </c>
      <c r="L524" s="166">
        <v>0</v>
      </c>
      <c r="M524" s="166">
        <v>3</v>
      </c>
      <c r="N524" s="166">
        <v>3</v>
      </c>
      <c r="O524" s="166">
        <v>3</v>
      </c>
      <c r="P524" s="166">
        <v>3</v>
      </c>
      <c r="R524" s="165" t="s">
        <v>3564</v>
      </c>
      <c r="S524" s="81" t="s">
        <v>270</v>
      </c>
      <c r="T524" s="349">
        <v>42941</v>
      </c>
      <c r="U524" s="349">
        <v>42993</v>
      </c>
      <c r="V524" s="81" t="s">
        <v>155</v>
      </c>
      <c r="W524" s="81" t="s">
        <v>114</v>
      </c>
      <c r="Y524" s="81" t="s">
        <v>115</v>
      </c>
      <c r="Z524" s="81" t="s">
        <v>310</v>
      </c>
      <c r="AA524" s="81" t="s">
        <v>117</v>
      </c>
      <c r="AB524" s="81" t="s">
        <v>399</v>
      </c>
      <c r="AC524" s="166">
        <v>4.0000001899898104E-3</v>
      </c>
      <c r="AD524" s="349">
        <v>42993</v>
      </c>
      <c r="AE524" s="81" t="s">
        <v>155</v>
      </c>
      <c r="AG524" s="81" t="s">
        <v>238</v>
      </c>
      <c r="AH524" s="81" t="s">
        <v>118</v>
      </c>
      <c r="AK524" s="166">
        <v>0</v>
      </c>
      <c r="AM524" s="166">
        <v>0</v>
      </c>
      <c r="AO524" s="166">
        <v>2</v>
      </c>
      <c r="AP524" s="166">
        <v>1</v>
      </c>
      <c r="AQ524" s="166">
        <v>0</v>
      </c>
      <c r="AR524" s="166">
        <v>0</v>
      </c>
      <c r="AS524" s="166">
        <v>0</v>
      </c>
      <c r="AT524" s="166">
        <v>0</v>
      </c>
      <c r="AU524" s="166">
        <v>0</v>
      </c>
      <c r="AV524" s="166">
        <v>2</v>
      </c>
      <c r="AW524" s="166">
        <v>1</v>
      </c>
      <c r="AX524" s="166">
        <v>0</v>
      </c>
      <c r="AY524" s="166">
        <v>0</v>
      </c>
      <c r="AZ524" s="166">
        <v>0</v>
      </c>
      <c r="BA524" s="166">
        <v>0</v>
      </c>
      <c r="BB524" s="166">
        <v>0</v>
      </c>
      <c r="BC524" s="166">
        <v>0</v>
      </c>
      <c r="BD524" s="166">
        <v>0</v>
      </c>
      <c r="BE524" s="166">
        <v>0</v>
      </c>
      <c r="BF524" s="166">
        <v>0</v>
      </c>
      <c r="BG524" s="166">
        <v>0</v>
      </c>
      <c r="BH524" s="166">
        <v>0</v>
      </c>
      <c r="BI524" s="166">
        <v>0</v>
      </c>
      <c r="BJ524" s="166">
        <v>0</v>
      </c>
      <c r="BK524" s="166">
        <v>0</v>
      </c>
      <c r="BL524" s="166">
        <v>0</v>
      </c>
      <c r="BM524" s="166">
        <v>0</v>
      </c>
      <c r="BN524" s="166">
        <v>0</v>
      </c>
      <c r="BO524" s="166">
        <v>0</v>
      </c>
      <c r="BP524" s="166">
        <v>0</v>
      </c>
      <c r="BQ524" s="81" t="s">
        <v>1757</v>
      </c>
      <c r="BR524" s="81" t="s">
        <v>160</v>
      </c>
      <c r="BZ524" s="81" t="s">
        <v>155</v>
      </c>
      <c r="CA524" s="81" t="s">
        <v>3980</v>
      </c>
      <c r="CC524" s="167">
        <v>0</v>
      </c>
      <c r="CD524" s="167">
        <f>N524</f>
        <v>3</v>
      </c>
      <c r="CE524" s="167">
        <v>0</v>
      </c>
      <c r="CF524" s="167">
        <v>0</v>
      </c>
      <c r="CG524" s="167">
        <v>0</v>
      </c>
      <c r="CH524" s="167">
        <v>0</v>
      </c>
      <c r="CI524" s="167">
        <v>0</v>
      </c>
      <c r="CJ524" s="167">
        <v>0</v>
      </c>
      <c r="CK524" s="167">
        <v>0</v>
      </c>
      <c r="CL524" s="167">
        <v>0</v>
      </c>
      <c r="CM524" s="167">
        <v>0</v>
      </c>
      <c r="CN524" s="167">
        <v>0</v>
      </c>
      <c r="CO524" s="167">
        <v>0</v>
      </c>
      <c r="CP524" s="167">
        <v>0</v>
      </c>
      <c r="CQ524" s="167">
        <v>0</v>
      </c>
      <c r="CR524" s="167">
        <v>0</v>
      </c>
      <c r="CS524" s="167">
        <v>0</v>
      </c>
      <c r="CT524" s="167">
        <v>0</v>
      </c>
      <c r="CU524" s="167">
        <v>0</v>
      </c>
      <c r="CV524" s="167">
        <v>0</v>
      </c>
      <c r="CW524" s="167">
        <v>0</v>
      </c>
      <c r="CX524" s="167">
        <f>SUM(CD524:CH524)</f>
        <v>3</v>
      </c>
      <c r="CY524" s="167">
        <f>SUM(CD524:CM524)</f>
        <v>3</v>
      </c>
    </row>
    <row r="525" spans="1:103" ht="12.75" customHeight="1" x14ac:dyDescent="0.2">
      <c r="A525" s="81">
        <v>5665</v>
      </c>
      <c r="B525" s="165" t="s">
        <v>1908</v>
      </c>
      <c r="C525" s="165" t="s">
        <v>543</v>
      </c>
      <c r="E525" s="165" t="s">
        <v>3565</v>
      </c>
      <c r="G525" s="81">
        <v>527697</v>
      </c>
      <c r="H525" s="81">
        <v>171921</v>
      </c>
      <c r="I525" s="165" t="s">
        <v>242</v>
      </c>
      <c r="J525" s="349">
        <v>43190</v>
      </c>
      <c r="L525" s="166">
        <v>0</v>
      </c>
      <c r="M525" s="166">
        <v>1</v>
      </c>
      <c r="N525" s="166">
        <v>1</v>
      </c>
      <c r="O525" s="166">
        <v>2</v>
      </c>
      <c r="P525" s="166">
        <v>1</v>
      </c>
      <c r="R525" s="165" t="s">
        <v>1129</v>
      </c>
      <c r="S525" s="81" t="s">
        <v>113</v>
      </c>
      <c r="T525" s="349">
        <v>42112</v>
      </c>
      <c r="U525" s="349">
        <v>42165</v>
      </c>
      <c r="W525" s="81" t="s">
        <v>114</v>
      </c>
      <c r="Y525" s="81" t="s">
        <v>115</v>
      </c>
      <c r="Z525" s="81" t="s">
        <v>398</v>
      </c>
      <c r="AA525" s="81" t="s">
        <v>117</v>
      </c>
      <c r="AB525" s="81" t="s">
        <v>218</v>
      </c>
      <c r="AC525" s="166">
        <v>3.0000000260770299E-3</v>
      </c>
      <c r="AD525" s="349">
        <v>43190</v>
      </c>
      <c r="AE525" s="81" t="s">
        <v>155</v>
      </c>
      <c r="AG525" s="81" t="s">
        <v>238</v>
      </c>
      <c r="AH525" s="81" t="s">
        <v>118</v>
      </c>
      <c r="AK525" s="166">
        <v>0</v>
      </c>
      <c r="AM525" s="166">
        <v>0</v>
      </c>
      <c r="AO525" s="166">
        <v>1</v>
      </c>
      <c r="AP525" s="166">
        <v>0</v>
      </c>
      <c r="AQ525" s="166">
        <v>0</v>
      </c>
      <c r="AR525" s="166">
        <v>0</v>
      </c>
      <c r="AS525" s="166">
        <v>0</v>
      </c>
      <c r="AT525" s="166">
        <v>0</v>
      </c>
      <c r="AU525" s="166">
        <v>0</v>
      </c>
      <c r="AV525" s="166">
        <v>1</v>
      </c>
      <c r="AW525" s="166">
        <v>0</v>
      </c>
      <c r="AX525" s="166">
        <v>0</v>
      </c>
      <c r="AY525" s="166">
        <v>0</v>
      </c>
      <c r="AZ525" s="166">
        <v>0</v>
      </c>
      <c r="BA525" s="166">
        <v>0</v>
      </c>
      <c r="BB525" s="166">
        <v>0</v>
      </c>
      <c r="BC525" s="166">
        <v>0</v>
      </c>
      <c r="BD525" s="166">
        <v>0</v>
      </c>
      <c r="BE525" s="166">
        <v>0</v>
      </c>
      <c r="BF525" s="166">
        <v>0</v>
      </c>
      <c r="BG525" s="166">
        <v>0</v>
      </c>
      <c r="BH525" s="166">
        <v>0</v>
      </c>
      <c r="BI525" s="166">
        <v>0</v>
      </c>
      <c r="BJ525" s="166">
        <v>0</v>
      </c>
      <c r="BK525" s="166">
        <v>0</v>
      </c>
      <c r="BL525" s="166">
        <v>0</v>
      </c>
      <c r="BM525" s="166">
        <v>0</v>
      </c>
      <c r="BN525" s="166">
        <v>0</v>
      </c>
      <c r="BO525" s="166">
        <v>0</v>
      </c>
      <c r="BP525" s="166">
        <v>0</v>
      </c>
      <c r="BQ525" s="81" t="s">
        <v>1757</v>
      </c>
      <c r="BR525" s="81" t="s">
        <v>242</v>
      </c>
      <c r="BZ525" s="81" t="s">
        <v>155</v>
      </c>
      <c r="CA525" s="81" t="s">
        <v>3981</v>
      </c>
      <c r="CC525" s="167">
        <v>0</v>
      </c>
      <c r="CD525" s="167">
        <f>$N525/2</f>
        <v>0.5</v>
      </c>
      <c r="CE525" s="167">
        <f>$N525/2</f>
        <v>0.5</v>
      </c>
      <c r="CF525" s="167">
        <v>0</v>
      </c>
      <c r="CG525" s="167">
        <v>0</v>
      </c>
      <c r="CH525" s="167">
        <v>0</v>
      </c>
      <c r="CI525" s="167">
        <v>0</v>
      </c>
      <c r="CJ525" s="167">
        <v>0</v>
      </c>
      <c r="CK525" s="167">
        <v>0</v>
      </c>
      <c r="CL525" s="167">
        <v>0</v>
      </c>
      <c r="CM525" s="167">
        <v>0</v>
      </c>
      <c r="CN525" s="167">
        <v>0</v>
      </c>
      <c r="CO525" s="167">
        <v>0</v>
      </c>
      <c r="CP525" s="167">
        <v>0</v>
      </c>
      <c r="CQ525" s="167">
        <v>0</v>
      </c>
      <c r="CR525" s="167">
        <v>0</v>
      </c>
      <c r="CS525" s="167">
        <v>0</v>
      </c>
      <c r="CT525" s="167">
        <v>0</v>
      </c>
      <c r="CU525" s="167">
        <v>0</v>
      </c>
      <c r="CV525" s="167">
        <v>0</v>
      </c>
      <c r="CW525" s="167">
        <v>0</v>
      </c>
      <c r="CX525" s="167">
        <f>SUM(CD525:CH525)</f>
        <v>1</v>
      </c>
      <c r="CY525" s="167">
        <f>SUM(CD525:CM525)</f>
        <v>1</v>
      </c>
    </row>
    <row r="526" spans="1:103" x14ac:dyDescent="0.2">
      <c r="A526" s="81">
        <v>5665</v>
      </c>
      <c r="B526" s="165" t="s">
        <v>1908</v>
      </c>
      <c r="C526" s="165" t="s">
        <v>543</v>
      </c>
      <c r="E526" s="165" t="s">
        <v>3565</v>
      </c>
      <c r="G526" s="81">
        <v>527697</v>
      </c>
      <c r="H526" s="81">
        <v>171921</v>
      </c>
      <c r="I526" s="165" t="s">
        <v>242</v>
      </c>
      <c r="J526" s="349">
        <v>43190</v>
      </c>
      <c r="L526" s="166">
        <v>1</v>
      </c>
      <c r="M526" s="166">
        <v>1</v>
      </c>
      <c r="N526" s="166">
        <v>0</v>
      </c>
      <c r="O526" s="166">
        <v>2</v>
      </c>
      <c r="P526" s="166">
        <v>1</v>
      </c>
      <c r="R526" s="165" t="s">
        <v>1129</v>
      </c>
      <c r="S526" s="81" t="s">
        <v>113</v>
      </c>
      <c r="T526" s="349">
        <v>42112</v>
      </c>
      <c r="U526" s="349">
        <v>42165</v>
      </c>
      <c r="W526" s="81" t="s">
        <v>114</v>
      </c>
      <c r="Y526" s="81" t="s">
        <v>115</v>
      </c>
      <c r="Z526" s="81" t="s">
        <v>398</v>
      </c>
      <c r="AA526" s="81" t="s">
        <v>117</v>
      </c>
      <c r="AB526" s="81" t="s">
        <v>220</v>
      </c>
      <c r="AC526" s="166">
        <v>3.0000000260770299E-3</v>
      </c>
      <c r="AD526" s="349">
        <v>43190</v>
      </c>
      <c r="AE526" s="81" t="s">
        <v>155</v>
      </c>
      <c r="AG526" s="81" t="s">
        <v>238</v>
      </c>
      <c r="AH526" s="81" t="s">
        <v>118</v>
      </c>
      <c r="AK526" s="166">
        <v>0</v>
      </c>
      <c r="AM526" s="166">
        <v>0</v>
      </c>
      <c r="AO526" s="166">
        <v>0</v>
      </c>
      <c r="AP526" s="166">
        <v>-1</v>
      </c>
      <c r="AQ526" s="166">
        <v>1</v>
      </c>
      <c r="AR526" s="166">
        <v>0</v>
      </c>
      <c r="AS526" s="166">
        <v>0</v>
      </c>
      <c r="AT526" s="166">
        <v>0</v>
      </c>
      <c r="AU526" s="166">
        <v>0</v>
      </c>
      <c r="AV526" s="166">
        <v>0</v>
      </c>
      <c r="AW526" s="166">
        <v>-1</v>
      </c>
      <c r="AX526" s="166">
        <v>1</v>
      </c>
      <c r="AY526" s="166">
        <v>0</v>
      </c>
      <c r="AZ526" s="166">
        <v>0</v>
      </c>
      <c r="BA526" s="166">
        <v>0</v>
      </c>
      <c r="BB526" s="166">
        <v>0</v>
      </c>
      <c r="BC526" s="166">
        <v>0</v>
      </c>
      <c r="BD526" s="166">
        <v>0</v>
      </c>
      <c r="BE526" s="166">
        <v>0</v>
      </c>
      <c r="BF526" s="166">
        <v>0</v>
      </c>
      <c r="BG526" s="166">
        <v>0</v>
      </c>
      <c r="BH526" s="166">
        <v>0</v>
      </c>
      <c r="BI526" s="166">
        <v>0</v>
      </c>
      <c r="BJ526" s="166">
        <v>0</v>
      </c>
      <c r="BK526" s="166">
        <v>0</v>
      </c>
      <c r="BL526" s="166">
        <v>0</v>
      </c>
      <c r="BM526" s="166">
        <v>0</v>
      </c>
      <c r="BN526" s="166">
        <v>0</v>
      </c>
      <c r="BO526" s="166">
        <v>0</v>
      </c>
      <c r="BP526" s="166">
        <v>0</v>
      </c>
      <c r="BQ526" s="81" t="s">
        <v>1757</v>
      </c>
      <c r="BR526" s="81" t="s">
        <v>242</v>
      </c>
      <c r="BZ526" s="81" t="s">
        <v>155</v>
      </c>
      <c r="CA526" s="81" t="s">
        <v>3981</v>
      </c>
      <c r="CC526" s="167">
        <v>0</v>
      </c>
      <c r="CD526" s="167">
        <f>$N526/2</f>
        <v>0</v>
      </c>
      <c r="CE526" s="167">
        <f>$N526/2</f>
        <v>0</v>
      </c>
      <c r="CF526" s="167">
        <v>0</v>
      </c>
      <c r="CG526" s="167">
        <v>0</v>
      </c>
      <c r="CH526" s="167">
        <v>0</v>
      </c>
      <c r="CI526" s="167">
        <v>0</v>
      </c>
      <c r="CJ526" s="167">
        <v>0</v>
      </c>
      <c r="CK526" s="167">
        <v>0</v>
      </c>
      <c r="CL526" s="167">
        <v>0</v>
      </c>
      <c r="CM526" s="167">
        <v>0</v>
      </c>
      <c r="CN526" s="167">
        <v>0</v>
      </c>
      <c r="CO526" s="167">
        <v>0</v>
      </c>
      <c r="CP526" s="167">
        <v>0</v>
      </c>
      <c r="CQ526" s="167">
        <v>0</v>
      </c>
      <c r="CR526" s="167">
        <v>0</v>
      </c>
      <c r="CS526" s="167">
        <v>0</v>
      </c>
      <c r="CT526" s="167">
        <v>0</v>
      </c>
      <c r="CU526" s="167">
        <v>0</v>
      </c>
      <c r="CV526" s="167">
        <v>0</v>
      </c>
      <c r="CW526" s="167">
        <v>0</v>
      </c>
      <c r="CX526" s="167">
        <f>SUM(CD526:CH526)</f>
        <v>0</v>
      </c>
      <c r="CY526" s="167">
        <f>SUM(CD526:CM526)</f>
        <v>0</v>
      </c>
    </row>
    <row r="527" spans="1:103" ht="12.75" customHeight="1" x14ac:dyDescent="0.2">
      <c r="A527" s="81">
        <v>5701</v>
      </c>
      <c r="B527" s="165" t="s">
        <v>1908</v>
      </c>
      <c r="C527" s="165" t="s">
        <v>87</v>
      </c>
      <c r="E527" s="165" t="s">
        <v>3566</v>
      </c>
      <c r="G527" s="81">
        <v>528325</v>
      </c>
      <c r="H527" s="81">
        <v>175700</v>
      </c>
      <c r="I527" s="165" t="s">
        <v>256</v>
      </c>
      <c r="J527" s="349">
        <v>42878</v>
      </c>
      <c r="L527" s="166">
        <v>0</v>
      </c>
      <c r="M527" s="166">
        <v>3</v>
      </c>
      <c r="N527" s="166">
        <v>3</v>
      </c>
      <c r="O527" s="166">
        <v>3</v>
      </c>
      <c r="P527" s="166">
        <v>3</v>
      </c>
      <c r="R527" s="165" t="s">
        <v>1682</v>
      </c>
      <c r="S527" s="81" t="s">
        <v>113</v>
      </c>
      <c r="T527" s="349">
        <v>41855</v>
      </c>
      <c r="U527" s="349">
        <v>41968</v>
      </c>
      <c r="W527" s="81" t="s">
        <v>114</v>
      </c>
      <c r="Y527" s="81" t="s">
        <v>115</v>
      </c>
      <c r="Z527" s="81" t="s">
        <v>398</v>
      </c>
      <c r="AA527" s="81" t="s">
        <v>117</v>
      </c>
      <c r="AB527" s="81" t="s">
        <v>218</v>
      </c>
      <c r="AC527" s="166">
        <v>6.0000000521540598E-3</v>
      </c>
      <c r="AD527" s="349">
        <v>42878</v>
      </c>
      <c r="AE527" s="81" t="s">
        <v>155</v>
      </c>
      <c r="AG527" s="81" t="s">
        <v>238</v>
      </c>
      <c r="AH527" s="81" t="s">
        <v>118</v>
      </c>
      <c r="AK527" s="166">
        <v>0</v>
      </c>
      <c r="AM527" s="166">
        <v>0</v>
      </c>
      <c r="AO527" s="166">
        <v>1</v>
      </c>
      <c r="AP527" s="166">
        <v>0</v>
      </c>
      <c r="AQ527" s="166">
        <v>1</v>
      </c>
      <c r="AR527" s="166">
        <v>0</v>
      </c>
      <c r="AS527" s="166">
        <v>1</v>
      </c>
      <c r="AT527" s="166">
        <v>0</v>
      </c>
      <c r="AU527" s="166">
        <v>0</v>
      </c>
      <c r="AV527" s="166">
        <v>1</v>
      </c>
      <c r="AW527" s="166">
        <v>0</v>
      </c>
      <c r="AX527" s="166">
        <v>1</v>
      </c>
      <c r="AY527" s="166">
        <v>0</v>
      </c>
      <c r="AZ527" s="166">
        <v>1</v>
      </c>
      <c r="BA527" s="166">
        <v>0</v>
      </c>
      <c r="BB527" s="166">
        <v>0</v>
      </c>
      <c r="BC527" s="166">
        <v>0</v>
      </c>
      <c r="BD527" s="166">
        <v>0</v>
      </c>
      <c r="BE527" s="166">
        <v>0</v>
      </c>
      <c r="BF527" s="166">
        <v>0</v>
      </c>
      <c r="BG527" s="166">
        <v>0</v>
      </c>
      <c r="BH527" s="166">
        <v>0</v>
      </c>
      <c r="BI527" s="166">
        <v>0</v>
      </c>
      <c r="BJ527" s="166">
        <v>0</v>
      </c>
      <c r="BK527" s="166">
        <v>0</v>
      </c>
      <c r="BL527" s="166">
        <v>0</v>
      </c>
      <c r="BM527" s="166">
        <v>0</v>
      </c>
      <c r="BN527" s="166">
        <v>0</v>
      </c>
      <c r="BO527" s="166">
        <v>0</v>
      </c>
      <c r="BP527" s="166">
        <v>0</v>
      </c>
      <c r="BQ527" s="81" t="s">
        <v>1757</v>
      </c>
      <c r="BZ527" s="81" t="s">
        <v>155</v>
      </c>
      <c r="CA527" s="81" t="s">
        <v>3980</v>
      </c>
      <c r="CC527" s="167">
        <v>0</v>
      </c>
      <c r="CD527" s="167">
        <f>N527</f>
        <v>3</v>
      </c>
      <c r="CE527" s="167">
        <v>0</v>
      </c>
      <c r="CF527" s="167">
        <v>0</v>
      </c>
      <c r="CG527" s="167">
        <v>0</v>
      </c>
      <c r="CH527" s="167">
        <v>0</v>
      </c>
      <c r="CI527" s="167">
        <v>0</v>
      </c>
      <c r="CJ527" s="167">
        <v>0</v>
      </c>
      <c r="CK527" s="167">
        <v>0</v>
      </c>
      <c r="CL527" s="167">
        <v>0</v>
      </c>
      <c r="CM527" s="167">
        <v>0</v>
      </c>
      <c r="CN527" s="167">
        <v>0</v>
      </c>
      <c r="CO527" s="167">
        <v>0</v>
      </c>
      <c r="CP527" s="167">
        <v>0</v>
      </c>
      <c r="CQ527" s="167">
        <v>0</v>
      </c>
      <c r="CR527" s="167">
        <v>0</v>
      </c>
      <c r="CS527" s="167">
        <v>0</v>
      </c>
      <c r="CT527" s="167">
        <v>0</v>
      </c>
      <c r="CU527" s="167">
        <v>0</v>
      </c>
      <c r="CV527" s="167">
        <v>0</v>
      </c>
      <c r="CW527" s="167">
        <v>0</v>
      </c>
      <c r="CX527" s="167">
        <f>SUM(CD527:CH527)</f>
        <v>3</v>
      </c>
      <c r="CY527" s="167">
        <f>SUM(CD527:CM527)</f>
        <v>3</v>
      </c>
    </row>
    <row r="528" spans="1:103" ht="12.75" customHeight="1" x14ac:dyDescent="0.2">
      <c r="A528" s="81">
        <v>5703</v>
      </c>
      <c r="B528" s="165" t="s">
        <v>1908</v>
      </c>
      <c r="C528" s="165" t="s">
        <v>26</v>
      </c>
      <c r="E528" s="165" t="s">
        <v>3403</v>
      </c>
      <c r="G528" s="81">
        <v>522881</v>
      </c>
      <c r="H528" s="81">
        <v>175249</v>
      </c>
      <c r="I528" s="165" t="s">
        <v>59</v>
      </c>
      <c r="J528" s="349">
        <v>42825</v>
      </c>
      <c r="L528" s="166">
        <v>1</v>
      </c>
      <c r="M528" s="166">
        <v>1</v>
      </c>
      <c r="N528" s="166">
        <v>0</v>
      </c>
      <c r="O528" s="166">
        <v>1</v>
      </c>
      <c r="P528" s="166">
        <v>0</v>
      </c>
      <c r="R528" s="165" t="s">
        <v>27</v>
      </c>
      <c r="S528" s="81" t="s">
        <v>113</v>
      </c>
      <c r="T528" s="349">
        <v>41897</v>
      </c>
      <c r="U528" s="349">
        <v>41995</v>
      </c>
      <c r="W528" s="81" t="s">
        <v>114</v>
      </c>
      <c r="Y528" s="81" t="s">
        <v>115</v>
      </c>
      <c r="Z528" s="81" t="s">
        <v>116</v>
      </c>
      <c r="AA528" s="81" t="s">
        <v>117</v>
      </c>
      <c r="AB528" s="81" t="s">
        <v>218</v>
      </c>
      <c r="AC528" s="166">
        <v>3.20000015199184E-2</v>
      </c>
      <c r="AD528" s="349">
        <v>42825</v>
      </c>
      <c r="AG528" s="81" t="s">
        <v>238</v>
      </c>
      <c r="AH528" s="81" t="s">
        <v>118</v>
      </c>
      <c r="AK528" s="166">
        <v>0</v>
      </c>
      <c r="AM528" s="166">
        <v>0</v>
      </c>
      <c r="AO528" s="166">
        <v>0</v>
      </c>
      <c r="AP528" s="166">
        <v>0</v>
      </c>
      <c r="AQ528" s="166">
        <v>0</v>
      </c>
      <c r="AR528" s="166">
        <v>-1</v>
      </c>
      <c r="AS528" s="166">
        <v>1</v>
      </c>
      <c r="AT528" s="166">
        <v>0</v>
      </c>
      <c r="AU528" s="166">
        <v>0</v>
      </c>
      <c r="AV528" s="166">
        <v>0</v>
      </c>
      <c r="AW528" s="166">
        <v>0</v>
      </c>
      <c r="AX528" s="166">
        <v>0</v>
      </c>
      <c r="AY528" s="166">
        <v>0</v>
      </c>
      <c r="AZ528" s="166">
        <v>0</v>
      </c>
      <c r="BA528" s="166">
        <v>0</v>
      </c>
      <c r="BB528" s="166">
        <v>0</v>
      </c>
      <c r="BC528" s="166">
        <v>0</v>
      </c>
      <c r="BD528" s="166">
        <v>0</v>
      </c>
      <c r="BE528" s="166">
        <v>0</v>
      </c>
      <c r="BF528" s="166">
        <v>-1</v>
      </c>
      <c r="BG528" s="166">
        <v>1</v>
      </c>
      <c r="BH528" s="166">
        <v>0</v>
      </c>
      <c r="BI528" s="166">
        <v>0</v>
      </c>
      <c r="BJ528" s="166">
        <v>0</v>
      </c>
      <c r="BK528" s="166">
        <v>0</v>
      </c>
      <c r="BL528" s="166">
        <v>0</v>
      </c>
      <c r="BM528" s="166">
        <v>0</v>
      </c>
      <c r="BN528" s="166">
        <v>0</v>
      </c>
      <c r="BO528" s="166">
        <v>0</v>
      </c>
      <c r="BP528" s="166">
        <v>0</v>
      </c>
      <c r="BQ528" s="81" t="s">
        <v>1758</v>
      </c>
      <c r="BZ528" s="81" t="s">
        <v>155</v>
      </c>
      <c r="CA528" s="81" t="s">
        <v>3976</v>
      </c>
      <c r="CC528" s="167">
        <v>0</v>
      </c>
      <c r="CD528" s="167">
        <f>N528</f>
        <v>0</v>
      </c>
      <c r="CE528" s="167">
        <v>0</v>
      </c>
      <c r="CF528" s="167">
        <v>0</v>
      </c>
      <c r="CG528" s="167">
        <v>0</v>
      </c>
      <c r="CH528" s="167">
        <v>0</v>
      </c>
      <c r="CI528" s="167">
        <v>0</v>
      </c>
      <c r="CJ528" s="167">
        <v>0</v>
      </c>
      <c r="CK528" s="167">
        <v>0</v>
      </c>
      <c r="CL528" s="167">
        <v>0</v>
      </c>
      <c r="CM528" s="167">
        <v>0</v>
      </c>
      <c r="CN528" s="167">
        <v>0</v>
      </c>
      <c r="CO528" s="167">
        <v>0</v>
      </c>
      <c r="CP528" s="167">
        <v>0</v>
      </c>
      <c r="CQ528" s="167">
        <v>0</v>
      </c>
      <c r="CR528" s="167">
        <v>0</v>
      </c>
      <c r="CS528" s="167">
        <v>0</v>
      </c>
      <c r="CT528" s="167">
        <v>0</v>
      </c>
      <c r="CU528" s="167">
        <v>0</v>
      </c>
      <c r="CV528" s="167">
        <v>0</v>
      </c>
      <c r="CW528" s="167">
        <v>0</v>
      </c>
      <c r="CX528" s="167">
        <f>SUM(CD528:CH528)</f>
        <v>0</v>
      </c>
      <c r="CY528" s="167">
        <f>SUM(CD528:CM528)</f>
        <v>0</v>
      </c>
    </row>
    <row r="529" spans="1:103" ht="12.75" customHeight="1" x14ac:dyDescent="0.2">
      <c r="A529" s="81">
        <v>5717</v>
      </c>
      <c r="B529" s="165" t="s">
        <v>1908</v>
      </c>
      <c r="C529" s="165" t="s">
        <v>344</v>
      </c>
      <c r="E529" s="165" t="s">
        <v>3404</v>
      </c>
      <c r="G529" s="81">
        <v>529218</v>
      </c>
      <c r="H529" s="81">
        <v>172611</v>
      </c>
      <c r="I529" s="165" t="s">
        <v>248</v>
      </c>
      <c r="J529" s="349">
        <v>42826</v>
      </c>
      <c r="L529" s="166">
        <v>0</v>
      </c>
      <c r="M529" s="166">
        <v>1</v>
      </c>
      <c r="N529" s="166">
        <v>1</v>
      </c>
      <c r="O529" s="166">
        <v>1</v>
      </c>
      <c r="P529" s="166">
        <v>1</v>
      </c>
      <c r="R529" s="165" t="s">
        <v>234</v>
      </c>
      <c r="S529" s="81" t="s">
        <v>113</v>
      </c>
      <c r="T529" s="349">
        <v>41990</v>
      </c>
      <c r="U529" s="349">
        <v>42048</v>
      </c>
      <c r="W529" s="81" t="s">
        <v>114</v>
      </c>
      <c r="Y529" s="81" t="s">
        <v>115</v>
      </c>
      <c r="Z529" s="81" t="s">
        <v>116</v>
      </c>
      <c r="AA529" s="81" t="s">
        <v>117</v>
      </c>
      <c r="AB529" s="81" t="s">
        <v>218</v>
      </c>
      <c r="AC529" s="166">
        <v>3.0000000260770299E-3</v>
      </c>
      <c r="AD529" s="349">
        <v>42826</v>
      </c>
      <c r="AE529" s="81" t="s">
        <v>155</v>
      </c>
      <c r="AG529" s="81" t="s">
        <v>238</v>
      </c>
      <c r="AH529" s="81" t="s">
        <v>118</v>
      </c>
      <c r="AK529" s="166">
        <v>0</v>
      </c>
      <c r="AM529" s="166">
        <v>0</v>
      </c>
      <c r="AO529" s="166">
        <v>0</v>
      </c>
      <c r="AP529" s="166">
        <v>0</v>
      </c>
      <c r="AQ529" s="166">
        <v>1</v>
      </c>
      <c r="AR529" s="166">
        <v>0</v>
      </c>
      <c r="AS529" s="166">
        <v>0</v>
      </c>
      <c r="AT529" s="166">
        <v>0</v>
      </c>
      <c r="AU529" s="166">
        <v>0</v>
      </c>
      <c r="AV529" s="166">
        <v>0</v>
      </c>
      <c r="AW529" s="166">
        <v>0</v>
      </c>
      <c r="AX529" s="166">
        <v>0</v>
      </c>
      <c r="AY529" s="166">
        <v>0</v>
      </c>
      <c r="AZ529" s="166">
        <v>0</v>
      </c>
      <c r="BA529" s="166">
        <v>0</v>
      </c>
      <c r="BB529" s="166">
        <v>0</v>
      </c>
      <c r="BC529" s="166">
        <v>0</v>
      </c>
      <c r="BD529" s="166">
        <v>0</v>
      </c>
      <c r="BE529" s="166">
        <v>1</v>
      </c>
      <c r="BF529" s="166">
        <v>0</v>
      </c>
      <c r="BG529" s="166">
        <v>0</v>
      </c>
      <c r="BH529" s="166">
        <v>0</v>
      </c>
      <c r="BI529" s="166">
        <v>0</v>
      </c>
      <c r="BJ529" s="166">
        <v>0</v>
      </c>
      <c r="BK529" s="166">
        <v>0</v>
      </c>
      <c r="BL529" s="166">
        <v>0</v>
      </c>
      <c r="BM529" s="166">
        <v>0</v>
      </c>
      <c r="BN529" s="166">
        <v>0</v>
      </c>
      <c r="BO529" s="166">
        <v>0</v>
      </c>
      <c r="BP529" s="166">
        <v>0</v>
      </c>
      <c r="BQ529" s="81" t="s">
        <v>1757</v>
      </c>
      <c r="BZ529" s="81" t="s">
        <v>155</v>
      </c>
      <c r="CA529" s="81" t="s">
        <v>3976</v>
      </c>
      <c r="CC529" s="167">
        <v>0</v>
      </c>
      <c r="CD529" s="167">
        <f>N529</f>
        <v>1</v>
      </c>
      <c r="CE529" s="167">
        <v>0</v>
      </c>
      <c r="CF529" s="167">
        <v>0</v>
      </c>
      <c r="CG529" s="167">
        <v>0</v>
      </c>
      <c r="CH529" s="167">
        <v>0</v>
      </c>
      <c r="CI529" s="167">
        <v>0</v>
      </c>
      <c r="CJ529" s="167">
        <v>0</v>
      </c>
      <c r="CK529" s="167">
        <v>0</v>
      </c>
      <c r="CL529" s="167">
        <v>0</v>
      </c>
      <c r="CM529" s="167">
        <v>0</v>
      </c>
      <c r="CN529" s="167">
        <v>0</v>
      </c>
      <c r="CO529" s="167">
        <v>0</v>
      </c>
      <c r="CP529" s="167">
        <v>0</v>
      </c>
      <c r="CQ529" s="167">
        <v>0</v>
      </c>
      <c r="CR529" s="167">
        <v>0</v>
      </c>
      <c r="CS529" s="167">
        <v>0</v>
      </c>
      <c r="CT529" s="167">
        <v>0</v>
      </c>
      <c r="CU529" s="167">
        <v>0</v>
      </c>
      <c r="CV529" s="167">
        <v>0</v>
      </c>
      <c r="CW529" s="167">
        <v>0</v>
      </c>
      <c r="CX529" s="167">
        <f>SUM(CD529:CH529)</f>
        <v>1</v>
      </c>
      <c r="CY529" s="167">
        <f>SUM(CD529:CM529)</f>
        <v>1</v>
      </c>
    </row>
    <row r="530" spans="1:103" ht="12.75" customHeight="1" x14ac:dyDescent="0.2">
      <c r="A530" s="81">
        <v>5723</v>
      </c>
      <c r="B530" s="165" t="s">
        <v>1908</v>
      </c>
      <c r="C530" s="165" t="s">
        <v>156</v>
      </c>
      <c r="E530" s="165" t="s">
        <v>3405</v>
      </c>
      <c r="G530" s="81">
        <v>522904</v>
      </c>
      <c r="H530" s="81">
        <v>174633</v>
      </c>
      <c r="I530" s="165" t="s">
        <v>59</v>
      </c>
      <c r="J530" s="349">
        <v>42398</v>
      </c>
      <c r="L530" s="166">
        <v>1</v>
      </c>
      <c r="M530" s="166">
        <v>1</v>
      </c>
      <c r="N530" s="166">
        <v>0</v>
      </c>
      <c r="O530" s="166">
        <v>1</v>
      </c>
      <c r="P530" s="166">
        <v>0</v>
      </c>
      <c r="R530" s="165" t="s">
        <v>308</v>
      </c>
      <c r="S530" s="81" t="s">
        <v>113</v>
      </c>
      <c r="T530" s="349">
        <v>41890</v>
      </c>
      <c r="U530" s="349">
        <v>42025</v>
      </c>
      <c r="W530" s="81" t="s">
        <v>114</v>
      </c>
      <c r="Y530" s="81" t="s">
        <v>115</v>
      </c>
      <c r="Z530" s="81" t="s">
        <v>116</v>
      </c>
      <c r="AA530" s="81" t="s">
        <v>117</v>
      </c>
      <c r="AB530" s="81" t="s">
        <v>218</v>
      </c>
      <c r="AC530" s="166">
        <v>5.0000000745058101E-2</v>
      </c>
      <c r="AD530" s="349">
        <v>42398</v>
      </c>
      <c r="AG530" s="81" t="s">
        <v>238</v>
      </c>
      <c r="AH530" s="81" t="s">
        <v>118</v>
      </c>
      <c r="AK530" s="166">
        <v>0</v>
      </c>
      <c r="AM530" s="166">
        <v>0</v>
      </c>
      <c r="AO530" s="166">
        <v>0</v>
      </c>
      <c r="AP530" s="166">
        <v>0</v>
      </c>
      <c r="AQ530" s="166">
        <v>0</v>
      </c>
      <c r="AR530" s="166">
        <v>-1</v>
      </c>
      <c r="AS530" s="166">
        <v>0</v>
      </c>
      <c r="AT530" s="166">
        <v>1</v>
      </c>
      <c r="AU530" s="166">
        <v>0</v>
      </c>
      <c r="AV530" s="166">
        <v>0</v>
      </c>
      <c r="AW530" s="166">
        <v>0</v>
      </c>
      <c r="AX530" s="166">
        <v>0</v>
      </c>
      <c r="AY530" s="166">
        <v>0</v>
      </c>
      <c r="AZ530" s="166">
        <v>0</v>
      </c>
      <c r="BA530" s="166">
        <v>0</v>
      </c>
      <c r="BB530" s="166">
        <v>0</v>
      </c>
      <c r="BC530" s="166">
        <v>0</v>
      </c>
      <c r="BD530" s="166">
        <v>0</v>
      </c>
      <c r="BE530" s="166">
        <v>0</v>
      </c>
      <c r="BF530" s="166">
        <v>-1</v>
      </c>
      <c r="BG530" s="166">
        <v>0</v>
      </c>
      <c r="BH530" s="166">
        <v>1</v>
      </c>
      <c r="BI530" s="166">
        <v>0</v>
      </c>
      <c r="BJ530" s="166">
        <v>0</v>
      </c>
      <c r="BK530" s="166">
        <v>0</v>
      </c>
      <c r="BL530" s="166">
        <v>0</v>
      </c>
      <c r="BM530" s="166">
        <v>0</v>
      </c>
      <c r="BN530" s="166">
        <v>0</v>
      </c>
      <c r="BO530" s="166">
        <v>0</v>
      </c>
      <c r="BP530" s="166">
        <v>0</v>
      </c>
      <c r="BQ530" s="81" t="s">
        <v>1758</v>
      </c>
      <c r="BZ530" s="81" t="s">
        <v>155</v>
      </c>
      <c r="CA530" s="81" t="s">
        <v>3976</v>
      </c>
      <c r="CC530" s="167">
        <v>0</v>
      </c>
      <c r="CD530" s="167">
        <f>N530</f>
        <v>0</v>
      </c>
      <c r="CE530" s="167">
        <v>0</v>
      </c>
      <c r="CF530" s="167">
        <v>0</v>
      </c>
      <c r="CG530" s="167">
        <v>0</v>
      </c>
      <c r="CH530" s="167">
        <v>0</v>
      </c>
      <c r="CI530" s="167">
        <v>0</v>
      </c>
      <c r="CJ530" s="167">
        <v>0</v>
      </c>
      <c r="CK530" s="167">
        <v>0</v>
      </c>
      <c r="CL530" s="167">
        <v>0</v>
      </c>
      <c r="CM530" s="167">
        <v>0</v>
      </c>
      <c r="CN530" s="167">
        <v>0</v>
      </c>
      <c r="CO530" s="167">
        <v>0</v>
      </c>
      <c r="CP530" s="167">
        <v>0</v>
      </c>
      <c r="CQ530" s="167">
        <v>0</v>
      </c>
      <c r="CR530" s="167">
        <v>0</v>
      </c>
      <c r="CS530" s="167">
        <v>0</v>
      </c>
      <c r="CT530" s="167">
        <v>0</v>
      </c>
      <c r="CU530" s="167">
        <v>0</v>
      </c>
      <c r="CV530" s="167">
        <v>0</v>
      </c>
      <c r="CW530" s="167">
        <v>0</v>
      </c>
      <c r="CX530" s="167">
        <f>SUM(CD530:CH530)</f>
        <v>0</v>
      </c>
      <c r="CY530" s="167">
        <f>SUM(CD530:CM530)</f>
        <v>0</v>
      </c>
    </row>
    <row r="531" spans="1:103" ht="12.75" customHeight="1" x14ac:dyDescent="0.2">
      <c r="A531" s="81">
        <v>5740</v>
      </c>
      <c r="B531" s="165" t="s">
        <v>1908</v>
      </c>
      <c r="C531" s="165" t="s">
        <v>389</v>
      </c>
      <c r="E531" s="165" t="s">
        <v>3406</v>
      </c>
      <c r="G531" s="81">
        <v>527507</v>
      </c>
      <c r="H531" s="81">
        <v>171899</v>
      </c>
      <c r="I531" s="165" t="s">
        <v>242</v>
      </c>
      <c r="J531" s="349">
        <v>42094</v>
      </c>
      <c r="L531" s="166">
        <v>0</v>
      </c>
      <c r="M531" s="166">
        <v>1</v>
      </c>
      <c r="N531" s="166">
        <v>1</v>
      </c>
      <c r="O531" s="166">
        <v>1</v>
      </c>
      <c r="P531" s="166">
        <v>1</v>
      </c>
      <c r="R531" s="165" t="s">
        <v>390</v>
      </c>
      <c r="S531" s="81" t="s">
        <v>113</v>
      </c>
      <c r="T531" s="349">
        <v>41913</v>
      </c>
      <c r="U531" s="349">
        <v>41990</v>
      </c>
      <c r="W531" s="81" t="s">
        <v>114</v>
      </c>
      <c r="Y531" s="81" t="s">
        <v>115</v>
      </c>
      <c r="Z531" s="81" t="s">
        <v>116</v>
      </c>
      <c r="AA531" s="81" t="s">
        <v>117</v>
      </c>
      <c r="AB531" s="81" t="s">
        <v>218</v>
      </c>
      <c r="AC531" s="166">
        <v>4.9999998882412902E-3</v>
      </c>
      <c r="AD531" s="349">
        <v>42094</v>
      </c>
      <c r="AG531" s="81" t="s">
        <v>238</v>
      </c>
      <c r="AH531" s="81" t="s">
        <v>118</v>
      </c>
      <c r="AK531" s="166">
        <v>0</v>
      </c>
      <c r="AM531" s="166">
        <v>0</v>
      </c>
      <c r="AO531" s="166">
        <v>0</v>
      </c>
      <c r="AP531" s="166">
        <v>0</v>
      </c>
      <c r="AQ531" s="166">
        <v>0</v>
      </c>
      <c r="AR531" s="166">
        <v>1</v>
      </c>
      <c r="AS531" s="166">
        <v>0</v>
      </c>
      <c r="AT531" s="166">
        <v>0</v>
      </c>
      <c r="AU531" s="166">
        <v>0</v>
      </c>
      <c r="AV531" s="166">
        <v>0</v>
      </c>
      <c r="AW531" s="166">
        <v>0</v>
      </c>
      <c r="AX531" s="166">
        <v>0</v>
      </c>
      <c r="AY531" s="166">
        <v>0</v>
      </c>
      <c r="AZ531" s="166">
        <v>0</v>
      </c>
      <c r="BA531" s="166">
        <v>0</v>
      </c>
      <c r="BB531" s="166">
        <v>0</v>
      </c>
      <c r="BC531" s="166">
        <v>0</v>
      </c>
      <c r="BD531" s="166">
        <v>0</v>
      </c>
      <c r="BE531" s="166">
        <v>0</v>
      </c>
      <c r="BF531" s="166">
        <v>1</v>
      </c>
      <c r="BG531" s="166">
        <v>0</v>
      </c>
      <c r="BH531" s="166">
        <v>0</v>
      </c>
      <c r="BI531" s="166">
        <v>0</v>
      </c>
      <c r="BJ531" s="166">
        <v>0</v>
      </c>
      <c r="BK531" s="166">
        <v>0</v>
      </c>
      <c r="BL531" s="166">
        <v>0</v>
      </c>
      <c r="BM531" s="166">
        <v>0</v>
      </c>
      <c r="BN531" s="166">
        <v>0</v>
      </c>
      <c r="BO531" s="166">
        <v>0</v>
      </c>
      <c r="BP531" s="166">
        <v>0</v>
      </c>
      <c r="BQ531" s="81" t="s">
        <v>1757</v>
      </c>
      <c r="BZ531" s="81" t="s">
        <v>155</v>
      </c>
      <c r="CA531" s="81" t="s">
        <v>3976</v>
      </c>
      <c r="CC531" s="167">
        <v>0</v>
      </c>
      <c r="CD531" s="167">
        <f>N531</f>
        <v>1</v>
      </c>
      <c r="CE531" s="167">
        <v>0</v>
      </c>
      <c r="CF531" s="167">
        <v>0</v>
      </c>
      <c r="CG531" s="167">
        <v>0</v>
      </c>
      <c r="CH531" s="167">
        <v>0</v>
      </c>
      <c r="CI531" s="167">
        <v>0</v>
      </c>
      <c r="CJ531" s="167">
        <v>0</v>
      </c>
      <c r="CK531" s="167">
        <v>0</v>
      </c>
      <c r="CL531" s="167">
        <v>0</v>
      </c>
      <c r="CM531" s="167">
        <v>0</v>
      </c>
      <c r="CN531" s="167">
        <v>0</v>
      </c>
      <c r="CO531" s="167">
        <v>0</v>
      </c>
      <c r="CP531" s="167">
        <v>0</v>
      </c>
      <c r="CQ531" s="167">
        <v>0</v>
      </c>
      <c r="CR531" s="167">
        <v>0</v>
      </c>
      <c r="CS531" s="167">
        <v>0</v>
      </c>
      <c r="CT531" s="167">
        <v>0</v>
      </c>
      <c r="CU531" s="167">
        <v>0</v>
      </c>
      <c r="CV531" s="167">
        <v>0</v>
      </c>
      <c r="CW531" s="167">
        <v>0</v>
      </c>
      <c r="CX531" s="167">
        <f>SUM(CD531:CH531)</f>
        <v>1</v>
      </c>
      <c r="CY531" s="167">
        <f>SUM(CD531:CM531)</f>
        <v>1</v>
      </c>
    </row>
    <row r="532" spans="1:103" ht="12.75" customHeight="1" x14ac:dyDescent="0.2">
      <c r="A532" s="81">
        <v>5751</v>
      </c>
      <c r="B532" s="165" t="s">
        <v>1908</v>
      </c>
      <c r="C532" s="165" t="s">
        <v>93</v>
      </c>
      <c r="E532" s="165" t="s">
        <v>3573</v>
      </c>
      <c r="G532" s="81">
        <v>528740</v>
      </c>
      <c r="H532" s="81">
        <v>173517</v>
      </c>
      <c r="I532" s="165" t="s">
        <v>247</v>
      </c>
      <c r="J532" s="349">
        <v>42249</v>
      </c>
      <c r="L532" s="166">
        <v>2</v>
      </c>
      <c r="M532" s="166">
        <v>1</v>
      </c>
      <c r="N532" s="166">
        <v>-1</v>
      </c>
      <c r="O532" s="166">
        <v>1</v>
      </c>
      <c r="P532" s="166">
        <v>-1</v>
      </c>
      <c r="R532" s="165" t="s">
        <v>94</v>
      </c>
      <c r="S532" s="81" t="s">
        <v>113</v>
      </c>
      <c r="T532" s="349">
        <v>41919</v>
      </c>
      <c r="U532" s="349">
        <v>41992</v>
      </c>
      <c r="W532" s="81" t="s">
        <v>114</v>
      </c>
      <c r="Y532" s="81" t="s">
        <v>115</v>
      </c>
      <c r="Z532" s="81" t="s">
        <v>398</v>
      </c>
      <c r="AA532" s="81" t="s">
        <v>117</v>
      </c>
      <c r="AB532" s="81" t="s">
        <v>336</v>
      </c>
      <c r="AC532" s="166">
        <v>2.8000000864267301E-2</v>
      </c>
      <c r="AD532" s="349">
        <v>42249</v>
      </c>
      <c r="AG532" s="81" t="s">
        <v>238</v>
      </c>
      <c r="AH532" s="81" t="s">
        <v>118</v>
      </c>
      <c r="AK532" s="166">
        <v>0</v>
      </c>
      <c r="AM532" s="166">
        <v>0</v>
      </c>
      <c r="AO532" s="166">
        <v>0</v>
      </c>
      <c r="AP532" s="166">
        <v>-1</v>
      </c>
      <c r="AQ532" s="166">
        <v>-1</v>
      </c>
      <c r="AR532" s="166">
        <v>0</v>
      </c>
      <c r="AS532" s="166">
        <v>1</v>
      </c>
      <c r="AT532" s="166">
        <v>0</v>
      </c>
      <c r="AU532" s="166">
        <v>0</v>
      </c>
      <c r="AV532" s="166">
        <v>0</v>
      </c>
      <c r="AW532" s="166">
        <v>-1</v>
      </c>
      <c r="AX532" s="166">
        <v>-1</v>
      </c>
      <c r="AY532" s="166">
        <v>0</v>
      </c>
      <c r="AZ532" s="166">
        <v>0</v>
      </c>
      <c r="BA532" s="166">
        <v>0</v>
      </c>
      <c r="BB532" s="166">
        <v>0</v>
      </c>
      <c r="BC532" s="166">
        <v>0</v>
      </c>
      <c r="BD532" s="166">
        <v>0</v>
      </c>
      <c r="BE532" s="166">
        <v>0</v>
      </c>
      <c r="BF532" s="166">
        <v>0</v>
      </c>
      <c r="BG532" s="166">
        <v>1</v>
      </c>
      <c r="BH532" s="166">
        <v>0</v>
      </c>
      <c r="BI532" s="166">
        <v>0</v>
      </c>
      <c r="BJ532" s="166">
        <v>0</v>
      </c>
      <c r="BK532" s="166">
        <v>0</v>
      </c>
      <c r="BL532" s="166">
        <v>0</v>
      </c>
      <c r="BM532" s="166">
        <v>0</v>
      </c>
      <c r="BN532" s="166">
        <v>0</v>
      </c>
      <c r="BO532" s="166">
        <v>0</v>
      </c>
      <c r="BP532" s="166">
        <v>0</v>
      </c>
      <c r="BQ532" s="81" t="s">
        <v>1757</v>
      </c>
      <c r="BZ532" s="81" t="s">
        <v>155</v>
      </c>
      <c r="CA532" s="81" t="s">
        <v>3980</v>
      </c>
      <c r="CC532" s="167">
        <v>0</v>
      </c>
      <c r="CD532" s="167">
        <f>N532</f>
        <v>-1</v>
      </c>
      <c r="CE532" s="167">
        <v>0</v>
      </c>
      <c r="CF532" s="167">
        <v>0</v>
      </c>
      <c r="CG532" s="167">
        <v>0</v>
      </c>
      <c r="CH532" s="167">
        <v>0</v>
      </c>
      <c r="CI532" s="167">
        <v>0</v>
      </c>
      <c r="CJ532" s="167">
        <v>0</v>
      </c>
      <c r="CK532" s="167">
        <v>0</v>
      </c>
      <c r="CL532" s="167">
        <v>0</v>
      </c>
      <c r="CM532" s="167">
        <v>0</v>
      </c>
      <c r="CN532" s="167">
        <v>0</v>
      </c>
      <c r="CO532" s="167">
        <v>0</v>
      </c>
      <c r="CP532" s="167">
        <v>0</v>
      </c>
      <c r="CQ532" s="167">
        <v>0</v>
      </c>
      <c r="CR532" s="167">
        <v>0</v>
      </c>
      <c r="CS532" s="167">
        <v>0</v>
      </c>
      <c r="CT532" s="167">
        <v>0</v>
      </c>
      <c r="CU532" s="167">
        <v>0</v>
      </c>
      <c r="CV532" s="167">
        <v>0</v>
      </c>
      <c r="CW532" s="167">
        <v>0</v>
      </c>
      <c r="CX532" s="167">
        <f>SUM(CD532:CH532)</f>
        <v>-1</v>
      </c>
      <c r="CY532" s="167">
        <f>SUM(CD532:CM532)</f>
        <v>-1</v>
      </c>
    </row>
    <row r="533" spans="1:103" ht="12.75" customHeight="1" x14ac:dyDescent="0.2">
      <c r="A533" s="81">
        <v>5767</v>
      </c>
      <c r="B533" s="165" t="s">
        <v>1908</v>
      </c>
      <c r="C533" s="165" t="s">
        <v>375</v>
      </c>
      <c r="E533" s="165" t="s">
        <v>3377</v>
      </c>
      <c r="G533" s="81">
        <v>526797</v>
      </c>
      <c r="H533" s="81">
        <v>176325</v>
      </c>
      <c r="I533" s="165" t="s">
        <v>257</v>
      </c>
      <c r="J533" s="349">
        <v>42937</v>
      </c>
      <c r="L533" s="166">
        <v>0</v>
      </c>
      <c r="M533" s="166">
        <v>22</v>
      </c>
      <c r="N533" s="166">
        <v>22</v>
      </c>
      <c r="O533" s="166">
        <v>33</v>
      </c>
      <c r="P533" s="166">
        <v>33</v>
      </c>
      <c r="Q533" s="81" t="s">
        <v>155</v>
      </c>
      <c r="R533" s="165" t="s">
        <v>1683</v>
      </c>
      <c r="S533" s="81" t="s">
        <v>104</v>
      </c>
      <c r="T533" s="349">
        <v>41898</v>
      </c>
      <c r="U533" s="349">
        <v>42376</v>
      </c>
      <c r="W533" s="81" t="s">
        <v>114</v>
      </c>
      <c r="Y533" s="81" t="s">
        <v>115</v>
      </c>
      <c r="Z533" s="81" t="s">
        <v>398</v>
      </c>
      <c r="AA533" s="81" t="s">
        <v>116</v>
      </c>
      <c r="AB533" s="81" t="s">
        <v>117</v>
      </c>
      <c r="AC533" s="166">
        <v>1.2000000104308101E-2</v>
      </c>
      <c r="AD533" s="349">
        <v>42937</v>
      </c>
      <c r="AE533" s="81" t="s">
        <v>155</v>
      </c>
      <c r="AG533" s="81" t="s">
        <v>238</v>
      </c>
      <c r="AH533" s="81" t="s">
        <v>118</v>
      </c>
      <c r="AK533" s="166">
        <v>25</v>
      </c>
      <c r="AM533" s="166">
        <v>2</v>
      </c>
      <c r="AO533" s="166">
        <v>0</v>
      </c>
      <c r="AP533" s="166">
        <v>5</v>
      </c>
      <c r="AQ533" s="166">
        <v>15</v>
      </c>
      <c r="AR533" s="166">
        <v>2</v>
      </c>
      <c r="AS533" s="166">
        <v>0</v>
      </c>
      <c r="AT533" s="166">
        <v>0</v>
      </c>
      <c r="AU533" s="166">
        <v>0</v>
      </c>
      <c r="AV533" s="166">
        <v>0</v>
      </c>
      <c r="AW533" s="166">
        <v>5</v>
      </c>
      <c r="AX533" s="166">
        <v>15</v>
      </c>
      <c r="AY533" s="166">
        <v>2</v>
      </c>
      <c r="AZ533" s="166">
        <v>0</v>
      </c>
      <c r="BA533" s="166">
        <v>0</v>
      </c>
      <c r="BB533" s="166">
        <v>0</v>
      </c>
      <c r="BC533" s="166">
        <v>0</v>
      </c>
      <c r="BD533" s="166">
        <v>0</v>
      </c>
      <c r="BE533" s="166">
        <v>0</v>
      </c>
      <c r="BF533" s="166">
        <v>0</v>
      </c>
      <c r="BG533" s="166">
        <v>0</v>
      </c>
      <c r="BH533" s="166">
        <v>0</v>
      </c>
      <c r="BI533" s="166">
        <v>0</v>
      </c>
      <c r="BJ533" s="166">
        <v>0</v>
      </c>
      <c r="BK533" s="166">
        <v>0</v>
      </c>
      <c r="BL533" s="166">
        <v>0</v>
      </c>
      <c r="BM533" s="166">
        <v>0</v>
      </c>
      <c r="BN533" s="166">
        <v>0</v>
      </c>
      <c r="BO533" s="166">
        <v>0</v>
      </c>
      <c r="BP533" s="166">
        <v>0</v>
      </c>
      <c r="BQ533" s="81" t="s">
        <v>1757</v>
      </c>
      <c r="BZ533" s="81" t="s">
        <v>155</v>
      </c>
      <c r="CA533" s="81" t="s">
        <v>3934</v>
      </c>
      <c r="CC533" s="167">
        <v>0</v>
      </c>
      <c r="CD533" s="167">
        <v>0</v>
      </c>
      <c r="CE533" s="167">
        <f>N533</f>
        <v>22</v>
      </c>
      <c r="CF533" s="167">
        <v>0</v>
      </c>
      <c r="CG533" s="167">
        <v>0</v>
      </c>
      <c r="CH533" s="167">
        <v>0</v>
      </c>
      <c r="CI533" s="167">
        <v>0</v>
      </c>
      <c r="CJ533" s="167">
        <v>0</v>
      </c>
      <c r="CK533" s="167">
        <v>0</v>
      </c>
      <c r="CL533" s="167">
        <v>0</v>
      </c>
      <c r="CM533" s="167">
        <v>0</v>
      </c>
      <c r="CN533" s="167">
        <v>0</v>
      </c>
      <c r="CO533" s="167">
        <v>0</v>
      </c>
      <c r="CP533" s="167">
        <v>0</v>
      </c>
      <c r="CQ533" s="167">
        <v>0</v>
      </c>
      <c r="CR533" s="167">
        <v>0</v>
      </c>
      <c r="CS533" s="167">
        <v>0</v>
      </c>
      <c r="CT533" s="167">
        <v>0</v>
      </c>
      <c r="CU533" s="167">
        <v>0</v>
      </c>
      <c r="CV533" s="167">
        <v>0</v>
      </c>
      <c r="CW533" s="167">
        <v>0</v>
      </c>
      <c r="CX533" s="167">
        <f>SUM(CD533:CH533)</f>
        <v>22</v>
      </c>
      <c r="CY533" s="167">
        <f>SUM(CD533:CM533)</f>
        <v>22</v>
      </c>
    </row>
    <row r="534" spans="1:103" x14ac:dyDescent="0.2">
      <c r="A534" s="81">
        <v>5767</v>
      </c>
      <c r="B534" s="165" t="s">
        <v>1908</v>
      </c>
      <c r="C534" s="165" t="s">
        <v>375</v>
      </c>
      <c r="E534" s="165" t="s">
        <v>3377</v>
      </c>
      <c r="G534" s="81">
        <v>526797</v>
      </c>
      <c r="H534" s="81">
        <v>176325</v>
      </c>
      <c r="I534" s="165" t="s">
        <v>257</v>
      </c>
      <c r="J534" s="349">
        <v>42937</v>
      </c>
      <c r="L534" s="166">
        <v>0</v>
      </c>
      <c r="M534" s="166">
        <v>11</v>
      </c>
      <c r="N534" s="166">
        <v>11</v>
      </c>
      <c r="O534" s="166">
        <v>33</v>
      </c>
      <c r="P534" s="166">
        <v>33</v>
      </c>
      <c r="Q534" s="81" t="s">
        <v>155</v>
      </c>
      <c r="R534" s="165" t="s">
        <v>1683</v>
      </c>
      <c r="S534" s="81" t="s">
        <v>104</v>
      </c>
      <c r="T534" s="349">
        <v>41898</v>
      </c>
      <c r="U534" s="349">
        <v>42376</v>
      </c>
      <c r="W534" s="81" t="s">
        <v>114</v>
      </c>
      <c r="Y534" s="81" t="s">
        <v>115</v>
      </c>
      <c r="Z534" s="81" t="s">
        <v>398</v>
      </c>
      <c r="AA534" s="81" t="s">
        <v>117</v>
      </c>
      <c r="AB534" s="81" t="s">
        <v>218</v>
      </c>
      <c r="AC534" s="166">
        <v>9.9999997764825804E-3</v>
      </c>
      <c r="AD534" s="349">
        <v>42937</v>
      </c>
      <c r="AE534" s="81" t="s">
        <v>155</v>
      </c>
      <c r="AG534" s="81" t="s">
        <v>74</v>
      </c>
      <c r="AH534" s="81" t="s">
        <v>1913</v>
      </c>
      <c r="AK534" s="166">
        <v>11</v>
      </c>
      <c r="AM534" s="166">
        <v>1</v>
      </c>
      <c r="AO534" s="166">
        <v>0</v>
      </c>
      <c r="AP534" s="166">
        <v>4</v>
      </c>
      <c r="AQ534" s="166">
        <v>6</v>
      </c>
      <c r="AR534" s="166">
        <v>1</v>
      </c>
      <c r="AS534" s="166">
        <v>0</v>
      </c>
      <c r="AT534" s="166">
        <v>0</v>
      </c>
      <c r="AU534" s="166">
        <v>0</v>
      </c>
      <c r="AV534" s="166">
        <v>0</v>
      </c>
      <c r="AW534" s="166">
        <v>4</v>
      </c>
      <c r="AX534" s="166">
        <v>6</v>
      </c>
      <c r="AY534" s="166">
        <v>1</v>
      </c>
      <c r="AZ534" s="166">
        <v>0</v>
      </c>
      <c r="BA534" s="166">
        <v>0</v>
      </c>
      <c r="BB534" s="166">
        <v>0</v>
      </c>
      <c r="BC534" s="166">
        <v>0</v>
      </c>
      <c r="BD534" s="166">
        <v>0</v>
      </c>
      <c r="BE534" s="166">
        <v>0</v>
      </c>
      <c r="BF534" s="166">
        <v>0</v>
      </c>
      <c r="BG534" s="166">
        <v>0</v>
      </c>
      <c r="BH534" s="166">
        <v>0</v>
      </c>
      <c r="BI534" s="166">
        <v>0</v>
      </c>
      <c r="BJ534" s="166">
        <v>0</v>
      </c>
      <c r="BK534" s="166">
        <v>0</v>
      </c>
      <c r="BL534" s="166">
        <v>0</v>
      </c>
      <c r="BM534" s="166">
        <v>0</v>
      </c>
      <c r="BN534" s="166">
        <v>0</v>
      </c>
      <c r="BO534" s="166">
        <v>0</v>
      </c>
      <c r="BP534" s="166">
        <v>0</v>
      </c>
      <c r="BQ534" s="81" t="s">
        <v>1757</v>
      </c>
      <c r="BZ534" s="81" t="s">
        <v>155</v>
      </c>
      <c r="CA534" s="81" t="s">
        <v>3934</v>
      </c>
      <c r="CC534" s="167">
        <v>0</v>
      </c>
      <c r="CD534" s="167">
        <v>0</v>
      </c>
      <c r="CE534" s="167">
        <f>N534</f>
        <v>11</v>
      </c>
      <c r="CF534" s="167">
        <v>0</v>
      </c>
      <c r="CG534" s="167">
        <v>0</v>
      </c>
      <c r="CH534" s="167">
        <v>0</v>
      </c>
      <c r="CI534" s="167">
        <v>0</v>
      </c>
      <c r="CJ534" s="167">
        <v>0</v>
      </c>
      <c r="CK534" s="167">
        <v>0</v>
      </c>
      <c r="CL534" s="167">
        <v>0</v>
      </c>
      <c r="CM534" s="167">
        <v>0</v>
      </c>
      <c r="CN534" s="167">
        <v>0</v>
      </c>
      <c r="CO534" s="167">
        <v>0</v>
      </c>
      <c r="CP534" s="167">
        <v>0</v>
      </c>
      <c r="CQ534" s="167">
        <v>0</v>
      </c>
      <c r="CR534" s="167">
        <v>0</v>
      </c>
      <c r="CS534" s="167">
        <v>0</v>
      </c>
      <c r="CT534" s="167">
        <v>0</v>
      </c>
      <c r="CU534" s="167">
        <v>0</v>
      </c>
      <c r="CV534" s="167">
        <v>0</v>
      </c>
      <c r="CW534" s="167">
        <v>0</v>
      </c>
      <c r="CX534" s="167">
        <f>SUM(CD534:CH534)</f>
        <v>11</v>
      </c>
      <c r="CY534" s="167">
        <f>SUM(CD534:CM534)</f>
        <v>11</v>
      </c>
    </row>
    <row r="535" spans="1:103" ht="12.75" customHeight="1" x14ac:dyDescent="0.2">
      <c r="A535" s="81">
        <v>5775</v>
      </c>
      <c r="B535" s="165" t="s">
        <v>1908</v>
      </c>
      <c r="C535" s="165" t="s">
        <v>78</v>
      </c>
      <c r="E535" s="165" t="s">
        <v>3407</v>
      </c>
      <c r="G535" s="81">
        <v>527719</v>
      </c>
      <c r="H535" s="81">
        <v>174043</v>
      </c>
      <c r="I535" s="165" t="s">
        <v>255</v>
      </c>
      <c r="J535" s="349">
        <v>42411</v>
      </c>
      <c r="L535" s="166">
        <v>0</v>
      </c>
      <c r="M535" s="166">
        <v>1</v>
      </c>
      <c r="N535" s="166">
        <v>1</v>
      </c>
      <c r="O535" s="166">
        <v>1</v>
      </c>
      <c r="P535" s="166">
        <v>1</v>
      </c>
      <c r="R535" s="165" t="s">
        <v>79</v>
      </c>
      <c r="S535" s="81" t="s">
        <v>113</v>
      </c>
      <c r="T535" s="349">
        <v>41949</v>
      </c>
      <c r="U535" s="349">
        <v>42062</v>
      </c>
      <c r="W535" s="81" t="s">
        <v>114</v>
      </c>
      <c r="Y535" s="81" t="s">
        <v>115</v>
      </c>
      <c r="Z535" s="81" t="s">
        <v>116</v>
      </c>
      <c r="AA535" s="81" t="s">
        <v>117</v>
      </c>
      <c r="AB535" s="81" t="s">
        <v>218</v>
      </c>
      <c r="AC535" s="166">
        <v>8.9999996125698107E-3</v>
      </c>
      <c r="AD535" s="349">
        <v>42411</v>
      </c>
      <c r="AG535" s="81" t="s">
        <v>238</v>
      </c>
      <c r="AH535" s="81" t="s">
        <v>118</v>
      </c>
      <c r="AK535" s="166">
        <v>0</v>
      </c>
      <c r="AM535" s="166">
        <v>0</v>
      </c>
      <c r="AO535" s="166">
        <v>0</v>
      </c>
      <c r="AP535" s="166">
        <v>0</v>
      </c>
      <c r="AQ535" s="166">
        <v>1</v>
      </c>
      <c r="AR535" s="166">
        <v>0</v>
      </c>
      <c r="AS535" s="166">
        <v>0</v>
      </c>
      <c r="AT535" s="166">
        <v>0</v>
      </c>
      <c r="AU535" s="166">
        <v>0</v>
      </c>
      <c r="AV535" s="166">
        <v>0</v>
      </c>
      <c r="AW535" s="166">
        <v>0</v>
      </c>
      <c r="AX535" s="166">
        <v>0</v>
      </c>
      <c r="AY535" s="166">
        <v>0</v>
      </c>
      <c r="AZ535" s="166">
        <v>0</v>
      </c>
      <c r="BA535" s="166">
        <v>0</v>
      </c>
      <c r="BB535" s="166">
        <v>0</v>
      </c>
      <c r="BC535" s="166">
        <v>0</v>
      </c>
      <c r="BD535" s="166">
        <v>0</v>
      </c>
      <c r="BE535" s="166">
        <v>1</v>
      </c>
      <c r="BF535" s="166">
        <v>0</v>
      </c>
      <c r="BG535" s="166">
        <v>0</v>
      </c>
      <c r="BH535" s="166">
        <v>0</v>
      </c>
      <c r="BI535" s="166">
        <v>0</v>
      </c>
      <c r="BJ535" s="166">
        <v>0</v>
      </c>
      <c r="BK535" s="166">
        <v>0</v>
      </c>
      <c r="BL535" s="166">
        <v>0</v>
      </c>
      <c r="BM535" s="166">
        <v>0</v>
      </c>
      <c r="BN535" s="166">
        <v>0</v>
      </c>
      <c r="BO535" s="166">
        <v>0</v>
      </c>
      <c r="BP535" s="166">
        <v>0</v>
      </c>
      <c r="BQ535" s="81" t="s">
        <v>1757</v>
      </c>
      <c r="BZ535" s="81" t="s">
        <v>155</v>
      </c>
      <c r="CA535" s="81" t="s">
        <v>3976</v>
      </c>
      <c r="CC535" s="167">
        <v>0</v>
      </c>
      <c r="CD535" s="167">
        <f>N535</f>
        <v>1</v>
      </c>
      <c r="CE535" s="167">
        <v>0</v>
      </c>
      <c r="CF535" s="167">
        <v>0</v>
      </c>
      <c r="CG535" s="167">
        <v>0</v>
      </c>
      <c r="CH535" s="167">
        <v>0</v>
      </c>
      <c r="CI535" s="167">
        <v>0</v>
      </c>
      <c r="CJ535" s="167">
        <v>0</v>
      </c>
      <c r="CK535" s="167">
        <v>0</v>
      </c>
      <c r="CL535" s="167">
        <v>0</v>
      </c>
      <c r="CM535" s="167">
        <v>0</v>
      </c>
      <c r="CN535" s="167">
        <v>0</v>
      </c>
      <c r="CO535" s="167">
        <v>0</v>
      </c>
      <c r="CP535" s="167">
        <v>0</v>
      </c>
      <c r="CQ535" s="167">
        <v>0</v>
      </c>
      <c r="CR535" s="167">
        <v>0</v>
      </c>
      <c r="CS535" s="167">
        <v>0</v>
      </c>
      <c r="CT535" s="167">
        <v>0</v>
      </c>
      <c r="CU535" s="167">
        <v>0</v>
      </c>
      <c r="CV535" s="167">
        <v>0</v>
      </c>
      <c r="CW535" s="167">
        <v>0</v>
      </c>
      <c r="CX535" s="167">
        <f>SUM(CD535:CH535)</f>
        <v>1</v>
      </c>
      <c r="CY535" s="167">
        <f>SUM(CD535:CM535)</f>
        <v>1</v>
      </c>
    </row>
    <row r="536" spans="1:103" ht="12.75" customHeight="1" x14ac:dyDescent="0.2">
      <c r="A536" s="81">
        <v>5777</v>
      </c>
      <c r="B536" s="165" t="s">
        <v>1908</v>
      </c>
      <c r="C536" s="165" t="s">
        <v>95</v>
      </c>
      <c r="E536" s="165" t="s">
        <v>3408</v>
      </c>
      <c r="G536" s="81">
        <v>529591</v>
      </c>
      <c r="H536" s="81">
        <v>176818</v>
      </c>
      <c r="I536" s="165" t="s">
        <v>240</v>
      </c>
      <c r="J536" s="349">
        <v>42094</v>
      </c>
      <c r="L536" s="166">
        <v>0</v>
      </c>
      <c r="M536" s="166">
        <v>20</v>
      </c>
      <c r="N536" s="166">
        <v>20</v>
      </c>
      <c r="O536" s="166">
        <v>20</v>
      </c>
      <c r="P536" s="166">
        <v>20</v>
      </c>
      <c r="Q536" s="81" t="s">
        <v>155</v>
      </c>
      <c r="R536" s="165" t="s">
        <v>1121</v>
      </c>
      <c r="S536" s="81" t="s">
        <v>113</v>
      </c>
      <c r="T536" s="349">
        <v>41970</v>
      </c>
      <c r="U536" s="349">
        <v>42031</v>
      </c>
      <c r="W536" s="81" t="s">
        <v>114</v>
      </c>
      <c r="Y536" s="81" t="s">
        <v>115</v>
      </c>
      <c r="Z536" s="81" t="s">
        <v>116</v>
      </c>
      <c r="AA536" s="81" t="s">
        <v>116</v>
      </c>
      <c r="AB536" s="81" t="s">
        <v>117</v>
      </c>
      <c r="AC536" s="166">
        <v>0.13400000333786</v>
      </c>
      <c r="AD536" s="349">
        <v>42094</v>
      </c>
      <c r="AG536" s="81" t="s">
        <v>154</v>
      </c>
      <c r="AH536" s="81" t="s">
        <v>312</v>
      </c>
      <c r="AK536" s="166">
        <v>2</v>
      </c>
      <c r="AM536" s="166">
        <v>20</v>
      </c>
      <c r="AO536" s="166">
        <v>0</v>
      </c>
      <c r="AP536" s="166">
        <v>6</v>
      </c>
      <c r="AQ536" s="166">
        <v>9</v>
      </c>
      <c r="AR536" s="166">
        <v>5</v>
      </c>
      <c r="AS536" s="166">
        <v>0</v>
      </c>
      <c r="AT536" s="166">
        <v>0</v>
      </c>
      <c r="AU536" s="166">
        <v>0</v>
      </c>
      <c r="AV536" s="166">
        <v>0</v>
      </c>
      <c r="AW536" s="166">
        <v>6</v>
      </c>
      <c r="AX536" s="166">
        <v>9</v>
      </c>
      <c r="AY536" s="166">
        <v>5</v>
      </c>
      <c r="AZ536" s="166">
        <v>0</v>
      </c>
      <c r="BA536" s="166">
        <v>0</v>
      </c>
      <c r="BB536" s="166">
        <v>0</v>
      </c>
      <c r="BC536" s="166">
        <v>0</v>
      </c>
      <c r="BD536" s="166">
        <v>0</v>
      </c>
      <c r="BE536" s="166">
        <v>0</v>
      </c>
      <c r="BF536" s="166">
        <v>0</v>
      </c>
      <c r="BG536" s="166">
        <v>0</v>
      </c>
      <c r="BH536" s="166">
        <v>0</v>
      </c>
      <c r="BI536" s="166">
        <v>0</v>
      </c>
      <c r="BJ536" s="166">
        <v>0</v>
      </c>
      <c r="BK536" s="166">
        <v>0</v>
      </c>
      <c r="BL536" s="166">
        <v>0</v>
      </c>
      <c r="BM536" s="166">
        <v>0</v>
      </c>
      <c r="BN536" s="166">
        <v>0</v>
      </c>
      <c r="BO536" s="166">
        <v>0</v>
      </c>
      <c r="BP536" s="166">
        <v>0</v>
      </c>
      <c r="BQ536" s="81" t="s">
        <v>1759</v>
      </c>
      <c r="BS536" s="81" t="s">
        <v>155</v>
      </c>
      <c r="BZ536" s="81" t="s">
        <v>155</v>
      </c>
      <c r="CA536" s="81">
        <v>12</v>
      </c>
      <c r="CC536" s="167">
        <v>0</v>
      </c>
      <c r="CD536" s="167">
        <f>N536</f>
        <v>20</v>
      </c>
      <c r="CE536" s="167">
        <v>0</v>
      </c>
      <c r="CF536" s="167">
        <v>0</v>
      </c>
      <c r="CG536" s="167">
        <v>0</v>
      </c>
      <c r="CH536" s="167">
        <v>0</v>
      </c>
      <c r="CI536" s="167">
        <v>0</v>
      </c>
      <c r="CJ536" s="167">
        <v>0</v>
      </c>
      <c r="CK536" s="167">
        <v>0</v>
      </c>
      <c r="CL536" s="167">
        <v>0</v>
      </c>
      <c r="CM536" s="167">
        <v>0</v>
      </c>
      <c r="CN536" s="167">
        <v>0</v>
      </c>
      <c r="CO536" s="167">
        <v>0</v>
      </c>
      <c r="CP536" s="167">
        <v>0</v>
      </c>
      <c r="CQ536" s="167">
        <v>0</v>
      </c>
      <c r="CR536" s="167">
        <v>0</v>
      </c>
      <c r="CS536" s="167">
        <v>0</v>
      </c>
      <c r="CT536" s="167">
        <v>0</v>
      </c>
      <c r="CU536" s="167">
        <v>0</v>
      </c>
      <c r="CV536" s="167">
        <v>0</v>
      </c>
      <c r="CW536" s="167">
        <v>0</v>
      </c>
      <c r="CX536" s="167">
        <f>SUM(CD536:CH536)</f>
        <v>20</v>
      </c>
      <c r="CY536" s="167">
        <f>SUM(CD536:CM536)</f>
        <v>20</v>
      </c>
    </row>
    <row r="537" spans="1:103" ht="12.75" customHeight="1" x14ac:dyDescent="0.2">
      <c r="A537" s="81">
        <v>5782</v>
      </c>
      <c r="B537" s="165" t="s">
        <v>1908</v>
      </c>
      <c r="C537" s="165" t="s">
        <v>123</v>
      </c>
      <c r="D537" s="165" t="s">
        <v>778</v>
      </c>
      <c r="E537" s="165" t="s">
        <v>3378</v>
      </c>
      <c r="F537" s="165" t="s">
        <v>1761</v>
      </c>
      <c r="G537" s="81">
        <v>528822</v>
      </c>
      <c r="H537" s="81">
        <v>176878</v>
      </c>
      <c r="I537" s="165" t="s">
        <v>240</v>
      </c>
      <c r="J537" s="349">
        <v>42261</v>
      </c>
      <c r="L537" s="166">
        <v>0</v>
      </c>
      <c r="M537" s="166">
        <v>144</v>
      </c>
      <c r="N537" s="166">
        <v>144</v>
      </c>
      <c r="O537" s="166">
        <v>290</v>
      </c>
      <c r="P537" s="166">
        <v>290</v>
      </c>
      <c r="Q537" s="81" t="s">
        <v>155</v>
      </c>
      <c r="R537" s="165" t="s">
        <v>3379</v>
      </c>
      <c r="S537" s="81" t="s">
        <v>104</v>
      </c>
      <c r="T537" s="349">
        <v>41855</v>
      </c>
      <c r="U537" s="349">
        <v>42075</v>
      </c>
      <c r="W537" s="81" t="s">
        <v>114</v>
      </c>
      <c r="Y537" s="81" t="s">
        <v>115</v>
      </c>
      <c r="Z537" s="81" t="s">
        <v>398</v>
      </c>
      <c r="AA537" s="81" t="s">
        <v>116</v>
      </c>
      <c r="AB537" s="81" t="s">
        <v>117</v>
      </c>
      <c r="AC537" s="166">
        <v>0.80900001525878895</v>
      </c>
      <c r="AD537" s="349">
        <v>42261</v>
      </c>
      <c r="AG537" s="81" t="s">
        <v>238</v>
      </c>
      <c r="AH537" s="81" t="s">
        <v>118</v>
      </c>
      <c r="AI537" s="81" t="s">
        <v>2863</v>
      </c>
      <c r="AK537" s="166">
        <v>230</v>
      </c>
      <c r="AM537" s="166">
        <v>23</v>
      </c>
      <c r="AO537" s="166">
        <v>0</v>
      </c>
      <c r="AP537" s="166">
        <v>36</v>
      </c>
      <c r="AQ537" s="166">
        <v>91</v>
      </c>
      <c r="AR537" s="166">
        <v>16</v>
      </c>
      <c r="AS537" s="166">
        <v>1</v>
      </c>
      <c r="AT537" s="166">
        <v>0</v>
      </c>
      <c r="AU537" s="166">
        <v>0</v>
      </c>
      <c r="AV537" s="166">
        <v>0</v>
      </c>
      <c r="AW537" s="166">
        <v>36</v>
      </c>
      <c r="AX537" s="166">
        <v>91</v>
      </c>
      <c r="AY537" s="166">
        <v>16</v>
      </c>
      <c r="AZ537" s="166">
        <v>1</v>
      </c>
      <c r="BA537" s="166">
        <v>0</v>
      </c>
      <c r="BB537" s="166">
        <v>0</v>
      </c>
      <c r="BC537" s="166">
        <v>0</v>
      </c>
      <c r="BD537" s="166">
        <v>0</v>
      </c>
      <c r="BE537" s="166">
        <v>0</v>
      </c>
      <c r="BF537" s="166">
        <v>0</v>
      </c>
      <c r="BG537" s="166">
        <v>0</v>
      </c>
      <c r="BH537" s="166">
        <v>0</v>
      </c>
      <c r="BI537" s="166">
        <v>0</v>
      </c>
      <c r="BJ537" s="166">
        <v>0</v>
      </c>
      <c r="BK537" s="166">
        <v>0</v>
      </c>
      <c r="BL537" s="166">
        <v>0</v>
      </c>
      <c r="BM537" s="166">
        <v>0</v>
      </c>
      <c r="BN537" s="166">
        <v>0</v>
      </c>
      <c r="BO537" s="166">
        <v>0</v>
      </c>
      <c r="BP537" s="166">
        <v>0</v>
      </c>
      <c r="BQ537" s="81" t="s">
        <v>1759</v>
      </c>
      <c r="BS537" s="81" t="s">
        <v>155</v>
      </c>
      <c r="BZ537" s="81" t="s">
        <v>155</v>
      </c>
      <c r="CA537" s="81">
        <v>12</v>
      </c>
      <c r="CC537" s="167">
        <v>0</v>
      </c>
      <c r="CD537" s="167">
        <v>76</v>
      </c>
      <c r="CE537" s="167">
        <v>68</v>
      </c>
      <c r="CF537" s="167">
        <v>0</v>
      </c>
      <c r="CG537" s="167">
        <v>0</v>
      </c>
      <c r="CH537" s="167">
        <v>0</v>
      </c>
      <c r="CI537" s="167">
        <v>0</v>
      </c>
      <c r="CJ537" s="167">
        <v>0</v>
      </c>
      <c r="CK537" s="167">
        <v>0</v>
      </c>
      <c r="CL537" s="167">
        <v>0</v>
      </c>
      <c r="CM537" s="167">
        <v>0</v>
      </c>
      <c r="CN537" s="167">
        <v>0</v>
      </c>
      <c r="CO537" s="167">
        <v>0</v>
      </c>
      <c r="CP537" s="167">
        <v>0</v>
      </c>
      <c r="CQ537" s="167">
        <v>0</v>
      </c>
      <c r="CR537" s="167">
        <v>0</v>
      </c>
      <c r="CS537" s="167">
        <v>0</v>
      </c>
      <c r="CT537" s="167">
        <v>0</v>
      </c>
      <c r="CU537" s="167">
        <v>0</v>
      </c>
      <c r="CV537" s="167">
        <v>0</v>
      </c>
      <c r="CW537" s="167">
        <v>0</v>
      </c>
      <c r="CX537" s="167">
        <f>SUM(CD537:CH537)</f>
        <v>144</v>
      </c>
      <c r="CY537" s="167">
        <f>SUM(CD537:CM537)</f>
        <v>144</v>
      </c>
    </row>
    <row r="538" spans="1:103" ht="12.75" customHeight="1" x14ac:dyDescent="0.2">
      <c r="A538" s="81">
        <v>5782</v>
      </c>
      <c r="B538" s="165" t="s">
        <v>1908</v>
      </c>
      <c r="C538" s="165" t="s">
        <v>123</v>
      </c>
      <c r="D538" s="165" t="s">
        <v>778</v>
      </c>
      <c r="E538" s="165" t="s">
        <v>3378</v>
      </c>
      <c r="F538" s="165" t="s">
        <v>1761</v>
      </c>
      <c r="G538" s="81">
        <v>528822</v>
      </c>
      <c r="H538" s="81">
        <v>176878</v>
      </c>
      <c r="I538" s="165" t="s">
        <v>240</v>
      </c>
      <c r="J538" s="349">
        <v>42261</v>
      </c>
      <c r="L538" s="166">
        <v>0</v>
      </c>
      <c r="M538" s="166">
        <v>20</v>
      </c>
      <c r="N538" s="166">
        <v>20</v>
      </c>
      <c r="O538" s="166">
        <v>290</v>
      </c>
      <c r="P538" s="166">
        <v>290</v>
      </c>
      <c r="Q538" s="81" t="s">
        <v>155</v>
      </c>
      <c r="R538" s="165" t="s">
        <v>3379</v>
      </c>
      <c r="S538" s="81" t="s">
        <v>104</v>
      </c>
      <c r="T538" s="349">
        <v>41855</v>
      </c>
      <c r="U538" s="349">
        <v>42075</v>
      </c>
      <c r="W538" s="81" t="s">
        <v>114</v>
      </c>
      <c r="Y538" s="81" t="s">
        <v>115</v>
      </c>
      <c r="Z538" s="81" t="s">
        <v>398</v>
      </c>
      <c r="AA538" s="81" t="s">
        <v>116</v>
      </c>
      <c r="AB538" s="81" t="s">
        <v>117</v>
      </c>
      <c r="AC538" s="166">
        <v>0.104999996721745</v>
      </c>
      <c r="AD538" s="349">
        <v>42261</v>
      </c>
      <c r="AG538" s="81" t="s">
        <v>74</v>
      </c>
      <c r="AH538" s="81" t="s">
        <v>1913</v>
      </c>
      <c r="AI538" s="81" t="s">
        <v>2863</v>
      </c>
      <c r="AK538" s="166">
        <v>30</v>
      </c>
      <c r="AM538" s="166">
        <v>3</v>
      </c>
      <c r="AO538" s="166">
        <v>2</v>
      </c>
      <c r="AP538" s="166">
        <v>1</v>
      </c>
      <c r="AQ538" s="166">
        <v>13</v>
      </c>
      <c r="AR538" s="166">
        <v>4</v>
      </c>
      <c r="AS538" s="166">
        <v>0</v>
      </c>
      <c r="AT538" s="166">
        <v>0</v>
      </c>
      <c r="AU538" s="166">
        <v>0</v>
      </c>
      <c r="AV538" s="166">
        <v>2</v>
      </c>
      <c r="AW538" s="166">
        <v>1</v>
      </c>
      <c r="AX538" s="166">
        <v>13</v>
      </c>
      <c r="AY538" s="166">
        <v>4</v>
      </c>
      <c r="AZ538" s="166">
        <v>0</v>
      </c>
      <c r="BA538" s="166">
        <v>0</v>
      </c>
      <c r="BB538" s="166">
        <v>0</v>
      </c>
      <c r="BC538" s="166">
        <v>0</v>
      </c>
      <c r="BD538" s="166">
        <v>0</v>
      </c>
      <c r="BE538" s="166">
        <v>0</v>
      </c>
      <c r="BF538" s="166">
        <v>0</v>
      </c>
      <c r="BG538" s="166">
        <v>0</v>
      </c>
      <c r="BH538" s="166">
        <v>0</v>
      </c>
      <c r="BI538" s="166">
        <v>0</v>
      </c>
      <c r="BJ538" s="166">
        <v>0</v>
      </c>
      <c r="BK538" s="166">
        <v>0</v>
      </c>
      <c r="BL538" s="166">
        <v>0</v>
      </c>
      <c r="BM538" s="166">
        <v>0</v>
      </c>
      <c r="BN538" s="166">
        <v>0</v>
      </c>
      <c r="BO538" s="166">
        <v>0</v>
      </c>
      <c r="BP538" s="166">
        <v>0</v>
      </c>
      <c r="BQ538" s="81" t="s">
        <v>1759</v>
      </c>
      <c r="BS538" s="81" t="s">
        <v>155</v>
      </c>
      <c r="BZ538" s="81" t="s">
        <v>155</v>
      </c>
      <c r="CA538" s="81">
        <v>12</v>
      </c>
      <c r="CC538" s="167">
        <v>0</v>
      </c>
      <c r="CD538" s="167">
        <f>N538</f>
        <v>20</v>
      </c>
      <c r="CE538" s="167">
        <v>0</v>
      </c>
      <c r="CF538" s="167">
        <v>0</v>
      </c>
      <c r="CG538" s="167">
        <v>0</v>
      </c>
      <c r="CH538" s="167">
        <v>0</v>
      </c>
      <c r="CI538" s="167">
        <v>0</v>
      </c>
      <c r="CJ538" s="167">
        <v>0</v>
      </c>
      <c r="CK538" s="167">
        <v>0</v>
      </c>
      <c r="CL538" s="167">
        <v>0</v>
      </c>
      <c r="CM538" s="167">
        <v>0</v>
      </c>
      <c r="CN538" s="167">
        <v>0</v>
      </c>
      <c r="CO538" s="167">
        <v>0</v>
      </c>
      <c r="CP538" s="167">
        <v>0</v>
      </c>
      <c r="CQ538" s="167">
        <v>0</v>
      </c>
      <c r="CR538" s="167">
        <v>0</v>
      </c>
      <c r="CS538" s="167">
        <v>0</v>
      </c>
      <c r="CT538" s="167">
        <v>0</v>
      </c>
      <c r="CU538" s="167">
        <v>0</v>
      </c>
      <c r="CV538" s="167">
        <v>0</v>
      </c>
      <c r="CW538" s="167">
        <v>0</v>
      </c>
      <c r="CX538" s="167">
        <f>SUM(CD538:CH538)</f>
        <v>20</v>
      </c>
      <c r="CY538" s="167">
        <f>SUM(CD538:CM538)</f>
        <v>20</v>
      </c>
    </row>
    <row r="539" spans="1:103" ht="12.75" customHeight="1" x14ac:dyDescent="0.2">
      <c r="A539" s="81">
        <v>5782</v>
      </c>
      <c r="B539" s="165" t="s">
        <v>1908</v>
      </c>
      <c r="C539" s="165" t="s">
        <v>123</v>
      </c>
      <c r="D539" s="165" t="s">
        <v>778</v>
      </c>
      <c r="E539" s="165" t="s">
        <v>3378</v>
      </c>
      <c r="F539" s="165" t="s">
        <v>1761</v>
      </c>
      <c r="G539" s="81">
        <v>528822</v>
      </c>
      <c r="H539" s="81">
        <v>176878</v>
      </c>
      <c r="I539" s="165" t="s">
        <v>240</v>
      </c>
      <c r="J539" s="349">
        <v>42261</v>
      </c>
      <c r="L539" s="166">
        <v>0</v>
      </c>
      <c r="M539" s="166">
        <v>7</v>
      </c>
      <c r="N539" s="166">
        <v>7</v>
      </c>
      <c r="O539" s="166">
        <v>290</v>
      </c>
      <c r="P539" s="166">
        <v>290</v>
      </c>
      <c r="Q539" s="81" t="s">
        <v>155</v>
      </c>
      <c r="R539" s="165" t="s">
        <v>3379</v>
      </c>
      <c r="S539" s="81" t="s">
        <v>104</v>
      </c>
      <c r="T539" s="349">
        <v>41855</v>
      </c>
      <c r="U539" s="349">
        <v>42075</v>
      </c>
      <c r="W539" s="81" t="s">
        <v>114</v>
      </c>
      <c r="Y539" s="81" t="s">
        <v>115</v>
      </c>
      <c r="Z539" s="81" t="s">
        <v>398</v>
      </c>
      <c r="AA539" s="81" t="s">
        <v>116</v>
      </c>
      <c r="AB539" s="81" t="s">
        <v>117</v>
      </c>
      <c r="AC539" s="166">
        <v>0.104999996721745</v>
      </c>
      <c r="AD539" s="349">
        <v>42261</v>
      </c>
      <c r="AG539" s="81" t="s">
        <v>154</v>
      </c>
      <c r="AH539" s="81" t="s">
        <v>276</v>
      </c>
      <c r="AI539" s="81" t="s">
        <v>2863</v>
      </c>
      <c r="AK539" s="166">
        <v>30</v>
      </c>
      <c r="AM539" s="166">
        <v>3</v>
      </c>
      <c r="AO539" s="166">
        <v>0</v>
      </c>
      <c r="AP539" s="166">
        <v>0</v>
      </c>
      <c r="AQ539" s="166">
        <v>4</v>
      </c>
      <c r="AR539" s="166">
        <v>1</v>
      </c>
      <c r="AS539" s="166">
        <v>2</v>
      </c>
      <c r="AT539" s="166">
        <v>0</v>
      </c>
      <c r="AU539" s="166">
        <v>0</v>
      </c>
      <c r="AV539" s="166">
        <v>0</v>
      </c>
      <c r="AW539" s="166">
        <v>0</v>
      </c>
      <c r="AX539" s="166">
        <v>4</v>
      </c>
      <c r="AY539" s="166">
        <v>1</v>
      </c>
      <c r="AZ539" s="166">
        <v>2</v>
      </c>
      <c r="BA539" s="166">
        <v>0</v>
      </c>
      <c r="BB539" s="166">
        <v>0</v>
      </c>
      <c r="BC539" s="166">
        <v>0</v>
      </c>
      <c r="BD539" s="166">
        <v>0</v>
      </c>
      <c r="BE539" s="166">
        <v>0</v>
      </c>
      <c r="BF539" s="166">
        <v>0</v>
      </c>
      <c r="BG539" s="166">
        <v>0</v>
      </c>
      <c r="BH539" s="166">
        <v>0</v>
      </c>
      <c r="BI539" s="166">
        <v>0</v>
      </c>
      <c r="BJ539" s="166">
        <v>0</v>
      </c>
      <c r="BK539" s="166">
        <v>0</v>
      </c>
      <c r="BL539" s="166">
        <v>0</v>
      </c>
      <c r="BM539" s="166">
        <v>0</v>
      </c>
      <c r="BN539" s="166">
        <v>0</v>
      </c>
      <c r="BO539" s="166">
        <v>0</v>
      </c>
      <c r="BP539" s="166">
        <v>0</v>
      </c>
      <c r="BQ539" s="81" t="s">
        <v>1759</v>
      </c>
      <c r="BS539" s="81" t="s">
        <v>155</v>
      </c>
      <c r="BZ539" s="81" t="s">
        <v>155</v>
      </c>
      <c r="CA539" s="81">
        <v>12</v>
      </c>
      <c r="CC539" s="167">
        <v>0</v>
      </c>
      <c r="CD539" s="167">
        <v>5</v>
      </c>
      <c r="CE539" s="167">
        <v>2</v>
      </c>
      <c r="CF539" s="167">
        <v>0</v>
      </c>
      <c r="CG539" s="167">
        <v>0</v>
      </c>
      <c r="CH539" s="167">
        <v>0</v>
      </c>
      <c r="CI539" s="167">
        <v>0</v>
      </c>
      <c r="CJ539" s="167">
        <v>0</v>
      </c>
      <c r="CK539" s="167">
        <v>0</v>
      </c>
      <c r="CL539" s="167">
        <v>0</v>
      </c>
      <c r="CM539" s="167">
        <v>0</v>
      </c>
      <c r="CN539" s="167">
        <v>0</v>
      </c>
      <c r="CO539" s="167">
        <v>0</v>
      </c>
      <c r="CP539" s="167">
        <v>0</v>
      </c>
      <c r="CQ539" s="167">
        <v>0</v>
      </c>
      <c r="CR539" s="167">
        <v>0</v>
      </c>
      <c r="CS539" s="167">
        <v>0</v>
      </c>
      <c r="CT539" s="167">
        <v>0</v>
      </c>
      <c r="CU539" s="167">
        <v>0</v>
      </c>
      <c r="CV539" s="167">
        <v>0</v>
      </c>
      <c r="CW539" s="167">
        <v>0</v>
      </c>
      <c r="CX539" s="167">
        <f>SUM(CD539:CH539)</f>
        <v>7</v>
      </c>
      <c r="CY539" s="167">
        <f>SUM(CD539:CM539)</f>
        <v>7</v>
      </c>
    </row>
    <row r="540" spans="1:103" ht="12.75" customHeight="1" x14ac:dyDescent="0.2">
      <c r="A540" s="81">
        <v>5793</v>
      </c>
      <c r="B540" s="165" t="s">
        <v>1908</v>
      </c>
      <c r="C540" s="165" t="s">
        <v>449</v>
      </c>
      <c r="E540" s="165" t="s">
        <v>3409</v>
      </c>
      <c r="F540" s="165" t="s">
        <v>450</v>
      </c>
      <c r="G540" s="81">
        <v>525347</v>
      </c>
      <c r="H540" s="81">
        <v>175071</v>
      </c>
      <c r="I540" s="165" t="s">
        <v>259</v>
      </c>
      <c r="J540" s="349">
        <v>42825</v>
      </c>
      <c r="L540" s="166">
        <v>0</v>
      </c>
      <c r="M540" s="166">
        <v>5</v>
      </c>
      <c r="N540" s="166">
        <v>5</v>
      </c>
      <c r="O540" s="166">
        <v>85</v>
      </c>
      <c r="P540" s="166">
        <v>85</v>
      </c>
      <c r="Q540" s="81" t="s">
        <v>155</v>
      </c>
      <c r="R540" s="165" t="s">
        <v>900</v>
      </c>
      <c r="S540" s="81" t="s">
        <v>104</v>
      </c>
      <c r="T540" s="349">
        <v>41969</v>
      </c>
      <c r="U540" s="349">
        <v>42264</v>
      </c>
      <c r="W540" s="81" t="s">
        <v>114</v>
      </c>
      <c r="Y540" s="81" t="s">
        <v>115</v>
      </c>
      <c r="Z540" s="81" t="s">
        <v>116</v>
      </c>
      <c r="AA540" s="81" t="s">
        <v>116</v>
      </c>
      <c r="AB540" s="81" t="s">
        <v>117</v>
      </c>
      <c r="AC540" s="166">
        <v>1.30000002682209E-2</v>
      </c>
      <c r="AD540" s="349">
        <v>42825</v>
      </c>
      <c r="AG540" s="81" t="s">
        <v>238</v>
      </c>
      <c r="AH540" s="81" t="s">
        <v>118</v>
      </c>
      <c r="AK540" s="166">
        <v>5</v>
      </c>
      <c r="AM540" s="166">
        <v>1</v>
      </c>
      <c r="AO540" s="166">
        <v>0</v>
      </c>
      <c r="AP540" s="166">
        <v>0</v>
      </c>
      <c r="AQ540" s="166">
        <v>5</v>
      </c>
      <c r="AR540" s="166">
        <v>0</v>
      </c>
      <c r="AS540" s="166">
        <v>0</v>
      </c>
      <c r="AT540" s="166">
        <v>0</v>
      </c>
      <c r="AU540" s="166">
        <v>0</v>
      </c>
      <c r="AV540" s="166">
        <v>0</v>
      </c>
      <c r="AW540" s="166">
        <v>0</v>
      </c>
      <c r="AX540" s="166">
        <v>5</v>
      </c>
      <c r="AY540" s="166">
        <v>0</v>
      </c>
      <c r="AZ540" s="166">
        <v>0</v>
      </c>
      <c r="BA540" s="166">
        <v>0</v>
      </c>
      <c r="BB540" s="166">
        <v>0</v>
      </c>
      <c r="BC540" s="166">
        <v>0</v>
      </c>
      <c r="BD540" s="166">
        <v>0</v>
      </c>
      <c r="BE540" s="166">
        <v>0</v>
      </c>
      <c r="BF540" s="166">
        <v>0</v>
      </c>
      <c r="BG540" s="166">
        <v>0</v>
      </c>
      <c r="BH540" s="166">
        <v>0</v>
      </c>
      <c r="BI540" s="166">
        <v>0</v>
      </c>
      <c r="BJ540" s="166">
        <v>0</v>
      </c>
      <c r="BK540" s="166">
        <v>0</v>
      </c>
      <c r="BL540" s="166">
        <v>0</v>
      </c>
      <c r="BM540" s="166">
        <v>0</v>
      </c>
      <c r="BN540" s="166">
        <v>0</v>
      </c>
      <c r="BO540" s="166">
        <v>0</v>
      </c>
      <c r="BP540" s="166">
        <v>0</v>
      </c>
      <c r="BQ540" s="81" t="s">
        <v>1758</v>
      </c>
      <c r="BT540" s="81" t="s">
        <v>155</v>
      </c>
      <c r="BZ540" s="81" t="s">
        <v>155</v>
      </c>
      <c r="CA540" s="81" t="s">
        <v>3934</v>
      </c>
      <c r="CC540" s="167">
        <v>0</v>
      </c>
      <c r="CD540" s="167">
        <v>0</v>
      </c>
      <c r="CE540" s="167">
        <f>N540</f>
        <v>5</v>
      </c>
      <c r="CF540" s="167">
        <v>0</v>
      </c>
      <c r="CG540" s="167">
        <v>0</v>
      </c>
      <c r="CH540" s="167">
        <v>0</v>
      </c>
      <c r="CI540" s="167">
        <v>0</v>
      </c>
      <c r="CJ540" s="167">
        <v>0</v>
      </c>
      <c r="CK540" s="167">
        <v>0</v>
      </c>
      <c r="CL540" s="167">
        <v>0</v>
      </c>
      <c r="CM540" s="167">
        <v>0</v>
      </c>
      <c r="CN540" s="167">
        <v>0</v>
      </c>
      <c r="CO540" s="167">
        <v>0</v>
      </c>
      <c r="CP540" s="167">
        <v>0</v>
      </c>
      <c r="CQ540" s="167">
        <v>0</v>
      </c>
      <c r="CR540" s="167">
        <v>0</v>
      </c>
      <c r="CS540" s="167">
        <v>0</v>
      </c>
      <c r="CT540" s="167">
        <v>0</v>
      </c>
      <c r="CU540" s="167">
        <v>0</v>
      </c>
      <c r="CV540" s="167">
        <v>0</v>
      </c>
      <c r="CW540" s="167">
        <v>0</v>
      </c>
      <c r="CX540" s="167">
        <f>SUM(CD540:CH540)</f>
        <v>5</v>
      </c>
      <c r="CY540" s="167">
        <f>SUM(CD540:CM540)</f>
        <v>5</v>
      </c>
    </row>
    <row r="541" spans="1:103" ht="12.75" customHeight="1" x14ac:dyDescent="0.2">
      <c r="A541" s="81">
        <v>5793</v>
      </c>
      <c r="B541" s="165" t="s">
        <v>1908</v>
      </c>
      <c r="C541" s="165" t="s">
        <v>449</v>
      </c>
      <c r="E541" s="165" t="s">
        <v>3409</v>
      </c>
      <c r="F541" s="165" t="s">
        <v>451</v>
      </c>
      <c r="G541" s="81">
        <v>525347</v>
      </c>
      <c r="H541" s="81">
        <v>175071</v>
      </c>
      <c r="I541" s="165" t="s">
        <v>259</v>
      </c>
      <c r="J541" s="349">
        <v>42825</v>
      </c>
      <c r="L541" s="166">
        <v>0</v>
      </c>
      <c r="M541" s="166">
        <v>1</v>
      </c>
      <c r="N541" s="166">
        <v>1</v>
      </c>
      <c r="O541" s="166">
        <v>85</v>
      </c>
      <c r="P541" s="166">
        <v>85</v>
      </c>
      <c r="Q541" s="81" t="s">
        <v>155</v>
      </c>
      <c r="R541" s="165" t="s">
        <v>900</v>
      </c>
      <c r="S541" s="81" t="s">
        <v>104</v>
      </c>
      <c r="T541" s="349">
        <v>41969</v>
      </c>
      <c r="U541" s="349">
        <v>42264</v>
      </c>
      <c r="W541" s="81" t="s">
        <v>114</v>
      </c>
      <c r="Y541" s="81" t="s">
        <v>115</v>
      </c>
      <c r="Z541" s="81" t="s">
        <v>116</v>
      </c>
      <c r="AA541" s="81" t="s">
        <v>116</v>
      </c>
      <c r="AB541" s="81" t="s">
        <v>117</v>
      </c>
      <c r="AC541" s="166">
        <v>3.0000000260770299E-3</v>
      </c>
      <c r="AD541" s="349">
        <v>42825</v>
      </c>
      <c r="AG541" s="81" t="s">
        <v>74</v>
      </c>
      <c r="AH541" s="81" t="s">
        <v>1913</v>
      </c>
      <c r="AK541" s="166">
        <v>1</v>
      </c>
      <c r="AM541" s="166">
        <v>1</v>
      </c>
      <c r="AO541" s="166">
        <v>0</v>
      </c>
      <c r="AP541" s="166">
        <v>1</v>
      </c>
      <c r="AQ541" s="166">
        <v>0</v>
      </c>
      <c r="AR541" s="166">
        <v>0</v>
      </c>
      <c r="AS541" s="166">
        <v>0</v>
      </c>
      <c r="AT541" s="166">
        <v>0</v>
      </c>
      <c r="AU541" s="166">
        <v>0</v>
      </c>
      <c r="AV541" s="166">
        <v>0</v>
      </c>
      <c r="AW541" s="166">
        <v>1</v>
      </c>
      <c r="AX541" s="166">
        <v>0</v>
      </c>
      <c r="AY541" s="166">
        <v>0</v>
      </c>
      <c r="AZ541" s="166">
        <v>0</v>
      </c>
      <c r="BA541" s="166">
        <v>0</v>
      </c>
      <c r="BB541" s="166">
        <v>0</v>
      </c>
      <c r="BC541" s="166">
        <v>0</v>
      </c>
      <c r="BD541" s="166">
        <v>0</v>
      </c>
      <c r="BE541" s="166">
        <v>0</v>
      </c>
      <c r="BF541" s="166">
        <v>0</v>
      </c>
      <c r="BG541" s="166">
        <v>0</v>
      </c>
      <c r="BH541" s="166">
        <v>0</v>
      </c>
      <c r="BI541" s="166">
        <v>0</v>
      </c>
      <c r="BJ541" s="166">
        <v>0</v>
      </c>
      <c r="BK541" s="166">
        <v>0</v>
      </c>
      <c r="BL541" s="166">
        <v>0</v>
      </c>
      <c r="BM541" s="166">
        <v>0</v>
      </c>
      <c r="BN541" s="166">
        <v>0</v>
      </c>
      <c r="BO541" s="166">
        <v>0</v>
      </c>
      <c r="BP541" s="166">
        <v>0</v>
      </c>
      <c r="BQ541" s="81" t="s">
        <v>1758</v>
      </c>
      <c r="BT541" s="81" t="s">
        <v>155</v>
      </c>
      <c r="BZ541" s="81" t="s">
        <v>155</v>
      </c>
      <c r="CA541" s="81" t="s">
        <v>3934</v>
      </c>
      <c r="CC541" s="167">
        <v>0</v>
      </c>
      <c r="CD541" s="167">
        <v>0</v>
      </c>
      <c r="CE541" s="167">
        <f>N541</f>
        <v>1</v>
      </c>
      <c r="CF541" s="167">
        <v>0</v>
      </c>
      <c r="CG541" s="167">
        <v>0</v>
      </c>
      <c r="CH541" s="167">
        <v>0</v>
      </c>
      <c r="CI541" s="167">
        <v>0</v>
      </c>
      <c r="CJ541" s="167">
        <v>0</v>
      </c>
      <c r="CK541" s="167">
        <v>0</v>
      </c>
      <c r="CL541" s="167">
        <v>0</v>
      </c>
      <c r="CM541" s="167">
        <v>0</v>
      </c>
      <c r="CN541" s="167">
        <v>0</v>
      </c>
      <c r="CO541" s="167">
        <v>0</v>
      </c>
      <c r="CP541" s="167">
        <v>0</v>
      </c>
      <c r="CQ541" s="167">
        <v>0</v>
      </c>
      <c r="CR541" s="167">
        <v>0</v>
      </c>
      <c r="CS541" s="167">
        <v>0</v>
      </c>
      <c r="CT541" s="167">
        <v>0</v>
      </c>
      <c r="CU541" s="167">
        <v>0</v>
      </c>
      <c r="CV541" s="167">
        <v>0</v>
      </c>
      <c r="CW541" s="167">
        <v>0</v>
      </c>
      <c r="CX541" s="167">
        <f>SUM(CD541:CH541)</f>
        <v>1</v>
      </c>
      <c r="CY541" s="167">
        <f>SUM(CD541:CM541)</f>
        <v>1</v>
      </c>
    </row>
    <row r="542" spans="1:103" ht="12.75" customHeight="1" x14ac:dyDescent="0.2">
      <c r="A542" s="81">
        <v>5793</v>
      </c>
      <c r="B542" s="165" t="s">
        <v>1908</v>
      </c>
      <c r="C542" s="165" t="s">
        <v>449</v>
      </c>
      <c r="E542" s="165" t="s">
        <v>3409</v>
      </c>
      <c r="F542" s="165" t="s">
        <v>452</v>
      </c>
      <c r="G542" s="81">
        <v>525347</v>
      </c>
      <c r="H542" s="81">
        <v>175071</v>
      </c>
      <c r="I542" s="165" t="s">
        <v>259</v>
      </c>
      <c r="J542" s="349">
        <v>42825</v>
      </c>
      <c r="L542" s="166">
        <v>0</v>
      </c>
      <c r="M542" s="166">
        <v>5</v>
      </c>
      <c r="N542" s="166">
        <v>5</v>
      </c>
      <c r="O542" s="166">
        <v>85</v>
      </c>
      <c r="P542" s="166">
        <v>85</v>
      </c>
      <c r="Q542" s="81" t="s">
        <v>155</v>
      </c>
      <c r="R542" s="165" t="s">
        <v>900</v>
      </c>
      <c r="S542" s="81" t="s">
        <v>104</v>
      </c>
      <c r="T542" s="349">
        <v>41969</v>
      </c>
      <c r="U542" s="349">
        <v>42264</v>
      </c>
      <c r="W542" s="81" t="s">
        <v>114</v>
      </c>
      <c r="Y542" s="81" t="s">
        <v>115</v>
      </c>
      <c r="Z542" s="81" t="s">
        <v>116</v>
      </c>
      <c r="AA542" s="81" t="s">
        <v>116</v>
      </c>
      <c r="AB542" s="81" t="s">
        <v>117</v>
      </c>
      <c r="AC542" s="166">
        <v>1.30000002682209E-2</v>
      </c>
      <c r="AD542" s="349">
        <v>42825</v>
      </c>
      <c r="AG542" s="81" t="s">
        <v>238</v>
      </c>
      <c r="AH542" s="81" t="s">
        <v>118</v>
      </c>
      <c r="AK542" s="166">
        <v>5</v>
      </c>
      <c r="AM542" s="166">
        <v>1</v>
      </c>
      <c r="AO542" s="166">
        <v>0</v>
      </c>
      <c r="AP542" s="166">
        <v>0</v>
      </c>
      <c r="AQ542" s="166">
        <v>5</v>
      </c>
      <c r="AR542" s="166">
        <v>0</v>
      </c>
      <c r="AS542" s="166">
        <v>0</v>
      </c>
      <c r="AT542" s="166">
        <v>0</v>
      </c>
      <c r="AU542" s="166">
        <v>0</v>
      </c>
      <c r="AV542" s="166">
        <v>0</v>
      </c>
      <c r="AW542" s="166">
        <v>0</v>
      </c>
      <c r="AX542" s="166">
        <v>5</v>
      </c>
      <c r="AY542" s="166">
        <v>0</v>
      </c>
      <c r="AZ542" s="166">
        <v>0</v>
      </c>
      <c r="BA542" s="166">
        <v>0</v>
      </c>
      <c r="BB542" s="166">
        <v>0</v>
      </c>
      <c r="BC542" s="166">
        <v>0</v>
      </c>
      <c r="BD542" s="166">
        <v>0</v>
      </c>
      <c r="BE542" s="166">
        <v>0</v>
      </c>
      <c r="BF542" s="166">
        <v>0</v>
      </c>
      <c r="BG542" s="166">
        <v>0</v>
      </c>
      <c r="BH542" s="166">
        <v>0</v>
      </c>
      <c r="BI542" s="166">
        <v>0</v>
      </c>
      <c r="BJ542" s="166">
        <v>0</v>
      </c>
      <c r="BK542" s="166">
        <v>0</v>
      </c>
      <c r="BL542" s="166">
        <v>0</v>
      </c>
      <c r="BM542" s="166">
        <v>0</v>
      </c>
      <c r="BN542" s="166">
        <v>0</v>
      </c>
      <c r="BO542" s="166">
        <v>0</v>
      </c>
      <c r="BP542" s="166">
        <v>0</v>
      </c>
      <c r="BQ542" s="81" t="s">
        <v>1758</v>
      </c>
      <c r="BT542" s="81" t="s">
        <v>155</v>
      </c>
      <c r="BZ542" s="81" t="s">
        <v>155</v>
      </c>
      <c r="CA542" s="81" t="s">
        <v>3934</v>
      </c>
      <c r="CC542" s="167">
        <v>0</v>
      </c>
      <c r="CD542" s="167">
        <v>0</v>
      </c>
      <c r="CE542" s="167">
        <f>N542</f>
        <v>5</v>
      </c>
      <c r="CF542" s="167">
        <v>0</v>
      </c>
      <c r="CG542" s="167">
        <v>0</v>
      </c>
      <c r="CH542" s="167">
        <v>0</v>
      </c>
      <c r="CI542" s="167">
        <v>0</v>
      </c>
      <c r="CJ542" s="167">
        <v>0</v>
      </c>
      <c r="CK542" s="167">
        <v>0</v>
      </c>
      <c r="CL542" s="167">
        <v>0</v>
      </c>
      <c r="CM542" s="167">
        <v>0</v>
      </c>
      <c r="CN542" s="167">
        <v>0</v>
      </c>
      <c r="CO542" s="167">
        <v>0</v>
      </c>
      <c r="CP542" s="167">
        <v>0</v>
      </c>
      <c r="CQ542" s="167">
        <v>0</v>
      </c>
      <c r="CR542" s="167">
        <v>0</v>
      </c>
      <c r="CS542" s="167">
        <v>0</v>
      </c>
      <c r="CT542" s="167">
        <v>0</v>
      </c>
      <c r="CU542" s="167">
        <v>0</v>
      </c>
      <c r="CV542" s="167">
        <v>0</v>
      </c>
      <c r="CW542" s="167">
        <v>0</v>
      </c>
      <c r="CX542" s="167">
        <f>SUM(CD542:CH542)</f>
        <v>5</v>
      </c>
      <c r="CY542" s="167">
        <f>SUM(CD542:CM542)</f>
        <v>5</v>
      </c>
    </row>
    <row r="543" spans="1:103" ht="12.75" customHeight="1" x14ac:dyDescent="0.2">
      <c r="A543" s="81">
        <v>5793</v>
      </c>
      <c r="B543" s="165" t="s">
        <v>1908</v>
      </c>
      <c r="C543" s="165" t="s">
        <v>449</v>
      </c>
      <c r="E543" s="165" t="s">
        <v>3409</v>
      </c>
      <c r="F543" s="165" t="s">
        <v>453</v>
      </c>
      <c r="G543" s="81">
        <v>525347</v>
      </c>
      <c r="H543" s="81">
        <v>175071</v>
      </c>
      <c r="I543" s="165" t="s">
        <v>259</v>
      </c>
      <c r="J543" s="349">
        <v>42825</v>
      </c>
      <c r="L543" s="166">
        <v>0</v>
      </c>
      <c r="M543" s="166">
        <v>1</v>
      </c>
      <c r="N543" s="166">
        <v>1</v>
      </c>
      <c r="O543" s="166">
        <v>85</v>
      </c>
      <c r="P543" s="166">
        <v>85</v>
      </c>
      <c r="Q543" s="81" t="s">
        <v>155</v>
      </c>
      <c r="R543" s="165" t="s">
        <v>900</v>
      </c>
      <c r="S543" s="81" t="s">
        <v>104</v>
      </c>
      <c r="T543" s="349">
        <v>41969</v>
      </c>
      <c r="U543" s="349">
        <v>42264</v>
      </c>
      <c r="W543" s="81" t="s">
        <v>114</v>
      </c>
      <c r="Y543" s="81" t="s">
        <v>115</v>
      </c>
      <c r="Z543" s="81" t="s">
        <v>116</v>
      </c>
      <c r="AA543" s="81" t="s">
        <v>116</v>
      </c>
      <c r="AB543" s="81" t="s">
        <v>117</v>
      </c>
      <c r="AC543" s="166">
        <v>3.0000000260770299E-3</v>
      </c>
      <c r="AD543" s="349">
        <v>42825</v>
      </c>
      <c r="AG543" s="81" t="s">
        <v>74</v>
      </c>
      <c r="AH543" s="81" t="s">
        <v>1913</v>
      </c>
      <c r="AK543" s="166">
        <v>1</v>
      </c>
      <c r="AM543" s="166">
        <v>0</v>
      </c>
      <c r="AO543" s="166">
        <v>0</v>
      </c>
      <c r="AP543" s="166">
        <v>1</v>
      </c>
      <c r="AQ543" s="166">
        <v>0</v>
      </c>
      <c r="AR543" s="166">
        <v>0</v>
      </c>
      <c r="AS543" s="166">
        <v>0</v>
      </c>
      <c r="AT543" s="166">
        <v>0</v>
      </c>
      <c r="AU543" s="166">
        <v>0</v>
      </c>
      <c r="AV543" s="166">
        <v>0</v>
      </c>
      <c r="AW543" s="166">
        <v>1</v>
      </c>
      <c r="AX543" s="166">
        <v>0</v>
      </c>
      <c r="AY543" s="166">
        <v>0</v>
      </c>
      <c r="AZ543" s="166">
        <v>0</v>
      </c>
      <c r="BA543" s="166">
        <v>0</v>
      </c>
      <c r="BB543" s="166">
        <v>0</v>
      </c>
      <c r="BC543" s="166">
        <v>0</v>
      </c>
      <c r="BD543" s="166">
        <v>0</v>
      </c>
      <c r="BE543" s="166">
        <v>0</v>
      </c>
      <c r="BF543" s="166">
        <v>0</v>
      </c>
      <c r="BG543" s="166">
        <v>0</v>
      </c>
      <c r="BH543" s="166">
        <v>0</v>
      </c>
      <c r="BI543" s="166">
        <v>0</v>
      </c>
      <c r="BJ543" s="166">
        <v>0</v>
      </c>
      <c r="BK543" s="166">
        <v>0</v>
      </c>
      <c r="BL543" s="166">
        <v>0</v>
      </c>
      <c r="BM543" s="166">
        <v>0</v>
      </c>
      <c r="BN543" s="166">
        <v>0</v>
      </c>
      <c r="BO543" s="166">
        <v>0</v>
      </c>
      <c r="BP543" s="166">
        <v>0</v>
      </c>
      <c r="BQ543" s="81" t="s">
        <v>1758</v>
      </c>
      <c r="BT543" s="81" t="s">
        <v>155</v>
      </c>
      <c r="BZ543" s="81" t="s">
        <v>155</v>
      </c>
      <c r="CA543" s="81" t="s">
        <v>3934</v>
      </c>
      <c r="CC543" s="167">
        <v>0</v>
      </c>
      <c r="CD543" s="167">
        <v>0</v>
      </c>
      <c r="CE543" s="167">
        <f>N543</f>
        <v>1</v>
      </c>
      <c r="CF543" s="167">
        <v>0</v>
      </c>
      <c r="CG543" s="167">
        <v>0</v>
      </c>
      <c r="CH543" s="167">
        <v>0</v>
      </c>
      <c r="CI543" s="167">
        <v>0</v>
      </c>
      <c r="CJ543" s="167">
        <v>0</v>
      </c>
      <c r="CK543" s="167">
        <v>0</v>
      </c>
      <c r="CL543" s="167">
        <v>0</v>
      </c>
      <c r="CM543" s="167">
        <v>0</v>
      </c>
      <c r="CN543" s="167">
        <v>0</v>
      </c>
      <c r="CO543" s="167">
        <v>0</v>
      </c>
      <c r="CP543" s="167">
        <v>0</v>
      </c>
      <c r="CQ543" s="167">
        <v>0</v>
      </c>
      <c r="CR543" s="167">
        <v>0</v>
      </c>
      <c r="CS543" s="167">
        <v>0</v>
      </c>
      <c r="CT543" s="167">
        <v>0</v>
      </c>
      <c r="CU543" s="167">
        <v>0</v>
      </c>
      <c r="CV543" s="167">
        <v>0</v>
      </c>
      <c r="CW543" s="167">
        <v>0</v>
      </c>
      <c r="CX543" s="167">
        <f>SUM(CD543:CH543)</f>
        <v>1</v>
      </c>
      <c r="CY543" s="167">
        <f>SUM(CD543:CM543)</f>
        <v>1</v>
      </c>
    </row>
    <row r="544" spans="1:103" ht="12.75" customHeight="1" x14ac:dyDescent="0.2">
      <c r="A544" s="81">
        <v>5793</v>
      </c>
      <c r="B544" s="165" t="s">
        <v>1908</v>
      </c>
      <c r="C544" s="165" t="s">
        <v>449</v>
      </c>
      <c r="E544" s="165" t="s">
        <v>3409</v>
      </c>
      <c r="F544" s="165" t="s">
        <v>454</v>
      </c>
      <c r="G544" s="81">
        <v>525347</v>
      </c>
      <c r="H544" s="81">
        <v>175071</v>
      </c>
      <c r="I544" s="165" t="s">
        <v>259</v>
      </c>
      <c r="J544" s="349">
        <v>42825</v>
      </c>
      <c r="L544" s="166">
        <v>0</v>
      </c>
      <c r="M544" s="166">
        <v>5</v>
      </c>
      <c r="N544" s="166">
        <v>5</v>
      </c>
      <c r="O544" s="166">
        <v>85</v>
      </c>
      <c r="P544" s="166">
        <v>85</v>
      </c>
      <c r="Q544" s="81" t="s">
        <v>155</v>
      </c>
      <c r="R544" s="165" t="s">
        <v>900</v>
      </c>
      <c r="S544" s="81" t="s">
        <v>104</v>
      </c>
      <c r="T544" s="349">
        <v>41969</v>
      </c>
      <c r="U544" s="349">
        <v>42264</v>
      </c>
      <c r="W544" s="81" t="s">
        <v>114</v>
      </c>
      <c r="Y544" s="81" t="s">
        <v>115</v>
      </c>
      <c r="Z544" s="81" t="s">
        <v>116</v>
      </c>
      <c r="AA544" s="81" t="s">
        <v>116</v>
      </c>
      <c r="AB544" s="81" t="s">
        <v>117</v>
      </c>
      <c r="AC544" s="166">
        <v>1.30000002682209E-2</v>
      </c>
      <c r="AD544" s="349">
        <v>42825</v>
      </c>
      <c r="AG544" s="81" t="s">
        <v>238</v>
      </c>
      <c r="AH544" s="81" t="s">
        <v>118</v>
      </c>
      <c r="AK544" s="166">
        <v>5</v>
      </c>
      <c r="AM544" s="166">
        <v>1</v>
      </c>
      <c r="AO544" s="166">
        <v>0</v>
      </c>
      <c r="AP544" s="166">
        <v>0</v>
      </c>
      <c r="AQ544" s="166">
        <v>5</v>
      </c>
      <c r="AR544" s="166">
        <v>0</v>
      </c>
      <c r="AS544" s="166">
        <v>0</v>
      </c>
      <c r="AT544" s="166">
        <v>0</v>
      </c>
      <c r="AU544" s="166">
        <v>0</v>
      </c>
      <c r="AV544" s="166">
        <v>0</v>
      </c>
      <c r="AW544" s="166">
        <v>0</v>
      </c>
      <c r="AX544" s="166">
        <v>5</v>
      </c>
      <c r="AY544" s="166">
        <v>0</v>
      </c>
      <c r="AZ544" s="166">
        <v>0</v>
      </c>
      <c r="BA544" s="166">
        <v>0</v>
      </c>
      <c r="BB544" s="166">
        <v>0</v>
      </c>
      <c r="BC544" s="166">
        <v>0</v>
      </c>
      <c r="BD544" s="166">
        <v>0</v>
      </c>
      <c r="BE544" s="166">
        <v>0</v>
      </c>
      <c r="BF544" s="166">
        <v>0</v>
      </c>
      <c r="BG544" s="166">
        <v>0</v>
      </c>
      <c r="BH544" s="166">
        <v>0</v>
      </c>
      <c r="BI544" s="166">
        <v>0</v>
      </c>
      <c r="BJ544" s="166">
        <v>0</v>
      </c>
      <c r="BK544" s="166">
        <v>0</v>
      </c>
      <c r="BL544" s="166">
        <v>0</v>
      </c>
      <c r="BM544" s="166">
        <v>0</v>
      </c>
      <c r="BN544" s="166">
        <v>0</v>
      </c>
      <c r="BO544" s="166">
        <v>0</v>
      </c>
      <c r="BP544" s="166">
        <v>0</v>
      </c>
      <c r="BQ544" s="81" t="s">
        <v>1758</v>
      </c>
      <c r="BT544" s="81" t="s">
        <v>155</v>
      </c>
      <c r="BZ544" s="81" t="s">
        <v>155</v>
      </c>
      <c r="CA544" s="81" t="s">
        <v>3934</v>
      </c>
      <c r="CC544" s="167">
        <v>0</v>
      </c>
      <c r="CD544" s="167">
        <v>0</v>
      </c>
      <c r="CE544" s="167">
        <f>N544</f>
        <v>5</v>
      </c>
      <c r="CF544" s="167">
        <v>0</v>
      </c>
      <c r="CG544" s="167">
        <v>0</v>
      </c>
      <c r="CH544" s="167">
        <v>0</v>
      </c>
      <c r="CI544" s="167">
        <v>0</v>
      </c>
      <c r="CJ544" s="167">
        <v>0</v>
      </c>
      <c r="CK544" s="167">
        <v>0</v>
      </c>
      <c r="CL544" s="167">
        <v>0</v>
      </c>
      <c r="CM544" s="167">
        <v>0</v>
      </c>
      <c r="CN544" s="167">
        <v>0</v>
      </c>
      <c r="CO544" s="167">
        <v>0</v>
      </c>
      <c r="CP544" s="167">
        <v>0</v>
      </c>
      <c r="CQ544" s="167">
        <v>0</v>
      </c>
      <c r="CR544" s="167">
        <v>0</v>
      </c>
      <c r="CS544" s="167">
        <v>0</v>
      </c>
      <c r="CT544" s="167">
        <v>0</v>
      </c>
      <c r="CU544" s="167">
        <v>0</v>
      </c>
      <c r="CV544" s="167">
        <v>0</v>
      </c>
      <c r="CW544" s="167">
        <v>0</v>
      </c>
      <c r="CX544" s="167">
        <f>SUM(CD544:CH544)</f>
        <v>5</v>
      </c>
      <c r="CY544" s="167">
        <f>SUM(CD544:CM544)</f>
        <v>5</v>
      </c>
    </row>
    <row r="545" spans="1:103" ht="12.75" customHeight="1" x14ac:dyDescent="0.2">
      <c r="A545" s="81">
        <v>5793</v>
      </c>
      <c r="B545" s="165" t="s">
        <v>1908</v>
      </c>
      <c r="C545" s="165" t="s">
        <v>449</v>
      </c>
      <c r="E545" s="165" t="s">
        <v>3409</v>
      </c>
      <c r="F545" s="165" t="s">
        <v>455</v>
      </c>
      <c r="G545" s="81">
        <v>525347</v>
      </c>
      <c r="H545" s="81">
        <v>175071</v>
      </c>
      <c r="I545" s="165" t="s">
        <v>259</v>
      </c>
      <c r="J545" s="349">
        <v>42825</v>
      </c>
      <c r="L545" s="166">
        <v>0</v>
      </c>
      <c r="M545" s="166">
        <v>1</v>
      </c>
      <c r="N545" s="166">
        <v>1</v>
      </c>
      <c r="O545" s="166">
        <v>85</v>
      </c>
      <c r="P545" s="166">
        <v>85</v>
      </c>
      <c r="Q545" s="81" t="s">
        <v>155</v>
      </c>
      <c r="R545" s="165" t="s">
        <v>900</v>
      </c>
      <c r="S545" s="81" t="s">
        <v>104</v>
      </c>
      <c r="T545" s="349">
        <v>41969</v>
      </c>
      <c r="U545" s="349">
        <v>42264</v>
      </c>
      <c r="W545" s="81" t="s">
        <v>114</v>
      </c>
      <c r="Y545" s="81" t="s">
        <v>115</v>
      </c>
      <c r="Z545" s="81" t="s">
        <v>116</v>
      </c>
      <c r="AA545" s="81" t="s">
        <v>116</v>
      </c>
      <c r="AB545" s="81" t="s">
        <v>117</v>
      </c>
      <c r="AC545" s="166">
        <v>3.0000000260770299E-3</v>
      </c>
      <c r="AD545" s="349">
        <v>42825</v>
      </c>
      <c r="AG545" s="81" t="s">
        <v>74</v>
      </c>
      <c r="AH545" s="81" t="s">
        <v>1913</v>
      </c>
      <c r="AK545" s="166">
        <v>1</v>
      </c>
      <c r="AM545" s="166">
        <v>0</v>
      </c>
      <c r="AO545" s="166">
        <v>0</v>
      </c>
      <c r="AP545" s="166">
        <v>1</v>
      </c>
      <c r="AQ545" s="166">
        <v>0</v>
      </c>
      <c r="AR545" s="166">
        <v>0</v>
      </c>
      <c r="AS545" s="166">
        <v>0</v>
      </c>
      <c r="AT545" s="166">
        <v>0</v>
      </c>
      <c r="AU545" s="166">
        <v>0</v>
      </c>
      <c r="AV545" s="166">
        <v>0</v>
      </c>
      <c r="AW545" s="166">
        <v>1</v>
      </c>
      <c r="AX545" s="166">
        <v>0</v>
      </c>
      <c r="AY545" s="166">
        <v>0</v>
      </c>
      <c r="AZ545" s="166">
        <v>0</v>
      </c>
      <c r="BA545" s="166">
        <v>0</v>
      </c>
      <c r="BB545" s="166">
        <v>0</v>
      </c>
      <c r="BC545" s="166">
        <v>0</v>
      </c>
      <c r="BD545" s="166">
        <v>0</v>
      </c>
      <c r="BE545" s="166">
        <v>0</v>
      </c>
      <c r="BF545" s="166">
        <v>0</v>
      </c>
      <c r="BG545" s="166">
        <v>0</v>
      </c>
      <c r="BH545" s="166">
        <v>0</v>
      </c>
      <c r="BI545" s="166">
        <v>0</v>
      </c>
      <c r="BJ545" s="166">
        <v>0</v>
      </c>
      <c r="BK545" s="166">
        <v>0</v>
      </c>
      <c r="BL545" s="166">
        <v>0</v>
      </c>
      <c r="BM545" s="166">
        <v>0</v>
      </c>
      <c r="BN545" s="166">
        <v>0</v>
      </c>
      <c r="BO545" s="166">
        <v>0</v>
      </c>
      <c r="BP545" s="166">
        <v>0</v>
      </c>
      <c r="BQ545" s="81" t="s">
        <v>1758</v>
      </c>
      <c r="BT545" s="81" t="s">
        <v>155</v>
      </c>
      <c r="BZ545" s="81" t="s">
        <v>155</v>
      </c>
      <c r="CA545" s="81" t="s">
        <v>3934</v>
      </c>
      <c r="CC545" s="167">
        <v>0</v>
      </c>
      <c r="CD545" s="167">
        <v>0</v>
      </c>
      <c r="CE545" s="167">
        <f>N545</f>
        <v>1</v>
      </c>
      <c r="CF545" s="167">
        <v>0</v>
      </c>
      <c r="CG545" s="167">
        <v>0</v>
      </c>
      <c r="CH545" s="167">
        <v>0</v>
      </c>
      <c r="CI545" s="167">
        <v>0</v>
      </c>
      <c r="CJ545" s="167">
        <v>0</v>
      </c>
      <c r="CK545" s="167">
        <v>0</v>
      </c>
      <c r="CL545" s="167">
        <v>0</v>
      </c>
      <c r="CM545" s="167">
        <v>0</v>
      </c>
      <c r="CN545" s="167">
        <v>0</v>
      </c>
      <c r="CO545" s="167">
        <v>0</v>
      </c>
      <c r="CP545" s="167">
        <v>0</v>
      </c>
      <c r="CQ545" s="167">
        <v>0</v>
      </c>
      <c r="CR545" s="167">
        <v>0</v>
      </c>
      <c r="CS545" s="167">
        <v>0</v>
      </c>
      <c r="CT545" s="167">
        <v>0</v>
      </c>
      <c r="CU545" s="167">
        <v>0</v>
      </c>
      <c r="CV545" s="167">
        <v>0</v>
      </c>
      <c r="CW545" s="167">
        <v>0</v>
      </c>
      <c r="CX545" s="167">
        <f>SUM(CD545:CH545)</f>
        <v>1</v>
      </c>
      <c r="CY545" s="167">
        <f>SUM(CD545:CM545)</f>
        <v>1</v>
      </c>
    </row>
    <row r="546" spans="1:103" x14ac:dyDescent="0.2">
      <c r="A546" s="81">
        <v>5793</v>
      </c>
      <c r="B546" s="165" t="s">
        <v>1908</v>
      </c>
      <c r="C546" s="165" t="s">
        <v>449</v>
      </c>
      <c r="E546" s="165" t="s">
        <v>3409</v>
      </c>
      <c r="F546" s="165" t="s">
        <v>455</v>
      </c>
      <c r="G546" s="81">
        <v>525347</v>
      </c>
      <c r="H546" s="81">
        <v>175071</v>
      </c>
      <c r="I546" s="165" t="s">
        <v>259</v>
      </c>
      <c r="J546" s="349">
        <v>42825</v>
      </c>
      <c r="L546" s="166">
        <v>0</v>
      </c>
      <c r="M546" s="166">
        <v>1</v>
      </c>
      <c r="N546" s="166">
        <v>1</v>
      </c>
      <c r="O546" s="166">
        <v>85</v>
      </c>
      <c r="P546" s="166">
        <v>85</v>
      </c>
      <c r="Q546" s="81" t="s">
        <v>155</v>
      </c>
      <c r="R546" s="165" t="s">
        <v>900</v>
      </c>
      <c r="S546" s="81" t="s">
        <v>104</v>
      </c>
      <c r="T546" s="349">
        <v>41969</v>
      </c>
      <c r="U546" s="349">
        <v>42264</v>
      </c>
      <c r="W546" s="81" t="s">
        <v>114</v>
      </c>
      <c r="Y546" s="81" t="s">
        <v>115</v>
      </c>
      <c r="Z546" s="81" t="s">
        <v>116</v>
      </c>
      <c r="AA546" s="81" t="s">
        <v>116</v>
      </c>
      <c r="AB546" s="81" t="s">
        <v>117</v>
      </c>
      <c r="AC546" s="166">
        <v>3.0000000260770299E-3</v>
      </c>
      <c r="AD546" s="349">
        <v>42825</v>
      </c>
      <c r="AG546" s="81" t="s">
        <v>74</v>
      </c>
      <c r="AH546" s="81" t="s">
        <v>1913</v>
      </c>
      <c r="AK546" s="166">
        <v>1</v>
      </c>
      <c r="AM546" s="166">
        <v>0</v>
      </c>
      <c r="AO546" s="166">
        <v>0</v>
      </c>
      <c r="AP546" s="166">
        <v>1</v>
      </c>
      <c r="AQ546" s="166">
        <v>0</v>
      </c>
      <c r="AR546" s="166">
        <v>0</v>
      </c>
      <c r="AS546" s="166">
        <v>0</v>
      </c>
      <c r="AT546" s="166">
        <v>0</v>
      </c>
      <c r="AU546" s="166">
        <v>0</v>
      </c>
      <c r="AV546" s="166">
        <v>0</v>
      </c>
      <c r="AW546" s="166">
        <v>1</v>
      </c>
      <c r="AX546" s="166">
        <v>0</v>
      </c>
      <c r="AY546" s="166">
        <v>0</v>
      </c>
      <c r="AZ546" s="166">
        <v>0</v>
      </c>
      <c r="BA546" s="166">
        <v>0</v>
      </c>
      <c r="BB546" s="166">
        <v>0</v>
      </c>
      <c r="BC546" s="166">
        <v>0</v>
      </c>
      <c r="BD546" s="166">
        <v>0</v>
      </c>
      <c r="BE546" s="166">
        <v>0</v>
      </c>
      <c r="BF546" s="166">
        <v>0</v>
      </c>
      <c r="BG546" s="166">
        <v>0</v>
      </c>
      <c r="BH546" s="166">
        <v>0</v>
      </c>
      <c r="BI546" s="166">
        <v>0</v>
      </c>
      <c r="BJ546" s="166">
        <v>0</v>
      </c>
      <c r="BK546" s="166">
        <v>0</v>
      </c>
      <c r="BL546" s="166">
        <v>0</v>
      </c>
      <c r="BM546" s="166">
        <v>0</v>
      </c>
      <c r="BN546" s="166">
        <v>0</v>
      </c>
      <c r="BO546" s="166">
        <v>0</v>
      </c>
      <c r="BP546" s="166">
        <v>0</v>
      </c>
      <c r="BQ546" s="81" t="s">
        <v>1758</v>
      </c>
      <c r="BT546" s="81" t="s">
        <v>155</v>
      </c>
      <c r="BZ546" s="81" t="s">
        <v>155</v>
      </c>
      <c r="CA546" s="81" t="s">
        <v>3934</v>
      </c>
      <c r="CC546" s="167">
        <v>0</v>
      </c>
      <c r="CD546" s="167">
        <v>0</v>
      </c>
      <c r="CE546" s="167">
        <f>N546</f>
        <v>1</v>
      </c>
      <c r="CF546" s="167">
        <v>0</v>
      </c>
      <c r="CG546" s="167">
        <v>0</v>
      </c>
      <c r="CH546" s="167">
        <v>0</v>
      </c>
      <c r="CI546" s="167">
        <v>0</v>
      </c>
      <c r="CJ546" s="167">
        <v>0</v>
      </c>
      <c r="CK546" s="167">
        <v>0</v>
      </c>
      <c r="CL546" s="167">
        <v>0</v>
      </c>
      <c r="CM546" s="167">
        <v>0</v>
      </c>
      <c r="CN546" s="167">
        <v>0</v>
      </c>
      <c r="CO546" s="167">
        <v>0</v>
      </c>
      <c r="CP546" s="167">
        <v>0</v>
      </c>
      <c r="CQ546" s="167">
        <v>0</v>
      </c>
      <c r="CR546" s="167">
        <v>0</v>
      </c>
      <c r="CS546" s="167">
        <v>0</v>
      </c>
      <c r="CT546" s="167">
        <v>0</v>
      </c>
      <c r="CU546" s="167">
        <v>0</v>
      </c>
      <c r="CV546" s="167">
        <v>0</v>
      </c>
      <c r="CW546" s="167">
        <v>0</v>
      </c>
      <c r="CX546" s="167">
        <f>SUM(CD546:CH546)</f>
        <v>1</v>
      </c>
      <c r="CY546" s="167">
        <f>SUM(CD546:CM546)</f>
        <v>1</v>
      </c>
    </row>
    <row r="547" spans="1:103" ht="12.75" customHeight="1" x14ac:dyDescent="0.2">
      <c r="A547" s="81">
        <v>5793</v>
      </c>
      <c r="B547" s="165" t="s">
        <v>1908</v>
      </c>
      <c r="C547" s="165" t="s">
        <v>449</v>
      </c>
      <c r="E547" s="165" t="s">
        <v>3409</v>
      </c>
      <c r="F547" s="165" t="s">
        <v>456</v>
      </c>
      <c r="G547" s="81">
        <v>525347</v>
      </c>
      <c r="H547" s="81">
        <v>175071</v>
      </c>
      <c r="I547" s="165" t="s">
        <v>259</v>
      </c>
      <c r="J547" s="349">
        <v>42825</v>
      </c>
      <c r="L547" s="166">
        <v>0</v>
      </c>
      <c r="M547" s="166">
        <v>5</v>
      </c>
      <c r="N547" s="166">
        <v>5</v>
      </c>
      <c r="O547" s="166">
        <v>85</v>
      </c>
      <c r="P547" s="166">
        <v>85</v>
      </c>
      <c r="Q547" s="81" t="s">
        <v>155</v>
      </c>
      <c r="R547" s="165" t="s">
        <v>900</v>
      </c>
      <c r="S547" s="81" t="s">
        <v>104</v>
      </c>
      <c r="T547" s="349">
        <v>41969</v>
      </c>
      <c r="U547" s="349">
        <v>42264</v>
      </c>
      <c r="W547" s="81" t="s">
        <v>114</v>
      </c>
      <c r="Y547" s="81" t="s">
        <v>115</v>
      </c>
      <c r="Z547" s="81" t="s">
        <v>116</v>
      </c>
      <c r="AA547" s="81" t="s">
        <v>116</v>
      </c>
      <c r="AB547" s="81" t="s">
        <v>117</v>
      </c>
      <c r="AC547" s="166">
        <v>1.30000002682209E-2</v>
      </c>
      <c r="AD547" s="349">
        <v>42825</v>
      </c>
      <c r="AG547" s="81" t="s">
        <v>238</v>
      </c>
      <c r="AH547" s="81" t="s">
        <v>118</v>
      </c>
      <c r="AK547" s="166">
        <v>5</v>
      </c>
      <c r="AM547" s="166">
        <v>0</v>
      </c>
      <c r="AO547" s="166">
        <v>0</v>
      </c>
      <c r="AP547" s="166">
        <v>0</v>
      </c>
      <c r="AQ547" s="166">
        <v>5</v>
      </c>
      <c r="AR547" s="166">
        <v>0</v>
      </c>
      <c r="AS547" s="166">
        <v>0</v>
      </c>
      <c r="AT547" s="166">
        <v>0</v>
      </c>
      <c r="AU547" s="166">
        <v>0</v>
      </c>
      <c r="AV547" s="166">
        <v>0</v>
      </c>
      <c r="AW547" s="166">
        <v>0</v>
      </c>
      <c r="AX547" s="166">
        <v>5</v>
      </c>
      <c r="AY547" s="166">
        <v>0</v>
      </c>
      <c r="AZ547" s="166">
        <v>0</v>
      </c>
      <c r="BA547" s="166">
        <v>0</v>
      </c>
      <c r="BB547" s="166">
        <v>0</v>
      </c>
      <c r="BC547" s="166">
        <v>0</v>
      </c>
      <c r="BD547" s="166">
        <v>0</v>
      </c>
      <c r="BE547" s="166">
        <v>0</v>
      </c>
      <c r="BF547" s="166">
        <v>0</v>
      </c>
      <c r="BG547" s="166">
        <v>0</v>
      </c>
      <c r="BH547" s="166">
        <v>0</v>
      </c>
      <c r="BI547" s="166">
        <v>0</v>
      </c>
      <c r="BJ547" s="166">
        <v>0</v>
      </c>
      <c r="BK547" s="166">
        <v>0</v>
      </c>
      <c r="BL547" s="166">
        <v>0</v>
      </c>
      <c r="BM547" s="166">
        <v>0</v>
      </c>
      <c r="BN547" s="166">
        <v>0</v>
      </c>
      <c r="BO547" s="166">
        <v>0</v>
      </c>
      <c r="BP547" s="166">
        <v>0</v>
      </c>
      <c r="BQ547" s="81" t="s">
        <v>1758</v>
      </c>
      <c r="BT547" s="81" t="s">
        <v>155</v>
      </c>
      <c r="BZ547" s="81" t="s">
        <v>155</v>
      </c>
      <c r="CA547" s="81" t="s">
        <v>3934</v>
      </c>
      <c r="CC547" s="167">
        <v>0</v>
      </c>
      <c r="CD547" s="167">
        <v>0</v>
      </c>
      <c r="CE547" s="167">
        <f>N547</f>
        <v>5</v>
      </c>
      <c r="CF547" s="167">
        <v>0</v>
      </c>
      <c r="CG547" s="167">
        <v>0</v>
      </c>
      <c r="CH547" s="167">
        <v>0</v>
      </c>
      <c r="CI547" s="167">
        <v>0</v>
      </c>
      <c r="CJ547" s="167">
        <v>0</v>
      </c>
      <c r="CK547" s="167">
        <v>0</v>
      </c>
      <c r="CL547" s="167">
        <v>0</v>
      </c>
      <c r="CM547" s="167">
        <v>0</v>
      </c>
      <c r="CN547" s="167">
        <v>0</v>
      </c>
      <c r="CO547" s="167">
        <v>0</v>
      </c>
      <c r="CP547" s="167">
        <v>0</v>
      </c>
      <c r="CQ547" s="167">
        <v>0</v>
      </c>
      <c r="CR547" s="167">
        <v>0</v>
      </c>
      <c r="CS547" s="167">
        <v>0</v>
      </c>
      <c r="CT547" s="167">
        <v>0</v>
      </c>
      <c r="CU547" s="167">
        <v>0</v>
      </c>
      <c r="CV547" s="167">
        <v>0</v>
      </c>
      <c r="CW547" s="167">
        <v>0</v>
      </c>
      <c r="CX547" s="167">
        <f>SUM(CD547:CH547)</f>
        <v>5</v>
      </c>
      <c r="CY547" s="167">
        <f>SUM(CD547:CM547)</f>
        <v>5</v>
      </c>
    </row>
    <row r="548" spans="1:103" ht="12.75" customHeight="1" x14ac:dyDescent="0.2">
      <c r="A548" s="81">
        <v>5793</v>
      </c>
      <c r="B548" s="165" t="s">
        <v>1908</v>
      </c>
      <c r="C548" s="165" t="s">
        <v>449</v>
      </c>
      <c r="E548" s="165" t="s">
        <v>3409</v>
      </c>
      <c r="F548" s="165" t="s">
        <v>457</v>
      </c>
      <c r="G548" s="81">
        <v>525347</v>
      </c>
      <c r="H548" s="81">
        <v>175071</v>
      </c>
      <c r="I548" s="165" t="s">
        <v>259</v>
      </c>
      <c r="J548" s="349">
        <v>42825</v>
      </c>
      <c r="L548" s="166">
        <v>0</v>
      </c>
      <c r="M548" s="166">
        <v>5</v>
      </c>
      <c r="N548" s="166">
        <v>5</v>
      </c>
      <c r="O548" s="166">
        <v>85</v>
      </c>
      <c r="P548" s="166">
        <v>85</v>
      </c>
      <c r="Q548" s="81" t="s">
        <v>155</v>
      </c>
      <c r="R548" s="165" t="s">
        <v>900</v>
      </c>
      <c r="S548" s="81" t="s">
        <v>104</v>
      </c>
      <c r="T548" s="349">
        <v>41969</v>
      </c>
      <c r="U548" s="349">
        <v>42264</v>
      </c>
      <c r="W548" s="81" t="s">
        <v>114</v>
      </c>
      <c r="Y548" s="81" t="s">
        <v>115</v>
      </c>
      <c r="Z548" s="81" t="s">
        <v>116</v>
      </c>
      <c r="AA548" s="81" t="s">
        <v>116</v>
      </c>
      <c r="AB548" s="81" t="s">
        <v>117</v>
      </c>
      <c r="AC548" s="166">
        <v>1.30000002682209E-2</v>
      </c>
      <c r="AD548" s="349">
        <v>42825</v>
      </c>
      <c r="AG548" s="81" t="s">
        <v>238</v>
      </c>
      <c r="AH548" s="81" t="s">
        <v>118</v>
      </c>
      <c r="AK548" s="166">
        <v>5</v>
      </c>
      <c r="AM548" s="166">
        <v>0</v>
      </c>
      <c r="AO548" s="166">
        <v>0</v>
      </c>
      <c r="AP548" s="166">
        <v>0</v>
      </c>
      <c r="AQ548" s="166">
        <v>5</v>
      </c>
      <c r="AR548" s="166">
        <v>0</v>
      </c>
      <c r="AS548" s="166">
        <v>0</v>
      </c>
      <c r="AT548" s="166">
        <v>0</v>
      </c>
      <c r="AU548" s="166">
        <v>0</v>
      </c>
      <c r="AV548" s="166">
        <v>0</v>
      </c>
      <c r="AW548" s="166">
        <v>0</v>
      </c>
      <c r="AX548" s="166">
        <v>5</v>
      </c>
      <c r="AY548" s="166">
        <v>0</v>
      </c>
      <c r="AZ548" s="166">
        <v>0</v>
      </c>
      <c r="BA548" s="166">
        <v>0</v>
      </c>
      <c r="BB548" s="166">
        <v>0</v>
      </c>
      <c r="BC548" s="166">
        <v>0</v>
      </c>
      <c r="BD548" s="166">
        <v>0</v>
      </c>
      <c r="BE548" s="166">
        <v>0</v>
      </c>
      <c r="BF548" s="166">
        <v>0</v>
      </c>
      <c r="BG548" s="166">
        <v>0</v>
      </c>
      <c r="BH548" s="166">
        <v>0</v>
      </c>
      <c r="BI548" s="166">
        <v>0</v>
      </c>
      <c r="BJ548" s="166">
        <v>0</v>
      </c>
      <c r="BK548" s="166">
        <v>0</v>
      </c>
      <c r="BL548" s="166">
        <v>0</v>
      </c>
      <c r="BM548" s="166">
        <v>0</v>
      </c>
      <c r="BN548" s="166">
        <v>0</v>
      </c>
      <c r="BO548" s="166">
        <v>0</v>
      </c>
      <c r="BP548" s="166">
        <v>0</v>
      </c>
      <c r="BQ548" s="81" t="s">
        <v>1758</v>
      </c>
      <c r="BT548" s="81" t="s">
        <v>155</v>
      </c>
      <c r="BZ548" s="81" t="s">
        <v>155</v>
      </c>
      <c r="CA548" s="81" t="s">
        <v>3934</v>
      </c>
      <c r="CC548" s="167">
        <v>0</v>
      </c>
      <c r="CD548" s="167">
        <v>0</v>
      </c>
      <c r="CE548" s="167">
        <f>N548</f>
        <v>5</v>
      </c>
      <c r="CF548" s="167">
        <v>0</v>
      </c>
      <c r="CG548" s="167">
        <v>0</v>
      </c>
      <c r="CH548" s="167">
        <v>0</v>
      </c>
      <c r="CI548" s="167">
        <v>0</v>
      </c>
      <c r="CJ548" s="167">
        <v>0</v>
      </c>
      <c r="CK548" s="167">
        <v>0</v>
      </c>
      <c r="CL548" s="167">
        <v>0</v>
      </c>
      <c r="CM548" s="167">
        <v>0</v>
      </c>
      <c r="CN548" s="167">
        <v>0</v>
      </c>
      <c r="CO548" s="167">
        <v>0</v>
      </c>
      <c r="CP548" s="167">
        <v>0</v>
      </c>
      <c r="CQ548" s="167">
        <v>0</v>
      </c>
      <c r="CR548" s="167">
        <v>0</v>
      </c>
      <c r="CS548" s="167">
        <v>0</v>
      </c>
      <c r="CT548" s="167">
        <v>0</v>
      </c>
      <c r="CU548" s="167">
        <v>0</v>
      </c>
      <c r="CV548" s="167">
        <v>0</v>
      </c>
      <c r="CW548" s="167">
        <v>0</v>
      </c>
      <c r="CX548" s="167">
        <f>SUM(CD548:CH548)</f>
        <v>5</v>
      </c>
      <c r="CY548" s="167">
        <f>SUM(CD548:CM548)</f>
        <v>5</v>
      </c>
    </row>
    <row r="549" spans="1:103" ht="12.75" customHeight="1" x14ac:dyDescent="0.2">
      <c r="A549" s="81">
        <v>5793</v>
      </c>
      <c r="B549" s="165" t="s">
        <v>1908</v>
      </c>
      <c r="C549" s="165" t="s">
        <v>449</v>
      </c>
      <c r="E549" s="165" t="s">
        <v>3409</v>
      </c>
      <c r="F549" s="165" t="s">
        <v>458</v>
      </c>
      <c r="G549" s="81">
        <v>525347</v>
      </c>
      <c r="H549" s="81">
        <v>175071</v>
      </c>
      <c r="I549" s="165" t="s">
        <v>259</v>
      </c>
      <c r="J549" s="349">
        <v>42825</v>
      </c>
      <c r="L549" s="166">
        <v>0</v>
      </c>
      <c r="M549" s="166">
        <v>1</v>
      </c>
      <c r="N549" s="166">
        <v>1</v>
      </c>
      <c r="O549" s="166">
        <v>85</v>
      </c>
      <c r="P549" s="166">
        <v>85</v>
      </c>
      <c r="Q549" s="81" t="s">
        <v>155</v>
      </c>
      <c r="R549" s="165" t="s">
        <v>900</v>
      </c>
      <c r="S549" s="81" t="s">
        <v>104</v>
      </c>
      <c r="T549" s="349">
        <v>41969</v>
      </c>
      <c r="U549" s="349">
        <v>42264</v>
      </c>
      <c r="W549" s="81" t="s">
        <v>114</v>
      </c>
      <c r="Y549" s="81" t="s">
        <v>115</v>
      </c>
      <c r="Z549" s="81" t="s">
        <v>116</v>
      </c>
      <c r="AA549" s="81" t="s">
        <v>116</v>
      </c>
      <c r="AB549" s="81" t="s">
        <v>117</v>
      </c>
      <c r="AC549" s="166">
        <v>3.0000000260770299E-3</v>
      </c>
      <c r="AD549" s="349">
        <v>42825</v>
      </c>
      <c r="AG549" s="81" t="s">
        <v>74</v>
      </c>
      <c r="AH549" s="81" t="s">
        <v>1913</v>
      </c>
      <c r="AK549" s="166">
        <v>1</v>
      </c>
      <c r="AM549" s="166">
        <v>0</v>
      </c>
      <c r="AO549" s="166">
        <v>0</v>
      </c>
      <c r="AP549" s="166">
        <v>1</v>
      </c>
      <c r="AQ549" s="166">
        <v>0</v>
      </c>
      <c r="AR549" s="166">
        <v>0</v>
      </c>
      <c r="AS549" s="166">
        <v>0</v>
      </c>
      <c r="AT549" s="166">
        <v>0</v>
      </c>
      <c r="AU549" s="166">
        <v>0</v>
      </c>
      <c r="AV549" s="166">
        <v>0</v>
      </c>
      <c r="AW549" s="166">
        <v>1</v>
      </c>
      <c r="AX549" s="166">
        <v>0</v>
      </c>
      <c r="AY549" s="166">
        <v>0</v>
      </c>
      <c r="AZ549" s="166">
        <v>0</v>
      </c>
      <c r="BA549" s="166">
        <v>0</v>
      </c>
      <c r="BB549" s="166">
        <v>0</v>
      </c>
      <c r="BC549" s="166">
        <v>0</v>
      </c>
      <c r="BD549" s="166">
        <v>0</v>
      </c>
      <c r="BE549" s="166">
        <v>0</v>
      </c>
      <c r="BF549" s="166">
        <v>0</v>
      </c>
      <c r="BG549" s="166">
        <v>0</v>
      </c>
      <c r="BH549" s="166">
        <v>0</v>
      </c>
      <c r="BI549" s="166">
        <v>0</v>
      </c>
      <c r="BJ549" s="166">
        <v>0</v>
      </c>
      <c r="BK549" s="166">
        <v>0</v>
      </c>
      <c r="BL549" s="166">
        <v>0</v>
      </c>
      <c r="BM549" s="166">
        <v>0</v>
      </c>
      <c r="BN549" s="166">
        <v>0</v>
      </c>
      <c r="BO549" s="166">
        <v>0</v>
      </c>
      <c r="BP549" s="166">
        <v>0</v>
      </c>
      <c r="BQ549" s="81" t="s">
        <v>1758</v>
      </c>
      <c r="BT549" s="81" t="s">
        <v>155</v>
      </c>
      <c r="BZ549" s="81" t="s">
        <v>155</v>
      </c>
      <c r="CA549" s="81" t="s">
        <v>3934</v>
      </c>
      <c r="CC549" s="167">
        <v>0</v>
      </c>
      <c r="CD549" s="167">
        <v>0</v>
      </c>
      <c r="CE549" s="167">
        <f>N549</f>
        <v>1</v>
      </c>
      <c r="CF549" s="167">
        <v>0</v>
      </c>
      <c r="CG549" s="167">
        <v>0</v>
      </c>
      <c r="CH549" s="167">
        <v>0</v>
      </c>
      <c r="CI549" s="167">
        <v>0</v>
      </c>
      <c r="CJ549" s="167">
        <v>0</v>
      </c>
      <c r="CK549" s="167">
        <v>0</v>
      </c>
      <c r="CL549" s="167">
        <v>0</v>
      </c>
      <c r="CM549" s="167">
        <v>0</v>
      </c>
      <c r="CN549" s="167">
        <v>0</v>
      </c>
      <c r="CO549" s="167">
        <v>0</v>
      </c>
      <c r="CP549" s="167">
        <v>0</v>
      </c>
      <c r="CQ549" s="167">
        <v>0</v>
      </c>
      <c r="CR549" s="167">
        <v>0</v>
      </c>
      <c r="CS549" s="167">
        <v>0</v>
      </c>
      <c r="CT549" s="167">
        <v>0</v>
      </c>
      <c r="CU549" s="167">
        <v>0</v>
      </c>
      <c r="CV549" s="167">
        <v>0</v>
      </c>
      <c r="CW549" s="167">
        <v>0</v>
      </c>
      <c r="CX549" s="167">
        <f>SUM(CD549:CH549)</f>
        <v>1</v>
      </c>
      <c r="CY549" s="167">
        <f>SUM(CD549:CM549)</f>
        <v>1</v>
      </c>
    </row>
    <row r="550" spans="1:103" ht="12.75" customHeight="1" x14ac:dyDescent="0.2">
      <c r="A550" s="81">
        <v>5793</v>
      </c>
      <c r="B550" s="165" t="s">
        <v>1908</v>
      </c>
      <c r="C550" s="165" t="s">
        <v>449</v>
      </c>
      <c r="E550" s="165" t="s">
        <v>3409</v>
      </c>
      <c r="F550" s="165" t="s">
        <v>459</v>
      </c>
      <c r="G550" s="81">
        <v>525347</v>
      </c>
      <c r="H550" s="81">
        <v>175071</v>
      </c>
      <c r="I550" s="165" t="s">
        <v>259</v>
      </c>
      <c r="J550" s="349">
        <v>42825</v>
      </c>
      <c r="L550" s="166">
        <v>0</v>
      </c>
      <c r="M550" s="166">
        <v>5</v>
      </c>
      <c r="N550" s="166">
        <v>5</v>
      </c>
      <c r="O550" s="166">
        <v>85</v>
      </c>
      <c r="P550" s="166">
        <v>85</v>
      </c>
      <c r="Q550" s="81" t="s">
        <v>155</v>
      </c>
      <c r="R550" s="165" t="s">
        <v>900</v>
      </c>
      <c r="S550" s="81" t="s">
        <v>104</v>
      </c>
      <c r="T550" s="349">
        <v>41969</v>
      </c>
      <c r="U550" s="349">
        <v>42264</v>
      </c>
      <c r="W550" s="81" t="s">
        <v>114</v>
      </c>
      <c r="Y550" s="81" t="s">
        <v>115</v>
      </c>
      <c r="Z550" s="81" t="s">
        <v>116</v>
      </c>
      <c r="AA550" s="81" t="s">
        <v>116</v>
      </c>
      <c r="AB550" s="81" t="s">
        <v>117</v>
      </c>
      <c r="AC550" s="166">
        <v>1.30000002682209E-2</v>
      </c>
      <c r="AD550" s="349">
        <v>42825</v>
      </c>
      <c r="AG550" s="81" t="s">
        <v>238</v>
      </c>
      <c r="AH550" s="81" t="s">
        <v>118</v>
      </c>
      <c r="AK550" s="166">
        <v>5</v>
      </c>
      <c r="AM550" s="166">
        <v>0</v>
      </c>
      <c r="AO550" s="166">
        <v>0</v>
      </c>
      <c r="AP550" s="166">
        <v>0</v>
      </c>
      <c r="AQ550" s="166">
        <v>5</v>
      </c>
      <c r="AR550" s="166">
        <v>0</v>
      </c>
      <c r="AS550" s="166">
        <v>0</v>
      </c>
      <c r="AT550" s="166">
        <v>0</v>
      </c>
      <c r="AU550" s="166">
        <v>0</v>
      </c>
      <c r="AV550" s="166">
        <v>0</v>
      </c>
      <c r="AW550" s="166">
        <v>0</v>
      </c>
      <c r="AX550" s="166">
        <v>5</v>
      </c>
      <c r="AY550" s="166">
        <v>0</v>
      </c>
      <c r="AZ550" s="166">
        <v>0</v>
      </c>
      <c r="BA550" s="166">
        <v>0</v>
      </c>
      <c r="BB550" s="166">
        <v>0</v>
      </c>
      <c r="BC550" s="166">
        <v>0</v>
      </c>
      <c r="BD550" s="166">
        <v>0</v>
      </c>
      <c r="BE550" s="166">
        <v>0</v>
      </c>
      <c r="BF550" s="166">
        <v>0</v>
      </c>
      <c r="BG550" s="166">
        <v>0</v>
      </c>
      <c r="BH550" s="166">
        <v>0</v>
      </c>
      <c r="BI550" s="166">
        <v>0</v>
      </c>
      <c r="BJ550" s="166">
        <v>0</v>
      </c>
      <c r="BK550" s="166">
        <v>0</v>
      </c>
      <c r="BL550" s="166">
        <v>0</v>
      </c>
      <c r="BM550" s="166">
        <v>0</v>
      </c>
      <c r="BN550" s="166">
        <v>0</v>
      </c>
      <c r="BO550" s="166">
        <v>0</v>
      </c>
      <c r="BP550" s="166">
        <v>0</v>
      </c>
      <c r="BQ550" s="81" t="s">
        <v>1758</v>
      </c>
      <c r="BT550" s="81" t="s">
        <v>155</v>
      </c>
      <c r="BZ550" s="81" t="s">
        <v>155</v>
      </c>
      <c r="CA550" s="81" t="s">
        <v>3934</v>
      </c>
      <c r="CC550" s="167">
        <v>0</v>
      </c>
      <c r="CD550" s="167">
        <v>0</v>
      </c>
      <c r="CE550" s="167">
        <f>N550</f>
        <v>5</v>
      </c>
      <c r="CF550" s="167">
        <v>0</v>
      </c>
      <c r="CG550" s="167">
        <v>0</v>
      </c>
      <c r="CH550" s="167">
        <v>0</v>
      </c>
      <c r="CI550" s="167">
        <v>0</v>
      </c>
      <c r="CJ550" s="167">
        <v>0</v>
      </c>
      <c r="CK550" s="167">
        <v>0</v>
      </c>
      <c r="CL550" s="167">
        <v>0</v>
      </c>
      <c r="CM550" s="167">
        <v>0</v>
      </c>
      <c r="CN550" s="167">
        <v>0</v>
      </c>
      <c r="CO550" s="167">
        <v>0</v>
      </c>
      <c r="CP550" s="167">
        <v>0</v>
      </c>
      <c r="CQ550" s="167">
        <v>0</v>
      </c>
      <c r="CR550" s="167">
        <v>0</v>
      </c>
      <c r="CS550" s="167">
        <v>0</v>
      </c>
      <c r="CT550" s="167">
        <v>0</v>
      </c>
      <c r="CU550" s="167">
        <v>0</v>
      </c>
      <c r="CV550" s="167">
        <v>0</v>
      </c>
      <c r="CW550" s="167">
        <v>0</v>
      </c>
      <c r="CX550" s="167">
        <f>SUM(CD550:CH550)</f>
        <v>5</v>
      </c>
      <c r="CY550" s="167">
        <f>SUM(CD550:CM550)</f>
        <v>5</v>
      </c>
    </row>
    <row r="551" spans="1:103" ht="12.75" customHeight="1" x14ac:dyDescent="0.2">
      <c r="A551" s="81">
        <v>5793</v>
      </c>
      <c r="B551" s="165" t="s">
        <v>1908</v>
      </c>
      <c r="C551" s="165" t="s">
        <v>449</v>
      </c>
      <c r="E551" s="165" t="s">
        <v>3409</v>
      </c>
      <c r="F551" s="165" t="s">
        <v>460</v>
      </c>
      <c r="G551" s="81">
        <v>525347</v>
      </c>
      <c r="H551" s="81">
        <v>175071</v>
      </c>
      <c r="I551" s="165" t="s">
        <v>259</v>
      </c>
      <c r="J551" s="349">
        <v>42825</v>
      </c>
      <c r="L551" s="166">
        <v>0</v>
      </c>
      <c r="M551" s="166">
        <v>1</v>
      </c>
      <c r="N551" s="166">
        <v>1</v>
      </c>
      <c r="O551" s="166">
        <v>85</v>
      </c>
      <c r="P551" s="166">
        <v>85</v>
      </c>
      <c r="Q551" s="81" t="s">
        <v>155</v>
      </c>
      <c r="R551" s="165" t="s">
        <v>900</v>
      </c>
      <c r="S551" s="81" t="s">
        <v>104</v>
      </c>
      <c r="T551" s="349">
        <v>41969</v>
      </c>
      <c r="U551" s="349">
        <v>42264</v>
      </c>
      <c r="W551" s="81" t="s">
        <v>114</v>
      </c>
      <c r="Y551" s="81" t="s">
        <v>115</v>
      </c>
      <c r="Z551" s="81" t="s">
        <v>116</v>
      </c>
      <c r="AA551" s="81" t="s">
        <v>116</v>
      </c>
      <c r="AB551" s="81" t="s">
        <v>117</v>
      </c>
      <c r="AC551" s="166">
        <v>3.0000000260770299E-3</v>
      </c>
      <c r="AD551" s="349">
        <v>42825</v>
      </c>
      <c r="AG551" s="81" t="s">
        <v>74</v>
      </c>
      <c r="AH551" s="81" t="s">
        <v>1913</v>
      </c>
      <c r="AK551" s="166">
        <v>1</v>
      </c>
      <c r="AM551" s="166">
        <v>0</v>
      </c>
      <c r="AO551" s="166">
        <v>0</v>
      </c>
      <c r="AP551" s="166">
        <v>1</v>
      </c>
      <c r="AQ551" s="166">
        <v>0</v>
      </c>
      <c r="AR551" s="166">
        <v>0</v>
      </c>
      <c r="AS551" s="166">
        <v>0</v>
      </c>
      <c r="AT551" s="166">
        <v>0</v>
      </c>
      <c r="AU551" s="166">
        <v>0</v>
      </c>
      <c r="AV551" s="166">
        <v>0</v>
      </c>
      <c r="AW551" s="166">
        <v>1</v>
      </c>
      <c r="AX551" s="166">
        <v>0</v>
      </c>
      <c r="AY551" s="166">
        <v>0</v>
      </c>
      <c r="AZ551" s="166">
        <v>0</v>
      </c>
      <c r="BA551" s="166">
        <v>0</v>
      </c>
      <c r="BB551" s="166">
        <v>0</v>
      </c>
      <c r="BC551" s="166">
        <v>0</v>
      </c>
      <c r="BD551" s="166">
        <v>0</v>
      </c>
      <c r="BE551" s="166">
        <v>0</v>
      </c>
      <c r="BF551" s="166">
        <v>0</v>
      </c>
      <c r="BG551" s="166">
        <v>0</v>
      </c>
      <c r="BH551" s="166">
        <v>0</v>
      </c>
      <c r="BI551" s="166">
        <v>0</v>
      </c>
      <c r="BJ551" s="166">
        <v>0</v>
      </c>
      <c r="BK551" s="166">
        <v>0</v>
      </c>
      <c r="BL551" s="166">
        <v>0</v>
      </c>
      <c r="BM551" s="166">
        <v>0</v>
      </c>
      <c r="BN551" s="166">
        <v>0</v>
      </c>
      <c r="BO551" s="166">
        <v>0</v>
      </c>
      <c r="BP551" s="166">
        <v>0</v>
      </c>
      <c r="BQ551" s="81" t="s">
        <v>1758</v>
      </c>
      <c r="BT551" s="81" t="s">
        <v>155</v>
      </c>
      <c r="BZ551" s="81" t="s">
        <v>155</v>
      </c>
      <c r="CA551" s="81" t="s">
        <v>3934</v>
      </c>
      <c r="CC551" s="167">
        <v>0</v>
      </c>
      <c r="CD551" s="167">
        <v>0</v>
      </c>
      <c r="CE551" s="167">
        <f>N551</f>
        <v>1</v>
      </c>
      <c r="CF551" s="167">
        <v>0</v>
      </c>
      <c r="CG551" s="167">
        <v>0</v>
      </c>
      <c r="CH551" s="167">
        <v>0</v>
      </c>
      <c r="CI551" s="167">
        <v>0</v>
      </c>
      <c r="CJ551" s="167">
        <v>0</v>
      </c>
      <c r="CK551" s="167">
        <v>0</v>
      </c>
      <c r="CL551" s="167">
        <v>0</v>
      </c>
      <c r="CM551" s="167">
        <v>0</v>
      </c>
      <c r="CN551" s="167">
        <v>0</v>
      </c>
      <c r="CO551" s="167">
        <v>0</v>
      </c>
      <c r="CP551" s="167">
        <v>0</v>
      </c>
      <c r="CQ551" s="167">
        <v>0</v>
      </c>
      <c r="CR551" s="167">
        <v>0</v>
      </c>
      <c r="CS551" s="167">
        <v>0</v>
      </c>
      <c r="CT551" s="167">
        <v>0</v>
      </c>
      <c r="CU551" s="167">
        <v>0</v>
      </c>
      <c r="CV551" s="167">
        <v>0</v>
      </c>
      <c r="CW551" s="167">
        <v>0</v>
      </c>
      <c r="CX551" s="167">
        <f>SUM(CD551:CH551)</f>
        <v>1</v>
      </c>
      <c r="CY551" s="167">
        <f>SUM(CD551:CM551)</f>
        <v>1</v>
      </c>
    </row>
    <row r="552" spans="1:103" ht="12.75" customHeight="1" x14ac:dyDescent="0.2">
      <c r="A552" s="81">
        <v>5793</v>
      </c>
      <c r="B552" s="165" t="s">
        <v>1908</v>
      </c>
      <c r="C552" s="165" t="s">
        <v>449</v>
      </c>
      <c r="E552" s="165" t="s">
        <v>3409</v>
      </c>
      <c r="F552" s="165" t="s">
        <v>461</v>
      </c>
      <c r="G552" s="81">
        <v>525347</v>
      </c>
      <c r="H552" s="81">
        <v>175071</v>
      </c>
      <c r="I552" s="165" t="s">
        <v>259</v>
      </c>
      <c r="J552" s="349">
        <v>42825</v>
      </c>
      <c r="L552" s="166">
        <v>0</v>
      </c>
      <c r="M552" s="166">
        <v>5</v>
      </c>
      <c r="N552" s="166">
        <v>5</v>
      </c>
      <c r="O552" s="166">
        <v>85</v>
      </c>
      <c r="P552" s="166">
        <v>85</v>
      </c>
      <c r="Q552" s="81" t="s">
        <v>155</v>
      </c>
      <c r="R552" s="165" t="s">
        <v>900</v>
      </c>
      <c r="S552" s="81" t="s">
        <v>104</v>
      </c>
      <c r="T552" s="349">
        <v>41969</v>
      </c>
      <c r="U552" s="349">
        <v>42264</v>
      </c>
      <c r="W552" s="81" t="s">
        <v>114</v>
      </c>
      <c r="Y552" s="81" t="s">
        <v>115</v>
      </c>
      <c r="Z552" s="81" t="s">
        <v>116</v>
      </c>
      <c r="AA552" s="81" t="s">
        <v>116</v>
      </c>
      <c r="AB552" s="81" t="s">
        <v>117</v>
      </c>
      <c r="AC552" s="166">
        <v>1.30000002682209E-2</v>
      </c>
      <c r="AD552" s="349">
        <v>42825</v>
      </c>
      <c r="AG552" s="81" t="s">
        <v>238</v>
      </c>
      <c r="AH552" s="81" t="s">
        <v>118</v>
      </c>
      <c r="AK552" s="166">
        <v>5</v>
      </c>
      <c r="AM552" s="166">
        <v>0</v>
      </c>
      <c r="AO552" s="166">
        <v>0</v>
      </c>
      <c r="AP552" s="166">
        <v>0</v>
      </c>
      <c r="AQ552" s="166">
        <v>5</v>
      </c>
      <c r="AR552" s="166">
        <v>0</v>
      </c>
      <c r="AS552" s="166">
        <v>0</v>
      </c>
      <c r="AT552" s="166">
        <v>0</v>
      </c>
      <c r="AU552" s="166">
        <v>0</v>
      </c>
      <c r="AV552" s="166">
        <v>0</v>
      </c>
      <c r="AW552" s="166">
        <v>0</v>
      </c>
      <c r="AX552" s="166">
        <v>5</v>
      </c>
      <c r="AY552" s="166">
        <v>0</v>
      </c>
      <c r="AZ552" s="166">
        <v>0</v>
      </c>
      <c r="BA552" s="166">
        <v>0</v>
      </c>
      <c r="BB552" s="166">
        <v>0</v>
      </c>
      <c r="BC552" s="166">
        <v>0</v>
      </c>
      <c r="BD552" s="166">
        <v>0</v>
      </c>
      <c r="BE552" s="166">
        <v>0</v>
      </c>
      <c r="BF552" s="166">
        <v>0</v>
      </c>
      <c r="BG552" s="166">
        <v>0</v>
      </c>
      <c r="BH552" s="166">
        <v>0</v>
      </c>
      <c r="BI552" s="166">
        <v>0</v>
      </c>
      <c r="BJ552" s="166">
        <v>0</v>
      </c>
      <c r="BK552" s="166">
        <v>0</v>
      </c>
      <c r="BL552" s="166">
        <v>0</v>
      </c>
      <c r="BM552" s="166">
        <v>0</v>
      </c>
      <c r="BN552" s="166">
        <v>0</v>
      </c>
      <c r="BO552" s="166">
        <v>0</v>
      </c>
      <c r="BP552" s="166">
        <v>0</v>
      </c>
      <c r="BQ552" s="81" t="s">
        <v>1758</v>
      </c>
      <c r="BT552" s="81" t="s">
        <v>155</v>
      </c>
      <c r="BZ552" s="81" t="s">
        <v>155</v>
      </c>
      <c r="CA552" s="81" t="s">
        <v>3934</v>
      </c>
      <c r="CC552" s="167">
        <v>0</v>
      </c>
      <c r="CD552" s="167">
        <v>0</v>
      </c>
      <c r="CE552" s="167">
        <f>N552</f>
        <v>5</v>
      </c>
      <c r="CF552" s="167">
        <v>0</v>
      </c>
      <c r="CG552" s="167">
        <v>0</v>
      </c>
      <c r="CH552" s="167">
        <v>0</v>
      </c>
      <c r="CI552" s="167">
        <v>0</v>
      </c>
      <c r="CJ552" s="167">
        <v>0</v>
      </c>
      <c r="CK552" s="167">
        <v>0</v>
      </c>
      <c r="CL552" s="167">
        <v>0</v>
      </c>
      <c r="CM552" s="167">
        <v>0</v>
      </c>
      <c r="CN552" s="167">
        <v>0</v>
      </c>
      <c r="CO552" s="167">
        <v>0</v>
      </c>
      <c r="CP552" s="167">
        <v>0</v>
      </c>
      <c r="CQ552" s="167">
        <v>0</v>
      </c>
      <c r="CR552" s="167">
        <v>0</v>
      </c>
      <c r="CS552" s="167">
        <v>0</v>
      </c>
      <c r="CT552" s="167">
        <v>0</v>
      </c>
      <c r="CU552" s="167">
        <v>0</v>
      </c>
      <c r="CV552" s="167">
        <v>0</v>
      </c>
      <c r="CW552" s="167">
        <v>0</v>
      </c>
      <c r="CX552" s="167">
        <f>SUM(CD552:CH552)</f>
        <v>5</v>
      </c>
      <c r="CY552" s="167">
        <f>SUM(CD552:CM552)</f>
        <v>5</v>
      </c>
    </row>
    <row r="553" spans="1:103" x14ac:dyDescent="0.2">
      <c r="A553" s="81">
        <v>5793</v>
      </c>
      <c r="B553" s="165" t="s">
        <v>1908</v>
      </c>
      <c r="C553" s="165" t="s">
        <v>449</v>
      </c>
      <c r="E553" s="165" t="s">
        <v>3409</v>
      </c>
      <c r="F553" s="165" t="s">
        <v>462</v>
      </c>
      <c r="G553" s="81">
        <v>525347</v>
      </c>
      <c r="H553" s="81">
        <v>175071</v>
      </c>
      <c r="I553" s="165" t="s">
        <v>259</v>
      </c>
      <c r="J553" s="349">
        <v>42825</v>
      </c>
      <c r="L553" s="166">
        <v>0</v>
      </c>
      <c r="M553" s="166">
        <v>1</v>
      </c>
      <c r="N553" s="166">
        <v>1</v>
      </c>
      <c r="O553" s="166">
        <v>85</v>
      </c>
      <c r="P553" s="166">
        <v>85</v>
      </c>
      <c r="Q553" s="81" t="s">
        <v>155</v>
      </c>
      <c r="R553" s="165" t="s">
        <v>900</v>
      </c>
      <c r="S553" s="81" t="s">
        <v>104</v>
      </c>
      <c r="T553" s="349">
        <v>41969</v>
      </c>
      <c r="U553" s="349">
        <v>42264</v>
      </c>
      <c r="W553" s="81" t="s">
        <v>114</v>
      </c>
      <c r="Y553" s="81" t="s">
        <v>115</v>
      </c>
      <c r="Z553" s="81" t="s">
        <v>116</v>
      </c>
      <c r="AA553" s="81" t="s">
        <v>116</v>
      </c>
      <c r="AB553" s="81" t="s">
        <v>117</v>
      </c>
      <c r="AC553" s="166">
        <v>3.0000000260770299E-3</v>
      </c>
      <c r="AD553" s="349">
        <v>42825</v>
      </c>
      <c r="AG553" s="81" t="s">
        <v>74</v>
      </c>
      <c r="AH553" s="81" t="s">
        <v>1913</v>
      </c>
      <c r="AK553" s="166">
        <v>1</v>
      </c>
      <c r="AM553" s="166">
        <v>0</v>
      </c>
      <c r="AO553" s="166">
        <v>0</v>
      </c>
      <c r="AP553" s="166">
        <v>1</v>
      </c>
      <c r="AQ553" s="166">
        <v>0</v>
      </c>
      <c r="AR553" s="166">
        <v>0</v>
      </c>
      <c r="AS553" s="166">
        <v>0</v>
      </c>
      <c r="AT553" s="166">
        <v>0</v>
      </c>
      <c r="AU553" s="166">
        <v>0</v>
      </c>
      <c r="AV553" s="166">
        <v>0</v>
      </c>
      <c r="AW553" s="166">
        <v>1</v>
      </c>
      <c r="AX553" s="166">
        <v>0</v>
      </c>
      <c r="AY553" s="166">
        <v>0</v>
      </c>
      <c r="AZ553" s="166">
        <v>0</v>
      </c>
      <c r="BA553" s="166">
        <v>0</v>
      </c>
      <c r="BB553" s="166">
        <v>0</v>
      </c>
      <c r="BC553" s="166">
        <v>0</v>
      </c>
      <c r="BD553" s="166">
        <v>0</v>
      </c>
      <c r="BE553" s="166">
        <v>0</v>
      </c>
      <c r="BF553" s="166">
        <v>0</v>
      </c>
      <c r="BG553" s="166">
        <v>0</v>
      </c>
      <c r="BH553" s="166">
        <v>0</v>
      </c>
      <c r="BI553" s="166">
        <v>0</v>
      </c>
      <c r="BJ553" s="166">
        <v>0</v>
      </c>
      <c r="BK553" s="166">
        <v>0</v>
      </c>
      <c r="BL553" s="166">
        <v>0</v>
      </c>
      <c r="BM553" s="166">
        <v>0</v>
      </c>
      <c r="BN553" s="166">
        <v>0</v>
      </c>
      <c r="BO553" s="166">
        <v>0</v>
      </c>
      <c r="BP553" s="166">
        <v>0</v>
      </c>
      <c r="BQ553" s="81" t="s">
        <v>1758</v>
      </c>
      <c r="BT553" s="81" t="s">
        <v>155</v>
      </c>
      <c r="BZ553" s="81" t="s">
        <v>155</v>
      </c>
      <c r="CA553" s="81" t="s">
        <v>3934</v>
      </c>
      <c r="CC553" s="167">
        <v>0</v>
      </c>
      <c r="CD553" s="167">
        <v>0</v>
      </c>
      <c r="CE553" s="167">
        <f>N553</f>
        <v>1</v>
      </c>
      <c r="CF553" s="167">
        <v>0</v>
      </c>
      <c r="CG553" s="167">
        <v>0</v>
      </c>
      <c r="CH553" s="167">
        <v>0</v>
      </c>
      <c r="CI553" s="167">
        <v>0</v>
      </c>
      <c r="CJ553" s="167">
        <v>0</v>
      </c>
      <c r="CK553" s="167">
        <v>0</v>
      </c>
      <c r="CL553" s="167">
        <v>0</v>
      </c>
      <c r="CM553" s="167">
        <v>0</v>
      </c>
      <c r="CN553" s="167">
        <v>0</v>
      </c>
      <c r="CO553" s="167">
        <v>0</v>
      </c>
      <c r="CP553" s="167">
        <v>0</v>
      </c>
      <c r="CQ553" s="167">
        <v>0</v>
      </c>
      <c r="CR553" s="167">
        <v>0</v>
      </c>
      <c r="CS553" s="167">
        <v>0</v>
      </c>
      <c r="CT553" s="167">
        <v>0</v>
      </c>
      <c r="CU553" s="167">
        <v>0</v>
      </c>
      <c r="CV553" s="167">
        <v>0</v>
      </c>
      <c r="CW553" s="167">
        <v>0</v>
      </c>
      <c r="CX553" s="167">
        <f>SUM(CD553:CH553)</f>
        <v>1</v>
      </c>
      <c r="CY553" s="167">
        <f>SUM(CD553:CM553)</f>
        <v>1</v>
      </c>
    </row>
    <row r="554" spans="1:103" ht="12.75" customHeight="1" x14ac:dyDescent="0.2">
      <c r="A554" s="81">
        <v>5793</v>
      </c>
      <c r="B554" s="165" t="s">
        <v>1908</v>
      </c>
      <c r="C554" s="165" t="s">
        <v>449</v>
      </c>
      <c r="E554" s="165" t="s">
        <v>3409</v>
      </c>
      <c r="F554" s="165" t="s">
        <v>463</v>
      </c>
      <c r="G554" s="81">
        <v>525347</v>
      </c>
      <c r="H554" s="81">
        <v>175071</v>
      </c>
      <c r="I554" s="165" t="s">
        <v>259</v>
      </c>
      <c r="J554" s="349">
        <v>42825</v>
      </c>
      <c r="L554" s="166">
        <v>0</v>
      </c>
      <c r="M554" s="166">
        <v>4</v>
      </c>
      <c r="N554" s="166">
        <v>4</v>
      </c>
      <c r="O554" s="166">
        <v>85</v>
      </c>
      <c r="P554" s="166">
        <v>85</v>
      </c>
      <c r="Q554" s="81" t="s">
        <v>155</v>
      </c>
      <c r="R554" s="165" t="s">
        <v>900</v>
      </c>
      <c r="S554" s="81" t="s">
        <v>104</v>
      </c>
      <c r="T554" s="349">
        <v>41969</v>
      </c>
      <c r="U554" s="349">
        <v>42264</v>
      </c>
      <c r="W554" s="81" t="s">
        <v>114</v>
      </c>
      <c r="Y554" s="81" t="s">
        <v>115</v>
      </c>
      <c r="Z554" s="81" t="s">
        <v>116</v>
      </c>
      <c r="AA554" s="81" t="s">
        <v>116</v>
      </c>
      <c r="AB554" s="81" t="s">
        <v>117</v>
      </c>
      <c r="AC554" s="166">
        <v>9.9999997764825804E-3</v>
      </c>
      <c r="AD554" s="349">
        <v>42825</v>
      </c>
      <c r="AG554" s="81" t="s">
        <v>238</v>
      </c>
      <c r="AH554" s="81" t="s">
        <v>118</v>
      </c>
      <c r="AK554" s="166">
        <v>4</v>
      </c>
      <c r="AM554" s="166">
        <v>0</v>
      </c>
      <c r="AO554" s="166">
        <v>0</v>
      </c>
      <c r="AP554" s="166">
        <v>0</v>
      </c>
      <c r="AQ554" s="166">
        <v>3</v>
      </c>
      <c r="AR554" s="166">
        <v>1</v>
      </c>
      <c r="AS554" s="166">
        <v>0</v>
      </c>
      <c r="AT554" s="166">
        <v>0</v>
      </c>
      <c r="AU554" s="166">
        <v>0</v>
      </c>
      <c r="AV554" s="166">
        <v>0</v>
      </c>
      <c r="AW554" s="166">
        <v>0</v>
      </c>
      <c r="AX554" s="166">
        <v>3</v>
      </c>
      <c r="AY554" s="166">
        <v>1</v>
      </c>
      <c r="AZ554" s="166">
        <v>0</v>
      </c>
      <c r="BA554" s="166">
        <v>0</v>
      </c>
      <c r="BB554" s="166">
        <v>0</v>
      </c>
      <c r="BC554" s="166">
        <v>0</v>
      </c>
      <c r="BD554" s="166">
        <v>0</v>
      </c>
      <c r="BE554" s="166">
        <v>0</v>
      </c>
      <c r="BF554" s="166">
        <v>0</v>
      </c>
      <c r="BG554" s="166">
        <v>0</v>
      </c>
      <c r="BH554" s="166">
        <v>0</v>
      </c>
      <c r="BI554" s="166">
        <v>0</v>
      </c>
      <c r="BJ554" s="166">
        <v>0</v>
      </c>
      <c r="BK554" s="166">
        <v>0</v>
      </c>
      <c r="BL554" s="166">
        <v>0</v>
      </c>
      <c r="BM554" s="166">
        <v>0</v>
      </c>
      <c r="BN554" s="166">
        <v>0</v>
      </c>
      <c r="BO554" s="166">
        <v>0</v>
      </c>
      <c r="BP554" s="166">
        <v>0</v>
      </c>
      <c r="BQ554" s="81" t="s">
        <v>1758</v>
      </c>
      <c r="BT554" s="81" t="s">
        <v>155</v>
      </c>
      <c r="BZ554" s="81" t="s">
        <v>155</v>
      </c>
      <c r="CA554" s="81" t="s">
        <v>3934</v>
      </c>
      <c r="CC554" s="167">
        <v>0</v>
      </c>
      <c r="CD554" s="167">
        <v>0</v>
      </c>
      <c r="CE554" s="167">
        <f>N554</f>
        <v>4</v>
      </c>
      <c r="CF554" s="167">
        <v>0</v>
      </c>
      <c r="CG554" s="167">
        <v>0</v>
      </c>
      <c r="CH554" s="167">
        <v>0</v>
      </c>
      <c r="CI554" s="167">
        <v>0</v>
      </c>
      <c r="CJ554" s="167">
        <v>0</v>
      </c>
      <c r="CK554" s="167">
        <v>0</v>
      </c>
      <c r="CL554" s="167">
        <v>0</v>
      </c>
      <c r="CM554" s="167">
        <v>0</v>
      </c>
      <c r="CN554" s="167">
        <v>0</v>
      </c>
      <c r="CO554" s="167">
        <v>0</v>
      </c>
      <c r="CP554" s="167">
        <v>0</v>
      </c>
      <c r="CQ554" s="167">
        <v>0</v>
      </c>
      <c r="CR554" s="167">
        <v>0</v>
      </c>
      <c r="CS554" s="167">
        <v>0</v>
      </c>
      <c r="CT554" s="167">
        <v>0</v>
      </c>
      <c r="CU554" s="167">
        <v>0</v>
      </c>
      <c r="CV554" s="167">
        <v>0</v>
      </c>
      <c r="CW554" s="167">
        <v>0</v>
      </c>
      <c r="CX554" s="167">
        <f>SUM(CD554:CH554)</f>
        <v>4</v>
      </c>
      <c r="CY554" s="167">
        <f>SUM(CD554:CM554)</f>
        <v>4</v>
      </c>
    </row>
    <row r="555" spans="1:103" ht="12.75" customHeight="1" x14ac:dyDescent="0.2">
      <c r="A555" s="81">
        <v>5793</v>
      </c>
      <c r="B555" s="165" t="s">
        <v>1908</v>
      </c>
      <c r="C555" s="165" t="s">
        <v>449</v>
      </c>
      <c r="E555" s="165" t="s">
        <v>3409</v>
      </c>
      <c r="F555" s="165" t="s">
        <v>464</v>
      </c>
      <c r="G555" s="81">
        <v>525347</v>
      </c>
      <c r="H555" s="81">
        <v>175071</v>
      </c>
      <c r="I555" s="165" t="s">
        <v>259</v>
      </c>
      <c r="J555" s="349">
        <v>42825</v>
      </c>
      <c r="L555" s="166">
        <v>0</v>
      </c>
      <c r="M555" s="166">
        <v>3</v>
      </c>
      <c r="N555" s="166">
        <v>3</v>
      </c>
      <c r="O555" s="166">
        <v>85</v>
      </c>
      <c r="P555" s="166">
        <v>85</v>
      </c>
      <c r="Q555" s="81" t="s">
        <v>155</v>
      </c>
      <c r="R555" s="165" t="s">
        <v>900</v>
      </c>
      <c r="S555" s="81" t="s">
        <v>104</v>
      </c>
      <c r="T555" s="349">
        <v>41969</v>
      </c>
      <c r="U555" s="349">
        <v>42264</v>
      </c>
      <c r="W555" s="81" t="s">
        <v>114</v>
      </c>
      <c r="Y555" s="81" t="s">
        <v>115</v>
      </c>
      <c r="Z555" s="81" t="s">
        <v>116</v>
      </c>
      <c r="AA555" s="81" t="s">
        <v>116</v>
      </c>
      <c r="AB555" s="81" t="s">
        <v>117</v>
      </c>
      <c r="AC555" s="166">
        <v>8.0000003799796104E-3</v>
      </c>
      <c r="AD555" s="349">
        <v>42825</v>
      </c>
      <c r="AG555" s="81" t="s">
        <v>238</v>
      </c>
      <c r="AH555" s="81" t="s">
        <v>118</v>
      </c>
      <c r="AK555" s="166">
        <v>3</v>
      </c>
      <c r="AM555" s="166">
        <v>0</v>
      </c>
      <c r="AO555" s="166">
        <v>0</v>
      </c>
      <c r="AP555" s="166">
        <v>1</v>
      </c>
      <c r="AQ555" s="166">
        <v>1</v>
      </c>
      <c r="AR555" s="166">
        <v>1</v>
      </c>
      <c r="AS555" s="166">
        <v>0</v>
      </c>
      <c r="AT555" s="166">
        <v>0</v>
      </c>
      <c r="AU555" s="166">
        <v>0</v>
      </c>
      <c r="AV555" s="166">
        <v>0</v>
      </c>
      <c r="AW555" s="166">
        <v>1</v>
      </c>
      <c r="AX555" s="166">
        <v>1</v>
      </c>
      <c r="AY555" s="166">
        <v>1</v>
      </c>
      <c r="AZ555" s="166">
        <v>0</v>
      </c>
      <c r="BA555" s="166">
        <v>0</v>
      </c>
      <c r="BB555" s="166">
        <v>0</v>
      </c>
      <c r="BC555" s="166">
        <v>0</v>
      </c>
      <c r="BD555" s="166">
        <v>0</v>
      </c>
      <c r="BE555" s="166">
        <v>0</v>
      </c>
      <c r="BF555" s="166">
        <v>0</v>
      </c>
      <c r="BG555" s="166">
        <v>0</v>
      </c>
      <c r="BH555" s="166">
        <v>0</v>
      </c>
      <c r="BI555" s="166">
        <v>0</v>
      </c>
      <c r="BJ555" s="166">
        <v>0</v>
      </c>
      <c r="BK555" s="166">
        <v>0</v>
      </c>
      <c r="BL555" s="166">
        <v>0</v>
      </c>
      <c r="BM555" s="166">
        <v>0</v>
      </c>
      <c r="BN555" s="166">
        <v>0</v>
      </c>
      <c r="BO555" s="166">
        <v>0</v>
      </c>
      <c r="BP555" s="166">
        <v>0</v>
      </c>
      <c r="BQ555" s="81" t="s">
        <v>1758</v>
      </c>
      <c r="BT555" s="81" t="s">
        <v>155</v>
      </c>
      <c r="BZ555" s="81" t="s">
        <v>155</v>
      </c>
      <c r="CA555" s="81" t="s">
        <v>3934</v>
      </c>
      <c r="CC555" s="167">
        <v>0</v>
      </c>
      <c r="CD555" s="167">
        <v>0</v>
      </c>
      <c r="CE555" s="167">
        <f>N555</f>
        <v>3</v>
      </c>
      <c r="CF555" s="167">
        <v>0</v>
      </c>
      <c r="CG555" s="167">
        <v>0</v>
      </c>
      <c r="CH555" s="167">
        <v>0</v>
      </c>
      <c r="CI555" s="167">
        <v>0</v>
      </c>
      <c r="CJ555" s="167">
        <v>0</v>
      </c>
      <c r="CK555" s="167">
        <v>0</v>
      </c>
      <c r="CL555" s="167">
        <v>0</v>
      </c>
      <c r="CM555" s="167">
        <v>0</v>
      </c>
      <c r="CN555" s="167">
        <v>0</v>
      </c>
      <c r="CO555" s="167">
        <v>0</v>
      </c>
      <c r="CP555" s="167">
        <v>0</v>
      </c>
      <c r="CQ555" s="167">
        <v>0</v>
      </c>
      <c r="CR555" s="167">
        <v>0</v>
      </c>
      <c r="CS555" s="167">
        <v>0</v>
      </c>
      <c r="CT555" s="167">
        <v>0</v>
      </c>
      <c r="CU555" s="167">
        <v>0</v>
      </c>
      <c r="CV555" s="167">
        <v>0</v>
      </c>
      <c r="CW555" s="167">
        <v>0</v>
      </c>
      <c r="CX555" s="167">
        <f>SUM(CD555:CH555)</f>
        <v>3</v>
      </c>
      <c r="CY555" s="167">
        <f>SUM(CD555:CM555)</f>
        <v>3</v>
      </c>
    </row>
    <row r="556" spans="1:103" x14ac:dyDescent="0.2">
      <c r="A556" s="81">
        <v>5793</v>
      </c>
      <c r="B556" s="165" t="s">
        <v>1908</v>
      </c>
      <c r="C556" s="165" t="s">
        <v>449</v>
      </c>
      <c r="E556" s="165" t="s">
        <v>3409</v>
      </c>
      <c r="F556" s="165" t="s">
        <v>465</v>
      </c>
      <c r="G556" s="81">
        <v>525347</v>
      </c>
      <c r="H556" s="81">
        <v>175071</v>
      </c>
      <c r="I556" s="165" t="s">
        <v>259</v>
      </c>
      <c r="J556" s="349">
        <v>42825</v>
      </c>
      <c r="L556" s="166">
        <v>0</v>
      </c>
      <c r="M556" s="166">
        <v>2</v>
      </c>
      <c r="N556" s="166">
        <v>2</v>
      </c>
      <c r="O556" s="166">
        <v>85</v>
      </c>
      <c r="P556" s="166">
        <v>85</v>
      </c>
      <c r="Q556" s="81" t="s">
        <v>155</v>
      </c>
      <c r="R556" s="165" t="s">
        <v>900</v>
      </c>
      <c r="S556" s="81" t="s">
        <v>104</v>
      </c>
      <c r="T556" s="349">
        <v>41969</v>
      </c>
      <c r="U556" s="349">
        <v>42264</v>
      </c>
      <c r="W556" s="81" t="s">
        <v>114</v>
      </c>
      <c r="Y556" s="81" t="s">
        <v>115</v>
      </c>
      <c r="Z556" s="81" t="s">
        <v>116</v>
      </c>
      <c r="AA556" s="81" t="s">
        <v>116</v>
      </c>
      <c r="AB556" s="81" t="s">
        <v>218</v>
      </c>
      <c r="AC556" s="166">
        <v>4.9999998882412902E-3</v>
      </c>
      <c r="AD556" s="349">
        <v>42825</v>
      </c>
      <c r="AG556" s="81" t="s">
        <v>238</v>
      </c>
      <c r="AH556" s="81" t="s">
        <v>118</v>
      </c>
      <c r="AK556" s="166">
        <v>2</v>
      </c>
      <c r="AM556" s="166">
        <v>0</v>
      </c>
      <c r="AO556" s="166">
        <v>0</v>
      </c>
      <c r="AP556" s="166">
        <v>0</v>
      </c>
      <c r="AQ556" s="166">
        <v>1</v>
      </c>
      <c r="AR556" s="166">
        <v>1</v>
      </c>
      <c r="AS556" s="166">
        <v>0</v>
      </c>
      <c r="AT556" s="166">
        <v>0</v>
      </c>
      <c r="AU556" s="166">
        <v>0</v>
      </c>
      <c r="AV556" s="166">
        <v>0</v>
      </c>
      <c r="AW556" s="166">
        <v>0</v>
      </c>
      <c r="AX556" s="166">
        <v>1</v>
      </c>
      <c r="AY556" s="166">
        <v>1</v>
      </c>
      <c r="AZ556" s="166">
        <v>0</v>
      </c>
      <c r="BA556" s="166">
        <v>0</v>
      </c>
      <c r="BB556" s="166">
        <v>0</v>
      </c>
      <c r="BC556" s="166">
        <v>0</v>
      </c>
      <c r="BD556" s="166">
        <v>0</v>
      </c>
      <c r="BE556" s="166">
        <v>0</v>
      </c>
      <c r="BF556" s="166">
        <v>0</v>
      </c>
      <c r="BG556" s="166">
        <v>0</v>
      </c>
      <c r="BH556" s="166">
        <v>0</v>
      </c>
      <c r="BI556" s="166">
        <v>0</v>
      </c>
      <c r="BJ556" s="166">
        <v>0</v>
      </c>
      <c r="BK556" s="166">
        <v>0</v>
      </c>
      <c r="BL556" s="166">
        <v>0</v>
      </c>
      <c r="BM556" s="166">
        <v>0</v>
      </c>
      <c r="BN556" s="166">
        <v>0</v>
      </c>
      <c r="BO556" s="166">
        <v>0</v>
      </c>
      <c r="BP556" s="166">
        <v>0</v>
      </c>
      <c r="BQ556" s="81" t="s">
        <v>1758</v>
      </c>
      <c r="BT556" s="81" t="s">
        <v>155</v>
      </c>
      <c r="BZ556" s="81" t="s">
        <v>155</v>
      </c>
      <c r="CA556" s="81" t="s">
        <v>3934</v>
      </c>
      <c r="CC556" s="167">
        <v>0</v>
      </c>
      <c r="CD556" s="167">
        <v>0</v>
      </c>
      <c r="CE556" s="167">
        <f>N556</f>
        <v>2</v>
      </c>
      <c r="CF556" s="167">
        <v>0</v>
      </c>
      <c r="CG556" s="167">
        <v>0</v>
      </c>
      <c r="CH556" s="167">
        <v>0</v>
      </c>
      <c r="CI556" s="167">
        <v>0</v>
      </c>
      <c r="CJ556" s="167">
        <v>0</v>
      </c>
      <c r="CK556" s="167">
        <v>0</v>
      </c>
      <c r="CL556" s="167">
        <v>0</v>
      </c>
      <c r="CM556" s="167">
        <v>0</v>
      </c>
      <c r="CN556" s="167">
        <v>0</v>
      </c>
      <c r="CO556" s="167">
        <v>0</v>
      </c>
      <c r="CP556" s="167">
        <v>0</v>
      </c>
      <c r="CQ556" s="167">
        <v>0</v>
      </c>
      <c r="CR556" s="167">
        <v>0</v>
      </c>
      <c r="CS556" s="167">
        <v>0</v>
      </c>
      <c r="CT556" s="167">
        <v>0</v>
      </c>
      <c r="CU556" s="167">
        <v>0</v>
      </c>
      <c r="CV556" s="167">
        <v>0</v>
      </c>
      <c r="CW556" s="167">
        <v>0</v>
      </c>
      <c r="CX556" s="167">
        <f>SUM(CD556:CH556)</f>
        <v>2</v>
      </c>
      <c r="CY556" s="167">
        <f>SUM(CD556:CM556)</f>
        <v>2</v>
      </c>
    </row>
    <row r="557" spans="1:103" ht="12.75" customHeight="1" x14ac:dyDescent="0.2">
      <c r="A557" s="81">
        <v>5793</v>
      </c>
      <c r="B557" s="165" t="s">
        <v>1908</v>
      </c>
      <c r="C557" s="165" t="s">
        <v>449</v>
      </c>
      <c r="E557" s="165" t="s">
        <v>3409</v>
      </c>
      <c r="F557" s="165" t="s">
        <v>466</v>
      </c>
      <c r="G557" s="81">
        <v>525347</v>
      </c>
      <c r="H557" s="81">
        <v>175071</v>
      </c>
      <c r="I557" s="165" t="s">
        <v>259</v>
      </c>
      <c r="J557" s="349">
        <v>42825</v>
      </c>
      <c r="L557" s="166">
        <v>0</v>
      </c>
      <c r="M557" s="166">
        <v>1</v>
      </c>
      <c r="N557" s="166">
        <v>1</v>
      </c>
      <c r="O557" s="166">
        <v>85</v>
      </c>
      <c r="P557" s="166">
        <v>85</v>
      </c>
      <c r="Q557" s="81" t="s">
        <v>155</v>
      </c>
      <c r="R557" s="165" t="s">
        <v>900</v>
      </c>
      <c r="S557" s="81" t="s">
        <v>104</v>
      </c>
      <c r="T557" s="349">
        <v>41969</v>
      </c>
      <c r="U557" s="349">
        <v>42264</v>
      </c>
      <c r="W557" s="81" t="s">
        <v>114</v>
      </c>
      <c r="Y557" s="81" t="s">
        <v>115</v>
      </c>
      <c r="Z557" s="81" t="s">
        <v>116</v>
      </c>
      <c r="AA557" s="81" t="s">
        <v>116</v>
      </c>
      <c r="AB557" s="81" t="s">
        <v>117</v>
      </c>
      <c r="AC557" s="166">
        <v>3.0000000260770299E-3</v>
      </c>
      <c r="AD557" s="349">
        <v>42825</v>
      </c>
      <c r="AG557" s="81" t="s">
        <v>74</v>
      </c>
      <c r="AH557" s="81" t="s">
        <v>1913</v>
      </c>
      <c r="AK557" s="166">
        <v>1</v>
      </c>
      <c r="AM557" s="166">
        <v>1</v>
      </c>
      <c r="AO557" s="166">
        <v>0</v>
      </c>
      <c r="AP557" s="166">
        <v>1</v>
      </c>
      <c r="AQ557" s="166">
        <v>0</v>
      </c>
      <c r="AR557" s="166">
        <v>0</v>
      </c>
      <c r="AS557" s="166">
        <v>0</v>
      </c>
      <c r="AT557" s="166">
        <v>0</v>
      </c>
      <c r="AU557" s="166">
        <v>0</v>
      </c>
      <c r="AV557" s="166">
        <v>0</v>
      </c>
      <c r="AW557" s="166">
        <v>1</v>
      </c>
      <c r="AX557" s="166">
        <v>0</v>
      </c>
      <c r="AY557" s="166">
        <v>0</v>
      </c>
      <c r="AZ557" s="166">
        <v>0</v>
      </c>
      <c r="BA557" s="166">
        <v>0</v>
      </c>
      <c r="BB557" s="166">
        <v>0</v>
      </c>
      <c r="BC557" s="166">
        <v>0</v>
      </c>
      <c r="BD557" s="166">
        <v>0</v>
      </c>
      <c r="BE557" s="166">
        <v>0</v>
      </c>
      <c r="BF557" s="166">
        <v>0</v>
      </c>
      <c r="BG557" s="166">
        <v>0</v>
      </c>
      <c r="BH557" s="166">
        <v>0</v>
      </c>
      <c r="BI557" s="166">
        <v>0</v>
      </c>
      <c r="BJ557" s="166">
        <v>0</v>
      </c>
      <c r="BK557" s="166">
        <v>0</v>
      </c>
      <c r="BL557" s="166">
        <v>0</v>
      </c>
      <c r="BM557" s="166">
        <v>0</v>
      </c>
      <c r="BN557" s="166">
        <v>0</v>
      </c>
      <c r="BO557" s="166">
        <v>0</v>
      </c>
      <c r="BP557" s="166">
        <v>0</v>
      </c>
      <c r="BQ557" s="81" t="s">
        <v>1758</v>
      </c>
      <c r="BT557" s="81" t="s">
        <v>155</v>
      </c>
      <c r="BZ557" s="81" t="s">
        <v>155</v>
      </c>
      <c r="CA557" s="81" t="s">
        <v>3934</v>
      </c>
      <c r="CC557" s="167">
        <v>0</v>
      </c>
      <c r="CD557" s="167">
        <v>0</v>
      </c>
      <c r="CE557" s="167">
        <f>N557</f>
        <v>1</v>
      </c>
      <c r="CF557" s="167">
        <v>0</v>
      </c>
      <c r="CG557" s="167">
        <v>0</v>
      </c>
      <c r="CH557" s="167">
        <v>0</v>
      </c>
      <c r="CI557" s="167">
        <v>0</v>
      </c>
      <c r="CJ557" s="167">
        <v>0</v>
      </c>
      <c r="CK557" s="167">
        <v>0</v>
      </c>
      <c r="CL557" s="167">
        <v>0</v>
      </c>
      <c r="CM557" s="167">
        <v>0</v>
      </c>
      <c r="CN557" s="167">
        <v>0</v>
      </c>
      <c r="CO557" s="167">
        <v>0</v>
      </c>
      <c r="CP557" s="167">
        <v>0</v>
      </c>
      <c r="CQ557" s="167">
        <v>0</v>
      </c>
      <c r="CR557" s="167">
        <v>0</v>
      </c>
      <c r="CS557" s="167">
        <v>0</v>
      </c>
      <c r="CT557" s="167">
        <v>0</v>
      </c>
      <c r="CU557" s="167">
        <v>0</v>
      </c>
      <c r="CV557" s="167">
        <v>0</v>
      </c>
      <c r="CW557" s="167">
        <v>0</v>
      </c>
      <c r="CX557" s="167">
        <f>SUM(CD557:CH557)</f>
        <v>1</v>
      </c>
      <c r="CY557" s="167">
        <f>SUM(CD557:CM557)</f>
        <v>1</v>
      </c>
    </row>
    <row r="558" spans="1:103" ht="12.75" customHeight="1" x14ac:dyDescent="0.2">
      <c r="A558" s="81">
        <v>5793</v>
      </c>
      <c r="B558" s="165" t="s">
        <v>1908</v>
      </c>
      <c r="C558" s="165" t="s">
        <v>449</v>
      </c>
      <c r="E558" s="165" t="s">
        <v>3409</v>
      </c>
      <c r="F558" s="165" t="s">
        <v>467</v>
      </c>
      <c r="G558" s="81">
        <v>525347</v>
      </c>
      <c r="H558" s="81">
        <v>175071</v>
      </c>
      <c r="I558" s="165" t="s">
        <v>259</v>
      </c>
      <c r="J558" s="349">
        <v>42825</v>
      </c>
      <c r="L558" s="166">
        <v>0</v>
      </c>
      <c r="M558" s="166">
        <v>3</v>
      </c>
      <c r="N558" s="166">
        <v>3</v>
      </c>
      <c r="O558" s="166">
        <v>85</v>
      </c>
      <c r="P558" s="166">
        <v>85</v>
      </c>
      <c r="Q558" s="81" t="s">
        <v>155</v>
      </c>
      <c r="R558" s="165" t="s">
        <v>900</v>
      </c>
      <c r="S558" s="81" t="s">
        <v>104</v>
      </c>
      <c r="T558" s="349">
        <v>41969</v>
      </c>
      <c r="U558" s="349">
        <v>42264</v>
      </c>
      <c r="W558" s="81" t="s">
        <v>114</v>
      </c>
      <c r="Y558" s="81" t="s">
        <v>115</v>
      </c>
      <c r="Z558" s="81" t="s">
        <v>116</v>
      </c>
      <c r="AA558" s="81" t="s">
        <v>116</v>
      </c>
      <c r="AB558" s="81" t="s">
        <v>117</v>
      </c>
      <c r="AC558" s="166">
        <v>8.0000003799796104E-3</v>
      </c>
      <c r="AD558" s="349">
        <v>42825</v>
      </c>
      <c r="AG558" s="81" t="s">
        <v>238</v>
      </c>
      <c r="AH558" s="81" t="s">
        <v>118</v>
      </c>
      <c r="AK558" s="166">
        <v>3</v>
      </c>
      <c r="AM558" s="166">
        <v>0</v>
      </c>
      <c r="AO558" s="166">
        <v>0</v>
      </c>
      <c r="AP558" s="166">
        <v>1</v>
      </c>
      <c r="AQ558" s="166">
        <v>1</v>
      </c>
      <c r="AR558" s="166">
        <v>1</v>
      </c>
      <c r="AS558" s="166">
        <v>0</v>
      </c>
      <c r="AT558" s="166">
        <v>0</v>
      </c>
      <c r="AU558" s="166">
        <v>0</v>
      </c>
      <c r="AV558" s="166">
        <v>0</v>
      </c>
      <c r="AW558" s="166">
        <v>1</v>
      </c>
      <c r="AX558" s="166">
        <v>1</v>
      </c>
      <c r="AY558" s="166">
        <v>1</v>
      </c>
      <c r="AZ558" s="166">
        <v>0</v>
      </c>
      <c r="BA558" s="166">
        <v>0</v>
      </c>
      <c r="BB558" s="166">
        <v>0</v>
      </c>
      <c r="BC558" s="166">
        <v>0</v>
      </c>
      <c r="BD558" s="166">
        <v>0</v>
      </c>
      <c r="BE558" s="166">
        <v>0</v>
      </c>
      <c r="BF558" s="166">
        <v>0</v>
      </c>
      <c r="BG558" s="166">
        <v>0</v>
      </c>
      <c r="BH558" s="166">
        <v>0</v>
      </c>
      <c r="BI558" s="166">
        <v>0</v>
      </c>
      <c r="BJ558" s="166">
        <v>0</v>
      </c>
      <c r="BK558" s="166">
        <v>0</v>
      </c>
      <c r="BL558" s="166">
        <v>0</v>
      </c>
      <c r="BM558" s="166">
        <v>0</v>
      </c>
      <c r="BN558" s="166">
        <v>0</v>
      </c>
      <c r="BO558" s="166">
        <v>0</v>
      </c>
      <c r="BP558" s="166">
        <v>0</v>
      </c>
      <c r="BQ558" s="81" t="s">
        <v>1758</v>
      </c>
      <c r="BT558" s="81" t="s">
        <v>155</v>
      </c>
      <c r="BZ558" s="81" t="s">
        <v>155</v>
      </c>
      <c r="CA558" s="81" t="s">
        <v>3934</v>
      </c>
      <c r="CC558" s="167">
        <v>0</v>
      </c>
      <c r="CD558" s="167">
        <v>0</v>
      </c>
      <c r="CE558" s="167">
        <f>N558</f>
        <v>3</v>
      </c>
      <c r="CF558" s="167">
        <v>0</v>
      </c>
      <c r="CG558" s="167">
        <v>0</v>
      </c>
      <c r="CH558" s="167">
        <v>0</v>
      </c>
      <c r="CI558" s="167">
        <v>0</v>
      </c>
      <c r="CJ558" s="167">
        <v>0</v>
      </c>
      <c r="CK558" s="167">
        <v>0</v>
      </c>
      <c r="CL558" s="167">
        <v>0</v>
      </c>
      <c r="CM558" s="167">
        <v>0</v>
      </c>
      <c r="CN558" s="167">
        <v>0</v>
      </c>
      <c r="CO558" s="167">
        <v>0</v>
      </c>
      <c r="CP558" s="167">
        <v>0</v>
      </c>
      <c r="CQ558" s="167">
        <v>0</v>
      </c>
      <c r="CR558" s="167">
        <v>0</v>
      </c>
      <c r="CS558" s="167">
        <v>0</v>
      </c>
      <c r="CT558" s="167">
        <v>0</v>
      </c>
      <c r="CU558" s="167">
        <v>0</v>
      </c>
      <c r="CV558" s="167">
        <v>0</v>
      </c>
      <c r="CW558" s="167">
        <v>0</v>
      </c>
      <c r="CX558" s="167">
        <f>SUM(CD558:CH558)</f>
        <v>3</v>
      </c>
      <c r="CY558" s="167">
        <f>SUM(CD558:CM558)</f>
        <v>3</v>
      </c>
    </row>
    <row r="559" spans="1:103" ht="12.75" customHeight="1" x14ac:dyDescent="0.2">
      <c r="A559" s="81">
        <v>5793</v>
      </c>
      <c r="B559" s="165" t="s">
        <v>1908</v>
      </c>
      <c r="C559" s="165" t="s">
        <v>449</v>
      </c>
      <c r="E559" s="165" t="s">
        <v>3409</v>
      </c>
      <c r="F559" s="165" t="s">
        <v>468</v>
      </c>
      <c r="G559" s="81">
        <v>525347</v>
      </c>
      <c r="H559" s="81">
        <v>175071</v>
      </c>
      <c r="I559" s="165" t="s">
        <v>259</v>
      </c>
      <c r="J559" s="349">
        <v>42825</v>
      </c>
      <c r="L559" s="166">
        <v>0</v>
      </c>
      <c r="M559" s="166">
        <v>3</v>
      </c>
      <c r="N559" s="166">
        <v>3</v>
      </c>
      <c r="O559" s="166">
        <v>85</v>
      </c>
      <c r="P559" s="166">
        <v>85</v>
      </c>
      <c r="Q559" s="81" t="s">
        <v>155</v>
      </c>
      <c r="R559" s="165" t="s">
        <v>900</v>
      </c>
      <c r="S559" s="81" t="s">
        <v>104</v>
      </c>
      <c r="T559" s="349">
        <v>41969</v>
      </c>
      <c r="U559" s="349">
        <v>42264</v>
      </c>
      <c r="W559" s="81" t="s">
        <v>114</v>
      </c>
      <c r="Y559" s="81" t="s">
        <v>115</v>
      </c>
      <c r="Z559" s="81" t="s">
        <v>116</v>
      </c>
      <c r="AA559" s="81" t="s">
        <v>116</v>
      </c>
      <c r="AB559" s="81" t="s">
        <v>117</v>
      </c>
      <c r="AC559" s="166">
        <v>8.0000003799796104E-3</v>
      </c>
      <c r="AD559" s="349">
        <v>42825</v>
      </c>
      <c r="AG559" s="81" t="s">
        <v>238</v>
      </c>
      <c r="AH559" s="81" t="s">
        <v>118</v>
      </c>
      <c r="AK559" s="166">
        <v>3</v>
      </c>
      <c r="AM559" s="166">
        <v>0</v>
      </c>
      <c r="AO559" s="166">
        <v>0</v>
      </c>
      <c r="AP559" s="166">
        <v>1</v>
      </c>
      <c r="AQ559" s="166">
        <v>1</v>
      </c>
      <c r="AR559" s="166">
        <v>1</v>
      </c>
      <c r="AS559" s="166">
        <v>0</v>
      </c>
      <c r="AT559" s="166">
        <v>0</v>
      </c>
      <c r="AU559" s="166">
        <v>0</v>
      </c>
      <c r="AV559" s="166">
        <v>0</v>
      </c>
      <c r="AW559" s="166">
        <v>1</v>
      </c>
      <c r="AX559" s="166">
        <v>1</v>
      </c>
      <c r="AY559" s="166">
        <v>1</v>
      </c>
      <c r="AZ559" s="166">
        <v>0</v>
      </c>
      <c r="BA559" s="166">
        <v>0</v>
      </c>
      <c r="BB559" s="166">
        <v>0</v>
      </c>
      <c r="BC559" s="166">
        <v>0</v>
      </c>
      <c r="BD559" s="166">
        <v>0</v>
      </c>
      <c r="BE559" s="166">
        <v>0</v>
      </c>
      <c r="BF559" s="166">
        <v>0</v>
      </c>
      <c r="BG559" s="166">
        <v>0</v>
      </c>
      <c r="BH559" s="166">
        <v>0</v>
      </c>
      <c r="BI559" s="166">
        <v>0</v>
      </c>
      <c r="BJ559" s="166">
        <v>0</v>
      </c>
      <c r="BK559" s="166">
        <v>0</v>
      </c>
      <c r="BL559" s="166">
        <v>0</v>
      </c>
      <c r="BM559" s="166">
        <v>0</v>
      </c>
      <c r="BN559" s="166">
        <v>0</v>
      </c>
      <c r="BO559" s="166">
        <v>0</v>
      </c>
      <c r="BP559" s="166">
        <v>0</v>
      </c>
      <c r="BQ559" s="81" t="s">
        <v>1758</v>
      </c>
      <c r="BT559" s="81" t="s">
        <v>155</v>
      </c>
      <c r="BZ559" s="81" t="s">
        <v>155</v>
      </c>
      <c r="CA559" s="81" t="s">
        <v>3934</v>
      </c>
      <c r="CC559" s="167">
        <v>0</v>
      </c>
      <c r="CD559" s="167">
        <v>0</v>
      </c>
      <c r="CE559" s="167">
        <f>N559</f>
        <v>3</v>
      </c>
      <c r="CF559" s="167">
        <v>0</v>
      </c>
      <c r="CG559" s="167">
        <v>0</v>
      </c>
      <c r="CH559" s="167">
        <v>0</v>
      </c>
      <c r="CI559" s="167">
        <v>0</v>
      </c>
      <c r="CJ559" s="167">
        <v>0</v>
      </c>
      <c r="CK559" s="167">
        <v>0</v>
      </c>
      <c r="CL559" s="167">
        <v>0</v>
      </c>
      <c r="CM559" s="167">
        <v>0</v>
      </c>
      <c r="CN559" s="167">
        <v>0</v>
      </c>
      <c r="CO559" s="167">
        <v>0</v>
      </c>
      <c r="CP559" s="167">
        <v>0</v>
      </c>
      <c r="CQ559" s="167">
        <v>0</v>
      </c>
      <c r="CR559" s="167">
        <v>0</v>
      </c>
      <c r="CS559" s="167">
        <v>0</v>
      </c>
      <c r="CT559" s="167">
        <v>0</v>
      </c>
      <c r="CU559" s="167">
        <v>0</v>
      </c>
      <c r="CV559" s="167">
        <v>0</v>
      </c>
      <c r="CW559" s="167">
        <v>0</v>
      </c>
      <c r="CX559" s="167">
        <f>SUM(CD559:CH559)</f>
        <v>3</v>
      </c>
      <c r="CY559" s="167">
        <f>SUM(CD559:CM559)</f>
        <v>3</v>
      </c>
    </row>
    <row r="560" spans="1:103" ht="12.75" customHeight="1" x14ac:dyDescent="0.2">
      <c r="A560" s="81">
        <v>5793</v>
      </c>
      <c r="B560" s="165" t="s">
        <v>1908</v>
      </c>
      <c r="C560" s="165" t="s">
        <v>449</v>
      </c>
      <c r="E560" s="165" t="s">
        <v>3409</v>
      </c>
      <c r="F560" s="165" t="s">
        <v>469</v>
      </c>
      <c r="G560" s="81">
        <v>525347</v>
      </c>
      <c r="H560" s="81">
        <v>175071</v>
      </c>
      <c r="I560" s="165" t="s">
        <v>259</v>
      </c>
      <c r="J560" s="349">
        <v>42825</v>
      </c>
      <c r="L560" s="166">
        <v>0</v>
      </c>
      <c r="M560" s="166">
        <v>3</v>
      </c>
      <c r="N560" s="166">
        <v>3</v>
      </c>
      <c r="O560" s="166">
        <v>85</v>
      </c>
      <c r="P560" s="166">
        <v>85</v>
      </c>
      <c r="Q560" s="81" t="s">
        <v>155</v>
      </c>
      <c r="R560" s="165" t="s">
        <v>900</v>
      </c>
      <c r="S560" s="81" t="s">
        <v>104</v>
      </c>
      <c r="T560" s="349">
        <v>41969</v>
      </c>
      <c r="U560" s="349">
        <v>42264</v>
      </c>
      <c r="W560" s="81" t="s">
        <v>114</v>
      </c>
      <c r="Y560" s="81" t="s">
        <v>115</v>
      </c>
      <c r="Z560" s="81" t="s">
        <v>116</v>
      </c>
      <c r="AA560" s="81" t="s">
        <v>116</v>
      </c>
      <c r="AB560" s="81" t="s">
        <v>117</v>
      </c>
      <c r="AC560" s="166">
        <v>8.0000003799796104E-3</v>
      </c>
      <c r="AD560" s="349">
        <v>42825</v>
      </c>
      <c r="AG560" s="81" t="s">
        <v>238</v>
      </c>
      <c r="AH560" s="81" t="s">
        <v>118</v>
      </c>
      <c r="AK560" s="166">
        <v>3</v>
      </c>
      <c r="AM560" s="166">
        <v>0</v>
      </c>
      <c r="AO560" s="166">
        <v>0</v>
      </c>
      <c r="AP560" s="166">
        <v>1</v>
      </c>
      <c r="AQ560" s="166">
        <v>1</v>
      </c>
      <c r="AR560" s="166">
        <v>1</v>
      </c>
      <c r="AS560" s="166">
        <v>0</v>
      </c>
      <c r="AT560" s="166">
        <v>0</v>
      </c>
      <c r="AU560" s="166">
        <v>0</v>
      </c>
      <c r="AV560" s="166">
        <v>0</v>
      </c>
      <c r="AW560" s="166">
        <v>1</v>
      </c>
      <c r="AX560" s="166">
        <v>1</v>
      </c>
      <c r="AY560" s="166">
        <v>1</v>
      </c>
      <c r="AZ560" s="166">
        <v>0</v>
      </c>
      <c r="BA560" s="166">
        <v>0</v>
      </c>
      <c r="BB560" s="166">
        <v>0</v>
      </c>
      <c r="BC560" s="166">
        <v>0</v>
      </c>
      <c r="BD560" s="166">
        <v>0</v>
      </c>
      <c r="BE560" s="166">
        <v>0</v>
      </c>
      <c r="BF560" s="166">
        <v>0</v>
      </c>
      <c r="BG560" s="166">
        <v>0</v>
      </c>
      <c r="BH560" s="166">
        <v>0</v>
      </c>
      <c r="BI560" s="166">
        <v>0</v>
      </c>
      <c r="BJ560" s="166">
        <v>0</v>
      </c>
      <c r="BK560" s="166">
        <v>0</v>
      </c>
      <c r="BL560" s="166">
        <v>0</v>
      </c>
      <c r="BM560" s="166">
        <v>0</v>
      </c>
      <c r="BN560" s="166">
        <v>0</v>
      </c>
      <c r="BO560" s="166">
        <v>0</v>
      </c>
      <c r="BP560" s="166">
        <v>0</v>
      </c>
      <c r="BQ560" s="81" t="s">
        <v>1758</v>
      </c>
      <c r="BT560" s="81" t="s">
        <v>155</v>
      </c>
      <c r="BZ560" s="81" t="s">
        <v>155</v>
      </c>
      <c r="CA560" s="81" t="s">
        <v>3934</v>
      </c>
      <c r="CC560" s="167">
        <v>0</v>
      </c>
      <c r="CD560" s="167">
        <v>0</v>
      </c>
      <c r="CE560" s="167">
        <f>N560</f>
        <v>3</v>
      </c>
      <c r="CF560" s="167">
        <v>0</v>
      </c>
      <c r="CG560" s="167">
        <v>0</v>
      </c>
      <c r="CH560" s="167">
        <v>0</v>
      </c>
      <c r="CI560" s="167">
        <v>0</v>
      </c>
      <c r="CJ560" s="167">
        <v>0</v>
      </c>
      <c r="CK560" s="167">
        <v>0</v>
      </c>
      <c r="CL560" s="167">
        <v>0</v>
      </c>
      <c r="CM560" s="167">
        <v>0</v>
      </c>
      <c r="CN560" s="167">
        <v>0</v>
      </c>
      <c r="CO560" s="167">
        <v>0</v>
      </c>
      <c r="CP560" s="167">
        <v>0</v>
      </c>
      <c r="CQ560" s="167">
        <v>0</v>
      </c>
      <c r="CR560" s="167">
        <v>0</v>
      </c>
      <c r="CS560" s="167">
        <v>0</v>
      </c>
      <c r="CT560" s="167">
        <v>0</v>
      </c>
      <c r="CU560" s="167">
        <v>0</v>
      </c>
      <c r="CV560" s="167">
        <v>0</v>
      </c>
      <c r="CW560" s="167">
        <v>0</v>
      </c>
      <c r="CX560" s="167">
        <f>SUM(CD560:CH560)</f>
        <v>3</v>
      </c>
      <c r="CY560" s="167">
        <f>SUM(CD560:CM560)</f>
        <v>3</v>
      </c>
    </row>
    <row r="561" spans="1:103" x14ac:dyDescent="0.2">
      <c r="A561" s="81">
        <v>5793</v>
      </c>
      <c r="B561" s="165" t="s">
        <v>1908</v>
      </c>
      <c r="C561" s="165" t="s">
        <v>449</v>
      </c>
      <c r="E561" s="165" t="s">
        <v>3409</v>
      </c>
      <c r="F561" s="165" t="s">
        <v>470</v>
      </c>
      <c r="G561" s="81">
        <v>525347</v>
      </c>
      <c r="H561" s="81">
        <v>175071</v>
      </c>
      <c r="I561" s="165" t="s">
        <v>259</v>
      </c>
      <c r="J561" s="349">
        <v>42825</v>
      </c>
      <c r="L561" s="166">
        <v>0</v>
      </c>
      <c r="M561" s="166">
        <v>3</v>
      </c>
      <c r="N561" s="166">
        <v>3</v>
      </c>
      <c r="O561" s="166">
        <v>85</v>
      </c>
      <c r="P561" s="166">
        <v>85</v>
      </c>
      <c r="Q561" s="81" t="s">
        <v>155</v>
      </c>
      <c r="R561" s="165" t="s">
        <v>900</v>
      </c>
      <c r="S561" s="81" t="s">
        <v>104</v>
      </c>
      <c r="T561" s="349">
        <v>41969</v>
      </c>
      <c r="U561" s="349">
        <v>42264</v>
      </c>
      <c r="W561" s="81" t="s">
        <v>114</v>
      </c>
      <c r="Y561" s="81" t="s">
        <v>115</v>
      </c>
      <c r="Z561" s="81" t="s">
        <v>116</v>
      </c>
      <c r="AA561" s="81" t="s">
        <v>116</v>
      </c>
      <c r="AB561" s="81" t="s">
        <v>117</v>
      </c>
      <c r="AC561" s="166">
        <v>8.0000003799796104E-3</v>
      </c>
      <c r="AD561" s="349">
        <v>42825</v>
      </c>
      <c r="AG561" s="81" t="s">
        <v>238</v>
      </c>
      <c r="AH561" s="81" t="s">
        <v>118</v>
      </c>
      <c r="AK561" s="166">
        <v>3</v>
      </c>
      <c r="AM561" s="166">
        <v>0</v>
      </c>
      <c r="AO561" s="166">
        <v>0</v>
      </c>
      <c r="AP561" s="166">
        <v>1</v>
      </c>
      <c r="AQ561" s="166">
        <v>1</v>
      </c>
      <c r="AR561" s="166">
        <v>1</v>
      </c>
      <c r="AS561" s="166">
        <v>0</v>
      </c>
      <c r="AT561" s="166">
        <v>0</v>
      </c>
      <c r="AU561" s="166">
        <v>0</v>
      </c>
      <c r="AV561" s="166">
        <v>0</v>
      </c>
      <c r="AW561" s="166">
        <v>1</v>
      </c>
      <c r="AX561" s="166">
        <v>1</v>
      </c>
      <c r="AY561" s="166">
        <v>1</v>
      </c>
      <c r="AZ561" s="166">
        <v>0</v>
      </c>
      <c r="BA561" s="166">
        <v>0</v>
      </c>
      <c r="BB561" s="166">
        <v>0</v>
      </c>
      <c r="BC561" s="166">
        <v>0</v>
      </c>
      <c r="BD561" s="166">
        <v>0</v>
      </c>
      <c r="BE561" s="166">
        <v>0</v>
      </c>
      <c r="BF561" s="166">
        <v>0</v>
      </c>
      <c r="BG561" s="166">
        <v>0</v>
      </c>
      <c r="BH561" s="166">
        <v>0</v>
      </c>
      <c r="BI561" s="166">
        <v>0</v>
      </c>
      <c r="BJ561" s="166">
        <v>0</v>
      </c>
      <c r="BK561" s="166">
        <v>0</v>
      </c>
      <c r="BL561" s="166">
        <v>0</v>
      </c>
      <c r="BM561" s="166">
        <v>0</v>
      </c>
      <c r="BN561" s="166">
        <v>0</v>
      </c>
      <c r="BO561" s="166">
        <v>0</v>
      </c>
      <c r="BP561" s="166">
        <v>0</v>
      </c>
      <c r="BQ561" s="81" t="s">
        <v>1758</v>
      </c>
      <c r="BT561" s="81" t="s">
        <v>155</v>
      </c>
      <c r="BZ561" s="81" t="s">
        <v>155</v>
      </c>
      <c r="CA561" s="81" t="s">
        <v>3934</v>
      </c>
      <c r="CC561" s="167">
        <v>0</v>
      </c>
      <c r="CD561" s="167">
        <v>0</v>
      </c>
      <c r="CE561" s="167">
        <f>N561</f>
        <v>3</v>
      </c>
      <c r="CF561" s="167">
        <v>0</v>
      </c>
      <c r="CG561" s="167">
        <v>0</v>
      </c>
      <c r="CH561" s="167">
        <v>0</v>
      </c>
      <c r="CI561" s="167">
        <v>0</v>
      </c>
      <c r="CJ561" s="167">
        <v>0</v>
      </c>
      <c r="CK561" s="167">
        <v>0</v>
      </c>
      <c r="CL561" s="167">
        <v>0</v>
      </c>
      <c r="CM561" s="167">
        <v>0</v>
      </c>
      <c r="CN561" s="167">
        <v>0</v>
      </c>
      <c r="CO561" s="167">
        <v>0</v>
      </c>
      <c r="CP561" s="167">
        <v>0</v>
      </c>
      <c r="CQ561" s="167">
        <v>0</v>
      </c>
      <c r="CR561" s="167">
        <v>0</v>
      </c>
      <c r="CS561" s="167">
        <v>0</v>
      </c>
      <c r="CT561" s="167">
        <v>0</v>
      </c>
      <c r="CU561" s="167">
        <v>0</v>
      </c>
      <c r="CV561" s="167">
        <v>0</v>
      </c>
      <c r="CW561" s="167">
        <v>0</v>
      </c>
      <c r="CX561" s="167">
        <f>SUM(CD561:CH561)</f>
        <v>3</v>
      </c>
      <c r="CY561" s="167">
        <f>SUM(CD561:CM561)</f>
        <v>3</v>
      </c>
    </row>
    <row r="562" spans="1:103" ht="12.75" customHeight="1" x14ac:dyDescent="0.2">
      <c r="A562" s="81">
        <v>5793</v>
      </c>
      <c r="B562" s="165" t="s">
        <v>1908</v>
      </c>
      <c r="C562" s="165" t="s">
        <v>449</v>
      </c>
      <c r="E562" s="165" t="s">
        <v>3409</v>
      </c>
      <c r="F562" s="165" t="s">
        <v>471</v>
      </c>
      <c r="G562" s="81">
        <v>525347</v>
      </c>
      <c r="H562" s="81">
        <v>175071</v>
      </c>
      <c r="I562" s="165" t="s">
        <v>259</v>
      </c>
      <c r="J562" s="349">
        <v>42825</v>
      </c>
      <c r="L562" s="166">
        <v>0</v>
      </c>
      <c r="M562" s="166">
        <v>3</v>
      </c>
      <c r="N562" s="166">
        <v>3</v>
      </c>
      <c r="O562" s="166">
        <v>85</v>
      </c>
      <c r="P562" s="166">
        <v>85</v>
      </c>
      <c r="Q562" s="81" t="s">
        <v>155</v>
      </c>
      <c r="R562" s="165" t="s">
        <v>900</v>
      </c>
      <c r="S562" s="81" t="s">
        <v>104</v>
      </c>
      <c r="T562" s="349">
        <v>41969</v>
      </c>
      <c r="U562" s="349">
        <v>42264</v>
      </c>
      <c r="W562" s="81" t="s">
        <v>114</v>
      </c>
      <c r="Y562" s="81" t="s">
        <v>115</v>
      </c>
      <c r="Z562" s="81" t="s">
        <v>116</v>
      </c>
      <c r="AA562" s="81" t="s">
        <v>116</v>
      </c>
      <c r="AB562" s="81" t="s">
        <v>117</v>
      </c>
      <c r="AC562" s="166">
        <v>8.0000003799796104E-3</v>
      </c>
      <c r="AD562" s="349">
        <v>42825</v>
      </c>
      <c r="AG562" s="81" t="s">
        <v>238</v>
      </c>
      <c r="AH562" s="81" t="s">
        <v>118</v>
      </c>
      <c r="AK562" s="166">
        <v>3</v>
      </c>
      <c r="AM562" s="166">
        <v>0</v>
      </c>
      <c r="AO562" s="166">
        <v>0</v>
      </c>
      <c r="AP562" s="166">
        <v>1</v>
      </c>
      <c r="AQ562" s="166">
        <v>1</v>
      </c>
      <c r="AR562" s="166">
        <v>1</v>
      </c>
      <c r="AS562" s="166">
        <v>0</v>
      </c>
      <c r="AT562" s="166">
        <v>0</v>
      </c>
      <c r="AU562" s="166">
        <v>0</v>
      </c>
      <c r="AV562" s="166">
        <v>0</v>
      </c>
      <c r="AW562" s="166">
        <v>1</v>
      </c>
      <c r="AX562" s="166">
        <v>1</v>
      </c>
      <c r="AY562" s="166">
        <v>1</v>
      </c>
      <c r="AZ562" s="166">
        <v>0</v>
      </c>
      <c r="BA562" s="166">
        <v>0</v>
      </c>
      <c r="BB562" s="166">
        <v>0</v>
      </c>
      <c r="BC562" s="166">
        <v>0</v>
      </c>
      <c r="BD562" s="166">
        <v>0</v>
      </c>
      <c r="BE562" s="166">
        <v>0</v>
      </c>
      <c r="BF562" s="166">
        <v>0</v>
      </c>
      <c r="BG562" s="166">
        <v>0</v>
      </c>
      <c r="BH562" s="166">
        <v>0</v>
      </c>
      <c r="BI562" s="166">
        <v>0</v>
      </c>
      <c r="BJ562" s="166">
        <v>0</v>
      </c>
      <c r="BK562" s="166">
        <v>0</v>
      </c>
      <c r="BL562" s="166">
        <v>0</v>
      </c>
      <c r="BM562" s="166">
        <v>0</v>
      </c>
      <c r="BN562" s="166">
        <v>0</v>
      </c>
      <c r="BO562" s="166">
        <v>0</v>
      </c>
      <c r="BP562" s="166">
        <v>0</v>
      </c>
      <c r="BQ562" s="81" t="s">
        <v>1758</v>
      </c>
      <c r="BT562" s="81" t="s">
        <v>155</v>
      </c>
      <c r="BZ562" s="81" t="s">
        <v>155</v>
      </c>
      <c r="CA562" s="81" t="s">
        <v>3934</v>
      </c>
      <c r="CC562" s="167">
        <v>0</v>
      </c>
      <c r="CD562" s="167">
        <v>0</v>
      </c>
      <c r="CE562" s="167">
        <f>N562</f>
        <v>3</v>
      </c>
      <c r="CF562" s="167">
        <v>0</v>
      </c>
      <c r="CG562" s="167">
        <v>0</v>
      </c>
      <c r="CH562" s="167">
        <v>0</v>
      </c>
      <c r="CI562" s="167">
        <v>0</v>
      </c>
      <c r="CJ562" s="167">
        <v>0</v>
      </c>
      <c r="CK562" s="167">
        <v>0</v>
      </c>
      <c r="CL562" s="167">
        <v>0</v>
      </c>
      <c r="CM562" s="167">
        <v>0</v>
      </c>
      <c r="CN562" s="167">
        <v>0</v>
      </c>
      <c r="CO562" s="167">
        <v>0</v>
      </c>
      <c r="CP562" s="167">
        <v>0</v>
      </c>
      <c r="CQ562" s="167">
        <v>0</v>
      </c>
      <c r="CR562" s="167">
        <v>0</v>
      </c>
      <c r="CS562" s="167">
        <v>0</v>
      </c>
      <c r="CT562" s="167">
        <v>0</v>
      </c>
      <c r="CU562" s="167">
        <v>0</v>
      </c>
      <c r="CV562" s="167">
        <v>0</v>
      </c>
      <c r="CW562" s="167">
        <v>0</v>
      </c>
      <c r="CX562" s="167">
        <f>SUM(CD562:CH562)</f>
        <v>3</v>
      </c>
      <c r="CY562" s="167">
        <f>SUM(CD562:CM562)</f>
        <v>3</v>
      </c>
    </row>
    <row r="563" spans="1:103" ht="12.75" customHeight="1" x14ac:dyDescent="0.2">
      <c r="A563" s="81">
        <v>5793</v>
      </c>
      <c r="B563" s="165" t="s">
        <v>1908</v>
      </c>
      <c r="C563" s="165" t="s">
        <v>449</v>
      </c>
      <c r="E563" s="165" t="s">
        <v>3409</v>
      </c>
      <c r="F563" s="165" t="s">
        <v>472</v>
      </c>
      <c r="G563" s="81">
        <v>525347</v>
      </c>
      <c r="H563" s="81">
        <v>175071</v>
      </c>
      <c r="I563" s="165" t="s">
        <v>259</v>
      </c>
      <c r="J563" s="349">
        <v>42825</v>
      </c>
      <c r="L563" s="166">
        <v>0</v>
      </c>
      <c r="M563" s="166">
        <v>2</v>
      </c>
      <c r="N563" s="166">
        <v>2</v>
      </c>
      <c r="O563" s="166">
        <v>85</v>
      </c>
      <c r="P563" s="166">
        <v>85</v>
      </c>
      <c r="Q563" s="81" t="s">
        <v>155</v>
      </c>
      <c r="R563" s="165" t="s">
        <v>900</v>
      </c>
      <c r="S563" s="81" t="s">
        <v>104</v>
      </c>
      <c r="T563" s="349">
        <v>41969</v>
      </c>
      <c r="U563" s="349">
        <v>42264</v>
      </c>
      <c r="W563" s="81" t="s">
        <v>114</v>
      </c>
      <c r="Y563" s="81" t="s">
        <v>115</v>
      </c>
      <c r="Z563" s="81" t="s">
        <v>116</v>
      </c>
      <c r="AA563" s="81" t="s">
        <v>116</v>
      </c>
      <c r="AB563" s="81" t="s">
        <v>117</v>
      </c>
      <c r="AC563" s="166">
        <v>4.9999998882412902E-3</v>
      </c>
      <c r="AD563" s="349">
        <v>42825</v>
      </c>
      <c r="AG563" s="81" t="s">
        <v>238</v>
      </c>
      <c r="AH563" s="81" t="s">
        <v>118</v>
      </c>
      <c r="AK563" s="166">
        <v>2</v>
      </c>
      <c r="AM563" s="166">
        <v>0</v>
      </c>
      <c r="AO563" s="166">
        <v>0</v>
      </c>
      <c r="AP563" s="166">
        <v>0</v>
      </c>
      <c r="AQ563" s="166">
        <v>1</v>
      </c>
      <c r="AR563" s="166">
        <v>1</v>
      </c>
      <c r="AS563" s="166">
        <v>0</v>
      </c>
      <c r="AT563" s="166">
        <v>0</v>
      </c>
      <c r="AU563" s="166">
        <v>0</v>
      </c>
      <c r="AV563" s="166">
        <v>0</v>
      </c>
      <c r="AW563" s="166">
        <v>0</v>
      </c>
      <c r="AX563" s="166">
        <v>1</v>
      </c>
      <c r="AY563" s="166">
        <v>1</v>
      </c>
      <c r="AZ563" s="166">
        <v>0</v>
      </c>
      <c r="BA563" s="166">
        <v>0</v>
      </c>
      <c r="BB563" s="166">
        <v>0</v>
      </c>
      <c r="BC563" s="166">
        <v>0</v>
      </c>
      <c r="BD563" s="166">
        <v>0</v>
      </c>
      <c r="BE563" s="166">
        <v>0</v>
      </c>
      <c r="BF563" s="166">
        <v>0</v>
      </c>
      <c r="BG563" s="166">
        <v>0</v>
      </c>
      <c r="BH563" s="166">
        <v>0</v>
      </c>
      <c r="BI563" s="166">
        <v>0</v>
      </c>
      <c r="BJ563" s="166">
        <v>0</v>
      </c>
      <c r="BK563" s="166">
        <v>0</v>
      </c>
      <c r="BL563" s="166">
        <v>0</v>
      </c>
      <c r="BM563" s="166">
        <v>0</v>
      </c>
      <c r="BN563" s="166">
        <v>0</v>
      </c>
      <c r="BO563" s="166">
        <v>0</v>
      </c>
      <c r="BP563" s="166">
        <v>0</v>
      </c>
      <c r="BQ563" s="81" t="s">
        <v>1758</v>
      </c>
      <c r="BT563" s="81" t="s">
        <v>155</v>
      </c>
      <c r="BZ563" s="81" t="s">
        <v>155</v>
      </c>
      <c r="CA563" s="81" t="s">
        <v>3934</v>
      </c>
      <c r="CC563" s="167">
        <v>0</v>
      </c>
      <c r="CD563" s="167">
        <v>0</v>
      </c>
      <c r="CE563" s="167">
        <f>N563</f>
        <v>2</v>
      </c>
      <c r="CF563" s="167">
        <v>0</v>
      </c>
      <c r="CG563" s="167">
        <v>0</v>
      </c>
      <c r="CH563" s="167">
        <v>0</v>
      </c>
      <c r="CI563" s="167">
        <v>0</v>
      </c>
      <c r="CJ563" s="167">
        <v>0</v>
      </c>
      <c r="CK563" s="167">
        <v>0</v>
      </c>
      <c r="CL563" s="167">
        <v>0</v>
      </c>
      <c r="CM563" s="167">
        <v>0</v>
      </c>
      <c r="CN563" s="167">
        <v>0</v>
      </c>
      <c r="CO563" s="167">
        <v>0</v>
      </c>
      <c r="CP563" s="167">
        <v>0</v>
      </c>
      <c r="CQ563" s="167">
        <v>0</v>
      </c>
      <c r="CR563" s="167">
        <v>0</v>
      </c>
      <c r="CS563" s="167">
        <v>0</v>
      </c>
      <c r="CT563" s="167">
        <v>0</v>
      </c>
      <c r="CU563" s="167">
        <v>0</v>
      </c>
      <c r="CV563" s="167">
        <v>0</v>
      </c>
      <c r="CW563" s="167">
        <v>0</v>
      </c>
      <c r="CX563" s="167">
        <f>SUM(CD563:CH563)</f>
        <v>2</v>
      </c>
      <c r="CY563" s="167">
        <f>SUM(CD563:CM563)</f>
        <v>2</v>
      </c>
    </row>
    <row r="564" spans="1:103" ht="12.75" customHeight="1" x14ac:dyDescent="0.2">
      <c r="A564" s="81">
        <v>5793</v>
      </c>
      <c r="B564" s="165" t="s">
        <v>1908</v>
      </c>
      <c r="C564" s="165" t="s">
        <v>449</v>
      </c>
      <c r="E564" s="165" t="s">
        <v>3409</v>
      </c>
      <c r="F564" s="165" t="s">
        <v>473</v>
      </c>
      <c r="G564" s="81">
        <v>525347</v>
      </c>
      <c r="H564" s="81">
        <v>175071</v>
      </c>
      <c r="I564" s="165" t="s">
        <v>259</v>
      </c>
      <c r="J564" s="349">
        <v>42825</v>
      </c>
      <c r="L564" s="166">
        <v>0</v>
      </c>
      <c r="M564" s="166">
        <v>1</v>
      </c>
      <c r="N564" s="166">
        <v>1</v>
      </c>
      <c r="O564" s="166">
        <v>85</v>
      </c>
      <c r="P564" s="166">
        <v>85</v>
      </c>
      <c r="Q564" s="81" t="s">
        <v>155</v>
      </c>
      <c r="R564" s="165" t="s">
        <v>900</v>
      </c>
      <c r="S564" s="81" t="s">
        <v>104</v>
      </c>
      <c r="T564" s="349">
        <v>41969</v>
      </c>
      <c r="U564" s="349">
        <v>42264</v>
      </c>
      <c r="W564" s="81" t="s">
        <v>114</v>
      </c>
      <c r="Y564" s="81" t="s">
        <v>115</v>
      </c>
      <c r="Z564" s="81" t="s">
        <v>116</v>
      </c>
      <c r="AA564" s="81" t="s">
        <v>116</v>
      </c>
      <c r="AB564" s="81" t="s">
        <v>117</v>
      </c>
      <c r="AC564" s="166">
        <v>3.0000000260770299E-3</v>
      </c>
      <c r="AD564" s="349">
        <v>42825</v>
      </c>
      <c r="AG564" s="81" t="s">
        <v>238</v>
      </c>
      <c r="AH564" s="81" t="s">
        <v>118</v>
      </c>
      <c r="AK564" s="166">
        <v>2</v>
      </c>
      <c r="AM564" s="166">
        <v>1</v>
      </c>
      <c r="AO564" s="166">
        <v>0</v>
      </c>
      <c r="AP564" s="166">
        <v>0</v>
      </c>
      <c r="AQ564" s="166">
        <v>1</v>
      </c>
      <c r="AR564" s="166">
        <v>0</v>
      </c>
      <c r="AS564" s="166">
        <v>0</v>
      </c>
      <c r="AT564" s="166">
        <v>0</v>
      </c>
      <c r="AU564" s="166">
        <v>0</v>
      </c>
      <c r="AV564" s="166">
        <v>0</v>
      </c>
      <c r="AW564" s="166">
        <v>0</v>
      </c>
      <c r="AX564" s="166">
        <v>1</v>
      </c>
      <c r="AY564" s="166">
        <v>0</v>
      </c>
      <c r="AZ564" s="166">
        <v>0</v>
      </c>
      <c r="BA564" s="166">
        <v>0</v>
      </c>
      <c r="BB564" s="166">
        <v>0</v>
      </c>
      <c r="BC564" s="166">
        <v>0</v>
      </c>
      <c r="BD564" s="166">
        <v>0</v>
      </c>
      <c r="BE564" s="166">
        <v>0</v>
      </c>
      <c r="BF564" s="166">
        <v>0</v>
      </c>
      <c r="BG564" s="166">
        <v>0</v>
      </c>
      <c r="BH564" s="166">
        <v>0</v>
      </c>
      <c r="BI564" s="166">
        <v>0</v>
      </c>
      <c r="BJ564" s="166">
        <v>0</v>
      </c>
      <c r="BK564" s="166">
        <v>0</v>
      </c>
      <c r="BL564" s="166">
        <v>0</v>
      </c>
      <c r="BM564" s="166">
        <v>0</v>
      </c>
      <c r="BN564" s="166">
        <v>0</v>
      </c>
      <c r="BO564" s="166">
        <v>0</v>
      </c>
      <c r="BP564" s="166">
        <v>0</v>
      </c>
      <c r="BQ564" s="81" t="s">
        <v>1758</v>
      </c>
      <c r="BT564" s="81" t="s">
        <v>155</v>
      </c>
      <c r="BZ564" s="81" t="s">
        <v>155</v>
      </c>
      <c r="CA564" s="81" t="s">
        <v>3934</v>
      </c>
      <c r="CC564" s="167">
        <v>0</v>
      </c>
      <c r="CD564" s="167">
        <v>0</v>
      </c>
      <c r="CE564" s="167">
        <f>N564</f>
        <v>1</v>
      </c>
      <c r="CF564" s="167">
        <v>0</v>
      </c>
      <c r="CG564" s="167">
        <v>0</v>
      </c>
      <c r="CH564" s="167">
        <v>0</v>
      </c>
      <c r="CI564" s="167">
        <v>0</v>
      </c>
      <c r="CJ564" s="167">
        <v>0</v>
      </c>
      <c r="CK564" s="167">
        <v>0</v>
      </c>
      <c r="CL564" s="167">
        <v>0</v>
      </c>
      <c r="CM564" s="167">
        <v>0</v>
      </c>
      <c r="CN564" s="167">
        <v>0</v>
      </c>
      <c r="CO564" s="167">
        <v>0</v>
      </c>
      <c r="CP564" s="167">
        <v>0</v>
      </c>
      <c r="CQ564" s="167">
        <v>0</v>
      </c>
      <c r="CR564" s="167">
        <v>0</v>
      </c>
      <c r="CS564" s="167">
        <v>0</v>
      </c>
      <c r="CT564" s="167">
        <v>0</v>
      </c>
      <c r="CU564" s="167">
        <v>0</v>
      </c>
      <c r="CV564" s="167">
        <v>0</v>
      </c>
      <c r="CW564" s="167">
        <v>0</v>
      </c>
      <c r="CX564" s="167">
        <f>SUM(CD564:CH564)</f>
        <v>1</v>
      </c>
      <c r="CY564" s="167">
        <f>SUM(CD564:CM564)</f>
        <v>1</v>
      </c>
    </row>
    <row r="565" spans="1:103" ht="12.75" customHeight="1" x14ac:dyDescent="0.2">
      <c r="A565" s="81">
        <v>5793</v>
      </c>
      <c r="B565" s="165" t="s">
        <v>1908</v>
      </c>
      <c r="C565" s="165" t="s">
        <v>449</v>
      </c>
      <c r="E565" s="165" t="s">
        <v>3409</v>
      </c>
      <c r="F565" s="165" t="s">
        <v>474</v>
      </c>
      <c r="G565" s="81">
        <v>525347</v>
      </c>
      <c r="H565" s="81">
        <v>175071</v>
      </c>
      <c r="I565" s="165" t="s">
        <v>259</v>
      </c>
      <c r="J565" s="349">
        <v>42825</v>
      </c>
      <c r="L565" s="166">
        <v>0</v>
      </c>
      <c r="M565" s="166">
        <v>1</v>
      </c>
      <c r="N565" s="166">
        <v>1</v>
      </c>
      <c r="O565" s="166">
        <v>85</v>
      </c>
      <c r="P565" s="166">
        <v>85</v>
      </c>
      <c r="Q565" s="81" t="s">
        <v>155</v>
      </c>
      <c r="R565" s="165" t="s">
        <v>900</v>
      </c>
      <c r="S565" s="81" t="s">
        <v>104</v>
      </c>
      <c r="T565" s="349">
        <v>41969</v>
      </c>
      <c r="U565" s="349">
        <v>42264</v>
      </c>
      <c r="W565" s="81" t="s">
        <v>114</v>
      </c>
      <c r="Y565" s="81" t="s">
        <v>115</v>
      </c>
      <c r="Z565" s="81" t="s">
        <v>116</v>
      </c>
      <c r="AA565" s="81" t="s">
        <v>116</v>
      </c>
      <c r="AB565" s="81" t="s">
        <v>117</v>
      </c>
      <c r="AC565" s="166">
        <v>3.0000000260770299E-3</v>
      </c>
      <c r="AD565" s="349">
        <v>42825</v>
      </c>
      <c r="AG565" s="81" t="s">
        <v>74</v>
      </c>
      <c r="AH565" s="81" t="s">
        <v>1913</v>
      </c>
      <c r="AK565" s="166">
        <v>1</v>
      </c>
      <c r="AM565" s="166">
        <v>0</v>
      </c>
      <c r="AO565" s="166">
        <v>0</v>
      </c>
      <c r="AP565" s="166">
        <v>0</v>
      </c>
      <c r="AQ565" s="166">
        <v>1</v>
      </c>
      <c r="AR565" s="166">
        <v>0</v>
      </c>
      <c r="AS565" s="166">
        <v>0</v>
      </c>
      <c r="AT565" s="166">
        <v>0</v>
      </c>
      <c r="AU565" s="166">
        <v>0</v>
      </c>
      <c r="AV565" s="166">
        <v>0</v>
      </c>
      <c r="AW565" s="166">
        <v>0</v>
      </c>
      <c r="AX565" s="166">
        <v>1</v>
      </c>
      <c r="AY565" s="166">
        <v>0</v>
      </c>
      <c r="AZ565" s="166">
        <v>0</v>
      </c>
      <c r="BA565" s="166">
        <v>0</v>
      </c>
      <c r="BB565" s="166">
        <v>0</v>
      </c>
      <c r="BC565" s="166">
        <v>0</v>
      </c>
      <c r="BD565" s="166">
        <v>0</v>
      </c>
      <c r="BE565" s="166">
        <v>0</v>
      </c>
      <c r="BF565" s="166">
        <v>0</v>
      </c>
      <c r="BG565" s="166">
        <v>0</v>
      </c>
      <c r="BH565" s="166">
        <v>0</v>
      </c>
      <c r="BI565" s="166">
        <v>0</v>
      </c>
      <c r="BJ565" s="166">
        <v>0</v>
      </c>
      <c r="BK565" s="166">
        <v>0</v>
      </c>
      <c r="BL565" s="166">
        <v>0</v>
      </c>
      <c r="BM565" s="166">
        <v>0</v>
      </c>
      <c r="BN565" s="166">
        <v>0</v>
      </c>
      <c r="BO565" s="166">
        <v>0</v>
      </c>
      <c r="BP565" s="166">
        <v>0</v>
      </c>
      <c r="BQ565" s="81" t="s">
        <v>1758</v>
      </c>
      <c r="BT565" s="81" t="s">
        <v>155</v>
      </c>
      <c r="BZ565" s="81" t="s">
        <v>155</v>
      </c>
      <c r="CA565" s="81" t="s">
        <v>3934</v>
      </c>
      <c r="CC565" s="167">
        <v>0</v>
      </c>
      <c r="CD565" s="167">
        <v>0</v>
      </c>
      <c r="CE565" s="167">
        <f>N565</f>
        <v>1</v>
      </c>
      <c r="CF565" s="167">
        <v>0</v>
      </c>
      <c r="CG565" s="167">
        <v>0</v>
      </c>
      <c r="CH565" s="167">
        <v>0</v>
      </c>
      <c r="CI565" s="167">
        <v>0</v>
      </c>
      <c r="CJ565" s="167">
        <v>0</v>
      </c>
      <c r="CK565" s="167">
        <v>0</v>
      </c>
      <c r="CL565" s="167">
        <v>0</v>
      </c>
      <c r="CM565" s="167">
        <v>0</v>
      </c>
      <c r="CN565" s="167">
        <v>0</v>
      </c>
      <c r="CO565" s="167">
        <v>0</v>
      </c>
      <c r="CP565" s="167">
        <v>0</v>
      </c>
      <c r="CQ565" s="167">
        <v>0</v>
      </c>
      <c r="CR565" s="167">
        <v>0</v>
      </c>
      <c r="CS565" s="167">
        <v>0</v>
      </c>
      <c r="CT565" s="167">
        <v>0</v>
      </c>
      <c r="CU565" s="167">
        <v>0</v>
      </c>
      <c r="CV565" s="167">
        <v>0</v>
      </c>
      <c r="CW565" s="167">
        <v>0</v>
      </c>
      <c r="CX565" s="167">
        <f>SUM(CD565:CH565)</f>
        <v>1</v>
      </c>
      <c r="CY565" s="167">
        <f>SUM(CD565:CM565)</f>
        <v>1</v>
      </c>
    </row>
    <row r="566" spans="1:103" ht="12.75" customHeight="1" x14ac:dyDescent="0.2">
      <c r="A566" s="81">
        <v>5793</v>
      </c>
      <c r="B566" s="165" t="s">
        <v>1908</v>
      </c>
      <c r="C566" s="165" t="s">
        <v>449</v>
      </c>
      <c r="E566" s="165" t="s">
        <v>3409</v>
      </c>
      <c r="F566" s="165" t="s">
        <v>475</v>
      </c>
      <c r="G566" s="81">
        <v>525347</v>
      </c>
      <c r="H566" s="81">
        <v>175071</v>
      </c>
      <c r="I566" s="165" t="s">
        <v>259</v>
      </c>
      <c r="J566" s="349">
        <v>42825</v>
      </c>
      <c r="L566" s="166">
        <v>0</v>
      </c>
      <c r="M566" s="166">
        <v>2</v>
      </c>
      <c r="N566" s="166">
        <v>2</v>
      </c>
      <c r="O566" s="166">
        <v>85</v>
      </c>
      <c r="P566" s="166">
        <v>85</v>
      </c>
      <c r="Q566" s="81" t="s">
        <v>155</v>
      </c>
      <c r="R566" s="165" t="s">
        <v>900</v>
      </c>
      <c r="S566" s="81" t="s">
        <v>104</v>
      </c>
      <c r="T566" s="349">
        <v>41969</v>
      </c>
      <c r="U566" s="349">
        <v>42264</v>
      </c>
      <c r="W566" s="81" t="s">
        <v>114</v>
      </c>
      <c r="Y566" s="81" t="s">
        <v>115</v>
      </c>
      <c r="Z566" s="81" t="s">
        <v>116</v>
      </c>
      <c r="AA566" s="81" t="s">
        <v>116</v>
      </c>
      <c r="AB566" s="81" t="s">
        <v>117</v>
      </c>
      <c r="AC566" s="166">
        <v>4.9999998882412902E-3</v>
      </c>
      <c r="AD566" s="349">
        <v>42825</v>
      </c>
      <c r="AG566" s="81" t="s">
        <v>238</v>
      </c>
      <c r="AH566" s="81" t="s">
        <v>118</v>
      </c>
      <c r="AK566" s="166">
        <v>2</v>
      </c>
      <c r="AM566" s="166">
        <v>1</v>
      </c>
      <c r="AO566" s="166">
        <v>0</v>
      </c>
      <c r="AP566" s="166">
        <v>0</v>
      </c>
      <c r="AQ566" s="166">
        <v>2</v>
      </c>
      <c r="AR566" s="166">
        <v>0</v>
      </c>
      <c r="AS566" s="166">
        <v>0</v>
      </c>
      <c r="AT566" s="166">
        <v>0</v>
      </c>
      <c r="AU566" s="166">
        <v>0</v>
      </c>
      <c r="AV566" s="166">
        <v>0</v>
      </c>
      <c r="AW566" s="166">
        <v>0</v>
      </c>
      <c r="AX566" s="166">
        <v>2</v>
      </c>
      <c r="AY566" s="166">
        <v>0</v>
      </c>
      <c r="AZ566" s="166">
        <v>0</v>
      </c>
      <c r="BA566" s="166">
        <v>0</v>
      </c>
      <c r="BB566" s="166">
        <v>0</v>
      </c>
      <c r="BC566" s="166">
        <v>0</v>
      </c>
      <c r="BD566" s="166">
        <v>0</v>
      </c>
      <c r="BE566" s="166">
        <v>0</v>
      </c>
      <c r="BF566" s="166">
        <v>0</v>
      </c>
      <c r="BG566" s="166">
        <v>0</v>
      </c>
      <c r="BH566" s="166">
        <v>0</v>
      </c>
      <c r="BI566" s="166">
        <v>0</v>
      </c>
      <c r="BJ566" s="166">
        <v>0</v>
      </c>
      <c r="BK566" s="166">
        <v>0</v>
      </c>
      <c r="BL566" s="166">
        <v>0</v>
      </c>
      <c r="BM566" s="166">
        <v>0</v>
      </c>
      <c r="BN566" s="166">
        <v>0</v>
      </c>
      <c r="BO566" s="166">
        <v>0</v>
      </c>
      <c r="BP566" s="166">
        <v>0</v>
      </c>
      <c r="BQ566" s="81" t="s">
        <v>1758</v>
      </c>
      <c r="BT566" s="81" t="s">
        <v>155</v>
      </c>
      <c r="BZ566" s="81" t="s">
        <v>155</v>
      </c>
      <c r="CA566" s="81" t="s">
        <v>3934</v>
      </c>
      <c r="CC566" s="167">
        <v>0</v>
      </c>
      <c r="CD566" s="167">
        <v>0</v>
      </c>
      <c r="CE566" s="167">
        <f>N566</f>
        <v>2</v>
      </c>
      <c r="CF566" s="167">
        <v>0</v>
      </c>
      <c r="CG566" s="167">
        <v>0</v>
      </c>
      <c r="CH566" s="167">
        <v>0</v>
      </c>
      <c r="CI566" s="167">
        <v>0</v>
      </c>
      <c r="CJ566" s="167">
        <v>0</v>
      </c>
      <c r="CK566" s="167">
        <v>0</v>
      </c>
      <c r="CL566" s="167">
        <v>0</v>
      </c>
      <c r="CM566" s="167">
        <v>0</v>
      </c>
      <c r="CN566" s="167">
        <v>0</v>
      </c>
      <c r="CO566" s="167">
        <v>0</v>
      </c>
      <c r="CP566" s="167">
        <v>0</v>
      </c>
      <c r="CQ566" s="167">
        <v>0</v>
      </c>
      <c r="CR566" s="167">
        <v>0</v>
      </c>
      <c r="CS566" s="167">
        <v>0</v>
      </c>
      <c r="CT566" s="167">
        <v>0</v>
      </c>
      <c r="CU566" s="167">
        <v>0</v>
      </c>
      <c r="CV566" s="167">
        <v>0</v>
      </c>
      <c r="CW566" s="167">
        <v>0</v>
      </c>
      <c r="CX566" s="167">
        <f>SUM(CD566:CH566)</f>
        <v>2</v>
      </c>
      <c r="CY566" s="167">
        <f>SUM(CD566:CM566)</f>
        <v>2</v>
      </c>
    </row>
    <row r="567" spans="1:103" ht="12.75" customHeight="1" x14ac:dyDescent="0.2">
      <c r="A567" s="81">
        <v>5793</v>
      </c>
      <c r="B567" s="165" t="s">
        <v>1908</v>
      </c>
      <c r="C567" s="165" t="s">
        <v>449</v>
      </c>
      <c r="E567" s="165" t="s">
        <v>3409</v>
      </c>
      <c r="F567" s="165" t="s">
        <v>476</v>
      </c>
      <c r="G567" s="81">
        <v>525347</v>
      </c>
      <c r="H567" s="81">
        <v>175071</v>
      </c>
      <c r="I567" s="165" t="s">
        <v>259</v>
      </c>
      <c r="J567" s="349">
        <v>42825</v>
      </c>
      <c r="L567" s="166">
        <v>0</v>
      </c>
      <c r="M567" s="166">
        <v>2</v>
      </c>
      <c r="N567" s="166">
        <v>2</v>
      </c>
      <c r="O567" s="166">
        <v>85</v>
      </c>
      <c r="P567" s="166">
        <v>85</v>
      </c>
      <c r="Q567" s="81" t="s">
        <v>155</v>
      </c>
      <c r="R567" s="165" t="s">
        <v>900</v>
      </c>
      <c r="S567" s="81" t="s">
        <v>104</v>
      </c>
      <c r="T567" s="349">
        <v>41969</v>
      </c>
      <c r="U567" s="349">
        <v>42264</v>
      </c>
      <c r="W567" s="81" t="s">
        <v>114</v>
      </c>
      <c r="Y567" s="81" t="s">
        <v>115</v>
      </c>
      <c r="Z567" s="81" t="s">
        <v>116</v>
      </c>
      <c r="AA567" s="81" t="s">
        <v>116</v>
      </c>
      <c r="AB567" s="81" t="s">
        <v>117</v>
      </c>
      <c r="AC567" s="166">
        <v>4.9999998882412902E-3</v>
      </c>
      <c r="AD567" s="349">
        <v>42825</v>
      </c>
      <c r="AG567" s="81" t="s">
        <v>74</v>
      </c>
      <c r="AH567" s="81" t="s">
        <v>1913</v>
      </c>
      <c r="AK567" s="166">
        <v>2</v>
      </c>
      <c r="AM567" s="166">
        <v>1</v>
      </c>
      <c r="AO567" s="166">
        <v>0</v>
      </c>
      <c r="AP567" s="166">
        <v>0</v>
      </c>
      <c r="AQ567" s="166">
        <v>2</v>
      </c>
      <c r="AR567" s="166">
        <v>0</v>
      </c>
      <c r="AS567" s="166">
        <v>0</v>
      </c>
      <c r="AT567" s="166">
        <v>0</v>
      </c>
      <c r="AU567" s="166">
        <v>0</v>
      </c>
      <c r="AV567" s="166">
        <v>0</v>
      </c>
      <c r="AW567" s="166">
        <v>0</v>
      </c>
      <c r="AX567" s="166">
        <v>2</v>
      </c>
      <c r="AY567" s="166">
        <v>0</v>
      </c>
      <c r="AZ567" s="166">
        <v>0</v>
      </c>
      <c r="BA567" s="166">
        <v>0</v>
      </c>
      <c r="BB567" s="166">
        <v>0</v>
      </c>
      <c r="BC567" s="166">
        <v>0</v>
      </c>
      <c r="BD567" s="166">
        <v>0</v>
      </c>
      <c r="BE567" s="166">
        <v>0</v>
      </c>
      <c r="BF567" s="166">
        <v>0</v>
      </c>
      <c r="BG567" s="166">
        <v>0</v>
      </c>
      <c r="BH567" s="166">
        <v>0</v>
      </c>
      <c r="BI567" s="166">
        <v>0</v>
      </c>
      <c r="BJ567" s="166">
        <v>0</v>
      </c>
      <c r="BK567" s="166">
        <v>0</v>
      </c>
      <c r="BL567" s="166">
        <v>0</v>
      </c>
      <c r="BM567" s="166">
        <v>0</v>
      </c>
      <c r="BN567" s="166">
        <v>0</v>
      </c>
      <c r="BO567" s="166">
        <v>0</v>
      </c>
      <c r="BP567" s="166">
        <v>0</v>
      </c>
      <c r="BQ567" s="81" t="s">
        <v>1758</v>
      </c>
      <c r="BT567" s="81" t="s">
        <v>155</v>
      </c>
      <c r="BZ567" s="81" t="s">
        <v>155</v>
      </c>
      <c r="CA567" s="81" t="s">
        <v>3934</v>
      </c>
      <c r="CC567" s="167">
        <v>0</v>
      </c>
      <c r="CD567" s="167">
        <v>0</v>
      </c>
      <c r="CE567" s="167">
        <f>N567</f>
        <v>2</v>
      </c>
      <c r="CF567" s="167">
        <v>0</v>
      </c>
      <c r="CG567" s="167">
        <v>0</v>
      </c>
      <c r="CH567" s="167">
        <v>0</v>
      </c>
      <c r="CI567" s="167">
        <v>0</v>
      </c>
      <c r="CJ567" s="167">
        <v>0</v>
      </c>
      <c r="CK567" s="167">
        <v>0</v>
      </c>
      <c r="CL567" s="167">
        <v>0</v>
      </c>
      <c r="CM567" s="167">
        <v>0</v>
      </c>
      <c r="CN567" s="167">
        <v>0</v>
      </c>
      <c r="CO567" s="167">
        <v>0</v>
      </c>
      <c r="CP567" s="167">
        <v>0</v>
      </c>
      <c r="CQ567" s="167">
        <v>0</v>
      </c>
      <c r="CR567" s="167">
        <v>0</v>
      </c>
      <c r="CS567" s="167">
        <v>0</v>
      </c>
      <c r="CT567" s="167">
        <v>0</v>
      </c>
      <c r="CU567" s="167">
        <v>0</v>
      </c>
      <c r="CV567" s="167">
        <v>0</v>
      </c>
      <c r="CW567" s="167">
        <v>0</v>
      </c>
      <c r="CX567" s="167">
        <f>SUM(CD567:CH567)</f>
        <v>2</v>
      </c>
      <c r="CY567" s="167">
        <f>SUM(CD567:CM567)</f>
        <v>2</v>
      </c>
    </row>
    <row r="568" spans="1:103" ht="12.75" customHeight="1" x14ac:dyDescent="0.2">
      <c r="A568" s="81">
        <v>5793</v>
      </c>
      <c r="B568" s="165" t="s">
        <v>1908</v>
      </c>
      <c r="C568" s="165" t="s">
        <v>449</v>
      </c>
      <c r="E568" s="165" t="s">
        <v>3409</v>
      </c>
      <c r="F568" s="165" t="s">
        <v>477</v>
      </c>
      <c r="G568" s="81">
        <v>525347</v>
      </c>
      <c r="H568" s="81">
        <v>175071</v>
      </c>
      <c r="I568" s="165" t="s">
        <v>259</v>
      </c>
      <c r="J568" s="349">
        <v>42825</v>
      </c>
      <c r="L568" s="166">
        <v>0</v>
      </c>
      <c r="M568" s="166">
        <v>2</v>
      </c>
      <c r="N568" s="166">
        <v>2</v>
      </c>
      <c r="O568" s="166">
        <v>85</v>
      </c>
      <c r="P568" s="166">
        <v>85</v>
      </c>
      <c r="Q568" s="81" t="s">
        <v>155</v>
      </c>
      <c r="R568" s="165" t="s">
        <v>900</v>
      </c>
      <c r="S568" s="81" t="s">
        <v>104</v>
      </c>
      <c r="T568" s="349">
        <v>41969</v>
      </c>
      <c r="U568" s="349">
        <v>42264</v>
      </c>
      <c r="W568" s="81" t="s">
        <v>114</v>
      </c>
      <c r="Y568" s="81" t="s">
        <v>115</v>
      </c>
      <c r="Z568" s="81" t="s">
        <v>116</v>
      </c>
      <c r="AA568" s="81" t="s">
        <v>116</v>
      </c>
      <c r="AB568" s="81" t="s">
        <v>117</v>
      </c>
      <c r="AC568" s="166">
        <v>4.9999998882412902E-3</v>
      </c>
      <c r="AD568" s="349">
        <v>42825</v>
      </c>
      <c r="AG568" s="81" t="s">
        <v>74</v>
      </c>
      <c r="AH568" s="81" t="s">
        <v>1913</v>
      </c>
      <c r="AK568" s="166">
        <v>2</v>
      </c>
      <c r="AM568" s="166">
        <v>1</v>
      </c>
      <c r="AO568" s="166">
        <v>0</v>
      </c>
      <c r="AP568" s="166">
        <v>0</v>
      </c>
      <c r="AQ568" s="166">
        <v>2</v>
      </c>
      <c r="AR568" s="166">
        <v>0</v>
      </c>
      <c r="AS568" s="166">
        <v>0</v>
      </c>
      <c r="AT568" s="166">
        <v>0</v>
      </c>
      <c r="AU568" s="166">
        <v>0</v>
      </c>
      <c r="AV568" s="166">
        <v>0</v>
      </c>
      <c r="AW568" s="166">
        <v>0</v>
      </c>
      <c r="AX568" s="166">
        <v>2</v>
      </c>
      <c r="AY568" s="166">
        <v>0</v>
      </c>
      <c r="AZ568" s="166">
        <v>0</v>
      </c>
      <c r="BA568" s="166">
        <v>0</v>
      </c>
      <c r="BB568" s="166">
        <v>0</v>
      </c>
      <c r="BC568" s="166">
        <v>0</v>
      </c>
      <c r="BD568" s="166">
        <v>0</v>
      </c>
      <c r="BE568" s="166">
        <v>0</v>
      </c>
      <c r="BF568" s="166">
        <v>0</v>
      </c>
      <c r="BG568" s="166">
        <v>0</v>
      </c>
      <c r="BH568" s="166">
        <v>0</v>
      </c>
      <c r="BI568" s="166">
        <v>0</v>
      </c>
      <c r="BJ568" s="166">
        <v>0</v>
      </c>
      <c r="BK568" s="166">
        <v>0</v>
      </c>
      <c r="BL568" s="166">
        <v>0</v>
      </c>
      <c r="BM568" s="166">
        <v>0</v>
      </c>
      <c r="BN568" s="166">
        <v>0</v>
      </c>
      <c r="BO568" s="166">
        <v>0</v>
      </c>
      <c r="BP568" s="166">
        <v>0</v>
      </c>
      <c r="BQ568" s="81" t="s">
        <v>1758</v>
      </c>
      <c r="BT568" s="81" t="s">
        <v>155</v>
      </c>
      <c r="BZ568" s="81" t="s">
        <v>155</v>
      </c>
      <c r="CA568" s="81" t="s">
        <v>3934</v>
      </c>
      <c r="CC568" s="167">
        <v>0</v>
      </c>
      <c r="CD568" s="167">
        <v>0</v>
      </c>
      <c r="CE568" s="167">
        <f>N568</f>
        <v>2</v>
      </c>
      <c r="CF568" s="167">
        <v>0</v>
      </c>
      <c r="CG568" s="167">
        <v>0</v>
      </c>
      <c r="CH568" s="167">
        <v>0</v>
      </c>
      <c r="CI568" s="167">
        <v>0</v>
      </c>
      <c r="CJ568" s="167">
        <v>0</v>
      </c>
      <c r="CK568" s="167">
        <v>0</v>
      </c>
      <c r="CL568" s="167">
        <v>0</v>
      </c>
      <c r="CM568" s="167">
        <v>0</v>
      </c>
      <c r="CN568" s="167">
        <v>0</v>
      </c>
      <c r="CO568" s="167">
        <v>0</v>
      </c>
      <c r="CP568" s="167">
        <v>0</v>
      </c>
      <c r="CQ568" s="167">
        <v>0</v>
      </c>
      <c r="CR568" s="167">
        <v>0</v>
      </c>
      <c r="CS568" s="167">
        <v>0</v>
      </c>
      <c r="CT568" s="167">
        <v>0</v>
      </c>
      <c r="CU568" s="167">
        <v>0</v>
      </c>
      <c r="CV568" s="167">
        <v>0</v>
      </c>
      <c r="CW568" s="167">
        <v>0</v>
      </c>
      <c r="CX568" s="167">
        <f>SUM(CD568:CH568)</f>
        <v>2</v>
      </c>
      <c r="CY568" s="167">
        <f>SUM(CD568:CM568)</f>
        <v>2</v>
      </c>
    </row>
    <row r="569" spans="1:103" ht="12.75" customHeight="1" x14ac:dyDescent="0.2">
      <c r="A569" s="81">
        <v>5793</v>
      </c>
      <c r="B569" s="165" t="s">
        <v>1908</v>
      </c>
      <c r="C569" s="165" t="s">
        <v>449</v>
      </c>
      <c r="E569" s="165" t="s">
        <v>3409</v>
      </c>
      <c r="F569" s="165" t="s">
        <v>478</v>
      </c>
      <c r="G569" s="81">
        <v>525347</v>
      </c>
      <c r="H569" s="81">
        <v>175071</v>
      </c>
      <c r="I569" s="165" t="s">
        <v>259</v>
      </c>
      <c r="J569" s="349">
        <v>42825</v>
      </c>
      <c r="L569" s="166">
        <v>0</v>
      </c>
      <c r="M569" s="166">
        <v>1</v>
      </c>
      <c r="N569" s="166">
        <v>1</v>
      </c>
      <c r="O569" s="166">
        <v>85</v>
      </c>
      <c r="P569" s="166">
        <v>85</v>
      </c>
      <c r="Q569" s="81" t="s">
        <v>155</v>
      </c>
      <c r="R569" s="165" t="s">
        <v>900</v>
      </c>
      <c r="S569" s="81" t="s">
        <v>104</v>
      </c>
      <c r="T569" s="349">
        <v>41969</v>
      </c>
      <c r="U569" s="349">
        <v>42264</v>
      </c>
      <c r="W569" s="81" t="s">
        <v>114</v>
      </c>
      <c r="Y569" s="81" t="s">
        <v>115</v>
      </c>
      <c r="Z569" s="81" t="s">
        <v>116</v>
      </c>
      <c r="AA569" s="81" t="s">
        <v>116</v>
      </c>
      <c r="AB569" s="81" t="s">
        <v>117</v>
      </c>
      <c r="AC569" s="166">
        <v>3.0000000260770299E-3</v>
      </c>
      <c r="AD569" s="349">
        <v>42825</v>
      </c>
      <c r="AG569" s="81" t="s">
        <v>238</v>
      </c>
      <c r="AH569" s="81" t="s">
        <v>118</v>
      </c>
      <c r="AK569" s="166">
        <v>1</v>
      </c>
      <c r="AM569" s="166">
        <v>0</v>
      </c>
      <c r="AO569" s="166">
        <v>0</v>
      </c>
      <c r="AP569" s="166">
        <v>0</v>
      </c>
      <c r="AQ569" s="166">
        <v>1</v>
      </c>
      <c r="AR569" s="166">
        <v>0</v>
      </c>
      <c r="AS569" s="166">
        <v>0</v>
      </c>
      <c r="AT569" s="166">
        <v>0</v>
      </c>
      <c r="AU569" s="166">
        <v>0</v>
      </c>
      <c r="AV569" s="166">
        <v>0</v>
      </c>
      <c r="AW569" s="166">
        <v>0</v>
      </c>
      <c r="AX569" s="166">
        <v>1</v>
      </c>
      <c r="AY569" s="166">
        <v>0</v>
      </c>
      <c r="AZ569" s="166">
        <v>0</v>
      </c>
      <c r="BA569" s="166">
        <v>0</v>
      </c>
      <c r="BB569" s="166">
        <v>0</v>
      </c>
      <c r="BC569" s="166">
        <v>0</v>
      </c>
      <c r="BD569" s="166">
        <v>0</v>
      </c>
      <c r="BE569" s="166">
        <v>0</v>
      </c>
      <c r="BF569" s="166">
        <v>0</v>
      </c>
      <c r="BG569" s="166">
        <v>0</v>
      </c>
      <c r="BH569" s="166">
        <v>0</v>
      </c>
      <c r="BI569" s="166">
        <v>0</v>
      </c>
      <c r="BJ569" s="166">
        <v>0</v>
      </c>
      <c r="BK569" s="166">
        <v>0</v>
      </c>
      <c r="BL569" s="166">
        <v>0</v>
      </c>
      <c r="BM569" s="166">
        <v>0</v>
      </c>
      <c r="BN569" s="166">
        <v>0</v>
      </c>
      <c r="BO569" s="166">
        <v>0</v>
      </c>
      <c r="BP569" s="166">
        <v>0</v>
      </c>
      <c r="BQ569" s="81" t="s">
        <v>1758</v>
      </c>
      <c r="BT569" s="81" t="s">
        <v>155</v>
      </c>
      <c r="BZ569" s="81" t="s">
        <v>155</v>
      </c>
      <c r="CA569" s="81" t="s">
        <v>3934</v>
      </c>
      <c r="CC569" s="167">
        <v>0</v>
      </c>
      <c r="CD569" s="167">
        <v>0</v>
      </c>
      <c r="CE569" s="167">
        <f>N569</f>
        <v>1</v>
      </c>
      <c r="CF569" s="167">
        <v>0</v>
      </c>
      <c r="CG569" s="167">
        <v>0</v>
      </c>
      <c r="CH569" s="167">
        <v>0</v>
      </c>
      <c r="CI569" s="167">
        <v>0</v>
      </c>
      <c r="CJ569" s="167">
        <v>0</v>
      </c>
      <c r="CK569" s="167">
        <v>0</v>
      </c>
      <c r="CL569" s="167">
        <v>0</v>
      </c>
      <c r="CM569" s="167">
        <v>0</v>
      </c>
      <c r="CN569" s="167">
        <v>0</v>
      </c>
      <c r="CO569" s="167">
        <v>0</v>
      </c>
      <c r="CP569" s="167">
        <v>0</v>
      </c>
      <c r="CQ569" s="167">
        <v>0</v>
      </c>
      <c r="CR569" s="167">
        <v>0</v>
      </c>
      <c r="CS569" s="167">
        <v>0</v>
      </c>
      <c r="CT569" s="167">
        <v>0</v>
      </c>
      <c r="CU569" s="167">
        <v>0</v>
      </c>
      <c r="CV569" s="167">
        <v>0</v>
      </c>
      <c r="CW569" s="167">
        <v>0</v>
      </c>
      <c r="CX569" s="167">
        <f>SUM(CD569:CH569)</f>
        <v>1</v>
      </c>
      <c r="CY569" s="167">
        <f>SUM(CD569:CM569)</f>
        <v>1</v>
      </c>
    </row>
    <row r="570" spans="1:103" ht="12.75" customHeight="1" x14ac:dyDescent="0.2">
      <c r="A570" s="81">
        <v>5793</v>
      </c>
      <c r="B570" s="165" t="s">
        <v>1908</v>
      </c>
      <c r="C570" s="165" t="s">
        <v>449</v>
      </c>
      <c r="E570" s="165" t="s">
        <v>3409</v>
      </c>
      <c r="F570" s="165" t="s">
        <v>479</v>
      </c>
      <c r="G570" s="81">
        <v>525347</v>
      </c>
      <c r="H570" s="81">
        <v>175071</v>
      </c>
      <c r="I570" s="165" t="s">
        <v>259</v>
      </c>
      <c r="J570" s="349">
        <v>42825</v>
      </c>
      <c r="L570" s="166">
        <v>0</v>
      </c>
      <c r="M570" s="166">
        <v>1</v>
      </c>
      <c r="N570" s="166">
        <v>1</v>
      </c>
      <c r="O570" s="166">
        <v>85</v>
      </c>
      <c r="P570" s="166">
        <v>85</v>
      </c>
      <c r="Q570" s="81" t="s">
        <v>155</v>
      </c>
      <c r="R570" s="165" t="s">
        <v>900</v>
      </c>
      <c r="S570" s="81" t="s">
        <v>104</v>
      </c>
      <c r="T570" s="349">
        <v>41969</v>
      </c>
      <c r="U570" s="349">
        <v>42264</v>
      </c>
      <c r="W570" s="81" t="s">
        <v>114</v>
      </c>
      <c r="Y570" s="81" t="s">
        <v>115</v>
      </c>
      <c r="Z570" s="81" t="s">
        <v>116</v>
      </c>
      <c r="AA570" s="81" t="s">
        <v>116</v>
      </c>
      <c r="AB570" s="81" t="s">
        <v>117</v>
      </c>
      <c r="AC570" s="166">
        <v>3.0000000260770299E-3</v>
      </c>
      <c r="AD570" s="349">
        <v>42825</v>
      </c>
      <c r="AG570" s="81" t="s">
        <v>74</v>
      </c>
      <c r="AH570" s="81" t="s">
        <v>1913</v>
      </c>
      <c r="AK570" s="166">
        <v>1</v>
      </c>
      <c r="AM570" s="166">
        <v>1</v>
      </c>
      <c r="AO570" s="166">
        <v>0</v>
      </c>
      <c r="AP570" s="166">
        <v>0</v>
      </c>
      <c r="AQ570" s="166">
        <v>1</v>
      </c>
      <c r="AR570" s="166">
        <v>0</v>
      </c>
      <c r="AS570" s="166">
        <v>0</v>
      </c>
      <c r="AT570" s="166">
        <v>0</v>
      </c>
      <c r="AU570" s="166">
        <v>0</v>
      </c>
      <c r="AV570" s="166">
        <v>0</v>
      </c>
      <c r="AW570" s="166">
        <v>0</v>
      </c>
      <c r="AX570" s="166">
        <v>1</v>
      </c>
      <c r="AY570" s="166">
        <v>0</v>
      </c>
      <c r="AZ570" s="166">
        <v>0</v>
      </c>
      <c r="BA570" s="166">
        <v>0</v>
      </c>
      <c r="BB570" s="166">
        <v>0</v>
      </c>
      <c r="BC570" s="166">
        <v>0</v>
      </c>
      <c r="BD570" s="166">
        <v>0</v>
      </c>
      <c r="BE570" s="166">
        <v>0</v>
      </c>
      <c r="BF570" s="166">
        <v>0</v>
      </c>
      <c r="BG570" s="166">
        <v>0</v>
      </c>
      <c r="BH570" s="166">
        <v>0</v>
      </c>
      <c r="BI570" s="166">
        <v>0</v>
      </c>
      <c r="BJ570" s="166">
        <v>0</v>
      </c>
      <c r="BK570" s="166">
        <v>0</v>
      </c>
      <c r="BL570" s="166">
        <v>0</v>
      </c>
      <c r="BM570" s="166">
        <v>0</v>
      </c>
      <c r="BN570" s="166">
        <v>0</v>
      </c>
      <c r="BO570" s="166">
        <v>0</v>
      </c>
      <c r="BP570" s="166">
        <v>0</v>
      </c>
      <c r="BQ570" s="81" t="s">
        <v>1758</v>
      </c>
      <c r="BT570" s="81" t="s">
        <v>155</v>
      </c>
      <c r="BZ570" s="81" t="s">
        <v>155</v>
      </c>
      <c r="CA570" s="81" t="s">
        <v>3934</v>
      </c>
      <c r="CC570" s="167">
        <v>0</v>
      </c>
      <c r="CD570" s="167">
        <v>0</v>
      </c>
      <c r="CE570" s="167">
        <f>N570</f>
        <v>1</v>
      </c>
      <c r="CF570" s="167">
        <v>0</v>
      </c>
      <c r="CG570" s="167">
        <v>0</v>
      </c>
      <c r="CH570" s="167">
        <v>0</v>
      </c>
      <c r="CI570" s="167">
        <v>0</v>
      </c>
      <c r="CJ570" s="167">
        <v>0</v>
      </c>
      <c r="CK570" s="167">
        <v>0</v>
      </c>
      <c r="CL570" s="167">
        <v>0</v>
      </c>
      <c r="CM570" s="167">
        <v>0</v>
      </c>
      <c r="CN570" s="167">
        <v>0</v>
      </c>
      <c r="CO570" s="167">
        <v>0</v>
      </c>
      <c r="CP570" s="167">
        <v>0</v>
      </c>
      <c r="CQ570" s="167">
        <v>0</v>
      </c>
      <c r="CR570" s="167">
        <v>0</v>
      </c>
      <c r="CS570" s="167">
        <v>0</v>
      </c>
      <c r="CT570" s="167">
        <v>0</v>
      </c>
      <c r="CU570" s="167">
        <v>0</v>
      </c>
      <c r="CV570" s="167">
        <v>0</v>
      </c>
      <c r="CW570" s="167">
        <v>0</v>
      </c>
      <c r="CX570" s="167">
        <f>SUM(CD570:CH570)</f>
        <v>1</v>
      </c>
      <c r="CY570" s="167">
        <f>SUM(CD570:CM570)</f>
        <v>1</v>
      </c>
    </row>
    <row r="571" spans="1:103" ht="12.75" customHeight="1" x14ac:dyDescent="0.2">
      <c r="A571" s="81">
        <v>5793</v>
      </c>
      <c r="B571" s="165" t="s">
        <v>1908</v>
      </c>
      <c r="C571" s="165" t="s">
        <v>449</v>
      </c>
      <c r="E571" s="165" t="s">
        <v>3409</v>
      </c>
      <c r="F571" s="165" t="s">
        <v>480</v>
      </c>
      <c r="G571" s="81">
        <v>525347</v>
      </c>
      <c r="H571" s="81">
        <v>175071</v>
      </c>
      <c r="I571" s="165" t="s">
        <v>259</v>
      </c>
      <c r="J571" s="349">
        <v>42825</v>
      </c>
      <c r="L571" s="166">
        <v>0</v>
      </c>
      <c r="M571" s="166">
        <v>1</v>
      </c>
      <c r="N571" s="166">
        <v>1</v>
      </c>
      <c r="O571" s="166">
        <v>85</v>
      </c>
      <c r="P571" s="166">
        <v>85</v>
      </c>
      <c r="Q571" s="81" t="s">
        <v>155</v>
      </c>
      <c r="R571" s="165" t="s">
        <v>900</v>
      </c>
      <c r="S571" s="81" t="s">
        <v>104</v>
      </c>
      <c r="T571" s="349">
        <v>41969</v>
      </c>
      <c r="U571" s="349">
        <v>42264</v>
      </c>
      <c r="W571" s="81" t="s">
        <v>114</v>
      </c>
      <c r="Y571" s="81" t="s">
        <v>115</v>
      </c>
      <c r="Z571" s="81" t="s">
        <v>116</v>
      </c>
      <c r="AA571" s="81" t="s">
        <v>116</v>
      </c>
      <c r="AB571" s="81" t="s">
        <v>117</v>
      </c>
      <c r="AC571" s="166">
        <v>3.0000000260770299E-3</v>
      </c>
      <c r="AD571" s="349">
        <v>42825</v>
      </c>
      <c r="AG571" s="81" t="s">
        <v>238</v>
      </c>
      <c r="AH571" s="81" t="s">
        <v>118</v>
      </c>
      <c r="AK571" s="166">
        <v>1</v>
      </c>
      <c r="AM571" s="166">
        <v>0</v>
      </c>
      <c r="AO571" s="166">
        <v>0</v>
      </c>
      <c r="AP571" s="166">
        <v>0</v>
      </c>
      <c r="AQ571" s="166">
        <v>1</v>
      </c>
      <c r="AR571" s="166">
        <v>0</v>
      </c>
      <c r="AS571" s="166">
        <v>0</v>
      </c>
      <c r="AT571" s="166">
        <v>0</v>
      </c>
      <c r="AU571" s="166">
        <v>0</v>
      </c>
      <c r="AV571" s="166">
        <v>0</v>
      </c>
      <c r="AW571" s="166">
        <v>0</v>
      </c>
      <c r="AX571" s="166">
        <v>1</v>
      </c>
      <c r="AY571" s="166">
        <v>0</v>
      </c>
      <c r="AZ571" s="166">
        <v>0</v>
      </c>
      <c r="BA571" s="166">
        <v>0</v>
      </c>
      <c r="BB571" s="166">
        <v>0</v>
      </c>
      <c r="BC571" s="166">
        <v>0</v>
      </c>
      <c r="BD571" s="166">
        <v>0</v>
      </c>
      <c r="BE571" s="166">
        <v>0</v>
      </c>
      <c r="BF571" s="166">
        <v>0</v>
      </c>
      <c r="BG571" s="166">
        <v>0</v>
      </c>
      <c r="BH571" s="166">
        <v>0</v>
      </c>
      <c r="BI571" s="166">
        <v>0</v>
      </c>
      <c r="BJ571" s="166">
        <v>0</v>
      </c>
      <c r="BK571" s="166">
        <v>0</v>
      </c>
      <c r="BL571" s="166">
        <v>0</v>
      </c>
      <c r="BM571" s="166">
        <v>0</v>
      </c>
      <c r="BN571" s="166">
        <v>0</v>
      </c>
      <c r="BO571" s="166">
        <v>0</v>
      </c>
      <c r="BP571" s="166">
        <v>0</v>
      </c>
      <c r="BQ571" s="81" t="s">
        <v>1758</v>
      </c>
      <c r="BT571" s="81" t="s">
        <v>155</v>
      </c>
      <c r="BZ571" s="81" t="s">
        <v>155</v>
      </c>
      <c r="CA571" s="81" t="s">
        <v>3934</v>
      </c>
      <c r="CC571" s="167">
        <v>0</v>
      </c>
      <c r="CD571" s="167">
        <v>0</v>
      </c>
      <c r="CE571" s="167">
        <f>N571</f>
        <v>1</v>
      </c>
      <c r="CF571" s="167">
        <v>0</v>
      </c>
      <c r="CG571" s="167">
        <v>0</v>
      </c>
      <c r="CH571" s="167">
        <v>0</v>
      </c>
      <c r="CI571" s="167">
        <v>0</v>
      </c>
      <c r="CJ571" s="167">
        <v>0</v>
      </c>
      <c r="CK571" s="167">
        <v>0</v>
      </c>
      <c r="CL571" s="167">
        <v>0</v>
      </c>
      <c r="CM571" s="167">
        <v>0</v>
      </c>
      <c r="CN571" s="167">
        <v>0</v>
      </c>
      <c r="CO571" s="167">
        <v>0</v>
      </c>
      <c r="CP571" s="167">
        <v>0</v>
      </c>
      <c r="CQ571" s="167">
        <v>0</v>
      </c>
      <c r="CR571" s="167">
        <v>0</v>
      </c>
      <c r="CS571" s="167">
        <v>0</v>
      </c>
      <c r="CT571" s="167">
        <v>0</v>
      </c>
      <c r="CU571" s="167">
        <v>0</v>
      </c>
      <c r="CV571" s="167">
        <v>0</v>
      </c>
      <c r="CW571" s="167">
        <v>0</v>
      </c>
      <c r="CX571" s="167">
        <f>SUM(CD571:CH571)</f>
        <v>1</v>
      </c>
      <c r="CY571" s="167">
        <f>SUM(CD571:CM571)</f>
        <v>1</v>
      </c>
    </row>
    <row r="572" spans="1:103" ht="12.75" customHeight="1" x14ac:dyDescent="0.2">
      <c r="A572" s="81">
        <v>5793</v>
      </c>
      <c r="B572" s="165" t="s">
        <v>1908</v>
      </c>
      <c r="C572" s="165" t="s">
        <v>449</v>
      </c>
      <c r="E572" s="165" t="s">
        <v>3409</v>
      </c>
      <c r="F572" s="165" t="s">
        <v>481</v>
      </c>
      <c r="G572" s="81">
        <v>525347</v>
      </c>
      <c r="H572" s="81">
        <v>175071</v>
      </c>
      <c r="I572" s="165" t="s">
        <v>259</v>
      </c>
      <c r="J572" s="349">
        <v>42825</v>
      </c>
      <c r="L572" s="166">
        <v>0</v>
      </c>
      <c r="M572" s="166">
        <v>1</v>
      </c>
      <c r="N572" s="166">
        <v>1</v>
      </c>
      <c r="O572" s="166">
        <v>85</v>
      </c>
      <c r="P572" s="166">
        <v>85</v>
      </c>
      <c r="Q572" s="81" t="s">
        <v>155</v>
      </c>
      <c r="R572" s="165" t="s">
        <v>900</v>
      </c>
      <c r="S572" s="81" t="s">
        <v>104</v>
      </c>
      <c r="T572" s="349">
        <v>41969</v>
      </c>
      <c r="U572" s="349">
        <v>42264</v>
      </c>
      <c r="W572" s="81" t="s">
        <v>114</v>
      </c>
      <c r="Y572" s="81" t="s">
        <v>115</v>
      </c>
      <c r="Z572" s="81" t="s">
        <v>116</v>
      </c>
      <c r="AA572" s="81" t="s">
        <v>116</v>
      </c>
      <c r="AB572" s="81" t="s">
        <v>117</v>
      </c>
      <c r="AC572" s="166">
        <v>3.0000000260770299E-3</v>
      </c>
      <c r="AD572" s="349">
        <v>42825</v>
      </c>
      <c r="AG572" s="81" t="s">
        <v>74</v>
      </c>
      <c r="AH572" s="81" t="s">
        <v>1913</v>
      </c>
      <c r="AK572" s="166">
        <v>1</v>
      </c>
      <c r="AM572" s="166">
        <v>0</v>
      </c>
      <c r="AO572" s="166">
        <v>0</v>
      </c>
      <c r="AP572" s="166">
        <v>0</v>
      </c>
      <c r="AQ572" s="166">
        <v>1</v>
      </c>
      <c r="AR572" s="166">
        <v>0</v>
      </c>
      <c r="AS572" s="166">
        <v>0</v>
      </c>
      <c r="AT572" s="166">
        <v>0</v>
      </c>
      <c r="AU572" s="166">
        <v>0</v>
      </c>
      <c r="AV572" s="166">
        <v>0</v>
      </c>
      <c r="AW572" s="166">
        <v>0</v>
      </c>
      <c r="AX572" s="166">
        <v>1</v>
      </c>
      <c r="AY572" s="166">
        <v>0</v>
      </c>
      <c r="AZ572" s="166">
        <v>0</v>
      </c>
      <c r="BA572" s="166">
        <v>0</v>
      </c>
      <c r="BB572" s="166">
        <v>0</v>
      </c>
      <c r="BC572" s="166">
        <v>0</v>
      </c>
      <c r="BD572" s="166">
        <v>0</v>
      </c>
      <c r="BE572" s="166">
        <v>0</v>
      </c>
      <c r="BF572" s="166">
        <v>0</v>
      </c>
      <c r="BG572" s="166">
        <v>0</v>
      </c>
      <c r="BH572" s="166">
        <v>0</v>
      </c>
      <c r="BI572" s="166">
        <v>0</v>
      </c>
      <c r="BJ572" s="166">
        <v>0</v>
      </c>
      <c r="BK572" s="166">
        <v>0</v>
      </c>
      <c r="BL572" s="166">
        <v>0</v>
      </c>
      <c r="BM572" s="166">
        <v>0</v>
      </c>
      <c r="BN572" s="166">
        <v>0</v>
      </c>
      <c r="BO572" s="166">
        <v>0</v>
      </c>
      <c r="BP572" s="166">
        <v>0</v>
      </c>
      <c r="BQ572" s="81" t="s">
        <v>1758</v>
      </c>
      <c r="BT572" s="81" t="s">
        <v>155</v>
      </c>
      <c r="BZ572" s="81" t="s">
        <v>155</v>
      </c>
      <c r="CA572" s="81" t="s">
        <v>3934</v>
      </c>
      <c r="CC572" s="167">
        <v>0</v>
      </c>
      <c r="CD572" s="167">
        <v>0</v>
      </c>
      <c r="CE572" s="167">
        <f>N572</f>
        <v>1</v>
      </c>
      <c r="CF572" s="167">
        <v>0</v>
      </c>
      <c r="CG572" s="167">
        <v>0</v>
      </c>
      <c r="CH572" s="167">
        <v>0</v>
      </c>
      <c r="CI572" s="167">
        <v>0</v>
      </c>
      <c r="CJ572" s="167">
        <v>0</v>
      </c>
      <c r="CK572" s="167">
        <v>0</v>
      </c>
      <c r="CL572" s="167">
        <v>0</v>
      </c>
      <c r="CM572" s="167">
        <v>0</v>
      </c>
      <c r="CN572" s="167">
        <v>0</v>
      </c>
      <c r="CO572" s="167">
        <v>0</v>
      </c>
      <c r="CP572" s="167">
        <v>0</v>
      </c>
      <c r="CQ572" s="167">
        <v>0</v>
      </c>
      <c r="CR572" s="167">
        <v>0</v>
      </c>
      <c r="CS572" s="167">
        <v>0</v>
      </c>
      <c r="CT572" s="167">
        <v>0</v>
      </c>
      <c r="CU572" s="167">
        <v>0</v>
      </c>
      <c r="CV572" s="167">
        <v>0</v>
      </c>
      <c r="CW572" s="167">
        <v>0</v>
      </c>
      <c r="CX572" s="167">
        <f>SUM(CD572:CH572)</f>
        <v>1</v>
      </c>
      <c r="CY572" s="167">
        <f>SUM(CD572:CM572)</f>
        <v>1</v>
      </c>
    </row>
    <row r="573" spans="1:103" ht="12.75" customHeight="1" x14ac:dyDescent="0.2">
      <c r="A573" s="81">
        <v>5793</v>
      </c>
      <c r="B573" s="165" t="s">
        <v>1908</v>
      </c>
      <c r="C573" s="165" t="s">
        <v>449</v>
      </c>
      <c r="E573" s="165" t="s">
        <v>3409</v>
      </c>
      <c r="F573" s="165" t="s">
        <v>482</v>
      </c>
      <c r="G573" s="81">
        <v>525347</v>
      </c>
      <c r="H573" s="81">
        <v>175071</v>
      </c>
      <c r="I573" s="165" t="s">
        <v>259</v>
      </c>
      <c r="J573" s="349">
        <v>42825</v>
      </c>
      <c r="L573" s="166">
        <v>0</v>
      </c>
      <c r="M573" s="166">
        <v>1</v>
      </c>
      <c r="N573" s="166">
        <v>1</v>
      </c>
      <c r="O573" s="166">
        <v>85</v>
      </c>
      <c r="P573" s="166">
        <v>85</v>
      </c>
      <c r="Q573" s="81" t="s">
        <v>155</v>
      </c>
      <c r="R573" s="165" t="s">
        <v>900</v>
      </c>
      <c r="S573" s="81" t="s">
        <v>104</v>
      </c>
      <c r="T573" s="349">
        <v>41969</v>
      </c>
      <c r="U573" s="349">
        <v>42264</v>
      </c>
      <c r="W573" s="81" t="s">
        <v>114</v>
      </c>
      <c r="Y573" s="81" t="s">
        <v>115</v>
      </c>
      <c r="Z573" s="81" t="s">
        <v>116</v>
      </c>
      <c r="AA573" s="81" t="s">
        <v>116</v>
      </c>
      <c r="AB573" s="81" t="s">
        <v>117</v>
      </c>
      <c r="AC573" s="166">
        <v>3.0000000260770299E-3</v>
      </c>
      <c r="AD573" s="349">
        <v>42825</v>
      </c>
      <c r="AG573" s="81" t="s">
        <v>238</v>
      </c>
      <c r="AH573" s="81" t="s">
        <v>118</v>
      </c>
      <c r="AK573" s="166">
        <v>1</v>
      </c>
      <c r="AM573" s="166">
        <v>0</v>
      </c>
      <c r="AO573" s="166">
        <v>0</v>
      </c>
      <c r="AP573" s="166">
        <v>0</v>
      </c>
      <c r="AQ573" s="166">
        <v>1</v>
      </c>
      <c r="AR573" s="166">
        <v>0</v>
      </c>
      <c r="AS573" s="166">
        <v>0</v>
      </c>
      <c r="AT573" s="166">
        <v>0</v>
      </c>
      <c r="AU573" s="166">
        <v>0</v>
      </c>
      <c r="AV573" s="166">
        <v>0</v>
      </c>
      <c r="AW573" s="166">
        <v>0</v>
      </c>
      <c r="AX573" s="166">
        <v>1</v>
      </c>
      <c r="AY573" s="166">
        <v>0</v>
      </c>
      <c r="AZ573" s="166">
        <v>0</v>
      </c>
      <c r="BA573" s="166">
        <v>0</v>
      </c>
      <c r="BB573" s="166">
        <v>0</v>
      </c>
      <c r="BC573" s="166">
        <v>0</v>
      </c>
      <c r="BD573" s="166">
        <v>0</v>
      </c>
      <c r="BE573" s="166">
        <v>0</v>
      </c>
      <c r="BF573" s="166">
        <v>0</v>
      </c>
      <c r="BG573" s="166">
        <v>0</v>
      </c>
      <c r="BH573" s="166">
        <v>0</v>
      </c>
      <c r="BI573" s="166">
        <v>0</v>
      </c>
      <c r="BJ573" s="166">
        <v>0</v>
      </c>
      <c r="BK573" s="166">
        <v>0</v>
      </c>
      <c r="BL573" s="166">
        <v>0</v>
      </c>
      <c r="BM573" s="166">
        <v>0</v>
      </c>
      <c r="BN573" s="166">
        <v>0</v>
      </c>
      <c r="BO573" s="166">
        <v>0</v>
      </c>
      <c r="BP573" s="166">
        <v>0</v>
      </c>
      <c r="BQ573" s="81" t="s">
        <v>1758</v>
      </c>
      <c r="BT573" s="81" t="s">
        <v>155</v>
      </c>
      <c r="BZ573" s="81" t="s">
        <v>155</v>
      </c>
      <c r="CA573" s="81" t="s">
        <v>3934</v>
      </c>
      <c r="CC573" s="167">
        <v>0</v>
      </c>
      <c r="CD573" s="167">
        <v>0</v>
      </c>
      <c r="CE573" s="167">
        <f>N573</f>
        <v>1</v>
      </c>
      <c r="CF573" s="167">
        <v>0</v>
      </c>
      <c r="CG573" s="167">
        <v>0</v>
      </c>
      <c r="CH573" s="167">
        <v>0</v>
      </c>
      <c r="CI573" s="167">
        <v>0</v>
      </c>
      <c r="CJ573" s="167">
        <v>0</v>
      </c>
      <c r="CK573" s="167">
        <v>0</v>
      </c>
      <c r="CL573" s="167">
        <v>0</v>
      </c>
      <c r="CM573" s="167">
        <v>0</v>
      </c>
      <c r="CN573" s="167">
        <v>0</v>
      </c>
      <c r="CO573" s="167">
        <v>0</v>
      </c>
      <c r="CP573" s="167">
        <v>0</v>
      </c>
      <c r="CQ573" s="167">
        <v>0</v>
      </c>
      <c r="CR573" s="167">
        <v>0</v>
      </c>
      <c r="CS573" s="167">
        <v>0</v>
      </c>
      <c r="CT573" s="167">
        <v>0</v>
      </c>
      <c r="CU573" s="167">
        <v>0</v>
      </c>
      <c r="CV573" s="167">
        <v>0</v>
      </c>
      <c r="CW573" s="167">
        <v>0</v>
      </c>
      <c r="CX573" s="167">
        <f>SUM(CD573:CH573)</f>
        <v>1</v>
      </c>
      <c r="CY573" s="167">
        <f>SUM(CD573:CM573)</f>
        <v>1</v>
      </c>
    </row>
    <row r="574" spans="1:103" ht="12.75" customHeight="1" x14ac:dyDescent="0.2">
      <c r="A574" s="81">
        <v>5793</v>
      </c>
      <c r="B574" s="165" t="s">
        <v>1908</v>
      </c>
      <c r="C574" s="165" t="s">
        <v>449</v>
      </c>
      <c r="E574" s="165" t="s">
        <v>3409</v>
      </c>
      <c r="F574" s="165" t="s">
        <v>483</v>
      </c>
      <c r="G574" s="81">
        <v>525347</v>
      </c>
      <c r="H574" s="81">
        <v>175071</v>
      </c>
      <c r="I574" s="165" t="s">
        <v>259</v>
      </c>
      <c r="J574" s="349">
        <v>42825</v>
      </c>
      <c r="L574" s="166">
        <v>0</v>
      </c>
      <c r="M574" s="166">
        <v>1</v>
      </c>
      <c r="N574" s="166">
        <v>1</v>
      </c>
      <c r="O574" s="166">
        <v>85</v>
      </c>
      <c r="P574" s="166">
        <v>85</v>
      </c>
      <c r="Q574" s="81" t="s">
        <v>155</v>
      </c>
      <c r="R574" s="165" t="s">
        <v>900</v>
      </c>
      <c r="S574" s="81" t="s">
        <v>104</v>
      </c>
      <c r="T574" s="349">
        <v>41969</v>
      </c>
      <c r="U574" s="349">
        <v>42264</v>
      </c>
      <c r="W574" s="81" t="s">
        <v>114</v>
      </c>
      <c r="Y574" s="81" t="s">
        <v>115</v>
      </c>
      <c r="Z574" s="81" t="s">
        <v>116</v>
      </c>
      <c r="AA574" s="81" t="s">
        <v>116</v>
      </c>
      <c r="AB574" s="81" t="s">
        <v>117</v>
      </c>
      <c r="AC574" s="166">
        <v>3.0000000260770299E-3</v>
      </c>
      <c r="AD574" s="349">
        <v>42825</v>
      </c>
      <c r="AG574" s="81" t="s">
        <v>74</v>
      </c>
      <c r="AH574" s="81" t="s">
        <v>1913</v>
      </c>
      <c r="AK574" s="166">
        <v>1</v>
      </c>
      <c r="AM574" s="166">
        <v>0</v>
      </c>
      <c r="AO574" s="166">
        <v>0</v>
      </c>
      <c r="AP574" s="166">
        <v>0</v>
      </c>
      <c r="AQ574" s="166">
        <v>1</v>
      </c>
      <c r="AR574" s="166">
        <v>0</v>
      </c>
      <c r="AS574" s="166">
        <v>0</v>
      </c>
      <c r="AT574" s="166">
        <v>0</v>
      </c>
      <c r="AU574" s="166">
        <v>0</v>
      </c>
      <c r="AV574" s="166">
        <v>0</v>
      </c>
      <c r="AW574" s="166">
        <v>0</v>
      </c>
      <c r="AX574" s="166">
        <v>1</v>
      </c>
      <c r="AY574" s="166">
        <v>0</v>
      </c>
      <c r="AZ574" s="166">
        <v>0</v>
      </c>
      <c r="BA574" s="166">
        <v>0</v>
      </c>
      <c r="BB574" s="166">
        <v>0</v>
      </c>
      <c r="BC574" s="166">
        <v>0</v>
      </c>
      <c r="BD574" s="166">
        <v>0</v>
      </c>
      <c r="BE574" s="166">
        <v>0</v>
      </c>
      <c r="BF574" s="166">
        <v>0</v>
      </c>
      <c r="BG574" s="166">
        <v>0</v>
      </c>
      <c r="BH574" s="166">
        <v>0</v>
      </c>
      <c r="BI574" s="166">
        <v>0</v>
      </c>
      <c r="BJ574" s="166">
        <v>0</v>
      </c>
      <c r="BK574" s="166">
        <v>0</v>
      </c>
      <c r="BL574" s="166">
        <v>0</v>
      </c>
      <c r="BM574" s="166">
        <v>0</v>
      </c>
      <c r="BN574" s="166">
        <v>0</v>
      </c>
      <c r="BO574" s="166">
        <v>0</v>
      </c>
      <c r="BP574" s="166">
        <v>0</v>
      </c>
      <c r="BQ574" s="81" t="s">
        <v>1758</v>
      </c>
      <c r="BT574" s="81" t="s">
        <v>155</v>
      </c>
      <c r="BZ574" s="81" t="s">
        <v>155</v>
      </c>
      <c r="CA574" s="81" t="s">
        <v>3934</v>
      </c>
      <c r="CC574" s="167">
        <v>0</v>
      </c>
      <c r="CD574" s="167">
        <v>0</v>
      </c>
      <c r="CE574" s="167">
        <f>N574</f>
        <v>1</v>
      </c>
      <c r="CF574" s="167">
        <v>0</v>
      </c>
      <c r="CG574" s="167">
        <v>0</v>
      </c>
      <c r="CH574" s="167">
        <v>0</v>
      </c>
      <c r="CI574" s="167">
        <v>0</v>
      </c>
      <c r="CJ574" s="167">
        <v>0</v>
      </c>
      <c r="CK574" s="167">
        <v>0</v>
      </c>
      <c r="CL574" s="167">
        <v>0</v>
      </c>
      <c r="CM574" s="167">
        <v>0</v>
      </c>
      <c r="CN574" s="167">
        <v>0</v>
      </c>
      <c r="CO574" s="167">
        <v>0</v>
      </c>
      <c r="CP574" s="167">
        <v>0</v>
      </c>
      <c r="CQ574" s="167">
        <v>0</v>
      </c>
      <c r="CR574" s="167">
        <v>0</v>
      </c>
      <c r="CS574" s="167">
        <v>0</v>
      </c>
      <c r="CT574" s="167">
        <v>0</v>
      </c>
      <c r="CU574" s="167">
        <v>0</v>
      </c>
      <c r="CV574" s="167">
        <v>0</v>
      </c>
      <c r="CW574" s="167">
        <v>0</v>
      </c>
      <c r="CX574" s="167">
        <f>SUM(CD574:CH574)</f>
        <v>1</v>
      </c>
      <c r="CY574" s="167">
        <f>SUM(CD574:CM574)</f>
        <v>1</v>
      </c>
    </row>
    <row r="575" spans="1:103" ht="12.75" customHeight="1" x14ac:dyDescent="0.2">
      <c r="A575" s="81">
        <v>5793</v>
      </c>
      <c r="B575" s="165" t="s">
        <v>1908</v>
      </c>
      <c r="C575" s="165" t="s">
        <v>449</v>
      </c>
      <c r="E575" s="165" t="s">
        <v>3409</v>
      </c>
      <c r="F575" s="165" t="s">
        <v>484</v>
      </c>
      <c r="G575" s="81">
        <v>525347</v>
      </c>
      <c r="H575" s="81">
        <v>175071</v>
      </c>
      <c r="I575" s="165" t="s">
        <v>259</v>
      </c>
      <c r="J575" s="349">
        <v>42825</v>
      </c>
      <c r="L575" s="166">
        <v>0</v>
      </c>
      <c r="M575" s="166">
        <v>1</v>
      </c>
      <c r="N575" s="166">
        <v>1</v>
      </c>
      <c r="O575" s="166">
        <v>85</v>
      </c>
      <c r="P575" s="166">
        <v>85</v>
      </c>
      <c r="Q575" s="81" t="s">
        <v>155</v>
      </c>
      <c r="R575" s="165" t="s">
        <v>900</v>
      </c>
      <c r="S575" s="81" t="s">
        <v>104</v>
      </c>
      <c r="T575" s="349">
        <v>41969</v>
      </c>
      <c r="U575" s="349">
        <v>42264</v>
      </c>
      <c r="W575" s="81" t="s">
        <v>114</v>
      </c>
      <c r="Y575" s="81" t="s">
        <v>115</v>
      </c>
      <c r="Z575" s="81" t="s">
        <v>116</v>
      </c>
      <c r="AA575" s="81" t="s">
        <v>116</v>
      </c>
      <c r="AB575" s="81" t="s">
        <v>117</v>
      </c>
      <c r="AC575" s="166">
        <v>3.0000000260770299E-3</v>
      </c>
      <c r="AD575" s="349">
        <v>42825</v>
      </c>
      <c r="AG575" s="81" t="s">
        <v>238</v>
      </c>
      <c r="AH575" s="81" t="s">
        <v>118</v>
      </c>
      <c r="AK575" s="166">
        <v>1</v>
      </c>
      <c r="AM575" s="166">
        <v>1</v>
      </c>
      <c r="AO575" s="166">
        <v>0</v>
      </c>
      <c r="AP575" s="166">
        <v>0</v>
      </c>
      <c r="AQ575" s="166">
        <v>1</v>
      </c>
      <c r="AR575" s="166">
        <v>0</v>
      </c>
      <c r="AS575" s="166">
        <v>0</v>
      </c>
      <c r="AT575" s="166">
        <v>0</v>
      </c>
      <c r="AU575" s="166">
        <v>0</v>
      </c>
      <c r="AV575" s="166">
        <v>0</v>
      </c>
      <c r="AW575" s="166">
        <v>0</v>
      </c>
      <c r="AX575" s="166">
        <v>1</v>
      </c>
      <c r="AY575" s="166">
        <v>0</v>
      </c>
      <c r="AZ575" s="166">
        <v>0</v>
      </c>
      <c r="BA575" s="166">
        <v>0</v>
      </c>
      <c r="BB575" s="166">
        <v>0</v>
      </c>
      <c r="BC575" s="166">
        <v>0</v>
      </c>
      <c r="BD575" s="166">
        <v>0</v>
      </c>
      <c r="BE575" s="166">
        <v>0</v>
      </c>
      <c r="BF575" s="166">
        <v>0</v>
      </c>
      <c r="BG575" s="166">
        <v>0</v>
      </c>
      <c r="BH575" s="166">
        <v>0</v>
      </c>
      <c r="BI575" s="166">
        <v>0</v>
      </c>
      <c r="BJ575" s="166">
        <v>0</v>
      </c>
      <c r="BK575" s="166">
        <v>0</v>
      </c>
      <c r="BL575" s="166">
        <v>0</v>
      </c>
      <c r="BM575" s="166">
        <v>0</v>
      </c>
      <c r="BN575" s="166">
        <v>0</v>
      </c>
      <c r="BO575" s="166">
        <v>0</v>
      </c>
      <c r="BP575" s="166">
        <v>0</v>
      </c>
      <c r="BQ575" s="81" t="s">
        <v>1758</v>
      </c>
      <c r="BT575" s="81" t="s">
        <v>155</v>
      </c>
      <c r="BZ575" s="81" t="s">
        <v>155</v>
      </c>
      <c r="CA575" s="81" t="s">
        <v>3934</v>
      </c>
      <c r="CC575" s="167">
        <v>0</v>
      </c>
      <c r="CD575" s="167">
        <v>0</v>
      </c>
      <c r="CE575" s="167">
        <f>N575</f>
        <v>1</v>
      </c>
      <c r="CF575" s="167">
        <v>0</v>
      </c>
      <c r="CG575" s="167">
        <v>0</v>
      </c>
      <c r="CH575" s="167">
        <v>0</v>
      </c>
      <c r="CI575" s="167">
        <v>0</v>
      </c>
      <c r="CJ575" s="167">
        <v>0</v>
      </c>
      <c r="CK575" s="167">
        <v>0</v>
      </c>
      <c r="CL575" s="167">
        <v>0</v>
      </c>
      <c r="CM575" s="167">
        <v>0</v>
      </c>
      <c r="CN575" s="167">
        <v>0</v>
      </c>
      <c r="CO575" s="167">
        <v>0</v>
      </c>
      <c r="CP575" s="167">
        <v>0</v>
      </c>
      <c r="CQ575" s="167">
        <v>0</v>
      </c>
      <c r="CR575" s="167">
        <v>0</v>
      </c>
      <c r="CS575" s="167">
        <v>0</v>
      </c>
      <c r="CT575" s="167">
        <v>0</v>
      </c>
      <c r="CU575" s="167">
        <v>0</v>
      </c>
      <c r="CV575" s="167">
        <v>0</v>
      </c>
      <c r="CW575" s="167">
        <v>0</v>
      </c>
      <c r="CX575" s="167">
        <f>SUM(CD575:CH575)</f>
        <v>1</v>
      </c>
      <c r="CY575" s="167">
        <f>SUM(CD575:CM575)</f>
        <v>1</v>
      </c>
    </row>
    <row r="576" spans="1:103" ht="12.75" customHeight="1" x14ac:dyDescent="0.2">
      <c r="A576" s="81">
        <v>5793</v>
      </c>
      <c r="B576" s="165" t="s">
        <v>1908</v>
      </c>
      <c r="C576" s="165" t="s">
        <v>449</v>
      </c>
      <c r="E576" s="165" t="s">
        <v>3409</v>
      </c>
      <c r="F576" s="165" t="s">
        <v>485</v>
      </c>
      <c r="G576" s="81">
        <v>525347</v>
      </c>
      <c r="H576" s="81">
        <v>175071</v>
      </c>
      <c r="I576" s="165" t="s">
        <v>259</v>
      </c>
      <c r="J576" s="349">
        <v>42825</v>
      </c>
      <c r="L576" s="166">
        <v>0</v>
      </c>
      <c r="M576" s="166">
        <v>1</v>
      </c>
      <c r="N576" s="166">
        <v>1</v>
      </c>
      <c r="O576" s="166">
        <v>85</v>
      </c>
      <c r="P576" s="166">
        <v>85</v>
      </c>
      <c r="Q576" s="81" t="s">
        <v>155</v>
      </c>
      <c r="R576" s="165" t="s">
        <v>900</v>
      </c>
      <c r="S576" s="81" t="s">
        <v>104</v>
      </c>
      <c r="T576" s="349">
        <v>41969</v>
      </c>
      <c r="U576" s="349">
        <v>42264</v>
      </c>
      <c r="W576" s="81" t="s">
        <v>114</v>
      </c>
      <c r="Y576" s="81" t="s">
        <v>115</v>
      </c>
      <c r="Z576" s="81" t="s">
        <v>116</v>
      </c>
      <c r="AA576" s="81" t="s">
        <v>116</v>
      </c>
      <c r="AB576" s="81" t="s">
        <v>117</v>
      </c>
      <c r="AC576" s="166">
        <v>3.0000000260770299E-3</v>
      </c>
      <c r="AD576" s="349">
        <v>42825</v>
      </c>
      <c r="AG576" s="81" t="s">
        <v>74</v>
      </c>
      <c r="AH576" s="81" t="s">
        <v>1913</v>
      </c>
      <c r="AK576" s="166">
        <v>1</v>
      </c>
      <c r="AM576" s="166">
        <v>0</v>
      </c>
      <c r="AO576" s="166">
        <v>0</v>
      </c>
      <c r="AP576" s="166">
        <v>1</v>
      </c>
      <c r="AQ576" s="166">
        <v>0</v>
      </c>
      <c r="AR576" s="166">
        <v>0</v>
      </c>
      <c r="AS576" s="166">
        <v>0</v>
      </c>
      <c r="AT576" s="166">
        <v>0</v>
      </c>
      <c r="AU576" s="166">
        <v>0</v>
      </c>
      <c r="AV576" s="166">
        <v>0</v>
      </c>
      <c r="AW576" s="166">
        <v>1</v>
      </c>
      <c r="AX576" s="166">
        <v>0</v>
      </c>
      <c r="AY576" s="166">
        <v>0</v>
      </c>
      <c r="AZ576" s="166">
        <v>0</v>
      </c>
      <c r="BA576" s="166">
        <v>0</v>
      </c>
      <c r="BB576" s="166">
        <v>0</v>
      </c>
      <c r="BC576" s="166">
        <v>0</v>
      </c>
      <c r="BD576" s="166">
        <v>0</v>
      </c>
      <c r="BE576" s="166">
        <v>0</v>
      </c>
      <c r="BF576" s="166">
        <v>0</v>
      </c>
      <c r="BG576" s="166">
        <v>0</v>
      </c>
      <c r="BH576" s="166">
        <v>0</v>
      </c>
      <c r="BI576" s="166">
        <v>0</v>
      </c>
      <c r="BJ576" s="166">
        <v>0</v>
      </c>
      <c r="BK576" s="166">
        <v>0</v>
      </c>
      <c r="BL576" s="166">
        <v>0</v>
      </c>
      <c r="BM576" s="166">
        <v>0</v>
      </c>
      <c r="BN576" s="166">
        <v>0</v>
      </c>
      <c r="BO576" s="166">
        <v>0</v>
      </c>
      <c r="BP576" s="166">
        <v>0</v>
      </c>
      <c r="BQ576" s="81" t="s">
        <v>1758</v>
      </c>
      <c r="BT576" s="81" t="s">
        <v>155</v>
      </c>
      <c r="BZ576" s="81" t="s">
        <v>155</v>
      </c>
      <c r="CA576" s="81" t="s">
        <v>3934</v>
      </c>
      <c r="CC576" s="167">
        <v>0</v>
      </c>
      <c r="CD576" s="167">
        <v>0</v>
      </c>
      <c r="CE576" s="167">
        <f>N576</f>
        <v>1</v>
      </c>
      <c r="CF576" s="167">
        <v>0</v>
      </c>
      <c r="CG576" s="167">
        <v>0</v>
      </c>
      <c r="CH576" s="167">
        <v>0</v>
      </c>
      <c r="CI576" s="167">
        <v>0</v>
      </c>
      <c r="CJ576" s="167">
        <v>0</v>
      </c>
      <c r="CK576" s="167">
        <v>0</v>
      </c>
      <c r="CL576" s="167">
        <v>0</v>
      </c>
      <c r="CM576" s="167">
        <v>0</v>
      </c>
      <c r="CN576" s="167">
        <v>0</v>
      </c>
      <c r="CO576" s="167">
        <v>0</v>
      </c>
      <c r="CP576" s="167">
        <v>0</v>
      </c>
      <c r="CQ576" s="167">
        <v>0</v>
      </c>
      <c r="CR576" s="167">
        <v>0</v>
      </c>
      <c r="CS576" s="167">
        <v>0</v>
      </c>
      <c r="CT576" s="167">
        <v>0</v>
      </c>
      <c r="CU576" s="167">
        <v>0</v>
      </c>
      <c r="CV576" s="167">
        <v>0</v>
      </c>
      <c r="CW576" s="167">
        <v>0</v>
      </c>
      <c r="CX576" s="167">
        <f>SUM(CD576:CH576)</f>
        <v>1</v>
      </c>
      <c r="CY576" s="167">
        <f>SUM(CD576:CM576)</f>
        <v>1</v>
      </c>
    </row>
    <row r="577" spans="1:103" ht="12.75" customHeight="1" x14ac:dyDescent="0.2">
      <c r="A577" s="81">
        <v>5794</v>
      </c>
      <c r="B577" s="165" t="s">
        <v>1908</v>
      </c>
      <c r="C577" s="165" t="s">
        <v>3600</v>
      </c>
      <c r="E577" s="165" t="s">
        <v>3601</v>
      </c>
      <c r="G577" s="81">
        <v>526672</v>
      </c>
      <c r="H577" s="81">
        <v>171644</v>
      </c>
      <c r="I577" s="165" t="s">
        <v>242</v>
      </c>
      <c r="J577" s="349">
        <v>43190</v>
      </c>
      <c r="L577" s="166">
        <v>0</v>
      </c>
      <c r="M577" s="166">
        <v>1</v>
      </c>
      <c r="N577" s="166">
        <v>1</v>
      </c>
      <c r="O577" s="166">
        <v>1</v>
      </c>
      <c r="P577" s="166">
        <v>1</v>
      </c>
      <c r="R577" s="165" t="s">
        <v>3602</v>
      </c>
      <c r="S577" s="81" t="s">
        <v>113</v>
      </c>
      <c r="T577" s="349">
        <v>42905</v>
      </c>
      <c r="U577" s="349">
        <v>42961</v>
      </c>
      <c r="V577" s="81" t="s">
        <v>155</v>
      </c>
      <c r="W577" s="81" t="s">
        <v>114</v>
      </c>
      <c r="Y577" s="81" t="s">
        <v>115</v>
      </c>
      <c r="Z577" s="81" t="s">
        <v>398</v>
      </c>
      <c r="AA577" s="81" t="s">
        <v>117</v>
      </c>
      <c r="AB577" s="81" t="s">
        <v>399</v>
      </c>
      <c r="AC577" s="166">
        <v>4.9999998882412902E-3</v>
      </c>
      <c r="AD577" s="349">
        <v>43190</v>
      </c>
      <c r="AE577" s="81" t="s">
        <v>155</v>
      </c>
      <c r="AG577" s="81" t="s">
        <v>238</v>
      </c>
      <c r="AH577" s="81" t="s">
        <v>118</v>
      </c>
      <c r="AK577" s="166">
        <v>0</v>
      </c>
      <c r="AM577" s="166">
        <v>0</v>
      </c>
      <c r="AO577" s="166">
        <v>0</v>
      </c>
      <c r="AP577" s="166">
        <v>1</v>
      </c>
      <c r="AQ577" s="166">
        <v>0</v>
      </c>
      <c r="AR577" s="166">
        <v>0</v>
      </c>
      <c r="AS577" s="166">
        <v>0</v>
      </c>
      <c r="AT577" s="166">
        <v>0</v>
      </c>
      <c r="AU577" s="166">
        <v>0</v>
      </c>
      <c r="AV577" s="166">
        <v>0</v>
      </c>
      <c r="AW577" s="166">
        <v>1</v>
      </c>
      <c r="AX577" s="166">
        <v>0</v>
      </c>
      <c r="AY577" s="166">
        <v>0</v>
      </c>
      <c r="AZ577" s="166">
        <v>0</v>
      </c>
      <c r="BA577" s="166">
        <v>0</v>
      </c>
      <c r="BB577" s="166">
        <v>0</v>
      </c>
      <c r="BC577" s="166">
        <v>0</v>
      </c>
      <c r="BD577" s="166">
        <v>0</v>
      </c>
      <c r="BE577" s="166">
        <v>0</v>
      </c>
      <c r="BF577" s="166">
        <v>0</v>
      </c>
      <c r="BG577" s="166">
        <v>0</v>
      </c>
      <c r="BH577" s="166">
        <v>0</v>
      </c>
      <c r="BI577" s="166">
        <v>0</v>
      </c>
      <c r="BJ577" s="166">
        <v>0</v>
      </c>
      <c r="BK577" s="166">
        <v>0</v>
      </c>
      <c r="BL577" s="166">
        <v>0</v>
      </c>
      <c r="BM577" s="166">
        <v>0</v>
      </c>
      <c r="BN577" s="166">
        <v>0</v>
      </c>
      <c r="BO577" s="166">
        <v>0</v>
      </c>
      <c r="BP577" s="166">
        <v>0</v>
      </c>
      <c r="BQ577" s="81" t="s">
        <v>1757</v>
      </c>
      <c r="BZ577" s="81" t="s">
        <v>155</v>
      </c>
      <c r="CA577" s="81" t="s">
        <v>3981</v>
      </c>
      <c r="CC577" s="167">
        <v>0</v>
      </c>
      <c r="CD577" s="167">
        <f>$N577/2</f>
        <v>0.5</v>
      </c>
      <c r="CE577" s="167">
        <f>$N577/2</f>
        <v>0.5</v>
      </c>
      <c r="CF577" s="167">
        <v>0</v>
      </c>
      <c r="CG577" s="167">
        <v>0</v>
      </c>
      <c r="CH577" s="167">
        <v>0</v>
      </c>
      <c r="CI577" s="167">
        <v>0</v>
      </c>
      <c r="CJ577" s="167">
        <v>0</v>
      </c>
      <c r="CK577" s="167">
        <v>0</v>
      </c>
      <c r="CL577" s="167">
        <v>0</v>
      </c>
      <c r="CM577" s="167">
        <v>0</v>
      </c>
      <c r="CN577" s="167">
        <v>0</v>
      </c>
      <c r="CO577" s="167">
        <v>0</v>
      </c>
      <c r="CP577" s="167">
        <v>0</v>
      </c>
      <c r="CQ577" s="167">
        <v>0</v>
      </c>
      <c r="CR577" s="167">
        <v>0</v>
      </c>
      <c r="CS577" s="167">
        <v>0</v>
      </c>
      <c r="CT577" s="167">
        <v>0</v>
      </c>
      <c r="CU577" s="167">
        <v>0</v>
      </c>
      <c r="CV577" s="167">
        <v>0</v>
      </c>
      <c r="CW577" s="167">
        <v>0</v>
      </c>
      <c r="CX577" s="167">
        <f>SUM(CD577:CH577)</f>
        <v>1</v>
      </c>
      <c r="CY577" s="167">
        <f>SUM(CD577:CM577)</f>
        <v>1</v>
      </c>
    </row>
    <row r="578" spans="1:103" ht="12.75" customHeight="1" x14ac:dyDescent="0.2">
      <c r="A578" s="81">
        <v>5812</v>
      </c>
      <c r="B578" s="165" t="s">
        <v>1908</v>
      </c>
      <c r="C578" s="165" t="s">
        <v>781</v>
      </c>
      <c r="E578" s="165" t="s">
        <v>3417</v>
      </c>
      <c r="F578" s="165" t="s">
        <v>293</v>
      </c>
      <c r="G578" s="81">
        <v>529628</v>
      </c>
      <c r="H578" s="81">
        <v>177338</v>
      </c>
      <c r="I578" s="165" t="s">
        <v>240</v>
      </c>
      <c r="J578" s="349">
        <v>42793</v>
      </c>
      <c r="L578" s="166">
        <v>0</v>
      </c>
      <c r="M578" s="166">
        <v>126</v>
      </c>
      <c r="N578" s="166">
        <v>126</v>
      </c>
      <c r="O578" s="166">
        <v>357</v>
      </c>
      <c r="P578" s="166">
        <v>357</v>
      </c>
      <c r="Q578" s="81" t="s">
        <v>155</v>
      </c>
      <c r="R578" s="165" t="s">
        <v>919</v>
      </c>
      <c r="S578" s="81" t="s">
        <v>104</v>
      </c>
      <c r="T578" s="349">
        <v>42234</v>
      </c>
      <c r="U578" s="349">
        <v>42647</v>
      </c>
      <c r="W578" s="81" t="s">
        <v>114</v>
      </c>
      <c r="Y578" s="81" t="s">
        <v>115</v>
      </c>
      <c r="Z578" s="81" t="s">
        <v>116</v>
      </c>
      <c r="AA578" s="81" t="s">
        <v>116</v>
      </c>
      <c r="AB578" s="81" t="s">
        <v>117</v>
      </c>
      <c r="AC578" s="166">
        <v>0.20000000298023199</v>
      </c>
      <c r="AD578" s="349">
        <v>42793</v>
      </c>
      <c r="AG578" s="81" t="s">
        <v>238</v>
      </c>
      <c r="AH578" s="81" t="s">
        <v>118</v>
      </c>
      <c r="AI578" s="81" t="s">
        <v>3419</v>
      </c>
      <c r="AK578" s="166">
        <v>126</v>
      </c>
      <c r="AM578" s="166">
        <v>12</v>
      </c>
      <c r="AO578" s="166">
        <v>9</v>
      </c>
      <c r="AP578" s="166">
        <v>12</v>
      </c>
      <c r="AQ578" s="166">
        <v>97</v>
      </c>
      <c r="AR578" s="166">
        <v>8</v>
      </c>
      <c r="AS578" s="166">
        <v>0</v>
      </c>
      <c r="AT578" s="166">
        <v>0</v>
      </c>
      <c r="AU578" s="166">
        <v>0</v>
      </c>
      <c r="AV578" s="166">
        <v>9</v>
      </c>
      <c r="AW578" s="166">
        <v>12</v>
      </c>
      <c r="AX578" s="166">
        <v>97</v>
      </c>
      <c r="AY578" s="166">
        <v>8</v>
      </c>
      <c r="AZ578" s="166">
        <v>0</v>
      </c>
      <c r="BA578" s="166">
        <v>0</v>
      </c>
      <c r="BB578" s="166">
        <v>0</v>
      </c>
      <c r="BC578" s="166">
        <v>0</v>
      </c>
      <c r="BD578" s="166">
        <v>0</v>
      </c>
      <c r="BE578" s="166">
        <v>0</v>
      </c>
      <c r="BF578" s="166">
        <v>0</v>
      </c>
      <c r="BG578" s="166">
        <v>0</v>
      </c>
      <c r="BH578" s="166">
        <v>0</v>
      </c>
      <c r="BI578" s="166">
        <v>0</v>
      </c>
      <c r="BJ578" s="166">
        <v>0</v>
      </c>
      <c r="BK578" s="166">
        <v>0</v>
      </c>
      <c r="BL578" s="166">
        <v>0</v>
      </c>
      <c r="BM578" s="166">
        <v>0</v>
      </c>
      <c r="BN578" s="166">
        <v>0</v>
      </c>
      <c r="BO578" s="166">
        <v>0</v>
      </c>
      <c r="BP578" s="166">
        <v>0</v>
      </c>
      <c r="BQ578" s="81" t="s">
        <v>1759</v>
      </c>
      <c r="BS578" s="81" t="s">
        <v>155</v>
      </c>
      <c r="BZ578" s="81" t="s">
        <v>155</v>
      </c>
      <c r="CA578" s="81">
        <v>12</v>
      </c>
      <c r="CC578" s="167">
        <v>0</v>
      </c>
      <c r="CD578" s="167">
        <v>0</v>
      </c>
      <c r="CE578" s="167">
        <f>N578</f>
        <v>126</v>
      </c>
      <c r="CF578" s="167">
        <v>0</v>
      </c>
      <c r="CG578" s="167">
        <v>0</v>
      </c>
      <c r="CH578" s="167">
        <v>0</v>
      </c>
      <c r="CI578" s="167">
        <v>0</v>
      </c>
      <c r="CJ578" s="167">
        <v>0</v>
      </c>
      <c r="CK578" s="167">
        <v>0</v>
      </c>
      <c r="CL578" s="167">
        <v>0</v>
      </c>
      <c r="CM578" s="167">
        <v>0</v>
      </c>
      <c r="CN578" s="167">
        <v>0</v>
      </c>
      <c r="CO578" s="167">
        <v>0</v>
      </c>
      <c r="CP578" s="167">
        <v>0</v>
      </c>
      <c r="CQ578" s="167">
        <v>0</v>
      </c>
      <c r="CR578" s="167">
        <v>0</v>
      </c>
      <c r="CS578" s="167">
        <v>0</v>
      </c>
      <c r="CT578" s="167">
        <v>0</v>
      </c>
      <c r="CU578" s="167">
        <v>0</v>
      </c>
      <c r="CV578" s="167">
        <v>0</v>
      </c>
      <c r="CW578" s="167">
        <v>0</v>
      </c>
      <c r="CX578" s="167">
        <f>SUM(CD578:CH578)</f>
        <v>126</v>
      </c>
      <c r="CY578" s="167">
        <f>SUM(CD578:CM578)</f>
        <v>126</v>
      </c>
    </row>
    <row r="579" spans="1:103" ht="12.75" customHeight="1" x14ac:dyDescent="0.2">
      <c r="A579" s="81">
        <v>5812</v>
      </c>
      <c r="B579" s="165" t="s">
        <v>1908</v>
      </c>
      <c r="C579" s="165" t="s">
        <v>781</v>
      </c>
      <c r="E579" s="165" t="s">
        <v>3417</v>
      </c>
      <c r="F579" s="165" t="s">
        <v>294</v>
      </c>
      <c r="G579" s="81">
        <v>529628</v>
      </c>
      <c r="H579" s="81">
        <v>177338</v>
      </c>
      <c r="I579" s="165" t="s">
        <v>240</v>
      </c>
      <c r="J579" s="349">
        <v>42793</v>
      </c>
      <c r="L579" s="166">
        <v>0</v>
      </c>
      <c r="M579" s="166">
        <v>126</v>
      </c>
      <c r="N579" s="166">
        <v>126</v>
      </c>
      <c r="O579" s="166">
        <v>357</v>
      </c>
      <c r="P579" s="166">
        <v>357</v>
      </c>
      <c r="Q579" s="81" t="s">
        <v>155</v>
      </c>
      <c r="R579" s="165" t="s">
        <v>919</v>
      </c>
      <c r="S579" s="81" t="s">
        <v>104</v>
      </c>
      <c r="T579" s="349">
        <v>42234</v>
      </c>
      <c r="U579" s="349">
        <v>42647</v>
      </c>
      <c r="W579" s="81" t="s">
        <v>114</v>
      </c>
      <c r="Y579" s="81" t="s">
        <v>115</v>
      </c>
      <c r="Z579" s="81" t="s">
        <v>116</v>
      </c>
      <c r="AA579" s="81" t="s">
        <v>116</v>
      </c>
      <c r="AB579" s="81" t="s">
        <v>117</v>
      </c>
      <c r="AC579" s="166">
        <v>0.18299999833107</v>
      </c>
      <c r="AD579" s="349">
        <v>43190</v>
      </c>
      <c r="AE579" s="81" t="s">
        <v>155</v>
      </c>
      <c r="AG579" s="81" t="s">
        <v>238</v>
      </c>
      <c r="AH579" s="81" t="s">
        <v>118</v>
      </c>
      <c r="AI579" s="81" t="s">
        <v>3419</v>
      </c>
      <c r="AK579" s="166">
        <v>126</v>
      </c>
      <c r="AM579" s="166">
        <v>12</v>
      </c>
      <c r="AO579" s="166">
        <v>0</v>
      </c>
      <c r="AP579" s="166">
        <v>33</v>
      </c>
      <c r="AQ579" s="166">
        <v>85</v>
      </c>
      <c r="AR579" s="166">
        <v>8</v>
      </c>
      <c r="AS579" s="166">
        <v>0</v>
      </c>
      <c r="AT579" s="166">
        <v>0</v>
      </c>
      <c r="AU579" s="166">
        <v>0</v>
      </c>
      <c r="AV579" s="166">
        <v>0</v>
      </c>
      <c r="AW579" s="166">
        <v>33</v>
      </c>
      <c r="AX579" s="166">
        <v>85</v>
      </c>
      <c r="AY579" s="166">
        <v>8</v>
      </c>
      <c r="AZ579" s="166">
        <v>0</v>
      </c>
      <c r="BA579" s="166">
        <v>0</v>
      </c>
      <c r="BB579" s="166">
        <v>0</v>
      </c>
      <c r="BC579" s="166">
        <v>0</v>
      </c>
      <c r="BD579" s="166">
        <v>0</v>
      </c>
      <c r="BE579" s="166">
        <v>0</v>
      </c>
      <c r="BF579" s="166">
        <v>0</v>
      </c>
      <c r="BG579" s="166">
        <v>0</v>
      </c>
      <c r="BH579" s="166">
        <v>0</v>
      </c>
      <c r="BI579" s="166">
        <v>0</v>
      </c>
      <c r="BJ579" s="166">
        <v>0</v>
      </c>
      <c r="BK579" s="166">
        <v>0</v>
      </c>
      <c r="BL579" s="166">
        <v>0</v>
      </c>
      <c r="BM579" s="166">
        <v>0</v>
      </c>
      <c r="BN579" s="166">
        <v>0</v>
      </c>
      <c r="BO579" s="166">
        <v>0</v>
      </c>
      <c r="BP579" s="166">
        <v>0</v>
      </c>
      <c r="BQ579" s="81" t="s">
        <v>1759</v>
      </c>
      <c r="BS579" s="81" t="s">
        <v>155</v>
      </c>
      <c r="BZ579" s="81" t="s">
        <v>155</v>
      </c>
      <c r="CA579" s="81">
        <v>12</v>
      </c>
      <c r="CC579" s="167">
        <v>0</v>
      </c>
      <c r="CD579" s="167">
        <v>0</v>
      </c>
      <c r="CE579" s="167">
        <v>0</v>
      </c>
      <c r="CF579" s="167">
        <f>N579</f>
        <v>126</v>
      </c>
      <c r="CG579" s="167">
        <v>0</v>
      </c>
      <c r="CH579" s="167">
        <v>0</v>
      </c>
      <c r="CI579" s="167">
        <v>0</v>
      </c>
      <c r="CJ579" s="167">
        <v>0</v>
      </c>
      <c r="CK579" s="167">
        <v>0</v>
      </c>
      <c r="CL579" s="167">
        <v>0</v>
      </c>
      <c r="CM579" s="167">
        <v>0</v>
      </c>
      <c r="CN579" s="167">
        <v>0</v>
      </c>
      <c r="CO579" s="167">
        <v>0</v>
      </c>
      <c r="CP579" s="167">
        <v>0</v>
      </c>
      <c r="CQ579" s="167">
        <v>0</v>
      </c>
      <c r="CR579" s="167">
        <v>0</v>
      </c>
      <c r="CS579" s="167">
        <v>0</v>
      </c>
      <c r="CT579" s="167">
        <v>0</v>
      </c>
      <c r="CU579" s="167">
        <v>0</v>
      </c>
      <c r="CV579" s="167">
        <v>0</v>
      </c>
      <c r="CW579" s="167">
        <v>0</v>
      </c>
      <c r="CX579" s="167">
        <f>SUM(CD579:CH579)</f>
        <v>126</v>
      </c>
      <c r="CY579" s="167">
        <f>SUM(CD579:CM579)</f>
        <v>126</v>
      </c>
    </row>
    <row r="580" spans="1:103" ht="12.75" customHeight="1" x14ac:dyDescent="0.2">
      <c r="A580" s="81">
        <v>5812</v>
      </c>
      <c r="B580" s="165" t="s">
        <v>1908</v>
      </c>
      <c r="C580" s="165" t="s">
        <v>781</v>
      </c>
      <c r="E580" s="165" t="s">
        <v>3417</v>
      </c>
      <c r="F580" s="165" t="s">
        <v>25</v>
      </c>
      <c r="G580" s="81">
        <v>529628</v>
      </c>
      <c r="H580" s="81">
        <v>177338</v>
      </c>
      <c r="I580" s="165" t="s">
        <v>240</v>
      </c>
      <c r="J580" s="349">
        <v>42793</v>
      </c>
      <c r="L580" s="166">
        <v>0</v>
      </c>
      <c r="M580" s="166">
        <v>39</v>
      </c>
      <c r="N580" s="166">
        <v>39</v>
      </c>
      <c r="O580" s="166">
        <v>357</v>
      </c>
      <c r="P580" s="166">
        <v>357</v>
      </c>
      <c r="Q580" s="81" t="s">
        <v>155</v>
      </c>
      <c r="R580" s="165" t="s">
        <v>919</v>
      </c>
      <c r="S580" s="81" t="s">
        <v>104</v>
      </c>
      <c r="T580" s="349">
        <v>42234</v>
      </c>
      <c r="U580" s="349">
        <v>42647</v>
      </c>
      <c r="W580" s="81" t="s">
        <v>114</v>
      </c>
      <c r="Y580" s="81" t="s">
        <v>115</v>
      </c>
      <c r="Z580" s="81" t="s">
        <v>116</v>
      </c>
      <c r="AA580" s="81" t="s">
        <v>116</v>
      </c>
      <c r="AB580" s="81" t="s">
        <v>117</v>
      </c>
      <c r="AC580" s="166">
        <v>5.0000000745058101E-2</v>
      </c>
      <c r="AD580" s="349">
        <v>43190</v>
      </c>
      <c r="AE580" s="81" t="s">
        <v>155</v>
      </c>
      <c r="AG580" s="81" t="s">
        <v>154</v>
      </c>
      <c r="AH580" s="81" t="s">
        <v>276</v>
      </c>
      <c r="AI580" s="81" t="s">
        <v>3419</v>
      </c>
      <c r="AK580" s="166">
        <v>39</v>
      </c>
      <c r="AM580" s="166">
        <v>9</v>
      </c>
      <c r="AN580" s="166">
        <v>5</v>
      </c>
      <c r="AO580" s="166">
        <v>0</v>
      </c>
      <c r="AP580" s="166">
        <v>6</v>
      </c>
      <c r="AQ580" s="166">
        <v>22</v>
      </c>
      <c r="AR580" s="166">
        <v>11</v>
      </c>
      <c r="AS580" s="166">
        <v>0</v>
      </c>
      <c r="AT580" s="166">
        <v>0</v>
      </c>
      <c r="AU580" s="166">
        <v>0</v>
      </c>
      <c r="AV580" s="166">
        <v>0</v>
      </c>
      <c r="AW580" s="166">
        <v>6</v>
      </c>
      <c r="AX580" s="166">
        <v>22</v>
      </c>
      <c r="AY580" s="166">
        <v>11</v>
      </c>
      <c r="AZ580" s="166">
        <v>0</v>
      </c>
      <c r="BA580" s="166">
        <v>0</v>
      </c>
      <c r="BB580" s="166">
        <v>0</v>
      </c>
      <c r="BC580" s="166">
        <v>0</v>
      </c>
      <c r="BD580" s="166">
        <v>0</v>
      </c>
      <c r="BE580" s="166">
        <v>0</v>
      </c>
      <c r="BF580" s="166">
        <v>0</v>
      </c>
      <c r="BG580" s="166">
        <v>0</v>
      </c>
      <c r="BH580" s="166">
        <v>0</v>
      </c>
      <c r="BI580" s="166">
        <v>0</v>
      </c>
      <c r="BJ580" s="166">
        <v>0</v>
      </c>
      <c r="BK580" s="166">
        <v>0</v>
      </c>
      <c r="BL580" s="166">
        <v>0</v>
      </c>
      <c r="BM580" s="166">
        <v>0</v>
      </c>
      <c r="BN580" s="166">
        <v>0</v>
      </c>
      <c r="BO580" s="166">
        <v>0</v>
      </c>
      <c r="BP580" s="166">
        <v>0</v>
      </c>
      <c r="BQ580" s="81" t="s">
        <v>1759</v>
      </c>
      <c r="BS580" s="81" t="s">
        <v>155</v>
      </c>
      <c r="BZ580" s="81" t="s">
        <v>155</v>
      </c>
      <c r="CA580" s="81">
        <v>12</v>
      </c>
      <c r="CC580" s="167">
        <v>0</v>
      </c>
      <c r="CD580" s="167">
        <v>0</v>
      </c>
      <c r="CE580" s="167">
        <v>0</v>
      </c>
      <c r="CF580" s="167">
        <v>0</v>
      </c>
      <c r="CG580" s="167">
        <f>N580</f>
        <v>39</v>
      </c>
      <c r="CH580" s="167">
        <v>0</v>
      </c>
      <c r="CI580" s="167">
        <v>0</v>
      </c>
      <c r="CJ580" s="167">
        <v>0</v>
      </c>
      <c r="CK580" s="167">
        <v>0</v>
      </c>
      <c r="CL580" s="167">
        <v>0</v>
      </c>
      <c r="CM580" s="167">
        <v>0</v>
      </c>
      <c r="CN580" s="167">
        <v>0</v>
      </c>
      <c r="CO580" s="167">
        <v>0</v>
      </c>
      <c r="CP580" s="167">
        <v>0</v>
      </c>
      <c r="CQ580" s="167">
        <v>0</v>
      </c>
      <c r="CR580" s="167">
        <v>0</v>
      </c>
      <c r="CS580" s="167">
        <v>0</v>
      </c>
      <c r="CT580" s="167">
        <v>0</v>
      </c>
      <c r="CU580" s="167">
        <v>0</v>
      </c>
      <c r="CV580" s="167">
        <v>0</v>
      </c>
      <c r="CW580" s="167">
        <v>0</v>
      </c>
      <c r="CX580" s="167">
        <f>SUM(CD580:CH580)</f>
        <v>39</v>
      </c>
      <c r="CY580" s="167">
        <f>SUM(CD580:CM580)</f>
        <v>39</v>
      </c>
    </row>
    <row r="581" spans="1:103" ht="12.75" customHeight="1" x14ac:dyDescent="0.2">
      <c r="A581" s="81">
        <v>5812</v>
      </c>
      <c r="B581" s="165" t="s">
        <v>1908</v>
      </c>
      <c r="C581" s="165" t="s">
        <v>781</v>
      </c>
      <c r="E581" s="165" t="s">
        <v>3417</v>
      </c>
      <c r="F581" s="165" t="s">
        <v>25</v>
      </c>
      <c r="G581" s="81">
        <v>529628</v>
      </c>
      <c r="H581" s="81">
        <v>177338</v>
      </c>
      <c r="I581" s="165" t="s">
        <v>240</v>
      </c>
      <c r="J581" s="349">
        <v>42793</v>
      </c>
      <c r="L581" s="166">
        <v>0</v>
      </c>
      <c r="M581" s="166">
        <v>10</v>
      </c>
      <c r="N581" s="166">
        <v>10</v>
      </c>
      <c r="O581" s="166">
        <v>357</v>
      </c>
      <c r="P581" s="166">
        <v>357</v>
      </c>
      <c r="Q581" s="81" t="s">
        <v>155</v>
      </c>
      <c r="R581" s="165" t="s">
        <v>919</v>
      </c>
      <c r="S581" s="81" t="s">
        <v>104</v>
      </c>
      <c r="T581" s="349">
        <v>42234</v>
      </c>
      <c r="U581" s="349">
        <v>42647</v>
      </c>
      <c r="W581" s="81" t="s">
        <v>114</v>
      </c>
      <c r="Y581" s="81" t="s">
        <v>115</v>
      </c>
      <c r="Z581" s="81" t="s">
        <v>116</v>
      </c>
      <c r="AA581" s="81" t="s">
        <v>116</v>
      </c>
      <c r="AB581" s="81" t="s">
        <v>117</v>
      </c>
      <c r="AC581" s="166">
        <v>5.0000000745058101E-2</v>
      </c>
      <c r="AD581" s="349">
        <v>43190</v>
      </c>
      <c r="AE581" s="81" t="s">
        <v>155</v>
      </c>
      <c r="AG581" s="81" t="s">
        <v>238</v>
      </c>
      <c r="AH581" s="81" t="s">
        <v>118</v>
      </c>
      <c r="AI581" s="81" t="s">
        <v>3419</v>
      </c>
      <c r="AK581" s="166">
        <v>10</v>
      </c>
      <c r="AM581" s="166">
        <v>0</v>
      </c>
      <c r="AO581" s="166">
        <v>0</v>
      </c>
      <c r="AP581" s="166">
        <v>4</v>
      </c>
      <c r="AQ581" s="166">
        <v>4</v>
      </c>
      <c r="AR581" s="166">
        <v>2</v>
      </c>
      <c r="AS581" s="166">
        <v>0</v>
      </c>
      <c r="AT581" s="166">
        <v>0</v>
      </c>
      <c r="AU581" s="166">
        <v>0</v>
      </c>
      <c r="AV581" s="166">
        <v>0</v>
      </c>
      <c r="AW581" s="166">
        <v>4</v>
      </c>
      <c r="AX581" s="166">
        <v>4</v>
      </c>
      <c r="AY581" s="166">
        <v>2</v>
      </c>
      <c r="AZ581" s="166">
        <v>0</v>
      </c>
      <c r="BA581" s="166">
        <v>0</v>
      </c>
      <c r="BB581" s="166">
        <v>0</v>
      </c>
      <c r="BC581" s="166">
        <v>0</v>
      </c>
      <c r="BD581" s="166">
        <v>0</v>
      </c>
      <c r="BE581" s="166">
        <v>0</v>
      </c>
      <c r="BF581" s="166">
        <v>0</v>
      </c>
      <c r="BG581" s="166">
        <v>0</v>
      </c>
      <c r="BH581" s="166">
        <v>0</v>
      </c>
      <c r="BI581" s="166">
        <v>0</v>
      </c>
      <c r="BJ581" s="166">
        <v>0</v>
      </c>
      <c r="BK581" s="166">
        <v>0</v>
      </c>
      <c r="BL581" s="166">
        <v>0</v>
      </c>
      <c r="BM581" s="166">
        <v>0</v>
      </c>
      <c r="BN581" s="166">
        <v>0</v>
      </c>
      <c r="BO581" s="166">
        <v>0</v>
      </c>
      <c r="BP581" s="166">
        <v>0</v>
      </c>
      <c r="BQ581" s="81" t="s">
        <v>1759</v>
      </c>
      <c r="BS581" s="81" t="s">
        <v>155</v>
      </c>
      <c r="BZ581" s="81" t="s">
        <v>155</v>
      </c>
      <c r="CA581" s="81">
        <v>12</v>
      </c>
      <c r="CC581" s="167">
        <v>0</v>
      </c>
      <c r="CD581" s="167">
        <v>0</v>
      </c>
      <c r="CE581" s="167">
        <v>0</v>
      </c>
      <c r="CF581" s="167">
        <v>0</v>
      </c>
      <c r="CG581" s="167">
        <f>N581</f>
        <v>10</v>
      </c>
      <c r="CH581" s="167">
        <v>0</v>
      </c>
      <c r="CI581" s="167">
        <v>0</v>
      </c>
      <c r="CJ581" s="167">
        <v>0</v>
      </c>
      <c r="CK581" s="167">
        <v>0</v>
      </c>
      <c r="CL581" s="167">
        <v>0</v>
      </c>
      <c r="CM581" s="167">
        <v>0</v>
      </c>
      <c r="CN581" s="167">
        <v>0</v>
      </c>
      <c r="CO581" s="167">
        <v>0</v>
      </c>
      <c r="CP581" s="167">
        <v>0</v>
      </c>
      <c r="CQ581" s="167">
        <v>0</v>
      </c>
      <c r="CR581" s="167">
        <v>0</v>
      </c>
      <c r="CS581" s="167">
        <v>0</v>
      </c>
      <c r="CT581" s="167">
        <v>0</v>
      </c>
      <c r="CU581" s="167">
        <v>0</v>
      </c>
      <c r="CV581" s="167">
        <v>0</v>
      </c>
      <c r="CW581" s="167">
        <v>0</v>
      </c>
      <c r="CX581" s="167">
        <f>SUM(CD581:CH581)</f>
        <v>10</v>
      </c>
      <c r="CY581" s="167">
        <f>SUM(CD581:CM581)</f>
        <v>10</v>
      </c>
    </row>
    <row r="582" spans="1:103" ht="12.75" customHeight="1" x14ac:dyDescent="0.2">
      <c r="A582" s="81">
        <v>5812</v>
      </c>
      <c r="B582" s="165" t="s">
        <v>1908</v>
      </c>
      <c r="C582" s="165" t="s">
        <v>3416</v>
      </c>
      <c r="E582" s="165" t="s">
        <v>3417</v>
      </c>
      <c r="F582" s="165" t="s">
        <v>25</v>
      </c>
      <c r="G582" s="81">
        <v>529628</v>
      </c>
      <c r="H582" s="81">
        <v>177338</v>
      </c>
      <c r="I582" s="165" t="s">
        <v>240</v>
      </c>
      <c r="J582" s="349">
        <v>43190</v>
      </c>
      <c r="L582" s="166">
        <v>0</v>
      </c>
      <c r="M582" s="166">
        <v>59</v>
      </c>
      <c r="N582" s="166">
        <v>59</v>
      </c>
      <c r="O582" s="166">
        <v>59</v>
      </c>
      <c r="P582" s="166">
        <v>59</v>
      </c>
      <c r="Q582" s="81" t="s">
        <v>155</v>
      </c>
      <c r="R582" s="165" t="s">
        <v>3418</v>
      </c>
      <c r="S582" s="81" t="s">
        <v>104</v>
      </c>
      <c r="T582" s="349">
        <v>42829</v>
      </c>
      <c r="U582" s="349">
        <v>43091</v>
      </c>
      <c r="V582" s="81" t="s">
        <v>155</v>
      </c>
      <c r="W582" s="81" t="s">
        <v>114</v>
      </c>
      <c r="Y582" s="81" t="s">
        <v>115</v>
      </c>
      <c r="Z582" s="81" t="s">
        <v>116</v>
      </c>
      <c r="AA582" s="81" t="s">
        <v>116</v>
      </c>
      <c r="AB582" s="81" t="s">
        <v>117</v>
      </c>
      <c r="AC582" s="166">
        <v>6.7000001668930095E-2</v>
      </c>
      <c r="AD582" s="349">
        <v>43190</v>
      </c>
      <c r="AE582" s="81" t="s">
        <v>155</v>
      </c>
      <c r="AG582" s="81" t="s">
        <v>74</v>
      </c>
      <c r="AH582" s="81" t="s">
        <v>990</v>
      </c>
      <c r="AI582" s="81" t="s">
        <v>3419</v>
      </c>
      <c r="AK582" s="166">
        <v>0</v>
      </c>
      <c r="AM582" s="166">
        <v>0</v>
      </c>
      <c r="AN582" s="166">
        <v>3</v>
      </c>
      <c r="AO582" s="166">
        <v>0</v>
      </c>
      <c r="AP582" s="166">
        <v>38</v>
      </c>
      <c r="AQ582" s="166">
        <v>20</v>
      </c>
      <c r="AR582" s="166">
        <v>1</v>
      </c>
      <c r="AS582" s="166">
        <v>0</v>
      </c>
      <c r="AT582" s="166">
        <v>0</v>
      </c>
      <c r="AU582" s="166">
        <v>0</v>
      </c>
      <c r="AV582" s="166">
        <v>0</v>
      </c>
      <c r="AW582" s="166">
        <v>38</v>
      </c>
      <c r="AX582" s="166">
        <v>20</v>
      </c>
      <c r="AY582" s="166">
        <v>1</v>
      </c>
      <c r="AZ582" s="166">
        <v>0</v>
      </c>
      <c r="BA582" s="166">
        <v>0</v>
      </c>
      <c r="BB582" s="166">
        <v>0</v>
      </c>
      <c r="BC582" s="166">
        <v>0</v>
      </c>
      <c r="BD582" s="166">
        <v>0</v>
      </c>
      <c r="BE582" s="166">
        <v>0</v>
      </c>
      <c r="BF582" s="166">
        <v>0</v>
      </c>
      <c r="BG582" s="166">
        <v>0</v>
      </c>
      <c r="BH582" s="166">
        <v>0</v>
      </c>
      <c r="BI582" s="166">
        <v>0</v>
      </c>
      <c r="BJ582" s="166">
        <v>0</v>
      </c>
      <c r="BK582" s="166">
        <v>0</v>
      </c>
      <c r="BL582" s="166">
        <v>0</v>
      </c>
      <c r="BM582" s="166">
        <v>0</v>
      </c>
      <c r="BN582" s="166">
        <v>0</v>
      </c>
      <c r="BO582" s="166">
        <v>0</v>
      </c>
      <c r="BP582" s="166">
        <v>0</v>
      </c>
      <c r="BQ582" s="81" t="s">
        <v>1759</v>
      </c>
      <c r="BS582" s="81" t="s">
        <v>155</v>
      </c>
      <c r="BZ582" s="81" t="s">
        <v>155</v>
      </c>
      <c r="CA582" s="81">
        <v>12</v>
      </c>
      <c r="CC582" s="167">
        <v>0</v>
      </c>
      <c r="CD582" s="167">
        <v>0</v>
      </c>
      <c r="CE582" s="167">
        <v>0</v>
      </c>
      <c r="CF582" s="167">
        <v>0</v>
      </c>
      <c r="CG582" s="167">
        <f>N582</f>
        <v>59</v>
      </c>
      <c r="CH582" s="167">
        <v>0</v>
      </c>
      <c r="CI582" s="167">
        <v>0</v>
      </c>
      <c r="CJ582" s="167">
        <v>0</v>
      </c>
      <c r="CK582" s="167">
        <v>0</v>
      </c>
      <c r="CL582" s="167">
        <v>0</v>
      </c>
      <c r="CM582" s="167">
        <v>0</v>
      </c>
      <c r="CN582" s="167">
        <v>0</v>
      </c>
      <c r="CO582" s="167">
        <v>0</v>
      </c>
      <c r="CP582" s="167">
        <v>0</v>
      </c>
      <c r="CQ582" s="167">
        <v>0</v>
      </c>
      <c r="CR582" s="167">
        <v>0</v>
      </c>
      <c r="CS582" s="167">
        <v>0</v>
      </c>
      <c r="CT582" s="167">
        <v>0</v>
      </c>
      <c r="CU582" s="167">
        <v>0</v>
      </c>
      <c r="CV582" s="167">
        <v>0</v>
      </c>
      <c r="CW582" s="167">
        <v>0</v>
      </c>
      <c r="CX582" s="167">
        <f>SUM(CD582:CH582)</f>
        <v>59</v>
      </c>
      <c r="CY582" s="167">
        <f>SUM(CD582:CM582)</f>
        <v>59</v>
      </c>
    </row>
    <row r="583" spans="1:103" ht="12.75" customHeight="1" x14ac:dyDescent="0.2">
      <c r="A583" s="81">
        <v>5816</v>
      </c>
      <c r="B583" s="165" t="s">
        <v>1908</v>
      </c>
      <c r="C583" s="165" t="s">
        <v>673</v>
      </c>
      <c r="E583" s="165" t="s">
        <v>3553</v>
      </c>
      <c r="G583" s="81">
        <v>525646</v>
      </c>
      <c r="H583" s="81">
        <v>174310</v>
      </c>
      <c r="I583" s="165" t="s">
        <v>258</v>
      </c>
      <c r="J583" s="349">
        <v>42825</v>
      </c>
      <c r="L583" s="166">
        <v>0</v>
      </c>
      <c r="M583" s="166">
        <v>53</v>
      </c>
      <c r="N583" s="166">
        <v>53</v>
      </c>
      <c r="O583" s="166">
        <v>89</v>
      </c>
      <c r="P583" s="166">
        <v>89</v>
      </c>
      <c r="Q583" s="81" t="s">
        <v>155</v>
      </c>
      <c r="R583" s="165" t="s">
        <v>958</v>
      </c>
      <c r="S583" s="81" t="s">
        <v>104</v>
      </c>
      <c r="T583" s="349">
        <v>42293</v>
      </c>
      <c r="U583" s="349">
        <v>42445</v>
      </c>
      <c r="W583" s="81" t="s">
        <v>114</v>
      </c>
      <c r="Y583" s="81" t="s">
        <v>115</v>
      </c>
      <c r="Z583" s="81" t="s">
        <v>116</v>
      </c>
      <c r="AA583" s="81" t="s">
        <v>116</v>
      </c>
      <c r="AB583" s="81" t="s">
        <v>117</v>
      </c>
      <c r="AC583" s="166">
        <v>2.60000005364418E-2</v>
      </c>
      <c r="AD583" s="349">
        <v>42825</v>
      </c>
      <c r="AG583" s="81" t="s">
        <v>74</v>
      </c>
      <c r="AH583" s="81" t="s">
        <v>1913</v>
      </c>
      <c r="AK583" s="166">
        <v>53</v>
      </c>
      <c r="AL583" s="166">
        <v>53</v>
      </c>
      <c r="AM583" s="166">
        <v>1</v>
      </c>
      <c r="AN583" s="166">
        <v>0</v>
      </c>
      <c r="AO583" s="166">
        <v>0</v>
      </c>
      <c r="AP583" s="166">
        <v>53</v>
      </c>
      <c r="AQ583" s="166">
        <v>0</v>
      </c>
      <c r="AR583" s="166">
        <v>0</v>
      </c>
      <c r="AS583" s="166">
        <v>0</v>
      </c>
      <c r="AT583" s="166">
        <v>0</v>
      </c>
      <c r="AU583" s="166">
        <v>0</v>
      </c>
      <c r="AV583" s="166">
        <v>0</v>
      </c>
      <c r="AW583" s="166">
        <v>53</v>
      </c>
      <c r="AX583" s="166">
        <v>0</v>
      </c>
      <c r="AY583" s="166">
        <v>0</v>
      </c>
      <c r="AZ583" s="166">
        <v>0</v>
      </c>
      <c r="BA583" s="166">
        <v>0</v>
      </c>
      <c r="BB583" s="166">
        <v>0</v>
      </c>
      <c r="BC583" s="166">
        <v>0</v>
      </c>
      <c r="BD583" s="166">
        <v>0</v>
      </c>
      <c r="BE583" s="166">
        <v>0</v>
      </c>
      <c r="BF583" s="166">
        <v>0</v>
      </c>
      <c r="BG583" s="166">
        <v>0</v>
      </c>
      <c r="BH583" s="166">
        <v>0</v>
      </c>
      <c r="BI583" s="166">
        <v>0</v>
      </c>
      <c r="BJ583" s="166">
        <v>0</v>
      </c>
      <c r="BK583" s="166">
        <v>0</v>
      </c>
      <c r="BL583" s="166">
        <v>0</v>
      </c>
      <c r="BM583" s="166">
        <v>0</v>
      </c>
      <c r="BN583" s="166">
        <v>0</v>
      </c>
      <c r="BO583" s="166">
        <v>0</v>
      </c>
      <c r="BP583" s="166">
        <v>0</v>
      </c>
      <c r="BQ583" s="81" t="s">
        <v>1758</v>
      </c>
      <c r="BR583" s="81" t="s">
        <v>202</v>
      </c>
      <c r="BT583" s="81" t="s">
        <v>155</v>
      </c>
      <c r="BZ583" s="81" t="s">
        <v>155</v>
      </c>
      <c r="CA583" s="81" t="s">
        <v>3934</v>
      </c>
      <c r="CC583" s="167">
        <v>0</v>
      </c>
      <c r="CD583" s="167">
        <f>N583</f>
        <v>53</v>
      </c>
      <c r="CE583" s="167">
        <v>0</v>
      </c>
      <c r="CF583" s="167">
        <v>0</v>
      </c>
      <c r="CG583" s="167">
        <v>0</v>
      </c>
      <c r="CH583" s="167">
        <v>0</v>
      </c>
      <c r="CI583" s="167">
        <v>0</v>
      </c>
      <c r="CJ583" s="167">
        <v>0</v>
      </c>
      <c r="CK583" s="167">
        <v>0</v>
      </c>
      <c r="CL583" s="167">
        <v>0</v>
      </c>
      <c r="CM583" s="167">
        <v>0</v>
      </c>
      <c r="CN583" s="167">
        <v>0</v>
      </c>
      <c r="CO583" s="167">
        <v>0</v>
      </c>
      <c r="CP583" s="167">
        <v>0</v>
      </c>
      <c r="CQ583" s="167">
        <v>0</v>
      </c>
      <c r="CR583" s="167">
        <v>0</v>
      </c>
      <c r="CS583" s="167">
        <v>0</v>
      </c>
      <c r="CT583" s="167">
        <v>0</v>
      </c>
      <c r="CU583" s="167">
        <v>0</v>
      </c>
      <c r="CV583" s="167">
        <v>0</v>
      </c>
      <c r="CW583" s="167">
        <v>0</v>
      </c>
      <c r="CX583" s="167">
        <f>SUM(CD583:CH583)</f>
        <v>53</v>
      </c>
      <c r="CY583" s="167">
        <f>SUM(CD583:CM583)</f>
        <v>53</v>
      </c>
    </row>
    <row r="584" spans="1:103" ht="12.75" customHeight="1" x14ac:dyDescent="0.2">
      <c r="A584" s="81">
        <v>5816</v>
      </c>
      <c r="B584" s="165" t="s">
        <v>1908</v>
      </c>
      <c r="C584" s="165" t="s">
        <v>673</v>
      </c>
      <c r="E584" s="165" t="s">
        <v>3553</v>
      </c>
      <c r="G584" s="81">
        <v>525646</v>
      </c>
      <c r="H584" s="81">
        <v>174310</v>
      </c>
      <c r="I584" s="165" t="s">
        <v>258</v>
      </c>
      <c r="J584" s="349">
        <v>42825</v>
      </c>
      <c r="L584" s="166">
        <v>0</v>
      </c>
      <c r="M584" s="166">
        <v>36</v>
      </c>
      <c r="N584" s="166">
        <v>36</v>
      </c>
      <c r="O584" s="166">
        <v>89</v>
      </c>
      <c r="P584" s="166">
        <v>89</v>
      </c>
      <c r="Q584" s="81" t="s">
        <v>155</v>
      </c>
      <c r="R584" s="165" t="s">
        <v>958</v>
      </c>
      <c r="S584" s="81" t="s">
        <v>104</v>
      </c>
      <c r="T584" s="349">
        <v>42293</v>
      </c>
      <c r="U584" s="349">
        <v>42445</v>
      </c>
      <c r="W584" s="81" t="s">
        <v>114</v>
      </c>
      <c r="Y584" s="81" t="s">
        <v>115</v>
      </c>
      <c r="Z584" s="81" t="s">
        <v>116</v>
      </c>
      <c r="AA584" s="81" t="s">
        <v>116</v>
      </c>
      <c r="AB584" s="81" t="s">
        <v>117</v>
      </c>
      <c r="AC584" s="166">
        <v>2.19999998807907E-2</v>
      </c>
      <c r="AD584" s="349">
        <v>42825</v>
      </c>
      <c r="AG584" s="81" t="s">
        <v>238</v>
      </c>
      <c r="AH584" s="81" t="s">
        <v>118</v>
      </c>
      <c r="AK584" s="166">
        <v>36</v>
      </c>
      <c r="AL584" s="166">
        <v>36</v>
      </c>
      <c r="AM584" s="166">
        <v>2</v>
      </c>
      <c r="AO584" s="166">
        <v>0</v>
      </c>
      <c r="AP584" s="166">
        <v>0</v>
      </c>
      <c r="AQ584" s="166">
        <v>26</v>
      </c>
      <c r="AR584" s="166">
        <v>10</v>
      </c>
      <c r="AS584" s="166">
        <v>0</v>
      </c>
      <c r="AT584" s="166">
        <v>0</v>
      </c>
      <c r="AU584" s="166">
        <v>0</v>
      </c>
      <c r="AV584" s="166">
        <v>0</v>
      </c>
      <c r="AW584" s="166">
        <v>0</v>
      </c>
      <c r="AX584" s="166">
        <v>26</v>
      </c>
      <c r="AY584" s="166">
        <v>10</v>
      </c>
      <c r="AZ584" s="166">
        <v>0</v>
      </c>
      <c r="BA584" s="166">
        <v>0</v>
      </c>
      <c r="BB584" s="166">
        <v>0</v>
      </c>
      <c r="BC584" s="166">
        <v>0</v>
      </c>
      <c r="BD584" s="166">
        <v>0</v>
      </c>
      <c r="BE584" s="166">
        <v>0</v>
      </c>
      <c r="BF584" s="166">
        <v>0</v>
      </c>
      <c r="BG584" s="166">
        <v>0</v>
      </c>
      <c r="BH584" s="166">
        <v>0</v>
      </c>
      <c r="BI584" s="166">
        <v>0</v>
      </c>
      <c r="BJ584" s="166">
        <v>0</v>
      </c>
      <c r="BK584" s="166">
        <v>0</v>
      </c>
      <c r="BL584" s="166">
        <v>0</v>
      </c>
      <c r="BM584" s="166">
        <v>0</v>
      </c>
      <c r="BN584" s="166">
        <v>0</v>
      </c>
      <c r="BO584" s="166">
        <v>0</v>
      </c>
      <c r="BP584" s="166">
        <v>0</v>
      </c>
      <c r="BQ584" s="81" t="s">
        <v>1758</v>
      </c>
      <c r="BR584" s="81" t="s">
        <v>202</v>
      </c>
      <c r="BT584" s="81" t="s">
        <v>155</v>
      </c>
      <c r="BZ584" s="81" t="s">
        <v>155</v>
      </c>
      <c r="CA584" s="81" t="s">
        <v>3934</v>
      </c>
      <c r="CC584" s="167">
        <v>0</v>
      </c>
      <c r="CD584" s="167">
        <f>N584</f>
        <v>36</v>
      </c>
      <c r="CE584" s="167">
        <v>0</v>
      </c>
      <c r="CF584" s="167">
        <v>0</v>
      </c>
      <c r="CG584" s="167">
        <v>0</v>
      </c>
      <c r="CH584" s="167">
        <v>0</v>
      </c>
      <c r="CI584" s="167">
        <v>0</v>
      </c>
      <c r="CJ584" s="167">
        <v>0</v>
      </c>
      <c r="CK584" s="167">
        <v>0</v>
      </c>
      <c r="CL584" s="167">
        <v>0</v>
      </c>
      <c r="CM584" s="167">
        <v>0</v>
      </c>
      <c r="CN584" s="167">
        <v>0</v>
      </c>
      <c r="CO584" s="167">
        <v>0</v>
      </c>
      <c r="CP584" s="167">
        <v>0</v>
      </c>
      <c r="CQ584" s="167">
        <v>0</v>
      </c>
      <c r="CR584" s="167">
        <v>0</v>
      </c>
      <c r="CS584" s="167">
        <v>0</v>
      </c>
      <c r="CT584" s="167">
        <v>0</v>
      </c>
      <c r="CU584" s="167">
        <v>0</v>
      </c>
      <c r="CV584" s="167">
        <v>0</v>
      </c>
      <c r="CW584" s="167">
        <v>0</v>
      </c>
      <c r="CX584" s="167">
        <f>SUM(CD584:CH584)</f>
        <v>36</v>
      </c>
      <c r="CY584" s="167">
        <f>SUM(CD584:CM584)</f>
        <v>36</v>
      </c>
    </row>
    <row r="585" spans="1:103" ht="12.75" customHeight="1" x14ac:dyDescent="0.2">
      <c r="A585" s="81">
        <v>5818</v>
      </c>
      <c r="B585" s="165" t="s">
        <v>1908</v>
      </c>
      <c r="C585" s="165" t="s">
        <v>412</v>
      </c>
      <c r="E585" s="165" t="s">
        <v>3420</v>
      </c>
      <c r="F585" s="165" t="s">
        <v>489</v>
      </c>
      <c r="G585" s="81">
        <v>527340</v>
      </c>
      <c r="H585" s="81">
        <v>176146</v>
      </c>
      <c r="I585" s="165" t="s">
        <v>241</v>
      </c>
      <c r="J585" s="349">
        <v>42304</v>
      </c>
      <c r="L585" s="166">
        <v>0</v>
      </c>
      <c r="M585" s="166">
        <v>2</v>
      </c>
      <c r="N585" s="166">
        <v>2</v>
      </c>
      <c r="O585" s="166">
        <v>19</v>
      </c>
      <c r="P585" s="166">
        <v>19</v>
      </c>
      <c r="Q585" s="81" t="s">
        <v>155</v>
      </c>
      <c r="R585" s="165" t="s">
        <v>901</v>
      </c>
      <c r="S585" s="81" t="s">
        <v>104</v>
      </c>
      <c r="T585" s="349">
        <v>42004</v>
      </c>
      <c r="U585" s="349">
        <v>42214</v>
      </c>
      <c r="W585" s="81" t="s">
        <v>114</v>
      </c>
      <c r="Y585" s="81" t="s">
        <v>115</v>
      </c>
      <c r="Z585" s="81" t="s">
        <v>398</v>
      </c>
      <c r="AA585" s="81" t="s">
        <v>117</v>
      </c>
      <c r="AB585" s="81" t="s">
        <v>399</v>
      </c>
      <c r="AC585" s="166">
        <v>1.30000002682209E-2</v>
      </c>
      <c r="AD585" s="349">
        <v>42304</v>
      </c>
      <c r="AG585" s="81" t="s">
        <v>238</v>
      </c>
      <c r="AH585" s="81" t="s">
        <v>118</v>
      </c>
      <c r="AK585" s="166">
        <v>2</v>
      </c>
      <c r="AM585" s="166">
        <v>0</v>
      </c>
      <c r="AO585" s="166">
        <v>0</v>
      </c>
      <c r="AP585" s="166">
        <v>0</v>
      </c>
      <c r="AQ585" s="166">
        <v>2</v>
      </c>
      <c r="AR585" s="166">
        <v>0</v>
      </c>
      <c r="AS585" s="166">
        <v>0</v>
      </c>
      <c r="AT585" s="166">
        <v>0</v>
      </c>
      <c r="AU585" s="166">
        <v>0</v>
      </c>
      <c r="AV585" s="166">
        <v>0</v>
      </c>
      <c r="AW585" s="166">
        <v>0</v>
      </c>
      <c r="AX585" s="166">
        <v>2</v>
      </c>
      <c r="AY585" s="166">
        <v>0</v>
      </c>
      <c r="AZ585" s="166">
        <v>0</v>
      </c>
      <c r="BA585" s="166">
        <v>0</v>
      </c>
      <c r="BB585" s="166">
        <v>0</v>
      </c>
      <c r="BC585" s="166">
        <v>0</v>
      </c>
      <c r="BD585" s="166">
        <v>0</v>
      </c>
      <c r="BE585" s="166">
        <v>0</v>
      </c>
      <c r="BF585" s="166">
        <v>0</v>
      </c>
      <c r="BG585" s="166">
        <v>0</v>
      </c>
      <c r="BH585" s="166">
        <v>0</v>
      </c>
      <c r="BI585" s="166">
        <v>0</v>
      </c>
      <c r="BJ585" s="166">
        <v>0</v>
      </c>
      <c r="BK585" s="166">
        <v>0</v>
      </c>
      <c r="BL585" s="166">
        <v>0</v>
      </c>
      <c r="BM585" s="166">
        <v>0</v>
      </c>
      <c r="BN585" s="166">
        <v>0</v>
      </c>
      <c r="BO585" s="166">
        <v>0</v>
      </c>
      <c r="BP585" s="166">
        <v>0</v>
      </c>
      <c r="BQ585" s="81" t="s">
        <v>1757</v>
      </c>
      <c r="BZ585" s="81" t="s">
        <v>155</v>
      </c>
      <c r="CA585" s="81" t="s">
        <v>3980</v>
      </c>
      <c r="CC585" s="167">
        <v>0</v>
      </c>
      <c r="CD585" s="167">
        <f>N585</f>
        <v>2</v>
      </c>
      <c r="CE585" s="167">
        <v>0</v>
      </c>
      <c r="CF585" s="167">
        <v>0</v>
      </c>
      <c r="CG585" s="167">
        <v>0</v>
      </c>
      <c r="CH585" s="167">
        <v>0</v>
      </c>
      <c r="CI585" s="167">
        <v>0</v>
      </c>
      <c r="CJ585" s="167">
        <v>0</v>
      </c>
      <c r="CK585" s="167">
        <v>0</v>
      </c>
      <c r="CL585" s="167">
        <v>0</v>
      </c>
      <c r="CM585" s="167">
        <v>0</v>
      </c>
      <c r="CN585" s="167">
        <v>0</v>
      </c>
      <c r="CO585" s="167">
        <v>0</v>
      </c>
      <c r="CP585" s="167">
        <v>0</v>
      </c>
      <c r="CQ585" s="167">
        <v>0</v>
      </c>
      <c r="CR585" s="167">
        <v>0</v>
      </c>
      <c r="CS585" s="167">
        <v>0</v>
      </c>
      <c r="CT585" s="167">
        <v>0</v>
      </c>
      <c r="CU585" s="167">
        <v>0</v>
      </c>
      <c r="CV585" s="167">
        <v>0</v>
      </c>
      <c r="CW585" s="167">
        <v>0</v>
      </c>
      <c r="CX585" s="167">
        <f>SUM(CD585:CH585)</f>
        <v>2</v>
      </c>
      <c r="CY585" s="167">
        <f>SUM(CD585:CM585)</f>
        <v>2</v>
      </c>
    </row>
    <row r="586" spans="1:103" x14ac:dyDescent="0.2">
      <c r="A586" s="81">
        <v>5818</v>
      </c>
      <c r="B586" s="165" t="s">
        <v>1908</v>
      </c>
      <c r="C586" s="165" t="s">
        <v>412</v>
      </c>
      <c r="E586" s="165" t="s">
        <v>3420</v>
      </c>
      <c r="F586" s="165" t="s">
        <v>490</v>
      </c>
      <c r="G586" s="81">
        <v>527340</v>
      </c>
      <c r="H586" s="81">
        <v>176146</v>
      </c>
      <c r="I586" s="165" t="s">
        <v>241</v>
      </c>
      <c r="J586" s="349">
        <v>42304</v>
      </c>
      <c r="L586" s="166">
        <v>0</v>
      </c>
      <c r="M586" s="166">
        <v>13</v>
      </c>
      <c r="N586" s="166">
        <v>13</v>
      </c>
      <c r="O586" s="166">
        <v>19</v>
      </c>
      <c r="P586" s="166">
        <v>19</v>
      </c>
      <c r="Q586" s="81" t="s">
        <v>155</v>
      </c>
      <c r="R586" s="165" t="s">
        <v>901</v>
      </c>
      <c r="S586" s="81" t="s">
        <v>104</v>
      </c>
      <c r="T586" s="349">
        <v>42004</v>
      </c>
      <c r="U586" s="349">
        <v>42214</v>
      </c>
      <c r="W586" s="81" t="s">
        <v>114</v>
      </c>
      <c r="Y586" s="81" t="s">
        <v>115</v>
      </c>
      <c r="Z586" s="81" t="s">
        <v>398</v>
      </c>
      <c r="AA586" s="81" t="s">
        <v>117</v>
      </c>
      <c r="AB586" s="81" t="s">
        <v>399</v>
      </c>
      <c r="AC586" s="166">
        <v>6.1000000685453401E-2</v>
      </c>
      <c r="AD586" s="349">
        <v>42304</v>
      </c>
      <c r="AG586" s="81" t="s">
        <v>238</v>
      </c>
      <c r="AH586" s="81" t="s">
        <v>118</v>
      </c>
      <c r="AK586" s="166">
        <v>13</v>
      </c>
      <c r="AM586" s="166">
        <v>0</v>
      </c>
      <c r="AO586" s="166">
        <v>0</v>
      </c>
      <c r="AP586" s="166">
        <v>3</v>
      </c>
      <c r="AQ586" s="166">
        <v>6</v>
      </c>
      <c r="AR586" s="166">
        <v>4</v>
      </c>
      <c r="AS586" s="166">
        <v>0</v>
      </c>
      <c r="AT586" s="166">
        <v>0</v>
      </c>
      <c r="AU586" s="166">
        <v>0</v>
      </c>
      <c r="AV586" s="166">
        <v>0</v>
      </c>
      <c r="AW586" s="166">
        <v>3</v>
      </c>
      <c r="AX586" s="166">
        <v>6</v>
      </c>
      <c r="AY586" s="166">
        <v>4</v>
      </c>
      <c r="AZ586" s="166">
        <v>0</v>
      </c>
      <c r="BA586" s="166">
        <v>0</v>
      </c>
      <c r="BB586" s="166">
        <v>0</v>
      </c>
      <c r="BC586" s="166">
        <v>0</v>
      </c>
      <c r="BD586" s="166">
        <v>0</v>
      </c>
      <c r="BE586" s="166">
        <v>0</v>
      </c>
      <c r="BF586" s="166">
        <v>0</v>
      </c>
      <c r="BG586" s="166">
        <v>0</v>
      </c>
      <c r="BH586" s="166">
        <v>0</v>
      </c>
      <c r="BI586" s="166">
        <v>0</v>
      </c>
      <c r="BJ586" s="166">
        <v>0</v>
      </c>
      <c r="BK586" s="166">
        <v>0</v>
      </c>
      <c r="BL586" s="166">
        <v>0</v>
      </c>
      <c r="BM586" s="166">
        <v>0</v>
      </c>
      <c r="BN586" s="166">
        <v>0</v>
      </c>
      <c r="BO586" s="166">
        <v>0</v>
      </c>
      <c r="BP586" s="166">
        <v>0</v>
      </c>
      <c r="BQ586" s="81" t="s">
        <v>1757</v>
      </c>
      <c r="BZ586" s="81" t="s">
        <v>155</v>
      </c>
      <c r="CA586" s="81" t="s">
        <v>3980</v>
      </c>
      <c r="CC586" s="167">
        <v>0</v>
      </c>
      <c r="CD586" s="167">
        <f>N586</f>
        <v>13</v>
      </c>
      <c r="CE586" s="167">
        <v>0</v>
      </c>
      <c r="CF586" s="167">
        <v>0</v>
      </c>
      <c r="CG586" s="167">
        <v>0</v>
      </c>
      <c r="CH586" s="167">
        <v>0</v>
      </c>
      <c r="CI586" s="167">
        <v>0</v>
      </c>
      <c r="CJ586" s="167">
        <v>0</v>
      </c>
      <c r="CK586" s="167">
        <v>0</v>
      </c>
      <c r="CL586" s="167">
        <v>0</v>
      </c>
      <c r="CM586" s="167">
        <v>0</v>
      </c>
      <c r="CN586" s="167">
        <v>0</v>
      </c>
      <c r="CO586" s="167">
        <v>0</v>
      </c>
      <c r="CP586" s="167">
        <v>0</v>
      </c>
      <c r="CQ586" s="167">
        <v>0</v>
      </c>
      <c r="CR586" s="167">
        <v>0</v>
      </c>
      <c r="CS586" s="167">
        <v>0</v>
      </c>
      <c r="CT586" s="167">
        <v>0</v>
      </c>
      <c r="CU586" s="167">
        <v>0</v>
      </c>
      <c r="CV586" s="167">
        <v>0</v>
      </c>
      <c r="CW586" s="167">
        <v>0</v>
      </c>
      <c r="CX586" s="167">
        <f>SUM(CD586:CH586)</f>
        <v>13</v>
      </c>
      <c r="CY586" s="167">
        <f>SUM(CD586:CM586)</f>
        <v>13</v>
      </c>
    </row>
    <row r="587" spans="1:103" ht="12.75" customHeight="1" x14ac:dyDescent="0.2">
      <c r="A587" s="81">
        <v>5818</v>
      </c>
      <c r="B587" s="165" t="s">
        <v>1908</v>
      </c>
      <c r="C587" s="165" t="s">
        <v>412</v>
      </c>
      <c r="E587" s="165" t="s">
        <v>3420</v>
      </c>
      <c r="F587" s="165" t="s">
        <v>491</v>
      </c>
      <c r="G587" s="81">
        <v>527340</v>
      </c>
      <c r="H587" s="81">
        <v>176146</v>
      </c>
      <c r="I587" s="165" t="s">
        <v>241</v>
      </c>
      <c r="J587" s="349">
        <v>42304</v>
      </c>
      <c r="L587" s="166">
        <v>0</v>
      </c>
      <c r="M587" s="166">
        <v>4</v>
      </c>
      <c r="N587" s="166">
        <v>4</v>
      </c>
      <c r="O587" s="166">
        <v>19</v>
      </c>
      <c r="P587" s="166">
        <v>19</v>
      </c>
      <c r="Q587" s="81" t="s">
        <v>155</v>
      </c>
      <c r="R587" s="165" t="s">
        <v>901</v>
      </c>
      <c r="S587" s="81" t="s">
        <v>104</v>
      </c>
      <c r="T587" s="349">
        <v>42004</v>
      </c>
      <c r="U587" s="349">
        <v>42214</v>
      </c>
      <c r="W587" s="81" t="s">
        <v>114</v>
      </c>
      <c r="Y587" s="81" t="s">
        <v>115</v>
      </c>
      <c r="Z587" s="81" t="s">
        <v>398</v>
      </c>
      <c r="AA587" s="81" t="s">
        <v>117</v>
      </c>
      <c r="AB587" s="81" t="s">
        <v>218</v>
      </c>
      <c r="AC587" s="166">
        <v>1.60000007599592E-2</v>
      </c>
      <c r="AD587" s="349">
        <v>42304</v>
      </c>
      <c r="AG587" s="81" t="s">
        <v>238</v>
      </c>
      <c r="AH587" s="81" t="s">
        <v>118</v>
      </c>
      <c r="AK587" s="166">
        <v>4</v>
      </c>
      <c r="AM587" s="166">
        <v>0</v>
      </c>
      <c r="AO587" s="166">
        <v>0</v>
      </c>
      <c r="AP587" s="166">
        <v>1</v>
      </c>
      <c r="AQ587" s="166">
        <v>1</v>
      </c>
      <c r="AR587" s="166">
        <v>2</v>
      </c>
      <c r="AS587" s="166">
        <v>0</v>
      </c>
      <c r="AT587" s="166">
        <v>0</v>
      </c>
      <c r="AU587" s="166">
        <v>0</v>
      </c>
      <c r="AV587" s="166">
        <v>0</v>
      </c>
      <c r="AW587" s="166">
        <v>0</v>
      </c>
      <c r="AX587" s="166">
        <v>0</v>
      </c>
      <c r="AY587" s="166">
        <v>0</v>
      </c>
      <c r="AZ587" s="166">
        <v>0</v>
      </c>
      <c r="BA587" s="166">
        <v>0</v>
      </c>
      <c r="BB587" s="166">
        <v>0</v>
      </c>
      <c r="BC587" s="166">
        <v>0</v>
      </c>
      <c r="BD587" s="166">
        <v>1</v>
      </c>
      <c r="BE587" s="166">
        <v>1</v>
      </c>
      <c r="BF587" s="166">
        <v>2</v>
      </c>
      <c r="BG587" s="166">
        <v>0</v>
      </c>
      <c r="BH587" s="166">
        <v>0</v>
      </c>
      <c r="BI587" s="166">
        <v>0</v>
      </c>
      <c r="BJ587" s="166">
        <v>0</v>
      </c>
      <c r="BK587" s="166">
        <v>0</v>
      </c>
      <c r="BL587" s="166">
        <v>0</v>
      </c>
      <c r="BM587" s="166">
        <v>0</v>
      </c>
      <c r="BN587" s="166">
        <v>0</v>
      </c>
      <c r="BO587" s="166">
        <v>0</v>
      </c>
      <c r="BP587" s="166">
        <v>0</v>
      </c>
      <c r="BQ587" s="81" t="s">
        <v>1757</v>
      </c>
      <c r="BZ587" s="81" t="s">
        <v>155</v>
      </c>
      <c r="CA587" s="81" t="s">
        <v>3976</v>
      </c>
      <c r="CC587" s="167">
        <v>0</v>
      </c>
      <c r="CD587" s="167">
        <f>N587</f>
        <v>4</v>
      </c>
      <c r="CE587" s="167">
        <v>0</v>
      </c>
      <c r="CF587" s="167">
        <v>0</v>
      </c>
      <c r="CG587" s="167">
        <v>0</v>
      </c>
      <c r="CH587" s="167">
        <v>0</v>
      </c>
      <c r="CI587" s="167">
        <v>0</v>
      </c>
      <c r="CJ587" s="167">
        <v>0</v>
      </c>
      <c r="CK587" s="167">
        <v>0</v>
      </c>
      <c r="CL587" s="167">
        <v>0</v>
      </c>
      <c r="CM587" s="167">
        <v>0</v>
      </c>
      <c r="CN587" s="167">
        <v>0</v>
      </c>
      <c r="CO587" s="167">
        <v>0</v>
      </c>
      <c r="CP587" s="167">
        <v>0</v>
      </c>
      <c r="CQ587" s="167">
        <v>0</v>
      </c>
      <c r="CR587" s="167">
        <v>0</v>
      </c>
      <c r="CS587" s="167">
        <v>0</v>
      </c>
      <c r="CT587" s="167">
        <v>0</v>
      </c>
      <c r="CU587" s="167">
        <v>0</v>
      </c>
      <c r="CV587" s="167">
        <v>0</v>
      </c>
      <c r="CW587" s="167">
        <v>0</v>
      </c>
      <c r="CX587" s="167">
        <f>SUM(CD587:CH587)</f>
        <v>4</v>
      </c>
      <c r="CY587" s="167">
        <f>SUM(CD587:CM587)</f>
        <v>4</v>
      </c>
    </row>
    <row r="588" spans="1:103" ht="12.75" customHeight="1" x14ac:dyDescent="0.2">
      <c r="A588" s="81">
        <v>5821</v>
      </c>
      <c r="B588" s="165" t="s">
        <v>1908</v>
      </c>
      <c r="C588" s="165" t="s">
        <v>775</v>
      </c>
      <c r="E588" s="165" t="s">
        <v>3554</v>
      </c>
      <c r="G588" s="81">
        <v>528080</v>
      </c>
      <c r="H588" s="81">
        <v>176610</v>
      </c>
      <c r="I588" s="165" t="s">
        <v>241</v>
      </c>
      <c r="J588" s="349">
        <v>42769</v>
      </c>
      <c r="L588" s="166">
        <v>0</v>
      </c>
      <c r="M588" s="166">
        <v>10</v>
      </c>
      <c r="N588" s="166">
        <v>10</v>
      </c>
      <c r="O588" s="166">
        <v>10</v>
      </c>
      <c r="P588" s="166">
        <v>10</v>
      </c>
      <c r="Q588" s="81" t="s">
        <v>155</v>
      </c>
      <c r="R588" s="165" t="s">
        <v>974</v>
      </c>
      <c r="S588" s="81" t="s">
        <v>113</v>
      </c>
      <c r="T588" s="349">
        <v>42373</v>
      </c>
      <c r="U588" s="349">
        <v>42552</v>
      </c>
      <c r="W588" s="81" t="s">
        <v>114</v>
      </c>
      <c r="Y588" s="81" t="s">
        <v>115</v>
      </c>
      <c r="Z588" s="81" t="s">
        <v>116</v>
      </c>
      <c r="AA588" s="81" t="s">
        <v>116</v>
      </c>
      <c r="AB588" s="81" t="s">
        <v>117</v>
      </c>
      <c r="AC588" s="166">
        <v>4.80000004172325E-2</v>
      </c>
      <c r="AD588" s="349">
        <v>42769</v>
      </c>
      <c r="AG588" s="81" t="s">
        <v>238</v>
      </c>
      <c r="AH588" s="81" t="s">
        <v>118</v>
      </c>
      <c r="AK588" s="166">
        <v>10</v>
      </c>
      <c r="AM588" s="166">
        <v>2</v>
      </c>
      <c r="AO588" s="166">
        <v>0</v>
      </c>
      <c r="AP588" s="166">
        <v>2</v>
      </c>
      <c r="AQ588" s="166">
        <v>6</v>
      </c>
      <c r="AR588" s="166">
        <v>2</v>
      </c>
      <c r="AS588" s="166">
        <v>0</v>
      </c>
      <c r="AT588" s="166">
        <v>0</v>
      </c>
      <c r="AU588" s="166">
        <v>0</v>
      </c>
      <c r="AV588" s="166">
        <v>0</v>
      </c>
      <c r="AW588" s="166">
        <v>2</v>
      </c>
      <c r="AX588" s="166">
        <v>6</v>
      </c>
      <c r="AY588" s="166">
        <v>2</v>
      </c>
      <c r="AZ588" s="166">
        <v>0</v>
      </c>
      <c r="BA588" s="166">
        <v>0</v>
      </c>
      <c r="BB588" s="166">
        <v>0</v>
      </c>
      <c r="BC588" s="166">
        <v>0</v>
      </c>
      <c r="BD588" s="166">
        <v>0</v>
      </c>
      <c r="BE588" s="166">
        <v>0</v>
      </c>
      <c r="BF588" s="166">
        <v>0</v>
      </c>
      <c r="BG588" s="166">
        <v>0</v>
      </c>
      <c r="BH588" s="166">
        <v>0</v>
      </c>
      <c r="BI588" s="166">
        <v>0</v>
      </c>
      <c r="BJ588" s="166">
        <v>0</v>
      </c>
      <c r="BK588" s="166">
        <v>0</v>
      </c>
      <c r="BL588" s="166">
        <v>0</v>
      </c>
      <c r="BM588" s="166">
        <v>0</v>
      </c>
      <c r="BN588" s="166">
        <v>0</v>
      </c>
      <c r="BO588" s="166">
        <v>0</v>
      </c>
      <c r="BP588" s="166">
        <v>0</v>
      </c>
      <c r="BQ588" s="81" t="s">
        <v>1757</v>
      </c>
      <c r="BZ588" s="81" t="s">
        <v>155</v>
      </c>
      <c r="CA588" s="81" t="s">
        <v>3976</v>
      </c>
      <c r="CC588" s="167">
        <v>0</v>
      </c>
      <c r="CD588" s="167">
        <f>N588</f>
        <v>10</v>
      </c>
      <c r="CE588" s="167">
        <v>0</v>
      </c>
      <c r="CF588" s="167">
        <v>0</v>
      </c>
      <c r="CG588" s="167">
        <v>0</v>
      </c>
      <c r="CH588" s="167">
        <v>0</v>
      </c>
      <c r="CI588" s="167">
        <v>0</v>
      </c>
      <c r="CJ588" s="167">
        <v>0</v>
      </c>
      <c r="CK588" s="167">
        <v>0</v>
      </c>
      <c r="CL588" s="167">
        <v>0</v>
      </c>
      <c r="CM588" s="167">
        <v>0</v>
      </c>
      <c r="CN588" s="167">
        <v>0</v>
      </c>
      <c r="CO588" s="167">
        <v>0</v>
      </c>
      <c r="CP588" s="167">
        <v>0</v>
      </c>
      <c r="CQ588" s="167">
        <v>0</v>
      </c>
      <c r="CR588" s="167">
        <v>0</v>
      </c>
      <c r="CS588" s="167">
        <v>0</v>
      </c>
      <c r="CT588" s="167">
        <v>0</v>
      </c>
      <c r="CU588" s="167">
        <v>0</v>
      </c>
      <c r="CV588" s="167">
        <v>0</v>
      </c>
      <c r="CW588" s="167">
        <v>0</v>
      </c>
      <c r="CX588" s="167">
        <f>SUM(CD588:CH588)</f>
        <v>10</v>
      </c>
      <c r="CY588" s="167">
        <f>SUM(CD588:CM588)</f>
        <v>10</v>
      </c>
    </row>
    <row r="589" spans="1:103" ht="12.75" customHeight="1" x14ac:dyDescent="0.2">
      <c r="A589" s="81">
        <v>5835</v>
      </c>
      <c r="B589" s="165" t="s">
        <v>1908</v>
      </c>
      <c r="C589" s="165" t="s">
        <v>517</v>
      </c>
      <c r="E589" s="165" t="s">
        <v>3603</v>
      </c>
      <c r="G589" s="81">
        <v>525002</v>
      </c>
      <c r="H589" s="81">
        <v>173362</v>
      </c>
      <c r="I589" s="165" t="s">
        <v>258</v>
      </c>
      <c r="J589" s="349">
        <v>42460</v>
      </c>
      <c r="L589" s="166">
        <v>0</v>
      </c>
      <c r="M589" s="166">
        <v>1</v>
      </c>
      <c r="N589" s="166">
        <v>1</v>
      </c>
      <c r="O589" s="166">
        <v>1</v>
      </c>
      <c r="P589" s="166">
        <v>1</v>
      </c>
      <c r="R589" s="165" t="s">
        <v>518</v>
      </c>
      <c r="S589" s="81" t="s">
        <v>110</v>
      </c>
      <c r="T589" s="349">
        <v>42010</v>
      </c>
      <c r="U589" s="349">
        <v>42066</v>
      </c>
      <c r="W589" s="81" t="s">
        <v>114</v>
      </c>
      <c r="Y589" s="81" t="s">
        <v>115</v>
      </c>
      <c r="Z589" s="81" t="s">
        <v>310</v>
      </c>
      <c r="AA589" s="81" t="s">
        <v>117</v>
      </c>
      <c r="AB589" s="81" t="s">
        <v>102</v>
      </c>
      <c r="AC589" s="166">
        <v>4.0000001899898104E-3</v>
      </c>
      <c r="AD589" s="349">
        <v>42460</v>
      </c>
      <c r="AG589" s="81" t="s">
        <v>238</v>
      </c>
      <c r="AH589" s="81" t="s">
        <v>118</v>
      </c>
      <c r="AK589" s="166">
        <v>0</v>
      </c>
      <c r="AM589" s="166">
        <v>0</v>
      </c>
      <c r="AO589" s="166">
        <v>1</v>
      </c>
      <c r="AP589" s="166">
        <v>0</v>
      </c>
      <c r="AQ589" s="166">
        <v>0</v>
      </c>
      <c r="AR589" s="166">
        <v>0</v>
      </c>
      <c r="AS589" s="166">
        <v>0</v>
      </c>
      <c r="AT589" s="166">
        <v>0</v>
      </c>
      <c r="AU589" s="166">
        <v>0</v>
      </c>
      <c r="AV589" s="166">
        <v>1</v>
      </c>
      <c r="AW589" s="166">
        <v>0</v>
      </c>
      <c r="AX589" s="166">
        <v>0</v>
      </c>
      <c r="AY589" s="166">
        <v>0</v>
      </c>
      <c r="AZ589" s="166">
        <v>0</v>
      </c>
      <c r="BA589" s="166">
        <v>0</v>
      </c>
      <c r="BB589" s="166">
        <v>0</v>
      </c>
      <c r="BC589" s="166">
        <v>0</v>
      </c>
      <c r="BD589" s="166">
        <v>0</v>
      </c>
      <c r="BE589" s="166">
        <v>0</v>
      </c>
      <c r="BF589" s="166">
        <v>0</v>
      </c>
      <c r="BG589" s="166">
        <v>0</v>
      </c>
      <c r="BH589" s="166">
        <v>0</v>
      </c>
      <c r="BI589" s="166">
        <v>0</v>
      </c>
      <c r="BJ589" s="166">
        <v>0</v>
      </c>
      <c r="BK589" s="166">
        <v>0</v>
      </c>
      <c r="BL589" s="166">
        <v>0</v>
      </c>
      <c r="BM589" s="166">
        <v>0</v>
      </c>
      <c r="BN589" s="166">
        <v>0</v>
      </c>
      <c r="BO589" s="166">
        <v>0</v>
      </c>
      <c r="BP589" s="166">
        <v>0</v>
      </c>
      <c r="BQ589" s="81" t="s">
        <v>1758</v>
      </c>
      <c r="BZ589" s="81" t="s">
        <v>155</v>
      </c>
      <c r="CA589" s="81" t="s">
        <v>3980</v>
      </c>
      <c r="CC589" s="167">
        <v>0</v>
      </c>
      <c r="CD589" s="167">
        <f>N589</f>
        <v>1</v>
      </c>
      <c r="CE589" s="167">
        <v>0</v>
      </c>
      <c r="CF589" s="167">
        <v>0</v>
      </c>
      <c r="CG589" s="167">
        <v>0</v>
      </c>
      <c r="CH589" s="167">
        <v>0</v>
      </c>
      <c r="CI589" s="167">
        <v>0</v>
      </c>
      <c r="CJ589" s="167">
        <v>0</v>
      </c>
      <c r="CK589" s="167">
        <v>0</v>
      </c>
      <c r="CL589" s="167">
        <v>0</v>
      </c>
      <c r="CM589" s="167">
        <v>0</v>
      </c>
      <c r="CN589" s="167">
        <v>0</v>
      </c>
      <c r="CO589" s="167">
        <v>0</v>
      </c>
      <c r="CP589" s="167">
        <v>0</v>
      </c>
      <c r="CQ589" s="167">
        <v>0</v>
      </c>
      <c r="CR589" s="167">
        <v>0</v>
      </c>
      <c r="CS589" s="167">
        <v>0</v>
      </c>
      <c r="CT589" s="167">
        <v>0</v>
      </c>
      <c r="CU589" s="167">
        <v>0</v>
      </c>
      <c r="CV589" s="167">
        <v>0</v>
      </c>
      <c r="CW589" s="167">
        <v>0</v>
      </c>
      <c r="CX589" s="167">
        <f>SUM(CD589:CH589)</f>
        <v>1</v>
      </c>
      <c r="CY589" s="167">
        <f>SUM(CD589:CM589)</f>
        <v>1</v>
      </c>
    </row>
    <row r="590" spans="1:103" ht="12.75" customHeight="1" x14ac:dyDescent="0.2">
      <c r="A590" s="81">
        <v>5849</v>
      </c>
      <c r="B590" s="165" t="s">
        <v>1908</v>
      </c>
      <c r="C590" s="165" t="s">
        <v>431</v>
      </c>
      <c r="E590" s="165" t="s">
        <v>3604</v>
      </c>
      <c r="G590" s="81">
        <v>527082</v>
      </c>
      <c r="H590" s="81">
        <v>170938</v>
      </c>
      <c r="I590" s="165" t="s">
        <v>242</v>
      </c>
      <c r="J590" s="349">
        <v>43020</v>
      </c>
      <c r="L590" s="166">
        <v>0</v>
      </c>
      <c r="M590" s="166">
        <v>3</v>
      </c>
      <c r="N590" s="166">
        <v>3</v>
      </c>
      <c r="O590" s="166">
        <v>4</v>
      </c>
      <c r="P590" s="166">
        <v>4</v>
      </c>
      <c r="R590" s="165" t="s">
        <v>1128</v>
      </c>
      <c r="S590" s="81" t="s">
        <v>113</v>
      </c>
      <c r="T590" s="349">
        <v>42075</v>
      </c>
      <c r="U590" s="349">
        <v>42256</v>
      </c>
      <c r="W590" s="81" t="s">
        <v>114</v>
      </c>
      <c r="Y590" s="81" t="s">
        <v>115</v>
      </c>
      <c r="Z590" s="81" t="s">
        <v>398</v>
      </c>
      <c r="AA590" s="81" t="s">
        <v>117</v>
      </c>
      <c r="AB590" s="81" t="s">
        <v>220</v>
      </c>
      <c r="AC590" s="166">
        <v>1.2000000104308101E-2</v>
      </c>
      <c r="AD590" s="349">
        <v>43020</v>
      </c>
      <c r="AE590" s="81" t="s">
        <v>155</v>
      </c>
      <c r="AG590" s="81" t="s">
        <v>238</v>
      </c>
      <c r="AH590" s="81" t="s">
        <v>118</v>
      </c>
      <c r="AK590" s="166">
        <v>0</v>
      </c>
      <c r="AM590" s="166">
        <v>0</v>
      </c>
      <c r="AO590" s="166">
        <v>0</v>
      </c>
      <c r="AP590" s="166">
        <v>1</v>
      </c>
      <c r="AQ590" s="166">
        <v>1</v>
      </c>
      <c r="AR590" s="166">
        <v>1</v>
      </c>
      <c r="AS590" s="166">
        <v>0</v>
      </c>
      <c r="AT590" s="166">
        <v>0</v>
      </c>
      <c r="AU590" s="166">
        <v>0</v>
      </c>
      <c r="AV590" s="166">
        <v>0</v>
      </c>
      <c r="AW590" s="166">
        <v>1</v>
      </c>
      <c r="AX590" s="166">
        <v>1</v>
      </c>
      <c r="AY590" s="166">
        <v>1</v>
      </c>
      <c r="AZ590" s="166">
        <v>0</v>
      </c>
      <c r="BA590" s="166">
        <v>0</v>
      </c>
      <c r="BB590" s="166">
        <v>0</v>
      </c>
      <c r="BC590" s="166">
        <v>0</v>
      </c>
      <c r="BD590" s="166">
        <v>0</v>
      </c>
      <c r="BE590" s="166">
        <v>0</v>
      </c>
      <c r="BF590" s="166">
        <v>0</v>
      </c>
      <c r="BG590" s="166">
        <v>0</v>
      </c>
      <c r="BH590" s="166">
        <v>0</v>
      </c>
      <c r="BI590" s="166">
        <v>0</v>
      </c>
      <c r="BJ590" s="166">
        <v>0</v>
      </c>
      <c r="BK590" s="166">
        <v>0</v>
      </c>
      <c r="BL590" s="166">
        <v>0</v>
      </c>
      <c r="BM590" s="166">
        <v>0</v>
      </c>
      <c r="BN590" s="166">
        <v>0</v>
      </c>
      <c r="BO590" s="166">
        <v>0</v>
      </c>
      <c r="BP590" s="166">
        <v>0</v>
      </c>
      <c r="BQ590" s="81" t="s">
        <v>1757</v>
      </c>
      <c r="BZ590" s="81" t="s">
        <v>155</v>
      </c>
      <c r="CA590" s="81" t="s">
        <v>3981</v>
      </c>
      <c r="CC590" s="167">
        <v>0</v>
      </c>
      <c r="CD590" s="167">
        <f>$N590/2</f>
        <v>1.5</v>
      </c>
      <c r="CE590" s="167">
        <f>$N590/2</f>
        <v>1.5</v>
      </c>
      <c r="CF590" s="167">
        <v>0</v>
      </c>
      <c r="CG590" s="167">
        <v>0</v>
      </c>
      <c r="CH590" s="167">
        <v>0</v>
      </c>
      <c r="CI590" s="167">
        <v>0</v>
      </c>
      <c r="CJ590" s="167">
        <v>0</v>
      </c>
      <c r="CK590" s="167">
        <v>0</v>
      </c>
      <c r="CL590" s="167">
        <v>0</v>
      </c>
      <c r="CM590" s="167">
        <v>0</v>
      </c>
      <c r="CN590" s="167">
        <v>0</v>
      </c>
      <c r="CO590" s="167">
        <v>0</v>
      </c>
      <c r="CP590" s="167">
        <v>0</v>
      </c>
      <c r="CQ590" s="167">
        <v>0</v>
      </c>
      <c r="CR590" s="167">
        <v>0</v>
      </c>
      <c r="CS590" s="167">
        <v>0</v>
      </c>
      <c r="CT590" s="167">
        <v>0</v>
      </c>
      <c r="CU590" s="167">
        <v>0</v>
      </c>
      <c r="CV590" s="167">
        <v>0</v>
      </c>
      <c r="CW590" s="167">
        <v>0</v>
      </c>
      <c r="CX590" s="167">
        <f>SUM(CD590:CH590)</f>
        <v>3</v>
      </c>
      <c r="CY590" s="167">
        <f>SUM(CD590:CM590)</f>
        <v>3</v>
      </c>
    </row>
    <row r="591" spans="1:103" ht="12.75" customHeight="1" x14ac:dyDescent="0.2">
      <c r="A591" s="81">
        <v>5849</v>
      </c>
      <c r="B591" s="165" t="s">
        <v>1908</v>
      </c>
      <c r="C591" s="165" t="s">
        <v>431</v>
      </c>
      <c r="E591" s="165" t="s">
        <v>3604</v>
      </c>
      <c r="G591" s="81">
        <v>527082</v>
      </c>
      <c r="H591" s="81">
        <v>170938</v>
      </c>
      <c r="I591" s="165" t="s">
        <v>242</v>
      </c>
      <c r="J591" s="349">
        <v>43020</v>
      </c>
      <c r="L591" s="166">
        <v>0</v>
      </c>
      <c r="M591" s="166">
        <v>1</v>
      </c>
      <c r="N591" s="166">
        <v>1</v>
      </c>
      <c r="O591" s="166">
        <v>4</v>
      </c>
      <c r="P591" s="166">
        <v>4</v>
      </c>
      <c r="R591" s="165" t="s">
        <v>1128</v>
      </c>
      <c r="S591" s="81" t="s">
        <v>113</v>
      </c>
      <c r="T591" s="349">
        <v>42075</v>
      </c>
      <c r="U591" s="349">
        <v>42256</v>
      </c>
      <c r="W591" s="81" t="s">
        <v>114</v>
      </c>
      <c r="Y591" s="81" t="s">
        <v>115</v>
      </c>
      <c r="Z591" s="81" t="s">
        <v>398</v>
      </c>
      <c r="AA591" s="81" t="s">
        <v>117</v>
      </c>
      <c r="AB591" s="81" t="s">
        <v>218</v>
      </c>
      <c r="AC591" s="166">
        <v>4.0000001899898104E-3</v>
      </c>
      <c r="AG591" s="81" t="s">
        <v>238</v>
      </c>
      <c r="AH591" s="81" t="s">
        <v>118</v>
      </c>
      <c r="AK591" s="166">
        <v>1</v>
      </c>
      <c r="AM591" s="166">
        <v>0</v>
      </c>
      <c r="AO591" s="166">
        <v>0</v>
      </c>
      <c r="AP591" s="166">
        <v>0</v>
      </c>
      <c r="AQ591" s="166">
        <v>1</v>
      </c>
      <c r="AR591" s="166">
        <v>0</v>
      </c>
      <c r="AS591" s="166">
        <v>0</v>
      </c>
      <c r="AT591" s="166">
        <v>0</v>
      </c>
      <c r="AU591" s="166">
        <v>0</v>
      </c>
      <c r="AV591" s="166">
        <v>0</v>
      </c>
      <c r="AW591" s="166">
        <v>0</v>
      </c>
      <c r="AX591" s="166">
        <v>0</v>
      </c>
      <c r="AY591" s="166">
        <v>0</v>
      </c>
      <c r="AZ591" s="166">
        <v>0</v>
      </c>
      <c r="BA591" s="166">
        <v>0</v>
      </c>
      <c r="BB591" s="166">
        <v>0</v>
      </c>
      <c r="BC591" s="166">
        <v>0</v>
      </c>
      <c r="BD591" s="166">
        <v>0</v>
      </c>
      <c r="BE591" s="166">
        <v>1</v>
      </c>
      <c r="BF591" s="166">
        <v>0</v>
      </c>
      <c r="BG591" s="166">
        <v>0</v>
      </c>
      <c r="BH591" s="166">
        <v>0</v>
      </c>
      <c r="BI591" s="166">
        <v>0</v>
      </c>
      <c r="BJ591" s="166">
        <v>0</v>
      </c>
      <c r="BK591" s="166">
        <v>0</v>
      </c>
      <c r="BL591" s="166">
        <v>0</v>
      </c>
      <c r="BM591" s="166">
        <v>0</v>
      </c>
      <c r="BN591" s="166">
        <v>0</v>
      </c>
      <c r="BO591" s="166">
        <v>0</v>
      </c>
      <c r="BP591" s="166">
        <v>0</v>
      </c>
      <c r="BQ591" s="81" t="s">
        <v>1757</v>
      </c>
      <c r="BZ591" s="81" t="s">
        <v>155</v>
      </c>
      <c r="CA591" s="81" t="s">
        <v>3980</v>
      </c>
      <c r="CC591" s="167">
        <v>0</v>
      </c>
      <c r="CD591" s="167">
        <f>N591</f>
        <v>1</v>
      </c>
      <c r="CE591" s="167">
        <v>0</v>
      </c>
      <c r="CF591" s="167">
        <v>0</v>
      </c>
      <c r="CG591" s="167">
        <v>0</v>
      </c>
      <c r="CH591" s="167">
        <v>0</v>
      </c>
      <c r="CI591" s="167">
        <v>0</v>
      </c>
      <c r="CJ591" s="167">
        <v>0</v>
      </c>
      <c r="CK591" s="167">
        <v>0</v>
      </c>
      <c r="CL591" s="167">
        <v>0</v>
      </c>
      <c r="CM591" s="167">
        <v>0</v>
      </c>
      <c r="CN591" s="167">
        <v>0</v>
      </c>
      <c r="CO591" s="167">
        <v>0</v>
      </c>
      <c r="CP591" s="167">
        <v>0</v>
      </c>
      <c r="CQ591" s="167">
        <v>0</v>
      </c>
      <c r="CR591" s="167">
        <v>0</v>
      </c>
      <c r="CS591" s="167">
        <v>0</v>
      </c>
      <c r="CT591" s="167">
        <v>0</v>
      </c>
      <c r="CU591" s="167">
        <v>0</v>
      </c>
      <c r="CV591" s="167">
        <v>0</v>
      </c>
      <c r="CW591" s="167">
        <v>0</v>
      </c>
      <c r="CX591" s="167">
        <f>SUM(CD591:CH591)</f>
        <v>1</v>
      </c>
      <c r="CY591" s="167">
        <f>SUM(CD591:CM591)</f>
        <v>1</v>
      </c>
    </row>
    <row r="592" spans="1:103" ht="12.75" customHeight="1" x14ac:dyDescent="0.2">
      <c r="A592" s="81">
        <v>5858</v>
      </c>
      <c r="B592" s="165" t="s">
        <v>1908</v>
      </c>
      <c r="C592" s="165" t="s">
        <v>372</v>
      </c>
      <c r="E592" s="165" t="s">
        <v>3555</v>
      </c>
      <c r="G592" s="81">
        <v>528141</v>
      </c>
      <c r="H592" s="81">
        <v>175625</v>
      </c>
      <c r="I592" s="165" t="s">
        <v>256</v>
      </c>
      <c r="J592" s="349">
        <v>42578</v>
      </c>
      <c r="L592" s="166">
        <v>0</v>
      </c>
      <c r="M592" s="166">
        <v>9</v>
      </c>
      <c r="N592" s="166">
        <v>9</v>
      </c>
      <c r="O592" s="166">
        <v>9</v>
      </c>
      <c r="P592" s="166">
        <v>9</v>
      </c>
      <c r="R592" s="165" t="s">
        <v>373</v>
      </c>
      <c r="S592" s="81" t="s">
        <v>113</v>
      </c>
      <c r="T592" s="349">
        <v>42023</v>
      </c>
      <c r="U592" s="349">
        <v>42116</v>
      </c>
      <c r="W592" s="81" t="s">
        <v>114</v>
      </c>
      <c r="Y592" s="81" t="s">
        <v>115</v>
      </c>
      <c r="Z592" s="81" t="s">
        <v>116</v>
      </c>
      <c r="AA592" s="81" t="s">
        <v>117</v>
      </c>
      <c r="AB592" s="81" t="s">
        <v>218</v>
      </c>
      <c r="AC592" s="166">
        <v>9.3999996781349196E-2</v>
      </c>
      <c r="AD592" s="349">
        <v>42578</v>
      </c>
      <c r="AG592" s="81" t="s">
        <v>238</v>
      </c>
      <c r="AH592" s="81" t="s">
        <v>118</v>
      </c>
      <c r="AK592" s="166">
        <v>9</v>
      </c>
      <c r="AM592" s="166">
        <v>0</v>
      </c>
      <c r="AO592" s="166">
        <v>0</v>
      </c>
      <c r="AP592" s="166">
        <v>0</v>
      </c>
      <c r="AQ592" s="166">
        <v>0</v>
      </c>
      <c r="AR592" s="166">
        <v>0</v>
      </c>
      <c r="AS592" s="166">
        <v>9</v>
      </c>
      <c r="AT592" s="166">
        <v>0</v>
      </c>
      <c r="AU592" s="166">
        <v>0</v>
      </c>
      <c r="AV592" s="166">
        <v>0</v>
      </c>
      <c r="AW592" s="166">
        <v>0</v>
      </c>
      <c r="AX592" s="166">
        <v>0</v>
      </c>
      <c r="AY592" s="166">
        <v>0</v>
      </c>
      <c r="AZ592" s="166">
        <v>0</v>
      </c>
      <c r="BA592" s="166">
        <v>0</v>
      </c>
      <c r="BB592" s="166">
        <v>0</v>
      </c>
      <c r="BC592" s="166">
        <v>0</v>
      </c>
      <c r="BD592" s="166">
        <v>0</v>
      </c>
      <c r="BE592" s="166">
        <v>0</v>
      </c>
      <c r="BF592" s="166">
        <v>0</v>
      </c>
      <c r="BG592" s="166">
        <v>9</v>
      </c>
      <c r="BH592" s="166">
        <v>0</v>
      </c>
      <c r="BI592" s="166">
        <v>0</v>
      </c>
      <c r="BJ592" s="166">
        <v>0</v>
      </c>
      <c r="BK592" s="166">
        <v>0</v>
      </c>
      <c r="BL592" s="166">
        <v>0</v>
      </c>
      <c r="BM592" s="166">
        <v>0</v>
      </c>
      <c r="BN592" s="166">
        <v>0</v>
      </c>
      <c r="BO592" s="166">
        <v>0</v>
      </c>
      <c r="BP592" s="166">
        <v>0</v>
      </c>
      <c r="BQ592" s="81" t="s">
        <v>1757</v>
      </c>
      <c r="BZ592" s="81" t="s">
        <v>155</v>
      </c>
      <c r="CA592" s="81" t="s">
        <v>3976</v>
      </c>
      <c r="CC592" s="167">
        <v>0</v>
      </c>
      <c r="CD592" s="167">
        <f>N592</f>
        <v>9</v>
      </c>
      <c r="CE592" s="167">
        <v>0</v>
      </c>
      <c r="CF592" s="167">
        <v>0</v>
      </c>
      <c r="CG592" s="167">
        <v>0</v>
      </c>
      <c r="CH592" s="167">
        <v>0</v>
      </c>
      <c r="CI592" s="167">
        <v>0</v>
      </c>
      <c r="CJ592" s="167">
        <v>0</v>
      </c>
      <c r="CK592" s="167">
        <v>0</v>
      </c>
      <c r="CL592" s="167">
        <v>0</v>
      </c>
      <c r="CM592" s="167">
        <v>0</v>
      </c>
      <c r="CN592" s="167">
        <v>0</v>
      </c>
      <c r="CO592" s="167">
        <v>0</v>
      </c>
      <c r="CP592" s="167">
        <v>0</v>
      </c>
      <c r="CQ592" s="167">
        <v>0</v>
      </c>
      <c r="CR592" s="167">
        <v>0</v>
      </c>
      <c r="CS592" s="167">
        <v>0</v>
      </c>
      <c r="CT592" s="167">
        <v>0</v>
      </c>
      <c r="CU592" s="167">
        <v>0</v>
      </c>
      <c r="CV592" s="167">
        <v>0</v>
      </c>
      <c r="CW592" s="167">
        <v>0</v>
      </c>
      <c r="CX592" s="167">
        <f>SUM(CD592:CH592)</f>
        <v>9</v>
      </c>
      <c r="CY592" s="167">
        <f>SUM(CD592:CM592)</f>
        <v>9</v>
      </c>
    </row>
    <row r="593" spans="1:103" ht="12.75" customHeight="1" x14ac:dyDescent="0.2">
      <c r="A593" s="81">
        <v>5862</v>
      </c>
      <c r="B593" s="165" t="s">
        <v>1908</v>
      </c>
      <c r="C593" s="165" t="s">
        <v>384</v>
      </c>
      <c r="E593" s="165" t="s">
        <v>2128</v>
      </c>
      <c r="G593" s="81">
        <v>524068</v>
      </c>
      <c r="H593" s="81">
        <v>175336</v>
      </c>
      <c r="I593" s="165" t="s">
        <v>259</v>
      </c>
      <c r="J593" s="349">
        <v>43190</v>
      </c>
      <c r="L593" s="166">
        <v>1</v>
      </c>
      <c r="M593" s="166">
        <v>4</v>
      </c>
      <c r="N593" s="166">
        <v>3</v>
      </c>
      <c r="O593" s="166">
        <v>4</v>
      </c>
      <c r="P593" s="166">
        <v>3</v>
      </c>
      <c r="R593" s="165" t="s">
        <v>1124</v>
      </c>
      <c r="S593" s="81" t="s">
        <v>113</v>
      </c>
      <c r="T593" s="349">
        <v>42026</v>
      </c>
      <c r="U593" s="349">
        <v>42125</v>
      </c>
      <c r="W593" s="81" t="s">
        <v>114</v>
      </c>
      <c r="Y593" s="81" t="s">
        <v>115</v>
      </c>
      <c r="Z593" s="81" t="s">
        <v>398</v>
      </c>
      <c r="AA593" s="81" t="s">
        <v>117</v>
      </c>
      <c r="AB593" s="81" t="s">
        <v>218</v>
      </c>
      <c r="AC593" s="166">
        <v>1.7999999225139601E-2</v>
      </c>
      <c r="AD593" s="349">
        <v>43190</v>
      </c>
      <c r="AE593" s="81" t="s">
        <v>155</v>
      </c>
      <c r="AG593" s="81" t="s">
        <v>238</v>
      </c>
      <c r="AH593" s="81" t="s">
        <v>118</v>
      </c>
      <c r="AK593" s="166">
        <v>4</v>
      </c>
      <c r="AM593" s="166">
        <v>0</v>
      </c>
      <c r="AO593" s="166">
        <v>0</v>
      </c>
      <c r="AP593" s="166">
        <v>3</v>
      </c>
      <c r="AQ593" s="166">
        <v>0</v>
      </c>
      <c r="AR593" s="166">
        <v>-1</v>
      </c>
      <c r="AS593" s="166">
        <v>1</v>
      </c>
      <c r="AT593" s="166">
        <v>0</v>
      </c>
      <c r="AU593" s="166">
        <v>0</v>
      </c>
      <c r="AV593" s="166">
        <v>0</v>
      </c>
      <c r="AW593" s="166">
        <v>3</v>
      </c>
      <c r="AX593" s="166">
        <v>0</v>
      </c>
      <c r="AY593" s="166">
        <v>-1</v>
      </c>
      <c r="AZ593" s="166">
        <v>0</v>
      </c>
      <c r="BA593" s="166">
        <v>0</v>
      </c>
      <c r="BB593" s="166">
        <v>0</v>
      </c>
      <c r="BC593" s="166">
        <v>0</v>
      </c>
      <c r="BD593" s="166">
        <v>0</v>
      </c>
      <c r="BE593" s="166">
        <v>0</v>
      </c>
      <c r="BF593" s="166">
        <v>0</v>
      </c>
      <c r="BG593" s="166">
        <v>1</v>
      </c>
      <c r="BH593" s="166">
        <v>0</v>
      </c>
      <c r="BI593" s="166">
        <v>0</v>
      </c>
      <c r="BJ593" s="166">
        <v>0</v>
      </c>
      <c r="BK593" s="166">
        <v>0</v>
      </c>
      <c r="BL593" s="166">
        <v>0</v>
      </c>
      <c r="BM593" s="166">
        <v>0</v>
      </c>
      <c r="BN593" s="166">
        <v>0</v>
      </c>
      <c r="BO593" s="166">
        <v>0</v>
      </c>
      <c r="BP593" s="166">
        <v>0</v>
      </c>
      <c r="BQ593" s="81" t="s">
        <v>1758</v>
      </c>
      <c r="BR593" s="81" t="s">
        <v>161</v>
      </c>
      <c r="BZ593" s="81" t="s">
        <v>155</v>
      </c>
      <c r="CA593" s="81" t="s">
        <v>3981</v>
      </c>
      <c r="CC593" s="167">
        <v>0</v>
      </c>
      <c r="CD593" s="167">
        <f>$N593/2</f>
        <v>1.5</v>
      </c>
      <c r="CE593" s="167">
        <f>$N593/2</f>
        <v>1.5</v>
      </c>
      <c r="CF593" s="167">
        <v>0</v>
      </c>
      <c r="CG593" s="167">
        <v>0</v>
      </c>
      <c r="CH593" s="167">
        <v>0</v>
      </c>
      <c r="CI593" s="167">
        <v>0</v>
      </c>
      <c r="CJ593" s="167">
        <v>0</v>
      </c>
      <c r="CK593" s="167">
        <v>0</v>
      </c>
      <c r="CL593" s="167">
        <v>0</v>
      </c>
      <c r="CM593" s="167">
        <v>0</v>
      </c>
      <c r="CN593" s="167">
        <v>0</v>
      </c>
      <c r="CO593" s="167">
        <v>0</v>
      </c>
      <c r="CP593" s="167">
        <v>0</v>
      </c>
      <c r="CQ593" s="167">
        <v>0</v>
      </c>
      <c r="CR593" s="167">
        <v>0</v>
      </c>
      <c r="CS593" s="167">
        <v>0</v>
      </c>
      <c r="CT593" s="167">
        <v>0</v>
      </c>
      <c r="CU593" s="167">
        <v>0</v>
      </c>
      <c r="CV593" s="167">
        <v>0</v>
      </c>
      <c r="CW593" s="167">
        <v>0</v>
      </c>
      <c r="CX593" s="167">
        <f>SUM(CD593:CH593)</f>
        <v>3</v>
      </c>
      <c r="CY593" s="167">
        <f>SUM(CD593:CM593)</f>
        <v>3</v>
      </c>
    </row>
    <row r="594" spans="1:103" ht="12.75" customHeight="1" x14ac:dyDescent="0.2">
      <c r="A594" s="81">
        <v>5877</v>
      </c>
      <c r="B594" s="165" t="s">
        <v>1908</v>
      </c>
      <c r="C594" s="165" t="s">
        <v>1203</v>
      </c>
      <c r="D594" s="165" t="s">
        <v>281</v>
      </c>
      <c r="E594" s="165" t="s">
        <v>3556</v>
      </c>
      <c r="G594" s="81">
        <v>529014</v>
      </c>
      <c r="H594" s="81">
        <v>172572</v>
      </c>
      <c r="I594" s="165" t="s">
        <v>248</v>
      </c>
      <c r="J594" s="349">
        <v>43190</v>
      </c>
      <c r="L594" s="166">
        <v>0</v>
      </c>
      <c r="M594" s="166">
        <v>1</v>
      </c>
      <c r="N594" s="166">
        <v>1</v>
      </c>
      <c r="O594" s="166">
        <v>1</v>
      </c>
      <c r="P594" s="166">
        <v>1</v>
      </c>
      <c r="R594" s="165" t="s">
        <v>639</v>
      </c>
      <c r="S594" s="81" t="s">
        <v>113</v>
      </c>
      <c r="T594" s="349">
        <v>42486</v>
      </c>
      <c r="U594" s="349">
        <v>42542</v>
      </c>
      <c r="W594" s="81" t="s">
        <v>114</v>
      </c>
      <c r="Y594" s="81" t="s">
        <v>115</v>
      </c>
      <c r="Z594" s="81" t="s">
        <v>116</v>
      </c>
      <c r="AA594" s="81" t="s">
        <v>117</v>
      </c>
      <c r="AB594" s="81" t="s">
        <v>218</v>
      </c>
      <c r="AC594" s="166">
        <v>2.19999998807907E-2</v>
      </c>
      <c r="AD594" s="349">
        <v>43190</v>
      </c>
      <c r="AE594" s="81" t="s">
        <v>155</v>
      </c>
      <c r="AG594" s="81" t="s">
        <v>238</v>
      </c>
      <c r="AH594" s="81" t="s">
        <v>118</v>
      </c>
      <c r="AK594" s="166">
        <v>1</v>
      </c>
      <c r="AM594" s="166">
        <v>0</v>
      </c>
      <c r="AO594" s="166">
        <v>0</v>
      </c>
      <c r="AP594" s="166">
        <v>0</v>
      </c>
      <c r="AQ594" s="166">
        <v>0</v>
      </c>
      <c r="AR594" s="166">
        <v>1</v>
      </c>
      <c r="AS594" s="166">
        <v>0</v>
      </c>
      <c r="AT594" s="166">
        <v>0</v>
      </c>
      <c r="AU594" s="166">
        <v>0</v>
      </c>
      <c r="AV594" s="166">
        <v>0</v>
      </c>
      <c r="AW594" s="166">
        <v>0</v>
      </c>
      <c r="AX594" s="166">
        <v>0</v>
      </c>
      <c r="AY594" s="166">
        <v>0</v>
      </c>
      <c r="AZ594" s="166">
        <v>0</v>
      </c>
      <c r="BA594" s="166">
        <v>0</v>
      </c>
      <c r="BB594" s="166">
        <v>0</v>
      </c>
      <c r="BC594" s="166">
        <v>0</v>
      </c>
      <c r="BD594" s="166">
        <v>0</v>
      </c>
      <c r="BE594" s="166">
        <v>0</v>
      </c>
      <c r="BF594" s="166">
        <v>1</v>
      </c>
      <c r="BG594" s="166">
        <v>0</v>
      </c>
      <c r="BH594" s="166">
        <v>0</v>
      </c>
      <c r="BI594" s="166">
        <v>0</v>
      </c>
      <c r="BJ594" s="166">
        <v>0</v>
      </c>
      <c r="BK594" s="166">
        <v>0</v>
      </c>
      <c r="BL594" s="166">
        <v>0</v>
      </c>
      <c r="BM594" s="166">
        <v>0</v>
      </c>
      <c r="BN594" s="166">
        <v>0</v>
      </c>
      <c r="BO594" s="166">
        <v>0</v>
      </c>
      <c r="BP594" s="166">
        <v>0</v>
      </c>
      <c r="BQ594" s="81" t="s">
        <v>1757</v>
      </c>
      <c r="BZ594" s="81" t="s">
        <v>155</v>
      </c>
      <c r="CA594" s="81" t="s">
        <v>3977</v>
      </c>
      <c r="CC594" s="167">
        <v>0</v>
      </c>
      <c r="CD594" s="167">
        <f>$N594/2</f>
        <v>0.5</v>
      </c>
      <c r="CE594" s="167">
        <f>$N594/2</f>
        <v>0.5</v>
      </c>
      <c r="CF594" s="167">
        <v>0</v>
      </c>
      <c r="CG594" s="167">
        <v>0</v>
      </c>
      <c r="CH594" s="167">
        <v>0</v>
      </c>
      <c r="CI594" s="167">
        <v>0</v>
      </c>
      <c r="CJ594" s="167">
        <v>0</v>
      </c>
      <c r="CK594" s="167">
        <v>0</v>
      </c>
      <c r="CL594" s="167">
        <v>0</v>
      </c>
      <c r="CM594" s="167">
        <v>0</v>
      </c>
      <c r="CN594" s="167">
        <v>0</v>
      </c>
      <c r="CO594" s="167">
        <v>0</v>
      </c>
      <c r="CP594" s="167">
        <v>0</v>
      </c>
      <c r="CQ594" s="167">
        <v>0</v>
      </c>
      <c r="CR594" s="167">
        <v>0</v>
      </c>
      <c r="CS594" s="167">
        <v>0</v>
      </c>
      <c r="CT594" s="167">
        <v>0</v>
      </c>
      <c r="CU594" s="167">
        <v>0</v>
      </c>
      <c r="CV594" s="167">
        <v>0</v>
      </c>
      <c r="CW594" s="167">
        <v>0</v>
      </c>
      <c r="CX594" s="167">
        <f>SUM(CD594:CH594)</f>
        <v>1</v>
      </c>
      <c r="CY594" s="167">
        <f>SUM(CD594:CM594)</f>
        <v>1</v>
      </c>
    </row>
    <row r="595" spans="1:103" ht="12.75" customHeight="1" x14ac:dyDescent="0.2">
      <c r="A595" s="81">
        <v>5881</v>
      </c>
      <c r="B595" s="165" t="s">
        <v>1908</v>
      </c>
      <c r="C595" s="165" t="s">
        <v>564</v>
      </c>
      <c r="E595" s="165" t="s">
        <v>3607</v>
      </c>
      <c r="G595" s="81">
        <v>527326</v>
      </c>
      <c r="H595" s="81">
        <v>176301</v>
      </c>
      <c r="I595" s="165" t="s">
        <v>241</v>
      </c>
      <c r="J595" s="349">
        <v>42825</v>
      </c>
      <c r="L595" s="166">
        <v>0</v>
      </c>
      <c r="M595" s="166">
        <v>1</v>
      </c>
      <c r="N595" s="166">
        <v>1</v>
      </c>
      <c r="O595" s="166">
        <v>1</v>
      </c>
      <c r="P595" s="166">
        <v>1</v>
      </c>
      <c r="R595" s="165" t="s">
        <v>565</v>
      </c>
      <c r="S595" s="81" t="s">
        <v>113</v>
      </c>
      <c r="T595" s="349">
        <v>42114</v>
      </c>
      <c r="U595" s="349">
        <v>42170</v>
      </c>
      <c r="W595" s="81" t="s">
        <v>114</v>
      </c>
      <c r="Y595" s="81" t="s">
        <v>115</v>
      </c>
      <c r="Z595" s="81" t="s">
        <v>219</v>
      </c>
      <c r="AA595" s="81" t="s">
        <v>117</v>
      </c>
      <c r="AB595" s="81" t="s">
        <v>3889</v>
      </c>
      <c r="AC595" s="166">
        <v>2.0000000949949E-3</v>
      </c>
      <c r="AD595" s="349">
        <v>42825</v>
      </c>
      <c r="AG595" s="81" t="s">
        <v>238</v>
      </c>
      <c r="AH595" s="81" t="s">
        <v>118</v>
      </c>
      <c r="AK595" s="166">
        <v>0</v>
      </c>
      <c r="AM595" s="166">
        <v>0</v>
      </c>
      <c r="AO595" s="166">
        <v>0</v>
      </c>
      <c r="AP595" s="166">
        <v>1</v>
      </c>
      <c r="AQ595" s="166">
        <v>0</v>
      </c>
      <c r="AR595" s="166">
        <v>0</v>
      </c>
      <c r="AS595" s="166">
        <v>0</v>
      </c>
      <c r="AT595" s="166">
        <v>0</v>
      </c>
      <c r="AU595" s="166">
        <v>0</v>
      </c>
      <c r="AV595" s="166">
        <v>0</v>
      </c>
      <c r="AW595" s="166">
        <v>1</v>
      </c>
      <c r="AX595" s="166">
        <v>0</v>
      </c>
      <c r="AY595" s="166">
        <v>0</v>
      </c>
      <c r="AZ595" s="166">
        <v>0</v>
      </c>
      <c r="BA595" s="166">
        <v>0</v>
      </c>
      <c r="BB595" s="166">
        <v>0</v>
      </c>
      <c r="BC595" s="166">
        <v>0</v>
      </c>
      <c r="BD595" s="166">
        <v>0</v>
      </c>
      <c r="BE595" s="166">
        <v>0</v>
      </c>
      <c r="BF595" s="166">
        <v>0</v>
      </c>
      <c r="BG595" s="166">
        <v>0</v>
      </c>
      <c r="BH595" s="166">
        <v>0</v>
      </c>
      <c r="BI595" s="166">
        <v>0</v>
      </c>
      <c r="BJ595" s="166">
        <v>0</v>
      </c>
      <c r="BK595" s="166">
        <v>0</v>
      </c>
      <c r="BL595" s="166">
        <v>0</v>
      </c>
      <c r="BM595" s="166">
        <v>0</v>
      </c>
      <c r="BN595" s="166">
        <v>0</v>
      </c>
      <c r="BO595" s="166">
        <v>0</v>
      </c>
      <c r="BP595" s="166">
        <v>0</v>
      </c>
      <c r="BQ595" s="81" t="s">
        <v>1757</v>
      </c>
      <c r="BZ595" s="81" t="s">
        <v>155</v>
      </c>
      <c r="CA595" s="81" t="s">
        <v>3980</v>
      </c>
      <c r="CC595" s="167">
        <v>0</v>
      </c>
      <c r="CD595" s="167">
        <f>N595</f>
        <v>1</v>
      </c>
      <c r="CE595" s="167">
        <v>0</v>
      </c>
      <c r="CF595" s="167">
        <v>0</v>
      </c>
      <c r="CG595" s="167">
        <v>0</v>
      </c>
      <c r="CH595" s="167">
        <v>0</v>
      </c>
      <c r="CI595" s="167">
        <v>0</v>
      </c>
      <c r="CJ595" s="167">
        <v>0</v>
      </c>
      <c r="CK595" s="167">
        <v>0</v>
      </c>
      <c r="CL595" s="167">
        <v>0</v>
      </c>
      <c r="CM595" s="167">
        <v>0</v>
      </c>
      <c r="CN595" s="167">
        <v>0</v>
      </c>
      <c r="CO595" s="167">
        <v>0</v>
      </c>
      <c r="CP595" s="167">
        <v>0</v>
      </c>
      <c r="CQ595" s="167">
        <v>0</v>
      </c>
      <c r="CR595" s="167">
        <v>0</v>
      </c>
      <c r="CS595" s="167">
        <v>0</v>
      </c>
      <c r="CT595" s="167">
        <v>0</v>
      </c>
      <c r="CU595" s="167">
        <v>0</v>
      </c>
      <c r="CV595" s="167">
        <v>0</v>
      </c>
      <c r="CW595" s="167">
        <v>0</v>
      </c>
      <c r="CX595" s="167">
        <f>SUM(CD595:CH595)</f>
        <v>1</v>
      </c>
      <c r="CY595" s="167">
        <f>SUM(CD595:CM595)</f>
        <v>1</v>
      </c>
    </row>
    <row r="596" spans="1:103" x14ac:dyDescent="0.2">
      <c r="A596" s="81">
        <v>5909</v>
      </c>
      <c r="B596" s="165" t="s">
        <v>1908</v>
      </c>
      <c r="C596" s="165" t="s">
        <v>430</v>
      </c>
      <c r="E596" s="165" t="s">
        <v>3608</v>
      </c>
      <c r="G596" s="81">
        <v>527564</v>
      </c>
      <c r="H596" s="81">
        <v>173450</v>
      </c>
      <c r="I596" s="165" t="s">
        <v>254</v>
      </c>
      <c r="J596" s="349">
        <v>43190</v>
      </c>
      <c r="L596" s="166">
        <v>1</v>
      </c>
      <c r="M596" s="166">
        <v>3</v>
      </c>
      <c r="N596" s="166">
        <v>2</v>
      </c>
      <c r="O596" s="166">
        <v>3</v>
      </c>
      <c r="P596" s="166">
        <v>2</v>
      </c>
      <c r="R596" s="165" t="s">
        <v>1127</v>
      </c>
      <c r="S596" s="81" t="s">
        <v>113</v>
      </c>
      <c r="T596" s="349">
        <v>42072</v>
      </c>
      <c r="U596" s="349">
        <v>42206</v>
      </c>
      <c r="W596" s="81" t="s">
        <v>114</v>
      </c>
      <c r="Y596" s="81" t="s">
        <v>115</v>
      </c>
      <c r="Z596" s="81" t="s">
        <v>398</v>
      </c>
      <c r="AA596" s="81" t="s">
        <v>117</v>
      </c>
      <c r="AB596" s="81" t="s">
        <v>220</v>
      </c>
      <c r="AC596" s="166">
        <v>1.09999999403954E-2</v>
      </c>
      <c r="AD596" s="349">
        <v>43190</v>
      </c>
      <c r="AE596" s="81" t="s">
        <v>155</v>
      </c>
      <c r="AG596" s="81" t="s">
        <v>238</v>
      </c>
      <c r="AH596" s="81" t="s">
        <v>118</v>
      </c>
      <c r="AK596" s="166">
        <v>0</v>
      </c>
      <c r="AM596" s="166">
        <v>0</v>
      </c>
      <c r="AO596" s="166">
        <v>0</v>
      </c>
      <c r="AP596" s="166">
        <v>1</v>
      </c>
      <c r="AQ596" s="166">
        <v>2</v>
      </c>
      <c r="AR596" s="166">
        <v>-1</v>
      </c>
      <c r="AS596" s="166">
        <v>0</v>
      </c>
      <c r="AT596" s="166">
        <v>0</v>
      </c>
      <c r="AU596" s="166">
        <v>0</v>
      </c>
      <c r="AV596" s="166">
        <v>0</v>
      </c>
      <c r="AW596" s="166">
        <v>1</v>
      </c>
      <c r="AX596" s="166">
        <v>2</v>
      </c>
      <c r="AY596" s="166">
        <v>-1</v>
      </c>
      <c r="AZ596" s="166">
        <v>0</v>
      </c>
      <c r="BA596" s="166">
        <v>0</v>
      </c>
      <c r="BB596" s="166">
        <v>0</v>
      </c>
      <c r="BC596" s="166">
        <v>0</v>
      </c>
      <c r="BD596" s="166">
        <v>0</v>
      </c>
      <c r="BE596" s="166">
        <v>0</v>
      </c>
      <c r="BF596" s="166">
        <v>0</v>
      </c>
      <c r="BG596" s="166">
        <v>0</v>
      </c>
      <c r="BH596" s="166">
        <v>0</v>
      </c>
      <c r="BI596" s="166">
        <v>0</v>
      </c>
      <c r="BJ596" s="166">
        <v>0</v>
      </c>
      <c r="BK596" s="166">
        <v>0</v>
      </c>
      <c r="BL596" s="166">
        <v>0</v>
      </c>
      <c r="BM596" s="166">
        <v>0</v>
      </c>
      <c r="BN596" s="166">
        <v>0</v>
      </c>
      <c r="BO596" s="166">
        <v>0</v>
      </c>
      <c r="BP596" s="166">
        <v>0</v>
      </c>
      <c r="BQ596" s="81" t="s">
        <v>1757</v>
      </c>
      <c r="BZ596" s="81" t="s">
        <v>155</v>
      </c>
      <c r="CA596" s="81" t="s">
        <v>3981</v>
      </c>
      <c r="CC596" s="167">
        <v>0</v>
      </c>
      <c r="CD596" s="167">
        <f>$N596/2</f>
        <v>1</v>
      </c>
      <c r="CE596" s="167">
        <f>$N596/2</f>
        <v>1</v>
      </c>
      <c r="CF596" s="167">
        <v>0</v>
      </c>
      <c r="CG596" s="167">
        <v>0</v>
      </c>
      <c r="CH596" s="167">
        <v>0</v>
      </c>
      <c r="CI596" s="167">
        <v>0</v>
      </c>
      <c r="CJ596" s="167">
        <v>0</v>
      </c>
      <c r="CK596" s="167">
        <v>0</v>
      </c>
      <c r="CL596" s="167">
        <v>0</v>
      </c>
      <c r="CM596" s="167">
        <v>0</v>
      </c>
      <c r="CN596" s="167">
        <v>0</v>
      </c>
      <c r="CO596" s="167">
        <v>0</v>
      </c>
      <c r="CP596" s="167">
        <v>0</v>
      </c>
      <c r="CQ596" s="167">
        <v>0</v>
      </c>
      <c r="CR596" s="167">
        <v>0</v>
      </c>
      <c r="CS596" s="167">
        <v>0</v>
      </c>
      <c r="CT596" s="167">
        <v>0</v>
      </c>
      <c r="CU596" s="167">
        <v>0</v>
      </c>
      <c r="CV596" s="167">
        <v>0</v>
      </c>
      <c r="CW596" s="167">
        <v>0</v>
      </c>
      <c r="CX596" s="167">
        <f>SUM(CD596:CH596)</f>
        <v>2</v>
      </c>
      <c r="CY596" s="167">
        <f>SUM(CD596:CM596)</f>
        <v>2</v>
      </c>
    </row>
    <row r="597" spans="1:103" ht="12.75" customHeight="1" x14ac:dyDescent="0.2">
      <c r="A597" s="81">
        <v>5915</v>
      </c>
      <c r="B597" s="165" t="s">
        <v>1908</v>
      </c>
      <c r="C597" s="165" t="s">
        <v>434</v>
      </c>
      <c r="E597" s="165" t="s">
        <v>3558</v>
      </c>
      <c r="G597" s="81">
        <v>523061</v>
      </c>
      <c r="H597" s="81">
        <v>174593</v>
      </c>
      <c r="I597" s="165" t="s">
        <v>59</v>
      </c>
      <c r="J597" s="349">
        <v>42825</v>
      </c>
      <c r="L597" s="166">
        <v>1</v>
      </c>
      <c r="M597" s="166">
        <v>1</v>
      </c>
      <c r="N597" s="166">
        <v>0</v>
      </c>
      <c r="O597" s="166">
        <v>1</v>
      </c>
      <c r="P597" s="166">
        <v>0</v>
      </c>
      <c r="R597" s="165" t="s">
        <v>435</v>
      </c>
      <c r="S597" s="81" t="s">
        <v>113</v>
      </c>
      <c r="T597" s="349">
        <v>42087</v>
      </c>
      <c r="U597" s="349">
        <v>42178</v>
      </c>
      <c r="W597" s="81" t="s">
        <v>114</v>
      </c>
      <c r="Y597" s="81" t="s">
        <v>115</v>
      </c>
      <c r="Z597" s="81" t="s">
        <v>116</v>
      </c>
      <c r="AA597" s="81" t="s">
        <v>117</v>
      </c>
      <c r="AB597" s="81" t="s">
        <v>218</v>
      </c>
      <c r="AC597" s="166">
        <v>7.5999997556209606E-2</v>
      </c>
      <c r="AD597" s="349">
        <v>42825</v>
      </c>
      <c r="AG597" s="81" t="s">
        <v>238</v>
      </c>
      <c r="AH597" s="81" t="s">
        <v>118</v>
      </c>
      <c r="AK597" s="166">
        <v>1</v>
      </c>
      <c r="AM597" s="166">
        <v>0</v>
      </c>
      <c r="AO597" s="166">
        <v>0</v>
      </c>
      <c r="AP597" s="166">
        <v>0</v>
      </c>
      <c r="AQ597" s="166">
        <v>0</v>
      </c>
      <c r="AR597" s="166">
        <v>0</v>
      </c>
      <c r="AS597" s="166">
        <v>-1</v>
      </c>
      <c r="AT597" s="166">
        <v>1</v>
      </c>
      <c r="AU597" s="166">
        <v>0</v>
      </c>
      <c r="AV597" s="166">
        <v>0</v>
      </c>
      <c r="AW597" s="166">
        <v>0</v>
      </c>
      <c r="AX597" s="166">
        <v>0</v>
      </c>
      <c r="AY597" s="166">
        <v>0</v>
      </c>
      <c r="AZ597" s="166">
        <v>0</v>
      </c>
      <c r="BA597" s="166">
        <v>0</v>
      </c>
      <c r="BB597" s="166">
        <v>0</v>
      </c>
      <c r="BC597" s="166">
        <v>0</v>
      </c>
      <c r="BD597" s="166">
        <v>0</v>
      </c>
      <c r="BE597" s="166">
        <v>0</v>
      </c>
      <c r="BF597" s="166">
        <v>0</v>
      </c>
      <c r="BG597" s="166">
        <v>-1</v>
      </c>
      <c r="BH597" s="166">
        <v>1</v>
      </c>
      <c r="BI597" s="166">
        <v>0</v>
      </c>
      <c r="BJ597" s="166">
        <v>0</v>
      </c>
      <c r="BK597" s="166">
        <v>0</v>
      </c>
      <c r="BL597" s="166">
        <v>0</v>
      </c>
      <c r="BM597" s="166">
        <v>0</v>
      </c>
      <c r="BN597" s="166">
        <v>0</v>
      </c>
      <c r="BO597" s="166">
        <v>0</v>
      </c>
      <c r="BP597" s="166">
        <v>0</v>
      </c>
      <c r="BQ597" s="81" t="s">
        <v>1758</v>
      </c>
      <c r="BZ597" s="81" t="s">
        <v>155</v>
      </c>
      <c r="CA597" s="81" t="s">
        <v>3976</v>
      </c>
      <c r="CC597" s="167">
        <v>0</v>
      </c>
      <c r="CD597" s="167">
        <f>N597</f>
        <v>0</v>
      </c>
      <c r="CE597" s="167">
        <v>0</v>
      </c>
      <c r="CF597" s="167">
        <v>0</v>
      </c>
      <c r="CG597" s="167">
        <v>0</v>
      </c>
      <c r="CH597" s="167">
        <v>0</v>
      </c>
      <c r="CI597" s="167">
        <v>0</v>
      </c>
      <c r="CJ597" s="167">
        <v>0</v>
      </c>
      <c r="CK597" s="167">
        <v>0</v>
      </c>
      <c r="CL597" s="167">
        <v>0</v>
      </c>
      <c r="CM597" s="167">
        <v>0</v>
      </c>
      <c r="CN597" s="167">
        <v>0</v>
      </c>
      <c r="CO597" s="167">
        <v>0</v>
      </c>
      <c r="CP597" s="167">
        <v>0</v>
      </c>
      <c r="CQ597" s="167">
        <v>0</v>
      </c>
      <c r="CR597" s="167">
        <v>0</v>
      </c>
      <c r="CS597" s="167">
        <v>0</v>
      </c>
      <c r="CT597" s="167">
        <v>0</v>
      </c>
      <c r="CU597" s="167">
        <v>0</v>
      </c>
      <c r="CV597" s="167">
        <v>0</v>
      </c>
      <c r="CW597" s="167">
        <v>0</v>
      </c>
      <c r="CX597" s="167">
        <f>SUM(CD597:CH597)</f>
        <v>0</v>
      </c>
      <c r="CY597" s="167">
        <f>SUM(CD597:CM597)</f>
        <v>0</v>
      </c>
    </row>
    <row r="598" spans="1:103" ht="12.75" customHeight="1" x14ac:dyDescent="0.2">
      <c r="A598" s="81">
        <v>5921</v>
      </c>
      <c r="B598" s="165" t="s">
        <v>1908</v>
      </c>
      <c r="C598" s="165" t="s">
        <v>3567</v>
      </c>
      <c r="E598" s="165" t="s">
        <v>3568</v>
      </c>
      <c r="G598" s="81">
        <v>522745</v>
      </c>
      <c r="H598" s="81">
        <v>174977</v>
      </c>
      <c r="I598" s="165" t="s">
        <v>59</v>
      </c>
      <c r="J598" s="349">
        <v>43090</v>
      </c>
      <c r="L598" s="166">
        <v>4</v>
      </c>
      <c r="M598" s="166">
        <v>8</v>
      </c>
      <c r="N598" s="166">
        <v>4</v>
      </c>
      <c r="O598" s="166">
        <v>8</v>
      </c>
      <c r="P598" s="166">
        <v>4</v>
      </c>
      <c r="R598" s="165" t="s">
        <v>3569</v>
      </c>
      <c r="S598" s="81" t="s">
        <v>113</v>
      </c>
      <c r="T598" s="349">
        <v>42828</v>
      </c>
      <c r="U598" s="349">
        <v>42909</v>
      </c>
      <c r="V598" s="81" t="s">
        <v>155</v>
      </c>
      <c r="W598" s="81" t="s">
        <v>114</v>
      </c>
      <c r="Y598" s="81" t="s">
        <v>115</v>
      </c>
      <c r="Z598" s="81" t="s">
        <v>116</v>
      </c>
      <c r="AA598" s="81" t="s">
        <v>117</v>
      </c>
      <c r="AB598" s="81" t="s">
        <v>218</v>
      </c>
      <c r="AC598" s="166">
        <v>0.119999997317791</v>
      </c>
      <c r="AD598" s="349">
        <v>43090</v>
      </c>
      <c r="AE598" s="81" t="s">
        <v>155</v>
      </c>
      <c r="AG598" s="81" t="s">
        <v>238</v>
      </c>
      <c r="AH598" s="81" t="s">
        <v>118</v>
      </c>
      <c r="AK598" s="166">
        <v>0</v>
      </c>
      <c r="AM598" s="166">
        <v>0</v>
      </c>
      <c r="AO598" s="166">
        <v>0</v>
      </c>
      <c r="AP598" s="166">
        <v>-1</v>
      </c>
      <c r="AQ598" s="166">
        <v>2</v>
      </c>
      <c r="AR598" s="166">
        <v>3</v>
      </c>
      <c r="AS598" s="166">
        <v>0</v>
      </c>
      <c r="AT598" s="166">
        <v>0</v>
      </c>
      <c r="AU598" s="166">
        <v>0</v>
      </c>
      <c r="AV598" s="166">
        <v>0</v>
      </c>
      <c r="AW598" s="166">
        <v>-1</v>
      </c>
      <c r="AX598" s="166">
        <v>2</v>
      </c>
      <c r="AY598" s="166">
        <v>3</v>
      </c>
      <c r="AZ598" s="166">
        <v>0</v>
      </c>
      <c r="BA598" s="166">
        <v>0</v>
      </c>
      <c r="BB598" s="166">
        <v>0</v>
      </c>
      <c r="BC598" s="166">
        <v>0</v>
      </c>
      <c r="BD598" s="166">
        <v>0</v>
      </c>
      <c r="BE598" s="166">
        <v>0</v>
      </c>
      <c r="BF598" s="166">
        <v>0</v>
      </c>
      <c r="BG598" s="166">
        <v>0</v>
      </c>
      <c r="BH598" s="166">
        <v>0</v>
      </c>
      <c r="BI598" s="166">
        <v>0</v>
      </c>
      <c r="BJ598" s="166">
        <v>0</v>
      </c>
      <c r="BK598" s="166">
        <v>0</v>
      </c>
      <c r="BL598" s="166">
        <v>0</v>
      </c>
      <c r="BM598" s="166">
        <v>0</v>
      </c>
      <c r="BN598" s="166">
        <v>0</v>
      </c>
      <c r="BO598" s="166">
        <v>0</v>
      </c>
      <c r="BP598" s="166">
        <v>0</v>
      </c>
      <c r="BQ598" s="81" t="s">
        <v>1758</v>
      </c>
      <c r="BZ598" s="81" t="s">
        <v>155</v>
      </c>
      <c r="CA598" s="81" t="s">
        <v>3977</v>
      </c>
      <c r="CC598" s="167">
        <v>0</v>
      </c>
      <c r="CD598" s="167">
        <f>$N598/2</f>
        <v>2</v>
      </c>
      <c r="CE598" s="167">
        <f>$N598/2</f>
        <v>2</v>
      </c>
      <c r="CF598" s="167">
        <v>0</v>
      </c>
      <c r="CG598" s="167">
        <v>0</v>
      </c>
      <c r="CH598" s="167">
        <v>0</v>
      </c>
      <c r="CI598" s="167">
        <v>0</v>
      </c>
      <c r="CJ598" s="167">
        <v>0</v>
      </c>
      <c r="CK598" s="167">
        <v>0</v>
      </c>
      <c r="CL598" s="167">
        <v>0</v>
      </c>
      <c r="CM598" s="167">
        <v>0</v>
      </c>
      <c r="CN598" s="167">
        <v>0</v>
      </c>
      <c r="CO598" s="167">
        <v>0</v>
      </c>
      <c r="CP598" s="167">
        <v>0</v>
      </c>
      <c r="CQ598" s="167">
        <v>0</v>
      </c>
      <c r="CR598" s="167">
        <v>0</v>
      </c>
      <c r="CS598" s="167">
        <v>0</v>
      </c>
      <c r="CT598" s="167">
        <v>0</v>
      </c>
      <c r="CU598" s="167">
        <v>0</v>
      </c>
      <c r="CV598" s="167">
        <v>0</v>
      </c>
      <c r="CW598" s="167">
        <v>0</v>
      </c>
      <c r="CX598" s="167">
        <f>SUM(CD598:CH598)</f>
        <v>4</v>
      </c>
      <c r="CY598" s="167">
        <f>SUM(CD598:CM598)</f>
        <v>4</v>
      </c>
    </row>
    <row r="599" spans="1:103" x14ac:dyDescent="0.2">
      <c r="A599" s="81">
        <v>5924</v>
      </c>
      <c r="B599" s="165" t="s">
        <v>1908</v>
      </c>
      <c r="C599" s="165" t="s">
        <v>559</v>
      </c>
      <c r="E599" s="165" t="s">
        <v>3611</v>
      </c>
      <c r="G599" s="81">
        <v>528796</v>
      </c>
      <c r="H599" s="81">
        <v>173797</v>
      </c>
      <c r="I599" s="165" t="s">
        <v>247</v>
      </c>
      <c r="J599" s="349">
        <v>43190</v>
      </c>
      <c r="L599" s="166">
        <v>0</v>
      </c>
      <c r="M599" s="166">
        <v>3</v>
      </c>
      <c r="N599" s="166">
        <v>3</v>
      </c>
      <c r="O599" s="166">
        <v>3</v>
      </c>
      <c r="P599" s="166">
        <v>3</v>
      </c>
      <c r="R599" s="165" t="s">
        <v>560</v>
      </c>
      <c r="S599" s="81" t="s">
        <v>110</v>
      </c>
      <c r="T599" s="349">
        <v>42122</v>
      </c>
      <c r="U599" s="349">
        <v>42178</v>
      </c>
      <c r="W599" s="81" t="s">
        <v>114</v>
      </c>
      <c r="Y599" s="81" t="s">
        <v>115</v>
      </c>
      <c r="Z599" s="81" t="s">
        <v>310</v>
      </c>
      <c r="AA599" s="81" t="s">
        <v>117</v>
      </c>
      <c r="AB599" s="81" t="s">
        <v>399</v>
      </c>
      <c r="AC599" s="166">
        <v>4.9999998882412902E-3</v>
      </c>
      <c r="AD599" s="349">
        <v>43190</v>
      </c>
      <c r="AE599" s="81" t="s">
        <v>155</v>
      </c>
      <c r="AG599" s="81" t="s">
        <v>238</v>
      </c>
      <c r="AH599" s="81" t="s">
        <v>118</v>
      </c>
      <c r="AK599" s="166">
        <v>0</v>
      </c>
      <c r="AM599" s="166">
        <v>0</v>
      </c>
      <c r="AO599" s="166">
        <v>1</v>
      </c>
      <c r="AP599" s="166">
        <v>2</v>
      </c>
      <c r="AQ599" s="166">
        <v>0</v>
      </c>
      <c r="AR599" s="166">
        <v>0</v>
      </c>
      <c r="AS599" s="166">
        <v>0</v>
      </c>
      <c r="AT599" s="166">
        <v>0</v>
      </c>
      <c r="AU599" s="166">
        <v>0</v>
      </c>
      <c r="AV599" s="166">
        <v>1</v>
      </c>
      <c r="AW599" s="166">
        <v>2</v>
      </c>
      <c r="AX599" s="166">
        <v>0</v>
      </c>
      <c r="AY599" s="166">
        <v>0</v>
      </c>
      <c r="AZ599" s="166">
        <v>0</v>
      </c>
      <c r="BA599" s="166">
        <v>0</v>
      </c>
      <c r="BB599" s="166">
        <v>0</v>
      </c>
      <c r="BC599" s="166">
        <v>0</v>
      </c>
      <c r="BD599" s="166">
        <v>0</v>
      </c>
      <c r="BE599" s="166">
        <v>0</v>
      </c>
      <c r="BF599" s="166">
        <v>0</v>
      </c>
      <c r="BG599" s="166">
        <v>0</v>
      </c>
      <c r="BH599" s="166">
        <v>0</v>
      </c>
      <c r="BI599" s="166">
        <v>0</v>
      </c>
      <c r="BJ599" s="166">
        <v>0</v>
      </c>
      <c r="BK599" s="166">
        <v>0</v>
      </c>
      <c r="BL599" s="166">
        <v>0</v>
      </c>
      <c r="BM599" s="166">
        <v>0</v>
      </c>
      <c r="BN599" s="166">
        <v>0</v>
      </c>
      <c r="BO599" s="166">
        <v>0</v>
      </c>
      <c r="BP599" s="166">
        <v>0</v>
      </c>
      <c r="BQ599" s="81" t="s">
        <v>1757</v>
      </c>
      <c r="BZ599" s="81" t="s">
        <v>155</v>
      </c>
      <c r="CA599" s="81" t="s">
        <v>3981</v>
      </c>
      <c r="CC599" s="167">
        <v>0</v>
      </c>
      <c r="CD599" s="167">
        <f>$N599/2</f>
        <v>1.5</v>
      </c>
      <c r="CE599" s="167">
        <f>$N599/2</f>
        <v>1.5</v>
      </c>
      <c r="CF599" s="167">
        <v>0</v>
      </c>
      <c r="CG599" s="167">
        <v>0</v>
      </c>
      <c r="CH599" s="167">
        <v>0</v>
      </c>
      <c r="CI599" s="167">
        <v>0</v>
      </c>
      <c r="CJ599" s="167">
        <v>0</v>
      </c>
      <c r="CK599" s="167">
        <v>0</v>
      </c>
      <c r="CL599" s="167">
        <v>0</v>
      </c>
      <c r="CM599" s="167">
        <v>0</v>
      </c>
      <c r="CN599" s="167">
        <v>0</v>
      </c>
      <c r="CO599" s="167">
        <v>0</v>
      </c>
      <c r="CP599" s="167">
        <v>0</v>
      </c>
      <c r="CQ599" s="167">
        <v>0</v>
      </c>
      <c r="CR599" s="167">
        <v>0</v>
      </c>
      <c r="CS599" s="167">
        <v>0</v>
      </c>
      <c r="CT599" s="167">
        <v>0</v>
      </c>
      <c r="CU599" s="167">
        <v>0</v>
      </c>
      <c r="CV599" s="167">
        <v>0</v>
      </c>
      <c r="CW599" s="167">
        <v>0</v>
      </c>
      <c r="CX599" s="167">
        <f>SUM(CD599:CH599)</f>
        <v>3</v>
      </c>
      <c r="CY599" s="167">
        <f>SUM(CD599:CM599)</f>
        <v>3</v>
      </c>
    </row>
    <row r="600" spans="1:103" ht="12.75" customHeight="1" x14ac:dyDescent="0.2">
      <c r="A600" s="81">
        <v>5938</v>
      </c>
      <c r="B600" s="165" t="s">
        <v>1908</v>
      </c>
      <c r="C600" s="165" t="s">
        <v>573</v>
      </c>
      <c r="E600" s="165" t="s">
        <v>3612</v>
      </c>
      <c r="G600" s="81">
        <v>524894</v>
      </c>
      <c r="H600" s="81">
        <v>173570</v>
      </c>
      <c r="I600" s="165" t="s">
        <v>258</v>
      </c>
      <c r="J600" s="349">
        <v>43190</v>
      </c>
      <c r="L600" s="166">
        <v>0</v>
      </c>
      <c r="M600" s="166">
        <v>1</v>
      </c>
      <c r="N600" s="166">
        <v>1</v>
      </c>
      <c r="O600" s="166">
        <v>1</v>
      </c>
      <c r="P600" s="166">
        <v>1</v>
      </c>
      <c r="R600" s="165" t="s">
        <v>426</v>
      </c>
      <c r="S600" s="81" t="s">
        <v>488</v>
      </c>
      <c r="T600" s="349">
        <v>42132</v>
      </c>
      <c r="U600" s="349">
        <v>42178</v>
      </c>
      <c r="W600" s="81" t="s">
        <v>297</v>
      </c>
      <c r="X600" s="349">
        <v>42396</v>
      </c>
      <c r="Y600" s="81" t="s">
        <v>115</v>
      </c>
      <c r="Z600" s="81" t="s">
        <v>310</v>
      </c>
      <c r="AA600" s="81" t="s">
        <v>117</v>
      </c>
      <c r="AB600" s="81" t="s">
        <v>102</v>
      </c>
      <c r="AC600" s="166">
        <v>2.0999999716877899E-2</v>
      </c>
      <c r="AD600" s="349">
        <v>43190</v>
      </c>
      <c r="AE600" s="81" t="s">
        <v>155</v>
      </c>
      <c r="AG600" s="81" t="s">
        <v>238</v>
      </c>
      <c r="AH600" s="81" t="s">
        <v>118</v>
      </c>
      <c r="AK600" s="166">
        <v>0</v>
      </c>
      <c r="AM600" s="166">
        <v>0</v>
      </c>
      <c r="AO600" s="166">
        <v>0</v>
      </c>
      <c r="AP600" s="166">
        <v>0</v>
      </c>
      <c r="AQ600" s="166">
        <v>0</v>
      </c>
      <c r="AR600" s="166">
        <v>1</v>
      </c>
      <c r="AS600" s="166">
        <v>0</v>
      </c>
      <c r="AT600" s="166">
        <v>0</v>
      </c>
      <c r="AU600" s="166">
        <v>0</v>
      </c>
      <c r="AV600" s="166">
        <v>0</v>
      </c>
      <c r="AW600" s="166">
        <v>0</v>
      </c>
      <c r="AX600" s="166">
        <v>0</v>
      </c>
      <c r="AY600" s="166">
        <v>1</v>
      </c>
      <c r="AZ600" s="166">
        <v>0</v>
      </c>
      <c r="BA600" s="166">
        <v>0</v>
      </c>
      <c r="BB600" s="166">
        <v>0</v>
      </c>
      <c r="BC600" s="166">
        <v>0</v>
      </c>
      <c r="BD600" s="166">
        <v>0</v>
      </c>
      <c r="BE600" s="166">
        <v>0</v>
      </c>
      <c r="BF600" s="166">
        <v>0</v>
      </c>
      <c r="BG600" s="166">
        <v>0</v>
      </c>
      <c r="BH600" s="166">
        <v>0</v>
      </c>
      <c r="BI600" s="166">
        <v>0</v>
      </c>
      <c r="BJ600" s="166">
        <v>0</v>
      </c>
      <c r="BK600" s="166">
        <v>0</v>
      </c>
      <c r="BL600" s="166">
        <v>0</v>
      </c>
      <c r="BM600" s="166">
        <v>0</v>
      </c>
      <c r="BN600" s="166">
        <v>0</v>
      </c>
      <c r="BO600" s="166">
        <v>0</v>
      </c>
      <c r="BP600" s="166">
        <v>0</v>
      </c>
      <c r="BQ600" s="81" t="s">
        <v>1758</v>
      </c>
      <c r="BZ600" s="81" t="s">
        <v>155</v>
      </c>
      <c r="CA600" s="81" t="s">
        <v>3981</v>
      </c>
      <c r="CC600" s="167">
        <v>0</v>
      </c>
      <c r="CD600" s="167">
        <f>$N600/2</f>
        <v>0.5</v>
      </c>
      <c r="CE600" s="167">
        <f>$N600/2</f>
        <v>0.5</v>
      </c>
      <c r="CF600" s="167">
        <v>0</v>
      </c>
      <c r="CG600" s="167">
        <v>0</v>
      </c>
      <c r="CH600" s="167">
        <v>0</v>
      </c>
      <c r="CI600" s="167">
        <v>0</v>
      </c>
      <c r="CJ600" s="167">
        <v>0</v>
      </c>
      <c r="CK600" s="167">
        <v>0</v>
      </c>
      <c r="CL600" s="167">
        <v>0</v>
      </c>
      <c r="CM600" s="167">
        <v>0</v>
      </c>
      <c r="CN600" s="167">
        <v>0</v>
      </c>
      <c r="CO600" s="167">
        <v>0</v>
      </c>
      <c r="CP600" s="167">
        <v>0</v>
      </c>
      <c r="CQ600" s="167">
        <v>0</v>
      </c>
      <c r="CR600" s="167">
        <v>0</v>
      </c>
      <c r="CS600" s="167">
        <v>0</v>
      </c>
      <c r="CT600" s="167">
        <v>0</v>
      </c>
      <c r="CU600" s="167">
        <v>0</v>
      </c>
      <c r="CV600" s="167">
        <v>0</v>
      </c>
      <c r="CW600" s="167">
        <v>0</v>
      </c>
      <c r="CX600" s="167">
        <f>SUM(CD600:CH600)</f>
        <v>1</v>
      </c>
      <c r="CY600" s="167">
        <f>SUM(CD600:CM600)</f>
        <v>1</v>
      </c>
    </row>
    <row r="601" spans="1:103" ht="12.75" customHeight="1" x14ac:dyDescent="0.2">
      <c r="A601" s="81">
        <v>5939</v>
      </c>
      <c r="B601" s="165" t="s">
        <v>1908</v>
      </c>
      <c r="C601" s="165" t="s">
        <v>1015</v>
      </c>
      <c r="E601" s="165" t="s">
        <v>3613</v>
      </c>
      <c r="G601" s="81">
        <v>522110</v>
      </c>
      <c r="H601" s="81">
        <v>175464</v>
      </c>
      <c r="I601" s="165" t="s">
        <v>59</v>
      </c>
      <c r="J601" s="349">
        <v>42782</v>
      </c>
      <c r="L601" s="166">
        <v>1</v>
      </c>
      <c r="M601" s="166">
        <v>4</v>
      </c>
      <c r="N601" s="166">
        <v>3</v>
      </c>
      <c r="O601" s="166">
        <v>4</v>
      </c>
      <c r="P601" s="166">
        <v>3</v>
      </c>
      <c r="R601" s="165" t="s">
        <v>1016</v>
      </c>
      <c r="S601" s="81" t="s">
        <v>113</v>
      </c>
      <c r="T601" s="349">
        <v>42529</v>
      </c>
      <c r="U601" s="349">
        <v>42628</v>
      </c>
      <c r="W601" s="81" t="s">
        <v>114</v>
      </c>
      <c r="Y601" s="81" t="s">
        <v>115</v>
      </c>
      <c r="Z601" s="81" t="s">
        <v>398</v>
      </c>
      <c r="AA601" s="81" t="s">
        <v>117</v>
      </c>
      <c r="AB601" s="81" t="s">
        <v>120</v>
      </c>
      <c r="AC601" s="166">
        <v>2.8999999165535001E-2</v>
      </c>
      <c r="AD601" s="349">
        <v>42782</v>
      </c>
      <c r="AG601" s="81" t="s">
        <v>238</v>
      </c>
      <c r="AH601" s="81" t="s">
        <v>118</v>
      </c>
      <c r="AK601" s="166">
        <v>0</v>
      </c>
      <c r="AM601" s="166">
        <v>0</v>
      </c>
      <c r="AO601" s="166">
        <v>0</v>
      </c>
      <c r="AP601" s="166">
        <v>0</v>
      </c>
      <c r="AQ601" s="166">
        <v>2</v>
      </c>
      <c r="AR601" s="166">
        <v>2</v>
      </c>
      <c r="AS601" s="166">
        <v>-1</v>
      </c>
      <c r="AT601" s="166">
        <v>0</v>
      </c>
      <c r="AU601" s="166">
        <v>0</v>
      </c>
      <c r="AV601" s="166">
        <v>0</v>
      </c>
      <c r="AW601" s="166">
        <v>0</v>
      </c>
      <c r="AX601" s="166">
        <v>2</v>
      </c>
      <c r="AY601" s="166">
        <v>2</v>
      </c>
      <c r="AZ601" s="166">
        <v>0</v>
      </c>
      <c r="BA601" s="166">
        <v>0</v>
      </c>
      <c r="BB601" s="166">
        <v>0</v>
      </c>
      <c r="BC601" s="166">
        <v>0</v>
      </c>
      <c r="BD601" s="166">
        <v>0</v>
      </c>
      <c r="BE601" s="166">
        <v>0</v>
      </c>
      <c r="BF601" s="166">
        <v>0</v>
      </c>
      <c r="BG601" s="166">
        <v>-1</v>
      </c>
      <c r="BH601" s="166">
        <v>0</v>
      </c>
      <c r="BI601" s="166">
        <v>0</v>
      </c>
      <c r="BJ601" s="166">
        <v>0</v>
      </c>
      <c r="BK601" s="166">
        <v>0</v>
      </c>
      <c r="BL601" s="166">
        <v>0</v>
      </c>
      <c r="BM601" s="166">
        <v>0</v>
      </c>
      <c r="BN601" s="166">
        <v>0</v>
      </c>
      <c r="BO601" s="166">
        <v>0</v>
      </c>
      <c r="BP601" s="166">
        <v>0</v>
      </c>
      <c r="BQ601" s="81" t="s">
        <v>1758</v>
      </c>
      <c r="BZ601" s="81" t="s">
        <v>155</v>
      </c>
      <c r="CA601" s="81" t="s">
        <v>3980</v>
      </c>
      <c r="CC601" s="167">
        <v>0</v>
      </c>
      <c r="CD601" s="167">
        <f>N601</f>
        <v>3</v>
      </c>
      <c r="CE601" s="167">
        <v>0</v>
      </c>
      <c r="CF601" s="167">
        <v>0</v>
      </c>
      <c r="CG601" s="167">
        <v>0</v>
      </c>
      <c r="CH601" s="167">
        <v>0</v>
      </c>
      <c r="CI601" s="167">
        <v>0</v>
      </c>
      <c r="CJ601" s="167">
        <v>0</v>
      </c>
      <c r="CK601" s="167">
        <v>0</v>
      </c>
      <c r="CL601" s="167">
        <v>0</v>
      </c>
      <c r="CM601" s="167">
        <v>0</v>
      </c>
      <c r="CN601" s="167">
        <v>0</v>
      </c>
      <c r="CO601" s="167">
        <v>0</v>
      </c>
      <c r="CP601" s="167">
        <v>0</v>
      </c>
      <c r="CQ601" s="167">
        <v>0</v>
      </c>
      <c r="CR601" s="167">
        <v>0</v>
      </c>
      <c r="CS601" s="167">
        <v>0</v>
      </c>
      <c r="CT601" s="167">
        <v>0</v>
      </c>
      <c r="CU601" s="167">
        <v>0</v>
      </c>
      <c r="CV601" s="167">
        <v>0</v>
      </c>
      <c r="CW601" s="167">
        <v>0</v>
      </c>
      <c r="CX601" s="167">
        <f>SUM(CD601:CH601)</f>
        <v>3</v>
      </c>
      <c r="CY601" s="167">
        <f>SUM(CD601:CM601)</f>
        <v>3</v>
      </c>
    </row>
    <row r="602" spans="1:103" ht="12.75" customHeight="1" x14ac:dyDescent="0.2">
      <c r="A602" s="81">
        <v>5942</v>
      </c>
      <c r="B602" s="165" t="s">
        <v>1908</v>
      </c>
      <c r="C602" s="165" t="s">
        <v>1218</v>
      </c>
      <c r="E602" s="165" t="s">
        <v>3614</v>
      </c>
      <c r="F602" s="165" t="s">
        <v>1219</v>
      </c>
      <c r="G602" s="81">
        <v>528486</v>
      </c>
      <c r="H602" s="81">
        <v>173287</v>
      </c>
      <c r="I602" s="165" t="s">
        <v>254</v>
      </c>
      <c r="J602" s="349">
        <v>43190</v>
      </c>
      <c r="L602" s="166">
        <v>0</v>
      </c>
      <c r="M602" s="166">
        <v>6</v>
      </c>
      <c r="N602" s="166">
        <v>6</v>
      </c>
      <c r="O602" s="166">
        <v>7</v>
      </c>
      <c r="P602" s="166">
        <v>7</v>
      </c>
      <c r="R602" s="165" t="s">
        <v>1220</v>
      </c>
      <c r="S602" s="81" t="s">
        <v>113</v>
      </c>
      <c r="T602" s="349">
        <v>42555</v>
      </c>
      <c r="U602" s="349">
        <v>42702</v>
      </c>
      <c r="W602" s="81" t="s">
        <v>114</v>
      </c>
      <c r="Y602" s="81" t="s">
        <v>115</v>
      </c>
      <c r="Z602" s="81" t="s">
        <v>398</v>
      </c>
      <c r="AA602" s="81" t="s">
        <v>117</v>
      </c>
      <c r="AB602" s="81" t="s">
        <v>218</v>
      </c>
      <c r="AC602" s="166">
        <v>2.8999999165535001E-2</v>
      </c>
      <c r="AD602" s="349">
        <v>43190</v>
      </c>
      <c r="AE602" s="81" t="s">
        <v>155</v>
      </c>
      <c r="AG602" s="81" t="s">
        <v>238</v>
      </c>
      <c r="AH602" s="81" t="s">
        <v>118</v>
      </c>
      <c r="AK602" s="166">
        <v>0</v>
      </c>
      <c r="AM602" s="166">
        <v>0</v>
      </c>
      <c r="AO602" s="166">
        <v>0</v>
      </c>
      <c r="AP602" s="166">
        <v>0</v>
      </c>
      <c r="AQ602" s="166">
        <v>4</v>
      </c>
      <c r="AR602" s="166">
        <v>2</v>
      </c>
      <c r="AS602" s="166">
        <v>0</v>
      </c>
      <c r="AT602" s="166">
        <v>0</v>
      </c>
      <c r="AU602" s="166">
        <v>0</v>
      </c>
      <c r="AV602" s="166">
        <v>0</v>
      </c>
      <c r="AW602" s="166">
        <v>0</v>
      </c>
      <c r="AX602" s="166">
        <v>4</v>
      </c>
      <c r="AY602" s="166">
        <v>2</v>
      </c>
      <c r="AZ602" s="166">
        <v>0</v>
      </c>
      <c r="BA602" s="166">
        <v>0</v>
      </c>
      <c r="BB602" s="166">
        <v>0</v>
      </c>
      <c r="BC602" s="166">
        <v>0</v>
      </c>
      <c r="BD602" s="166">
        <v>0</v>
      </c>
      <c r="BE602" s="166">
        <v>0</v>
      </c>
      <c r="BF602" s="166">
        <v>0</v>
      </c>
      <c r="BG602" s="166">
        <v>0</v>
      </c>
      <c r="BH602" s="166">
        <v>0</v>
      </c>
      <c r="BI602" s="166">
        <v>0</v>
      </c>
      <c r="BJ602" s="166">
        <v>0</v>
      </c>
      <c r="BK602" s="166">
        <v>0</v>
      </c>
      <c r="BL602" s="166">
        <v>0</v>
      </c>
      <c r="BM602" s="166">
        <v>0</v>
      </c>
      <c r="BN602" s="166">
        <v>0</v>
      </c>
      <c r="BO602" s="166">
        <v>0</v>
      </c>
      <c r="BP602" s="166">
        <v>0</v>
      </c>
      <c r="BQ602" s="81" t="s">
        <v>1757</v>
      </c>
      <c r="BR602" s="81" t="s">
        <v>247</v>
      </c>
      <c r="BZ602" s="81" t="s">
        <v>155</v>
      </c>
      <c r="CA602" s="81" t="s">
        <v>3981</v>
      </c>
      <c r="CC602" s="167">
        <v>0</v>
      </c>
      <c r="CD602" s="167">
        <f>$N602/2</f>
        <v>3</v>
      </c>
      <c r="CE602" s="167">
        <f>$N602/2</f>
        <v>3</v>
      </c>
      <c r="CF602" s="167">
        <v>0</v>
      </c>
      <c r="CG602" s="167">
        <v>0</v>
      </c>
      <c r="CH602" s="167">
        <v>0</v>
      </c>
      <c r="CI602" s="167">
        <v>0</v>
      </c>
      <c r="CJ602" s="167">
        <v>0</v>
      </c>
      <c r="CK602" s="167">
        <v>0</v>
      </c>
      <c r="CL602" s="167">
        <v>0</v>
      </c>
      <c r="CM602" s="167">
        <v>0</v>
      </c>
      <c r="CN602" s="167">
        <v>0</v>
      </c>
      <c r="CO602" s="167">
        <v>0</v>
      </c>
      <c r="CP602" s="167">
        <v>0</v>
      </c>
      <c r="CQ602" s="167">
        <v>0</v>
      </c>
      <c r="CR602" s="167">
        <v>0</v>
      </c>
      <c r="CS602" s="167">
        <v>0</v>
      </c>
      <c r="CT602" s="167">
        <v>0</v>
      </c>
      <c r="CU602" s="167">
        <v>0</v>
      </c>
      <c r="CV602" s="167">
        <v>0</v>
      </c>
      <c r="CW602" s="167">
        <v>0</v>
      </c>
      <c r="CX602" s="167">
        <f>SUM(CD602:CH602)</f>
        <v>6</v>
      </c>
      <c r="CY602" s="167">
        <f>SUM(CD602:CM602)</f>
        <v>6</v>
      </c>
    </row>
    <row r="603" spans="1:103" ht="12.75" customHeight="1" x14ac:dyDescent="0.2">
      <c r="A603" s="81">
        <v>5942</v>
      </c>
      <c r="B603" s="165" t="s">
        <v>1908</v>
      </c>
      <c r="C603" s="165" t="s">
        <v>1218</v>
      </c>
      <c r="E603" s="165" t="s">
        <v>3614</v>
      </c>
      <c r="F603" s="165" t="s">
        <v>137</v>
      </c>
      <c r="G603" s="81">
        <v>528486</v>
      </c>
      <c r="H603" s="81">
        <v>173287</v>
      </c>
      <c r="I603" s="165" t="s">
        <v>254</v>
      </c>
      <c r="J603" s="349">
        <v>43190</v>
      </c>
      <c r="L603" s="166">
        <v>0</v>
      </c>
      <c r="M603" s="166">
        <v>1</v>
      </c>
      <c r="N603" s="166">
        <v>1</v>
      </c>
      <c r="O603" s="166">
        <v>7</v>
      </c>
      <c r="P603" s="166">
        <v>7</v>
      </c>
      <c r="R603" s="165" t="s">
        <v>1220</v>
      </c>
      <c r="S603" s="81" t="s">
        <v>113</v>
      </c>
      <c r="T603" s="349">
        <v>42555</v>
      </c>
      <c r="U603" s="349">
        <v>42702</v>
      </c>
      <c r="W603" s="81" t="s">
        <v>114</v>
      </c>
      <c r="Y603" s="81" t="s">
        <v>115</v>
      </c>
      <c r="Z603" s="81" t="s">
        <v>398</v>
      </c>
      <c r="AA603" s="81" t="s">
        <v>117</v>
      </c>
      <c r="AB603" s="81" t="s">
        <v>218</v>
      </c>
      <c r="AC603" s="166">
        <v>1.2000000104308101E-2</v>
      </c>
      <c r="AD603" s="349">
        <v>43190</v>
      </c>
      <c r="AE603" s="81" t="s">
        <v>155</v>
      </c>
      <c r="AG603" s="81" t="s">
        <v>238</v>
      </c>
      <c r="AH603" s="81" t="s">
        <v>118</v>
      </c>
      <c r="AK603" s="166">
        <v>0</v>
      </c>
      <c r="AM603" s="166">
        <v>0</v>
      </c>
      <c r="AO603" s="166">
        <v>0</v>
      </c>
      <c r="AP603" s="166">
        <v>0</v>
      </c>
      <c r="AQ603" s="166">
        <v>0</v>
      </c>
      <c r="AR603" s="166">
        <v>1</v>
      </c>
      <c r="AS603" s="166">
        <v>0</v>
      </c>
      <c r="AT603" s="166">
        <v>0</v>
      </c>
      <c r="AU603" s="166">
        <v>0</v>
      </c>
      <c r="AV603" s="166">
        <v>0</v>
      </c>
      <c r="AW603" s="166">
        <v>0</v>
      </c>
      <c r="AX603" s="166">
        <v>0</v>
      </c>
      <c r="AY603" s="166">
        <v>0</v>
      </c>
      <c r="AZ603" s="166">
        <v>0</v>
      </c>
      <c r="BA603" s="166">
        <v>0</v>
      </c>
      <c r="BB603" s="166">
        <v>0</v>
      </c>
      <c r="BC603" s="166">
        <v>0</v>
      </c>
      <c r="BD603" s="166">
        <v>0</v>
      </c>
      <c r="BE603" s="166">
        <v>0</v>
      </c>
      <c r="BF603" s="166">
        <v>1</v>
      </c>
      <c r="BG603" s="166">
        <v>0</v>
      </c>
      <c r="BH603" s="166">
        <v>0</v>
      </c>
      <c r="BI603" s="166">
        <v>0</v>
      </c>
      <c r="BJ603" s="166">
        <v>0</v>
      </c>
      <c r="BK603" s="166">
        <v>0</v>
      </c>
      <c r="BL603" s="166">
        <v>0</v>
      </c>
      <c r="BM603" s="166">
        <v>0</v>
      </c>
      <c r="BN603" s="166">
        <v>0</v>
      </c>
      <c r="BO603" s="166">
        <v>0</v>
      </c>
      <c r="BP603" s="166">
        <v>0</v>
      </c>
      <c r="BQ603" s="81" t="s">
        <v>1757</v>
      </c>
      <c r="BR603" s="81" t="s">
        <v>247</v>
      </c>
      <c r="BZ603" s="81" t="s">
        <v>155</v>
      </c>
      <c r="CA603" s="81" t="s">
        <v>3981</v>
      </c>
      <c r="CC603" s="167">
        <v>0</v>
      </c>
      <c r="CD603" s="167">
        <f>$N603/2</f>
        <v>0.5</v>
      </c>
      <c r="CE603" s="167">
        <f>$N603/2</f>
        <v>0.5</v>
      </c>
      <c r="CF603" s="167">
        <v>0</v>
      </c>
      <c r="CG603" s="167">
        <v>0</v>
      </c>
      <c r="CH603" s="167">
        <v>0</v>
      </c>
      <c r="CI603" s="167">
        <v>0</v>
      </c>
      <c r="CJ603" s="167">
        <v>0</v>
      </c>
      <c r="CK603" s="167">
        <v>0</v>
      </c>
      <c r="CL603" s="167">
        <v>0</v>
      </c>
      <c r="CM603" s="167">
        <v>0</v>
      </c>
      <c r="CN603" s="167">
        <v>0</v>
      </c>
      <c r="CO603" s="167">
        <v>0</v>
      </c>
      <c r="CP603" s="167">
        <v>0</v>
      </c>
      <c r="CQ603" s="167">
        <v>0</v>
      </c>
      <c r="CR603" s="167">
        <v>0</v>
      </c>
      <c r="CS603" s="167">
        <v>0</v>
      </c>
      <c r="CT603" s="167">
        <v>0</v>
      </c>
      <c r="CU603" s="167">
        <v>0</v>
      </c>
      <c r="CV603" s="167">
        <v>0</v>
      </c>
      <c r="CW603" s="167">
        <v>0</v>
      </c>
      <c r="CX603" s="167">
        <f>SUM(CD603:CH603)</f>
        <v>1</v>
      </c>
      <c r="CY603" s="167">
        <f>SUM(CD603:CM603)</f>
        <v>1</v>
      </c>
    </row>
    <row r="604" spans="1:103" ht="12.75" customHeight="1" x14ac:dyDescent="0.2">
      <c r="A604" s="81">
        <v>5946</v>
      </c>
      <c r="B604" s="165" t="s">
        <v>1908</v>
      </c>
      <c r="C604" s="165" t="s">
        <v>563</v>
      </c>
      <c r="E604" s="165" t="s">
        <v>3174</v>
      </c>
      <c r="G604" s="81">
        <v>528334</v>
      </c>
      <c r="H604" s="81">
        <v>175747</v>
      </c>
      <c r="I604" s="165" t="s">
        <v>256</v>
      </c>
      <c r="J604" s="349">
        <v>42825</v>
      </c>
      <c r="L604" s="166">
        <v>1</v>
      </c>
      <c r="M604" s="166">
        <v>2</v>
      </c>
      <c r="N604" s="166">
        <v>1</v>
      </c>
      <c r="O604" s="166">
        <v>3</v>
      </c>
      <c r="P604" s="166">
        <v>2</v>
      </c>
      <c r="R604" s="165" t="s">
        <v>911</v>
      </c>
      <c r="S604" s="81" t="s">
        <v>113</v>
      </c>
      <c r="T604" s="349">
        <v>42123</v>
      </c>
      <c r="U604" s="349">
        <v>42299</v>
      </c>
      <c r="W604" s="81" t="s">
        <v>114</v>
      </c>
      <c r="Y604" s="81" t="s">
        <v>115</v>
      </c>
      <c r="Z604" s="81" t="s">
        <v>398</v>
      </c>
      <c r="AA604" s="81" t="s">
        <v>117</v>
      </c>
      <c r="AB604" s="81" t="s">
        <v>220</v>
      </c>
      <c r="AC604" s="166">
        <v>1.09999999403954E-2</v>
      </c>
      <c r="AD604" s="349">
        <v>42825</v>
      </c>
      <c r="AG604" s="81" t="s">
        <v>238</v>
      </c>
      <c r="AH604" s="81" t="s">
        <v>118</v>
      </c>
      <c r="AK604" s="166">
        <v>0</v>
      </c>
      <c r="AM604" s="166">
        <v>0</v>
      </c>
      <c r="AO604" s="166">
        <v>0</v>
      </c>
      <c r="AP604" s="166">
        <v>2</v>
      </c>
      <c r="AQ604" s="166">
        <v>0</v>
      </c>
      <c r="AR604" s="166">
        <v>0</v>
      </c>
      <c r="AS604" s="166">
        <v>-1</v>
      </c>
      <c r="AT604" s="166">
        <v>0</v>
      </c>
      <c r="AU604" s="166">
        <v>0</v>
      </c>
      <c r="AV604" s="166">
        <v>0</v>
      </c>
      <c r="AW604" s="166">
        <v>2</v>
      </c>
      <c r="AX604" s="166">
        <v>0</v>
      </c>
      <c r="AY604" s="166">
        <v>0</v>
      </c>
      <c r="AZ604" s="166">
        <v>-1</v>
      </c>
      <c r="BA604" s="166">
        <v>0</v>
      </c>
      <c r="BB604" s="166">
        <v>0</v>
      </c>
      <c r="BC604" s="166">
        <v>0</v>
      </c>
      <c r="BD604" s="166">
        <v>0</v>
      </c>
      <c r="BE604" s="166">
        <v>0</v>
      </c>
      <c r="BF604" s="166">
        <v>0</v>
      </c>
      <c r="BG604" s="166">
        <v>0</v>
      </c>
      <c r="BH604" s="166">
        <v>0</v>
      </c>
      <c r="BI604" s="166">
        <v>0</v>
      </c>
      <c r="BJ604" s="166">
        <v>0</v>
      </c>
      <c r="BK604" s="166">
        <v>0</v>
      </c>
      <c r="BL604" s="166">
        <v>0</v>
      </c>
      <c r="BM604" s="166">
        <v>0</v>
      </c>
      <c r="BN604" s="166">
        <v>0</v>
      </c>
      <c r="BO604" s="166">
        <v>0</v>
      </c>
      <c r="BP604" s="166">
        <v>0</v>
      </c>
      <c r="BQ604" s="81" t="s">
        <v>1757</v>
      </c>
      <c r="BZ604" s="81" t="s">
        <v>155</v>
      </c>
      <c r="CA604" s="81" t="s">
        <v>3980</v>
      </c>
      <c r="CC604" s="167">
        <v>0</v>
      </c>
      <c r="CD604" s="167">
        <f>N604</f>
        <v>1</v>
      </c>
      <c r="CE604" s="167">
        <v>0</v>
      </c>
      <c r="CF604" s="167">
        <v>0</v>
      </c>
      <c r="CG604" s="167">
        <v>0</v>
      </c>
      <c r="CH604" s="167">
        <v>0</v>
      </c>
      <c r="CI604" s="167">
        <v>0</v>
      </c>
      <c r="CJ604" s="167">
        <v>0</v>
      </c>
      <c r="CK604" s="167">
        <v>0</v>
      </c>
      <c r="CL604" s="167">
        <v>0</v>
      </c>
      <c r="CM604" s="167">
        <v>0</v>
      </c>
      <c r="CN604" s="167">
        <v>0</v>
      </c>
      <c r="CO604" s="167">
        <v>0</v>
      </c>
      <c r="CP604" s="167">
        <v>0</v>
      </c>
      <c r="CQ604" s="167">
        <v>0</v>
      </c>
      <c r="CR604" s="167">
        <v>0</v>
      </c>
      <c r="CS604" s="167">
        <v>0</v>
      </c>
      <c r="CT604" s="167">
        <v>0</v>
      </c>
      <c r="CU604" s="167">
        <v>0</v>
      </c>
      <c r="CV604" s="167">
        <v>0</v>
      </c>
      <c r="CW604" s="167">
        <v>0</v>
      </c>
      <c r="CX604" s="167">
        <f>SUM(CD604:CH604)</f>
        <v>1</v>
      </c>
      <c r="CY604" s="167">
        <f>SUM(CD604:CM604)</f>
        <v>1</v>
      </c>
    </row>
    <row r="605" spans="1:103" ht="12.75" customHeight="1" x14ac:dyDescent="0.2">
      <c r="A605" s="81">
        <v>5959</v>
      </c>
      <c r="B605" s="165" t="s">
        <v>1908</v>
      </c>
      <c r="C605" s="165" t="s">
        <v>578</v>
      </c>
      <c r="E605" s="165" t="s">
        <v>3570</v>
      </c>
      <c r="G605" s="81">
        <v>524608</v>
      </c>
      <c r="H605" s="81">
        <v>173417</v>
      </c>
      <c r="I605" s="165" t="s">
        <v>111</v>
      </c>
      <c r="J605" s="349">
        <v>42950</v>
      </c>
      <c r="L605" s="166">
        <v>0</v>
      </c>
      <c r="M605" s="166">
        <v>1</v>
      </c>
      <c r="N605" s="166">
        <v>1</v>
      </c>
      <c r="O605" s="166">
        <v>1</v>
      </c>
      <c r="P605" s="166">
        <v>1</v>
      </c>
      <c r="R605" s="165" t="s">
        <v>579</v>
      </c>
      <c r="S605" s="81" t="s">
        <v>113</v>
      </c>
      <c r="T605" s="349">
        <v>42144</v>
      </c>
      <c r="U605" s="349">
        <v>42296</v>
      </c>
      <c r="W605" s="81" t="s">
        <v>114</v>
      </c>
      <c r="Y605" s="81" t="s">
        <v>397</v>
      </c>
      <c r="Z605" s="81" t="s">
        <v>116</v>
      </c>
      <c r="AA605" s="81" t="s">
        <v>117</v>
      </c>
      <c r="AB605" s="81" t="s">
        <v>218</v>
      </c>
      <c r="AC605" s="166">
        <v>1.8999999389052401E-2</v>
      </c>
      <c r="AD605" s="349">
        <v>42950</v>
      </c>
      <c r="AE605" s="81" t="s">
        <v>155</v>
      </c>
      <c r="AG605" s="81" t="s">
        <v>238</v>
      </c>
      <c r="AH605" s="81" t="s">
        <v>118</v>
      </c>
      <c r="AK605" s="166">
        <v>1</v>
      </c>
      <c r="AM605" s="166">
        <v>0</v>
      </c>
      <c r="AO605" s="166">
        <v>0</v>
      </c>
      <c r="AP605" s="166">
        <v>0</v>
      </c>
      <c r="AQ605" s="166">
        <v>0</v>
      </c>
      <c r="AR605" s="166">
        <v>0</v>
      </c>
      <c r="AS605" s="166">
        <v>1</v>
      </c>
      <c r="AT605" s="166">
        <v>0</v>
      </c>
      <c r="AU605" s="166">
        <v>0</v>
      </c>
      <c r="AV605" s="166">
        <v>0</v>
      </c>
      <c r="AW605" s="166">
        <v>0</v>
      </c>
      <c r="AX605" s="166">
        <v>0</v>
      </c>
      <c r="AY605" s="166">
        <v>0</v>
      </c>
      <c r="AZ605" s="166">
        <v>0</v>
      </c>
      <c r="BA605" s="166">
        <v>0</v>
      </c>
      <c r="BB605" s="166">
        <v>0</v>
      </c>
      <c r="BC605" s="166">
        <v>0</v>
      </c>
      <c r="BD605" s="166">
        <v>0</v>
      </c>
      <c r="BE605" s="166">
        <v>0</v>
      </c>
      <c r="BF605" s="166">
        <v>0</v>
      </c>
      <c r="BG605" s="166">
        <v>1</v>
      </c>
      <c r="BH605" s="166">
        <v>0</v>
      </c>
      <c r="BI605" s="166">
        <v>0</v>
      </c>
      <c r="BJ605" s="166">
        <v>0</v>
      </c>
      <c r="BK605" s="166">
        <v>0</v>
      </c>
      <c r="BL605" s="166">
        <v>0</v>
      </c>
      <c r="BM605" s="166">
        <v>0</v>
      </c>
      <c r="BN605" s="166">
        <v>0</v>
      </c>
      <c r="BO605" s="166">
        <v>0</v>
      </c>
      <c r="BP605" s="166">
        <v>0</v>
      </c>
      <c r="BQ605" s="81" t="s">
        <v>1758</v>
      </c>
      <c r="BZ605" s="81" t="s">
        <v>155</v>
      </c>
      <c r="CA605" s="81" t="s">
        <v>3976</v>
      </c>
      <c r="CC605" s="167">
        <v>0</v>
      </c>
      <c r="CD605" s="167">
        <f>N605</f>
        <v>1</v>
      </c>
      <c r="CE605" s="167">
        <v>0</v>
      </c>
      <c r="CF605" s="167">
        <v>0</v>
      </c>
      <c r="CG605" s="167">
        <v>0</v>
      </c>
      <c r="CH605" s="167">
        <v>0</v>
      </c>
      <c r="CI605" s="167">
        <v>0</v>
      </c>
      <c r="CJ605" s="167">
        <v>0</v>
      </c>
      <c r="CK605" s="167">
        <v>0</v>
      </c>
      <c r="CL605" s="167">
        <v>0</v>
      </c>
      <c r="CM605" s="167">
        <v>0</v>
      </c>
      <c r="CN605" s="167">
        <v>0</v>
      </c>
      <c r="CO605" s="167">
        <v>0</v>
      </c>
      <c r="CP605" s="167">
        <v>0</v>
      </c>
      <c r="CQ605" s="167">
        <v>0</v>
      </c>
      <c r="CR605" s="167">
        <v>0</v>
      </c>
      <c r="CS605" s="167">
        <v>0</v>
      </c>
      <c r="CT605" s="167">
        <v>0</v>
      </c>
      <c r="CU605" s="167">
        <v>0</v>
      </c>
      <c r="CV605" s="167">
        <v>0</v>
      </c>
      <c r="CW605" s="167">
        <v>0</v>
      </c>
      <c r="CX605" s="167">
        <f>SUM(CD605:CH605)</f>
        <v>1</v>
      </c>
      <c r="CY605" s="167">
        <f>SUM(CD605:CM605)</f>
        <v>1</v>
      </c>
    </row>
    <row r="606" spans="1:103" ht="12.75" customHeight="1" x14ac:dyDescent="0.2">
      <c r="A606" s="81">
        <v>5966</v>
      </c>
      <c r="B606" s="165" t="s">
        <v>1908</v>
      </c>
      <c r="C606" s="165" t="s">
        <v>719</v>
      </c>
      <c r="D606" s="165" t="s">
        <v>2107</v>
      </c>
      <c r="E606" s="165" t="s">
        <v>3178</v>
      </c>
      <c r="G606" s="81">
        <v>527304</v>
      </c>
      <c r="H606" s="81">
        <v>177160</v>
      </c>
      <c r="I606" s="165" t="s">
        <v>257</v>
      </c>
      <c r="J606" s="349">
        <v>42825</v>
      </c>
      <c r="L606" s="166">
        <v>0</v>
      </c>
      <c r="M606" s="166">
        <v>1</v>
      </c>
      <c r="N606" s="166">
        <v>1</v>
      </c>
      <c r="O606" s="166">
        <v>2</v>
      </c>
      <c r="P606" s="166">
        <v>2</v>
      </c>
      <c r="R606" s="165" t="s">
        <v>720</v>
      </c>
      <c r="S606" s="81" t="s">
        <v>110</v>
      </c>
      <c r="T606" s="349">
        <v>42351</v>
      </c>
      <c r="U606" s="349">
        <v>42443</v>
      </c>
      <c r="W606" s="81" t="s">
        <v>114</v>
      </c>
      <c r="Y606" s="81" t="s">
        <v>115</v>
      </c>
      <c r="Z606" s="81" t="s">
        <v>310</v>
      </c>
      <c r="AA606" s="81" t="s">
        <v>117</v>
      </c>
      <c r="AB606" s="81" t="s">
        <v>399</v>
      </c>
      <c r="AC606" s="166">
        <v>2.9999999329447701E-2</v>
      </c>
      <c r="AG606" s="81" t="s">
        <v>238</v>
      </c>
      <c r="AH606" s="81" t="s">
        <v>118</v>
      </c>
      <c r="AK606" s="166">
        <v>0</v>
      </c>
      <c r="AM606" s="166">
        <v>0</v>
      </c>
      <c r="AO606" s="166">
        <v>1</v>
      </c>
      <c r="AP606" s="166">
        <v>0</v>
      </c>
      <c r="AQ606" s="166">
        <v>0</v>
      </c>
      <c r="AR606" s="166">
        <v>0</v>
      </c>
      <c r="AS606" s="166">
        <v>0</v>
      </c>
      <c r="AT606" s="166">
        <v>0</v>
      </c>
      <c r="AU606" s="166">
        <v>0</v>
      </c>
      <c r="AV606" s="166">
        <v>1</v>
      </c>
      <c r="AW606" s="166">
        <v>0</v>
      </c>
      <c r="AX606" s="166">
        <v>0</v>
      </c>
      <c r="AY606" s="166">
        <v>0</v>
      </c>
      <c r="AZ606" s="166">
        <v>0</v>
      </c>
      <c r="BA606" s="166">
        <v>0</v>
      </c>
      <c r="BB606" s="166">
        <v>0</v>
      </c>
      <c r="BC606" s="166">
        <v>0</v>
      </c>
      <c r="BD606" s="166">
        <v>0</v>
      </c>
      <c r="BE606" s="166">
        <v>0</v>
      </c>
      <c r="BF606" s="166">
        <v>0</v>
      </c>
      <c r="BG606" s="166">
        <v>0</v>
      </c>
      <c r="BH606" s="166">
        <v>0</v>
      </c>
      <c r="BI606" s="166">
        <v>0</v>
      </c>
      <c r="BJ606" s="166">
        <v>0</v>
      </c>
      <c r="BK606" s="166">
        <v>0</v>
      </c>
      <c r="BL606" s="166">
        <v>0</v>
      </c>
      <c r="BM606" s="166">
        <v>0</v>
      </c>
      <c r="BN606" s="166">
        <v>0</v>
      </c>
      <c r="BO606" s="166">
        <v>0</v>
      </c>
      <c r="BP606" s="166">
        <v>0</v>
      </c>
      <c r="BQ606" s="81" t="s">
        <v>1757</v>
      </c>
      <c r="BX606" s="81" t="s">
        <v>155</v>
      </c>
      <c r="BZ606" s="81" t="s">
        <v>155</v>
      </c>
      <c r="CA606" s="81" t="s">
        <v>3980</v>
      </c>
      <c r="CC606" s="167">
        <v>0</v>
      </c>
      <c r="CD606" s="167">
        <f>N606</f>
        <v>1</v>
      </c>
      <c r="CE606" s="167">
        <v>0</v>
      </c>
      <c r="CF606" s="167">
        <v>0</v>
      </c>
      <c r="CG606" s="167">
        <v>0</v>
      </c>
      <c r="CH606" s="167">
        <v>0</v>
      </c>
      <c r="CI606" s="167">
        <v>0</v>
      </c>
      <c r="CJ606" s="167">
        <v>0</v>
      </c>
      <c r="CK606" s="167">
        <v>0</v>
      </c>
      <c r="CL606" s="167">
        <v>0</v>
      </c>
      <c r="CM606" s="167">
        <v>0</v>
      </c>
      <c r="CN606" s="167">
        <v>0</v>
      </c>
      <c r="CO606" s="167">
        <v>0</v>
      </c>
      <c r="CP606" s="167">
        <v>0</v>
      </c>
      <c r="CQ606" s="167">
        <v>0</v>
      </c>
      <c r="CR606" s="167">
        <v>0</v>
      </c>
      <c r="CS606" s="167">
        <v>0</v>
      </c>
      <c r="CT606" s="167">
        <v>0</v>
      </c>
      <c r="CU606" s="167">
        <v>0</v>
      </c>
      <c r="CV606" s="167">
        <v>0</v>
      </c>
      <c r="CW606" s="167">
        <v>0</v>
      </c>
      <c r="CX606" s="167">
        <f>SUM(CD606:CH606)</f>
        <v>1</v>
      </c>
      <c r="CY606" s="167">
        <f>SUM(CD606:CM606)</f>
        <v>1</v>
      </c>
    </row>
    <row r="607" spans="1:103" ht="12.75" customHeight="1" x14ac:dyDescent="0.2">
      <c r="A607" s="81">
        <v>5968</v>
      </c>
      <c r="B607" s="165" t="s">
        <v>1908</v>
      </c>
      <c r="C607" s="165" t="s">
        <v>1734</v>
      </c>
      <c r="E607" s="165" t="s">
        <v>3571</v>
      </c>
      <c r="G607" s="81">
        <v>528235</v>
      </c>
      <c r="H607" s="81">
        <v>172781</v>
      </c>
      <c r="I607" s="165" t="s">
        <v>254</v>
      </c>
      <c r="J607" s="349">
        <v>42856</v>
      </c>
      <c r="L607" s="166">
        <v>0</v>
      </c>
      <c r="M607" s="166">
        <v>3</v>
      </c>
      <c r="N607" s="166">
        <v>3</v>
      </c>
      <c r="O607" s="166">
        <v>69</v>
      </c>
      <c r="P607" s="166">
        <v>69</v>
      </c>
      <c r="Q607" s="81" t="s">
        <v>155</v>
      </c>
      <c r="R607" s="165" t="s">
        <v>3572</v>
      </c>
      <c r="S607" s="81" t="s">
        <v>509</v>
      </c>
      <c r="T607" s="349">
        <v>42802</v>
      </c>
      <c r="U607" s="349">
        <v>42923</v>
      </c>
      <c r="V607" s="81" t="s">
        <v>155</v>
      </c>
      <c r="W607" s="81" t="s">
        <v>114</v>
      </c>
      <c r="Y607" s="81" t="s">
        <v>115</v>
      </c>
      <c r="Z607" s="81" t="s">
        <v>116</v>
      </c>
      <c r="AA607" s="81" t="s">
        <v>116</v>
      </c>
      <c r="AB607" s="81" t="s">
        <v>117</v>
      </c>
      <c r="AC607" s="166">
        <v>6.0000000521540598E-3</v>
      </c>
      <c r="AD607" s="349">
        <v>43190</v>
      </c>
      <c r="AE607" s="81" t="s">
        <v>155</v>
      </c>
      <c r="AG607" s="81" t="s">
        <v>154</v>
      </c>
      <c r="AH607" s="81" t="s">
        <v>276</v>
      </c>
      <c r="AK607" s="166">
        <v>0</v>
      </c>
      <c r="AL607" s="166">
        <v>3</v>
      </c>
      <c r="AM607" s="166">
        <v>0</v>
      </c>
      <c r="AN607" s="166">
        <v>0</v>
      </c>
      <c r="AO607" s="166">
        <v>0</v>
      </c>
      <c r="AP607" s="166">
        <v>0</v>
      </c>
      <c r="AQ607" s="166">
        <v>2</v>
      </c>
      <c r="AR607" s="166">
        <v>1</v>
      </c>
      <c r="AS607" s="166">
        <v>0</v>
      </c>
      <c r="AT607" s="166">
        <v>0</v>
      </c>
      <c r="AU607" s="166">
        <v>0</v>
      </c>
      <c r="AV607" s="166">
        <v>0</v>
      </c>
      <c r="AW607" s="166">
        <v>0</v>
      </c>
      <c r="AX607" s="166">
        <v>2</v>
      </c>
      <c r="AY607" s="166">
        <v>1</v>
      </c>
      <c r="AZ607" s="166">
        <v>0</v>
      </c>
      <c r="BA607" s="166">
        <v>0</v>
      </c>
      <c r="BB607" s="166">
        <v>0</v>
      </c>
      <c r="BC607" s="166">
        <v>0</v>
      </c>
      <c r="BD607" s="166">
        <v>0</v>
      </c>
      <c r="BE607" s="166">
        <v>0</v>
      </c>
      <c r="BF607" s="166">
        <v>0</v>
      </c>
      <c r="BG607" s="166">
        <v>0</v>
      </c>
      <c r="BH607" s="166">
        <v>0</v>
      </c>
      <c r="BI607" s="166">
        <v>0</v>
      </c>
      <c r="BJ607" s="166">
        <v>0</v>
      </c>
      <c r="BK607" s="166">
        <v>0</v>
      </c>
      <c r="BL607" s="166">
        <v>0</v>
      </c>
      <c r="BM607" s="166">
        <v>0</v>
      </c>
      <c r="BN607" s="166">
        <v>0</v>
      </c>
      <c r="BO607" s="166">
        <v>0</v>
      </c>
      <c r="BP607" s="166">
        <v>0</v>
      </c>
      <c r="BQ607" s="81" t="s">
        <v>1757</v>
      </c>
      <c r="BZ607" s="81" t="s">
        <v>155</v>
      </c>
      <c r="CA607" s="81" t="s">
        <v>3934</v>
      </c>
      <c r="CC607" s="167">
        <v>0</v>
      </c>
      <c r="CD607" s="167">
        <v>0</v>
      </c>
      <c r="CE607" s="167">
        <f>$N607/3</f>
        <v>1</v>
      </c>
      <c r="CF607" s="167">
        <f>$N607/3</f>
        <v>1</v>
      </c>
      <c r="CG607" s="167">
        <f>$N607/3</f>
        <v>1</v>
      </c>
      <c r="CH607" s="167">
        <v>0</v>
      </c>
      <c r="CI607" s="167">
        <v>0</v>
      </c>
      <c r="CJ607" s="167">
        <v>0</v>
      </c>
      <c r="CK607" s="167">
        <v>0</v>
      </c>
      <c r="CL607" s="167">
        <v>0</v>
      </c>
      <c r="CM607" s="167">
        <v>0</v>
      </c>
      <c r="CN607" s="167">
        <v>0</v>
      </c>
      <c r="CO607" s="167">
        <v>0</v>
      </c>
      <c r="CP607" s="167">
        <v>0</v>
      </c>
      <c r="CQ607" s="167">
        <v>0</v>
      </c>
      <c r="CR607" s="167">
        <v>0</v>
      </c>
      <c r="CS607" s="167">
        <v>0</v>
      </c>
      <c r="CT607" s="167">
        <v>0</v>
      </c>
      <c r="CU607" s="167">
        <v>0</v>
      </c>
      <c r="CV607" s="167">
        <v>0</v>
      </c>
      <c r="CW607" s="167">
        <v>0</v>
      </c>
      <c r="CX607" s="167">
        <f>SUM(CD607:CH607)</f>
        <v>3</v>
      </c>
      <c r="CY607" s="167">
        <f>SUM(CD607:CM607)</f>
        <v>3</v>
      </c>
    </row>
    <row r="608" spans="1:103" ht="12.75" customHeight="1" x14ac:dyDescent="0.2">
      <c r="A608" s="81">
        <v>5968</v>
      </c>
      <c r="B608" s="165" t="s">
        <v>1908</v>
      </c>
      <c r="C608" s="165" t="s">
        <v>1734</v>
      </c>
      <c r="E608" s="165" t="s">
        <v>3571</v>
      </c>
      <c r="G608" s="81">
        <v>528235</v>
      </c>
      <c r="H608" s="81">
        <v>172781</v>
      </c>
      <c r="I608" s="165" t="s">
        <v>254</v>
      </c>
      <c r="J608" s="349">
        <v>42856</v>
      </c>
      <c r="L608" s="166">
        <v>0</v>
      </c>
      <c r="M608" s="166">
        <v>2</v>
      </c>
      <c r="N608" s="166">
        <v>2</v>
      </c>
      <c r="O608" s="166">
        <v>69</v>
      </c>
      <c r="P608" s="166">
        <v>69</v>
      </c>
      <c r="Q608" s="81" t="s">
        <v>155</v>
      </c>
      <c r="R608" s="165" t="s">
        <v>3572</v>
      </c>
      <c r="S608" s="81" t="s">
        <v>509</v>
      </c>
      <c r="T608" s="349">
        <v>42802</v>
      </c>
      <c r="U608" s="349">
        <v>42923</v>
      </c>
      <c r="V608" s="81" t="s">
        <v>155</v>
      </c>
      <c r="W608" s="81" t="s">
        <v>114</v>
      </c>
      <c r="Y608" s="81" t="s">
        <v>115</v>
      </c>
      <c r="Z608" s="81" t="s">
        <v>116</v>
      </c>
      <c r="AA608" s="81" t="s">
        <v>116</v>
      </c>
      <c r="AB608" s="81" t="s">
        <v>117</v>
      </c>
      <c r="AC608" s="166">
        <v>4.0000001899898104E-3</v>
      </c>
      <c r="AD608" s="349">
        <v>43190</v>
      </c>
      <c r="AE608" s="81" t="s">
        <v>155</v>
      </c>
      <c r="AG608" s="81" t="s">
        <v>74</v>
      </c>
      <c r="AH608" s="81" t="s">
        <v>990</v>
      </c>
      <c r="AK608" s="166">
        <v>0</v>
      </c>
      <c r="AL608" s="166">
        <v>2</v>
      </c>
      <c r="AM608" s="166">
        <v>0</v>
      </c>
      <c r="AO608" s="166">
        <v>0</v>
      </c>
      <c r="AP608" s="166">
        <v>1</v>
      </c>
      <c r="AQ608" s="166">
        <v>1</v>
      </c>
      <c r="AR608" s="166">
        <v>0</v>
      </c>
      <c r="AS608" s="166">
        <v>0</v>
      </c>
      <c r="AT608" s="166">
        <v>0</v>
      </c>
      <c r="AU608" s="166">
        <v>0</v>
      </c>
      <c r="AV608" s="166">
        <v>0</v>
      </c>
      <c r="AW608" s="166">
        <v>1</v>
      </c>
      <c r="AX608" s="166">
        <v>1</v>
      </c>
      <c r="AY608" s="166">
        <v>0</v>
      </c>
      <c r="AZ608" s="166">
        <v>0</v>
      </c>
      <c r="BA608" s="166">
        <v>0</v>
      </c>
      <c r="BB608" s="166">
        <v>0</v>
      </c>
      <c r="BC608" s="166">
        <v>0</v>
      </c>
      <c r="BD608" s="166">
        <v>0</v>
      </c>
      <c r="BE608" s="166">
        <v>0</v>
      </c>
      <c r="BF608" s="166">
        <v>0</v>
      </c>
      <c r="BG608" s="166">
        <v>0</v>
      </c>
      <c r="BH608" s="166">
        <v>0</v>
      </c>
      <c r="BI608" s="166">
        <v>0</v>
      </c>
      <c r="BJ608" s="166">
        <v>0</v>
      </c>
      <c r="BK608" s="166">
        <v>0</v>
      </c>
      <c r="BL608" s="166">
        <v>0</v>
      </c>
      <c r="BM608" s="166">
        <v>0</v>
      </c>
      <c r="BN608" s="166">
        <v>0</v>
      </c>
      <c r="BO608" s="166">
        <v>0</v>
      </c>
      <c r="BP608" s="166">
        <v>0</v>
      </c>
      <c r="BQ608" s="81" t="s">
        <v>1757</v>
      </c>
      <c r="BZ608" s="81" t="s">
        <v>155</v>
      </c>
      <c r="CA608" s="81" t="s">
        <v>3934</v>
      </c>
      <c r="CC608" s="167">
        <v>0</v>
      </c>
      <c r="CD608" s="167">
        <v>0</v>
      </c>
      <c r="CE608" s="167">
        <f>$N608/3</f>
        <v>0.66666666666666663</v>
      </c>
      <c r="CF608" s="167">
        <f>$N608/3</f>
        <v>0.66666666666666663</v>
      </c>
      <c r="CG608" s="167">
        <f>$N608/3</f>
        <v>0.66666666666666663</v>
      </c>
      <c r="CH608" s="167">
        <v>0</v>
      </c>
      <c r="CI608" s="167">
        <v>0</v>
      </c>
      <c r="CJ608" s="167">
        <v>0</v>
      </c>
      <c r="CK608" s="167">
        <v>0</v>
      </c>
      <c r="CL608" s="167">
        <v>0</v>
      </c>
      <c r="CM608" s="167">
        <v>0</v>
      </c>
      <c r="CN608" s="167">
        <v>0</v>
      </c>
      <c r="CO608" s="167">
        <v>0</v>
      </c>
      <c r="CP608" s="167">
        <v>0</v>
      </c>
      <c r="CQ608" s="167">
        <v>0</v>
      </c>
      <c r="CR608" s="167">
        <v>0</v>
      </c>
      <c r="CS608" s="167">
        <v>0</v>
      </c>
      <c r="CT608" s="167">
        <v>0</v>
      </c>
      <c r="CU608" s="167">
        <v>0</v>
      </c>
      <c r="CV608" s="167">
        <v>0</v>
      </c>
      <c r="CW608" s="167">
        <v>0</v>
      </c>
      <c r="CX608" s="167">
        <f>SUM(CD608:CH608)</f>
        <v>2</v>
      </c>
      <c r="CY608" s="167">
        <f>SUM(CD608:CM608)</f>
        <v>2</v>
      </c>
    </row>
    <row r="609" spans="1:103" ht="12.75" customHeight="1" x14ac:dyDescent="0.2">
      <c r="A609" s="81">
        <v>5968</v>
      </c>
      <c r="B609" s="165" t="s">
        <v>1908</v>
      </c>
      <c r="C609" s="165" t="s">
        <v>3576</v>
      </c>
      <c r="E609" s="165" t="s">
        <v>3571</v>
      </c>
      <c r="G609" s="81">
        <v>528235</v>
      </c>
      <c r="H609" s="81">
        <v>172781</v>
      </c>
      <c r="I609" s="165" t="s">
        <v>254</v>
      </c>
      <c r="J609" s="349">
        <v>42856</v>
      </c>
      <c r="L609" s="166">
        <v>0</v>
      </c>
      <c r="M609" s="166">
        <v>64</v>
      </c>
      <c r="N609" s="166">
        <v>64</v>
      </c>
      <c r="O609" s="166">
        <v>64</v>
      </c>
      <c r="P609" s="166">
        <v>64</v>
      </c>
      <c r="Q609" s="81" t="s">
        <v>155</v>
      </c>
      <c r="R609" s="165" t="s">
        <v>3577</v>
      </c>
      <c r="S609" s="81" t="s">
        <v>509</v>
      </c>
      <c r="T609" s="349">
        <v>43056</v>
      </c>
      <c r="U609" s="349">
        <v>43166</v>
      </c>
      <c r="V609" s="81" t="s">
        <v>155</v>
      </c>
      <c r="W609" s="81" t="s">
        <v>114</v>
      </c>
      <c r="Y609" s="81" t="s">
        <v>115</v>
      </c>
      <c r="Z609" s="81" t="s">
        <v>116</v>
      </c>
      <c r="AA609" s="81" t="s">
        <v>116</v>
      </c>
      <c r="AB609" s="81" t="s">
        <v>117</v>
      </c>
      <c r="AC609" s="166">
        <v>0.123000003397465</v>
      </c>
      <c r="AD609" s="349">
        <v>43190</v>
      </c>
      <c r="AE609" s="81" t="s">
        <v>155</v>
      </c>
      <c r="AG609" s="81" t="s">
        <v>238</v>
      </c>
      <c r="AH609" s="81" t="s">
        <v>118</v>
      </c>
      <c r="AK609" s="166">
        <v>0</v>
      </c>
      <c r="AL609" s="166">
        <v>58</v>
      </c>
      <c r="AM609" s="166">
        <v>0</v>
      </c>
      <c r="AN609" s="166">
        <v>6</v>
      </c>
      <c r="AO609" s="166">
        <v>0</v>
      </c>
      <c r="AP609" s="166">
        <v>20</v>
      </c>
      <c r="AQ609" s="166">
        <v>36</v>
      </c>
      <c r="AR609" s="166">
        <v>7</v>
      </c>
      <c r="AS609" s="166">
        <v>1</v>
      </c>
      <c r="AT609" s="166">
        <v>0</v>
      </c>
      <c r="AU609" s="166">
        <v>0</v>
      </c>
      <c r="AV609" s="166">
        <v>0</v>
      </c>
      <c r="AW609" s="166">
        <v>20</v>
      </c>
      <c r="AX609" s="166">
        <v>36</v>
      </c>
      <c r="AY609" s="166">
        <v>7</v>
      </c>
      <c r="AZ609" s="166">
        <v>1</v>
      </c>
      <c r="BA609" s="166">
        <v>0</v>
      </c>
      <c r="BB609" s="166">
        <v>0</v>
      </c>
      <c r="BC609" s="166">
        <v>0</v>
      </c>
      <c r="BD609" s="166">
        <v>0</v>
      </c>
      <c r="BE609" s="166">
        <v>0</v>
      </c>
      <c r="BF609" s="166">
        <v>0</v>
      </c>
      <c r="BG609" s="166">
        <v>0</v>
      </c>
      <c r="BH609" s="166">
        <v>0</v>
      </c>
      <c r="BI609" s="166">
        <v>0</v>
      </c>
      <c r="BJ609" s="166">
        <v>0</v>
      </c>
      <c r="BK609" s="166">
        <v>0</v>
      </c>
      <c r="BL609" s="166">
        <v>0</v>
      </c>
      <c r="BM609" s="166">
        <v>0</v>
      </c>
      <c r="BN609" s="166">
        <v>0</v>
      </c>
      <c r="BO609" s="166">
        <v>0</v>
      </c>
      <c r="BP609" s="166">
        <v>0</v>
      </c>
      <c r="BQ609" s="81" t="s">
        <v>1757</v>
      </c>
      <c r="BZ609" s="81" t="s">
        <v>155</v>
      </c>
      <c r="CA609" s="81" t="s">
        <v>3934</v>
      </c>
      <c r="CC609" s="167">
        <v>0</v>
      </c>
      <c r="CD609" s="167">
        <v>0</v>
      </c>
      <c r="CE609" s="167">
        <f>$N609/3</f>
        <v>21.333333333333332</v>
      </c>
      <c r="CF609" s="167">
        <f>$N609/3</f>
        <v>21.333333333333332</v>
      </c>
      <c r="CG609" s="167">
        <f>$N609/3</f>
        <v>21.333333333333332</v>
      </c>
      <c r="CH609" s="167">
        <v>0</v>
      </c>
      <c r="CI609" s="167">
        <v>0</v>
      </c>
      <c r="CJ609" s="167">
        <v>0</v>
      </c>
      <c r="CK609" s="167">
        <v>0</v>
      </c>
      <c r="CL609" s="167">
        <v>0</v>
      </c>
      <c r="CM609" s="167">
        <v>0</v>
      </c>
      <c r="CN609" s="167">
        <v>0</v>
      </c>
      <c r="CO609" s="167">
        <v>0</v>
      </c>
      <c r="CP609" s="167">
        <v>0</v>
      </c>
      <c r="CQ609" s="167">
        <v>0</v>
      </c>
      <c r="CR609" s="167">
        <v>0</v>
      </c>
      <c r="CS609" s="167">
        <v>0</v>
      </c>
      <c r="CT609" s="167">
        <v>0</v>
      </c>
      <c r="CU609" s="167">
        <v>0</v>
      </c>
      <c r="CV609" s="167">
        <v>0</v>
      </c>
      <c r="CW609" s="167">
        <v>0</v>
      </c>
      <c r="CX609" s="167">
        <f>SUM(CD609:CH609)</f>
        <v>64</v>
      </c>
      <c r="CY609" s="167">
        <f>SUM(CD609:CM609)</f>
        <v>64</v>
      </c>
    </row>
    <row r="610" spans="1:103" ht="12.75" customHeight="1" x14ac:dyDescent="0.2">
      <c r="A610" s="81">
        <v>6002</v>
      </c>
      <c r="B610" s="165" t="s">
        <v>1908</v>
      </c>
      <c r="C610" s="165" t="s">
        <v>585</v>
      </c>
      <c r="E610" s="165" t="s">
        <v>3605</v>
      </c>
      <c r="G610" s="81">
        <v>526733</v>
      </c>
      <c r="H610" s="81">
        <v>174909</v>
      </c>
      <c r="I610" s="165" t="s">
        <v>251</v>
      </c>
      <c r="J610" s="349">
        <v>42825</v>
      </c>
      <c r="L610" s="166">
        <v>2</v>
      </c>
      <c r="M610" s="166">
        <v>2</v>
      </c>
      <c r="N610" s="166">
        <v>0</v>
      </c>
      <c r="O610" s="166">
        <v>2</v>
      </c>
      <c r="P610" s="166">
        <v>0</v>
      </c>
      <c r="R610" s="165" t="s">
        <v>586</v>
      </c>
      <c r="S610" s="81" t="s">
        <v>113</v>
      </c>
      <c r="T610" s="349">
        <v>42173</v>
      </c>
      <c r="U610" s="349">
        <v>42297</v>
      </c>
      <c r="W610" s="81" t="s">
        <v>114</v>
      </c>
      <c r="Y610" s="81" t="s">
        <v>115</v>
      </c>
      <c r="Z610" s="81" t="s">
        <v>116</v>
      </c>
      <c r="AA610" s="81" t="s">
        <v>117</v>
      </c>
      <c r="AB610" s="81" t="s">
        <v>218</v>
      </c>
      <c r="AC610" s="166">
        <v>3.4000001847744002E-2</v>
      </c>
      <c r="AD610" s="349">
        <v>42825</v>
      </c>
      <c r="AG610" s="81" t="s">
        <v>238</v>
      </c>
      <c r="AH610" s="81" t="s">
        <v>118</v>
      </c>
      <c r="AK610" s="166">
        <v>2</v>
      </c>
      <c r="AM610" s="166">
        <v>0</v>
      </c>
      <c r="AO610" s="166">
        <v>0</v>
      </c>
      <c r="AP610" s="166">
        <v>-1</v>
      </c>
      <c r="AQ610" s="166">
        <v>-1</v>
      </c>
      <c r="AR610" s="166">
        <v>0</v>
      </c>
      <c r="AS610" s="166">
        <v>2</v>
      </c>
      <c r="AT610" s="166">
        <v>0</v>
      </c>
      <c r="AU610" s="166">
        <v>0</v>
      </c>
      <c r="AV610" s="166">
        <v>0</v>
      </c>
      <c r="AW610" s="166">
        <v>0</v>
      </c>
      <c r="AX610" s="166">
        <v>0</v>
      </c>
      <c r="AY610" s="166">
        <v>0</v>
      </c>
      <c r="AZ610" s="166">
        <v>0</v>
      </c>
      <c r="BA610" s="166">
        <v>0</v>
      </c>
      <c r="BB610" s="166">
        <v>0</v>
      </c>
      <c r="BC610" s="166">
        <v>0</v>
      </c>
      <c r="BD610" s="166">
        <v>-1</v>
      </c>
      <c r="BE610" s="166">
        <v>-1</v>
      </c>
      <c r="BF610" s="166">
        <v>0</v>
      </c>
      <c r="BG610" s="166">
        <v>2</v>
      </c>
      <c r="BH610" s="166">
        <v>0</v>
      </c>
      <c r="BI610" s="166">
        <v>0</v>
      </c>
      <c r="BJ610" s="166">
        <v>0</v>
      </c>
      <c r="BK610" s="166">
        <v>0</v>
      </c>
      <c r="BL610" s="166">
        <v>0</v>
      </c>
      <c r="BM610" s="166">
        <v>0</v>
      </c>
      <c r="BN610" s="166">
        <v>0</v>
      </c>
      <c r="BO610" s="166">
        <v>0</v>
      </c>
      <c r="BP610" s="166">
        <v>0</v>
      </c>
      <c r="BQ610" s="81" t="s">
        <v>1758</v>
      </c>
      <c r="BZ610" s="81" t="s">
        <v>155</v>
      </c>
      <c r="CA610" s="81" t="s">
        <v>3976</v>
      </c>
      <c r="CC610" s="167">
        <v>0</v>
      </c>
      <c r="CD610" s="167">
        <f>N610</f>
        <v>0</v>
      </c>
      <c r="CE610" s="167">
        <v>0</v>
      </c>
      <c r="CF610" s="167">
        <v>0</v>
      </c>
      <c r="CG610" s="167">
        <v>0</v>
      </c>
      <c r="CH610" s="167">
        <v>0</v>
      </c>
      <c r="CI610" s="167">
        <v>0</v>
      </c>
      <c r="CJ610" s="167">
        <v>0</v>
      </c>
      <c r="CK610" s="167">
        <v>0</v>
      </c>
      <c r="CL610" s="167">
        <v>0</v>
      </c>
      <c r="CM610" s="167">
        <v>0</v>
      </c>
      <c r="CN610" s="167">
        <v>0</v>
      </c>
      <c r="CO610" s="167">
        <v>0</v>
      </c>
      <c r="CP610" s="167">
        <v>0</v>
      </c>
      <c r="CQ610" s="167">
        <v>0</v>
      </c>
      <c r="CR610" s="167">
        <v>0</v>
      </c>
      <c r="CS610" s="167">
        <v>0</v>
      </c>
      <c r="CT610" s="167">
        <v>0</v>
      </c>
      <c r="CU610" s="167">
        <v>0</v>
      </c>
      <c r="CV610" s="167">
        <v>0</v>
      </c>
      <c r="CW610" s="167">
        <v>0</v>
      </c>
      <c r="CX610" s="167">
        <f>SUM(CD610:CH610)</f>
        <v>0</v>
      </c>
      <c r="CY610" s="167">
        <f>SUM(CD610:CM610)</f>
        <v>0</v>
      </c>
    </row>
    <row r="611" spans="1:103" x14ac:dyDescent="0.2">
      <c r="A611" s="81">
        <v>6006</v>
      </c>
      <c r="B611" s="165" t="s">
        <v>1908</v>
      </c>
      <c r="C611" s="165" t="s">
        <v>780</v>
      </c>
      <c r="E611" s="165" t="s">
        <v>3606</v>
      </c>
      <c r="G611" s="81">
        <v>524739</v>
      </c>
      <c r="H611" s="81">
        <v>174137</v>
      </c>
      <c r="I611" s="165" t="s">
        <v>250</v>
      </c>
      <c r="J611" s="349">
        <v>42937</v>
      </c>
      <c r="L611" s="166">
        <v>0</v>
      </c>
      <c r="M611" s="166">
        <v>1</v>
      </c>
      <c r="N611" s="166">
        <v>1</v>
      </c>
      <c r="O611" s="166">
        <v>1</v>
      </c>
      <c r="P611" s="166">
        <v>1</v>
      </c>
      <c r="R611" s="165" t="s">
        <v>1687</v>
      </c>
      <c r="S611" s="81" t="s">
        <v>113</v>
      </c>
      <c r="T611" s="349">
        <v>42482</v>
      </c>
      <c r="U611" s="349">
        <v>42719</v>
      </c>
      <c r="W611" s="81" t="s">
        <v>114</v>
      </c>
      <c r="Y611" s="81" t="s">
        <v>115</v>
      </c>
      <c r="Z611" s="81" t="s">
        <v>116</v>
      </c>
      <c r="AA611" s="81" t="s">
        <v>117</v>
      </c>
      <c r="AB611" s="81" t="s">
        <v>218</v>
      </c>
      <c r="AC611" s="166">
        <v>2.70000007003546E-2</v>
      </c>
      <c r="AD611" s="349">
        <v>42937</v>
      </c>
      <c r="AE611" s="81" t="s">
        <v>155</v>
      </c>
      <c r="AG611" s="81" t="s">
        <v>238</v>
      </c>
      <c r="AH611" s="81" t="s">
        <v>118</v>
      </c>
      <c r="AK611" s="166">
        <v>1</v>
      </c>
      <c r="AM611" s="166">
        <v>0</v>
      </c>
      <c r="AO611" s="166">
        <v>0</v>
      </c>
      <c r="AP611" s="166">
        <v>0</v>
      </c>
      <c r="AQ611" s="166">
        <v>0</v>
      </c>
      <c r="AR611" s="166">
        <v>0</v>
      </c>
      <c r="AS611" s="166">
        <v>1</v>
      </c>
      <c r="AT611" s="166">
        <v>0</v>
      </c>
      <c r="AU611" s="166">
        <v>0</v>
      </c>
      <c r="AV611" s="166">
        <v>0</v>
      </c>
      <c r="AW611" s="166">
        <v>0</v>
      </c>
      <c r="AX611" s="166">
        <v>0</v>
      </c>
      <c r="AY611" s="166">
        <v>0</v>
      </c>
      <c r="AZ611" s="166">
        <v>0</v>
      </c>
      <c r="BA611" s="166">
        <v>0</v>
      </c>
      <c r="BB611" s="166">
        <v>0</v>
      </c>
      <c r="BC611" s="166">
        <v>0</v>
      </c>
      <c r="BD611" s="166">
        <v>0</v>
      </c>
      <c r="BE611" s="166">
        <v>0</v>
      </c>
      <c r="BF611" s="166">
        <v>0</v>
      </c>
      <c r="BG611" s="166">
        <v>1</v>
      </c>
      <c r="BH611" s="166">
        <v>0</v>
      </c>
      <c r="BI611" s="166">
        <v>0</v>
      </c>
      <c r="BJ611" s="166">
        <v>0</v>
      </c>
      <c r="BK611" s="166">
        <v>0</v>
      </c>
      <c r="BL611" s="166">
        <v>0</v>
      </c>
      <c r="BM611" s="166">
        <v>0</v>
      </c>
      <c r="BN611" s="166">
        <v>0</v>
      </c>
      <c r="BO611" s="166">
        <v>0</v>
      </c>
      <c r="BP611" s="166">
        <v>0</v>
      </c>
      <c r="BQ611" s="81" t="s">
        <v>1758</v>
      </c>
      <c r="BZ611" s="81" t="s">
        <v>155</v>
      </c>
      <c r="CA611" s="81" t="s">
        <v>3976</v>
      </c>
      <c r="CC611" s="167">
        <v>0</v>
      </c>
      <c r="CD611" s="167">
        <f>N611</f>
        <v>1</v>
      </c>
      <c r="CE611" s="167">
        <v>0</v>
      </c>
      <c r="CF611" s="167">
        <v>0</v>
      </c>
      <c r="CG611" s="167">
        <v>0</v>
      </c>
      <c r="CH611" s="167">
        <v>0</v>
      </c>
      <c r="CI611" s="167">
        <v>0</v>
      </c>
      <c r="CJ611" s="167">
        <v>0</v>
      </c>
      <c r="CK611" s="167">
        <v>0</v>
      </c>
      <c r="CL611" s="167">
        <v>0</v>
      </c>
      <c r="CM611" s="167">
        <v>0</v>
      </c>
      <c r="CN611" s="167">
        <v>0</v>
      </c>
      <c r="CO611" s="167">
        <v>0</v>
      </c>
      <c r="CP611" s="167">
        <v>0</v>
      </c>
      <c r="CQ611" s="167">
        <v>0</v>
      </c>
      <c r="CR611" s="167">
        <v>0</v>
      </c>
      <c r="CS611" s="167">
        <v>0</v>
      </c>
      <c r="CT611" s="167">
        <v>0</v>
      </c>
      <c r="CU611" s="167">
        <v>0</v>
      </c>
      <c r="CV611" s="167">
        <v>0</v>
      </c>
      <c r="CW611" s="167">
        <v>0</v>
      </c>
      <c r="CX611" s="167">
        <f>SUM(CD611:CH611)</f>
        <v>1</v>
      </c>
      <c r="CY611" s="167">
        <f>SUM(CD611:CM611)</f>
        <v>1</v>
      </c>
    </row>
    <row r="612" spans="1:103" ht="12.75" customHeight="1" x14ac:dyDescent="0.2">
      <c r="A612" s="81">
        <v>6015</v>
      </c>
      <c r="B612" s="165" t="s">
        <v>1908</v>
      </c>
      <c r="C612" s="165" t="s">
        <v>522</v>
      </c>
      <c r="E612" s="165" t="s">
        <v>3609</v>
      </c>
      <c r="G612" s="81">
        <v>521171</v>
      </c>
      <c r="H612" s="81">
        <v>174446</v>
      </c>
      <c r="I612" s="165" t="s">
        <v>877</v>
      </c>
      <c r="J612" s="349">
        <v>42125</v>
      </c>
      <c r="L612" s="166">
        <v>1</v>
      </c>
      <c r="M612" s="166">
        <v>1</v>
      </c>
      <c r="N612" s="166">
        <v>0</v>
      </c>
      <c r="O612" s="166">
        <v>1</v>
      </c>
      <c r="P612" s="166">
        <v>0</v>
      </c>
      <c r="R612" s="165" t="s">
        <v>523</v>
      </c>
      <c r="S612" s="81" t="s">
        <v>113</v>
      </c>
      <c r="T612" s="349">
        <v>42188</v>
      </c>
      <c r="U612" s="349">
        <v>42263</v>
      </c>
      <c r="W612" s="81" t="s">
        <v>114</v>
      </c>
      <c r="Y612" s="81" t="s">
        <v>115</v>
      </c>
      <c r="Z612" s="81" t="s">
        <v>116</v>
      </c>
      <c r="AA612" s="81" t="s">
        <v>117</v>
      </c>
      <c r="AB612" s="81" t="s">
        <v>218</v>
      </c>
      <c r="AC612" s="166">
        <v>0.11200000345706899</v>
      </c>
      <c r="AD612" s="349">
        <v>42125</v>
      </c>
      <c r="AG612" s="81" t="s">
        <v>238</v>
      </c>
      <c r="AH612" s="81" t="s">
        <v>118</v>
      </c>
      <c r="AK612" s="166">
        <v>1</v>
      </c>
      <c r="AM612" s="166">
        <v>0</v>
      </c>
      <c r="AO612" s="166">
        <v>0</v>
      </c>
      <c r="AP612" s="166">
        <v>0</v>
      </c>
      <c r="AQ612" s="166">
        <v>0</v>
      </c>
      <c r="AR612" s="166">
        <v>0</v>
      </c>
      <c r="AS612" s="166">
        <v>-1</v>
      </c>
      <c r="AT612" s="166">
        <v>1</v>
      </c>
      <c r="AU612" s="166">
        <v>0</v>
      </c>
      <c r="AV612" s="166">
        <v>0</v>
      </c>
      <c r="AW612" s="166">
        <v>0</v>
      </c>
      <c r="AX612" s="166">
        <v>0</v>
      </c>
      <c r="AY612" s="166">
        <v>0</v>
      </c>
      <c r="AZ612" s="166">
        <v>0</v>
      </c>
      <c r="BA612" s="166">
        <v>0</v>
      </c>
      <c r="BB612" s="166">
        <v>0</v>
      </c>
      <c r="BC612" s="166">
        <v>0</v>
      </c>
      <c r="BD612" s="166">
        <v>0</v>
      </c>
      <c r="BE612" s="166">
        <v>0</v>
      </c>
      <c r="BF612" s="166">
        <v>0</v>
      </c>
      <c r="BG612" s="166">
        <v>-1</v>
      </c>
      <c r="BH612" s="166">
        <v>1</v>
      </c>
      <c r="BI612" s="166">
        <v>0</v>
      </c>
      <c r="BJ612" s="166">
        <v>0</v>
      </c>
      <c r="BK612" s="166">
        <v>0</v>
      </c>
      <c r="BL612" s="166">
        <v>0</v>
      </c>
      <c r="BM612" s="166">
        <v>0</v>
      </c>
      <c r="BN612" s="166">
        <v>0</v>
      </c>
      <c r="BO612" s="166">
        <v>0</v>
      </c>
      <c r="BP612" s="166">
        <v>0</v>
      </c>
      <c r="BQ612" s="81" t="s">
        <v>1758</v>
      </c>
      <c r="BZ612" s="81" t="s">
        <v>155</v>
      </c>
      <c r="CA612" s="81" t="s">
        <v>3976</v>
      </c>
      <c r="CC612" s="167">
        <v>0</v>
      </c>
      <c r="CD612" s="167">
        <f>N612</f>
        <v>0</v>
      </c>
      <c r="CE612" s="167">
        <v>0</v>
      </c>
      <c r="CF612" s="167">
        <v>0</v>
      </c>
      <c r="CG612" s="167">
        <v>0</v>
      </c>
      <c r="CH612" s="167">
        <v>0</v>
      </c>
      <c r="CI612" s="167">
        <v>0</v>
      </c>
      <c r="CJ612" s="167">
        <v>0</v>
      </c>
      <c r="CK612" s="167">
        <v>0</v>
      </c>
      <c r="CL612" s="167">
        <v>0</v>
      </c>
      <c r="CM612" s="167">
        <v>0</v>
      </c>
      <c r="CN612" s="167">
        <v>0</v>
      </c>
      <c r="CO612" s="167">
        <v>0</v>
      </c>
      <c r="CP612" s="167">
        <v>0</v>
      </c>
      <c r="CQ612" s="167">
        <v>0</v>
      </c>
      <c r="CR612" s="167">
        <v>0</v>
      </c>
      <c r="CS612" s="167">
        <v>0</v>
      </c>
      <c r="CT612" s="167">
        <v>0</v>
      </c>
      <c r="CU612" s="167">
        <v>0</v>
      </c>
      <c r="CV612" s="167">
        <v>0</v>
      </c>
      <c r="CW612" s="167">
        <v>0</v>
      </c>
      <c r="CX612" s="167">
        <f>SUM(CD612:CH612)</f>
        <v>0</v>
      </c>
      <c r="CY612" s="167">
        <f>SUM(CD612:CM612)</f>
        <v>0</v>
      </c>
    </row>
    <row r="613" spans="1:103" ht="12.75" customHeight="1" x14ac:dyDescent="0.2">
      <c r="A613" s="81">
        <v>6027</v>
      </c>
      <c r="B613" s="165" t="s">
        <v>1908</v>
      </c>
      <c r="C613" s="165" t="s">
        <v>624</v>
      </c>
      <c r="E613" s="165" t="s">
        <v>3610</v>
      </c>
      <c r="G613" s="81">
        <v>527409</v>
      </c>
      <c r="H613" s="81">
        <v>171118</v>
      </c>
      <c r="I613" s="165" t="s">
        <v>253</v>
      </c>
      <c r="J613" s="349">
        <v>42789</v>
      </c>
      <c r="L613" s="166">
        <v>0</v>
      </c>
      <c r="M613" s="166">
        <v>2</v>
      </c>
      <c r="N613" s="166">
        <v>2</v>
      </c>
      <c r="O613" s="166">
        <v>2</v>
      </c>
      <c r="P613" s="166">
        <v>2</v>
      </c>
      <c r="R613" s="165" t="s">
        <v>625</v>
      </c>
      <c r="S613" s="81" t="s">
        <v>113</v>
      </c>
      <c r="T613" s="349">
        <v>42226</v>
      </c>
      <c r="U613" s="349">
        <v>42282</v>
      </c>
      <c r="W613" s="81" t="s">
        <v>114</v>
      </c>
      <c r="Y613" s="81" t="s">
        <v>115</v>
      </c>
      <c r="Z613" s="81" t="s">
        <v>116</v>
      </c>
      <c r="AA613" s="81" t="s">
        <v>117</v>
      </c>
      <c r="AB613" s="81" t="s">
        <v>218</v>
      </c>
      <c r="AC613" s="166">
        <v>2.8999999165535001E-2</v>
      </c>
      <c r="AD613" s="349">
        <v>42789</v>
      </c>
      <c r="AG613" s="81" t="s">
        <v>154</v>
      </c>
      <c r="AH613" s="81" t="s">
        <v>38</v>
      </c>
      <c r="AK613" s="166">
        <v>2</v>
      </c>
      <c r="AM613" s="166">
        <v>0</v>
      </c>
      <c r="AO613" s="166">
        <v>0</v>
      </c>
      <c r="AP613" s="166">
        <v>0</v>
      </c>
      <c r="AQ613" s="166">
        <v>0</v>
      </c>
      <c r="AR613" s="166">
        <v>2</v>
      </c>
      <c r="AS613" s="166">
        <v>0</v>
      </c>
      <c r="AT613" s="166">
        <v>0</v>
      </c>
      <c r="AU613" s="166">
        <v>0</v>
      </c>
      <c r="AV613" s="166">
        <v>0</v>
      </c>
      <c r="AW613" s="166">
        <v>0</v>
      </c>
      <c r="AX613" s="166">
        <v>0</v>
      </c>
      <c r="AY613" s="166">
        <v>0</v>
      </c>
      <c r="AZ613" s="166">
        <v>0</v>
      </c>
      <c r="BA613" s="166">
        <v>0</v>
      </c>
      <c r="BB613" s="166">
        <v>0</v>
      </c>
      <c r="BC613" s="166">
        <v>0</v>
      </c>
      <c r="BD613" s="166">
        <v>0</v>
      </c>
      <c r="BE613" s="166">
        <v>0</v>
      </c>
      <c r="BF613" s="166">
        <v>2</v>
      </c>
      <c r="BG613" s="166">
        <v>0</v>
      </c>
      <c r="BH613" s="166">
        <v>0</v>
      </c>
      <c r="BI613" s="166">
        <v>0</v>
      </c>
      <c r="BJ613" s="166">
        <v>0</v>
      </c>
      <c r="BK613" s="166">
        <v>0</v>
      </c>
      <c r="BL613" s="166">
        <v>0</v>
      </c>
      <c r="BM613" s="166">
        <v>0</v>
      </c>
      <c r="BN613" s="166">
        <v>0</v>
      </c>
      <c r="BO613" s="166">
        <v>0</v>
      </c>
      <c r="BP613" s="166">
        <v>0</v>
      </c>
      <c r="BQ613" s="81" t="s">
        <v>1757</v>
      </c>
      <c r="BZ613" s="81" t="s">
        <v>155</v>
      </c>
      <c r="CA613" s="81" t="s">
        <v>3976</v>
      </c>
      <c r="CC613" s="167">
        <v>0</v>
      </c>
      <c r="CD613" s="167">
        <f>N613</f>
        <v>2</v>
      </c>
      <c r="CE613" s="167">
        <v>0</v>
      </c>
      <c r="CF613" s="167">
        <v>0</v>
      </c>
      <c r="CG613" s="167">
        <v>0</v>
      </c>
      <c r="CH613" s="167">
        <v>0</v>
      </c>
      <c r="CI613" s="167">
        <v>0</v>
      </c>
      <c r="CJ613" s="167">
        <v>0</v>
      </c>
      <c r="CK613" s="167">
        <v>0</v>
      </c>
      <c r="CL613" s="167">
        <v>0</v>
      </c>
      <c r="CM613" s="167">
        <v>0</v>
      </c>
      <c r="CN613" s="167">
        <v>0</v>
      </c>
      <c r="CO613" s="167">
        <v>0</v>
      </c>
      <c r="CP613" s="167">
        <v>0</v>
      </c>
      <c r="CQ613" s="167">
        <v>0</v>
      </c>
      <c r="CR613" s="167">
        <v>0</v>
      </c>
      <c r="CS613" s="167">
        <v>0</v>
      </c>
      <c r="CT613" s="167">
        <v>0</v>
      </c>
      <c r="CU613" s="167">
        <v>0</v>
      </c>
      <c r="CV613" s="167">
        <v>0</v>
      </c>
      <c r="CW613" s="167">
        <v>0</v>
      </c>
      <c r="CX613" s="167">
        <f>SUM(CD613:CH613)</f>
        <v>2</v>
      </c>
      <c r="CY613" s="167">
        <f>SUM(CD613:CM613)</f>
        <v>2</v>
      </c>
    </row>
    <row r="614" spans="1:103" ht="12.75" customHeight="1" x14ac:dyDescent="0.2">
      <c r="A614" s="81">
        <v>6040</v>
      </c>
      <c r="B614" s="165" t="s">
        <v>1908</v>
      </c>
      <c r="C614" s="165" t="s">
        <v>776</v>
      </c>
      <c r="E614" s="165" t="s">
        <v>3615</v>
      </c>
      <c r="G614" s="81">
        <v>524968</v>
      </c>
      <c r="H614" s="81">
        <v>175095</v>
      </c>
      <c r="I614" s="165" t="s">
        <v>259</v>
      </c>
      <c r="J614" s="349">
        <v>42825</v>
      </c>
      <c r="L614" s="166">
        <v>8</v>
      </c>
      <c r="M614" s="166">
        <v>16</v>
      </c>
      <c r="N614" s="166">
        <v>8</v>
      </c>
      <c r="O614" s="166">
        <v>16</v>
      </c>
      <c r="P614" s="166">
        <v>8</v>
      </c>
      <c r="Q614" s="81" t="s">
        <v>155</v>
      </c>
      <c r="R614" s="165" t="s">
        <v>777</v>
      </c>
      <c r="S614" s="81" t="s">
        <v>104</v>
      </c>
      <c r="T614" s="349">
        <v>42157</v>
      </c>
      <c r="U614" s="349">
        <v>42583</v>
      </c>
      <c r="W614" s="81" t="s">
        <v>114</v>
      </c>
      <c r="Y614" s="81" t="s">
        <v>115</v>
      </c>
      <c r="Z614" s="81" t="s">
        <v>116</v>
      </c>
      <c r="AA614" s="81" t="s">
        <v>116</v>
      </c>
      <c r="AB614" s="81" t="s">
        <v>117</v>
      </c>
      <c r="AC614" s="166">
        <v>9.6000000834464999E-2</v>
      </c>
      <c r="AD614" s="349">
        <v>42825</v>
      </c>
      <c r="AG614" s="81" t="s">
        <v>238</v>
      </c>
      <c r="AH614" s="81" t="s">
        <v>118</v>
      </c>
      <c r="AK614" s="166">
        <v>16</v>
      </c>
      <c r="AM614" s="166">
        <v>0</v>
      </c>
      <c r="AO614" s="166">
        <v>0</v>
      </c>
      <c r="AP614" s="166">
        <v>-7</v>
      </c>
      <c r="AQ614" s="166">
        <v>11</v>
      </c>
      <c r="AR614" s="166">
        <v>4</v>
      </c>
      <c r="AS614" s="166">
        <v>0</v>
      </c>
      <c r="AT614" s="166">
        <v>0</v>
      </c>
      <c r="AU614" s="166">
        <v>0</v>
      </c>
      <c r="AV614" s="166">
        <v>0</v>
      </c>
      <c r="AW614" s="166">
        <v>-7</v>
      </c>
      <c r="AX614" s="166">
        <v>11</v>
      </c>
      <c r="AY614" s="166">
        <v>2</v>
      </c>
      <c r="AZ614" s="166">
        <v>0</v>
      </c>
      <c r="BA614" s="166">
        <v>0</v>
      </c>
      <c r="BB614" s="166">
        <v>0</v>
      </c>
      <c r="BC614" s="166">
        <v>0</v>
      </c>
      <c r="BD614" s="166">
        <v>0</v>
      </c>
      <c r="BE614" s="166">
        <v>0</v>
      </c>
      <c r="BF614" s="166">
        <v>2</v>
      </c>
      <c r="BG614" s="166">
        <v>0</v>
      </c>
      <c r="BH614" s="166">
        <v>0</v>
      </c>
      <c r="BI614" s="166">
        <v>0</v>
      </c>
      <c r="BJ614" s="166">
        <v>0</v>
      </c>
      <c r="BK614" s="166">
        <v>0</v>
      </c>
      <c r="BL614" s="166">
        <v>0</v>
      </c>
      <c r="BM614" s="166">
        <v>0</v>
      </c>
      <c r="BN614" s="166">
        <v>0</v>
      </c>
      <c r="BO614" s="166">
        <v>0</v>
      </c>
      <c r="BP614" s="166">
        <v>0</v>
      </c>
      <c r="BQ614" s="81" t="s">
        <v>1758</v>
      </c>
      <c r="BZ614" s="81" t="s">
        <v>155</v>
      </c>
      <c r="CA614" s="81" t="s">
        <v>3976</v>
      </c>
      <c r="CC614" s="167">
        <v>0</v>
      </c>
      <c r="CD614" s="167">
        <f>N614</f>
        <v>8</v>
      </c>
      <c r="CE614" s="167">
        <v>0</v>
      </c>
      <c r="CF614" s="167">
        <v>0</v>
      </c>
      <c r="CG614" s="167">
        <v>0</v>
      </c>
      <c r="CH614" s="167">
        <v>0</v>
      </c>
      <c r="CI614" s="167">
        <v>0</v>
      </c>
      <c r="CJ614" s="167">
        <v>0</v>
      </c>
      <c r="CK614" s="167">
        <v>0</v>
      </c>
      <c r="CL614" s="167">
        <v>0</v>
      </c>
      <c r="CM614" s="167">
        <v>0</v>
      </c>
      <c r="CN614" s="167">
        <v>0</v>
      </c>
      <c r="CO614" s="167">
        <v>0</v>
      </c>
      <c r="CP614" s="167">
        <v>0</v>
      </c>
      <c r="CQ614" s="167">
        <v>0</v>
      </c>
      <c r="CR614" s="167">
        <v>0</v>
      </c>
      <c r="CS614" s="167">
        <v>0</v>
      </c>
      <c r="CT614" s="167">
        <v>0</v>
      </c>
      <c r="CU614" s="167">
        <v>0</v>
      </c>
      <c r="CV614" s="167">
        <v>0</v>
      </c>
      <c r="CW614" s="167">
        <v>0</v>
      </c>
      <c r="CX614" s="167">
        <f>SUM(CD614:CH614)</f>
        <v>8</v>
      </c>
      <c r="CY614" s="167">
        <f>SUM(CD614:CM614)</f>
        <v>8</v>
      </c>
    </row>
    <row r="615" spans="1:103" ht="12.75" customHeight="1" x14ac:dyDescent="0.2">
      <c r="A615" s="81">
        <v>6046</v>
      </c>
      <c r="B615" s="165" t="s">
        <v>1908</v>
      </c>
      <c r="C615" s="165" t="s">
        <v>597</v>
      </c>
      <c r="E615" s="165" t="s">
        <v>3616</v>
      </c>
      <c r="G615" s="81">
        <v>528204</v>
      </c>
      <c r="H615" s="81">
        <v>176387</v>
      </c>
      <c r="I615" s="165" t="s">
        <v>241</v>
      </c>
      <c r="J615" s="349">
        <v>42885</v>
      </c>
      <c r="L615" s="166">
        <v>0</v>
      </c>
      <c r="M615" s="166">
        <v>6</v>
      </c>
      <c r="N615" s="166">
        <v>6</v>
      </c>
      <c r="O615" s="166">
        <v>6</v>
      </c>
      <c r="P615" s="166">
        <v>6</v>
      </c>
      <c r="R615" s="165" t="s">
        <v>598</v>
      </c>
      <c r="S615" s="81" t="s">
        <v>113</v>
      </c>
      <c r="T615" s="349">
        <v>42236</v>
      </c>
      <c r="U615" s="349">
        <v>42355</v>
      </c>
      <c r="W615" s="81" t="s">
        <v>114</v>
      </c>
      <c r="Y615" s="81" t="s">
        <v>115</v>
      </c>
      <c r="Z615" s="81" t="s">
        <v>116</v>
      </c>
      <c r="AA615" s="81" t="s">
        <v>117</v>
      </c>
      <c r="AB615" s="81" t="s">
        <v>218</v>
      </c>
      <c r="AC615" s="166">
        <v>6.8999998271465302E-2</v>
      </c>
      <c r="AD615" s="349">
        <v>42885</v>
      </c>
      <c r="AE615" s="81" t="s">
        <v>155</v>
      </c>
      <c r="AG615" s="81" t="s">
        <v>154</v>
      </c>
      <c r="AH615" s="81" t="s">
        <v>276</v>
      </c>
      <c r="AK615" s="166">
        <v>6</v>
      </c>
      <c r="AM615" s="166">
        <v>0</v>
      </c>
      <c r="AO615" s="166">
        <v>0</v>
      </c>
      <c r="AP615" s="166">
        <v>0</v>
      </c>
      <c r="AQ615" s="166">
        <v>1</v>
      </c>
      <c r="AR615" s="166">
        <v>5</v>
      </c>
      <c r="AS615" s="166">
        <v>0</v>
      </c>
      <c r="AT615" s="166">
        <v>0</v>
      </c>
      <c r="AU615" s="166">
        <v>0</v>
      </c>
      <c r="AV615" s="166">
        <v>0</v>
      </c>
      <c r="AW615" s="166">
        <v>0</v>
      </c>
      <c r="AX615" s="166">
        <v>0</v>
      </c>
      <c r="AY615" s="166">
        <v>0</v>
      </c>
      <c r="AZ615" s="166">
        <v>0</v>
      </c>
      <c r="BA615" s="166">
        <v>0</v>
      </c>
      <c r="BB615" s="166">
        <v>0</v>
      </c>
      <c r="BC615" s="166">
        <v>0</v>
      </c>
      <c r="BD615" s="166">
        <v>0</v>
      </c>
      <c r="BE615" s="166">
        <v>1</v>
      </c>
      <c r="BF615" s="166">
        <v>5</v>
      </c>
      <c r="BG615" s="166">
        <v>0</v>
      </c>
      <c r="BH615" s="166">
        <v>0</v>
      </c>
      <c r="BI615" s="166">
        <v>0</v>
      </c>
      <c r="BJ615" s="166">
        <v>0</v>
      </c>
      <c r="BK615" s="166">
        <v>0</v>
      </c>
      <c r="BL615" s="166">
        <v>0</v>
      </c>
      <c r="BM615" s="166">
        <v>0</v>
      </c>
      <c r="BN615" s="166">
        <v>0</v>
      </c>
      <c r="BO615" s="166">
        <v>0</v>
      </c>
      <c r="BP615" s="166">
        <v>0</v>
      </c>
      <c r="BQ615" s="81" t="s">
        <v>1757</v>
      </c>
      <c r="BZ615" s="81" t="s">
        <v>155</v>
      </c>
      <c r="CA615" s="81" t="s">
        <v>3976</v>
      </c>
      <c r="CC615" s="167">
        <v>0</v>
      </c>
      <c r="CD615" s="167">
        <f>N615</f>
        <v>6</v>
      </c>
      <c r="CE615" s="167">
        <v>0</v>
      </c>
      <c r="CF615" s="167">
        <v>0</v>
      </c>
      <c r="CG615" s="167">
        <v>0</v>
      </c>
      <c r="CH615" s="167">
        <v>0</v>
      </c>
      <c r="CI615" s="167">
        <v>0</v>
      </c>
      <c r="CJ615" s="167">
        <v>0</v>
      </c>
      <c r="CK615" s="167">
        <v>0</v>
      </c>
      <c r="CL615" s="167">
        <v>0</v>
      </c>
      <c r="CM615" s="167">
        <v>0</v>
      </c>
      <c r="CN615" s="167">
        <v>0</v>
      </c>
      <c r="CO615" s="167">
        <v>0</v>
      </c>
      <c r="CP615" s="167">
        <v>0</v>
      </c>
      <c r="CQ615" s="167">
        <v>0</v>
      </c>
      <c r="CR615" s="167">
        <v>0</v>
      </c>
      <c r="CS615" s="167">
        <v>0</v>
      </c>
      <c r="CT615" s="167">
        <v>0</v>
      </c>
      <c r="CU615" s="167">
        <v>0</v>
      </c>
      <c r="CV615" s="167">
        <v>0</v>
      </c>
      <c r="CW615" s="167">
        <v>0</v>
      </c>
      <c r="CX615" s="167">
        <f>SUM(CD615:CH615)</f>
        <v>6</v>
      </c>
      <c r="CY615" s="167">
        <f>SUM(CD615:CM615)</f>
        <v>6</v>
      </c>
    </row>
    <row r="616" spans="1:103" ht="12.75" customHeight="1" x14ac:dyDescent="0.2">
      <c r="A616" s="81">
        <v>6047</v>
      </c>
      <c r="B616" s="165" t="s">
        <v>1908</v>
      </c>
      <c r="C616" s="165" t="s">
        <v>914</v>
      </c>
      <c r="E616" s="165" t="s">
        <v>3621</v>
      </c>
      <c r="G616" s="81">
        <v>528267</v>
      </c>
      <c r="H616" s="81">
        <v>175679</v>
      </c>
      <c r="I616" s="165" t="s">
        <v>256</v>
      </c>
      <c r="J616" s="349">
        <v>42596</v>
      </c>
      <c r="L616" s="166">
        <v>1</v>
      </c>
      <c r="M616" s="166">
        <v>0</v>
      </c>
      <c r="N616" s="166">
        <v>-1</v>
      </c>
      <c r="O616" s="166">
        <v>0</v>
      </c>
      <c r="P616" s="166">
        <v>-1</v>
      </c>
      <c r="R616" s="165" t="s">
        <v>915</v>
      </c>
      <c r="S616" s="81" t="s">
        <v>113</v>
      </c>
      <c r="T616" s="349">
        <v>42255</v>
      </c>
      <c r="U616" s="349">
        <v>42376</v>
      </c>
      <c r="W616" s="81" t="s">
        <v>114</v>
      </c>
      <c r="Y616" s="81" t="s">
        <v>115</v>
      </c>
      <c r="Z616" s="81" t="s">
        <v>398</v>
      </c>
      <c r="AA616" s="81" t="s">
        <v>117</v>
      </c>
      <c r="AB616" s="81" t="s">
        <v>105</v>
      </c>
      <c r="AC616" s="166">
        <v>7.0000002160668399E-3</v>
      </c>
      <c r="AD616" s="349">
        <v>42596</v>
      </c>
      <c r="AG616" s="81" t="s">
        <v>238</v>
      </c>
      <c r="AH616" s="81" t="s">
        <v>118</v>
      </c>
      <c r="AK616" s="166">
        <v>0</v>
      </c>
      <c r="AM616" s="166">
        <v>0</v>
      </c>
      <c r="AO616" s="166">
        <v>0</v>
      </c>
      <c r="AP616" s="166">
        <v>0</v>
      </c>
      <c r="AQ616" s="166">
        <v>0</v>
      </c>
      <c r="AR616" s="166">
        <v>0</v>
      </c>
      <c r="AS616" s="166">
        <v>-1</v>
      </c>
      <c r="AT616" s="166">
        <v>0</v>
      </c>
      <c r="AU616" s="166">
        <v>0</v>
      </c>
      <c r="AV616" s="166">
        <v>0</v>
      </c>
      <c r="AW616" s="166">
        <v>0</v>
      </c>
      <c r="AX616" s="166">
        <v>0</v>
      </c>
      <c r="AY616" s="166">
        <v>0</v>
      </c>
      <c r="AZ616" s="166">
        <v>0</v>
      </c>
      <c r="BA616" s="166">
        <v>0</v>
      </c>
      <c r="BB616" s="166">
        <v>0</v>
      </c>
      <c r="BC616" s="166">
        <v>0</v>
      </c>
      <c r="BD616" s="166">
        <v>0</v>
      </c>
      <c r="BE616" s="166">
        <v>0</v>
      </c>
      <c r="BF616" s="166">
        <v>0</v>
      </c>
      <c r="BG616" s="166">
        <v>-1</v>
      </c>
      <c r="BH616" s="166">
        <v>0</v>
      </c>
      <c r="BI616" s="166">
        <v>0</v>
      </c>
      <c r="BJ616" s="166">
        <v>0</v>
      </c>
      <c r="BK616" s="166">
        <v>0</v>
      </c>
      <c r="BL616" s="166">
        <v>0</v>
      </c>
      <c r="BM616" s="166">
        <v>0</v>
      </c>
      <c r="BN616" s="166">
        <v>0</v>
      </c>
      <c r="BO616" s="166">
        <v>0</v>
      </c>
      <c r="BP616" s="166">
        <v>0</v>
      </c>
      <c r="BQ616" s="81" t="s">
        <v>1757</v>
      </c>
      <c r="BZ616" s="81" t="s">
        <v>155</v>
      </c>
      <c r="CA616" s="81" t="s">
        <v>3980</v>
      </c>
      <c r="CC616" s="167">
        <v>0</v>
      </c>
      <c r="CD616" s="167">
        <f>N616</f>
        <v>-1</v>
      </c>
      <c r="CE616" s="167">
        <v>0</v>
      </c>
      <c r="CF616" s="167">
        <v>0</v>
      </c>
      <c r="CG616" s="167">
        <v>0</v>
      </c>
      <c r="CH616" s="167">
        <v>0</v>
      </c>
      <c r="CI616" s="167">
        <v>0</v>
      </c>
      <c r="CJ616" s="167">
        <v>0</v>
      </c>
      <c r="CK616" s="167">
        <v>0</v>
      </c>
      <c r="CL616" s="167">
        <v>0</v>
      </c>
      <c r="CM616" s="167">
        <v>0</v>
      </c>
      <c r="CN616" s="167">
        <v>0</v>
      </c>
      <c r="CO616" s="167">
        <v>0</v>
      </c>
      <c r="CP616" s="167">
        <v>0</v>
      </c>
      <c r="CQ616" s="167">
        <v>0</v>
      </c>
      <c r="CR616" s="167">
        <v>0</v>
      </c>
      <c r="CS616" s="167">
        <v>0</v>
      </c>
      <c r="CT616" s="167">
        <v>0</v>
      </c>
      <c r="CU616" s="167">
        <v>0</v>
      </c>
      <c r="CV616" s="167">
        <v>0</v>
      </c>
      <c r="CW616" s="167">
        <v>0</v>
      </c>
      <c r="CX616" s="167">
        <f>SUM(CD616:CH616)</f>
        <v>-1</v>
      </c>
      <c r="CY616" s="167">
        <f>SUM(CD616:CM616)</f>
        <v>-1</v>
      </c>
    </row>
    <row r="617" spans="1:103" ht="12.75" customHeight="1" x14ac:dyDescent="0.2">
      <c r="A617" s="81">
        <v>6048</v>
      </c>
      <c r="B617" s="165" t="s">
        <v>1908</v>
      </c>
      <c r="C617" s="165" t="s">
        <v>1189</v>
      </c>
      <c r="E617" s="165" t="s">
        <v>3622</v>
      </c>
      <c r="G617" s="81">
        <v>527668</v>
      </c>
      <c r="H617" s="81">
        <v>170652</v>
      </c>
      <c r="I617" s="165" t="s">
        <v>253</v>
      </c>
      <c r="J617" s="349">
        <v>43190</v>
      </c>
      <c r="L617" s="166">
        <v>0</v>
      </c>
      <c r="M617" s="166">
        <v>1</v>
      </c>
      <c r="N617" s="166">
        <v>1</v>
      </c>
      <c r="O617" s="166">
        <v>1</v>
      </c>
      <c r="P617" s="166">
        <v>1</v>
      </c>
      <c r="R617" s="165" t="s">
        <v>1190</v>
      </c>
      <c r="S617" s="81" t="s">
        <v>113</v>
      </c>
      <c r="T617" s="349">
        <v>42535</v>
      </c>
      <c r="U617" s="349">
        <v>42571</v>
      </c>
      <c r="W617" s="81" t="s">
        <v>114</v>
      </c>
      <c r="Y617" s="81" t="s">
        <v>115</v>
      </c>
      <c r="Z617" s="81" t="s">
        <v>219</v>
      </c>
      <c r="AA617" s="81" t="s">
        <v>117</v>
      </c>
      <c r="AB617" s="81" t="s">
        <v>3889</v>
      </c>
      <c r="AC617" s="166">
        <v>7.0000002160668399E-3</v>
      </c>
      <c r="AD617" s="349">
        <v>43190</v>
      </c>
      <c r="AE617" s="81" t="s">
        <v>155</v>
      </c>
      <c r="AG617" s="81" t="s">
        <v>238</v>
      </c>
      <c r="AH617" s="81" t="s">
        <v>118</v>
      </c>
      <c r="AK617" s="166">
        <v>0</v>
      </c>
      <c r="AM617" s="166">
        <v>0</v>
      </c>
      <c r="AO617" s="166">
        <v>0</v>
      </c>
      <c r="AP617" s="166">
        <v>1</v>
      </c>
      <c r="AQ617" s="166">
        <v>0</v>
      </c>
      <c r="AR617" s="166">
        <v>0</v>
      </c>
      <c r="AS617" s="166">
        <v>0</v>
      </c>
      <c r="AT617" s="166">
        <v>0</v>
      </c>
      <c r="AU617" s="166">
        <v>0</v>
      </c>
      <c r="AV617" s="166">
        <v>0</v>
      </c>
      <c r="AW617" s="166">
        <v>1</v>
      </c>
      <c r="AX617" s="166">
        <v>0</v>
      </c>
      <c r="AY617" s="166">
        <v>0</v>
      </c>
      <c r="AZ617" s="166">
        <v>0</v>
      </c>
      <c r="BA617" s="166">
        <v>0</v>
      </c>
      <c r="BB617" s="166">
        <v>0</v>
      </c>
      <c r="BC617" s="166">
        <v>0</v>
      </c>
      <c r="BD617" s="166">
        <v>0</v>
      </c>
      <c r="BE617" s="166">
        <v>0</v>
      </c>
      <c r="BF617" s="166">
        <v>0</v>
      </c>
      <c r="BG617" s="166">
        <v>0</v>
      </c>
      <c r="BH617" s="166">
        <v>0</v>
      </c>
      <c r="BI617" s="166">
        <v>0</v>
      </c>
      <c r="BJ617" s="166">
        <v>0</v>
      </c>
      <c r="BK617" s="166">
        <v>0</v>
      </c>
      <c r="BL617" s="166">
        <v>0</v>
      </c>
      <c r="BM617" s="166">
        <v>0</v>
      </c>
      <c r="BN617" s="166">
        <v>0</v>
      </c>
      <c r="BO617" s="166">
        <v>0</v>
      </c>
      <c r="BP617" s="166">
        <v>0</v>
      </c>
      <c r="BQ617" s="81" t="s">
        <v>1757</v>
      </c>
      <c r="BZ617" s="81" t="s">
        <v>155</v>
      </c>
      <c r="CA617" s="81" t="s">
        <v>3981</v>
      </c>
      <c r="CC617" s="167">
        <v>0</v>
      </c>
      <c r="CD617" s="167">
        <f>$N617/2</f>
        <v>0.5</v>
      </c>
      <c r="CE617" s="167">
        <f>$N617/2</f>
        <v>0.5</v>
      </c>
      <c r="CF617" s="167">
        <v>0</v>
      </c>
      <c r="CG617" s="167">
        <v>0</v>
      </c>
      <c r="CH617" s="167">
        <v>0</v>
      </c>
      <c r="CI617" s="167">
        <v>0</v>
      </c>
      <c r="CJ617" s="167">
        <v>0</v>
      </c>
      <c r="CK617" s="167">
        <v>0</v>
      </c>
      <c r="CL617" s="167">
        <v>0</v>
      </c>
      <c r="CM617" s="167">
        <v>0</v>
      </c>
      <c r="CN617" s="167">
        <v>0</v>
      </c>
      <c r="CO617" s="167">
        <v>0</v>
      </c>
      <c r="CP617" s="167">
        <v>0</v>
      </c>
      <c r="CQ617" s="167">
        <v>0</v>
      </c>
      <c r="CR617" s="167">
        <v>0</v>
      </c>
      <c r="CS617" s="167">
        <v>0</v>
      </c>
      <c r="CT617" s="167">
        <v>0</v>
      </c>
      <c r="CU617" s="167">
        <v>0</v>
      </c>
      <c r="CV617" s="167">
        <v>0</v>
      </c>
      <c r="CW617" s="167">
        <v>0</v>
      </c>
      <c r="CX617" s="167">
        <f>SUM(CD617:CH617)</f>
        <v>1</v>
      </c>
      <c r="CY617" s="167">
        <f>SUM(CD617:CM617)</f>
        <v>1</v>
      </c>
    </row>
    <row r="618" spans="1:103" ht="12.75" customHeight="1" x14ac:dyDescent="0.2">
      <c r="A618" s="81">
        <v>6071</v>
      </c>
      <c r="B618" s="165" t="s">
        <v>1908</v>
      </c>
      <c r="C618" s="165" t="s">
        <v>631</v>
      </c>
      <c r="E618" s="165" t="s">
        <v>3421</v>
      </c>
      <c r="G618" s="81">
        <v>527421</v>
      </c>
      <c r="H618" s="81">
        <v>171301</v>
      </c>
      <c r="I618" s="165" t="s">
        <v>253</v>
      </c>
      <c r="J618" s="349">
        <v>42788</v>
      </c>
      <c r="L618" s="166">
        <v>0</v>
      </c>
      <c r="M618" s="166">
        <v>49</v>
      </c>
      <c r="N618" s="166">
        <v>49</v>
      </c>
      <c r="O618" s="166">
        <v>49</v>
      </c>
      <c r="P618" s="166">
        <v>49</v>
      </c>
      <c r="Q618" s="81" t="s">
        <v>155</v>
      </c>
      <c r="R618" s="165" t="s">
        <v>912</v>
      </c>
      <c r="S618" s="81" t="s">
        <v>113</v>
      </c>
      <c r="T618" s="349">
        <v>42277</v>
      </c>
      <c r="U618" s="349">
        <v>42355</v>
      </c>
      <c r="W618" s="81" t="s">
        <v>114</v>
      </c>
      <c r="Y618" s="81" t="s">
        <v>115</v>
      </c>
      <c r="Z618" s="81" t="s">
        <v>310</v>
      </c>
      <c r="AA618" s="81" t="s">
        <v>92</v>
      </c>
      <c r="AB618" s="81" t="s">
        <v>117</v>
      </c>
      <c r="AC618" s="166">
        <v>0.35299998521804798</v>
      </c>
      <c r="AD618" s="349">
        <v>42788</v>
      </c>
      <c r="AG618" s="81" t="s">
        <v>154</v>
      </c>
      <c r="AH618" s="81" t="s">
        <v>38</v>
      </c>
      <c r="AI618" s="81" t="s">
        <v>3422</v>
      </c>
      <c r="AK618" s="166">
        <v>0</v>
      </c>
      <c r="AM618" s="166">
        <v>0</v>
      </c>
      <c r="AO618" s="166">
        <v>0</v>
      </c>
      <c r="AP618" s="166">
        <v>18</v>
      </c>
      <c r="AQ618" s="166">
        <v>14</v>
      </c>
      <c r="AR618" s="166">
        <v>6</v>
      </c>
      <c r="AS618" s="166">
        <v>11</v>
      </c>
      <c r="AT618" s="166">
        <v>0</v>
      </c>
      <c r="AU618" s="166">
        <v>0</v>
      </c>
      <c r="AV618" s="166">
        <v>0</v>
      </c>
      <c r="AW618" s="166">
        <v>18</v>
      </c>
      <c r="AX618" s="166">
        <v>14</v>
      </c>
      <c r="AY618" s="166">
        <v>6</v>
      </c>
      <c r="AZ618" s="166">
        <v>11</v>
      </c>
      <c r="BA618" s="166">
        <v>0</v>
      </c>
      <c r="BB618" s="166">
        <v>0</v>
      </c>
      <c r="BC618" s="166">
        <v>0</v>
      </c>
      <c r="BD618" s="166">
        <v>0</v>
      </c>
      <c r="BE618" s="166">
        <v>0</v>
      </c>
      <c r="BF618" s="166">
        <v>0</v>
      </c>
      <c r="BG618" s="166">
        <v>0</v>
      </c>
      <c r="BH618" s="166">
        <v>0</v>
      </c>
      <c r="BI618" s="166">
        <v>0</v>
      </c>
      <c r="BJ618" s="166">
        <v>0</v>
      </c>
      <c r="BK618" s="166">
        <v>0</v>
      </c>
      <c r="BL618" s="166">
        <v>0</v>
      </c>
      <c r="BM618" s="166">
        <v>0</v>
      </c>
      <c r="BN618" s="166">
        <v>0</v>
      </c>
      <c r="BO618" s="166">
        <v>0</v>
      </c>
      <c r="BP618" s="166">
        <v>0</v>
      </c>
      <c r="BQ618" s="81" t="s">
        <v>1757</v>
      </c>
      <c r="BZ618" s="81" t="s">
        <v>155</v>
      </c>
      <c r="CA618" s="81" t="s">
        <v>3980</v>
      </c>
      <c r="CC618" s="167">
        <v>0</v>
      </c>
      <c r="CD618" s="167">
        <f>N618</f>
        <v>49</v>
      </c>
      <c r="CE618" s="167">
        <v>0</v>
      </c>
      <c r="CF618" s="167">
        <v>0</v>
      </c>
      <c r="CG618" s="167">
        <v>0</v>
      </c>
      <c r="CH618" s="167">
        <v>0</v>
      </c>
      <c r="CI618" s="167">
        <v>0</v>
      </c>
      <c r="CJ618" s="167">
        <v>0</v>
      </c>
      <c r="CK618" s="167">
        <v>0</v>
      </c>
      <c r="CL618" s="167">
        <v>0</v>
      </c>
      <c r="CM618" s="167">
        <v>0</v>
      </c>
      <c r="CN618" s="167">
        <v>0</v>
      </c>
      <c r="CO618" s="167">
        <v>0</v>
      </c>
      <c r="CP618" s="167">
        <v>0</v>
      </c>
      <c r="CQ618" s="167">
        <v>0</v>
      </c>
      <c r="CR618" s="167">
        <v>0</v>
      </c>
      <c r="CS618" s="167">
        <v>0</v>
      </c>
      <c r="CT618" s="167">
        <v>0</v>
      </c>
      <c r="CU618" s="167">
        <v>0</v>
      </c>
      <c r="CV618" s="167">
        <v>0</v>
      </c>
      <c r="CW618" s="167">
        <v>0</v>
      </c>
      <c r="CX618" s="167">
        <f>SUM(CD618:CH618)</f>
        <v>49</v>
      </c>
      <c r="CY618" s="167">
        <f>SUM(CD618:CM618)</f>
        <v>49</v>
      </c>
    </row>
    <row r="619" spans="1:103" ht="12.75" customHeight="1" x14ac:dyDescent="0.2">
      <c r="A619" s="81">
        <v>6075</v>
      </c>
      <c r="B619" s="165" t="s">
        <v>1908</v>
      </c>
      <c r="C619" s="165" t="s">
        <v>666</v>
      </c>
      <c r="E619" s="165" t="s">
        <v>3623</v>
      </c>
      <c r="G619" s="81">
        <v>523643</v>
      </c>
      <c r="H619" s="81">
        <v>175322</v>
      </c>
      <c r="I619" s="165" t="s">
        <v>259</v>
      </c>
      <c r="J619" s="349">
        <v>42825</v>
      </c>
      <c r="L619" s="166">
        <v>2</v>
      </c>
      <c r="M619" s="166">
        <v>1</v>
      </c>
      <c r="N619" s="166">
        <v>-1</v>
      </c>
      <c r="O619" s="166">
        <v>1</v>
      </c>
      <c r="P619" s="166">
        <v>-1</v>
      </c>
      <c r="R619" s="165" t="s">
        <v>667</v>
      </c>
      <c r="S619" s="81" t="s">
        <v>113</v>
      </c>
      <c r="T619" s="349">
        <v>42275</v>
      </c>
      <c r="U619" s="349">
        <v>42331</v>
      </c>
      <c r="W619" s="81" t="s">
        <v>114</v>
      </c>
      <c r="Y619" s="81" t="s">
        <v>115</v>
      </c>
      <c r="Z619" s="81" t="s">
        <v>398</v>
      </c>
      <c r="AA619" s="81" t="s">
        <v>117</v>
      </c>
      <c r="AB619" s="81" t="s">
        <v>336</v>
      </c>
      <c r="AC619" s="166">
        <v>1.8999999389052401E-2</v>
      </c>
      <c r="AD619" s="349">
        <v>42825</v>
      </c>
      <c r="AG619" s="81" t="s">
        <v>238</v>
      </c>
      <c r="AH619" s="81" t="s">
        <v>118</v>
      </c>
      <c r="AK619" s="166">
        <v>0</v>
      </c>
      <c r="AM619" s="166">
        <v>0</v>
      </c>
      <c r="AO619" s="166">
        <v>0</v>
      </c>
      <c r="AP619" s="166">
        <v>-1</v>
      </c>
      <c r="AQ619" s="166">
        <v>0</v>
      </c>
      <c r="AR619" s="166">
        <v>-1</v>
      </c>
      <c r="AS619" s="166">
        <v>1</v>
      </c>
      <c r="AT619" s="166">
        <v>0</v>
      </c>
      <c r="AU619" s="166">
        <v>0</v>
      </c>
      <c r="AV619" s="166">
        <v>0</v>
      </c>
      <c r="AW619" s="166">
        <v>-1</v>
      </c>
      <c r="AX619" s="166">
        <v>0</v>
      </c>
      <c r="AY619" s="166">
        <v>-1</v>
      </c>
      <c r="AZ619" s="166">
        <v>0</v>
      </c>
      <c r="BA619" s="166">
        <v>0</v>
      </c>
      <c r="BB619" s="166">
        <v>0</v>
      </c>
      <c r="BC619" s="166">
        <v>0</v>
      </c>
      <c r="BD619" s="166">
        <v>0</v>
      </c>
      <c r="BE619" s="166">
        <v>0</v>
      </c>
      <c r="BF619" s="166">
        <v>0</v>
      </c>
      <c r="BG619" s="166">
        <v>1</v>
      </c>
      <c r="BH619" s="166">
        <v>0</v>
      </c>
      <c r="BI619" s="166">
        <v>0</v>
      </c>
      <c r="BJ619" s="166">
        <v>0</v>
      </c>
      <c r="BK619" s="166">
        <v>0</v>
      </c>
      <c r="BL619" s="166">
        <v>0</v>
      </c>
      <c r="BM619" s="166">
        <v>0</v>
      </c>
      <c r="BN619" s="166">
        <v>0</v>
      </c>
      <c r="BO619" s="166">
        <v>0</v>
      </c>
      <c r="BP619" s="166">
        <v>0</v>
      </c>
      <c r="BQ619" s="81" t="s">
        <v>1758</v>
      </c>
      <c r="BZ619" s="81" t="s">
        <v>155</v>
      </c>
      <c r="CA619" s="81" t="s">
        <v>3980</v>
      </c>
      <c r="CC619" s="167">
        <v>0</v>
      </c>
      <c r="CD619" s="167">
        <f>N619</f>
        <v>-1</v>
      </c>
      <c r="CE619" s="167">
        <v>0</v>
      </c>
      <c r="CF619" s="167">
        <v>0</v>
      </c>
      <c r="CG619" s="167">
        <v>0</v>
      </c>
      <c r="CH619" s="167">
        <v>0</v>
      </c>
      <c r="CI619" s="167">
        <v>0</v>
      </c>
      <c r="CJ619" s="167">
        <v>0</v>
      </c>
      <c r="CK619" s="167">
        <v>0</v>
      </c>
      <c r="CL619" s="167">
        <v>0</v>
      </c>
      <c r="CM619" s="167">
        <v>0</v>
      </c>
      <c r="CN619" s="167">
        <v>0</v>
      </c>
      <c r="CO619" s="167">
        <v>0</v>
      </c>
      <c r="CP619" s="167">
        <v>0</v>
      </c>
      <c r="CQ619" s="167">
        <v>0</v>
      </c>
      <c r="CR619" s="167">
        <v>0</v>
      </c>
      <c r="CS619" s="167">
        <v>0</v>
      </c>
      <c r="CT619" s="167">
        <v>0</v>
      </c>
      <c r="CU619" s="167">
        <v>0</v>
      </c>
      <c r="CV619" s="167">
        <v>0</v>
      </c>
      <c r="CW619" s="167">
        <v>0</v>
      </c>
      <c r="CX619" s="167">
        <f>SUM(CD619:CH619)</f>
        <v>-1</v>
      </c>
      <c r="CY619" s="167">
        <f>SUM(CD619:CM619)</f>
        <v>-1</v>
      </c>
    </row>
    <row r="620" spans="1:103" ht="12.75" customHeight="1" x14ac:dyDescent="0.2">
      <c r="A620" s="81">
        <v>6081</v>
      </c>
      <c r="B620" s="165" t="s">
        <v>1908</v>
      </c>
      <c r="C620" s="165" t="s">
        <v>528</v>
      </c>
      <c r="E620" s="165" t="s">
        <v>3624</v>
      </c>
      <c r="G620" s="81">
        <v>527548</v>
      </c>
      <c r="H620" s="81">
        <v>172887</v>
      </c>
      <c r="I620" s="165" t="s">
        <v>260</v>
      </c>
      <c r="J620" s="349">
        <v>42460</v>
      </c>
      <c r="L620" s="166">
        <v>2</v>
      </c>
      <c r="M620" s="166">
        <v>1</v>
      </c>
      <c r="N620" s="166">
        <v>-1</v>
      </c>
      <c r="O620" s="166">
        <v>1</v>
      </c>
      <c r="P620" s="166">
        <v>-1</v>
      </c>
      <c r="R620" s="165" t="s">
        <v>529</v>
      </c>
      <c r="S620" s="81" t="s">
        <v>113</v>
      </c>
      <c r="T620" s="349">
        <v>42289</v>
      </c>
      <c r="U620" s="349">
        <v>42338</v>
      </c>
      <c r="W620" s="81" t="s">
        <v>114</v>
      </c>
      <c r="Y620" s="81" t="s">
        <v>115</v>
      </c>
      <c r="Z620" s="81" t="s">
        <v>119</v>
      </c>
      <c r="AA620" s="81" t="s">
        <v>117</v>
      </c>
      <c r="AB620" s="81" t="s">
        <v>336</v>
      </c>
      <c r="AC620" s="166">
        <v>4.5000001788139302E-2</v>
      </c>
      <c r="AD620" s="349">
        <v>42460</v>
      </c>
      <c r="AG620" s="81" t="s">
        <v>238</v>
      </c>
      <c r="AH620" s="81" t="s">
        <v>118</v>
      </c>
      <c r="AK620" s="166">
        <v>0</v>
      </c>
      <c r="AM620" s="166">
        <v>0</v>
      </c>
      <c r="AO620" s="166">
        <v>0</v>
      </c>
      <c r="AP620" s="166">
        <v>-1</v>
      </c>
      <c r="AQ620" s="166">
        <v>0</v>
      </c>
      <c r="AR620" s="166">
        <v>0</v>
      </c>
      <c r="AS620" s="166">
        <v>0</v>
      </c>
      <c r="AT620" s="166">
        <v>0</v>
      </c>
      <c r="AU620" s="166">
        <v>0</v>
      </c>
      <c r="AV620" s="166">
        <v>0</v>
      </c>
      <c r="AW620" s="166">
        <v>-1</v>
      </c>
      <c r="AX620" s="166">
        <v>0</v>
      </c>
      <c r="AY620" s="166">
        <v>0</v>
      </c>
      <c r="AZ620" s="166">
        <v>-1</v>
      </c>
      <c r="BA620" s="166">
        <v>0</v>
      </c>
      <c r="BB620" s="166">
        <v>0</v>
      </c>
      <c r="BC620" s="166">
        <v>0</v>
      </c>
      <c r="BD620" s="166">
        <v>0</v>
      </c>
      <c r="BE620" s="166">
        <v>0</v>
      </c>
      <c r="BF620" s="166">
        <v>0</v>
      </c>
      <c r="BG620" s="166">
        <v>1</v>
      </c>
      <c r="BH620" s="166">
        <v>0</v>
      </c>
      <c r="BI620" s="166">
        <v>0</v>
      </c>
      <c r="BJ620" s="166">
        <v>0</v>
      </c>
      <c r="BK620" s="166">
        <v>0</v>
      </c>
      <c r="BL620" s="166">
        <v>0</v>
      </c>
      <c r="BM620" s="166">
        <v>0</v>
      </c>
      <c r="BN620" s="166">
        <v>0</v>
      </c>
      <c r="BO620" s="166">
        <v>0</v>
      </c>
      <c r="BP620" s="166">
        <v>0</v>
      </c>
      <c r="BQ620" s="81" t="s">
        <v>1758</v>
      </c>
      <c r="BZ620" s="81" t="s">
        <v>155</v>
      </c>
      <c r="CA620" s="81" t="s">
        <v>3980</v>
      </c>
      <c r="CC620" s="167">
        <v>0</v>
      </c>
      <c r="CD620" s="167">
        <f>N620</f>
        <v>-1</v>
      </c>
      <c r="CE620" s="167">
        <v>0</v>
      </c>
      <c r="CF620" s="167">
        <v>0</v>
      </c>
      <c r="CG620" s="167">
        <v>0</v>
      </c>
      <c r="CH620" s="167">
        <v>0</v>
      </c>
      <c r="CI620" s="167">
        <v>0</v>
      </c>
      <c r="CJ620" s="167">
        <v>0</v>
      </c>
      <c r="CK620" s="167">
        <v>0</v>
      </c>
      <c r="CL620" s="167">
        <v>0</v>
      </c>
      <c r="CM620" s="167">
        <v>0</v>
      </c>
      <c r="CN620" s="167">
        <v>0</v>
      </c>
      <c r="CO620" s="167">
        <v>0</v>
      </c>
      <c r="CP620" s="167">
        <v>0</v>
      </c>
      <c r="CQ620" s="167">
        <v>0</v>
      </c>
      <c r="CR620" s="167">
        <v>0</v>
      </c>
      <c r="CS620" s="167">
        <v>0</v>
      </c>
      <c r="CT620" s="167">
        <v>0</v>
      </c>
      <c r="CU620" s="167">
        <v>0</v>
      </c>
      <c r="CV620" s="167">
        <v>0</v>
      </c>
      <c r="CW620" s="167">
        <v>0</v>
      </c>
      <c r="CX620" s="167">
        <f>SUM(CD620:CH620)</f>
        <v>-1</v>
      </c>
      <c r="CY620" s="167">
        <f>SUM(CD620:CM620)</f>
        <v>-1</v>
      </c>
    </row>
    <row r="621" spans="1:103" ht="12.75" customHeight="1" x14ac:dyDescent="0.2">
      <c r="A621" s="81">
        <v>6082</v>
      </c>
      <c r="B621" s="165" t="s">
        <v>1908</v>
      </c>
      <c r="C621" s="165" t="s">
        <v>677</v>
      </c>
      <c r="D621" s="165" t="s">
        <v>678</v>
      </c>
      <c r="E621" s="165" t="s">
        <v>3617</v>
      </c>
      <c r="G621" s="81">
        <v>529010</v>
      </c>
      <c r="H621" s="81">
        <v>174056</v>
      </c>
      <c r="I621" s="165" t="s">
        <v>247</v>
      </c>
      <c r="J621" s="349">
        <v>43178</v>
      </c>
      <c r="L621" s="166">
        <v>0</v>
      </c>
      <c r="M621" s="166">
        <v>6</v>
      </c>
      <c r="N621" s="166">
        <v>6</v>
      </c>
      <c r="O621" s="166">
        <v>6</v>
      </c>
      <c r="P621" s="166">
        <v>6</v>
      </c>
      <c r="R621" s="165" t="s">
        <v>679</v>
      </c>
      <c r="S621" s="81" t="s">
        <v>113</v>
      </c>
      <c r="T621" s="349">
        <v>42298</v>
      </c>
      <c r="U621" s="349">
        <v>42433</v>
      </c>
      <c r="W621" s="81" t="s">
        <v>114</v>
      </c>
      <c r="Y621" s="81" t="s">
        <v>115</v>
      </c>
      <c r="Z621" s="81" t="s">
        <v>116</v>
      </c>
      <c r="AA621" s="81" t="s">
        <v>117</v>
      </c>
      <c r="AB621" s="81" t="s">
        <v>218</v>
      </c>
      <c r="AC621" s="166">
        <v>3.4000001847744002E-2</v>
      </c>
      <c r="AD621" s="349">
        <v>43178</v>
      </c>
      <c r="AE621" s="81" t="s">
        <v>155</v>
      </c>
      <c r="AG621" s="81" t="s">
        <v>154</v>
      </c>
      <c r="AH621" s="81" t="s">
        <v>38</v>
      </c>
      <c r="AK621" s="166">
        <v>6</v>
      </c>
      <c r="AM621" s="166">
        <v>0</v>
      </c>
      <c r="AO621" s="166">
        <v>0</v>
      </c>
      <c r="AP621" s="166">
        <v>2</v>
      </c>
      <c r="AQ621" s="166">
        <v>4</v>
      </c>
      <c r="AR621" s="166">
        <v>0</v>
      </c>
      <c r="AS621" s="166">
        <v>0</v>
      </c>
      <c r="AT621" s="166">
        <v>0</v>
      </c>
      <c r="AU621" s="166">
        <v>0</v>
      </c>
      <c r="AV621" s="166">
        <v>0</v>
      </c>
      <c r="AW621" s="166">
        <v>2</v>
      </c>
      <c r="AX621" s="166">
        <v>4</v>
      </c>
      <c r="AY621" s="166">
        <v>0</v>
      </c>
      <c r="AZ621" s="166">
        <v>0</v>
      </c>
      <c r="BA621" s="166">
        <v>0</v>
      </c>
      <c r="BB621" s="166">
        <v>0</v>
      </c>
      <c r="BC621" s="166">
        <v>0</v>
      </c>
      <c r="BD621" s="166">
        <v>0</v>
      </c>
      <c r="BE621" s="166">
        <v>0</v>
      </c>
      <c r="BF621" s="166">
        <v>0</v>
      </c>
      <c r="BG621" s="166">
        <v>0</v>
      </c>
      <c r="BH621" s="166">
        <v>0</v>
      </c>
      <c r="BI621" s="166">
        <v>0</v>
      </c>
      <c r="BJ621" s="166">
        <v>0</v>
      </c>
      <c r="BK621" s="166">
        <v>0</v>
      </c>
      <c r="BL621" s="166">
        <v>0</v>
      </c>
      <c r="BM621" s="166">
        <v>0</v>
      </c>
      <c r="BN621" s="166">
        <v>0</v>
      </c>
      <c r="BO621" s="166">
        <v>0</v>
      </c>
      <c r="BP621" s="166">
        <v>0</v>
      </c>
      <c r="BQ621" s="81" t="s">
        <v>1757</v>
      </c>
      <c r="BZ621" s="81" t="s">
        <v>155</v>
      </c>
      <c r="CA621" s="81" t="s">
        <v>3977</v>
      </c>
      <c r="CC621" s="167">
        <v>0</v>
      </c>
      <c r="CD621" s="167">
        <f>$N621/2</f>
        <v>3</v>
      </c>
      <c r="CE621" s="167">
        <f>$N621/2</f>
        <v>3</v>
      </c>
      <c r="CF621" s="167">
        <v>0</v>
      </c>
      <c r="CG621" s="167">
        <v>0</v>
      </c>
      <c r="CH621" s="167">
        <v>0</v>
      </c>
      <c r="CI621" s="167">
        <v>0</v>
      </c>
      <c r="CJ621" s="167">
        <v>0</v>
      </c>
      <c r="CK621" s="167">
        <v>0</v>
      </c>
      <c r="CL621" s="167">
        <v>0</v>
      </c>
      <c r="CM621" s="167">
        <v>0</v>
      </c>
      <c r="CN621" s="167">
        <v>0</v>
      </c>
      <c r="CO621" s="167">
        <v>0</v>
      </c>
      <c r="CP621" s="167">
        <v>0</v>
      </c>
      <c r="CQ621" s="167">
        <v>0</v>
      </c>
      <c r="CR621" s="167">
        <v>0</v>
      </c>
      <c r="CS621" s="167">
        <v>0</v>
      </c>
      <c r="CT621" s="167">
        <v>0</v>
      </c>
      <c r="CU621" s="167">
        <v>0</v>
      </c>
      <c r="CV621" s="167">
        <v>0</v>
      </c>
      <c r="CW621" s="167">
        <v>0</v>
      </c>
      <c r="CX621" s="167">
        <f>SUM(CD621:CH621)</f>
        <v>6</v>
      </c>
      <c r="CY621" s="167">
        <f>SUM(CD621:CM621)</f>
        <v>6</v>
      </c>
    </row>
    <row r="622" spans="1:103" ht="12.75" customHeight="1" x14ac:dyDescent="0.2">
      <c r="A622" s="81">
        <v>6085</v>
      </c>
      <c r="B622" s="165" t="s">
        <v>1908</v>
      </c>
      <c r="C622" s="165" t="s">
        <v>1712</v>
      </c>
      <c r="E622" s="165" t="s">
        <v>3626</v>
      </c>
      <c r="G622" s="81">
        <v>527713</v>
      </c>
      <c r="H622" s="81">
        <v>171582</v>
      </c>
      <c r="I622" s="165" t="s">
        <v>253</v>
      </c>
      <c r="J622" s="349">
        <v>43053</v>
      </c>
      <c r="L622" s="166">
        <v>1</v>
      </c>
      <c r="M622" s="166">
        <v>2</v>
      </c>
      <c r="N622" s="166">
        <v>1</v>
      </c>
      <c r="O622" s="166">
        <v>2</v>
      </c>
      <c r="P622" s="166">
        <v>1</v>
      </c>
      <c r="R622" s="165" t="s">
        <v>1713</v>
      </c>
      <c r="S622" s="81" t="s">
        <v>104</v>
      </c>
      <c r="T622" s="349">
        <v>42298</v>
      </c>
      <c r="U622" s="349">
        <v>42943</v>
      </c>
      <c r="V622" s="81" t="s">
        <v>155</v>
      </c>
      <c r="W622" s="81" t="s">
        <v>114</v>
      </c>
      <c r="Y622" s="81" t="s">
        <v>115</v>
      </c>
      <c r="Z622" s="81" t="s">
        <v>398</v>
      </c>
      <c r="AA622" s="81" t="s">
        <v>117</v>
      </c>
      <c r="AB622" s="81" t="s">
        <v>105</v>
      </c>
      <c r="AC622" s="166">
        <v>1.30000002682209E-2</v>
      </c>
      <c r="AD622" s="349">
        <v>43053</v>
      </c>
      <c r="AE622" s="81" t="s">
        <v>155</v>
      </c>
      <c r="AG622" s="81" t="s">
        <v>238</v>
      </c>
      <c r="AH622" s="81" t="s">
        <v>118</v>
      </c>
      <c r="AK622" s="166">
        <v>0</v>
      </c>
      <c r="AM622" s="166">
        <v>0</v>
      </c>
      <c r="AO622" s="166">
        <v>0</v>
      </c>
      <c r="AP622" s="166">
        <v>1</v>
      </c>
      <c r="AQ622" s="166">
        <v>0</v>
      </c>
      <c r="AR622" s="166">
        <v>0</v>
      </c>
      <c r="AS622" s="166">
        <v>0</v>
      </c>
      <c r="AT622" s="166">
        <v>0</v>
      </c>
      <c r="AU622" s="166">
        <v>0</v>
      </c>
      <c r="AV622" s="166">
        <v>0</v>
      </c>
      <c r="AW622" s="166">
        <v>1</v>
      </c>
      <c r="AX622" s="166">
        <v>1</v>
      </c>
      <c r="AY622" s="166">
        <v>0</v>
      </c>
      <c r="AZ622" s="166">
        <v>0</v>
      </c>
      <c r="BA622" s="166">
        <v>0</v>
      </c>
      <c r="BB622" s="166">
        <v>0</v>
      </c>
      <c r="BC622" s="166">
        <v>0</v>
      </c>
      <c r="BD622" s="166">
        <v>0</v>
      </c>
      <c r="BE622" s="166">
        <v>-1</v>
      </c>
      <c r="BF622" s="166">
        <v>0</v>
      </c>
      <c r="BG622" s="166">
        <v>0</v>
      </c>
      <c r="BH622" s="166">
        <v>0</v>
      </c>
      <c r="BI622" s="166">
        <v>0</v>
      </c>
      <c r="BJ622" s="166">
        <v>0</v>
      </c>
      <c r="BK622" s="166">
        <v>0</v>
      </c>
      <c r="BL622" s="166">
        <v>0</v>
      </c>
      <c r="BM622" s="166">
        <v>0</v>
      </c>
      <c r="BN622" s="166">
        <v>0</v>
      </c>
      <c r="BO622" s="166">
        <v>0</v>
      </c>
      <c r="BP622" s="166">
        <v>0</v>
      </c>
      <c r="BQ622" s="81" t="s">
        <v>1757</v>
      </c>
      <c r="BZ622" s="81" t="s">
        <v>155</v>
      </c>
      <c r="CA622" s="81" t="s">
        <v>3981</v>
      </c>
      <c r="CC622" s="167">
        <v>0</v>
      </c>
      <c r="CD622" s="167">
        <f>$N622/2</f>
        <v>0.5</v>
      </c>
      <c r="CE622" s="167">
        <f>$N622/2</f>
        <v>0.5</v>
      </c>
      <c r="CF622" s="167">
        <v>0</v>
      </c>
      <c r="CG622" s="167">
        <v>0</v>
      </c>
      <c r="CH622" s="167">
        <v>0</v>
      </c>
      <c r="CI622" s="167">
        <v>0</v>
      </c>
      <c r="CJ622" s="167">
        <v>0</v>
      </c>
      <c r="CK622" s="167">
        <v>0</v>
      </c>
      <c r="CL622" s="167">
        <v>0</v>
      </c>
      <c r="CM622" s="167">
        <v>0</v>
      </c>
      <c r="CN622" s="167">
        <v>0</v>
      </c>
      <c r="CO622" s="167">
        <v>0</v>
      </c>
      <c r="CP622" s="167">
        <v>0</v>
      </c>
      <c r="CQ622" s="167">
        <v>0</v>
      </c>
      <c r="CR622" s="167">
        <v>0</v>
      </c>
      <c r="CS622" s="167">
        <v>0</v>
      </c>
      <c r="CT622" s="167">
        <v>0</v>
      </c>
      <c r="CU622" s="167">
        <v>0</v>
      </c>
      <c r="CV622" s="167">
        <v>0</v>
      </c>
      <c r="CW622" s="167">
        <v>0</v>
      </c>
      <c r="CX622" s="167">
        <f>SUM(CD622:CH622)</f>
        <v>1</v>
      </c>
      <c r="CY622" s="167">
        <f>SUM(CD622:CM622)</f>
        <v>1</v>
      </c>
    </row>
    <row r="623" spans="1:103" ht="12.75" customHeight="1" x14ac:dyDescent="0.2">
      <c r="A623" s="81">
        <v>6091</v>
      </c>
      <c r="B623" s="165" t="s">
        <v>1908</v>
      </c>
      <c r="C623" s="165" t="s">
        <v>902</v>
      </c>
      <c r="E623" s="165" t="s">
        <v>3618</v>
      </c>
      <c r="G623" s="81">
        <v>528541</v>
      </c>
      <c r="H623" s="81">
        <v>173797</v>
      </c>
      <c r="I623" s="165" t="s">
        <v>247</v>
      </c>
      <c r="J623" s="349">
        <v>42825</v>
      </c>
      <c r="L623" s="166">
        <v>1</v>
      </c>
      <c r="M623" s="166">
        <v>1</v>
      </c>
      <c r="N623" s="166">
        <v>0</v>
      </c>
      <c r="O623" s="166">
        <v>1</v>
      </c>
      <c r="P623" s="166">
        <v>0</v>
      </c>
      <c r="R623" s="165" t="s">
        <v>903</v>
      </c>
      <c r="S623" s="81" t="s">
        <v>296</v>
      </c>
      <c r="T623" s="349">
        <v>42044</v>
      </c>
      <c r="U623" s="349">
        <v>42324</v>
      </c>
      <c r="W623" s="81" t="s">
        <v>297</v>
      </c>
      <c r="X623" s="349">
        <v>42634</v>
      </c>
      <c r="Y623" s="81" t="s">
        <v>115</v>
      </c>
      <c r="Z623" s="81" t="s">
        <v>116</v>
      </c>
      <c r="AA623" s="81" t="s">
        <v>117</v>
      </c>
      <c r="AB623" s="81" t="s">
        <v>218</v>
      </c>
      <c r="AC623" s="166">
        <v>1.30000002682209E-2</v>
      </c>
      <c r="AD623" s="349">
        <v>42825</v>
      </c>
      <c r="AG623" s="81" t="s">
        <v>238</v>
      </c>
      <c r="AH623" s="81" t="s">
        <v>118</v>
      </c>
      <c r="AK623" s="166">
        <v>0</v>
      </c>
      <c r="AM623" s="166">
        <v>0</v>
      </c>
      <c r="AO623" s="166">
        <v>0</v>
      </c>
      <c r="AP623" s="166">
        <v>0</v>
      </c>
      <c r="AQ623" s="166">
        <v>0</v>
      </c>
      <c r="AR623" s="166">
        <v>0</v>
      </c>
      <c r="AS623" s="166">
        <v>0</v>
      </c>
      <c r="AT623" s="166">
        <v>0</v>
      </c>
      <c r="AU623" s="166">
        <v>0</v>
      </c>
      <c r="AV623" s="166">
        <v>0</v>
      </c>
      <c r="AW623" s="166">
        <v>0</v>
      </c>
      <c r="AX623" s="166">
        <v>0</v>
      </c>
      <c r="AY623" s="166">
        <v>0</v>
      </c>
      <c r="AZ623" s="166">
        <v>0</v>
      </c>
      <c r="BA623" s="166">
        <v>0</v>
      </c>
      <c r="BB623" s="166">
        <v>0</v>
      </c>
      <c r="BC623" s="166">
        <v>0</v>
      </c>
      <c r="BD623" s="166">
        <v>0</v>
      </c>
      <c r="BE623" s="166">
        <v>0</v>
      </c>
      <c r="BF623" s="166">
        <v>0</v>
      </c>
      <c r="BG623" s="166">
        <v>0</v>
      </c>
      <c r="BH623" s="166">
        <v>0</v>
      </c>
      <c r="BI623" s="166">
        <v>0</v>
      </c>
      <c r="BJ623" s="166">
        <v>0</v>
      </c>
      <c r="BK623" s="166">
        <v>0</v>
      </c>
      <c r="BL623" s="166">
        <v>0</v>
      </c>
      <c r="BM623" s="166">
        <v>0</v>
      </c>
      <c r="BN623" s="166">
        <v>0</v>
      </c>
      <c r="BO623" s="166">
        <v>0</v>
      </c>
      <c r="BP623" s="166">
        <v>0</v>
      </c>
      <c r="BQ623" s="81" t="s">
        <v>1757</v>
      </c>
      <c r="BZ623" s="81" t="s">
        <v>155</v>
      </c>
      <c r="CA623" s="81" t="s">
        <v>3976</v>
      </c>
      <c r="CC623" s="167">
        <v>0</v>
      </c>
      <c r="CD623" s="167">
        <f>N623</f>
        <v>0</v>
      </c>
      <c r="CE623" s="167">
        <v>0</v>
      </c>
      <c r="CF623" s="167">
        <v>0</v>
      </c>
      <c r="CG623" s="167">
        <v>0</v>
      </c>
      <c r="CH623" s="167">
        <v>0</v>
      </c>
      <c r="CI623" s="167">
        <v>0</v>
      </c>
      <c r="CJ623" s="167">
        <v>0</v>
      </c>
      <c r="CK623" s="167">
        <v>0</v>
      </c>
      <c r="CL623" s="167">
        <v>0</v>
      </c>
      <c r="CM623" s="167">
        <v>0</v>
      </c>
      <c r="CN623" s="167">
        <v>0</v>
      </c>
      <c r="CO623" s="167">
        <v>0</v>
      </c>
      <c r="CP623" s="167">
        <v>0</v>
      </c>
      <c r="CQ623" s="167">
        <v>0</v>
      </c>
      <c r="CR623" s="167">
        <v>0</v>
      </c>
      <c r="CS623" s="167">
        <v>0</v>
      </c>
      <c r="CT623" s="167">
        <v>0</v>
      </c>
      <c r="CU623" s="167">
        <v>0</v>
      </c>
      <c r="CV623" s="167">
        <v>0</v>
      </c>
      <c r="CW623" s="167">
        <v>0</v>
      </c>
      <c r="CX623" s="167">
        <f>SUM(CD623:CH623)</f>
        <v>0</v>
      </c>
      <c r="CY623" s="167">
        <f>SUM(CD623:CM623)</f>
        <v>0</v>
      </c>
    </row>
    <row r="624" spans="1:103" ht="12.75" customHeight="1" x14ac:dyDescent="0.2">
      <c r="A624" s="81">
        <v>6099</v>
      </c>
      <c r="B624" s="165" t="s">
        <v>1908</v>
      </c>
      <c r="C624" s="165" t="s">
        <v>683</v>
      </c>
      <c r="E624" s="165" t="s">
        <v>3619</v>
      </c>
      <c r="G624" s="81">
        <v>523163</v>
      </c>
      <c r="H624" s="81">
        <v>174605</v>
      </c>
      <c r="I624" s="165" t="s">
        <v>59</v>
      </c>
      <c r="J624" s="349">
        <v>42754</v>
      </c>
      <c r="L624" s="166">
        <v>1</v>
      </c>
      <c r="M624" s="166">
        <v>1</v>
      </c>
      <c r="N624" s="166">
        <v>0</v>
      </c>
      <c r="O624" s="166">
        <v>1</v>
      </c>
      <c r="P624" s="166">
        <v>0</v>
      </c>
      <c r="R624" s="165" t="s">
        <v>684</v>
      </c>
      <c r="S624" s="81" t="s">
        <v>113</v>
      </c>
      <c r="T624" s="349">
        <v>42306</v>
      </c>
      <c r="U624" s="349">
        <v>42361</v>
      </c>
      <c r="W624" s="81" t="s">
        <v>114</v>
      </c>
      <c r="Y624" s="81" t="s">
        <v>115</v>
      </c>
      <c r="Z624" s="81" t="s">
        <v>116</v>
      </c>
      <c r="AA624" s="81" t="s">
        <v>117</v>
      </c>
      <c r="AB624" s="81" t="s">
        <v>218</v>
      </c>
      <c r="AC624" s="166">
        <v>5.4999999701976797E-2</v>
      </c>
      <c r="AD624" s="349">
        <v>42754</v>
      </c>
      <c r="AG624" s="81" t="s">
        <v>238</v>
      </c>
      <c r="AH624" s="81" t="s">
        <v>118</v>
      </c>
      <c r="AK624" s="166">
        <v>1</v>
      </c>
      <c r="AM624" s="166">
        <v>0</v>
      </c>
      <c r="AO624" s="166">
        <v>0</v>
      </c>
      <c r="AP624" s="166">
        <v>0</v>
      </c>
      <c r="AQ624" s="166">
        <v>0</v>
      </c>
      <c r="AR624" s="166">
        <v>-1</v>
      </c>
      <c r="AS624" s="166">
        <v>0</v>
      </c>
      <c r="AT624" s="166">
        <v>1</v>
      </c>
      <c r="AU624" s="166">
        <v>0</v>
      </c>
      <c r="AV624" s="166">
        <v>0</v>
      </c>
      <c r="AW624" s="166">
        <v>0</v>
      </c>
      <c r="AX624" s="166">
        <v>0</v>
      </c>
      <c r="AY624" s="166">
        <v>0</v>
      </c>
      <c r="AZ624" s="166">
        <v>0</v>
      </c>
      <c r="BA624" s="166">
        <v>0</v>
      </c>
      <c r="BB624" s="166">
        <v>0</v>
      </c>
      <c r="BC624" s="166">
        <v>0</v>
      </c>
      <c r="BD624" s="166">
        <v>0</v>
      </c>
      <c r="BE624" s="166">
        <v>0</v>
      </c>
      <c r="BF624" s="166">
        <v>-1</v>
      </c>
      <c r="BG624" s="166">
        <v>0</v>
      </c>
      <c r="BH624" s="166">
        <v>1</v>
      </c>
      <c r="BI624" s="166">
        <v>0</v>
      </c>
      <c r="BJ624" s="166">
        <v>0</v>
      </c>
      <c r="BK624" s="166">
        <v>0</v>
      </c>
      <c r="BL624" s="166">
        <v>0</v>
      </c>
      <c r="BM624" s="166">
        <v>0</v>
      </c>
      <c r="BN624" s="166">
        <v>0</v>
      </c>
      <c r="BO624" s="166">
        <v>0</v>
      </c>
      <c r="BP624" s="166">
        <v>0</v>
      </c>
      <c r="BQ624" s="81" t="s">
        <v>1758</v>
      </c>
      <c r="BZ624" s="81" t="s">
        <v>155</v>
      </c>
      <c r="CA624" s="81" t="s">
        <v>3976</v>
      </c>
      <c r="CC624" s="167">
        <v>0</v>
      </c>
      <c r="CD624" s="167">
        <f>N624</f>
        <v>0</v>
      </c>
      <c r="CE624" s="167">
        <v>0</v>
      </c>
      <c r="CF624" s="167">
        <v>0</v>
      </c>
      <c r="CG624" s="167">
        <v>0</v>
      </c>
      <c r="CH624" s="167">
        <v>0</v>
      </c>
      <c r="CI624" s="167">
        <v>0</v>
      </c>
      <c r="CJ624" s="167">
        <v>0</v>
      </c>
      <c r="CK624" s="167">
        <v>0</v>
      </c>
      <c r="CL624" s="167">
        <v>0</v>
      </c>
      <c r="CM624" s="167">
        <v>0</v>
      </c>
      <c r="CN624" s="167">
        <v>0</v>
      </c>
      <c r="CO624" s="167">
        <v>0</v>
      </c>
      <c r="CP624" s="167">
        <v>0</v>
      </c>
      <c r="CQ624" s="167">
        <v>0</v>
      </c>
      <c r="CR624" s="167">
        <v>0</v>
      </c>
      <c r="CS624" s="167">
        <v>0</v>
      </c>
      <c r="CT624" s="167">
        <v>0</v>
      </c>
      <c r="CU624" s="167">
        <v>0</v>
      </c>
      <c r="CV624" s="167">
        <v>0</v>
      </c>
      <c r="CW624" s="167">
        <v>0</v>
      </c>
      <c r="CX624" s="167">
        <f>SUM(CD624:CH624)</f>
        <v>0</v>
      </c>
      <c r="CY624" s="167">
        <f>SUM(CD624:CM624)</f>
        <v>0</v>
      </c>
    </row>
    <row r="625" spans="1:103" ht="12.75" customHeight="1" x14ac:dyDescent="0.2">
      <c r="A625" s="81">
        <v>6112</v>
      </c>
      <c r="B625" s="165" t="s">
        <v>1908</v>
      </c>
      <c r="C625" s="165" t="s">
        <v>3629</v>
      </c>
      <c r="E625" s="165" t="s">
        <v>3630</v>
      </c>
      <c r="G625" s="81">
        <v>525940</v>
      </c>
      <c r="H625" s="81">
        <v>173410</v>
      </c>
      <c r="I625" s="165" t="s">
        <v>249</v>
      </c>
      <c r="J625" s="349">
        <v>43190</v>
      </c>
      <c r="L625" s="166">
        <v>0</v>
      </c>
      <c r="M625" s="166">
        <v>3</v>
      </c>
      <c r="N625" s="166">
        <v>3</v>
      </c>
      <c r="O625" s="166">
        <v>4</v>
      </c>
      <c r="P625" s="166">
        <v>4</v>
      </c>
      <c r="R625" s="165" t="s">
        <v>3631</v>
      </c>
      <c r="S625" s="81" t="s">
        <v>113</v>
      </c>
      <c r="T625" s="349">
        <v>43119</v>
      </c>
      <c r="U625" s="349">
        <v>43175</v>
      </c>
      <c r="V625" s="81" t="s">
        <v>155</v>
      </c>
      <c r="W625" s="81" t="s">
        <v>114</v>
      </c>
      <c r="Y625" s="81" t="s">
        <v>115</v>
      </c>
      <c r="Z625" s="81" t="s">
        <v>398</v>
      </c>
      <c r="AA625" s="81" t="s">
        <v>117</v>
      </c>
      <c r="AB625" s="81" t="s">
        <v>218</v>
      </c>
      <c r="AC625" s="166">
        <v>8.9999996125698107E-3</v>
      </c>
      <c r="AD625" s="349">
        <v>43190</v>
      </c>
      <c r="AE625" s="81" t="s">
        <v>155</v>
      </c>
      <c r="AG625" s="81" t="s">
        <v>238</v>
      </c>
      <c r="AH625" s="81" t="s">
        <v>118</v>
      </c>
      <c r="AK625" s="166">
        <v>0</v>
      </c>
      <c r="AM625" s="166">
        <v>0</v>
      </c>
      <c r="AO625" s="166">
        <v>0</v>
      </c>
      <c r="AP625" s="166">
        <v>0</v>
      </c>
      <c r="AQ625" s="166">
        <v>2</v>
      </c>
      <c r="AR625" s="166">
        <v>1</v>
      </c>
      <c r="AS625" s="166">
        <v>0</v>
      </c>
      <c r="AT625" s="166">
        <v>0</v>
      </c>
      <c r="AU625" s="166">
        <v>0</v>
      </c>
      <c r="AV625" s="166">
        <v>0</v>
      </c>
      <c r="AW625" s="166">
        <v>0</v>
      </c>
      <c r="AX625" s="166">
        <v>2</v>
      </c>
      <c r="AY625" s="166">
        <v>1</v>
      </c>
      <c r="AZ625" s="166">
        <v>0</v>
      </c>
      <c r="BA625" s="166">
        <v>0</v>
      </c>
      <c r="BB625" s="166">
        <v>0</v>
      </c>
      <c r="BC625" s="166">
        <v>0</v>
      </c>
      <c r="BD625" s="166">
        <v>0</v>
      </c>
      <c r="BE625" s="166">
        <v>0</v>
      </c>
      <c r="BF625" s="166">
        <v>0</v>
      </c>
      <c r="BG625" s="166">
        <v>0</v>
      </c>
      <c r="BH625" s="166">
        <v>0</v>
      </c>
      <c r="BI625" s="166">
        <v>0</v>
      </c>
      <c r="BJ625" s="166">
        <v>0</v>
      </c>
      <c r="BK625" s="166">
        <v>0</v>
      </c>
      <c r="BL625" s="166">
        <v>0</v>
      </c>
      <c r="BM625" s="166">
        <v>0</v>
      </c>
      <c r="BN625" s="166">
        <v>0</v>
      </c>
      <c r="BO625" s="166">
        <v>0</v>
      </c>
      <c r="BP625" s="166">
        <v>0</v>
      </c>
      <c r="BQ625" s="81" t="s">
        <v>1758</v>
      </c>
      <c r="BY625" s="81" t="s">
        <v>155</v>
      </c>
      <c r="BZ625" s="81" t="s">
        <v>155</v>
      </c>
      <c r="CA625" s="81" t="s">
        <v>3981</v>
      </c>
      <c r="CC625" s="167">
        <v>0</v>
      </c>
      <c r="CD625" s="167">
        <f>$N625/2</f>
        <v>1.5</v>
      </c>
      <c r="CE625" s="167">
        <f>$N625/2</f>
        <v>1.5</v>
      </c>
      <c r="CF625" s="167">
        <v>0</v>
      </c>
      <c r="CG625" s="167">
        <v>0</v>
      </c>
      <c r="CH625" s="167">
        <v>0</v>
      </c>
      <c r="CI625" s="167">
        <v>0</v>
      </c>
      <c r="CJ625" s="167">
        <v>0</v>
      </c>
      <c r="CK625" s="167">
        <v>0</v>
      </c>
      <c r="CL625" s="167">
        <v>0</v>
      </c>
      <c r="CM625" s="167">
        <v>0</v>
      </c>
      <c r="CN625" s="167">
        <v>0</v>
      </c>
      <c r="CO625" s="167">
        <v>0</v>
      </c>
      <c r="CP625" s="167">
        <v>0</v>
      </c>
      <c r="CQ625" s="167">
        <v>0</v>
      </c>
      <c r="CR625" s="167">
        <v>0</v>
      </c>
      <c r="CS625" s="167">
        <v>0</v>
      </c>
      <c r="CT625" s="167">
        <v>0</v>
      </c>
      <c r="CU625" s="167">
        <v>0</v>
      </c>
      <c r="CV625" s="167">
        <v>0</v>
      </c>
      <c r="CW625" s="167">
        <v>0</v>
      </c>
      <c r="CX625" s="167">
        <f>SUM(CD625:CH625)</f>
        <v>3</v>
      </c>
      <c r="CY625" s="167">
        <f>SUM(CD625:CM625)</f>
        <v>3</v>
      </c>
    </row>
    <row r="626" spans="1:103" x14ac:dyDescent="0.2">
      <c r="A626" s="81">
        <v>6112</v>
      </c>
      <c r="B626" s="165" t="s">
        <v>1908</v>
      </c>
      <c r="C626" s="165" t="s">
        <v>3629</v>
      </c>
      <c r="E626" s="165" t="s">
        <v>3630</v>
      </c>
      <c r="G626" s="81">
        <v>525940</v>
      </c>
      <c r="H626" s="81">
        <v>173410</v>
      </c>
      <c r="I626" s="165" t="s">
        <v>249</v>
      </c>
      <c r="J626" s="349">
        <v>43190</v>
      </c>
      <c r="L626" s="166">
        <v>0</v>
      </c>
      <c r="M626" s="166">
        <v>1</v>
      </c>
      <c r="N626" s="166">
        <v>1</v>
      </c>
      <c r="O626" s="166">
        <v>4</v>
      </c>
      <c r="P626" s="166">
        <v>4</v>
      </c>
      <c r="R626" s="165" t="s">
        <v>3631</v>
      </c>
      <c r="S626" s="81" t="s">
        <v>113</v>
      </c>
      <c r="T626" s="349">
        <v>43119</v>
      </c>
      <c r="U626" s="349">
        <v>43175</v>
      </c>
      <c r="V626" s="81" t="s">
        <v>155</v>
      </c>
      <c r="W626" s="81" t="s">
        <v>114</v>
      </c>
      <c r="Y626" s="81" t="s">
        <v>115</v>
      </c>
      <c r="Z626" s="81" t="s">
        <v>398</v>
      </c>
      <c r="AA626" s="81" t="s">
        <v>117</v>
      </c>
      <c r="AB626" s="81" t="s">
        <v>102</v>
      </c>
      <c r="AC626" s="166">
        <v>4.0000001899898104E-3</v>
      </c>
      <c r="AD626" s="349">
        <v>43190</v>
      </c>
      <c r="AE626" s="81" t="s">
        <v>155</v>
      </c>
      <c r="AG626" s="81" t="s">
        <v>238</v>
      </c>
      <c r="AH626" s="81" t="s">
        <v>118</v>
      </c>
      <c r="AK626" s="166">
        <v>0</v>
      </c>
      <c r="AM626" s="166">
        <v>0</v>
      </c>
      <c r="AO626" s="166">
        <v>0</v>
      </c>
      <c r="AP626" s="166">
        <v>1</v>
      </c>
      <c r="AQ626" s="166">
        <v>0</v>
      </c>
      <c r="AR626" s="166">
        <v>0</v>
      </c>
      <c r="AS626" s="166">
        <v>0</v>
      </c>
      <c r="AT626" s="166">
        <v>0</v>
      </c>
      <c r="AU626" s="166">
        <v>0</v>
      </c>
      <c r="AV626" s="166">
        <v>0</v>
      </c>
      <c r="AW626" s="166">
        <v>1</v>
      </c>
      <c r="AX626" s="166">
        <v>0</v>
      </c>
      <c r="AY626" s="166">
        <v>0</v>
      </c>
      <c r="AZ626" s="166">
        <v>0</v>
      </c>
      <c r="BA626" s="166">
        <v>0</v>
      </c>
      <c r="BB626" s="166">
        <v>0</v>
      </c>
      <c r="BC626" s="166">
        <v>0</v>
      </c>
      <c r="BD626" s="166">
        <v>0</v>
      </c>
      <c r="BE626" s="166">
        <v>0</v>
      </c>
      <c r="BF626" s="166">
        <v>0</v>
      </c>
      <c r="BG626" s="166">
        <v>0</v>
      </c>
      <c r="BH626" s="166">
        <v>0</v>
      </c>
      <c r="BI626" s="166">
        <v>0</v>
      </c>
      <c r="BJ626" s="166">
        <v>0</v>
      </c>
      <c r="BK626" s="166">
        <v>0</v>
      </c>
      <c r="BL626" s="166">
        <v>0</v>
      </c>
      <c r="BM626" s="166">
        <v>0</v>
      </c>
      <c r="BN626" s="166">
        <v>0</v>
      </c>
      <c r="BO626" s="166">
        <v>0</v>
      </c>
      <c r="BP626" s="166">
        <v>0</v>
      </c>
      <c r="BQ626" s="81" t="s">
        <v>1758</v>
      </c>
      <c r="BY626" s="81" t="s">
        <v>155</v>
      </c>
      <c r="BZ626" s="81" t="s">
        <v>155</v>
      </c>
      <c r="CA626" s="81" t="s">
        <v>3981</v>
      </c>
      <c r="CC626" s="167">
        <v>0</v>
      </c>
      <c r="CD626" s="167">
        <f>$N626/2</f>
        <v>0.5</v>
      </c>
      <c r="CE626" s="167">
        <f>$N626/2</f>
        <v>0.5</v>
      </c>
      <c r="CF626" s="167">
        <v>0</v>
      </c>
      <c r="CG626" s="167">
        <v>0</v>
      </c>
      <c r="CH626" s="167">
        <v>0</v>
      </c>
      <c r="CI626" s="167">
        <v>0</v>
      </c>
      <c r="CJ626" s="167">
        <v>0</v>
      </c>
      <c r="CK626" s="167">
        <v>0</v>
      </c>
      <c r="CL626" s="167">
        <v>0</v>
      </c>
      <c r="CM626" s="167">
        <v>0</v>
      </c>
      <c r="CN626" s="167">
        <v>0</v>
      </c>
      <c r="CO626" s="167">
        <v>0</v>
      </c>
      <c r="CP626" s="167">
        <v>0</v>
      </c>
      <c r="CQ626" s="167">
        <v>0</v>
      </c>
      <c r="CR626" s="167">
        <v>0</v>
      </c>
      <c r="CS626" s="167">
        <v>0</v>
      </c>
      <c r="CT626" s="167">
        <v>0</v>
      </c>
      <c r="CU626" s="167">
        <v>0</v>
      </c>
      <c r="CV626" s="167">
        <v>0</v>
      </c>
      <c r="CW626" s="167">
        <v>0</v>
      </c>
      <c r="CX626" s="167">
        <f>SUM(CD626:CH626)</f>
        <v>1</v>
      </c>
      <c r="CY626" s="167">
        <f>SUM(CD626:CM626)</f>
        <v>1</v>
      </c>
    </row>
    <row r="627" spans="1:103" ht="12.75" customHeight="1" x14ac:dyDescent="0.2">
      <c r="A627" s="81">
        <v>6119</v>
      </c>
      <c r="B627" s="165" t="s">
        <v>1908</v>
      </c>
      <c r="C627" s="165" t="s">
        <v>710</v>
      </c>
      <c r="E627" s="165" t="s">
        <v>3423</v>
      </c>
      <c r="G627" s="81">
        <v>528391</v>
      </c>
      <c r="H627" s="81">
        <v>174060</v>
      </c>
      <c r="I627" s="165" t="s">
        <v>247</v>
      </c>
      <c r="J627" s="349">
        <v>42825</v>
      </c>
      <c r="L627" s="166">
        <v>0</v>
      </c>
      <c r="M627" s="166">
        <v>16</v>
      </c>
      <c r="N627" s="166">
        <v>16</v>
      </c>
      <c r="O627" s="166">
        <v>16</v>
      </c>
      <c r="P627" s="166">
        <v>16</v>
      </c>
      <c r="Q627" s="81" t="s">
        <v>155</v>
      </c>
      <c r="R627" s="165" t="s">
        <v>968</v>
      </c>
      <c r="S627" s="81" t="s">
        <v>104</v>
      </c>
      <c r="T627" s="349">
        <v>42354</v>
      </c>
      <c r="U627" s="349">
        <v>42460</v>
      </c>
      <c r="W627" s="81" t="s">
        <v>114</v>
      </c>
      <c r="Y627" s="81" t="s">
        <v>115</v>
      </c>
      <c r="Z627" s="81" t="s">
        <v>398</v>
      </c>
      <c r="AA627" s="81" t="s">
        <v>116</v>
      </c>
      <c r="AB627" s="81" t="s">
        <v>117</v>
      </c>
      <c r="AC627" s="166">
        <v>0.181999996304512</v>
      </c>
      <c r="AD627" s="349">
        <v>42825</v>
      </c>
      <c r="AG627" s="81" t="s">
        <v>238</v>
      </c>
      <c r="AH627" s="81" t="s">
        <v>118</v>
      </c>
      <c r="AK627" s="166">
        <v>16</v>
      </c>
      <c r="AM627" s="166">
        <v>3</v>
      </c>
      <c r="AO627" s="166">
        <v>2</v>
      </c>
      <c r="AP627" s="166">
        <v>3</v>
      </c>
      <c r="AQ627" s="166">
        <v>6</v>
      </c>
      <c r="AR627" s="166">
        <v>2</v>
      </c>
      <c r="AS627" s="166">
        <v>3</v>
      </c>
      <c r="AT627" s="166">
        <v>0</v>
      </c>
      <c r="AU627" s="166">
        <v>0</v>
      </c>
      <c r="AV627" s="166">
        <v>2</v>
      </c>
      <c r="AW627" s="166">
        <v>3</v>
      </c>
      <c r="AX627" s="166">
        <v>6</v>
      </c>
      <c r="AY627" s="166">
        <v>2</v>
      </c>
      <c r="AZ627" s="166">
        <v>0</v>
      </c>
      <c r="BA627" s="166">
        <v>0</v>
      </c>
      <c r="BB627" s="166">
        <v>0</v>
      </c>
      <c r="BC627" s="166">
        <v>0</v>
      </c>
      <c r="BD627" s="166">
        <v>0</v>
      </c>
      <c r="BE627" s="166">
        <v>0</v>
      </c>
      <c r="BF627" s="166">
        <v>0</v>
      </c>
      <c r="BG627" s="166">
        <v>3</v>
      </c>
      <c r="BH627" s="166">
        <v>0</v>
      </c>
      <c r="BI627" s="166">
        <v>0</v>
      </c>
      <c r="BJ627" s="166">
        <v>0</v>
      </c>
      <c r="BK627" s="166">
        <v>0</v>
      </c>
      <c r="BL627" s="166">
        <v>0</v>
      </c>
      <c r="BM627" s="166">
        <v>0</v>
      </c>
      <c r="BN627" s="166">
        <v>0</v>
      </c>
      <c r="BO627" s="166">
        <v>0</v>
      </c>
      <c r="BP627" s="166">
        <v>0</v>
      </c>
      <c r="BQ627" s="81" t="s">
        <v>1757</v>
      </c>
      <c r="BZ627" s="81" t="s">
        <v>155</v>
      </c>
      <c r="CA627" s="81" t="s">
        <v>3976</v>
      </c>
      <c r="CC627" s="167">
        <v>0</v>
      </c>
      <c r="CD627" s="167">
        <f>N627</f>
        <v>16</v>
      </c>
      <c r="CE627" s="167">
        <v>0</v>
      </c>
      <c r="CF627" s="167">
        <v>0</v>
      </c>
      <c r="CG627" s="167">
        <v>0</v>
      </c>
      <c r="CH627" s="167">
        <v>0</v>
      </c>
      <c r="CI627" s="167">
        <v>0</v>
      </c>
      <c r="CJ627" s="167">
        <v>0</v>
      </c>
      <c r="CK627" s="167">
        <v>0</v>
      </c>
      <c r="CL627" s="167">
        <v>0</v>
      </c>
      <c r="CM627" s="167">
        <v>0</v>
      </c>
      <c r="CN627" s="167">
        <v>0</v>
      </c>
      <c r="CO627" s="167">
        <v>0</v>
      </c>
      <c r="CP627" s="167">
        <v>0</v>
      </c>
      <c r="CQ627" s="167">
        <v>0</v>
      </c>
      <c r="CR627" s="167">
        <v>0</v>
      </c>
      <c r="CS627" s="167">
        <v>0</v>
      </c>
      <c r="CT627" s="167">
        <v>0</v>
      </c>
      <c r="CU627" s="167">
        <v>0</v>
      </c>
      <c r="CV627" s="167">
        <v>0</v>
      </c>
      <c r="CW627" s="167">
        <v>0</v>
      </c>
      <c r="CX627" s="167">
        <f>SUM(CD627:CH627)</f>
        <v>16</v>
      </c>
      <c r="CY627" s="167">
        <f>SUM(CD627:CM627)</f>
        <v>16</v>
      </c>
    </row>
    <row r="628" spans="1:103" ht="12.75" customHeight="1" x14ac:dyDescent="0.2">
      <c r="A628" s="81">
        <v>6121</v>
      </c>
      <c r="B628" s="165" t="s">
        <v>1908</v>
      </c>
      <c r="C628" s="165" t="s">
        <v>1260</v>
      </c>
      <c r="E628" s="165" t="s">
        <v>3620</v>
      </c>
      <c r="G628" s="81">
        <v>527356</v>
      </c>
      <c r="H628" s="81">
        <v>171517</v>
      </c>
      <c r="I628" s="165" t="s">
        <v>242</v>
      </c>
      <c r="J628" s="349">
        <v>43190</v>
      </c>
      <c r="L628" s="166">
        <v>1</v>
      </c>
      <c r="M628" s="166">
        <v>3</v>
      </c>
      <c r="N628" s="166">
        <v>2</v>
      </c>
      <c r="O628" s="166">
        <v>3</v>
      </c>
      <c r="P628" s="166">
        <v>2</v>
      </c>
      <c r="R628" s="165" t="s">
        <v>1261</v>
      </c>
      <c r="S628" s="81" t="s">
        <v>113</v>
      </c>
      <c r="T628" s="349">
        <v>42503</v>
      </c>
      <c r="U628" s="349">
        <v>42559</v>
      </c>
      <c r="W628" s="81" t="s">
        <v>114</v>
      </c>
      <c r="Y628" s="81" t="s">
        <v>115</v>
      </c>
      <c r="Z628" s="81" t="s">
        <v>116</v>
      </c>
      <c r="AA628" s="81" t="s">
        <v>117</v>
      </c>
      <c r="AB628" s="81" t="s">
        <v>218</v>
      </c>
      <c r="AC628" s="166">
        <v>3.4000001847744002E-2</v>
      </c>
      <c r="AD628" s="349">
        <v>43190</v>
      </c>
      <c r="AE628" s="81" t="s">
        <v>155</v>
      </c>
      <c r="AG628" s="81" t="s">
        <v>238</v>
      </c>
      <c r="AH628" s="81" t="s">
        <v>118</v>
      </c>
      <c r="AK628" s="166">
        <v>0</v>
      </c>
      <c r="AM628" s="166">
        <v>0</v>
      </c>
      <c r="AO628" s="166">
        <v>-1</v>
      </c>
      <c r="AP628" s="166">
        <v>1</v>
      </c>
      <c r="AQ628" s="166">
        <v>2</v>
      </c>
      <c r="AR628" s="166">
        <v>0</v>
      </c>
      <c r="AS628" s="166">
        <v>0</v>
      </c>
      <c r="AT628" s="166">
        <v>0</v>
      </c>
      <c r="AU628" s="166">
        <v>0</v>
      </c>
      <c r="AV628" s="166">
        <v>-1</v>
      </c>
      <c r="AW628" s="166">
        <v>1</v>
      </c>
      <c r="AX628" s="166">
        <v>2</v>
      </c>
      <c r="AY628" s="166">
        <v>0</v>
      </c>
      <c r="AZ628" s="166">
        <v>0</v>
      </c>
      <c r="BA628" s="166">
        <v>0</v>
      </c>
      <c r="BB628" s="166">
        <v>0</v>
      </c>
      <c r="BC628" s="166">
        <v>0</v>
      </c>
      <c r="BD628" s="166">
        <v>0</v>
      </c>
      <c r="BE628" s="166">
        <v>0</v>
      </c>
      <c r="BF628" s="166">
        <v>0</v>
      </c>
      <c r="BG628" s="166">
        <v>0</v>
      </c>
      <c r="BH628" s="166">
        <v>0</v>
      </c>
      <c r="BI628" s="166">
        <v>0</v>
      </c>
      <c r="BJ628" s="166">
        <v>0</v>
      </c>
      <c r="BK628" s="166">
        <v>0</v>
      </c>
      <c r="BL628" s="166">
        <v>0</v>
      </c>
      <c r="BM628" s="166">
        <v>0</v>
      </c>
      <c r="BN628" s="166">
        <v>0</v>
      </c>
      <c r="BO628" s="166">
        <v>0</v>
      </c>
      <c r="BP628" s="166">
        <v>0</v>
      </c>
      <c r="BQ628" s="81" t="s">
        <v>1757</v>
      </c>
      <c r="BZ628" s="81" t="s">
        <v>155</v>
      </c>
      <c r="CA628" s="81" t="s">
        <v>3977</v>
      </c>
      <c r="CC628" s="167">
        <v>0</v>
      </c>
      <c r="CD628" s="167">
        <f>$N628/2</f>
        <v>1</v>
      </c>
      <c r="CE628" s="167">
        <f>$N628/2</f>
        <v>1</v>
      </c>
      <c r="CF628" s="167">
        <v>0</v>
      </c>
      <c r="CG628" s="167">
        <v>0</v>
      </c>
      <c r="CH628" s="167">
        <v>0</v>
      </c>
      <c r="CI628" s="167">
        <v>0</v>
      </c>
      <c r="CJ628" s="167">
        <v>0</v>
      </c>
      <c r="CK628" s="167">
        <v>0</v>
      </c>
      <c r="CL628" s="167">
        <v>0</v>
      </c>
      <c r="CM628" s="167">
        <v>0</v>
      </c>
      <c r="CN628" s="167">
        <v>0</v>
      </c>
      <c r="CO628" s="167">
        <v>0</v>
      </c>
      <c r="CP628" s="167">
        <v>0</v>
      </c>
      <c r="CQ628" s="167">
        <v>0</v>
      </c>
      <c r="CR628" s="167">
        <v>0</v>
      </c>
      <c r="CS628" s="167">
        <v>0</v>
      </c>
      <c r="CT628" s="167">
        <v>0</v>
      </c>
      <c r="CU628" s="167">
        <v>0</v>
      </c>
      <c r="CV628" s="167">
        <v>0</v>
      </c>
      <c r="CW628" s="167">
        <v>0</v>
      </c>
      <c r="CX628" s="167">
        <f>SUM(CD628:CH628)</f>
        <v>2</v>
      </c>
      <c r="CY628" s="167">
        <f>SUM(CD628:CM628)</f>
        <v>2</v>
      </c>
    </row>
    <row r="629" spans="1:103" ht="12.75" customHeight="1" x14ac:dyDescent="0.2">
      <c r="A629" s="81">
        <v>6124</v>
      </c>
      <c r="B629" s="165" t="s">
        <v>1908</v>
      </c>
      <c r="C629" s="165" t="s">
        <v>708</v>
      </c>
      <c r="E629" s="165" t="s">
        <v>3633</v>
      </c>
      <c r="G629" s="81">
        <v>526974</v>
      </c>
      <c r="H629" s="81">
        <v>175176</v>
      </c>
      <c r="I629" s="165" t="s">
        <v>251</v>
      </c>
      <c r="J629" s="349">
        <v>42825</v>
      </c>
      <c r="L629" s="166">
        <v>2</v>
      </c>
      <c r="M629" s="166">
        <v>4</v>
      </c>
      <c r="N629" s="166">
        <v>2</v>
      </c>
      <c r="O629" s="166">
        <v>4</v>
      </c>
      <c r="P629" s="166">
        <v>2</v>
      </c>
      <c r="R629" s="165" t="s">
        <v>966</v>
      </c>
      <c r="S629" s="81" t="s">
        <v>113</v>
      </c>
      <c r="T629" s="349">
        <v>42374</v>
      </c>
      <c r="U629" s="349">
        <v>42429</v>
      </c>
      <c r="W629" s="81" t="s">
        <v>114</v>
      </c>
      <c r="Y629" s="81" t="s">
        <v>115</v>
      </c>
      <c r="Z629" s="81" t="s">
        <v>398</v>
      </c>
      <c r="AA629" s="81" t="s">
        <v>117</v>
      </c>
      <c r="AB629" s="81" t="s">
        <v>220</v>
      </c>
      <c r="AC629" s="166">
        <v>1.30000002682209E-2</v>
      </c>
      <c r="AD629" s="349">
        <v>42825</v>
      </c>
      <c r="AG629" s="81" t="s">
        <v>238</v>
      </c>
      <c r="AH629" s="81" t="s">
        <v>118</v>
      </c>
      <c r="AK629" s="166">
        <v>0</v>
      </c>
      <c r="AM629" s="166">
        <v>0</v>
      </c>
      <c r="AO629" s="166">
        <v>0</v>
      </c>
      <c r="AP629" s="166">
        <v>1</v>
      </c>
      <c r="AQ629" s="166">
        <v>1</v>
      </c>
      <c r="AR629" s="166">
        <v>0</v>
      </c>
      <c r="AS629" s="166">
        <v>0</v>
      </c>
      <c r="AT629" s="166">
        <v>0</v>
      </c>
      <c r="AU629" s="166">
        <v>0</v>
      </c>
      <c r="AV629" s="166">
        <v>0</v>
      </c>
      <c r="AW629" s="166">
        <v>1</v>
      </c>
      <c r="AX629" s="166">
        <v>1</v>
      </c>
      <c r="AY629" s="166">
        <v>0</v>
      </c>
      <c r="AZ629" s="166">
        <v>0</v>
      </c>
      <c r="BA629" s="166">
        <v>0</v>
      </c>
      <c r="BB629" s="166">
        <v>0</v>
      </c>
      <c r="BC629" s="166">
        <v>0</v>
      </c>
      <c r="BD629" s="166">
        <v>0</v>
      </c>
      <c r="BE629" s="166">
        <v>0</v>
      </c>
      <c r="BF629" s="166">
        <v>0</v>
      </c>
      <c r="BG629" s="166">
        <v>0</v>
      </c>
      <c r="BH629" s="166">
        <v>0</v>
      </c>
      <c r="BI629" s="166">
        <v>0</v>
      </c>
      <c r="BJ629" s="166">
        <v>0</v>
      </c>
      <c r="BK629" s="166">
        <v>0</v>
      </c>
      <c r="BL629" s="166">
        <v>0</v>
      </c>
      <c r="BM629" s="166">
        <v>0</v>
      </c>
      <c r="BN629" s="166">
        <v>0</v>
      </c>
      <c r="BO629" s="166">
        <v>0</v>
      </c>
      <c r="BP629" s="166">
        <v>0</v>
      </c>
      <c r="BQ629" s="81" t="s">
        <v>1758</v>
      </c>
      <c r="BZ629" s="81" t="s">
        <v>155</v>
      </c>
      <c r="CA629" s="81" t="s">
        <v>3980</v>
      </c>
      <c r="CC629" s="167">
        <v>0</v>
      </c>
      <c r="CD629" s="167">
        <f>N629</f>
        <v>2</v>
      </c>
      <c r="CE629" s="167">
        <v>0</v>
      </c>
      <c r="CF629" s="167">
        <v>0</v>
      </c>
      <c r="CG629" s="167">
        <v>0</v>
      </c>
      <c r="CH629" s="167">
        <v>0</v>
      </c>
      <c r="CI629" s="167">
        <v>0</v>
      </c>
      <c r="CJ629" s="167">
        <v>0</v>
      </c>
      <c r="CK629" s="167">
        <v>0</v>
      </c>
      <c r="CL629" s="167">
        <v>0</v>
      </c>
      <c r="CM629" s="167">
        <v>0</v>
      </c>
      <c r="CN629" s="167">
        <v>0</v>
      </c>
      <c r="CO629" s="167">
        <v>0</v>
      </c>
      <c r="CP629" s="167">
        <v>0</v>
      </c>
      <c r="CQ629" s="167">
        <v>0</v>
      </c>
      <c r="CR629" s="167">
        <v>0</v>
      </c>
      <c r="CS629" s="167">
        <v>0</v>
      </c>
      <c r="CT629" s="167">
        <v>0</v>
      </c>
      <c r="CU629" s="167">
        <v>0</v>
      </c>
      <c r="CV629" s="167">
        <v>0</v>
      </c>
      <c r="CW629" s="167">
        <v>0</v>
      </c>
      <c r="CX629" s="167">
        <f>SUM(CD629:CH629)</f>
        <v>2</v>
      </c>
      <c r="CY629" s="167">
        <f>SUM(CD629:CM629)</f>
        <v>2</v>
      </c>
    </row>
    <row r="630" spans="1:103" ht="12.75" customHeight="1" x14ac:dyDescent="0.2">
      <c r="A630" s="81">
        <v>6132</v>
      </c>
      <c r="B630" s="165" t="s">
        <v>1908</v>
      </c>
      <c r="C630" s="165" t="s">
        <v>714</v>
      </c>
      <c r="E630" s="165" t="s">
        <v>3625</v>
      </c>
      <c r="G630" s="81">
        <v>528883</v>
      </c>
      <c r="H630" s="81">
        <v>173580</v>
      </c>
      <c r="I630" s="165" t="s">
        <v>247</v>
      </c>
      <c r="J630" s="349">
        <v>42825</v>
      </c>
      <c r="L630" s="166">
        <v>0</v>
      </c>
      <c r="M630" s="166">
        <v>3</v>
      </c>
      <c r="N630" s="166">
        <v>3</v>
      </c>
      <c r="O630" s="166">
        <v>3</v>
      </c>
      <c r="P630" s="166">
        <v>3</v>
      </c>
      <c r="R630" s="165" t="s">
        <v>715</v>
      </c>
      <c r="S630" s="81" t="s">
        <v>113</v>
      </c>
      <c r="T630" s="349">
        <v>42373</v>
      </c>
      <c r="U630" s="349">
        <v>42445</v>
      </c>
      <c r="W630" s="81" t="s">
        <v>114</v>
      </c>
      <c r="Y630" s="81" t="s">
        <v>115</v>
      </c>
      <c r="Z630" s="81" t="s">
        <v>116</v>
      </c>
      <c r="AA630" s="81" t="s">
        <v>117</v>
      </c>
      <c r="AB630" s="81" t="s">
        <v>218</v>
      </c>
      <c r="AC630" s="166">
        <v>2.3000000044703501E-2</v>
      </c>
      <c r="AD630" s="349">
        <v>42825</v>
      </c>
      <c r="AG630" s="81" t="s">
        <v>238</v>
      </c>
      <c r="AH630" s="81" t="s">
        <v>118</v>
      </c>
      <c r="AK630" s="166">
        <v>3</v>
      </c>
      <c r="AM630" s="166">
        <v>0</v>
      </c>
      <c r="AO630" s="166">
        <v>0</v>
      </c>
      <c r="AP630" s="166">
        <v>0</v>
      </c>
      <c r="AQ630" s="166">
        <v>0</v>
      </c>
      <c r="AR630" s="166">
        <v>3</v>
      </c>
      <c r="AS630" s="166">
        <v>0</v>
      </c>
      <c r="AT630" s="166">
        <v>0</v>
      </c>
      <c r="AU630" s="166">
        <v>0</v>
      </c>
      <c r="AV630" s="166">
        <v>0</v>
      </c>
      <c r="AW630" s="166">
        <v>0</v>
      </c>
      <c r="AX630" s="166">
        <v>0</v>
      </c>
      <c r="AY630" s="166">
        <v>0</v>
      </c>
      <c r="AZ630" s="166">
        <v>0</v>
      </c>
      <c r="BA630" s="166">
        <v>0</v>
      </c>
      <c r="BB630" s="166">
        <v>0</v>
      </c>
      <c r="BC630" s="166">
        <v>0</v>
      </c>
      <c r="BD630" s="166">
        <v>0</v>
      </c>
      <c r="BE630" s="166">
        <v>0</v>
      </c>
      <c r="BF630" s="166">
        <v>3</v>
      </c>
      <c r="BG630" s="166">
        <v>0</v>
      </c>
      <c r="BH630" s="166">
        <v>0</v>
      </c>
      <c r="BI630" s="166">
        <v>0</v>
      </c>
      <c r="BJ630" s="166">
        <v>0</v>
      </c>
      <c r="BK630" s="166">
        <v>0</v>
      </c>
      <c r="BL630" s="166">
        <v>0</v>
      </c>
      <c r="BM630" s="166">
        <v>0</v>
      </c>
      <c r="BN630" s="166">
        <v>0</v>
      </c>
      <c r="BO630" s="166">
        <v>0</v>
      </c>
      <c r="BP630" s="166">
        <v>0</v>
      </c>
      <c r="BQ630" s="81" t="s">
        <v>1757</v>
      </c>
      <c r="BZ630" s="81" t="s">
        <v>155</v>
      </c>
      <c r="CA630" s="81" t="s">
        <v>3976</v>
      </c>
      <c r="CC630" s="167">
        <v>0</v>
      </c>
      <c r="CD630" s="167">
        <f>N630</f>
        <v>3</v>
      </c>
      <c r="CE630" s="167">
        <v>0</v>
      </c>
      <c r="CF630" s="167">
        <v>0</v>
      </c>
      <c r="CG630" s="167">
        <v>0</v>
      </c>
      <c r="CH630" s="167">
        <v>0</v>
      </c>
      <c r="CI630" s="167">
        <v>0</v>
      </c>
      <c r="CJ630" s="167">
        <v>0</v>
      </c>
      <c r="CK630" s="167">
        <v>0</v>
      </c>
      <c r="CL630" s="167">
        <v>0</v>
      </c>
      <c r="CM630" s="167">
        <v>0</v>
      </c>
      <c r="CN630" s="167">
        <v>0</v>
      </c>
      <c r="CO630" s="167">
        <v>0</v>
      </c>
      <c r="CP630" s="167">
        <v>0</v>
      </c>
      <c r="CQ630" s="167">
        <v>0</v>
      </c>
      <c r="CR630" s="167">
        <v>0</v>
      </c>
      <c r="CS630" s="167">
        <v>0</v>
      </c>
      <c r="CT630" s="167">
        <v>0</v>
      </c>
      <c r="CU630" s="167">
        <v>0</v>
      </c>
      <c r="CV630" s="167">
        <v>0</v>
      </c>
      <c r="CW630" s="167">
        <v>0</v>
      </c>
      <c r="CX630" s="167">
        <f>SUM(CD630:CH630)</f>
        <v>3</v>
      </c>
      <c r="CY630" s="167">
        <f>SUM(CD630:CM630)</f>
        <v>3</v>
      </c>
    </row>
    <row r="631" spans="1:103" ht="12.75" customHeight="1" x14ac:dyDescent="0.2">
      <c r="A631" s="81">
        <v>6145</v>
      </c>
      <c r="B631" s="165" t="s">
        <v>1908</v>
      </c>
      <c r="C631" s="165" t="s">
        <v>642</v>
      </c>
      <c r="E631" s="165" t="s">
        <v>3635</v>
      </c>
      <c r="G631" s="81">
        <v>529293</v>
      </c>
      <c r="H631" s="81">
        <v>171072</v>
      </c>
      <c r="I631" s="165" t="s">
        <v>252</v>
      </c>
      <c r="J631" s="349">
        <v>43003</v>
      </c>
      <c r="L631" s="166">
        <v>1</v>
      </c>
      <c r="M631" s="166">
        <v>2</v>
      </c>
      <c r="N631" s="166">
        <v>1</v>
      </c>
      <c r="O631" s="166">
        <v>2</v>
      </c>
      <c r="P631" s="166">
        <v>1</v>
      </c>
      <c r="R631" s="165" t="s">
        <v>1141</v>
      </c>
      <c r="S631" s="81" t="s">
        <v>113</v>
      </c>
      <c r="T631" s="349">
        <v>42305</v>
      </c>
      <c r="U631" s="349">
        <v>42459</v>
      </c>
      <c r="W631" s="81" t="s">
        <v>114</v>
      </c>
      <c r="Y631" s="81" t="s">
        <v>115</v>
      </c>
      <c r="Z631" s="81" t="s">
        <v>398</v>
      </c>
      <c r="AA631" s="81" t="s">
        <v>117</v>
      </c>
      <c r="AB631" s="81" t="s">
        <v>220</v>
      </c>
      <c r="AC631" s="166">
        <v>8.0000003799796104E-3</v>
      </c>
      <c r="AD631" s="349">
        <v>43003</v>
      </c>
      <c r="AE631" s="81" t="s">
        <v>155</v>
      </c>
      <c r="AG631" s="81" t="s">
        <v>238</v>
      </c>
      <c r="AH631" s="81" t="s">
        <v>118</v>
      </c>
      <c r="AK631" s="166">
        <v>0</v>
      </c>
      <c r="AM631" s="166">
        <v>0</v>
      </c>
      <c r="AO631" s="166">
        <v>0</v>
      </c>
      <c r="AP631" s="166">
        <v>0</v>
      </c>
      <c r="AQ631" s="166">
        <v>2</v>
      </c>
      <c r="AR631" s="166">
        <v>0</v>
      </c>
      <c r="AS631" s="166">
        <v>-1</v>
      </c>
      <c r="AT631" s="166">
        <v>0</v>
      </c>
      <c r="AU631" s="166">
        <v>0</v>
      </c>
      <c r="AV631" s="166">
        <v>0</v>
      </c>
      <c r="AW631" s="166">
        <v>0</v>
      </c>
      <c r="AX631" s="166">
        <v>2</v>
      </c>
      <c r="AY631" s="166">
        <v>0</v>
      </c>
      <c r="AZ631" s="166">
        <v>-1</v>
      </c>
      <c r="BA631" s="166">
        <v>0</v>
      </c>
      <c r="BB631" s="166">
        <v>0</v>
      </c>
      <c r="BC631" s="166">
        <v>0</v>
      </c>
      <c r="BD631" s="166">
        <v>0</v>
      </c>
      <c r="BE631" s="166">
        <v>0</v>
      </c>
      <c r="BF631" s="166">
        <v>0</v>
      </c>
      <c r="BG631" s="166">
        <v>0</v>
      </c>
      <c r="BH631" s="166">
        <v>0</v>
      </c>
      <c r="BI631" s="166">
        <v>0</v>
      </c>
      <c r="BJ631" s="166">
        <v>0</v>
      </c>
      <c r="BK631" s="166">
        <v>0</v>
      </c>
      <c r="BL631" s="166">
        <v>0</v>
      </c>
      <c r="BM631" s="166">
        <v>0</v>
      </c>
      <c r="BN631" s="166">
        <v>0</v>
      </c>
      <c r="BO631" s="166">
        <v>0</v>
      </c>
      <c r="BP631" s="166">
        <v>0</v>
      </c>
      <c r="BQ631" s="81" t="s">
        <v>1757</v>
      </c>
      <c r="BZ631" s="81" t="s">
        <v>155</v>
      </c>
      <c r="CA631" s="81" t="s">
        <v>3980</v>
      </c>
      <c r="CC631" s="167">
        <v>0</v>
      </c>
      <c r="CD631" s="167">
        <f>N631</f>
        <v>1</v>
      </c>
      <c r="CE631" s="167">
        <v>0</v>
      </c>
      <c r="CF631" s="167">
        <v>0</v>
      </c>
      <c r="CG631" s="167">
        <v>0</v>
      </c>
      <c r="CH631" s="167">
        <v>0</v>
      </c>
      <c r="CI631" s="167">
        <v>0</v>
      </c>
      <c r="CJ631" s="167">
        <v>0</v>
      </c>
      <c r="CK631" s="167">
        <v>0</v>
      </c>
      <c r="CL631" s="167">
        <v>0</v>
      </c>
      <c r="CM631" s="167">
        <v>0</v>
      </c>
      <c r="CN631" s="167">
        <v>0</v>
      </c>
      <c r="CO631" s="167">
        <v>0</v>
      </c>
      <c r="CP631" s="167">
        <v>0</v>
      </c>
      <c r="CQ631" s="167">
        <v>0</v>
      </c>
      <c r="CR631" s="167">
        <v>0</v>
      </c>
      <c r="CS631" s="167">
        <v>0</v>
      </c>
      <c r="CT631" s="167">
        <v>0</v>
      </c>
      <c r="CU631" s="167">
        <v>0</v>
      </c>
      <c r="CV631" s="167">
        <v>0</v>
      </c>
      <c r="CW631" s="167">
        <v>0</v>
      </c>
      <c r="CX631" s="167">
        <f>SUM(CD631:CH631)</f>
        <v>1</v>
      </c>
      <c r="CY631" s="167">
        <f>SUM(CD631:CM631)</f>
        <v>1</v>
      </c>
    </row>
    <row r="632" spans="1:103" ht="12.75" customHeight="1" x14ac:dyDescent="0.2">
      <c r="A632" s="81">
        <v>6148</v>
      </c>
      <c r="B632" s="165" t="s">
        <v>1908</v>
      </c>
      <c r="C632" s="165" t="s">
        <v>1146</v>
      </c>
      <c r="E632" s="165" t="s">
        <v>3627</v>
      </c>
      <c r="G632" s="81">
        <v>529113</v>
      </c>
      <c r="H632" s="81">
        <v>170439</v>
      </c>
      <c r="I632" s="165" t="s">
        <v>252</v>
      </c>
      <c r="J632" s="349">
        <v>42769</v>
      </c>
      <c r="L632" s="166">
        <v>0</v>
      </c>
      <c r="M632" s="166">
        <v>9</v>
      </c>
      <c r="N632" s="166">
        <v>9</v>
      </c>
      <c r="O632" s="166">
        <v>9</v>
      </c>
      <c r="P632" s="166">
        <v>9</v>
      </c>
      <c r="R632" s="165" t="s">
        <v>1147</v>
      </c>
      <c r="S632" s="81" t="s">
        <v>292</v>
      </c>
      <c r="T632" s="349">
        <v>42395</v>
      </c>
      <c r="U632" s="349">
        <v>42465</v>
      </c>
      <c r="W632" s="81" t="s">
        <v>114</v>
      </c>
      <c r="Y632" s="81" t="s">
        <v>115</v>
      </c>
      <c r="Z632" s="81" t="s">
        <v>116</v>
      </c>
      <c r="AA632" s="81" t="s">
        <v>117</v>
      </c>
      <c r="AB632" s="81" t="s">
        <v>218</v>
      </c>
      <c r="AC632" s="166">
        <v>2.19999998807907E-2</v>
      </c>
      <c r="AD632" s="349">
        <v>42769</v>
      </c>
      <c r="AG632" s="81" t="s">
        <v>238</v>
      </c>
      <c r="AH632" s="81" t="s">
        <v>118</v>
      </c>
      <c r="AK632" s="166">
        <v>9</v>
      </c>
      <c r="AM632" s="166">
        <v>0</v>
      </c>
      <c r="AO632" s="166">
        <v>0</v>
      </c>
      <c r="AP632" s="166">
        <v>6</v>
      </c>
      <c r="AQ632" s="166">
        <v>3</v>
      </c>
      <c r="AR632" s="166">
        <v>0</v>
      </c>
      <c r="AS632" s="166">
        <v>0</v>
      </c>
      <c r="AT632" s="166">
        <v>0</v>
      </c>
      <c r="AU632" s="166">
        <v>0</v>
      </c>
      <c r="AV632" s="166">
        <v>0</v>
      </c>
      <c r="AW632" s="166">
        <v>6</v>
      </c>
      <c r="AX632" s="166">
        <v>3</v>
      </c>
      <c r="AY632" s="166">
        <v>0</v>
      </c>
      <c r="AZ632" s="166">
        <v>0</v>
      </c>
      <c r="BA632" s="166">
        <v>0</v>
      </c>
      <c r="BB632" s="166">
        <v>0</v>
      </c>
      <c r="BC632" s="166">
        <v>0</v>
      </c>
      <c r="BD632" s="166">
        <v>0</v>
      </c>
      <c r="BE632" s="166">
        <v>0</v>
      </c>
      <c r="BF632" s="166">
        <v>0</v>
      </c>
      <c r="BG632" s="166">
        <v>0</v>
      </c>
      <c r="BH632" s="166">
        <v>0</v>
      </c>
      <c r="BI632" s="166">
        <v>0</v>
      </c>
      <c r="BJ632" s="166">
        <v>0</v>
      </c>
      <c r="BK632" s="166">
        <v>0</v>
      </c>
      <c r="BL632" s="166">
        <v>0</v>
      </c>
      <c r="BM632" s="166">
        <v>0</v>
      </c>
      <c r="BN632" s="166">
        <v>0</v>
      </c>
      <c r="BO632" s="166">
        <v>0</v>
      </c>
      <c r="BP632" s="166">
        <v>0</v>
      </c>
      <c r="BQ632" s="81" t="s">
        <v>1757</v>
      </c>
      <c r="BZ632" s="81" t="s">
        <v>155</v>
      </c>
      <c r="CA632" s="81" t="s">
        <v>3976</v>
      </c>
      <c r="CC632" s="167">
        <v>0</v>
      </c>
      <c r="CD632" s="167">
        <f>N632</f>
        <v>9</v>
      </c>
      <c r="CE632" s="167">
        <v>0</v>
      </c>
      <c r="CF632" s="167">
        <v>0</v>
      </c>
      <c r="CG632" s="167">
        <v>0</v>
      </c>
      <c r="CH632" s="167">
        <v>0</v>
      </c>
      <c r="CI632" s="167">
        <v>0</v>
      </c>
      <c r="CJ632" s="167">
        <v>0</v>
      </c>
      <c r="CK632" s="167">
        <v>0</v>
      </c>
      <c r="CL632" s="167">
        <v>0</v>
      </c>
      <c r="CM632" s="167">
        <v>0</v>
      </c>
      <c r="CN632" s="167">
        <v>0</v>
      </c>
      <c r="CO632" s="167">
        <v>0</v>
      </c>
      <c r="CP632" s="167">
        <v>0</v>
      </c>
      <c r="CQ632" s="167">
        <v>0</v>
      </c>
      <c r="CR632" s="167">
        <v>0</v>
      </c>
      <c r="CS632" s="167">
        <v>0</v>
      </c>
      <c r="CT632" s="167">
        <v>0</v>
      </c>
      <c r="CU632" s="167">
        <v>0</v>
      </c>
      <c r="CV632" s="167">
        <v>0</v>
      </c>
      <c r="CW632" s="167">
        <v>0</v>
      </c>
      <c r="CX632" s="167">
        <f>SUM(CD632:CH632)</f>
        <v>9</v>
      </c>
      <c r="CY632" s="167">
        <f>SUM(CD632:CM632)</f>
        <v>9</v>
      </c>
    </row>
    <row r="633" spans="1:103" ht="12.75" customHeight="1" x14ac:dyDescent="0.2">
      <c r="A633" s="81">
        <v>6162</v>
      </c>
      <c r="B633" s="165" t="s">
        <v>1908</v>
      </c>
      <c r="C633" s="165" t="s">
        <v>1212</v>
      </c>
      <c r="E633" s="165" t="s">
        <v>3637</v>
      </c>
      <c r="G633" s="81">
        <v>522116</v>
      </c>
      <c r="H633" s="81">
        <v>175394</v>
      </c>
      <c r="I633" s="165" t="s">
        <v>59</v>
      </c>
      <c r="J633" s="349">
        <v>43190</v>
      </c>
      <c r="L633" s="166">
        <v>1</v>
      </c>
      <c r="M633" s="166">
        <v>4</v>
      </c>
      <c r="N633" s="166">
        <v>3</v>
      </c>
      <c r="O633" s="166">
        <v>4</v>
      </c>
      <c r="P633" s="166">
        <v>3</v>
      </c>
      <c r="R633" s="165" t="s">
        <v>1213</v>
      </c>
      <c r="S633" s="81" t="s">
        <v>113</v>
      </c>
      <c r="T633" s="349">
        <v>42479</v>
      </c>
      <c r="U633" s="349">
        <v>42562</v>
      </c>
      <c r="W633" s="81" t="s">
        <v>114</v>
      </c>
      <c r="Y633" s="81" t="s">
        <v>115</v>
      </c>
      <c r="Z633" s="81" t="s">
        <v>398</v>
      </c>
      <c r="AA633" s="81" t="s">
        <v>117</v>
      </c>
      <c r="AB633" s="81" t="s">
        <v>120</v>
      </c>
      <c r="AC633" s="166">
        <v>2.9999999329447701E-2</v>
      </c>
      <c r="AD633" s="349">
        <v>43190</v>
      </c>
      <c r="AE633" s="81" t="s">
        <v>155</v>
      </c>
      <c r="AG633" s="81" t="s">
        <v>238</v>
      </c>
      <c r="AH633" s="81" t="s">
        <v>118</v>
      </c>
      <c r="AK633" s="166">
        <v>0</v>
      </c>
      <c r="AM633" s="166">
        <v>0</v>
      </c>
      <c r="AO633" s="166">
        <v>0</v>
      </c>
      <c r="AP633" s="166">
        <v>1</v>
      </c>
      <c r="AQ633" s="166">
        <v>1</v>
      </c>
      <c r="AR633" s="166">
        <v>2</v>
      </c>
      <c r="AS633" s="166">
        <v>-1</v>
      </c>
      <c r="AT633" s="166">
        <v>0</v>
      </c>
      <c r="AU633" s="166">
        <v>0</v>
      </c>
      <c r="AV633" s="166">
        <v>0</v>
      </c>
      <c r="AW633" s="166">
        <v>1</v>
      </c>
      <c r="AX633" s="166">
        <v>1</v>
      </c>
      <c r="AY633" s="166">
        <v>2</v>
      </c>
      <c r="AZ633" s="166">
        <v>0</v>
      </c>
      <c r="BA633" s="166">
        <v>0</v>
      </c>
      <c r="BB633" s="166">
        <v>0</v>
      </c>
      <c r="BC633" s="166">
        <v>0</v>
      </c>
      <c r="BD633" s="166">
        <v>0</v>
      </c>
      <c r="BE633" s="166">
        <v>0</v>
      </c>
      <c r="BF633" s="166">
        <v>0</v>
      </c>
      <c r="BG633" s="166">
        <v>-1</v>
      </c>
      <c r="BH633" s="166">
        <v>0</v>
      </c>
      <c r="BI633" s="166">
        <v>0</v>
      </c>
      <c r="BJ633" s="166">
        <v>0</v>
      </c>
      <c r="BK633" s="166">
        <v>0</v>
      </c>
      <c r="BL633" s="166">
        <v>0</v>
      </c>
      <c r="BM633" s="166">
        <v>0</v>
      </c>
      <c r="BN633" s="166">
        <v>0</v>
      </c>
      <c r="BO633" s="166">
        <v>0</v>
      </c>
      <c r="BP633" s="166">
        <v>0</v>
      </c>
      <c r="BQ633" s="81" t="s">
        <v>1758</v>
      </c>
      <c r="BZ633" s="81" t="s">
        <v>155</v>
      </c>
      <c r="CA633" s="81" t="s">
        <v>3981</v>
      </c>
      <c r="CC633" s="167">
        <v>0</v>
      </c>
      <c r="CD633" s="167">
        <f>$N633/2</f>
        <v>1.5</v>
      </c>
      <c r="CE633" s="167">
        <f>$N633/2</f>
        <v>1.5</v>
      </c>
      <c r="CF633" s="167">
        <v>0</v>
      </c>
      <c r="CG633" s="167">
        <v>0</v>
      </c>
      <c r="CH633" s="167">
        <v>0</v>
      </c>
      <c r="CI633" s="167">
        <v>0</v>
      </c>
      <c r="CJ633" s="167">
        <v>0</v>
      </c>
      <c r="CK633" s="167">
        <v>0</v>
      </c>
      <c r="CL633" s="167">
        <v>0</v>
      </c>
      <c r="CM633" s="167">
        <v>0</v>
      </c>
      <c r="CN633" s="167">
        <v>0</v>
      </c>
      <c r="CO633" s="167">
        <v>0</v>
      </c>
      <c r="CP633" s="167">
        <v>0</v>
      </c>
      <c r="CQ633" s="167">
        <v>0</v>
      </c>
      <c r="CR633" s="167">
        <v>0</v>
      </c>
      <c r="CS633" s="167">
        <v>0</v>
      </c>
      <c r="CT633" s="167">
        <v>0</v>
      </c>
      <c r="CU633" s="167">
        <v>0</v>
      </c>
      <c r="CV633" s="167">
        <v>0</v>
      </c>
      <c r="CW633" s="167">
        <v>0</v>
      </c>
      <c r="CX633" s="167">
        <f>SUM(CD633:CH633)</f>
        <v>3</v>
      </c>
      <c r="CY633" s="167">
        <f>SUM(CD633:CM633)</f>
        <v>3</v>
      </c>
    </row>
    <row r="634" spans="1:103" ht="12.75" customHeight="1" x14ac:dyDescent="0.2">
      <c r="A634" s="81">
        <v>6173</v>
      </c>
      <c r="B634" s="165" t="s">
        <v>1908</v>
      </c>
      <c r="C634" s="165" t="s">
        <v>818</v>
      </c>
      <c r="E634" s="165" t="s">
        <v>3638</v>
      </c>
      <c r="G634" s="81">
        <v>529119</v>
      </c>
      <c r="H634" s="81">
        <v>170805</v>
      </c>
      <c r="I634" s="165" t="s">
        <v>252</v>
      </c>
      <c r="J634" s="349">
        <v>42747</v>
      </c>
      <c r="L634" s="166">
        <v>1</v>
      </c>
      <c r="M634" s="166">
        <v>2</v>
      </c>
      <c r="N634" s="166">
        <v>1</v>
      </c>
      <c r="O634" s="166">
        <v>2</v>
      </c>
      <c r="P634" s="166">
        <v>1</v>
      </c>
      <c r="R634" s="165" t="s">
        <v>978</v>
      </c>
      <c r="S634" s="81" t="s">
        <v>113</v>
      </c>
      <c r="T634" s="349">
        <v>42409</v>
      </c>
      <c r="U634" s="349">
        <v>42513</v>
      </c>
      <c r="W634" s="81" t="s">
        <v>114</v>
      </c>
      <c r="Y634" s="81" t="s">
        <v>115</v>
      </c>
      <c r="Z634" s="81" t="s">
        <v>398</v>
      </c>
      <c r="AA634" s="81" t="s">
        <v>117</v>
      </c>
      <c r="AB634" s="81" t="s">
        <v>120</v>
      </c>
      <c r="AC634" s="166">
        <v>2.8000000864267301E-2</v>
      </c>
      <c r="AD634" s="349">
        <v>42747</v>
      </c>
      <c r="AG634" s="81" t="s">
        <v>238</v>
      </c>
      <c r="AH634" s="81" t="s">
        <v>118</v>
      </c>
      <c r="AK634" s="166">
        <v>0</v>
      </c>
      <c r="AM634" s="166">
        <v>0</v>
      </c>
      <c r="AO634" s="166">
        <v>0</v>
      </c>
      <c r="AP634" s="166">
        <v>0</v>
      </c>
      <c r="AQ634" s="166">
        <v>1</v>
      </c>
      <c r="AR634" s="166">
        <v>1</v>
      </c>
      <c r="AS634" s="166">
        <v>-1</v>
      </c>
      <c r="AT634" s="166">
        <v>0</v>
      </c>
      <c r="AU634" s="166">
        <v>0</v>
      </c>
      <c r="AV634" s="166">
        <v>0</v>
      </c>
      <c r="AW634" s="166">
        <v>0</v>
      </c>
      <c r="AX634" s="166">
        <v>1</v>
      </c>
      <c r="AY634" s="166">
        <v>1</v>
      </c>
      <c r="AZ634" s="166">
        <v>0</v>
      </c>
      <c r="BA634" s="166">
        <v>0</v>
      </c>
      <c r="BB634" s="166">
        <v>0</v>
      </c>
      <c r="BC634" s="166">
        <v>0</v>
      </c>
      <c r="BD634" s="166">
        <v>0</v>
      </c>
      <c r="BE634" s="166">
        <v>0</v>
      </c>
      <c r="BF634" s="166">
        <v>0</v>
      </c>
      <c r="BG634" s="166">
        <v>-1</v>
      </c>
      <c r="BH634" s="166">
        <v>0</v>
      </c>
      <c r="BI634" s="166">
        <v>0</v>
      </c>
      <c r="BJ634" s="166">
        <v>0</v>
      </c>
      <c r="BK634" s="166">
        <v>0</v>
      </c>
      <c r="BL634" s="166">
        <v>0</v>
      </c>
      <c r="BM634" s="166">
        <v>0</v>
      </c>
      <c r="BN634" s="166">
        <v>0</v>
      </c>
      <c r="BO634" s="166">
        <v>0</v>
      </c>
      <c r="BP634" s="166">
        <v>0</v>
      </c>
      <c r="BQ634" s="81" t="s">
        <v>1757</v>
      </c>
      <c r="BZ634" s="81" t="s">
        <v>155</v>
      </c>
      <c r="CA634" s="81" t="s">
        <v>3980</v>
      </c>
      <c r="CC634" s="167">
        <v>0</v>
      </c>
      <c r="CD634" s="167">
        <f>N634</f>
        <v>1</v>
      </c>
      <c r="CE634" s="167">
        <v>0</v>
      </c>
      <c r="CF634" s="167">
        <v>0</v>
      </c>
      <c r="CG634" s="167">
        <v>0</v>
      </c>
      <c r="CH634" s="167">
        <v>0</v>
      </c>
      <c r="CI634" s="167">
        <v>0</v>
      </c>
      <c r="CJ634" s="167">
        <v>0</v>
      </c>
      <c r="CK634" s="167">
        <v>0</v>
      </c>
      <c r="CL634" s="167">
        <v>0</v>
      </c>
      <c r="CM634" s="167">
        <v>0</v>
      </c>
      <c r="CN634" s="167">
        <v>0</v>
      </c>
      <c r="CO634" s="167">
        <v>0</v>
      </c>
      <c r="CP634" s="167">
        <v>0</v>
      </c>
      <c r="CQ634" s="167">
        <v>0</v>
      </c>
      <c r="CR634" s="167">
        <v>0</v>
      </c>
      <c r="CS634" s="167">
        <v>0</v>
      </c>
      <c r="CT634" s="167">
        <v>0</v>
      </c>
      <c r="CU634" s="167">
        <v>0</v>
      </c>
      <c r="CV634" s="167">
        <v>0</v>
      </c>
      <c r="CW634" s="167">
        <v>0</v>
      </c>
      <c r="CX634" s="167">
        <f>SUM(CD634:CH634)</f>
        <v>1</v>
      </c>
      <c r="CY634" s="167">
        <f>SUM(CD634:CM634)</f>
        <v>1</v>
      </c>
    </row>
    <row r="635" spans="1:103" ht="12.75" customHeight="1" x14ac:dyDescent="0.2">
      <c r="A635" s="81">
        <v>6218</v>
      </c>
      <c r="B635" s="165" t="s">
        <v>1908</v>
      </c>
      <c r="C635" s="165" t="s">
        <v>1017</v>
      </c>
      <c r="E635" s="165" t="s">
        <v>3628</v>
      </c>
      <c r="G635" s="81">
        <v>528378</v>
      </c>
      <c r="H635" s="81">
        <v>175632</v>
      </c>
      <c r="I635" s="165" t="s">
        <v>256</v>
      </c>
      <c r="J635" s="349">
        <v>42825</v>
      </c>
      <c r="L635" s="166">
        <v>0</v>
      </c>
      <c r="M635" s="166">
        <v>1</v>
      </c>
      <c r="N635" s="166">
        <v>1</v>
      </c>
      <c r="O635" s="166">
        <v>1</v>
      </c>
      <c r="P635" s="166">
        <v>1</v>
      </c>
      <c r="R635" s="165" t="s">
        <v>1018</v>
      </c>
      <c r="S635" s="81" t="s">
        <v>113</v>
      </c>
      <c r="T635" s="349">
        <v>42530</v>
      </c>
      <c r="U635" s="349">
        <v>42586</v>
      </c>
      <c r="W635" s="81" t="s">
        <v>114</v>
      </c>
      <c r="Y635" s="81" t="s">
        <v>115</v>
      </c>
      <c r="Z635" s="81" t="s">
        <v>116</v>
      </c>
      <c r="AA635" s="81" t="s">
        <v>117</v>
      </c>
      <c r="AB635" s="81" t="s">
        <v>218</v>
      </c>
      <c r="AC635" s="166">
        <v>5.2999999374151202E-2</v>
      </c>
      <c r="AD635" s="349">
        <v>42825</v>
      </c>
      <c r="AG635" s="81" t="s">
        <v>238</v>
      </c>
      <c r="AH635" s="81" t="s">
        <v>118</v>
      </c>
      <c r="AK635" s="166">
        <v>0</v>
      </c>
      <c r="AM635" s="166">
        <v>0</v>
      </c>
      <c r="AO635" s="166">
        <v>0</v>
      </c>
      <c r="AP635" s="166">
        <v>0</v>
      </c>
      <c r="AQ635" s="166">
        <v>0</v>
      </c>
      <c r="AR635" s="166">
        <v>0</v>
      </c>
      <c r="AS635" s="166">
        <v>0</v>
      </c>
      <c r="AT635" s="166">
        <v>1</v>
      </c>
      <c r="AU635" s="166">
        <v>0</v>
      </c>
      <c r="AV635" s="166">
        <v>0</v>
      </c>
      <c r="AW635" s="166">
        <v>0</v>
      </c>
      <c r="AX635" s="166">
        <v>0</v>
      </c>
      <c r="AY635" s="166">
        <v>0</v>
      </c>
      <c r="AZ635" s="166">
        <v>0</v>
      </c>
      <c r="BA635" s="166">
        <v>0</v>
      </c>
      <c r="BB635" s="166">
        <v>0</v>
      </c>
      <c r="BC635" s="166">
        <v>0</v>
      </c>
      <c r="BD635" s="166">
        <v>0</v>
      </c>
      <c r="BE635" s="166">
        <v>0</v>
      </c>
      <c r="BF635" s="166">
        <v>0</v>
      </c>
      <c r="BG635" s="166">
        <v>0</v>
      </c>
      <c r="BH635" s="166">
        <v>1</v>
      </c>
      <c r="BI635" s="166">
        <v>0</v>
      </c>
      <c r="BJ635" s="166">
        <v>0</v>
      </c>
      <c r="BK635" s="166">
        <v>0</v>
      </c>
      <c r="BL635" s="166">
        <v>0</v>
      </c>
      <c r="BM635" s="166">
        <v>0</v>
      </c>
      <c r="BN635" s="166">
        <v>0</v>
      </c>
      <c r="BO635" s="166">
        <v>0</v>
      </c>
      <c r="BP635" s="166">
        <v>0</v>
      </c>
      <c r="BQ635" s="81" t="s">
        <v>1757</v>
      </c>
      <c r="BZ635" s="81" t="s">
        <v>155</v>
      </c>
      <c r="CA635" s="81" t="s">
        <v>3976</v>
      </c>
      <c r="CC635" s="167">
        <v>0</v>
      </c>
      <c r="CD635" s="167">
        <f>N635</f>
        <v>1</v>
      </c>
      <c r="CE635" s="167">
        <v>0</v>
      </c>
      <c r="CF635" s="167">
        <v>0</v>
      </c>
      <c r="CG635" s="167">
        <v>0</v>
      </c>
      <c r="CH635" s="167">
        <v>0</v>
      </c>
      <c r="CI635" s="167">
        <v>0</v>
      </c>
      <c r="CJ635" s="167">
        <v>0</v>
      </c>
      <c r="CK635" s="167">
        <v>0</v>
      </c>
      <c r="CL635" s="167">
        <v>0</v>
      </c>
      <c r="CM635" s="167">
        <v>0</v>
      </c>
      <c r="CN635" s="167">
        <v>0</v>
      </c>
      <c r="CO635" s="167">
        <v>0</v>
      </c>
      <c r="CP635" s="167">
        <v>0</v>
      </c>
      <c r="CQ635" s="167">
        <v>0</v>
      </c>
      <c r="CR635" s="167">
        <v>0</v>
      </c>
      <c r="CS635" s="167">
        <v>0</v>
      </c>
      <c r="CT635" s="167">
        <v>0</v>
      </c>
      <c r="CU635" s="167">
        <v>0</v>
      </c>
      <c r="CV635" s="167">
        <v>0</v>
      </c>
      <c r="CW635" s="167">
        <v>0</v>
      </c>
      <c r="CX635" s="167">
        <f>SUM(CD635:CH635)</f>
        <v>1</v>
      </c>
      <c r="CY635" s="167">
        <f>SUM(CD635:CM635)</f>
        <v>1</v>
      </c>
    </row>
    <row r="636" spans="1:103" ht="12.75" customHeight="1" x14ac:dyDescent="0.2">
      <c r="A636" s="81">
        <v>6219</v>
      </c>
      <c r="B636" s="165" t="s">
        <v>1908</v>
      </c>
      <c r="C636" s="165" t="s">
        <v>1396</v>
      </c>
      <c r="E636" s="165" t="s">
        <v>3632</v>
      </c>
      <c r="G636" s="81">
        <v>525163</v>
      </c>
      <c r="H636" s="81">
        <v>173918</v>
      </c>
      <c r="I636" s="165" t="s">
        <v>258</v>
      </c>
      <c r="J636" s="349">
        <v>43190</v>
      </c>
      <c r="L636" s="166">
        <v>0</v>
      </c>
      <c r="M636" s="166">
        <v>1</v>
      </c>
      <c r="N636" s="166">
        <v>1</v>
      </c>
      <c r="O636" s="166">
        <v>1</v>
      </c>
      <c r="P636" s="166">
        <v>1</v>
      </c>
      <c r="R636" s="165" t="s">
        <v>1397</v>
      </c>
      <c r="S636" s="81" t="s">
        <v>113</v>
      </c>
      <c r="T636" s="349">
        <v>42615</v>
      </c>
      <c r="U636" s="349">
        <v>42671</v>
      </c>
      <c r="W636" s="81" t="s">
        <v>114</v>
      </c>
      <c r="Y636" s="81" t="s">
        <v>115</v>
      </c>
      <c r="Z636" s="81" t="s">
        <v>116</v>
      </c>
      <c r="AA636" s="81" t="s">
        <v>117</v>
      </c>
      <c r="AB636" s="81" t="s">
        <v>218</v>
      </c>
      <c r="AC636" s="166">
        <v>1.60000007599592E-2</v>
      </c>
      <c r="AD636" s="349">
        <v>43190</v>
      </c>
      <c r="AE636" s="81" t="s">
        <v>155</v>
      </c>
      <c r="AG636" s="81" t="s">
        <v>238</v>
      </c>
      <c r="AH636" s="81" t="s">
        <v>118</v>
      </c>
      <c r="AK636" s="166">
        <v>0</v>
      </c>
      <c r="AM636" s="166">
        <v>0</v>
      </c>
      <c r="AO636" s="166">
        <v>0</v>
      </c>
      <c r="AP636" s="166">
        <v>0</v>
      </c>
      <c r="AQ636" s="166">
        <v>1</v>
      </c>
      <c r="AR636" s="166">
        <v>0</v>
      </c>
      <c r="AS636" s="166">
        <v>0</v>
      </c>
      <c r="AT636" s="166">
        <v>0</v>
      </c>
      <c r="AU636" s="166">
        <v>0</v>
      </c>
      <c r="AV636" s="166">
        <v>0</v>
      </c>
      <c r="AW636" s="166">
        <v>0</v>
      </c>
      <c r="AX636" s="166">
        <v>0</v>
      </c>
      <c r="AY636" s="166">
        <v>0</v>
      </c>
      <c r="AZ636" s="166">
        <v>0</v>
      </c>
      <c r="BA636" s="166">
        <v>0</v>
      </c>
      <c r="BB636" s="166">
        <v>0</v>
      </c>
      <c r="BC636" s="166">
        <v>0</v>
      </c>
      <c r="BD636" s="166">
        <v>0</v>
      </c>
      <c r="BE636" s="166">
        <v>1</v>
      </c>
      <c r="BF636" s="166">
        <v>0</v>
      </c>
      <c r="BG636" s="166">
        <v>0</v>
      </c>
      <c r="BH636" s="166">
        <v>0</v>
      </c>
      <c r="BI636" s="166">
        <v>0</v>
      </c>
      <c r="BJ636" s="166">
        <v>0</v>
      </c>
      <c r="BK636" s="166">
        <v>0</v>
      </c>
      <c r="BL636" s="166">
        <v>0</v>
      </c>
      <c r="BM636" s="166">
        <v>0</v>
      </c>
      <c r="BN636" s="166">
        <v>0</v>
      </c>
      <c r="BO636" s="166">
        <v>0</v>
      </c>
      <c r="BP636" s="166">
        <v>0</v>
      </c>
      <c r="BQ636" s="81" t="s">
        <v>1758</v>
      </c>
      <c r="BZ636" s="81" t="s">
        <v>155</v>
      </c>
      <c r="CA636" s="81" t="s">
        <v>3977</v>
      </c>
      <c r="CC636" s="167">
        <v>0</v>
      </c>
      <c r="CD636" s="167">
        <f>$N636/2</f>
        <v>0.5</v>
      </c>
      <c r="CE636" s="167">
        <f>$N636/2</f>
        <v>0.5</v>
      </c>
      <c r="CF636" s="167">
        <v>0</v>
      </c>
      <c r="CG636" s="167">
        <v>0</v>
      </c>
      <c r="CH636" s="167">
        <v>0</v>
      </c>
      <c r="CI636" s="167">
        <v>0</v>
      </c>
      <c r="CJ636" s="167">
        <v>0</v>
      </c>
      <c r="CK636" s="167">
        <v>0</v>
      </c>
      <c r="CL636" s="167">
        <v>0</v>
      </c>
      <c r="CM636" s="167">
        <v>0</v>
      </c>
      <c r="CN636" s="167">
        <v>0</v>
      </c>
      <c r="CO636" s="167">
        <v>0</v>
      </c>
      <c r="CP636" s="167">
        <v>0</v>
      </c>
      <c r="CQ636" s="167">
        <v>0</v>
      </c>
      <c r="CR636" s="167">
        <v>0</v>
      </c>
      <c r="CS636" s="167">
        <v>0</v>
      </c>
      <c r="CT636" s="167">
        <v>0</v>
      </c>
      <c r="CU636" s="167">
        <v>0</v>
      </c>
      <c r="CV636" s="167">
        <v>0</v>
      </c>
      <c r="CW636" s="167">
        <v>0</v>
      </c>
      <c r="CX636" s="167">
        <f>SUM(CD636:CH636)</f>
        <v>1</v>
      </c>
      <c r="CY636" s="167">
        <f>SUM(CD636:CM636)</f>
        <v>1</v>
      </c>
    </row>
    <row r="637" spans="1:103" ht="12.75" customHeight="1" x14ac:dyDescent="0.2">
      <c r="A637" s="81">
        <v>6224</v>
      </c>
      <c r="B637" s="165" t="s">
        <v>1908</v>
      </c>
      <c r="C637" s="165" t="s">
        <v>999</v>
      </c>
      <c r="E637" s="165" t="s">
        <v>3641</v>
      </c>
      <c r="G637" s="81">
        <v>528527</v>
      </c>
      <c r="H637" s="81">
        <v>172216</v>
      </c>
      <c r="I637" s="165" t="s">
        <v>248</v>
      </c>
      <c r="J637" s="349">
        <v>42825</v>
      </c>
      <c r="L637" s="166">
        <v>3</v>
      </c>
      <c r="M637" s="166">
        <v>1</v>
      </c>
      <c r="N637" s="166">
        <v>-2</v>
      </c>
      <c r="O637" s="166">
        <v>1</v>
      </c>
      <c r="P637" s="166">
        <v>-2</v>
      </c>
      <c r="R637" s="165" t="s">
        <v>1000</v>
      </c>
      <c r="S637" s="81" t="s">
        <v>113</v>
      </c>
      <c r="T637" s="349">
        <v>42503</v>
      </c>
      <c r="U637" s="349">
        <v>42559</v>
      </c>
      <c r="W637" s="81" t="s">
        <v>114</v>
      </c>
      <c r="Y637" s="81" t="s">
        <v>115</v>
      </c>
      <c r="Z637" s="81" t="s">
        <v>398</v>
      </c>
      <c r="AA637" s="81" t="s">
        <v>117</v>
      </c>
      <c r="AB637" s="81" t="s">
        <v>336</v>
      </c>
      <c r="AC637" s="166">
        <v>2.70000007003546E-2</v>
      </c>
      <c r="AD637" s="349">
        <v>42825</v>
      </c>
      <c r="AG637" s="81" t="s">
        <v>238</v>
      </c>
      <c r="AH637" s="81" t="s">
        <v>118</v>
      </c>
      <c r="AK637" s="166">
        <v>0</v>
      </c>
      <c r="AM637" s="166">
        <v>0</v>
      </c>
      <c r="AO637" s="166">
        <v>0</v>
      </c>
      <c r="AP637" s="166">
        <v>0</v>
      </c>
      <c r="AQ637" s="166">
        <v>-1</v>
      </c>
      <c r="AR637" s="166">
        <v>-2</v>
      </c>
      <c r="AS637" s="166">
        <v>0</v>
      </c>
      <c r="AT637" s="166">
        <v>1</v>
      </c>
      <c r="AU637" s="166">
        <v>0</v>
      </c>
      <c r="AV637" s="166">
        <v>0</v>
      </c>
      <c r="AW637" s="166">
        <v>0</v>
      </c>
      <c r="AX637" s="166">
        <v>-1</v>
      </c>
      <c r="AY637" s="166">
        <v>-2</v>
      </c>
      <c r="AZ637" s="166">
        <v>0</v>
      </c>
      <c r="BA637" s="166">
        <v>0</v>
      </c>
      <c r="BB637" s="166">
        <v>0</v>
      </c>
      <c r="BC637" s="166">
        <v>0</v>
      </c>
      <c r="BD637" s="166">
        <v>0</v>
      </c>
      <c r="BE637" s="166">
        <v>0</v>
      </c>
      <c r="BF637" s="166">
        <v>0</v>
      </c>
      <c r="BG637" s="166">
        <v>0</v>
      </c>
      <c r="BH637" s="166">
        <v>1</v>
      </c>
      <c r="BI637" s="166">
        <v>0</v>
      </c>
      <c r="BJ637" s="166">
        <v>0</v>
      </c>
      <c r="BK637" s="166">
        <v>0</v>
      </c>
      <c r="BL637" s="166">
        <v>0</v>
      </c>
      <c r="BM637" s="166">
        <v>0</v>
      </c>
      <c r="BN637" s="166">
        <v>0</v>
      </c>
      <c r="BO637" s="166">
        <v>0</v>
      </c>
      <c r="BP637" s="166">
        <v>0</v>
      </c>
      <c r="BQ637" s="81" t="s">
        <v>1757</v>
      </c>
      <c r="BZ637" s="81" t="s">
        <v>155</v>
      </c>
      <c r="CA637" s="81" t="s">
        <v>3980</v>
      </c>
      <c r="CC637" s="167">
        <v>0</v>
      </c>
      <c r="CD637" s="167">
        <f>N637</f>
        <v>-2</v>
      </c>
      <c r="CE637" s="167">
        <v>0</v>
      </c>
      <c r="CF637" s="167">
        <v>0</v>
      </c>
      <c r="CG637" s="167">
        <v>0</v>
      </c>
      <c r="CH637" s="167">
        <v>0</v>
      </c>
      <c r="CI637" s="167">
        <v>0</v>
      </c>
      <c r="CJ637" s="167">
        <v>0</v>
      </c>
      <c r="CK637" s="167">
        <v>0</v>
      </c>
      <c r="CL637" s="167">
        <v>0</v>
      </c>
      <c r="CM637" s="167">
        <v>0</v>
      </c>
      <c r="CN637" s="167">
        <v>0</v>
      </c>
      <c r="CO637" s="167">
        <v>0</v>
      </c>
      <c r="CP637" s="167">
        <v>0</v>
      </c>
      <c r="CQ637" s="167">
        <v>0</v>
      </c>
      <c r="CR637" s="167">
        <v>0</v>
      </c>
      <c r="CS637" s="167">
        <v>0</v>
      </c>
      <c r="CT637" s="167">
        <v>0</v>
      </c>
      <c r="CU637" s="167">
        <v>0</v>
      </c>
      <c r="CV637" s="167">
        <v>0</v>
      </c>
      <c r="CW637" s="167">
        <v>0</v>
      </c>
      <c r="CX637" s="167">
        <f>SUM(CD637:CH637)</f>
        <v>-2</v>
      </c>
      <c r="CY637" s="167">
        <f>SUM(CD637:CM637)</f>
        <v>-2</v>
      </c>
    </row>
    <row r="638" spans="1:103" ht="12.75" customHeight="1" x14ac:dyDescent="0.2">
      <c r="A638" s="81">
        <v>6233</v>
      </c>
      <c r="B638" s="165" t="s">
        <v>1908</v>
      </c>
      <c r="C638" s="165" t="s">
        <v>1699</v>
      </c>
      <c r="E638" s="165" t="s">
        <v>3642</v>
      </c>
      <c r="G638" s="81">
        <v>528286</v>
      </c>
      <c r="H638" s="81">
        <v>175228</v>
      </c>
      <c r="I638" s="165" t="s">
        <v>256</v>
      </c>
      <c r="J638" s="349">
        <v>42907</v>
      </c>
      <c r="L638" s="166">
        <v>1</v>
      </c>
      <c r="M638" s="166">
        <v>4</v>
      </c>
      <c r="N638" s="166">
        <v>3</v>
      </c>
      <c r="O638" s="166">
        <v>4</v>
      </c>
      <c r="P638" s="166">
        <v>3</v>
      </c>
      <c r="R638" s="165" t="s">
        <v>1700</v>
      </c>
      <c r="S638" s="81" t="s">
        <v>113</v>
      </c>
      <c r="T638" s="349">
        <v>42501</v>
      </c>
      <c r="U638" s="349">
        <v>42668</v>
      </c>
      <c r="W638" s="81" t="s">
        <v>114</v>
      </c>
      <c r="Y638" s="81" t="s">
        <v>115</v>
      </c>
      <c r="Z638" s="81" t="s">
        <v>398</v>
      </c>
      <c r="AA638" s="81" t="s">
        <v>117</v>
      </c>
      <c r="AB638" s="81" t="s">
        <v>120</v>
      </c>
      <c r="AC638" s="166">
        <v>2.0999999716877899E-2</v>
      </c>
      <c r="AD638" s="349">
        <v>42907</v>
      </c>
      <c r="AE638" s="81" t="s">
        <v>155</v>
      </c>
      <c r="AG638" s="81" t="s">
        <v>238</v>
      </c>
      <c r="AH638" s="81" t="s">
        <v>118</v>
      </c>
      <c r="AK638" s="166">
        <v>0</v>
      </c>
      <c r="AM638" s="166">
        <v>0</v>
      </c>
      <c r="AO638" s="166">
        <v>0</v>
      </c>
      <c r="AP638" s="166">
        <v>0</v>
      </c>
      <c r="AQ638" s="166">
        <v>1</v>
      </c>
      <c r="AR638" s="166">
        <v>3</v>
      </c>
      <c r="AS638" s="166">
        <v>-1</v>
      </c>
      <c r="AT638" s="166">
        <v>0</v>
      </c>
      <c r="AU638" s="166">
        <v>0</v>
      </c>
      <c r="AV638" s="166">
        <v>0</v>
      </c>
      <c r="AW638" s="166">
        <v>0</v>
      </c>
      <c r="AX638" s="166">
        <v>1</v>
      </c>
      <c r="AY638" s="166">
        <v>3</v>
      </c>
      <c r="AZ638" s="166">
        <v>0</v>
      </c>
      <c r="BA638" s="166">
        <v>0</v>
      </c>
      <c r="BB638" s="166">
        <v>0</v>
      </c>
      <c r="BC638" s="166">
        <v>0</v>
      </c>
      <c r="BD638" s="166">
        <v>0</v>
      </c>
      <c r="BE638" s="166">
        <v>0</v>
      </c>
      <c r="BF638" s="166">
        <v>0</v>
      </c>
      <c r="BG638" s="166">
        <v>-1</v>
      </c>
      <c r="BH638" s="166">
        <v>0</v>
      </c>
      <c r="BI638" s="166">
        <v>0</v>
      </c>
      <c r="BJ638" s="166">
        <v>0</v>
      </c>
      <c r="BK638" s="166">
        <v>0</v>
      </c>
      <c r="BL638" s="166">
        <v>0</v>
      </c>
      <c r="BM638" s="166">
        <v>0</v>
      </c>
      <c r="BN638" s="166">
        <v>0</v>
      </c>
      <c r="BO638" s="166">
        <v>0</v>
      </c>
      <c r="BP638" s="166">
        <v>0</v>
      </c>
      <c r="BQ638" s="81" t="s">
        <v>1757</v>
      </c>
      <c r="BZ638" s="81" t="s">
        <v>155</v>
      </c>
      <c r="CA638" s="81" t="s">
        <v>3980</v>
      </c>
      <c r="CC638" s="167">
        <v>0</v>
      </c>
      <c r="CD638" s="167">
        <f>N638</f>
        <v>3</v>
      </c>
      <c r="CE638" s="167">
        <v>0</v>
      </c>
      <c r="CF638" s="167">
        <v>0</v>
      </c>
      <c r="CG638" s="167">
        <v>0</v>
      </c>
      <c r="CH638" s="167">
        <v>0</v>
      </c>
      <c r="CI638" s="167">
        <v>0</v>
      </c>
      <c r="CJ638" s="167">
        <v>0</v>
      </c>
      <c r="CK638" s="167">
        <v>0</v>
      </c>
      <c r="CL638" s="167">
        <v>0</v>
      </c>
      <c r="CM638" s="167">
        <v>0</v>
      </c>
      <c r="CN638" s="167">
        <v>0</v>
      </c>
      <c r="CO638" s="167">
        <v>0</v>
      </c>
      <c r="CP638" s="167">
        <v>0</v>
      </c>
      <c r="CQ638" s="167">
        <v>0</v>
      </c>
      <c r="CR638" s="167">
        <v>0</v>
      </c>
      <c r="CS638" s="167">
        <v>0</v>
      </c>
      <c r="CT638" s="167">
        <v>0</v>
      </c>
      <c r="CU638" s="167">
        <v>0</v>
      </c>
      <c r="CV638" s="167">
        <v>0</v>
      </c>
      <c r="CW638" s="167">
        <v>0</v>
      </c>
      <c r="CX638" s="167">
        <f>SUM(CD638:CH638)</f>
        <v>3</v>
      </c>
      <c r="CY638" s="167">
        <f>SUM(CD638:CM638)</f>
        <v>3</v>
      </c>
    </row>
    <row r="639" spans="1:103" ht="12.75" customHeight="1" x14ac:dyDescent="0.2">
      <c r="A639" s="81">
        <v>6243</v>
      </c>
      <c r="B639" s="165" t="s">
        <v>1908</v>
      </c>
      <c r="C639" s="165" t="s">
        <v>964</v>
      </c>
      <c r="E639" s="165" t="s">
        <v>3634</v>
      </c>
      <c r="G639" s="81">
        <v>527415</v>
      </c>
      <c r="H639" s="81">
        <v>176656</v>
      </c>
      <c r="I639" s="165" t="s">
        <v>257</v>
      </c>
      <c r="J639" s="349">
        <v>42825</v>
      </c>
      <c r="L639" s="166">
        <v>1</v>
      </c>
      <c r="M639" s="166">
        <v>1</v>
      </c>
      <c r="N639" s="166">
        <v>0</v>
      </c>
      <c r="O639" s="166">
        <v>1</v>
      </c>
      <c r="P639" s="166">
        <v>0</v>
      </c>
      <c r="R639" s="165" t="s">
        <v>965</v>
      </c>
      <c r="S639" s="81" t="s">
        <v>113</v>
      </c>
      <c r="T639" s="349">
        <v>42338</v>
      </c>
      <c r="U639" s="349">
        <v>42534</v>
      </c>
      <c r="W639" s="81" t="s">
        <v>114</v>
      </c>
      <c r="Y639" s="81" t="s">
        <v>115</v>
      </c>
      <c r="Z639" s="81" t="s">
        <v>116</v>
      </c>
      <c r="AA639" s="81" t="s">
        <v>117</v>
      </c>
      <c r="AB639" s="81" t="s">
        <v>218</v>
      </c>
      <c r="AC639" s="166">
        <v>1.4000000432133701E-2</v>
      </c>
      <c r="AD639" s="349">
        <v>42825</v>
      </c>
      <c r="AG639" s="81" t="s">
        <v>238</v>
      </c>
      <c r="AH639" s="81" t="s">
        <v>118</v>
      </c>
      <c r="AK639" s="166">
        <v>0</v>
      </c>
      <c r="AM639" s="166">
        <v>0</v>
      </c>
      <c r="AO639" s="166">
        <v>0</v>
      </c>
      <c r="AP639" s="166">
        <v>-1</v>
      </c>
      <c r="AQ639" s="166">
        <v>0</v>
      </c>
      <c r="AR639" s="166">
        <v>0</v>
      </c>
      <c r="AS639" s="166">
        <v>1</v>
      </c>
      <c r="AT639" s="166">
        <v>0</v>
      </c>
      <c r="AU639" s="166">
        <v>0</v>
      </c>
      <c r="AV639" s="166">
        <v>0</v>
      </c>
      <c r="AW639" s="166">
        <v>0</v>
      </c>
      <c r="AX639" s="166">
        <v>0</v>
      </c>
      <c r="AY639" s="166">
        <v>0</v>
      </c>
      <c r="AZ639" s="166">
        <v>0</v>
      </c>
      <c r="BA639" s="166">
        <v>0</v>
      </c>
      <c r="BB639" s="166">
        <v>0</v>
      </c>
      <c r="BC639" s="166">
        <v>0</v>
      </c>
      <c r="BD639" s="166">
        <v>-1</v>
      </c>
      <c r="BE639" s="166">
        <v>0</v>
      </c>
      <c r="BF639" s="166">
        <v>0</v>
      </c>
      <c r="BG639" s="166">
        <v>1</v>
      </c>
      <c r="BH639" s="166">
        <v>0</v>
      </c>
      <c r="BI639" s="166">
        <v>0</v>
      </c>
      <c r="BJ639" s="166">
        <v>0</v>
      </c>
      <c r="BK639" s="166">
        <v>0</v>
      </c>
      <c r="BL639" s="166">
        <v>0</v>
      </c>
      <c r="BM639" s="166">
        <v>0</v>
      </c>
      <c r="BN639" s="166">
        <v>0</v>
      </c>
      <c r="BO639" s="166">
        <v>0</v>
      </c>
      <c r="BP639" s="166">
        <v>0</v>
      </c>
      <c r="BQ639" s="81" t="s">
        <v>1757</v>
      </c>
      <c r="BZ639" s="81" t="s">
        <v>155</v>
      </c>
      <c r="CA639" s="81" t="s">
        <v>3976</v>
      </c>
      <c r="CC639" s="167">
        <v>0</v>
      </c>
      <c r="CD639" s="167">
        <f>N639</f>
        <v>0</v>
      </c>
      <c r="CE639" s="167">
        <v>0</v>
      </c>
      <c r="CF639" s="167">
        <v>0</v>
      </c>
      <c r="CG639" s="167">
        <v>0</v>
      </c>
      <c r="CH639" s="167">
        <v>0</v>
      </c>
      <c r="CI639" s="167">
        <v>0</v>
      </c>
      <c r="CJ639" s="167">
        <v>0</v>
      </c>
      <c r="CK639" s="167">
        <v>0</v>
      </c>
      <c r="CL639" s="167">
        <v>0</v>
      </c>
      <c r="CM639" s="167">
        <v>0</v>
      </c>
      <c r="CN639" s="167">
        <v>0</v>
      </c>
      <c r="CO639" s="167">
        <v>0</v>
      </c>
      <c r="CP639" s="167">
        <v>0</v>
      </c>
      <c r="CQ639" s="167">
        <v>0</v>
      </c>
      <c r="CR639" s="167">
        <v>0</v>
      </c>
      <c r="CS639" s="167">
        <v>0</v>
      </c>
      <c r="CT639" s="167">
        <v>0</v>
      </c>
      <c r="CU639" s="167">
        <v>0</v>
      </c>
      <c r="CV639" s="167">
        <v>0</v>
      </c>
      <c r="CW639" s="167">
        <v>0</v>
      </c>
      <c r="CX639" s="167">
        <f>SUM(CD639:CH639)</f>
        <v>0</v>
      </c>
      <c r="CY639" s="167">
        <f>SUM(CD639:CM639)</f>
        <v>0</v>
      </c>
    </row>
    <row r="640" spans="1:103" ht="12.75" customHeight="1" x14ac:dyDescent="0.2">
      <c r="A640" s="81">
        <v>6247</v>
      </c>
      <c r="B640" s="165" t="s">
        <v>1908</v>
      </c>
      <c r="C640" s="165" t="s">
        <v>1210</v>
      </c>
      <c r="E640" s="165" t="s">
        <v>3636</v>
      </c>
      <c r="G640" s="81">
        <v>524772</v>
      </c>
      <c r="H640" s="81">
        <v>174597</v>
      </c>
      <c r="I640" s="165" t="s">
        <v>250</v>
      </c>
      <c r="J640" s="349">
        <v>43190</v>
      </c>
      <c r="L640" s="166">
        <v>0</v>
      </c>
      <c r="M640" s="166">
        <v>4</v>
      </c>
      <c r="N640" s="166">
        <v>4</v>
      </c>
      <c r="O640" s="166">
        <v>4</v>
      </c>
      <c r="P640" s="166">
        <v>4</v>
      </c>
      <c r="R640" s="165" t="s">
        <v>1211</v>
      </c>
      <c r="S640" s="81" t="s">
        <v>113</v>
      </c>
      <c r="T640" s="349">
        <v>42474</v>
      </c>
      <c r="U640" s="349">
        <v>42549</v>
      </c>
      <c r="W640" s="81" t="s">
        <v>114</v>
      </c>
      <c r="Y640" s="81" t="s">
        <v>115</v>
      </c>
      <c r="Z640" s="81" t="s">
        <v>116</v>
      </c>
      <c r="AA640" s="81" t="s">
        <v>117</v>
      </c>
      <c r="AB640" s="81" t="s">
        <v>218</v>
      </c>
      <c r="AC640" s="166">
        <v>4.80000004172325E-2</v>
      </c>
      <c r="AD640" s="349">
        <v>43190</v>
      </c>
      <c r="AE640" s="81" t="s">
        <v>155</v>
      </c>
      <c r="AG640" s="81" t="s">
        <v>238</v>
      </c>
      <c r="AH640" s="81" t="s">
        <v>118</v>
      </c>
      <c r="AK640" s="166">
        <v>4</v>
      </c>
      <c r="AM640" s="166">
        <v>0</v>
      </c>
      <c r="AO640" s="166">
        <v>0</v>
      </c>
      <c r="AP640" s="166">
        <v>2</v>
      </c>
      <c r="AQ640" s="166">
        <v>2</v>
      </c>
      <c r="AR640" s="166">
        <v>0</v>
      </c>
      <c r="AS640" s="166">
        <v>0</v>
      </c>
      <c r="AT640" s="166">
        <v>0</v>
      </c>
      <c r="AU640" s="166">
        <v>0</v>
      </c>
      <c r="AV640" s="166">
        <v>0</v>
      </c>
      <c r="AW640" s="166">
        <v>2</v>
      </c>
      <c r="AX640" s="166">
        <v>2</v>
      </c>
      <c r="AY640" s="166">
        <v>0</v>
      </c>
      <c r="AZ640" s="166">
        <v>0</v>
      </c>
      <c r="BA640" s="166">
        <v>0</v>
      </c>
      <c r="BB640" s="166">
        <v>0</v>
      </c>
      <c r="BC640" s="166">
        <v>0</v>
      </c>
      <c r="BD640" s="166">
        <v>0</v>
      </c>
      <c r="BE640" s="166">
        <v>0</v>
      </c>
      <c r="BF640" s="166">
        <v>0</v>
      </c>
      <c r="BG640" s="166">
        <v>0</v>
      </c>
      <c r="BH640" s="166">
        <v>0</v>
      </c>
      <c r="BI640" s="166">
        <v>0</v>
      </c>
      <c r="BJ640" s="166">
        <v>0</v>
      </c>
      <c r="BK640" s="166">
        <v>0</v>
      </c>
      <c r="BL640" s="166">
        <v>0</v>
      </c>
      <c r="BM640" s="166">
        <v>0</v>
      </c>
      <c r="BN640" s="166">
        <v>0</v>
      </c>
      <c r="BO640" s="166">
        <v>0</v>
      </c>
      <c r="BP640" s="166">
        <v>0</v>
      </c>
      <c r="BQ640" s="81" t="s">
        <v>1758</v>
      </c>
      <c r="BZ640" s="81" t="s">
        <v>155</v>
      </c>
      <c r="CA640" s="81" t="s">
        <v>3977</v>
      </c>
      <c r="CC640" s="167">
        <v>0</v>
      </c>
      <c r="CD640" s="167">
        <f>$N640/2</f>
        <v>2</v>
      </c>
      <c r="CE640" s="167">
        <f>$N640/2</f>
        <v>2</v>
      </c>
      <c r="CF640" s="167">
        <v>0</v>
      </c>
      <c r="CG640" s="167">
        <v>0</v>
      </c>
      <c r="CH640" s="167">
        <v>0</v>
      </c>
      <c r="CI640" s="167">
        <v>0</v>
      </c>
      <c r="CJ640" s="167">
        <v>0</v>
      </c>
      <c r="CK640" s="167">
        <v>0</v>
      </c>
      <c r="CL640" s="167">
        <v>0</v>
      </c>
      <c r="CM640" s="167">
        <v>0</v>
      </c>
      <c r="CN640" s="167">
        <v>0</v>
      </c>
      <c r="CO640" s="167">
        <v>0</v>
      </c>
      <c r="CP640" s="167">
        <v>0</v>
      </c>
      <c r="CQ640" s="167">
        <v>0</v>
      </c>
      <c r="CR640" s="167">
        <v>0</v>
      </c>
      <c r="CS640" s="167">
        <v>0</v>
      </c>
      <c r="CT640" s="167">
        <v>0</v>
      </c>
      <c r="CU640" s="167">
        <v>0</v>
      </c>
      <c r="CV640" s="167">
        <v>0</v>
      </c>
      <c r="CW640" s="167">
        <v>0</v>
      </c>
      <c r="CX640" s="167">
        <f>SUM(CD640:CH640)</f>
        <v>4</v>
      </c>
      <c r="CY640" s="167">
        <f>SUM(CD640:CM640)</f>
        <v>4</v>
      </c>
    </row>
    <row r="641" spans="1:103" ht="12.75" customHeight="1" x14ac:dyDescent="0.2">
      <c r="A641" s="81">
        <v>6249</v>
      </c>
      <c r="B641" s="165" t="s">
        <v>1908</v>
      </c>
      <c r="C641" s="165" t="s">
        <v>1227</v>
      </c>
      <c r="E641" s="165" t="s">
        <v>3646</v>
      </c>
      <c r="F641" s="165" t="s">
        <v>3647</v>
      </c>
      <c r="G641" s="81">
        <v>527514</v>
      </c>
      <c r="H641" s="81">
        <v>173045</v>
      </c>
      <c r="I641" s="165" t="s">
        <v>260</v>
      </c>
      <c r="J641" s="349">
        <v>42825</v>
      </c>
      <c r="L641" s="166">
        <v>1</v>
      </c>
      <c r="M641" s="166">
        <v>5</v>
      </c>
      <c r="N641" s="166">
        <v>4</v>
      </c>
      <c r="O641" s="166">
        <v>5</v>
      </c>
      <c r="P641" s="166">
        <v>4</v>
      </c>
      <c r="R641" s="165" t="s">
        <v>1228</v>
      </c>
      <c r="S641" s="81" t="s">
        <v>113</v>
      </c>
      <c r="T641" s="349">
        <v>42503</v>
      </c>
      <c r="U641" s="349">
        <v>42576</v>
      </c>
      <c r="W641" s="81" t="s">
        <v>114</v>
      </c>
      <c r="Y641" s="81" t="s">
        <v>115</v>
      </c>
      <c r="Z641" s="81" t="s">
        <v>398</v>
      </c>
      <c r="AA641" s="81" t="s">
        <v>117</v>
      </c>
      <c r="AB641" s="81" t="s">
        <v>218</v>
      </c>
      <c r="AC641" s="166">
        <v>2.9999999329447701E-2</v>
      </c>
      <c r="AD641" s="349">
        <v>42825</v>
      </c>
      <c r="AG641" s="81" t="s">
        <v>238</v>
      </c>
      <c r="AH641" s="81" t="s">
        <v>118</v>
      </c>
      <c r="AK641" s="166">
        <v>0</v>
      </c>
      <c r="AM641" s="166">
        <v>0</v>
      </c>
      <c r="AO641" s="166">
        <v>0</v>
      </c>
      <c r="AP641" s="166">
        <v>0</v>
      </c>
      <c r="AQ641" s="166">
        <v>3</v>
      </c>
      <c r="AR641" s="166">
        <v>2</v>
      </c>
      <c r="AS641" s="166">
        <v>-1</v>
      </c>
      <c r="AT641" s="166">
        <v>0</v>
      </c>
      <c r="AU641" s="166">
        <v>0</v>
      </c>
      <c r="AV641" s="166">
        <v>0</v>
      </c>
      <c r="AW641" s="166">
        <v>0</v>
      </c>
      <c r="AX641" s="166">
        <v>3</v>
      </c>
      <c r="AY641" s="166">
        <v>1</v>
      </c>
      <c r="AZ641" s="166">
        <v>0</v>
      </c>
      <c r="BA641" s="166">
        <v>0</v>
      </c>
      <c r="BB641" s="166">
        <v>0</v>
      </c>
      <c r="BC641" s="166">
        <v>0</v>
      </c>
      <c r="BD641" s="166">
        <v>0</v>
      </c>
      <c r="BE641" s="166">
        <v>0</v>
      </c>
      <c r="BF641" s="166">
        <v>1</v>
      </c>
      <c r="BG641" s="166">
        <v>-1</v>
      </c>
      <c r="BH641" s="166">
        <v>0</v>
      </c>
      <c r="BI641" s="166">
        <v>0</v>
      </c>
      <c r="BJ641" s="166">
        <v>0</v>
      </c>
      <c r="BK641" s="166">
        <v>0</v>
      </c>
      <c r="BL641" s="166">
        <v>0</v>
      </c>
      <c r="BM641" s="166">
        <v>0</v>
      </c>
      <c r="BN641" s="166">
        <v>0</v>
      </c>
      <c r="BO641" s="166">
        <v>0</v>
      </c>
      <c r="BP641" s="166">
        <v>0</v>
      </c>
      <c r="BQ641" s="81" t="s">
        <v>1758</v>
      </c>
      <c r="BZ641" s="81" t="s">
        <v>155</v>
      </c>
      <c r="CA641" s="81" t="s">
        <v>3980</v>
      </c>
      <c r="CC641" s="167">
        <v>0</v>
      </c>
      <c r="CD641" s="167">
        <f>N641</f>
        <v>4</v>
      </c>
      <c r="CE641" s="167">
        <v>0</v>
      </c>
      <c r="CF641" s="167">
        <v>0</v>
      </c>
      <c r="CG641" s="167">
        <v>0</v>
      </c>
      <c r="CH641" s="167">
        <v>0</v>
      </c>
      <c r="CI641" s="167">
        <v>0</v>
      </c>
      <c r="CJ641" s="167">
        <v>0</v>
      </c>
      <c r="CK641" s="167">
        <v>0</v>
      </c>
      <c r="CL641" s="167">
        <v>0</v>
      </c>
      <c r="CM641" s="167">
        <v>0</v>
      </c>
      <c r="CN641" s="167">
        <v>0</v>
      </c>
      <c r="CO641" s="167">
        <v>0</v>
      </c>
      <c r="CP641" s="167">
        <v>0</v>
      </c>
      <c r="CQ641" s="167">
        <v>0</v>
      </c>
      <c r="CR641" s="167">
        <v>0</v>
      </c>
      <c r="CS641" s="167">
        <v>0</v>
      </c>
      <c r="CT641" s="167">
        <v>0</v>
      </c>
      <c r="CU641" s="167">
        <v>0</v>
      </c>
      <c r="CV641" s="167">
        <v>0</v>
      </c>
      <c r="CW641" s="167">
        <v>0</v>
      </c>
      <c r="CX641" s="167">
        <f>SUM(CD641:CH641)</f>
        <v>4</v>
      </c>
      <c r="CY641" s="167">
        <f>SUM(CD641:CM641)</f>
        <v>4</v>
      </c>
    </row>
    <row r="642" spans="1:103" ht="12.75" customHeight="1" x14ac:dyDescent="0.2">
      <c r="A642" s="81">
        <v>6250</v>
      </c>
      <c r="B642" s="165" t="s">
        <v>1908</v>
      </c>
      <c r="C642" s="165" t="s">
        <v>1264</v>
      </c>
      <c r="E642" s="165" t="s">
        <v>3639</v>
      </c>
      <c r="G642" s="81">
        <v>524222</v>
      </c>
      <c r="H642" s="81">
        <v>173822</v>
      </c>
      <c r="I642" s="165" t="s">
        <v>111</v>
      </c>
      <c r="J642" s="349">
        <v>43190</v>
      </c>
      <c r="L642" s="166">
        <v>0</v>
      </c>
      <c r="M642" s="166">
        <v>2</v>
      </c>
      <c r="N642" s="166">
        <v>2</v>
      </c>
      <c r="O642" s="166">
        <v>2</v>
      </c>
      <c r="P642" s="166">
        <v>2</v>
      </c>
      <c r="R642" s="165" t="s">
        <v>1265</v>
      </c>
      <c r="S642" s="81" t="s">
        <v>113</v>
      </c>
      <c r="T642" s="349">
        <v>42515</v>
      </c>
      <c r="U642" s="349">
        <v>42628</v>
      </c>
      <c r="W642" s="81" t="s">
        <v>114</v>
      </c>
      <c r="Y642" s="81" t="s">
        <v>115</v>
      </c>
      <c r="Z642" s="81" t="s">
        <v>116</v>
      </c>
      <c r="AA642" s="81" t="s">
        <v>117</v>
      </c>
      <c r="AB642" s="81" t="s">
        <v>218</v>
      </c>
      <c r="AC642" s="166">
        <v>1.30000002682209E-2</v>
      </c>
      <c r="AD642" s="349">
        <v>43190</v>
      </c>
      <c r="AE642" s="81" t="s">
        <v>155</v>
      </c>
      <c r="AG642" s="81" t="s">
        <v>154</v>
      </c>
      <c r="AH642" s="81" t="s">
        <v>38</v>
      </c>
      <c r="AK642" s="166">
        <v>2</v>
      </c>
      <c r="AM642" s="166">
        <v>2</v>
      </c>
      <c r="AO642" s="166">
        <v>0</v>
      </c>
      <c r="AP642" s="166">
        <v>1</v>
      </c>
      <c r="AQ642" s="166">
        <v>1</v>
      </c>
      <c r="AR642" s="166">
        <v>0</v>
      </c>
      <c r="AS642" s="166">
        <v>0</v>
      </c>
      <c r="AT642" s="166">
        <v>0</v>
      </c>
      <c r="AU642" s="166">
        <v>0</v>
      </c>
      <c r="AV642" s="166">
        <v>0</v>
      </c>
      <c r="AW642" s="166">
        <v>1</v>
      </c>
      <c r="AX642" s="166">
        <v>1</v>
      </c>
      <c r="AY642" s="166">
        <v>0</v>
      </c>
      <c r="AZ642" s="166">
        <v>0</v>
      </c>
      <c r="BA642" s="166">
        <v>0</v>
      </c>
      <c r="BB642" s="166">
        <v>0</v>
      </c>
      <c r="BC642" s="166">
        <v>0</v>
      </c>
      <c r="BD642" s="166">
        <v>0</v>
      </c>
      <c r="BE642" s="166">
        <v>0</v>
      </c>
      <c r="BF642" s="166">
        <v>0</v>
      </c>
      <c r="BG642" s="166">
        <v>0</v>
      </c>
      <c r="BH642" s="166">
        <v>0</v>
      </c>
      <c r="BI642" s="166">
        <v>0</v>
      </c>
      <c r="BJ642" s="166">
        <v>0</v>
      </c>
      <c r="BK642" s="166">
        <v>0</v>
      </c>
      <c r="BL642" s="166">
        <v>0</v>
      </c>
      <c r="BM642" s="166">
        <v>0</v>
      </c>
      <c r="BN642" s="166">
        <v>0</v>
      </c>
      <c r="BO642" s="166">
        <v>0</v>
      </c>
      <c r="BP642" s="166">
        <v>0</v>
      </c>
      <c r="BQ642" s="81" t="s">
        <v>1758</v>
      </c>
      <c r="BZ642" s="81" t="s">
        <v>155</v>
      </c>
      <c r="CA642" s="81" t="s">
        <v>3977</v>
      </c>
      <c r="CC642" s="167">
        <v>0</v>
      </c>
      <c r="CD642" s="167">
        <f>$N642/2</f>
        <v>1</v>
      </c>
      <c r="CE642" s="167">
        <f>$N642/2</f>
        <v>1</v>
      </c>
      <c r="CF642" s="167">
        <v>0</v>
      </c>
      <c r="CG642" s="167">
        <v>0</v>
      </c>
      <c r="CH642" s="167">
        <v>0</v>
      </c>
      <c r="CI642" s="167">
        <v>0</v>
      </c>
      <c r="CJ642" s="167">
        <v>0</v>
      </c>
      <c r="CK642" s="167">
        <v>0</v>
      </c>
      <c r="CL642" s="167">
        <v>0</v>
      </c>
      <c r="CM642" s="167">
        <v>0</v>
      </c>
      <c r="CN642" s="167">
        <v>0</v>
      </c>
      <c r="CO642" s="167">
        <v>0</v>
      </c>
      <c r="CP642" s="167">
        <v>0</v>
      </c>
      <c r="CQ642" s="167">
        <v>0</v>
      </c>
      <c r="CR642" s="167">
        <v>0</v>
      </c>
      <c r="CS642" s="167">
        <v>0</v>
      </c>
      <c r="CT642" s="167">
        <v>0</v>
      </c>
      <c r="CU642" s="167">
        <v>0</v>
      </c>
      <c r="CV642" s="167">
        <v>0</v>
      </c>
      <c r="CW642" s="167">
        <v>0</v>
      </c>
      <c r="CX642" s="167">
        <f>SUM(CD642:CH642)</f>
        <v>2</v>
      </c>
      <c r="CY642" s="167">
        <f>SUM(CD642:CM642)</f>
        <v>2</v>
      </c>
    </row>
    <row r="643" spans="1:103" ht="12.75" customHeight="1" x14ac:dyDescent="0.2">
      <c r="A643" s="81">
        <v>6264</v>
      </c>
      <c r="B643" s="165" t="s">
        <v>1908</v>
      </c>
      <c r="C643" s="165" t="s">
        <v>1564</v>
      </c>
      <c r="E643" s="165" t="s">
        <v>3649</v>
      </c>
      <c r="F643" s="165" t="s">
        <v>1565</v>
      </c>
      <c r="G643" s="81">
        <v>526810</v>
      </c>
      <c r="H643" s="81">
        <v>175111</v>
      </c>
      <c r="I643" s="165" t="s">
        <v>251</v>
      </c>
      <c r="J643" s="349">
        <v>43187</v>
      </c>
      <c r="L643" s="166">
        <v>2</v>
      </c>
      <c r="M643" s="166">
        <v>3</v>
      </c>
      <c r="N643" s="166">
        <v>1</v>
      </c>
      <c r="O643" s="166">
        <v>6</v>
      </c>
      <c r="P643" s="166">
        <v>3</v>
      </c>
      <c r="R643" s="165" t="s">
        <v>1566</v>
      </c>
      <c r="S643" s="81" t="s">
        <v>113</v>
      </c>
      <c r="T643" s="349">
        <v>42662</v>
      </c>
      <c r="U643" s="349">
        <v>42852</v>
      </c>
      <c r="V643" s="81" t="s">
        <v>155</v>
      </c>
      <c r="W643" s="81" t="s">
        <v>114</v>
      </c>
      <c r="Y643" s="81" t="s">
        <v>115</v>
      </c>
      <c r="Z643" s="81" t="s">
        <v>398</v>
      </c>
      <c r="AA643" s="81" t="s">
        <v>117</v>
      </c>
      <c r="AB643" s="81" t="s">
        <v>220</v>
      </c>
      <c r="AC643" s="166">
        <v>1.7999999225139601E-2</v>
      </c>
      <c r="AD643" s="349">
        <v>43187</v>
      </c>
      <c r="AE643" s="81" t="s">
        <v>155</v>
      </c>
      <c r="AG643" s="81" t="s">
        <v>238</v>
      </c>
      <c r="AH643" s="81" t="s">
        <v>118</v>
      </c>
      <c r="AK643" s="166">
        <v>0</v>
      </c>
      <c r="AM643" s="166">
        <v>0</v>
      </c>
      <c r="AO643" s="166">
        <v>0</v>
      </c>
      <c r="AP643" s="166">
        <v>0</v>
      </c>
      <c r="AQ643" s="166">
        <v>2</v>
      </c>
      <c r="AR643" s="166">
        <v>0</v>
      </c>
      <c r="AS643" s="166">
        <v>-1</v>
      </c>
      <c r="AT643" s="166">
        <v>0</v>
      </c>
      <c r="AU643" s="166">
        <v>0</v>
      </c>
      <c r="AV643" s="166">
        <v>0</v>
      </c>
      <c r="AW643" s="166">
        <v>0</v>
      </c>
      <c r="AX643" s="166">
        <v>2</v>
      </c>
      <c r="AY643" s="166">
        <v>0</v>
      </c>
      <c r="AZ643" s="166">
        <v>-1</v>
      </c>
      <c r="BA643" s="166">
        <v>0</v>
      </c>
      <c r="BB643" s="166">
        <v>0</v>
      </c>
      <c r="BC643" s="166">
        <v>0</v>
      </c>
      <c r="BD643" s="166">
        <v>0</v>
      </c>
      <c r="BE643" s="166">
        <v>0</v>
      </c>
      <c r="BF643" s="166">
        <v>0</v>
      </c>
      <c r="BG643" s="166">
        <v>0</v>
      </c>
      <c r="BH643" s="166">
        <v>0</v>
      </c>
      <c r="BI643" s="166">
        <v>0</v>
      </c>
      <c r="BJ643" s="166">
        <v>0</v>
      </c>
      <c r="BK643" s="166">
        <v>0</v>
      </c>
      <c r="BL643" s="166">
        <v>0</v>
      </c>
      <c r="BM643" s="166">
        <v>0</v>
      </c>
      <c r="BN643" s="166">
        <v>0</v>
      </c>
      <c r="BO643" s="166">
        <v>0</v>
      </c>
      <c r="BP643" s="166">
        <v>0</v>
      </c>
      <c r="BQ643" s="81" t="s">
        <v>1758</v>
      </c>
      <c r="BZ643" s="81" t="s">
        <v>155</v>
      </c>
      <c r="CA643" s="81" t="s">
        <v>3981</v>
      </c>
      <c r="CC643" s="167">
        <v>0</v>
      </c>
      <c r="CD643" s="167">
        <f>$N643/2</f>
        <v>0.5</v>
      </c>
      <c r="CE643" s="167">
        <f>$N643/2</f>
        <v>0.5</v>
      </c>
      <c r="CF643" s="167">
        <v>0</v>
      </c>
      <c r="CG643" s="167">
        <v>0</v>
      </c>
      <c r="CH643" s="167">
        <v>0</v>
      </c>
      <c r="CI643" s="167">
        <v>0</v>
      </c>
      <c r="CJ643" s="167">
        <v>0</v>
      </c>
      <c r="CK643" s="167">
        <v>0</v>
      </c>
      <c r="CL643" s="167">
        <v>0</v>
      </c>
      <c r="CM643" s="167">
        <v>0</v>
      </c>
      <c r="CN643" s="167">
        <v>0</v>
      </c>
      <c r="CO643" s="167">
        <v>0</v>
      </c>
      <c r="CP643" s="167">
        <v>0</v>
      </c>
      <c r="CQ643" s="167">
        <v>0</v>
      </c>
      <c r="CR643" s="167">
        <v>0</v>
      </c>
      <c r="CS643" s="167">
        <v>0</v>
      </c>
      <c r="CT643" s="167">
        <v>0</v>
      </c>
      <c r="CU643" s="167">
        <v>0</v>
      </c>
      <c r="CV643" s="167">
        <v>0</v>
      </c>
      <c r="CW643" s="167">
        <v>0</v>
      </c>
      <c r="CX643" s="167">
        <f>SUM(CD643:CH643)</f>
        <v>1</v>
      </c>
      <c r="CY643" s="167">
        <f>SUM(CD643:CM643)</f>
        <v>1</v>
      </c>
    </row>
    <row r="644" spans="1:103" ht="12.75" customHeight="1" x14ac:dyDescent="0.2">
      <c r="A644" s="81">
        <v>6264</v>
      </c>
      <c r="B644" s="165" t="s">
        <v>1908</v>
      </c>
      <c r="C644" s="165" t="s">
        <v>1564</v>
      </c>
      <c r="E644" s="165" t="s">
        <v>3649</v>
      </c>
      <c r="F644" s="165" t="s">
        <v>1567</v>
      </c>
      <c r="G644" s="81">
        <v>526810</v>
      </c>
      <c r="H644" s="81">
        <v>175111</v>
      </c>
      <c r="I644" s="165" t="s">
        <v>251</v>
      </c>
      <c r="J644" s="349">
        <v>43187</v>
      </c>
      <c r="L644" s="166">
        <v>1</v>
      </c>
      <c r="M644" s="166">
        <v>3</v>
      </c>
      <c r="N644" s="166">
        <v>2</v>
      </c>
      <c r="O644" s="166">
        <v>6</v>
      </c>
      <c r="P644" s="166">
        <v>3</v>
      </c>
      <c r="R644" s="165" t="s">
        <v>1566</v>
      </c>
      <c r="S644" s="81" t="s">
        <v>113</v>
      </c>
      <c r="T644" s="349">
        <v>42662</v>
      </c>
      <c r="U644" s="349">
        <v>42852</v>
      </c>
      <c r="V644" s="81" t="s">
        <v>155</v>
      </c>
      <c r="W644" s="81" t="s">
        <v>114</v>
      </c>
      <c r="Y644" s="81" t="s">
        <v>115</v>
      </c>
      <c r="Z644" s="81" t="s">
        <v>398</v>
      </c>
      <c r="AA644" s="81" t="s">
        <v>117</v>
      </c>
      <c r="AB644" s="81" t="s">
        <v>120</v>
      </c>
      <c r="AC644" s="166">
        <v>1.7999999225139601E-2</v>
      </c>
      <c r="AD644" s="350">
        <v>43187</v>
      </c>
      <c r="AG644" s="81" t="s">
        <v>238</v>
      </c>
      <c r="AH644" s="81" t="s">
        <v>118</v>
      </c>
      <c r="AK644" s="166">
        <v>0</v>
      </c>
      <c r="AM644" s="166">
        <v>0</v>
      </c>
      <c r="AO644" s="166">
        <v>1</v>
      </c>
      <c r="AP644" s="166">
        <v>0</v>
      </c>
      <c r="AQ644" s="166">
        <v>1</v>
      </c>
      <c r="AR644" s="166">
        <v>1</v>
      </c>
      <c r="AS644" s="166">
        <v>0</v>
      </c>
      <c r="AT644" s="166">
        <v>-1</v>
      </c>
      <c r="AU644" s="166">
        <v>0</v>
      </c>
      <c r="AV644" s="166">
        <v>1</v>
      </c>
      <c r="AW644" s="166">
        <v>0</v>
      </c>
      <c r="AX644" s="166">
        <v>1</v>
      </c>
      <c r="AY644" s="166">
        <v>1</v>
      </c>
      <c r="AZ644" s="166">
        <v>0</v>
      </c>
      <c r="BA644" s="166">
        <v>0</v>
      </c>
      <c r="BB644" s="166">
        <v>0</v>
      </c>
      <c r="BC644" s="166">
        <v>0</v>
      </c>
      <c r="BD644" s="166">
        <v>0</v>
      </c>
      <c r="BE644" s="166">
        <v>0</v>
      </c>
      <c r="BF644" s="166">
        <v>0</v>
      </c>
      <c r="BG644" s="166">
        <v>0</v>
      </c>
      <c r="BH644" s="166">
        <v>-1</v>
      </c>
      <c r="BI644" s="166">
        <v>0</v>
      </c>
      <c r="BJ644" s="166">
        <v>0</v>
      </c>
      <c r="BK644" s="166">
        <v>0</v>
      </c>
      <c r="BL644" s="166">
        <v>0</v>
      </c>
      <c r="BM644" s="166">
        <v>0</v>
      </c>
      <c r="BN644" s="166">
        <v>0</v>
      </c>
      <c r="BO644" s="166">
        <v>0</v>
      </c>
      <c r="BP644" s="166">
        <v>0</v>
      </c>
      <c r="BQ644" s="81" t="s">
        <v>1758</v>
      </c>
      <c r="BZ644" s="81" t="s">
        <v>155</v>
      </c>
      <c r="CA644" s="81" t="s">
        <v>3981</v>
      </c>
      <c r="CC644" s="167">
        <v>0</v>
      </c>
      <c r="CD644" s="167">
        <f>$N644/2</f>
        <v>1</v>
      </c>
      <c r="CE644" s="167">
        <f>$N644/2</f>
        <v>1</v>
      </c>
      <c r="CF644" s="167">
        <v>0</v>
      </c>
      <c r="CG644" s="167">
        <v>0</v>
      </c>
      <c r="CH644" s="167">
        <v>0</v>
      </c>
      <c r="CI644" s="167">
        <v>0</v>
      </c>
      <c r="CJ644" s="167">
        <v>0</v>
      </c>
      <c r="CK644" s="167">
        <v>0</v>
      </c>
      <c r="CL644" s="167">
        <v>0</v>
      </c>
      <c r="CM644" s="167">
        <v>0</v>
      </c>
      <c r="CN644" s="167">
        <v>0</v>
      </c>
      <c r="CO644" s="167">
        <v>0</v>
      </c>
      <c r="CP644" s="167">
        <v>0</v>
      </c>
      <c r="CQ644" s="167">
        <v>0</v>
      </c>
      <c r="CR644" s="167">
        <v>0</v>
      </c>
      <c r="CS644" s="167">
        <v>0</v>
      </c>
      <c r="CT644" s="167">
        <v>0</v>
      </c>
      <c r="CU644" s="167">
        <v>0</v>
      </c>
      <c r="CV644" s="167">
        <v>0</v>
      </c>
      <c r="CW644" s="167">
        <v>0</v>
      </c>
      <c r="CX644" s="167">
        <f>SUM(CD644:CH644)</f>
        <v>2</v>
      </c>
      <c r="CY644" s="167">
        <f>SUM(CD644:CM644)</f>
        <v>2</v>
      </c>
    </row>
    <row r="645" spans="1:103" ht="12.75" customHeight="1" x14ac:dyDescent="0.2">
      <c r="A645" s="81">
        <v>6265</v>
      </c>
      <c r="B645" s="165" t="s">
        <v>1908</v>
      </c>
      <c r="C645" s="165" t="s">
        <v>1013</v>
      </c>
      <c r="E645" s="165" t="s">
        <v>3640</v>
      </c>
      <c r="G645" s="81">
        <v>527193</v>
      </c>
      <c r="H645" s="81">
        <v>174782</v>
      </c>
      <c r="I645" s="165" t="s">
        <v>255</v>
      </c>
      <c r="J645" s="349">
        <v>42825</v>
      </c>
      <c r="L645" s="166">
        <v>1</v>
      </c>
      <c r="M645" s="166">
        <v>1</v>
      </c>
      <c r="N645" s="166">
        <v>0</v>
      </c>
      <c r="O645" s="166">
        <v>1</v>
      </c>
      <c r="P645" s="166">
        <v>0</v>
      </c>
      <c r="R645" s="165" t="s">
        <v>1014</v>
      </c>
      <c r="S645" s="81" t="s">
        <v>113</v>
      </c>
      <c r="T645" s="349">
        <v>42527</v>
      </c>
      <c r="U645" s="349">
        <v>42583</v>
      </c>
      <c r="W645" s="81" t="s">
        <v>114</v>
      </c>
      <c r="Y645" s="81" t="s">
        <v>115</v>
      </c>
      <c r="Z645" s="81" t="s">
        <v>116</v>
      </c>
      <c r="AA645" s="81" t="s">
        <v>117</v>
      </c>
      <c r="AB645" s="81" t="s">
        <v>218</v>
      </c>
      <c r="AC645" s="166">
        <v>3.7999998778104803E-2</v>
      </c>
      <c r="AD645" s="349">
        <v>42825</v>
      </c>
      <c r="AG645" s="81" t="s">
        <v>238</v>
      </c>
      <c r="AH645" s="81" t="s">
        <v>118</v>
      </c>
      <c r="AK645" s="166">
        <v>1</v>
      </c>
      <c r="AM645" s="166">
        <v>0</v>
      </c>
      <c r="AO645" s="166">
        <v>0</v>
      </c>
      <c r="AP645" s="166">
        <v>0</v>
      </c>
      <c r="AQ645" s="166">
        <v>-1</v>
      </c>
      <c r="AR645" s="166">
        <v>1</v>
      </c>
      <c r="AS645" s="166">
        <v>0</v>
      </c>
      <c r="AT645" s="166">
        <v>0</v>
      </c>
      <c r="AU645" s="166">
        <v>0</v>
      </c>
      <c r="AV645" s="166">
        <v>0</v>
      </c>
      <c r="AW645" s="166">
        <v>0</v>
      </c>
      <c r="AX645" s="166">
        <v>0</v>
      </c>
      <c r="AY645" s="166">
        <v>0</v>
      </c>
      <c r="AZ645" s="166">
        <v>0</v>
      </c>
      <c r="BA645" s="166">
        <v>0</v>
      </c>
      <c r="BB645" s="166">
        <v>0</v>
      </c>
      <c r="BC645" s="166">
        <v>0</v>
      </c>
      <c r="BD645" s="166">
        <v>0</v>
      </c>
      <c r="BE645" s="166">
        <v>-1</v>
      </c>
      <c r="BF645" s="166">
        <v>1</v>
      </c>
      <c r="BG645" s="166">
        <v>0</v>
      </c>
      <c r="BH645" s="166">
        <v>0</v>
      </c>
      <c r="BI645" s="166">
        <v>0</v>
      </c>
      <c r="BJ645" s="166">
        <v>0</v>
      </c>
      <c r="BK645" s="166">
        <v>0</v>
      </c>
      <c r="BL645" s="166">
        <v>0</v>
      </c>
      <c r="BM645" s="166">
        <v>0</v>
      </c>
      <c r="BN645" s="166">
        <v>0</v>
      </c>
      <c r="BO645" s="166">
        <v>0</v>
      </c>
      <c r="BP645" s="166">
        <v>0</v>
      </c>
      <c r="BQ645" s="81" t="s">
        <v>1757</v>
      </c>
      <c r="BZ645" s="81" t="s">
        <v>155</v>
      </c>
      <c r="CA645" s="81" t="s">
        <v>3976</v>
      </c>
      <c r="CC645" s="167">
        <v>0</v>
      </c>
      <c r="CD645" s="167">
        <f>N645</f>
        <v>0</v>
      </c>
      <c r="CE645" s="167">
        <v>0</v>
      </c>
      <c r="CF645" s="167">
        <v>0</v>
      </c>
      <c r="CG645" s="167">
        <v>0</v>
      </c>
      <c r="CH645" s="167">
        <v>0</v>
      </c>
      <c r="CI645" s="167">
        <v>0</v>
      </c>
      <c r="CJ645" s="167">
        <v>0</v>
      </c>
      <c r="CK645" s="167">
        <v>0</v>
      </c>
      <c r="CL645" s="167">
        <v>0</v>
      </c>
      <c r="CM645" s="167">
        <v>0</v>
      </c>
      <c r="CN645" s="167">
        <v>0</v>
      </c>
      <c r="CO645" s="167">
        <v>0</v>
      </c>
      <c r="CP645" s="167">
        <v>0</v>
      </c>
      <c r="CQ645" s="167">
        <v>0</v>
      </c>
      <c r="CR645" s="167">
        <v>0</v>
      </c>
      <c r="CS645" s="167">
        <v>0</v>
      </c>
      <c r="CT645" s="167">
        <v>0</v>
      </c>
      <c r="CU645" s="167">
        <v>0</v>
      </c>
      <c r="CV645" s="167">
        <v>0</v>
      </c>
      <c r="CW645" s="167">
        <v>0</v>
      </c>
      <c r="CX645" s="167">
        <f>SUM(CD645:CH645)</f>
        <v>0</v>
      </c>
      <c r="CY645" s="167">
        <f>SUM(CD645:CM645)</f>
        <v>0</v>
      </c>
    </row>
    <row r="646" spans="1:103" x14ac:dyDescent="0.2">
      <c r="A646" s="81">
        <v>6275</v>
      </c>
      <c r="B646" s="165" t="s">
        <v>1908</v>
      </c>
      <c r="C646" s="165" t="s">
        <v>1041</v>
      </c>
      <c r="E646" s="165" t="s">
        <v>3651</v>
      </c>
      <c r="G646" s="81">
        <v>528526</v>
      </c>
      <c r="H646" s="81">
        <v>174202</v>
      </c>
      <c r="I646" s="165" t="s">
        <v>247</v>
      </c>
      <c r="J646" s="349">
        <v>42825</v>
      </c>
      <c r="L646" s="166">
        <v>1</v>
      </c>
      <c r="M646" s="166">
        <v>5</v>
      </c>
      <c r="N646" s="166">
        <v>4</v>
      </c>
      <c r="O646" s="166">
        <v>5</v>
      </c>
      <c r="P646" s="166">
        <v>4</v>
      </c>
      <c r="R646" s="165" t="s">
        <v>1042</v>
      </c>
      <c r="S646" s="81" t="s">
        <v>113</v>
      </c>
      <c r="T646" s="349">
        <v>42585</v>
      </c>
      <c r="U646" s="349">
        <v>42702</v>
      </c>
      <c r="W646" s="81" t="s">
        <v>114</v>
      </c>
      <c r="Y646" s="81" t="s">
        <v>115</v>
      </c>
      <c r="Z646" s="81" t="s">
        <v>398</v>
      </c>
      <c r="AA646" s="81" t="s">
        <v>117</v>
      </c>
      <c r="AB646" s="81" t="s">
        <v>120</v>
      </c>
      <c r="AC646" s="166">
        <v>2.4000000208616298E-2</v>
      </c>
      <c r="AD646" s="349">
        <v>42825</v>
      </c>
      <c r="AG646" s="81" t="s">
        <v>238</v>
      </c>
      <c r="AH646" s="81" t="s">
        <v>118</v>
      </c>
      <c r="AK646" s="166">
        <v>0</v>
      </c>
      <c r="AM646" s="166">
        <v>0</v>
      </c>
      <c r="AO646" s="166">
        <v>0</v>
      </c>
      <c r="AP646" s="166">
        <v>0</v>
      </c>
      <c r="AQ646" s="166">
        <v>3</v>
      </c>
      <c r="AR646" s="166">
        <v>2</v>
      </c>
      <c r="AS646" s="166">
        <v>0</v>
      </c>
      <c r="AT646" s="166">
        <v>-1</v>
      </c>
      <c r="AU646" s="166">
        <v>0</v>
      </c>
      <c r="AV646" s="166">
        <v>0</v>
      </c>
      <c r="AW646" s="166">
        <v>0</v>
      </c>
      <c r="AX646" s="166">
        <v>3</v>
      </c>
      <c r="AY646" s="166">
        <v>2</v>
      </c>
      <c r="AZ646" s="166">
        <v>0</v>
      </c>
      <c r="BA646" s="166">
        <v>0</v>
      </c>
      <c r="BB646" s="166">
        <v>0</v>
      </c>
      <c r="BC646" s="166">
        <v>0</v>
      </c>
      <c r="BD646" s="166">
        <v>0</v>
      </c>
      <c r="BE646" s="166">
        <v>0</v>
      </c>
      <c r="BF646" s="166">
        <v>0</v>
      </c>
      <c r="BG646" s="166">
        <v>0</v>
      </c>
      <c r="BH646" s="166">
        <v>-1</v>
      </c>
      <c r="BI646" s="166">
        <v>0</v>
      </c>
      <c r="BJ646" s="166">
        <v>0</v>
      </c>
      <c r="BK646" s="166">
        <v>0</v>
      </c>
      <c r="BL646" s="166">
        <v>0</v>
      </c>
      <c r="BM646" s="166">
        <v>0</v>
      </c>
      <c r="BN646" s="166">
        <v>0</v>
      </c>
      <c r="BO646" s="166">
        <v>0</v>
      </c>
      <c r="BP646" s="166">
        <v>0</v>
      </c>
      <c r="BQ646" s="81" t="s">
        <v>1757</v>
      </c>
      <c r="BZ646" s="81" t="s">
        <v>155</v>
      </c>
      <c r="CA646" s="81" t="s">
        <v>3980</v>
      </c>
      <c r="CC646" s="167">
        <v>0</v>
      </c>
      <c r="CD646" s="167">
        <f>N646</f>
        <v>4</v>
      </c>
      <c r="CE646" s="167">
        <v>0</v>
      </c>
      <c r="CF646" s="167">
        <v>0</v>
      </c>
      <c r="CG646" s="167">
        <v>0</v>
      </c>
      <c r="CH646" s="167">
        <v>0</v>
      </c>
      <c r="CI646" s="167">
        <v>0</v>
      </c>
      <c r="CJ646" s="167">
        <v>0</v>
      </c>
      <c r="CK646" s="167">
        <v>0</v>
      </c>
      <c r="CL646" s="167">
        <v>0</v>
      </c>
      <c r="CM646" s="167">
        <v>0</v>
      </c>
      <c r="CN646" s="167">
        <v>0</v>
      </c>
      <c r="CO646" s="167">
        <v>0</v>
      </c>
      <c r="CP646" s="167">
        <v>0</v>
      </c>
      <c r="CQ646" s="167">
        <v>0</v>
      </c>
      <c r="CR646" s="167">
        <v>0</v>
      </c>
      <c r="CS646" s="167">
        <v>0</v>
      </c>
      <c r="CT646" s="167">
        <v>0</v>
      </c>
      <c r="CU646" s="167">
        <v>0</v>
      </c>
      <c r="CV646" s="167">
        <v>0</v>
      </c>
      <c r="CW646" s="167">
        <v>0</v>
      </c>
      <c r="CX646" s="167">
        <f>SUM(CD646:CH646)</f>
        <v>4</v>
      </c>
      <c r="CY646" s="167">
        <f>SUM(CD646:CM646)</f>
        <v>4</v>
      </c>
    </row>
    <row r="647" spans="1:103" ht="12.75" customHeight="1" x14ac:dyDescent="0.2">
      <c r="A647" s="81">
        <v>6281</v>
      </c>
      <c r="B647" s="165" t="s">
        <v>1908</v>
      </c>
      <c r="C647" s="165" t="s">
        <v>1284</v>
      </c>
      <c r="E647" s="165" t="s">
        <v>3235</v>
      </c>
      <c r="G647" s="81">
        <v>522932</v>
      </c>
      <c r="H647" s="81">
        <v>175036</v>
      </c>
      <c r="I647" s="165" t="s">
        <v>59</v>
      </c>
      <c r="J647" s="349">
        <v>43190</v>
      </c>
      <c r="L647" s="166">
        <v>1</v>
      </c>
      <c r="M647" s="166">
        <v>2</v>
      </c>
      <c r="N647" s="166">
        <v>1</v>
      </c>
      <c r="O647" s="166">
        <v>2</v>
      </c>
      <c r="P647" s="166">
        <v>1</v>
      </c>
      <c r="R647" s="165" t="s">
        <v>1285</v>
      </c>
      <c r="S647" s="81" t="s">
        <v>113</v>
      </c>
      <c r="T647" s="349">
        <v>42528</v>
      </c>
      <c r="U647" s="349">
        <v>42584</v>
      </c>
      <c r="W647" s="81" t="s">
        <v>114</v>
      </c>
      <c r="Y647" s="81" t="s">
        <v>115</v>
      </c>
      <c r="Z647" s="81" t="s">
        <v>116</v>
      </c>
      <c r="AA647" s="81" t="s">
        <v>117</v>
      </c>
      <c r="AB647" s="81" t="s">
        <v>218</v>
      </c>
      <c r="AC647" s="166">
        <v>8.6000002920627594E-2</v>
      </c>
      <c r="AD647" s="349">
        <v>43190</v>
      </c>
      <c r="AE647" s="81" t="s">
        <v>155</v>
      </c>
      <c r="AG647" s="81" t="s">
        <v>238</v>
      </c>
      <c r="AH647" s="81" t="s">
        <v>118</v>
      </c>
      <c r="AK647" s="166">
        <v>0</v>
      </c>
      <c r="AM647" s="166">
        <v>0</v>
      </c>
      <c r="AO647" s="166">
        <v>0</v>
      </c>
      <c r="AP647" s="166">
        <v>0</v>
      </c>
      <c r="AQ647" s="166">
        <v>0</v>
      </c>
      <c r="AR647" s="166">
        <v>0</v>
      </c>
      <c r="AS647" s="166">
        <v>1</v>
      </c>
      <c r="AT647" s="166">
        <v>0</v>
      </c>
      <c r="AU647" s="166">
        <v>0</v>
      </c>
      <c r="AV647" s="166">
        <v>0</v>
      </c>
      <c r="AW647" s="166">
        <v>0</v>
      </c>
      <c r="AX647" s="166">
        <v>0</v>
      </c>
      <c r="AY647" s="166">
        <v>0</v>
      </c>
      <c r="AZ647" s="166">
        <v>0</v>
      </c>
      <c r="BA647" s="166">
        <v>0</v>
      </c>
      <c r="BB647" s="166">
        <v>0</v>
      </c>
      <c r="BC647" s="166">
        <v>0</v>
      </c>
      <c r="BD647" s="166">
        <v>0</v>
      </c>
      <c r="BE647" s="166">
        <v>0</v>
      </c>
      <c r="BF647" s="166">
        <v>0</v>
      </c>
      <c r="BG647" s="166">
        <v>1</v>
      </c>
      <c r="BH647" s="166">
        <v>0</v>
      </c>
      <c r="BI647" s="166">
        <v>0</v>
      </c>
      <c r="BJ647" s="166">
        <v>0</v>
      </c>
      <c r="BK647" s="166">
        <v>0</v>
      </c>
      <c r="BL647" s="166">
        <v>0</v>
      </c>
      <c r="BM647" s="166">
        <v>0</v>
      </c>
      <c r="BN647" s="166">
        <v>0</v>
      </c>
      <c r="BO647" s="166">
        <v>0</v>
      </c>
      <c r="BP647" s="166">
        <v>0</v>
      </c>
      <c r="BQ647" s="81" t="s">
        <v>1758</v>
      </c>
      <c r="BZ647" s="81" t="s">
        <v>155</v>
      </c>
      <c r="CA647" s="81" t="s">
        <v>3977</v>
      </c>
      <c r="CC647" s="167">
        <v>0</v>
      </c>
      <c r="CD647" s="167">
        <f>$N647/2</f>
        <v>0.5</v>
      </c>
      <c r="CE647" s="167">
        <f>$N647/2</f>
        <v>0.5</v>
      </c>
      <c r="CF647" s="167">
        <v>0</v>
      </c>
      <c r="CG647" s="167">
        <v>0</v>
      </c>
      <c r="CH647" s="167">
        <v>0</v>
      </c>
      <c r="CI647" s="167">
        <v>0</v>
      </c>
      <c r="CJ647" s="167">
        <v>0</v>
      </c>
      <c r="CK647" s="167">
        <v>0</v>
      </c>
      <c r="CL647" s="167">
        <v>0</v>
      </c>
      <c r="CM647" s="167">
        <v>0</v>
      </c>
      <c r="CN647" s="167">
        <v>0</v>
      </c>
      <c r="CO647" s="167">
        <v>0</v>
      </c>
      <c r="CP647" s="167">
        <v>0</v>
      </c>
      <c r="CQ647" s="167">
        <v>0</v>
      </c>
      <c r="CR647" s="167">
        <v>0</v>
      </c>
      <c r="CS647" s="167">
        <v>0</v>
      </c>
      <c r="CT647" s="167">
        <v>0</v>
      </c>
      <c r="CU647" s="167">
        <v>0</v>
      </c>
      <c r="CV647" s="167">
        <v>0</v>
      </c>
      <c r="CW647" s="167">
        <v>0</v>
      </c>
      <c r="CX647" s="167">
        <f>SUM(CD647:CH647)</f>
        <v>1</v>
      </c>
      <c r="CY647" s="167">
        <f>SUM(CD647:CM647)</f>
        <v>1</v>
      </c>
    </row>
    <row r="648" spans="1:103" ht="12.75" customHeight="1" x14ac:dyDescent="0.2">
      <c r="A648" s="81">
        <v>6290</v>
      </c>
      <c r="B648" s="165" t="s">
        <v>1908</v>
      </c>
      <c r="C648" s="165" t="s">
        <v>3643</v>
      </c>
      <c r="E648" s="165" t="s">
        <v>3644</v>
      </c>
      <c r="G648" s="81">
        <v>521162</v>
      </c>
      <c r="H648" s="81">
        <v>174661</v>
      </c>
      <c r="I648" s="165" t="s">
        <v>877</v>
      </c>
      <c r="J648" s="349">
        <v>42940</v>
      </c>
      <c r="L648" s="166">
        <v>0</v>
      </c>
      <c r="M648" s="166">
        <v>1</v>
      </c>
      <c r="N648" s="166">
        <v>1</v>
      </c>
      <c r="O648" s="166">
        <v>1</v>
      </c>
      <c r="P648" s="166">
        <v>1</v>
      </c>
      <c r="R648" s="165" t="s">
        <v>3645</v>
      </c>
      <c r="S648" s="81" t="s">
        <v>113</v>
      </c>
      <c r="T648" s="349">
        <v>42843</v>
      </c>
      <c r="U648" s="349">
        <v>42909</v>
      </c>
      <c r="V648" s="81" t="s">
        <v>155</v>
      </c>
      <c r="W648" s="81" t="s">
        <v>114</v>
      </c>
      <c r="Y648" s="81" t="s">
        <v>115</v>
      </c>
      <c r="Z648" s="81" t="s">
        <v>116</v>
      </c>
      <c r="AA648" s="81" t="s">
        <v>117</v>
      </c>
      <c r="AB648" s="81" t="s">
        <v>218</v>
      </c>
      <c r="AC648" s="166">
        <v>0.15700000524520899</v>
      </c>
      <c r="AD648" s="349">
        <v>42940</v>
      </c>
      <c r="AE648" s="81" t="s">
        <v>155</v>
      </c>
      <c r="AG648" s="81" t="s">
        <v>238</v>
      </c>
      <c r="AH648" s="81" t="s">
        <v>118</v>
      </c>
      <c r="AK648" s="166">
        <v>0</v>
      </c>
      <c r="AM648" s="166">
        <v>0</v>
      </c>
      <c r="AO648" s="166">
        <v>0</v>
      </c>
      <c r="AP648" s="166">
        <v>0</v>
      </c>
      <c r="AQ648" s="166">
        <v>0</v>
      </c>
      <c r="AR648" s="166">
        <v>0</v>
      </c>
      <c r="AS648" s="166">
        <v>0</v>
      </c>
      <c r="AT648" s="166">
        <v>1</v>
      </c>
      <c r="AU648" s="166">
        <v>0</v>
      </c>
      <c r="AV648" s="166">
        <v>0</v>
      </c>
      <c r="AW648" s="166">
        <v>0</v>
      </c>
      <c r="AX648" s="166">
        <v>0</v>
      </c>
      <c r="AY648" s="166">
        <v>0</v>
      </c>
      <c r="AZ648" s="166">
        <v>0</v>
      </c>
      <c r="BA648" s="166">
        <v>0</v>
      </c>
      <c r="BB648" s="166">
        <v>0</v>
      </c>
      <c r="BC648" s="166">
        <v>0</v>
      </c>
      <c r="BD648" s="166">
        <v>0</v>
      </c>
      <c r="BE648" s="166">
        <v>0</v>
      </c>
      <c r="BF648" s="166">
        <v>0</v>
      </c>
      <c r="BG648" s="166">
        <v>0</v>
      </c>
      <c r="BH648" s="166">
        <v>1</v>
      </c>
      <c r="BI648" s="166">
        <v>0</v>
      </c>
      <c r="BJ648" s="166">
        <v>0</v>
      </c>
      <c r="BK648" s="166">
        <v>0</v>
      </c>
      <c r="BL648" s="166">
        <v>0</v>
      </c>
      <c r="BM648" s="166">
        <v>0</v>
      </c>
      <c r="BN648" s="166">
        <v>0</v>
      </c>
      <c r="BO648" s="166">
        <v>0</v>
      </c>
      <c r="BP648" s="166">
        <v>0</v>
      </c>
      <c r="BQ648" s="81" t="s">
        <v>1758</v>
      </c>
      <c r="BZ648" s="81" t="s">
        <v>155</v>
      </c>
      <c r="CA648" s="81" t="s">
        <v>3976</v>
      </c>
      <c r="CC648" s="167">
        <v>0</v>
      </c>
      <c r="CD648" s="167">
        <f>N648</f>
        <v>1</v>
      </c>
      <c r="CE648" s="167">
        <v>0</v>
      </c>
      <c r="CF648" s="167">
        <v>0</v>
      </c>
      <c r="CG648" s="167">
        <v>0</v>
      </c>
      <c r="CH648" s="167">
        <v>0</v>
      </c>
      <c r="CI648" s="167">
        <v>0</v>
      </c>
      <c r="CJ648" s="167">
        <v>0</v>
      </c>
      <c r="CK648" s="167">
        <v>0</v>
      </c>
      <c r="CL648" s="167">
        <v>0</v>
      </c>
      <c r="CM648" s="167">
        <v>0</v>
      </c>
      <c r="CN648" s="167">
        <v>0</v>
      </c>
      <c r="CO648" s="167">
        <v>0</v>
      </c>
      <c r="CP648" s="167">
        <v>0</v>
      </c>
      <c r="CQ648" s="167">
        <v>0</v>
      </c>
      <c r="CR648" s="167">
        <v>0</v>
      </c>
      <c r="CS648" s="167">
        <v>0</v>
      </c>
      <c r="CT648" s="167">
        <v>0</v>
      </c>
      <c r="CU648" s="167">
        <v>0</v>
      </c>
      <c r="CV648" s="167">
        <v>0</v>
      </c>
      <c r="CW648" s="167">
        <v>0</v>
      </c>
      <c r="CX648" s="167">
        <f>SUM(CD648:CH648)</f>
        <v>1</v>
      </c>
      <c r="CY648" s="167">
        <f>SUM(CD648:CM648)</f>
        <v>1</v>
      </c>
    </row>
    <row r="649" spans="1:103" ht="12.75" customHeight="1" x14ac:dyDescent="0.2">
      <c r="A649" s="81">
        <v>6298</v>
      </c>
      <c r="B649" s="165" t="s">
        <v>1908</v>
      </c>
      <c r="C649" s="165" t="s">
        <v>1025</v>
      </c>
      <c r="E649" s="165" t="s">
        <v>3654</v>
      </c>
      <c r="G649" s="81">
        <v>527332</v>
      </c>
      <c r="H649" s="81">
        <v>171706</v>
      </c>
      <c r="I649" s="165" t="s">
        <v>242</v>
      </c>
      <c r="J649" s="349">
        <v>42825</v>
      </c>
      <c r="L649" s="166">
        <v>1</v>
      </c>
      <c r="M649" s="166">
        <v>2</v>
      </c>
      <c r="N649" s="166">
        <v>1</v>
      </c>
      <c r="O649" s="166">
        <v>2</v>
      </c>
      <c r="P649" s="166">
        <v>1</v>
      </c>
      <c r="R649" s="165" t="s">
        <v>1026</v>
      </c>
      <c r="S649" s="81" t="s">
        <v>113</v>
      </c>
      <c r="T649" s="349">
        <v>42551</v>
      </c>
      <c r="U649" s="349">
        <v>42607</v>
      </c>
      <c r="W649" s="81" t="s">
        <v>114</v>
      </c>
      <c r="Y649" s="81" t="s">
        <v>115</v>
      </c>
      <c r="Z649" s="81" t="s">
        <v>398</v>
      </c>
      <c r="AA649" s="81" t="s">
        <v>117</v>
      </c>
      <c r="AB649" s="81" t="s">
        <v>120</v>
      </c>
      <c r="AC649" s="166">
        <v>1.2000000104308101E-2</v>
      </c>
      <c r="AD649" s="349">
        <v>42825</v>
      </c>
      <c r="AG649" s="81" t="s">
        <v>238</v>
      </c>
      <c r="AH649" s="81" t="s">
        <v>118</v>
      </c>
      <c r="AK649" s="166">
        <v>0</v>
      </c>
      <c r="AM649" s="166">
        <v>0</v>
      </c>
      <c r="AO649" s="166">
        <v>0</v>
      </c>
      <c r="AP649" s="166">
        <v>0</v>
      </c>
      <c r="AQ649" s="166">
        <v>1</v>
      </c>
      <c r="AR649" s="166">
        <v>0</v>
      </c>
      <c r="AS649" s="166">
        <v>0</v>
      </c>
      <c r="AT649" s="166">
        <v>0</v>
      </c>
      <c r="AU649" s="166">
        <v>0</v>
      </c>
      <c r="AV649" s="166">
        <v>0</v>
      </c>
      <c r="AW649" s="166">
        <v>0</v>
      </c>
      <c r="AX649" s="166">
        <v>1</v>
      </c>
      <c r="AY649" s="166">
        <v>1</v>
      </c>
      <c r="AZ649" s="166">
        <v>0</v>
      </c>
      <c r="BA649" s="166">
        <v>0</v>
      </c>
      <c r="BB649" s="166">
        <v>0</v>
      </c>
      <c r="BC649" s="166">
        <v>0</v>
      </c>
      <c r="BD649" s="166">
        <v>0</v>
      </c>
      <c r="BE649" s="166">
        <v>0</v>
      </c>
      <c r="BF649" s="166">
        <v>-1</v>
      </c>
      <c r="BG649" s="166">
        <v>0</v>
      </c>
      <c r="BH649" s="166">
        <v>0</v>
      </c>
      <c r="BI649" s="166">
        <v>0</v>
      </c>
      <c r="BJ649" s="166">
        <v>0</v>
      </c>
      <c r="BK649" s="166">
        <v>0</v>
      </c>
      <c r="BL649" s="166">
        <v>0</v>
      </c>
      <c r="BM649" s="166">
        <v>0</v>
      </c>
      <c r="BN649" s="166">
        <v>0</v>
      </c>
      <c r="BO649" s="166">
        <v>0</v>
      </c>
      <c r="BP649" s="166">
        <v>0</v>
      </c>
      <c r="BQ649" s="81" t="s">
        <v>1757</v>
      </c>
      <c r="BZ649" s="81" t="s">
        <v>155</v>
      </c>
      <c r="CA649" s="81" t="s">
        <v>3980</v>
      </c>
      <c r="CC649" s="167">
        <v>0</v>
      </c>
      <c r="CD649" s="167">
        <f>N649</f>
        <v>1</v>
      </c>
      <c r="CE649" s="167">
        <v>0</v>
      </c>
      <c r="CF649" s="167">
        <v>0</v>
      </c>
      <c r="CG649" s="167">
        <v>0</v>
      </c>
      <c r="CH649" s="167">
        <v>0</v>
      </c>
      <c r="CI649" s="167">
        <v>0</v>
      </c>
      <c r="CJ649" s="167">
        <v>0</v>
      </c>
      <c r="CK649" s="167">
        <v>0</v>
      </c>
      <c r="CL649" s="167">
        <v>0</v>
      </c>
      <c r="CM649" s="167">
        <v>0</v>
      </c>
      <c r="CN649" s="167">
        <v>0</v>
      </c>
      <c r="CO649" s="167">
        <v>0</v>
      </c>
      <c r="CP649" s="167">
        <v>0</v>
      </c>
      <c r="CQ649" s="167">
        <v>0</v>
      </c>
      <c r="CR649" s="167">
        <v>0</v>
      </c>
      <c r="CS649" s="167">
        <v>0</v>
      </c>
      <c r="CT649" s="167">
        <v>0</v>
      </c>
      <c r="CU649" s="167">
        <v>0</v>
      </c>
      <c r="CV649" s="167">
        <v>0</v>
      </c>
      <c r="CW649" s="167">
        <v>0</v>
      </c>
      <c r="CX649" s="167">
        <f>SUM(CD649:CH649)</f>
        <v>1</v>
      </c>
      <c r="CY649" s="167">
        <f>SUM(CD649:CM649)</f>
        <v>1</v>
      </c>
    </row>
    <row r="650" spans="1:103" x14ac:dyDescent="0.2">
      <c r="A650" s="81">
        <v>6299</v>
      </c>
      <c r="B650" s="165" t="s">
        <v>1908</v>
      </c>
      <c r="C650" s="165" t="s">
        <v>1328</v>
      </c>
      <c r="E650" s="165" t="s">
        <v>3648</v>
      </c>
      <c r="G650" s="81">
        <v>522733</v>
      </c>
      <c r="H650" s="81">
        <v>175277</v>
      </c>
      <c r="I650" s="165" t="s">
        <v>59</v>
      </c>
      <c r="J650" s="349">
        <v>43190</v>
      </c>
      <c r="L650" s="166">
        <v>1</v>
      </c>
      <c r="M650" s="166">
        <v>1</v>
      </c>
      <c r="N650" s="166">
        <v>0</v>
      </c>
      <c r="O650" s="166">
        <v>1</v>
      </c>
      <c r="P650" s="166">
        <v>0</v>
      </c>
      <c r="R650" s="165" t="s">
        <v>1329</v>
      </c>
      <c r="S650" s="81" t="s">
        <v>113</v>
      </c>
      <c r="T650" s="349">
        <v>42556</v>
      </c>
      <c r="U650" s="349">
        <v>42669</v>
      </c>
      <c r="W650" s="81" t="s">
        <v>114</v>
      </c>
      <c r="Y650" s="81" t="s">
        <v>115</v>
      </c>
      <c r="Z650" s="81" t="s">
        <v>116</v>
      </c>
      <c r="AA650" s="81" t="s">
        <v>117</v>
      </c>
      <c r="AB650" s="81" t="s">
        <v>218</v>
      </c>
      <c r="AC650" s="166">
        <v>3.5000000149011598E-2</v>
      </c>
      <c r="AD650" s="349">
        <v>43190</v>
      </c>
      <c r="AE650" s="81" t="s">
        <v>155</v>
      </c>
      <c r="AG650" s="81" t="s">
        <v>238</v>
      </c>
      <c r="AH650" s="81" t="s">
        <v>118</v>
      </c>
      <c r="AK650" s="166">
        <v>1</v>
      </c>
      <c r="AM650" s="166">
        <v>0</v>
      </c>
      <c r="AO650" s="166">
        <v>0</v>
      </c>
      <c r="AP650" s="166">
        <v>0</v>
      </c>
      <c r="AQ650" s="166">
        <v>0</v>
      </c>
      <c r="AR650" s="166">
        <v>-1</v>
      </c>
      <c r="AS650" s="166">
        <v>0</v>
      </c>
      <c r="AT650" s="166">
        <v>1</v>
      </c>
      <c r="AU650" s="166">
        <v>0</v>
      </c>
      <c r="AV650" s="166">
        <v>0</v>
      </c>
      <c r="AW650" s="166">
        <v>0</v>
      </c>
      <c r="AX650" s="166">
        <v>0</v>
      </c>
      <c r="AY650" s="166">
        <v>0</v>
      </c>
      <c r="AZ650" s="166">
        <v>0</v>
      </c>
      <c r="BA650" s="166">
        <v>0</v>
      </c>
      <c r="BB650" s="166">
        <v>0</v>
      </c>
      <c r="BC650" s="166">
        <v>0</v>
      </c>
      <c r="BD650" s="166">
        <v>0</v>
      </c>
      <c r="BE650" s="166">
        <v>0</v>
      </c>
      <c r="BF650" s="166">
        <v>-1</v>
      </c>
      <c r="BG650" s="166">
        <v>0</v>
      </c>
      <c r="BH650" s="166">
        <v>1</v>
      </c>
      <c r="BI650" s="166">
        <v>0</v>
      </c>
      <c r="BJ650" s="166">
        <v>0</v>
      </c>
      <c r="BK650" s="166">
        <v>0</v>
      </c>
      <c r="BL650" s="166">
        <v>0</v>
      </c>
      <c r="BM650" s="166">
        <v>0</v>
      </c>
      <c r="BN650" s="166">
        <v>0</v>
      </c>
      <c r="BO650" s="166">
        <v>0</v>
      </c>
      <c r="BP650" s="166">
        <v>0</v>
      </c>
      <c r="BQ650" s="81" t="s">
        <v>1758</v>
      </c>
      <c r="BZ650" s="81" t="s">
        <v>155</v>
      </c>
      <c r="CA650" s="81" t="s">
        <v>3977</v>
      </c>
      <c r="CC650" s="167">
        <v>0</v>
      </c>
      <c r="CD650" s="167">
        <f>$N650/2</f>
        <v>0</v>
      </c>
      <c r="CE650" s="167">
        <f>$N650/2</f>
        <v>0</v>
      </c>
      <c r="CF650" s="167">
        <v>0</v>
      </c>
      <c r="CG650" s="167">
        <v>0</v>
      </c>
      <c r="CH650" s="167">
        <v>0</v>
      </c>
      <c r="CI650" s="167">
        <v>0</v>
      </c>
      <c r="CJ650" s="167">
        <v>0</v>
      </c>
      <c r="CK650" s="167">
        <v>0</v>
      </c>
      <c r="CL650" s="167">
        <v>0</v>
      </c>
      <c r="CM650" s="167">
        <v>0</v>
      </c>
      <c r="CN650" s="167">
        <v>0</v>
      </c>
      <c r="CO650" s="167">
        <v>0</v>
      </c>
      <c r="CP650" s="167">
        <v>0</v>
      </c>
      <c r="CQ650" s="167">
        <v>0</v>
      </c>
      <c r="CR650" s="167">
        <v>0</v>
      </c>
      <c r="CS650" s="167">
        <v>0</v>
      </c>
      <c r="CT650" s="167">
        <v>0</v>
      </c>
      <c r="CU650" s="167">
        <v>0</v>
      </c>
      <c r="CV650" s="167">
        <v>0</v>
      </c>
      <c r="CW650" s="167">
        <v>0</v>
      </c>
      <c r="CX650" s="167">
        <f>SUM(CD650:CH650)</f>
        <v>0</v>
      </c>
      <c r="CY650" s="167">
        <f>SUM(CD650:CM650)</f>
        <v>0</v>
      </c>
    </row>
    <row r="651" spans="1:103" ht="12.75" customHeight="1" x14ac:dyDescent="0.2">
      <c r="A651" s="81">
        <v>6308</v>
      </c>
      <c r="B651" s="165" t="s">
        <v>1908</v>
      </c>
      <c r="C651" s="165" t="s">
        <v>1664</v>
      </c>
      <c r="E651" s="165" t="s">
        <v>3658</v>
      </c>
      <c r="G651" s="81">
        <v>528835</v>
      </c>
      <c r="H651" s="81">
        <v>173118</v>
      </c>
      <c r="I651" s="165" t="s">
        <v>247</v>
      </c>
      <c r="J651" s="349">
        <v>43019</v>
      </c>
      <c r="L651" s="166">
        <v>1</v>
      </c>
      <c r="M651" s="166">
        <v>4</v>
      </c>
      <c r="N651" s="166">
        <v>3</v>
      </c>
      <c r="O651" s="166">
        <v>4</v>
      </c>
      <c r="P651" s="166">
        <v>3</v>
      </c>
      <c r="R651" s="165" t="s">
        <v>1665</v>
      </c>
      <c r="S651" s="81" t="s">
        <v>113</v>
      </c>
      <c r="T651" s="349">
        <v>42803</v>
      </c>
      <c r="U651" s="349">
        <v>42929</v>
      </c>
      <c r="V651" s="81" t="s">
        <v>155</v>
      </c>
      <c r="W651" s="81" t="s">
        <v>114</v>
      </c>
      <c r="Y651" s="81" t="s">
        <v>115</v>
      </c>
      <c r="Z651" s="81" t="s">
        <v>119</v>
      </c>
      <c r="AA651" s="81" t="s">
        <v>117</v>
      </c>
      <c r="AB651" s="81" t="s">
        <v>220</v>
      </c>
      <c r="AC651" s="166">
        <v>2.19999998807907E-2</v>
      </c>
      <c r="AD651" s="349">
        <v>43019</v>
      </c>
      <c r="AE651" s="81" t="s">
        <v>155</v>
      </c>
      <c r="AG651" s="81" t="s">
        <v>238</v>
      </c>
      <c r="AH651" s="81" t="s">
        <v>118</v>
      </c>
      <c r="AK651" s="166">
        <v>0</v>
      </c>
      <c r="AM651" s="166">
        <v>0</v>
      </c>
      <c r="AO651" s="166">
        <v>1</v>
      </c>
      <c r="AP651" s="166">
        <v>1</v>
      </c>
      <c r="AQ651" s="166">
        <v>1</v>
      </c>
      <c r="AR651" s="166">
        <v>0</v>
      </c>
      <c r="AS651" s="166">
        <v>0</v>
      </c>
      <c r="AT651" s="166">
        <v>0</v>
      </c>
      <c r="AU651" s="166">
        <v>0</v>
      </c>
      <c r="AV651" s="166">
        <v>1</v>
      </c>
      <c r="AW651" s="166">
        <v>1</v>
      </c>
      <c r="AX651" s="166">
        <v>1</v>
      </c>
      <c r="AY651" s="166">
        <v>0</v>
      </c>
      <c r="AZ651" s="166">
        <v>0</v>
      </c>
      <c r="BA651" s="166">
        <v>0</v>
      </c>
      <c r="BB651" s="166">
        <v>0</v>
      </c>
      <c r="BC651" s="166">
        <v>0</v>
      </c>
      <c r="BD651" s="166">
        <v>0</v>
      </c>
      <c r="BE651" s="166">
        <v>0</v>
      </c>
      <c r="BF651" s="166">
        <v>0</v>
      </c>
      <c r="BG651" s="166">
        <v>0</v>
      </c>
      <c r="BH651" s="166">
        <v>0</v>
      </c>
      <c r="BI651" s="166">
        <v>0</v>
      </c>
      <c r="BJ651" s="166">
        <v>0</v>
      </c>
      <c r="BK651" s="166">
        <v>0</v>
      </c>
      <c r="BL651" s="166">
        <v>0</v>
      </c>
      <c r="BM651" s="166">
        <v>0</v>
      </c>
      <c r="BN651" s="166">
        <v>0</v>
      </c>
      <c r="BO651" s="166">
        <v>0</v>
      </c>
      <c r="BP651" s="166">
        <v>0</v>
      </c>
      <c r="BQ651" s="81" t="s">
        <v>1757</v>
      </c>
      <c r="BZ651" s="81" t="s">
        <v>155</v>
      </c>
      <c r="CA651" s="81" t="s">
        <v>3981</v>
      </c>
      <c r="CC651" s="167">
        <v>0</v>
      </c>
      <c r="CD651" s="167">
        <f>$N651/2</f>
        <v>1.5</v>
      </c>
      <c r="CE651" s="167">
        <f>$N651/2</f>
        <v>1.5</v>
      </c>
      <c r="CF651" s="167">
        <v>0</v>
      </c>
      <c r="CG651" s="167">
        <v>0</v>
      </c>
      <c r="CH651" s="167">
        <v>0</v>
      </c>
      <c r="CI651" s="167">
        <v>0</v>
      </c>
      <c r="CJ651" s="167">
        <v>0</v>
      </c>
      <c r="CK651" s="167">
        <v>0</v>
      </c>
      <c r="CL651" s="167">
        <v>0</v>
      </c>
      <c r="CM651" s="167">
        <v>0</v>
      </c>
      <c r="CN651" s="167">
        <v>0</v>
      </c>
      <c r="CO651" s="167">
        <v>0</v>
      </c>
      <c r="CP651" s="167">
        <v>0</v>
      </c>
      <c r="CQ651" s="167">
        <v>0</v>
      </c>
      <c r="CR651" s="167">
        <v>0</v>
      </c>
      <c r="CS651" s="167">
        <v>0</v>
      </c>
      <c r="CT651" s="167">
        <v>0</v>
      </c>
      <c r="CU651" s="167">
        <v>0</v>
      </c>
      <c r="CV651" s="167">
        <v>0</v>
      </c>
      <c r="CW651" s="167">
        <v>0</v>
      </c>
      <c r="CX651" s="167">
        <f>SUM(CD651:CH651)</f>
        <v>3</v>
      </c>
      <c r="CY651" s="167">
        <f>SUM(CD651:CM651)</f>
        <v>3</v>
      </c>
    </row>
    <row r="652" spans="1:103" ht="12.75" customHeight="1" x14ac:dyDescent="0.2">
      <c r="A652" s="81">
        <v>6311</v>
      </c>
      <c r="B652" s="165" t="s">
        <v>1908</v>
      </c>
      <c r="C652" s="165" t="s">
        <v>1465</v>
      </c>
      <c r="E652" s="165" t="s">
        <v>3659</v>
      </c>
      <c r="G652" s="81">
        <v>527604</v>
      </c>
      <c r="H652" s="81">
        <v>172607</v>
      </c>
      <c r="I652" s="165" t="s">
        <v>254</v>
      </c>
      <c r="J652" s="349">
        <v>43047</v>
      </c>
      <c r="L652" s="166">
        <v>4</v>
      </c>
      <c r="M652" s="166">
        <v>1</v>
      </c>
      <c r="N652" s="166">
        <v>-3</v>
      </c>
      <c r="O652" s="166">
        <v>1</v>
      </c>
      <c r="P652" s="166">
        <v>-3</v>
      </c>
      <c r="R652" s="165" t="s">
        <v>1466</v>
      </c>
      <c r="S652" s="81" t="s">
        <v>113</v>
      </c>
      <c r="T652" s="349">
        <v>42670</v>
      </c>
      <c r="U652" s="349">
        <v>42725</v>
      </c>
      <c r="W652" s="81" t="s">
        <v>114</v>
      </c>
      <c r="Y652" s="81" t="s">
        <v>115</v>
      </c>
      <c r="Z652" s="81" t="s">
        <v>119</v>
      </c>
      <c r="AA652" s="81" t="s">
        <v>117</v>
      </c>
      <c r="AB652" s="81" t="s">
        <v>336</v>
      </c>
      <c r="AC652" s="166">
        <v>2.8000000864267301E-2</v>
      </c>
      <c r="AD652" s="349">
        <v>43047</v>
      </c>
      <c r="AE652" s="81" t="s">
        <v>155</v>
      </c>
      <c r="AG652" s="81" t="s">
        <v>238</v>
      </c>
      <c r="AH652" s="81" t="s">
        <v>118</v>
      </c>
      <c r="AK652" s="166">
        <v>0</v>
      </c>
      <c r="AM652" s="166">
        <v>0</v>
      </c>
      <c r="AO652" s="166">
        <v>0</v>
      </c>
      <c r="AP652" s="166">
        <v>-2</v>
      </c>
      <c r="AQ652" s="166">
        <v>-2</v>
      </c>
      <c r="AR652" s="166">
        <v>0</v>
      </c>
      <c r="AS652" s="166">
        <v>0</v>
      </c>
      <c r="AT652" s="166">
        <v>1</v>
      </c>
      <c r="AU652" s="166">
        <v>0</v>
      </c>
      <c r="AV652" s="166">
        <v>0</v>
      </c>
      <c r="AW652" s="166">
        <v>-2</v>
      </c>
      <c r="AX652" s="166">
        <v>-2</v>
      </c>
      <c r="AY652" s="166">
        <v>0</v>
      </c>
      <c r="AZ652" s="166">
        <v>0</v>
      </c>
      <c r="BA652" s="166">
        <v>0</v>
      </c>
      <c r="BB652" s="166">
        <v>0</v>
      </c>
      <c r="BC652" s="166">
        <v>0</v>
      </c>
      <c r="BD652" s="166">
        <v>0</v>
      </c>
      <c r="BE652" s="166">
        <v>0</v>
      </c>
      <c r="BF652" s="166">
        <v>0</v>
      </c>
      <c r="BG652" s="166">
        <v>0</v>
      </c>
      <c r="BH652" s="166">
        <v>1</v>
      </c>
      <c r="BI652" s="166">
        <v>0</v>
      </c>
      <c r="BJ652" s="166">
        <v>0</v>
      </c>
      <c r="BK652" s="166">
        <v>0</v>
      </c>
      <c r="BL652" s="166">
        <v>0</v>
      </c>
      <c r="BM652" s="166">
        <v>0</v>
      </c>
      <c r="BN652" s="166">
        <v>0</v>
      </c>
      <c r="BO652" s="166">
        <v>0</v>
      </c>
      <c r="BP652" s="166">
        <v>0</v>
      </c>
      <c r="BQ652" s="81" t="s">
        <v>1757</v>
      </c>
      <c r="BZ652" s="81" t="s">
        <v>155</v>
      </c>
      <c r="CA652" s="81" t="s">
        <v>3981</v>
      </c>
      <c r="CC652" s="167">
        <v>0</v>
      </c>
      <c r="CD652" s="167">
        <f>$N652/2</f>
        <v>-1.5</v>
      </c>
      <c r="CE652" s="167">
        <f>$N652/2</f>
        <v>-1.5</v>
      </c>
      <c r="CF652" s="167">
        <v>0</v>
      </c>
      <c r="CG652" s="167">
        <v>0</v>
      </c>
      <c r="CH652" s="167">
        <v>0</v>
      </c>
      <c r="CI652" s="167">
        <v>0</v>
      </c>
      <c r="CJ652" s="167">
        <v>0</v>
      </c>
      <c r="CK652" s="167">
        <v>0</v>
      </c>
      <c r="CL652" s="167">
        <v>0</v>
      </c>
      <c r="CM652" s="167">
        <v>0</v>
      </c>
      <c r="CN652" s="167">
        <v>0</v>
      </c>
      <c r="CO652" s="167">
        <v>0</v>
      </c>
      <c r="CP652" s="167">
        <v>0</v>
      </c>
      <c r="CQ652" s="167">
        <v>0</v>
      </c>
      <c r="CR652" s="167">
        <v>0</v>
      </c>
      <c r="CS652" s="167">
        <v>0</v>
      </c>
      <c r="CT652" s="167">
        <v>0</v>
      </c>
      <c r="CU652" s="167">
        <v>0</v>
      </c>
      <c r="CV652" s="167">
        <v>0</v>
      </c>
      <c r="CW652" s="167">
        <v>0</v>
      </c>
      <c r="CX652" s="167">
        <f>SUM(CD652:CH652)</f>
        <v>-3</v>
      </c>
      <c r="CY652" s="167">
        <f>SUM(CD652:CM652)</f>
        <v>-3</v>
      </c>
    </row>
    <row r="653" spans="1:103" ht="12.75" customHeight="1" x14ac:dyDescent="0.2">
      <c r="A653" s="81">
        <v>6323</v>
      </c>
      <c r="B653" s="165" t="s">
        <v>1908</v>
      </c>
      <c r="C653" s="165" t="s">
        <v>1033</v>
      </c>
      <c r="E653" s="165" t="s">
        <v>3660</v>
      </c>
      <c r="G653" s="81">
        <v>527777</v>
      </c>
      <c r="H653" s="81">
        <v>175664</v>
      </c>
      <c r="I653" s="165" t="s">
        <v>256</v>
      </c>
      <c r="J653" s="349">
        <v>42825</v>
      </c>
      <c r="L653" s="166">
        <v>1</v>
      </c>
      <c r="M653" s="166">
        <v>2</v>
      </c>
      <c r="N653" s="166">
        <v>1</v>
      </c>
      <c r="O653" s="166">
        <v>2</v>
      </c>
      <c r="P653" s="166">
        <v>1</v>
      </c>
      <c r="R653" s="165" t="s">
        <v>1034</v>
      </c>
      <c r="S653" s="81" t="s">
        <v>113</v>
      </c>
      <c r="T653" s="349">
        <v>42572</v>
      </c>
      <c r="U653" s="349">
        <v>42628</v>
      </c>
      <c r="W653" s="81" t="s">
        <v>114</v>
      </c>
      <c r="Y653" s="81" t="s">
        <v>115</v>
      </c>
      <c r="Z653" s="81" t="s">
        <v>398</v>
      </c>
      <c r="AA653" s="81" t="s">
        <v>117</v>
      </c>
      <c r="AB653" s="81" t="s">
        <v>218</v>
      </c>
      <c r="AC653" s="166">
        <v>6.0000000521540598E-3</v>
      </c>
      <c r="AD653" s="349">
        <v>42825</v>
      </c>
      <c r="AG653" s="81" t="s">
        <v>238</v>
      </c>
      <c r="AH653" s="81" t="s">
        <v>118</v>
      </c>
      <c r="AK653" s="166">
        <v>0</v>
      </c>
      <c r="AM653" s="166">
        <v>0</v>
      </c>
      <c r="AO653" s="166">
        <v>0</v>
      </c>
      <c r="AP653" s="166">
        <v>0</v>
      </c>
      <c r="AQ653" s="166">
        <v>0</v>
      </c>
      <c r="AR653" s="166">
        <v>1</v>
      </c>
      <c r="AS653" s="166">
        <v>0</v>
      </c>
      <c r="AT653" s="166">
        <v>0</v>
      </c>
      <c r="AU653" s="166">
        <v>0</v>
      </c>
      <c r="AV653" s="166">
        <v>0</v>
      </c>
      <c r="AW653" s="166">
        <v>0</v>
      </c>
      <c r="AX653" s="166">
        <v>0</v>
      </c>
      <c r="AY653" s="166">
        <v>1</v>
      </c>
      <c r="AZ653" s="166">
        <v>0</v>
      </c>
      <c r="BA653" s="166">
        <v>0</v>
      </c>
      <c r="BB653" s="166">
        <v>0</v>
      </c>
      <c r="BC653" s="166">
        <v>0</v>
      </c>
      <c r="BD653" s="166">
        <v>0</v>
      </c>
      <c r="BE653" s="166">
        <v>0</v>
      </c>
      <c r="BF653" s="166">
        <v>0</v>
      </c>
      <c r="BG653" s="166">
        <v>0</v>
      </c>
      <c r="BH653" s="166">
        <v>0</v>
      </c>
      <c r="BI653" s="166">
        <v>0</v>
      </c>
      <c r="BJ653" s="166">
        <v>0</v>
      </c>
      <c r="BK653" s="166">
        <v>0</v>
      </c>
      <c r="BL653" s="166">
        <v>0</v>
      </c>
      <c r="BM653" s="166">
        <v>0</v>
      </c>
      <c r="BN653" s="166">
        <v>0</v>
      </c>
      <c r="BO653" s="166">
        <v>0</v>
      </c>
      <c r="BP653" s="166">
        <v>0</v>
      </c>
      <c r="BQ653" s="81" t="s">
        <v>1757</v>
      </c>
      <c r="BZ653" s="81" t="s">
        <v>155</v>
      </c>
      <c r="CA653" s="81" t="s">
        <v>3980</v>
      </c>
      <c r="CC653" s="167">
        <v>0</v>
      </c>
      <c r="CD653" s="167">
        <f>N653</f>
        <v>1</v>
      </c>
      <c r="CE653" s="167">
        <v>0</v>
      </c>
      <c r="CF653" s="167">
        <v>0</v>
      </c>
      <c r="CG653" s="167">
        <v>0</v>
      </c>
      <c r="CH653" s="167">
        <v>0</v>
      </c>
      <c r="CI653" s="167">
        <v>0</v>
      </c>
      <c r="CJ653" s="167">
        <v>0</v>
      </c>
      <c r="CK653" s="167">
        <v>0</v>
      </c>
      <c r="CL653" s="167">
        <v>0</v>
      </c>
      <c r="CM653" s="167">
        <v>0</v>
      </c>
      <c r="CN653" s="167">
        <v>0</v>
      </c>
      <c r="CO653" s="167">
        <v>0</v>
      </c>
      <c r="CP653" s="167">
        <v>0</v>
      </c>
      <c r="CQ653" s="167">
        <v>0</v>
      </c>
      <c r="CR653" s="167">
        <v>0</v>
      </c>
      <c r="CS653" s="167">
        <v>0</v>
      </c>
      <c r="CT653" s="167">
        <v>0</v>
      </c>
      <c r="CU653" s="167">
        <v>0</v>
      </c>
      <c r="CV653" s="167">
        <v>0</v>
      </c>
      <c r="CW653" s="167">
        <v>0</v>
      </c>
      <c r="CX653" s="167">
        <f>SUM(CD653:CH653)</f>
        <v>1</v>
      </c>
      <c r="CY653" s="167">
        <f>SUM(CD653:CM653)</f>
        <v>1</v>
      </c>
    </row>
    <row r="654" spans="1:103" ht="12.75" customHeight="1" x14ac:dyDescent="0.2">
      <c r="A654" s="81">
        <v>6324</v>
      </c>
      <c r="B654" s="165" t="s">
        <v>1908</v>
      </c>
      <c r="C654" s="165" t="s">
        <v>1021</v>
      </c>
      <c r="E654" s="165" t="s">
        <v>3661</v>
      </c>
      <c r="G654" s="81">
        <v>527264</v>
      </c>
      <c r="H654" s="81">
        <v>171574</v>
      </c>
      <c r="I654" s="165" t="s">
        <v>242</v>
      </c>
      <c r="J654" s="349">
        <v>42825</v>
      </c>
      <c r="L654" s="166">
        <v>1</v>
      </c>
      <c r="M654" s="166">
        <v>3</v>
      </c>
      <c r="N654" s="166">
        <v>2</v>
      </c>
      <c r="O654" s="166">
        <v>3</v>
      </c>
      <c r="P654" s="166">
        <v>2</v>
      </c>
      <c r="R654" s="165" t="s">
        <v>1022</v>
      </c>
      <c r="S654" s="81" t="s">
        <v>113</v>
      </c>
      <c r="T654" s="349">
        <v>42556</v>
      </c>
      <c r="U654" s="349">
        <v>42612</v>
      </c>
      <c r="W654" s="81" t="s">
        <v>114</v>
      </c>
      <c r="Y654" s="81" t="s">
        <v>115</v>
      </c>
      <c r="Z654" s="81" t="s">
        <v>398</v>
      </c>
      <c r="AA654" s="81" t="s">
        <v>117</v>
      </c>
      <c r="AB654" s="81" t="s">
        <v>120</v>
      </c>
      <c r="AC654" s="166">
        <v>1.7000000923872001E-2</v>
      </c>
      <c r="AD654" s="349">
        <v>42825</v>
      </c>
      <c r="AG654" s="81" t="s">
        <v>238</v>
      </c>
      <c r="AH654" s="81" t="s">
        <v>118</v>
      </c>
      <c r="AK654" s="166">
        <v>0</v>
      </c>
      <c r="AM654" s="166">
        <v>0</v>
      </c>
      <c r="AO654" s="166">
        <v>1</v>
      </c>
      <c r="AP654" s="166">
        <v>1</v>
      </c>
      <c r="AQ654" s="166">
        <v>0</v>
      </c>
      <c r="AR654" s="166">
        <v>1</v>
      </c>
      <c r="AS654" s="166">
        <v>0</v>
      </c>
      <c r="AT654" s="166">
        <v>-1</v>
      </c>
      <c r="AU654" s="166">
        <v>0</v>
      </c>
      <c r="AV654" s="166">
        <v>1</v>
      </c>
      <c r="AW654" s="166">
        <v>1</v>
      </c>
      <c r="AX654" s="166">
        <v>0</v>
      </c>
      <c r="AY654" s="166">
        <v>1</v>
      </c>
      <c r="AZ654" s="166">
        <v>0</v>
      </c>
      <c r="BA654" s="166">
        <v>0</v>
      </c>
      <c r="BB654" s="166">
        <v>0</v>
      </c>
      <c r="BC654" s="166">
        <v>0</v>
      </c>
      <c r="BD654" s="166">
        <v>0</v>
      </c>
      <c r="BE654" s="166">
        <v>0</v>
      </c>
      <c r="BF654" s="166">
        <v>0</v>
      </c>
      <c r="BG654" s="166">
        <v>0</v>
      </c>
      <c r="BH654" s="166">
        <v>-1</v>
      </c>
      <c r="BI654" s="166">
        <v>0</v>
      </c>
      <c r="BJ654" s="166">
        <v>0</v>
      </c>
      <c r="BK654" s="166">
        <v>0</v>
      </c>
      <c r="BL654" s="166">
        <v>0</v>
      </c>
      <c r="BM654" s="166">
        <v>0</v>
      </c>
      <c r="BN654" s="166">
        <v>0</v>
      </c>
      <c r="BO654" s="166">
        <v>0</v>
      </c>
      <c r="BP654" s="166">
        <v>0</v>
      </c>
      <c r="BQ654" s="81" t="s">
        <v>1757</v>
      </c>
      <c r="BZ654" s="81" t="s">
        <v>155</v>
      </c>
      <c r="CA654" s="81" t="s">
        <v>3980</v>
      </c>
      <c r="CC654" s="167">
        <v>0</v>
      </c>
      <c r="CD654" s="167">
        <f>N654</f>
        <v>2</v>
      </c>
      <c r="CE654" s="167">
        <v>0</v>
      </c>
      <c r="CF654" s="167">
        <v>0</v>
      </c>
      <c r="CG654" s="167">
        <v>0</v>
      </c>
      <c r="CH654" s="167">
        <v>0</v>
      </c>
      <c r="CI654" s="167">
        <v>0</v>
      </c>
      <c r="CJ654" s="167">
        <v>0</v>
      </c>
      <c r="CK654" s="167">
        <v>0</v>
      </c>
      <c r="CL654" s="167">
        <v>0</v>
      </c>
      <c r="CM654" s="167">
        <v>0</v>
      </c>
      <c r="CN654" s="167">
        <v>0</v>
      </c>
      <c r="CO654" s="167">
        <v>0</v>
      </c>
      <c r="CP654" s="167">
        <v>0</v>
      </c>
      <c r="CQ654" s="167">
        <v>0</v>
      </c>
      <c r="CR654" s="167">
        <v>0</v>
      </c>
      <c r="CS654" s="167">
        <v>0</v>
      </c>
      <c r="CT654" s="167">
        <v>0</v>
      </c>
      <c r="CU654" s="167">
        <v>0</v>
      </c>
      <c r="CV654" s="167">
        <v>0</v>
      </c>
      <c r="CW654" s="167">
        <v>0</v>
      </c>
      <c r="CX654" s="167">
        <f>SUM(CD654:CH654)</f>
        <v>2</v>
      </c>
      <c r="CY654" s="167">
        <f>SUM(CD654:CM654)</f>
        <v>2</v>
      </c>
    </row>
    <row r="655" spans="1:103" x14ac:dyDescent="0.2">
      <c r="A655" s="81">
        <v>6340</v>
      </c>
      <c r="B655" s="165" t="s">
        <v>1908</v>
      </c>
      <c r="C655" s="165" t="s">
        <v>1341</v>
      </c>
      <c r="E655" s="165" t="s">
        <v>3662</v>
      </c>
      <c r="G655" s="81">
        <v>529469</v>
      </c>
      <c r="H655" s="81">
        <v>171072</v>
      </c>
      <c r="I655" s="165" t="s">
        <v>252</v>
      </c>
      <c r="J655" s="349">
        <v>42948</v>
      </c>
      <c r="L655" s="166">
        <v>1</v>
      </c>
      <c r="M655" s="166">
        <v>3</v>
      </c>
      <c r="N655" s="166">
        <v>2</v>
      </c>
      <c r="O655" s="166">
        <v>3</v>
      </c>
      <c r="P655" s="166">
        <v>2</v>
      </c>
      <c r="R655" s="165" t="s">
        <v>1342</v>
      </c>
      <c r="S655" s="81" t="s">
        <v>113</v>
      </c>
      <c r="T655" s="349">
        <v>42579</v>
      </c>
      <c r="U655" s="349">
        <v>42635</v>
      </c>
      <c r="W655" s="81" t="s">
        <v>114</v>
      </c>
      <c r="Y655" s="81" t="s">
        <v>115</v>
      </c>
      <c r="Z655" s="81" t="s">
        <v>398</v>
      </c>
      <c r="AA655" s="81" t="s">
        <v>117</v>
      </c>
      <c r="AB655" s="81" t="s">
        <v>120</v>
      </c>
      <c r="AC655" s="166">
        <v>2.8000000864267301E-2</v>
      </c>
      <c r="AD655" s="349">
        <v>42948</v>
      </c>
      <c r="AE655" s="81" t="s">
        <v>155</v>
      </c>
      <c r="AG655" s="81" t="s">
        <v>238</v>
      </c>
      <c r="AH655" s="81" t="s">
        <v>118</v>
      </c>
      <c r="AK655" s="166">
        <v>0</v>
      </c>
      <c r="AM655" s="166">
        <v>0</v>
      </c>
      <c r="AO655" s="166">
        <v>0</v>
      </c>
      <c r="AP655" s="166">
        <v>1</v>
      </c>
      <c r="AQ655" s="166">
        <v>1</v>
      </c>
      <c r="AR655" s="166">
        <v>1</v>
      </c>
      <c r="AS655" s="166">
        <v>-1</v>
      </c>
      <c r="AT655" s="166">
        <v>0</v>
      </c>
      <c r="AU655" s="166">
        <v>0</v>
      </c>
      <c r="AV655" s="166">
        <v>0</v>
      </c>
      <c r="AW655" s="166">
        <v>1</v>
      </c>
      <c r="AX655" s="166">
        <v>1</v>
      </c>
      <c r="AY655" s="166">
        <v>1</v>
      </c>
      <c r="AZ655" s="166">
        <v>0</v>
      </c>
      <c r="BA655" s="166">
        <v>0</v>
      </c>
      <c r="BB655" s="166">
        <v>0</v>
      </c>
      <c r="BC655" s="166">
        <v>0</v>
      </c>
      <c r="BD655" s="166">
        <v>0</v>
      </c>
      <c r="BE655" s="166">
        <v>0</v>
      </c>
      <c r="BF655" s="166">
        <v>0</v>
      </c>
      <c r="BG655" s="166">
        <v>-1</v>
      </c>
      <c r="BH655" s="166">
        <v>0</v>
      </c>
      <c r="BI655" s="166">
        <v>0</v>
      </c>
      <c r="BJ655" s="166">
        <v>0</v>
      </c>
      <c r="BK655" s="166">
        <v>0</v>
      </c>
      <c r="BL655" s="166">
        <v>0</v>
      </c>
      <c r="BM655" s="166">
        <v>0</v>
      </c>
      <c r="BN655" s="166">
        <v>0</v>
      </c>
      <c r="BO655" s="166">
        <v>0</v>
      </c>
      <c r="BP655" s="166">
        <v>0</v>
      </c>
      <c r="BQ655" s="81" t="s">
        <v>1757</v>
      </c>
      <c r="BZ655" s="81" t="s">
        <v>155</v>
      </c>
      <c r="CA655" s="81" t="s">
        <v>3980</v>
      </c>
      <c r="CC655" s="167">
        <v>0</v>
      </c>
      <c r="CD655" s="167">
        <f>N655</f>
        <v>2</v>
      </c>
      <c r="CE655" s="167">
        <v>0</v>
      </c>
      <c r="CF655" s="167">
        <v>0</v>
      </c>
      <c r="CG655" s="167">
        <v>0</v>
      </c>
      <c r="CH655" s="167">
        <v>0</v>
      </c>
      <c r="CI655" s="167">
        <v>0</v>
      </c>
      <c r="CJ655" s="167">
        <v>0</v>
      </c>
      <c r="CK655" s="167">
        <v>0</v>
      </c>
      <c r="CL655" s="167">
        <v>0</v>
      </c>
      <c r="CM655" s="167">
        <v>0</v>
      </c>
      <c r="CN655" s="167">
        <v>0</v>
      </c>
      <c r="CO655" s="167">
        <v>0</v>
      </c>
      <c r="CP655" s="167">
        <v>0</v>
      </c>
      <c r="CQ655" s="167">
        <v>0</v>
      </c>
      <c r="CR655" s="167">
        <v>0</v>
      </c>
      <c r="CS655" s="167">
        <v>0</v>
      </c>
      <c r="CT655" s="167">
        <v>0</v>
      </c>
      <c r="CU655" s="167">
        <v>0</v>
      </c>
      <c r="CV655" s="167">
        <v>0</v>
      </c>
      <c r="CW655" s="167">
        <v>0</v>
      </c>
      <c r="CX655" s="167">
        <f>SUM(CD655:CH655)</f>
        <v>2</v>
      </c>
      <c r="CY655" s="167">
        <f>SUM(CD655:CM655)</f>
        <v>2</v>
      </c>
    </row>
    <row r="656" spans="1:103" x14ac:dyDescent="0.2">
      <c r="A656" s="81">
        <v>6342</v>
      </c>
      <c r="B656" s="165" t="s">
        <v>1908</v>
      </c>
      <c r="C656" s="165" t="s">
        <v>1043</v>
      </c>
      <c r="E656" s="165" t="s">
        <v>3663</v>
      </c>
      <c r="G656" s="81">
        <v>528447</v>
      </c>
      <c r="H656" s="81">
        <v>172503</v>
      </c>
      <c r="I656" s="165" t="s">
        <v>248</v>
      </c>
      <c r="J656" s="349">
        <v>42825</v>
      </c>
      <c r="L656" s="166">
        <v>6</v>
      </c>
      <c r="M656" s="166">
        <v>1</v>
      </c>
      <c r="N656" s="166">
        <v>-5</v>
      </c>
      <c r="O656" s="166">
        <v>1</v>
      </c>
      <c r="P656" s="166">
        <v>-5</v>
      </c>
      <c r="R656" s="165" t="s">
        <v>1044</v>
      </c>
      <c r="S656" s="81" t="s">
        <v>113</v>
      </c>
      <c r="T656" s="349">
        <v>42598</v>
      </c>
      <c r="U656" s="349">
        <v>42653</v>
      </c>
      <c r="W656" s="81" t="s">
        <v>114</v>
      </c>
      <c r="Y656" s="81" t="s">
        <v>115</v>
      </c>
      <c r="Z656" s="81" t="s">
        <v>119</v>
      </c>
      <c r="AA656" s="81" t="s">
        <v>117</v>
      </c>
      <c r="AB656" s="81" t="s">
        <v>336</v>
      </c>
      <c r="AC656" s="166">
        <v>2.3000000044703501E-2</v>
      </c>
      <c r="AD656" s="349">
        <v>42825</v>
      </c>
      <c r="AG656" s="81" t="s">
        <v>238</v>
      </c>
      <c r="AH656" s="81" t="s">
        <v>118</v>
      </c>
      <c r="AK656" s="166">
        <v>0</v>
      </c>
      <c r="AM656" s="166">
        <v>0</v>
      </c>
      <c r="AO656" s="166">
        <v>0</v>
      </c>
      <c r="AP656" s="166">
        <v>-6</v>
      </c>
      <c r="AQ656" s="166">
        <v>0</v>
      </c>
      <c r="AR656" s="166">
        <v>0</v>
      </c>
      <c r="AS656" s="166">
        <v>0</v>
      </c>
      <c r="AT656" s="166">
        <v>1</v>
      </c>
      <c r="AU656" s="166">
        <v>0</v>
      </c>
      <c r="AV656" s="166">
        <v>0</v>
      </c>
      <c r="AW656" s="166">
        <v>-6</v>
      </c>
      <c r="AX656" s="166">
        <v>0</v>
      </c>
      <c r="AY656" s="166">
        <v>0</v>
      </c>
      <c r="AZ656" s="166">
        <v>0</v>
      </c>
      <c r="BA656" s="166">
        <v>0</v>
      </c>
      <c r="BB656" s="166">
        <v>0</v>
      </c>
      <c r="BC656" s="166">
        <v>0</v>
      </c>
      <c r="BD656" s="166">
        <v>0</v>
      </c>
      <c r="BE656" s="166">
        <v>0</v>
      </c>
      <c r="BF656" s="166">
        <v>0</v>
      </c>
      <c r="BG656" s="166">
        <v>0</v>
      </c>
      <c r="BH656" s="166">
        <v>1</v>
      </c>
      <c r="BI656" s="166">
        <v>0</v>
      </c>
      <c r="BJ656" s="166">
        <v>0</v>
      </c>
      <c r="BK656" s="166">
        <v>0</v>
      </c>
      <c r="BL656" s="166">
        <v>0</v>
      </c>
      <c r="BM656" s="166">
        <v>0</v>
      </c>
      <c r="BN656" s="166">
        <v>0</v>
      </c>
      <c r="BO656" s="166">
        <v>0</v>
      </c>
      <c r="BP656" s="166">
        <v>0</v>
      </c>
      <c r="BQ656" s="81" t="s">
        <v>1757</v>
      </c>
      <c r="BZ656" s="81" t="s">
        <v>155</v>
      </c>
      <c r="CA656" s="81" t="s">
        <v>3980</v>
      </c>
      <c r="CC656" s="167">
        <v>0</v>
      </c>
      <c r="CD656" s="167">
        <f>N656</f>
        <v>-5</v>
      </c>
      <c r="CE656" s="167">
        <v>0</v>
      </c>
      <c r="CF656" s="167">
        <v>0</v>
      </c>
      <c r="CG656" s="167">
        <v>0</v>
      </c>
      <c r="CH656" s="167">
        <v>0</v>
      </c>
      <c r="CI656" s="167">
        <v>0</v>
      </c>
      <c r="CJ656" s="167">
        <v>0</v>
      </c>
      <c r="CK656" s="167">
        <v>0</v>
      </c>
      <c r="CL656" s="167">
        <v>0</v>
      </c>
      <c r="CM656" s="167">
        <v>0</v>
      </c>
      <c r="CN656" s="167">
        <v>0</v>
      </c>
      <c r="CO656" s="167">
        <v>0</v>
      </c>
      <c r="CP656" s="167">
        <v>0</v>
      </c>
      <c r="CQ656" s="167">
        <v>0</v>
      </c>
      <c r="CR656" s="167">
        <v>0</v>
      </c>
      <c r="CS656" s="167">
        <v>0</v>
      </c>
      <c r="CT656" s="167">
        <v>0</v>
      </c>
      <c r="CU656" s="167">
        <v>0</v>
      </c>
      <c r="CV656" s="167">
        <v>0</v>
      </c>
      <c r="CW656" s="167">
        <v>0</v>
      </c>
      <c r="CX656" s="167">
        <f>SUM(CD656:CH656)</f>
        <v>-5</v>
      </c>
      <c r="CY656" s="167">
        <f>SUM(CD656:CM656)</f>
        <v>-5</v>
      </c>
    </row>
    <row r="657" spans="1:103" ht="12.75" customHeight="1" x14ac:dyDescent="0.2">
      <c r="A657" s="81">
        <v>6344</v>
      </c>
      <c r="B657" s="165" t="s">
        <v>1908</v>
      </c>
      <c r="C657" s="165" t="s">
        <v>1364</v>
      </c>
      <c r="E657" s="165" t="s">
        <v>3664</v>
      </c>
      <c r="G657" s="81">
        <v>527166</v>
      </c>
      <c r="H657" s="81">
        <v>171035</v>
      </c>
      <c r="I657" s="165" t="s">
        <v>242</v>
      </c>
      <c r="J657" s="349">
        <v>43190</v>
      </c>
      <c r="L657" s="166">
        <v>2</v>
      </c>
      <c r="M657" s="166">
        <v>5</v>
      </c>
      <c r="N657" s="166">
        <v>3</v>
      </c>
      <c r="O657" s="166">
        <v>5</v>
      </c>
      <c r="P657" s="166">
        <v>3</v>
      </c>
      <c r="R657" s="165" t="s">
        <v>1365</v>
      </c>
      <c r="S657" s="81" t="s">
        <v>113</v>
      </c>
      <c r="T657" s="349">
        <v>42599</v>
      </c>
      <c r="U657" s="349">
        <v>42793</v>
      </c>
      <c r="W657" s="81" t="s">
        <v>114</v>
      </c>
      <c r="Y657" s="81" t="s">
        <v>115</v>
      </c>
      <c r="Z657" s="81" t="s">
        <v>398</v>
      </c>
      <c r="AA657" s="81" t="s">
        <v>117</v>
      </c>
      <c r="AB657" s="81" t="s">
        <v>218</v>
      </c>
      <c r="AC657" s="166">
        <v>2.0999999716877899E-2</v>
      </c>
      <c r="AD657" s="349">
        <v>43190</v>
      </c>
      <c r="AE657" s="81" t="s">
        <v>155</v>
      </c>
      <c r="AG657" s="81" t="s">
        <v>238</v>
      </c>
      <c r="AH657" s="81" t="s">
        <v>118</v>
      </c>
      <c r="AK657" s="166">
        <v>0</v>
      </c>
      <c r="AM657" s="166">
        <v>0</v>
      </c>
      <c r="AO657" s="166">
        <v>0</v>
      </c>
      <c r="AP657" s="166">
        <v>2</v>
      </c>
      <c r="AQ657" s="166">
        <v>3</v>
      </c>
      <c r="AR657" s="166">
        <v>0</v>
      </c>
      <c r="AS657" s="166">
        <v>-2</v>
      </c>
      <c r="AT657" s="166">
        <v>0</v>
      </c>
      <c r="AU657" s="166">
        <v>0</v>
      </c>
      <c r="AV657" s="166">
        <v>0</v>
      </c>
      <c r="AW657" s="166">
        <v>2</v>
      </c>
      <c r="AX657" s="166">
        <v>3</v>
      </c>
      <c r="AY657" s="166">
        <v>0</v>
      </c>
      <c r="AZ657" s="166">
        <v>-1</v>
      </c>
      <c r="BA657" s="166">
        <v>0</v>
      </c>
      <c r="BB657" s="166">
        <v>0</v>
      </c>
      <c r="BC657" s="166">
        <v>0</v>
      </c>
      <c r="BD657" s="166">
        <v>0</v>
      </c>
      <c r="BE657" s="166">
        <v>0</v>
      </c>
      <c r="BF657" s="166">
        <v>0</v>
      </c>
      <c r="BG657" s="166">
        <v>0</v>
      </c>
      <c r="BH657" s="166">
        <v>0</v>
      </c>
      <c r="BI657" s="166">
        <v>0</v>
      </c>
      <c r="BJ657" s="166">
        <v>0</v>
      </c>
      <c r="BK657" s="166">
        <v>0</v>
      </c>
      <c r="BL657" s="166">
        <v>0</v>
      </c>
      <c r="BM657" s="166">
        <v>0</v>
      </c>
      <c r="BN657" s="166">
        <v>-1</v>
      </c>
      <c r="BO657" s="166">
        <v>0</v>
      </c>
      <c r="BP657" s="166">
        <v>0</v>
      </c>
      <c r="BQ657" s="81" t="s">
        <v>1757</v>
      </c>
      <c r="BZ657" s="81" t="s">
        <v>155</v>
      </c>
      <c r="CA657" s="81" t="s">
        <v>3981</v>
      </c>
      <c r="CC657" s="167">
        <v>0</v>
      </c>
      <c r="CD657" s="167">
        <f>$N657/2</f>
        <v>1.5</v>
      </c>
      <c r="CE657" s="167">
        <f>$N657/2</f>
        <v>1.5</v>
      </c>
      <c r="CF657" s="167">
        <v>0</v>
      </c>
      <c r="CG657" s="167">
        <v>0</v>
      </c>
      <c r="CH657" s="167">
        <v>0</v>
      </c>
      <c r="CI657" s="167">
        <v>0</v>
      </c>
      <c r="CJ657" s="167">
        <v>0</v>
      </c>
      <c r="CK657" s="167">
        <v>0</v>
      </c>
      <c r="CL657" s="167">
        <v>0</v>
      </c>
      <c r="CM657" s="167">
        <v>0</v>
      </c>
      <c r="CN657" s="167">
        <v>0</v>
      </c>
      <c r="CO657" s="167">
        <v>0</v>
      </c>
      <c r="CP657" s="167">
        <v>0</v>
      </c>
      <c r="CQ657" s="167">
        <v>0</v>
      </c>
      <c r="CR657" s="167">
        <v>0</v>
      </c>
      <c r="CS657" s="167">
        <v>0</v>
      </c>
      <c r="CT657" s="167">
        <v>0</v>
      </c>
      <c r="CU657" s="167">
        <v>0</v>
      </c>
      <c r="CV657" s="167">
        <v>0</v>
      </c>
      <c r="CW657" s="167">
        <v>0</v>
      </c>
      <c r="CX657" s="167">
        <f>SUM(CD657:CH657)</f>
        <v>3</v>
      </c>
      <c r="CY657" s="167">
        <f>SUM(CD657:CM657)</f>
        <v>3</v>
      </c>
    </row>
    <row r="658" spans="1:103" ht="12.75" customHeight="1" x14ac:dyDescent="0.2">
      <c r="A658" s="81">
        <v>6347</v>
      </c>
      <c r="B658" s="165" t="s">
        <v>1908</v>
      </c>
      <c r="C658" s="165" t="s">
        <v>1047</v>
      </c>
      <c r="E658" s="165" t="s">
        <v>3665</v>
      </c>
      <c r="G658" s="81">
        <v>528380</v>
      </c>
      <c r="H658" s="81">
        <v>172124</v>
      </c>
      <c r="I658" s="165" t="s">
        <v>248</v>
      </c>
      <c r="J658" s="349">
        <v>42825</v>
      </c>
      <c r="L658" s="166">
        <v>1</v>
      </c>
      <c r="M658" s="166">
        <v>2</v>
      </c>
      <c r="N658" s="166">
        <v>1</v>
      </c>
      <c r="O658" s="166">
        <v>2</v>
      </c>
      <c r="P658" s="166">
        <v>1</v>
      </c>
      <c r="R658" s="165" t="s">
        <v>1048</v>
      </c>
      <c r="S658" s="81" t="s">
        <v>113</v>
      </c>
      <c r="T658" s="349">
        <v>42670</v>
      </c>
      <c r="U658" s="349">
        <v>42725</v>
      </c>
      <c r="W658" s="81" t="s">
        <v>114</v>
      </c>
      <c r="Y658" s="81" t="s">
        <v>115</v>
      </c>
      <c r="Z658" s="81" t="s">
        <v>398</v>
      </c>
      <c r="AA658" s="81" t="s">
        <v>117</v>
      </c>
      <c r="AB658" s="81" t="s">
        <v>120</v>
      </c>
      <c r="AC658" s="166">
        <v>1.7000000923872001E-2</v>
      </c>
      <c r="AD658" s="349">
        <v>42825</v>
      </c>
      <c r="AG658" s="81" t="s">
        <v>238</v>
      </c>
      <c r="AH658" s="81" t="s">
        <v>118</v>
      </c>
      <c r="AK658" s="166">
        <v>0</v>
      </c>
      <c r="AM658" s="166">
        <v>0</v>
      </c>
      <c r="AO658" s="166">
        <v>0</v>
      </c>
      <c r="AP658" s="166">
        <v>0</v>
      </c>
      <c r="AQ658" s="166">
        <v>0</v>
      </c>
      <c r="AR658" s="166">
        <v>2</v>
      </c>
      <c r="AS658" s="166">
        <v>0</v>
      </c>
      <c r="AT658" s="166">
        <v>-1</v>
      </c>
      <c r="AU658" s="166">
        <v>0</v>
      </c>
      <c r="AV658" s="166">
        <v>0</v>
      </c>
      <c r="AW658" s="166">
        <v>0</v>
      </c>
      <c r="AX658" s="166">
        <v>0</v>
      </c>
      <c r="AY658" s="166">
        <v>2</v>
      </c>
      <c r="AZ658" s="166">
        <v>0</v>
      </c>
      <c r="BA658" s="166">
        <v>0</v>
      </c>
      <c r="BB658" s="166">
        <v>0</v>
      </c>
      <c r="BC658" s="166">
        <v>0</v>
      </c>
      <c r="BD658" s="166">
        <v>0</v>
      </c>
      <c r="BE658" s="166">
        <v>0</v>
      </c>
      <c r="BF658" s="166">
        <v>0</v>
      </c>
      <c r="BG658" s="166">
        <v>0</v>
      </c>
      <c r="BH658" s="166">
        <v>-1</v>
      </c>
      <c r="BI658" s="166">
        <v>0</v>
      </c>
      <c r="BJ658" s="166">
        <v>0</v>
      </c>
      <c r="BK658" s="166">
        <v>0</v>
      </c>
      <c r="BL658" s="166">
        <v>0</v>
      </c>
      <c r="BM658" s="166">
        <v>0</v>
      </c>
      <c r="BN658" s="166">
        <v>0</v>
      </c>
      <c r="BO658" s="166">
        <v>0</v>
      </c>
      <c r="BP658" s="166">
        <v>0</v>
      </c>
      <c r="BQ658" s="81" t="s">
        <v>1757</v>
      </c>
      <c r="BZ658" s="81" t="s">
        <v>155</v>
      </c>
      <c r="CA658" s="81" t="s">
        <v>3980</v>
      </c>
      <c r="CC658" s="167">
        <v>0</v>
      </c>
      <c r="CD658" s="167">
        <f>N658</f>
        <v>1</v>
      </c>
      <c r="CE658" s="167">
        <v>0</v>
      </c>
      <c r="CF658" s="167">
        <v>0</v>
      </c>
      <c r="CG658" s="167">
        <v>0</v>
      </c>
      <c r="CH658" s="167">
        <v>0</v>
      </c>
      <c r="CI658" s="167">
        <v>0</v>
      </c>
      <c r="CJ658" s="167">
        <v>0</v>
      </c>
      <c r="CK658" s="167">
        <v>0</v>
      </c>
      <c r="CL658" s="167">
        <v>0</v>
      </c>
      <c r="CM658" s="167">
        <v>0</v>
      </c>
      <c r="CN658" s="167">
        <v>0</v>
      </c>
      <c r="CO658" s="167">
        <v>0</v>
      </c>
      <c r="CP658" s="167">
        <v>0</v>
      </c>
      <c r="CQ658" s="167">
        <v>0</v>
      </c>
      <c r="CR658" s="167">
        <v>0</v>
      </c>
      <c r="CS658" s="167">
        <v>0</v>
      </c>
      <c r="CT658" s="167">
        <v>0</v>
      </c>
      <c r="CU658" s="167">
        <v>0</v>
      </c>
      <c r="CV658" s="167">
        <v>0</v>
      </c>
      <c r="CW658" s="167">
        <v>0</v>
      </c>
      <c r="CX658" s="167">
        <f>SUM(CD658:CH658)</f>
        <v>1</v>
      </c>
      <c r="CY658" s="167">
        <f>SUM(CD658:CM658)</f>
        <v>1</v>
      </c>
    </row>
    <row r="659" spans="1:103" ht="12.75" customHeight="1" x14ac:dyDescent="0.2">
      <c r="A659" s="81">
        <v>6356</v>
      </c>
      <c r="B659" s="165" t="s">
        <v>1908</v>
      </c>
      <c r="C659" s="165" t="s">
        <v>1408</v>
      </c>
      <c r="E659" s="165" t="s">
        <v>3650</v>
      </c>
      <c r="G659" s="81">
        <v>525993</v>
      </c>
      <c r="H659" s="81">
        <v>172744</v>
      </c>
      <c r="I659" s="165" t="s">
        <v>249</v>
      </c>
      <c r="J659" s="349">
        <v>42825</v>
      </c>
      <c r="L659" s="166">
        <v>0</v>
      </c>
      <c r="M659" s="166">
        <v>2</v>
      </c>
      <c r="N659" s="166">
        <v>2</v>
      </c>
      <c r="O659" s="166">
        <v>2</v>
      </c>
      <c r="P659" s="166">
        <v>2</v>
      </c>
      <c r="R659" s="165" t="s">
        <v>1409</v>
      </c>
      <c r="S659" s="81" t="s">
        <v>113</v>
      </c>
      <c r="T659" s="349">
        <v>42619</v>
      </c>
      <c r="U659" s="349">
        <v>42674</v>
      </c>
      <c r="W659" s="81" t="s">
        <v>114</v>
      </c>
      <c r="Y659" s="81" t="s">
        <v>115</v>
      </c>
      <c r="Z659" s="81" t="s">
        <v>116</v>
      </c>
      <c r="AA659" s="81" t="s">
        <v>117</v>
      </c>
      <c r="AB659" s="81" t="s">
        <v>218</v>
      </c>
      <c r="AC659" s="166">
        <v>2.4000000208616298E-2</v>
      </c>
      <c r="AD659" s="349">
        <v>42825</v>
      </c>
      <c r="AG659" s="81" t="s">
        <v>238</v>
      </c>
      <c r="AH659" s="81" t="s">
        <v>118</v>
      </c>
      <c r="AK659" s="166">
        <v>0</v>
      </c>
      <c r="AM659" s="166">
        <v>0</v>
      </c>
      <c r="AO659" s="166">
        <v>0</v>
      </c>
      <c r="AP659" s="166">
        <v>0</v>
      </c>
      <c r="AQ659" s="166">
        <v>0</v>
      </c>
      <c r="AR659" s="166">
        <v>2</v>
      </c>
      <c r="AS659" s="166">
        <v>0</v>
      </c>
      <c r="AT659" s="166">
        <v>0</v>
      </c>
      <c r="AU659" s="166">
        <v>0</v>
      </c>
      <c r="AV659" s="166">
        <v>0</v>
      </c>
      <c r="AW659" s="166">
        <v>0</v>
      </c>
      <c r="AX659" s="166">
        <v>0</v>
      </c>
      <c r="AY659" s="166">
        <v>0</v>
      </c>
      <c r="AZ659" s="166">
        <v>0</v>
      </c>
      <c r="BA659" s="166">
        <v>0</v>
      </c>
      <c r="BB659" s="166">
        <v>0</v>
      </c>
      <c r="BC659" s="166">
        <v>0</v>
      </c>
      <c r="BD659" s="166">
        <v>0</v>
      </c>
      <c r="BE659" s="166">
        <v>0</v>
      </c>
      <c r="BF659" s="166">
        <v>2</v>
      </c>
      <c r="BG659" s="166">
        <v>0</v>
      </c>
      <c r="BH659" s="166">
        <v>0</v>
      </c>
      <c r="BI659" s="166">
        <v>0</v>
      </c>
      <c r="BJ659" s="166">
        <v>0</v>
      </c>
      <c r="BK659" s="166">
        <v>0</v>
      </c>
      <c r="BL659" s="166">
        <v>0</v>
      </c>
      <c r="BM659" s="166">
        <v>0</v>
      </c>
      <c r="BN659" s="166">
        <v>0</v>
      </c>
      <c r="BO659" s="166">
        <v>0</v>
      </c>
      <c r="BP659" s="166">
        <v>0</v>
      </c>
      <c r="BQ659" s="81" t="s">
        <v>1758</v>
      </c>
      <c r="BZ659" s="81" t="s">
        <v>155</v>
      </c>
      <c r="CA659" s="81" t="s">
        <v>3976</v>
      </c>
      <c r="CC659" s="167">
        <v>0</v>
      </c>
      <c r="CD659" s="167">
        <f>N659</f>
        <v>2</v>
      </c>
      <c r="CE659" s="167">
        <v>0</v>
      </c>
      <c r="CF659" s="167">
        <v>0</v>
      </c>
      <c r="CG659" s="167">
        <v>0</v>
      </c>
      <c r="CH659" s="167">
        <v>0</v>
      </c>
      <c r="CI659" s="167">
        <v>0</v>
      </c>
      <c r="CJ659" s="167">
        <v>0</v>
      </c>
      <c r="CK659" s="167">
        <v>0</v>
      </c>
      <c r="CL659" s="167">
        <v>0</v>
      </c>
      <c r="CM659" s="167">
        <v>0</v>
      </c>
      <c r="CN659" s="167">
        <v>0</v>
      </c>
      <c r="CO659" s="167">
        <v>0</v>
      </c>
      <c r="CP659" s="167">
        <v>0</v>
      </c>
      <c r="CQ659" s="167">
        <v>0</v>
      </c>
      <c r="CR659" s="167">
        <v>0</v>
      </c>
      <c r="CS659" s="167">
        <v>0</v>
      </c>
      <c r="CT659" s="167">
        <v>0</v>
      </c>
      <c r="CU659" s="167">
        <v>0</v>
      </c>
      <c r="CV659" s="167">
        <v>0</v>
      </c>
      <c r="CW659" s="167">
        <v>0</v>
      </c>
      <c r="CX659" s="167">
        <f>SUM(CD659:CH659)</f>
        <v>2</v>
      </c>
      <c r="CY659" s="167">
        <f>SUM(CD659:CM659)</f>
        <v>2</v>
      </c>
    </row>
    <row r="660" spans="1:103" ht="12.75" customHeight="1" x14ac:dyDescent="0.2">
      <c r="A660" s="81">
        <v>6362</v>
      </c>
      <c r="B660" s="165" t="s">
        <v>1908</v>
      </c>
      <c r="C660" s="165" t="s">
        <v>1055</v>
      </c>
      <c r="E660" s="165" t="s">
        <v>3667</v>
      </c>
      <c r="G660" s="81">
        <v>527854</v>
      </c>
      <c r="H660" s="81">
        <v>175303</v>
      </c>
      <c r="I660" s="165" t="s">
        <v>256</v>
      </c>
      <c r="J660" s="349">
        <v>42825</v>
      </c>
      <c r="L660" s="166">
        <v>1</v>
      </c>
      <c r="M660" s="166">
        <v>3</v>
      </c>
      <c r="N660" s="166">
        <v>2</v>
      </c>
      <c r="O660" s="166">
        <v>3</v>
      </c>
      <c r="P660" s="166">
        <v>2</v>
      </c>
      <c r="R660" s="165" t="s">
        <v>1056</v>
      </c>
      <c r="S660" s="81" t="s">
        <v>113</v>
      </c>
      <c r="T660" s="349">
        <v>42612</v>
      </c>
      <c r="U660" s="349">
        <v>42702</v>
      </c>
      <c r="W660" s="81" t="s">
        <v>114</v>
      </c>
      <c r="Y660" s="81" t="s">
        <v>115</v>
      </c>
      <c r="Z660" s="81" t="s">
        <v>398</v>
      </c>
      <c r="AA660" s="81" t="s">
        <v>117</v>
      </c>
      <c r="AB660" s="81" t="s">
        <v>120</v>
      </c>
      <c r="AC660" s="166">
        <v>1.09999999403954E-2</v>
      </c>
      <c r="AD660" s="349">
        <v>42825</v>
      </c>
      <c r="AG660" s="81" t="s">
        <v>238</v>
      </c>
      <c r="AH660" s="81" t="s">
        <v>118</v>
      </c>
      <c r="AK660" s="166">
        <v>0</v>
      </c>
      <c r="AM660" s="166">
        <v>0</v>
      </c>
      <c r="AO660" s="166">
        <v>0</v>
      </c>
      <c r="AP660" s="166">
        <v>2</v>
      </c>
      <c r="AQ660" s="166">
        <v>0</v>
      </c>
      <c r="AR660" s="166">
        <v>1</v>
      </c>
      <c r="AS660" s="166">
        <v>-1</v>
      </c>
      <c r="AT660" s="166">
        <v>0</v>
      </c>
      <c r="AU660" s="166">
        <v>0</v>
      </c>
      <c r="AV660" s="166">
        <v>0</v>
      </c>
      <c r="AW660" s="166">
        <v>2</v>
      </c>
      <c r="AX660" s="166">
        <v>0</v>
      </c>
      <c r="AY660" s="166">
        <v>1</v>
      </c>
      <c r="AZ660" s="166">
        <v>0</v>
      </c>
      <c r="BA660" s="166">
        <v>0</v>
      </c>
      <c r="BB660" s="166">
        <v>0</v>
      </c>
      <c r="BC660" s="166">
        <v>0</v>
      </c>
      <c r="BD660" s="166">
        <v>0</v>
      </c>
      <c r="BE660" s="166">
        <v>0</v>
      </c>
      <c r="BF660" s="166">
        <v>0</v>
      </c>
      <c r="BG660" s="166">
        <v>-1</v>
      </c>
      <c r="BH660" s="166">
        <v>0</v>
      </c>
      <c r="BI660" s="166">
        <v>0</v>
      </c>
      <c r="BJ660" s="166">
        <v>0</v>
      </c>
      <c r="BK660" s="166">
        <v>0</v>
      </c>
      <c r="BL660" s="166">
        <v>0</v>
      </c>
      <c r="BM660" s="166">
        <v>0</v>
      </c>
      <c r="BN660" s="166">
        <v>0</v>
      </c>
      <c r="BO660" s="166">
        <v>0</v>
      </c>
      <c r="BP660" s="166">
        <v>0</v>
      </c>
      <c r="BQ660" s="81" t="s">
        <v>1757</v>
      </c>
      <c r="BZ660" s="81" t="s">
        <v>155</v>
      </c>
      <c r="CA660" s="81" t="s">
        <v>3980</v>
      </c>
      <c r="CC660" s="167">
        <v>0</v>
      </c>
      <c r="CD660" s="167">
        <f>N660</f>
        <v>2</v>
      </c>
      <c r="CE660" s="167">
        <v>0</v>
      </c>
      <c r="CF660" s="167">
        <v>0</v>
      </c>
      <c r="CG660" s="167">
        <v>0</v>
      </c>
      <c r="CH660" s="167">
        <v>0</v>
      </c>
      <c r="CI660" s="167">
        <v>0</v>
      </c>
      <c r="CJ660" s="167">
        <v>0</v>
      </c>
      <c r="CK660" s="167">
        <v>0</v>
      </c>
      <c r="CL660" s="167">
        <v>0</v>
      </c>
      <c r="CM660" s="167">
        <v>0</v>
      </c>
      <c r="CN660" s="167">
        <v>0</v>
      </c>
      <c r="CO660" s="167">
        <v>0</v>
      </c>
      <c r="CP660" s="167">
        <v>0</v>
      </c>
      <c r="CQ660" s="167">
        <v>0</v>
      </c>
      <c r="CR660" s="167">
        <v>0</v>
      </c>
      <c r="CS660" s="167">
        <v>0</v>
      </c>
      <c r="CT660" s="167">
        <v>0</v>
      </c>
      <c r="CU660" s="167">
        <v>0</v>
      </c>
      <c r="CV660" s="167">
        <v>0</v>
      </c>
      <c r="CW660" s="167">
        <v>0</v>
      </c>
      <c r="CX660" s="167">
        <f>SUM(CD660:CH660)</f>
        <v>2</v>
      </c>
      <c r="CY660" s="167">
        <f>SUM(CD660:CM660)</f>
        <v>2</v>
      </c>
    </row>
    <row r="661" spans="1:103" ht="12.75" customHeight="1" x14ac:dyDescent="0.2">
      <c r="A661" s="81">
        <v>6363</v>
      </c>
      <c r="B661" s="165" t="s">
        <v>1908</v>
      </c>
      <c r="C661" s="165" t="s">
        <v>1717</v>
      </c>
      <c r="E661" s="165" t="s">
        <v>3652</v>
      </c>
      <c r="F661" s="165" t="s">
        <v>1556</v>
      </c>
      <c r="G661" s="81">
        <v>526647</v>
      </c>
      <c r="H661" s="81">
        <v>173996</v>
      </c>
      <c r="I661" s="165" t="s">
        <v>260</v>
      </c>
      <c r="J661" s="349">
        <v>42979</v>
      </c>
      <c r="L661" s="166">
        <v>0</v>
      </c>
      <c r="M661" s="166">
        <v>14</v>
      </c>
      <c r="N661" s="166">
        <v>14</v>
      </c>
      <c r="O661" s="166">
        <v>18</v>
      </c>
      <c r="P661" s="166">
        <v>18</v>
      </c>
      <c r="Q661" s="81" t="s">
        <v>155</v>
      </c>
      <c r="R661" s="165" t="s">
        <v>1718</v>
      </c>
      <c r="S661" s="81" t="s">
        <v>104</v>
      </c>
      <c r="T661" s="349">
        <v>42614</v>
      </c>
      <c r="U661" s="349">
        <v>42899</v>
      </c>
      <c r="V661" s="81" t="s">
        <v>155</v>
      </c>
      <c r="W661" s="81" t="s">
        <v>114</v>
      </c>
      <c r="Y661" s="81" t="s">
        <v>115</v>
      </c>
      <c r="Z661" s="81" t="s">
        <v>116</v>
      </c>
      <c r="AA661" s="81" t="s">
        <v>116</v>
      </c>
      <c r="AB661" s="81" t="s">
        <v>117</v>
      </c>
      <c r="AC661" s="166">
        <v>0.29100000858306901</v>
      </c>
      <c r="AD661" s="349">
        <v>42979</v>
      </c>
      <c r="AE661" s="81" t="s">
        <v>155</v>
      </c>
      <c r="AG661" s="81" t="s">
        <v>238</v>
      </c>
      <c r="AH661" s="81" t="s">
        <v>118</v>
      </c>
      <c r="AI661" s="81" t="s">
        <v>3653</v>
      </c>
      <c r="AK661" s="166">
        <v>0</v>
      </c>
      <c r="AL661" s="166">
        <v>14</v>
      </c>
      <c r="AM661" s="166">
        <v>0</v>
      </c>
      <c r="AO661" s="166">
        <v>0</v>
      </c>
      <c r="AP661" s="166">
        <v>2</v>
      </c>
      <c r="AQ661" s="166">
        <v>3</v>
      </c>
      <c r="AR661" s="166">
        <v>3</v>
      </c>
      <c r="AS661" s="166">
        <v>6</v>
      </c>
      <c r="AT661" s="166">
        <v>0</v>
      </c>
      <c r="AU661" s="166">
        <v>0</v>
      </c>
      <c r="AV661" s="166">
        <v>0</v>
      </c>
      <c r="AW661" s="166">
        <v>2</v>
      </c>
      <c r="AX661" s="166">
        <v>3</v>
      </c>
      <c r="AY661" s="166">
        <v>3</v>
      </c>
      <c r="AZ661" s="166">
        <v>0</v>
      </c>
      <c r="BA661" s="166">
        <v>0</v>
      </c>
      <c r="BB661" s="166">
        <v>0</v>
      </c>
      <c r="BC661" s="166">
        <v>0</v>
      </c>
      <c r="BD661" s="166">
        <v>0</v>
      </c>
      <c r="BE661" s="166">
        <v>0</v>
      </c>
      <c r="BF661" s="166">
        <v>0</v>
      </c>
      <c r="BG661" s="166">
        <v>6</v>
      </c>
      <c r="BH661" s="166">
        <v>0</v>
      </c>
      <c r="BI661" s="166">
        <v>0</v>
      </c>
      <c r="BJ661" s="166">
        <v>0</v>
      </c>
      <c r="BK661" s="166">
        <v>0</v>
      </c>
      <c r="BL661" s="166">
        <v>0</v>
      </c>
      <c r="BM661" s="166">
        <v>0</v>
      </c>
      <c r="BN661" s="166">
        <v>0</v>
      </c>
      <c r="BO661" s="166">
        <v>0</v>
      </c>
      <c r="BP661" s="166">
        <v>0</v>
      </c>
      <c r="BQ661" s="81" t="s">
        <v>1758</v>
      </c>
      <c r="BZ661" s="81" t="s">
        <v>155</v>
      </c>
      <c r="CA661" s="81" t="s">
        <v>3976</v>
      </c>
      <c r="CC661" s="167">
        <v>0</v>
      </c>
      <c r="CD661" s="167">
        <f>N661</f>
        <v>14</v>
      </c>
      <c r="CE661" s="167">
        <v>0</v>
      </c>
      <c r="CF661" s="167">
        <v>0</v>
      </c>
      <c r="CG661" s="167">
        <v>0</v>
      </c>
      <c r="CH661" s="167">
        <v>0</v>
      </c>
      <c r="CI661" s="167">
        <v>0</v>
      </c>
      <c r="CJ661" s="167">
        <v>0</v>
      </c>
      <c r="CK661" s="167">
        <v>0</v>
      </c>
      <c r="CL661" s="167">
        <v>0</v>
      </c>
      <c r="CM661" s="167">
        <v>0</v>
      </c>
      <c r="CN661" s="167">
        <v>0</v>
      </c>
      <c r="CO661" s="167">
        <v>0</v>
      </c>
      <c r="CP661" s="167">
        <v>0</v>
      </c>
      <c r="CQ661" s="167">
        <v>0</v>
      </c>
      <c r="CR661" s="167">
        <v>0</v>
      </c>
      <c r="CS661" s="167">
        <v>0</v>
      </c>
      <c r="CT661" s="167">
        <v>0</v>
      </c>
      <c r="CU661" s="167">
        <v>0</v>
      </c>
      <c r="CV661" s="167">
        <v>0</v>
      </c>
      <c r="CW661" s="167">
        <v>0</v>
      </c>
      <c r="CX661" s="167">
        <f>SUM(CD661:CH661)</f>
        <v>14</v>
      </c>
      <c r="CY661" s="167">
        <f>SUM(CD661:CM661)</f>
        <v>14</v>
      </c>
    </row>
    <row r="662" spans="1:103" ht="12.75" customHeight="1" x14ac:dyDescent="0.2">
      <c r="A662" s="81">
        <v>6363</v>
      </c>
      <c r="B662" s="165" t="s">
        <v>1908</v>
      </c>
      <c r="C662" s="165" t="s">
        <v>1717</v>
      </c>
      <c r="E662" s="165" t="s">
        <v>3652</v>
      </c>
      <c r="F662" s="165" t="s">
        <v>1719</v>
      </c>
      <c r="G662" s="81">
        <v>526647</v>
      </c>
      <c r="H662" s="81">
        <v>173996</v>
      </c>
      <c r="I662" s="165" t="s">
        <v>260</v>
      </c>
      <c r="J662" s="349">
        <v>42979</v>
      </c>
      <c r="L662" s="166">
        <v>0</v>
      </c>
      <c r="M662" s="166">
        <v>4</v>
      </c>
      <c r="N662" s="166">
        <v>4</v>
      </c>
      <c r="O662" s="166">
        <v>18</v>
      </c>
      <c r="P662" s="166">
        <v>18</v>
      </c>
      <c r="Q662" s="81" t="s">
        <v>155</v>
      </c>
      <c r="R662" s="165" t="s">
        <v>1718</v>
      </c>
      <c r="S662" s="81" t="s">
        <v>104</v>
      </c>
      <c r="T662" s="349">
        <v>42614</v>
      </c>
      <c r="U662" s="349">
        <v>42899</v>
      </c>
      <c r="V662" s="81" t="s">
        <v>155</v>
      </c>
      <c r="W662" s="81" t="s">
        <v>114</v>
      </c>
      <c r="Y662" s="81" t="s">
        <v>115</v>
      </c>
      <c r="Z662" s="81" t="s">
        <v>116</v>
      </c>
      <c r="AA662" s="81" t="s">
        <v>116</v>
      </c>
      <c r="AB662" s="81" t="s">
        <v>117</v>
      </c>
      <c r="AC662" s="166">
        <v>8.2999996840953799E-2</v>
      </c>
      <c r="AD662" s="349">
        <v>42979</v>
      </c>
      <c r="AE662" s="81" t="s">
        <v>155</v>
      </c>
      <c r="AG662" s="81" t="s">
        <v>74</v>
      </c>
      <c r="AH662" s="81" t="s">
        <v>1913</v>
      </c>
      <c r="AI662" s="81" t="s">
        <v>3653</v>
      </c>
      <c r="AK662" s="166">
        <v>0</v>
      </c>
      <c r="AL662" s="166">
        <v>4</v>
      </c>
      <c r="AM662" s="166">
        <v>0</v>
      </c>
      <c r="AO662" s="166">
        <v>0</v>
      </c>
      <c r="AP662" s="166">
        <v>1</v>
      </c>
      <c r="AQ662" s="166">
        <v>2</v>
      </c>
      <c r="AR662" s="166">
        <v>1</v>
      </c>
      <c r="AS662" s="166">
        <v>0</v>
      </c>
      <c r="AT662" s="166">
        <v>0</v>
      </c>
      <c r="AU662" s="166">
        <v>0</v>
      </c>
      <c r="AV662" s="166">
        <v>0</v>
      </c>
      <c r="AW662" s="166">
        <v>1</v>
      </c>
      <c r="AX662" s="166">
        <v>2</v>
      </c>
      <c r="AY662" s="166">
        <v>1</v>
      </c>
      <c r="AZ662" s="166">
        <v>0</v>
      </c>
      <c r="BA662" s="166">
        <v>0</v>
      </c>
      <c r="BB662" s="166">
        <v>0</v>
      </c>
      <c r="BC662" s="166">
        <v>0</v>
      </c>
      <c r="BD662" s="166">
        <v>0</v>
      </c>
      <c r="BE662" s="166">
        <v>0</v>
      </c>
      <c r="BF662" s="166">
        <v>0</v>
      </c>
      <c r="BG662" s="166">
        <v>0</v>
      </c>
      <c r="BH662" s="166">
        <v>0</v>
      </c>
      <c r="BI662" s="166">
        <v>0</v>
      </c>
      <c r="BJ662" s="166">
        <v>0</v>
      </c>
      <c r="BK662" s="166">
        <v>0</v>
      </c>
      <c r="BL662" s="166">
        <v>0</v>
      </c>
      <c r="BM662" s="166">
        <v>0</v>
      </c>
      <c r="BN662" s="166">
        <v>0</v>
      </c>
      <c r="BO662" s="166">
        <v>0</v>
      </c>
      <c r="BP662" s="166">
        <v>0</v>
      </c>
      <c r="BQ662" s="81" t="s">
        <v>1758</v>
      </c>
      <c r="BZ662" s="81" t="s">
        <v>155</v>
      </c>
      <c r="CA662" s="81" t="s">
        <v>3976</v>
      </c>
      <c r="CC662" s="167">
        <v>0</v>
      </c>
      <c r="CD662" s="167">
        <f>N662</f>
        <v>4</v>
      </c>
      <c r="CE662" s="167">
        <v>0</v>
      </c>
      <c r="CF662" s="167">
        <v>0</v>
      </c>
      <c r="CG662" s="167">
        <v>0</v>
      </c>
      <c r="CH662" s="167">
        <v>0</v>
      </c>
      <c r="CI662" s="167">
        <v>0</v>
      </c>
      <c r="CJ662" s="167">
        <v>0</v>
      </c>
      <c r="CK662" s="167">
        <v>0</v>
      </c>
      <c r="CL662" s="167">
        <v>0</v>
      </c>
      <c r="CM662" s="167">
        <v>0</v>
      </c>
      <c r="CN662" s="167">
        <v>0</v>
      </c>
      <c r="CO662" s="167">
        <v>0</v>
      </c>
      <c r="CP662" s="167">
        <v>0</v>
      </c>
      <c r="CQ662" s="167">
        <v>0</v>
      </c>
      <c r="CR662" s="167">
        <v>0</v>
      </c>
      <c r="CS662" s="167">
        <v>0</v>
      </c>
      <c r="CT662" s="167">
        <v>0</v>
      </c>
      <c r="CU662" s="167">
        <v>0</v>
      </c>
      <c r="CV662" s="167">
        <v>0</v>
      </c>
      <c r="CW662" s="167">
        <v>0</v>
      </c>
      <c r="CX662" s="167">
        <f>SUM(CD662:CH662)</f>
        <v>4</v>
      </c>
      <c r="CY662" s="167">
        <f>SUM(CD662:CM662)</f>
        <v>4</v>
      </c>
    </row>
    <row r="663" spans="1:103" ht="12.75" customHeight="1" x14ac:dyDescent="0.2">
      <c r="A663" s="81">
        <v>6371</v>
      </c>
      <c r="B663" s="165" t="s">
        <v>1908</v>
      </c>
      <c r="C663" s="165" t="s">
        <v>1479</v>
      </c>
      <c r="E663" s="165" t="s">
        <v>3668</v>
      </c>
      <c r="G663" s="81">
        <v>525949</v>
      </c>
      <c r="H663" s="81">
        <v>174999</v>
      </c>
      <c r="I663" s="165" t="s">
        <v>251</v>
      </c>
      <c r="J663" s="349">
        <v>43190</v>
      </c>
      <c r="L663" s="166">
        <v>0</v>
      </c>
      <c r="M663" s="166">
        <v>3</v>
      </c>
      <c r="N663" s="166">
        <v>3</v>
      </c>
      <c r="O663" s="166">
        <v>3</v>
      </c>
      <c r="P663" s="166">
        <v>3</v>
      </c>
      <c r="R663" s="165" t="s">
        <v>1480</v>
      </c>
      <c r="S663" s="81" t="s">
        <v>113</v>
      </c>
      <c r="T663" s="349">
        <v>42683</v>
      </c>
      <c r="U663" s="349">
        <v>42823</v>
      </c>
      <c r="W663" s="81" t="s">
        <v>114</v>
      </c>
      <c r="Y663" s="81" t="s">
        <v>115</v>
      </c>
      <c r="Z663" s="81" t="s">
        <v>398</v>
      </c>
      <c r="AA663" s="81" t="s">
        <v>117</v>
      </c>
      <c r="AB663" s="81" t="s">
        <v>399</v>
      </c>
      <c r="AC663" s="166">
        <v>7.0000002160668399E-3</v>
      </c>
      <c r="AD663" s="349">
        <v>43190</v>
      </c>
      <c r="AE663" s="81" t="s">
        <v>155</v>
      </c>
      <c r="AG663" s="81" t="s">
        <v>238</v>
      </c>
      <c r="AH663" s="81" t="s">
        <v>118</v>
      </c>
      <c r="AK663" s="166">
        <v>0</v>
      </c>
      <c r="AM663" s="166">
        <v>0</v>
      </c>
      <c r="AO663" s="166">
        <v>0</v>
      </c>
      <c r="AP663" s="166">
        <v>1</v>
      </c>
      <c r="AQ663" s="166">
        <v>1</v>
      </c>
      <c r="AR663" s="166">
        <v>1</v>
      </c>
      <c r="AS663" s="166">
        <v>0</v>
      </c>
      <c r="AT663" s="166">
        <v>0</v>
      </c>
      <c r="AU663" s="166">
        <v>0</v>
      </c>
      <c r="AV663" s="166">
        <v>0</v>
      </c>
      <c r="AW663" s="166">
        <v>1</v>
      </c>
      <c r="AX663" s="166">
        <v>1</v>
      </c>
      <c r="AY663" s="166">
        <v>1</v>
      </c>
      <c r="AZ663" s="166">
        <v>0</v>
      </c>
      <c r="BA663" s="166">
        <v>0</v>
      </c>
      <c r="BB663" s="166">
        <v>0</v>
      </c>
      <c r="BC663" s="166">
        <v>0</v>
      </c>
      <c r="BD663" s="166">
        <v>0</v>
      </c>
      <c r="BE663" s="166">
        <v>0</v>
      </c>
      <c r="BF663" s="166">
        <v>0</v>
      </c>
      <c r="BG663" s="166">
        <v>0</v>
      </c>
      <c r="BH663" s="166">
        <v>0</v>
      </c>
      <c r="BI663" s="166">
        <v>0</v>
      </c>
      <c r="BJ663" s="166">
        <v>0</v>
      </c>
      <c r="BK663" s="166">
        <v>0</v>
      </c>
      <c r="BL663" s="166">
        <v>0</v>
      </c>
      <c r="BM663" s="166">
        <v>0</v>
      </c>
      <c r="BN663" s="166">
        <v>0</v>
      </c>
      <c r="BO663" s="166">
        <v>0</v>
      </c>
      <c r="BP663" s="166">
        <v>0</v>
      </c>
      <c r="BQ663" s="81" t="s">
        <v>1758</v>
      </c>
      <c r="BZ663" s="81" t="s">
        <v>155</v>
      </c>
      <c r="CA663" s="81" t="s">
        <v>3981</v>
      </c>
      <c r="CC663" s="167">
        <v>0</v>
      </c>
      <c r="CD663" s="167">
        <f>$N663/2</f>
        <v>1.5</v>
      </c>
      <c r="CE663" s="167">
        <f>$N663/2</f>
        <v>1.5</v>
      </c>
      <c r="CF663" s="167">
        <v>0</v>
      </c>
      <c r="CG663" s="167">
        <v>0</v>
      </c>
      <c r="CH663" s="167">
        <v>0</v>
      </c>
      <c r="CI663" s="167">
        <v>0</v>
      </c>
      <c r="CJ663" s="167">
        <v>0</v>
      </c>
      <c r="CK663" s="167">
        <v>0</v>
      </c>
      <c r="CL663" s="167">
        <v>0</v>
      </c>
      <c r="CM663" s="167">
        <v>0</v>
      </c>
      <c r="CN663" s="167">
        <v>0</v>
      </c>
      <c r="CO663" s="167">
        <v>0</v>
      </c>
      <c r="CP663" s="167">
        <v>0</v>
      </c>
      <c r="CQ663" s="167">
        <v>0</v>
      </c>
      <c r="CR663" s="167">
        <v>0</v>
      </c>
      <c r="CS663" s="167">
        <v>0</v>
      </c>
      <c r="CT663" s="167">
        <v>0</v>
      </c>
      <c r="CU663" s="167">
        <v>0</v>
      </c>
      <c r="CV663" s="167">
        <v>0</v>
      </c>
      <c r="CW663" s="167">
        <v>0</v>
      </c>
      <c r="CX663" s="167">
        <f>SUM(CD663:CH663)</f>
        <v>3</v>
      </c>
      <c r="CY663" s="167">
        <f>SUM(CD663:CM663)</f>
        <v>3</v>
      </c>
    </row>
    <row r="664" spans="1:103" x14ac:dyDescent="0.2">
      <c r="A664" s="81">
        <v>6371</v>
      </c>
      <c r="B664" s="165" t="s">
        <v>1908</v>
      </c>
      <c r="C664" s="165" t="s">
        <v>1481</v>
      </c>
      <c r="E664" s="165" t="s">
        <v>3668</v>
      </c>
      <c r="G664" s="81">
        <v>525949</v>
      </c>
      <c r="H664" s="81">
        <v>174999</v>
      </c>
      <c r="I664" s="165" t="s">
        <v>251</v>
      </c>
      <c r="J664" s="349">
        <v>43190</v>
      </c>
      <c r="L664" s="166">
        <v>0</v>
      </c>
      <c r="M664" s="166">
        <v>1</v>
      </c>
      <c r="N664" s="166">
        <v>1</v>
      </c>
      <c r="O664" s="166">
        <v>1</v>
      </c>
      <c r="P664" s="166">
        <v>1</v>
      </c>
      <c r="R664" s="165" t="s">
        <v>1482</v>
      </c>
      <c r="S664" s="81" t="s">
        <v>110</v>
      </c>
      <c r="T664" s="349">
        <v>42683</v>
      </c>
      <c r="U664" s="349">
        <v>42739</v>
      </c>
      <c r="W664" s="81" t="s">
        <v>114</v>
      </c>
      <c r="Y664" s="81" t="s">
        <v>115</v>
      </c>
      <c r="Z664" s="81" t="s">
        <v>310</v>
      </c>
      <c r="AA664" s="81" t="s">
        <v>117</v>
      </c>
      <c r="AB664" s="81" t="s">
        <v>399</v>
      </c>
      <c r="AC664" s="166">
        <v>7.0000002160668399E-3</v>
      </c>
      <c r="AD664" s="349">
        <v>43190</v>
      </c>
      <c r="AE664" s="81" t="s">
        <v>155</v>
      </c>
      <c r="AG664" s="81" t="s">
        <v>238</v>
      </c>
      <c r="AH664" s="81" t="s">
        <v>118</v>
      </c>
      <c r="AK664" s="166">
        <v>0</v>
      </c>
      <c r="AM664" s="166">
        <v>0</v>
      </c>
      <c r="AO664" s="166">
        <v>0</v>
      </c>
      <c r="AP664" s="166">
        <v>1</v>
      </c>
      <c r="AQ664" s="166">
        <v>0</v>
      </c>
      <c r="AR664" s="166">
        <v>0</v>
      </c>
      <c r="AS664" s="166">
        <v>0</v>
      </c>
      <c r="AT664" s="166">
        <v>0</v>
      </c>
      <c r="AU664" s="166">
        <v>0</v>
      </c>
      <c r="AV664" s="166">
        <v>0</v>
      </c>
      <c r="AW664" s="166">
        <v>1</v>
      </c>
      <c r="AX664" s="166">
        <v>0</v>
      </c>
      <c r="AY664" s="166">
        <v>0</v>
      </c>
      <c r="AZ664" s="166">
        <v>0</v>
      </c>
      <c r="BA664" s="166">
        <v>0</v>
      </c>
      <c r="BB664" s="166">
        <v>0</v>
      </c>
      <c r="BC664" s="166">
        <v>0</v>
      </c>
      <c r="BD664" s="166">
        <v>0</v>
      </c>
      <c r="BE664" s="166">
        <v>0</v>
      </c>
      <c r="BF664" s="166">
        <v>0</v>
      </c>
      <c r="BG664" s="166">
        <v>0</v>
      </c>
      <c r="BH664" s="166">
        <v>0</v>
      </c>
      <c r="BI664" s="166">
        <v>0</v>
      </c>
      <c r="BJ664" s="166">
        <v>0</v>
      </c>
      <c r="BK664" s="166">
        <v>0</v>
      </c>
      <c r="BL664" s="166">
        <v>0</v>
      </c>
      <c r="BM664" s="166">
        <v>0</v>
      </c>
      <c r="BN664" s="166">
        <v>0</v>
      </c>
      <c r="BO664" s="166">
        <v>0</v>
      </c>
      <c r="BP664" s="166">
        <v>0</v>
      </c>
      <c r="BQ664" s="81" t="s">
        <v>1758</v>
      </c>
      <c r="BZ664" s="81" t="s">
        <v>155</v>
      </c>
      <c r="CA664" s="81" t="s">
        <v>3981</v>
      </c>
      <c r="CC664" s="167">
        <v>0</v>
      </c>
      <c r="CD664" s="167">
        <f>$N664/2</f>
        <v>0.5</v>
      </c>
      <c r="CE664" s="167">
        <f>$N664/2</f>
        <v>0.5</v>
      </c>
      <c r="CF664" s="167">
        <v>0</v>
      </c>
      <c r="CG664" s="167">
        <v>0</v>
      </c>
      <c r="CH664" s="167">
        <v>0</v>
      </c>
      <c r="CI664" s="167">
        <v>0</v>
      </c>
      <c r="CJ664" s="167">
        <v>0</v>
      </c>
      <c r="CK664" s="167">
        <v>0</v>
      </c>
      <c r="CL664" s="167">
        <v>0</v>
      </c>
      <c r="CM664" s="167">
        <v>0</v>
      </c>
      <c r="CN664" s="167">
        <v>0</v>
      </c>
      <c r="CO664" s="167">
        <v>0</v>
      </c>
      <c r="CP664" s="167">
        <v>0</v>
      </c>
      <c r="CQ664" s="167">
        <v>0</v>
      </c>
      <c r="CR664" s="167">
        <v>0</v>
      </c>
      <c r="CS664" s="167">
        <v>0</v>
      </c>
      <c r="CT664" s="167">
        <v>0</v>
      </c>
      <c r="CU664" s="167">
        <v>0</v>
      </c>
      <c r="CV664" s="167">
        <v>0</v>
      </c>
      <c r="CW664" s="167">
        <v>0</v>
      </c>
      <c r="CX664" s="167">
        <f>SUM(CD664:CH664)</f>
        <v>1</v>
      </c>
      <c r="CY664" s="167">
        <f>SUM(CD664:CM664)</f>
        <v>1</v>
      </c>
    </row>
    <row r="665" spans="1:103" ht="12.75" customHeight="1" x14ac:dyDescent="0.2">
      <c r="A665" s="81">
        <v>6375</v>
      </c>
      <c r="B665" s="165" t="s">
        <v>1908</v>
      </c>
      <c r="C665" s="165" t="s">
        <v>1366</v>
      </c>
      <c r="E665" s="165" t="s">
        <v>3248</v>
      </c>
      <c r="G665" s="81">
        <v>523565</v>
      </c>
      <c r="H665" s="81">
        <v>175816</v>
      </c>
      <c r="I665" s="165" t="s">
        <v>259</v>
      </c>
      <c r="J665" s="349">
        <v>42983</v>
      </c>
      <c r="L665" s="166">
        <v>1</v>
      </c>
      <c r="M665" s="166">
        <v>2</v>
      </c>
      <c r="N665" s="166">
        <v>1</v>
      </c>
      <c r="O665" s="166">
        <v>2</v>
      </c>
      <c r="P665" s="166">
        <v>1</v>
      </c>
      <c r="R665" s="165" t="s">
        <v>1367</v>
      </c>
      <c r="S665" s="81" t="s">
        <v>513</v>
      </c>
      <c r="T665" s="349">
        <v>42583</v>
      </c>
      <c r="U665" s="349">
        <v>42660</v>
      </c>
      <c r="W665" s="81" t="s">
        <v>114</v>
      </c>
      <c r="Y665" s="81" t="s">
        <v>115</v>
      </c>
      <c r="Z665" s="81" t="s">
        <v>310</v>
      </c>
      <c r="AA665" s="81" t="s">
        <v>117</v>
      </c>
      <c r="AB665" s="81" t="s">
        <v>298</v>
      </c>
      <c r="AC665" s="166">
        <v>7.0000002160668399E-3</v>
      </c>
      <c r="AD665" s="349">
        <v>42983</v>
      </c>
      <c r="AE665" s="81" t="s">
        <v>155</v>
      </c>
      <c r="AG665" s="81" t="s">
        <v>238</v>
      </c>
      <c r="AH665" s="81" t="s">
        <v>118</v>
      </c>
      <c r="AK665" s="166">
        <v>0</v>
      </c>
      <c r="AM665" s="166">
        <v>0</v>
      </c>
      <c r="AO665" s="166">
        <v>0</v>
      </c>
      <c r="AP665" s="166">
        <v>0</v>
      </c>
      <c r="AQ665" s="166">
        <v>2</v>
      </c>
      <c r="AR665" s="166">
        <v>0</v>
      </c>
      <c r="AS665" s="166">
        <v>0</v>
      </c>
      <c r="AT665" s="166">
        <v>-1</v>
      </c>
      <c r="AU665" s="166">
        <v>0</v>
      </c>
      <c r="AV665" s="166">
        <v>0</v>
      </c>
      <c r="AW665" s="166">
        <v>0</v>
      </c>
      <c r="AX665" s="166">
        <v>2</v>
      </c>
      <c r="AY665" s="166">
        <v>0</v>
      </c>
      <c r="AZ665" s="166">
        <v>0</v>
      </c>
      <c r="BA665" s="166">
        <v>-1</v>
      </c>
      <c r="BB665" s="166">
        <v>0</v>
      </c>
      <c r="BC665" s="166">
        <v>0</v>
      </c>
      <c r="BD665" s="166">
        <v>0</v>
      </c>
      <c r="BE665" s="166">
        <v>0</v>
      </c>
      <c r="BF665" s="166">
        <v>0</v>
      </c>
      <c r="BG665" s="166">
        <v>0</v>
      </c>
      <c r="BH665" s="166">
        <v>0</v>
      </c>
      <c r="BI665" s="166">
        <v>0</v>
      </c>
      <c r="BJ665" s="166">
        <v>0</v>
      </c>
      <c r="BK665" s="166">
        <v>0</v>
      </c>
      <c r="BL665" s="166">
        <v>0</v>
      </c>
      <c r="BM665" s="166">
        <v>0</v>
      </c>
      <c r="BN665" s="166">
        <v>0</v>
      </c>
      <c r="BO665" s="166">
        <v>0</v>
      </c>
      <c r="BP665" s="166">
        <v>0</v>
      </c>
      <c r="BQ665" s="81" t="s">
        <v>1758</v>
      </c>
      <c r="BZ665" s="81" t="s">
        <v>155</v>
      </c>
      <c r="CA665" s="81" t="s">
        <v>3980</v>
      </c>
      <c r="CC665" s="167">
        <v>0</v>
      </c>
      <c r="CD665" s="167">
        <f>N665</f>
        <v>1</v>
      </c>
      <c r="CE665" s="167">
        <v>0</v>
      </c>
      <c r="CF665" s="167">
        <v>0</v>
      </c>
      <c r="CG665" s="167">
        <v>0</v>
      </c>
      <c r="CH665" s="167">
        <v>0</v>
      </c>
      <c r="CI665" s="167">
        <v>0</v>
      </c>
      <c r="CJ665" s="167">
        <v>0</v>
      </c>
      <c r="CK665" s="167">
        <v>0</v>
      </c>
      <c r="CL665" s="167">
        <v>0</v>
      </c>
      <c r="CM665" s="167">
        <v>0</v>
      </c>
      <c r="CN665" s="167">
        <v>0</v>
      </c>
      <c r="CO665" s="167">
        <v>0</v>
      </c>
      <c r="CP665" s="167">
        <v>0</v>
      </c>
      <c r="CQ665" s="167">
        <v>0</v>
      </c>
      <c r="CR665" s="167">
        <v>0</v>
      </c>
      <c r="CS665" s="167">
        <v>0</v>
      </c>
      <c r="CT665" s="167">
        <v>0</v>
      </c>
      <c r="CU665" s="167">
        <v>0</v>
      </c>
      <c r="CV665" s="167">
        <v>0</v>
      </c>
      <c r="CW665" s="167">
        <v>0</v>
      </c>
      <c r="CX665" s="167">
        <f>SUM(CD665:CH665)</f>
        <v>1</v>
      </c>
      <c r="CY665" s="167">
        <f>SUM(CD665:CM665)</f>
        <v>1</v>
      </c>
    </row>
    <row r="666" spans="1:103" x14ac:dyDescent="0.2">
      <c r="A666" s="81">
        <v>6386</v>
      </c>
      <c r="B666" s="165" t="s">
        <v>1908</v>
      </c>
      <c r="C666" s="165" t="s">
        <v>3655</v>
      </c>
      <c r="E666" s="165" t="s">
        <v>3656</v>
      </c>
      <c r="G666" s="81">
        <v>528405</v>
      </c>
      <c r="H666" s="81">
        <v>175607</v>
      </c>
      <c r="I666" s="165" t="s">
        <v>256</v>
      </c>
      <c r="J666" s="349">
        <v>43190</v>
      </c>
      <c r="L666" s="166">
        <v>0</v>
      </c>
      <c r="M666" s="166">
        <v>4</v>
      </c>
      <c r="N666" s="166">
        <v>4</v>
      </c>
      <c r="O666" s="166">
        <v>4</v>
      </c>
      <c r="P666" s="166">
        <v>4</v>
      </c>
      <c r="R666" s="165" t="s">
        <v>3657</v>
      </c>
      <c r="S666" s="81" t="s">
        <v>113</v>
      </c>
      <c r="T666" s="349">
        <v>42905</v>
      </c>
      <c r="U666" s="349">
        <v>42978</v>
      </c>
      <c r="V666" s="81" t="s">
        <v>155</v>
      </c>
      <c r="W666" s="81" t="s">
        <v>114</v>
      </c>
      <c r="Y666" s="81" t="s">
        <v>115</v>
      </c>
      <c r="Z666" s="81" t="s">
        <v>116</v>
      </c>
      <c r="AA666" s="81" t="s">
        <v>117</v>
      </c>
      <c r="AB666" s="81" t="s">
        <v>218</v>
      </c>
      <c r="AC666" s="166">
        <v>1.7000000923872001E-2</v>
      </c>
      <c r="AD666" s="349">
        <v>43190</v>
      </c>
      <c r="AE666" s="81" t="s">
        <v>155</v>
      </c>
      <c r="AG666" s="81" t="s">
        <v>238</v>
      </c>
      <c r="AH666" s="81" t="s">
        <v>118</v>
      </c>
      <c r="AK666" s="166">
        <v>0</v>
      </c>
      <c r="AM666" s="166">
        <v>0</v>
      </c>
      <c r="AO666" s="166">
        <v>0</v>
      </c>
      <c r="AP666" s="166">
        <v>1</v>
      </c>
      <c r="AQ666" s="166">
        <v>3</v>
      </c>
      <c r="AR666" s="166">
        <v>0</v>
      </c>
      <c r="AS666" s="166">
        <v>0</v>
      </c>
      <c r="AT666" s="166">
        <v>0</v>
      </c>
      <c r="AU666" s="166">
        <v>0</v>
      </c>
      <c r="AV666" s="166">
        <v>0</v>
      </c>
      <c r="AW666" s="166">
        <v>1</v>
      </c>
      <c r="AX666" s="166">
        <v>3</v>
      </c>
      <c r="AY666" s="166">
        <v>0</v>
      </c>
      <c r="AZ666" s="166">
        <v>0</v>
      </c>
      <c r="BA666" s="166">
        <v>0</v>
      </c>
      <c r="BB666" s="166">
        <v>0</v>
      </c>
      <c r="BC666" s="166">
        <v>0</v>
      </c>
      <c r="BD666" s="166">
        <v>0</v>
      </c>
      <c r="BE666" s="166">
        <v>0</v>
      </c>
      <c r="BF666" s="166">
        <v>0</v>
      </c>
      <c r="BG666" s="166">
        <v>0</v>
      </c>
      <c r="BH666" s="166">
        <v>0</v>
      </c>
      <c r="BI666" s="166">
        <v>0</v>
      </c>
      <c r="BJ666" s="166">
        <v>0</v>
      </c>
      <c r="BK666" s="166">
        <v>0</v>
      </c>
      <c r="BL666" s="166">
        <v>0</v>
      </c>
      <c r="BM666" s="166">
        <v>0</v>
      </c>
      <c r="BN666" s="166">
        <v>0</v>
      </c>
      <c r="BO666" s="166">
        <v>0</v>
      </c>
      <c r="BP666" s="166">
        <v>0</v>
      </c>
      <c r="BQ666" s="81" t="s">
        <v>1757</v>
      </c>
      <c r="BZ666" s="81" t="s">
        <v>155</v>
      </c>
      <c r="CA666" s="81" t="s">
        <v>3977</v>
      </c>
      <c r="CC666" s="167">
        <v>0</v>
      </c>
      <c r="CD666" s="167">
        <f>$N666/2</f>
        <v>2</v>
      </c>
      <c r="CE666" s="167">
        <f>$N666/2</f>
        <v>2</v>
      </c>
      <c r="CF666" s="167">
        <v>0</v>
      </c>
      <c r="CG666" s="167">
        <v>0</v>
      </c>
      <c r="CH666" s="167">
        <v>0</v>
      </c>
      <c r="CI666" s="167">
        <v>0</v>
      </c>
      <c r="CJ666" s="167">
        <v>0</v>
      </c>
      <c r="CK666" s="167">
        <v>0</v>
      </c>
      <c r="CL666" s="167">
        <v>0</v>
      </c>
      <c r="CM666" s="167">
        <v>0</v>
      </c>
      <c r="CN666" s="167">
        <v>0</v>
      </c>
      <c r="CO666" s="167">
        <v>0</v>
      </c>
      <c r="CP666" s="167">
        <v>0</v>
      </c>
      <c r="CQ666" s="167">
        <v>0</v>
      </c>
      <c r="CR666" s="167">
        <v>0</v>
      </c>
      <c r="CS666" s="167">
        <v>0</v>
      </c>
      <c r="CT666" s="167">
        <v>0</v>
      </c>
      <c r="CU666" s="167">
        <v>0</v>
      </c>
      <c r="CV666" s="167">
        <v>0</v>
      </c>
      <c r="CW666" s="167">
        <v>0</v>
      </c>
      <c r="CX666" s="167">
        <f>SUM(CD666:CH666)</f>
        <v>4</v>
      </c>
      <c r="CY666" s="167">
        <f>SUM(CD666:CM666)</f>
        <v>4</v>
      </c>
    </row>
    <row r="667" spans="1:103" ht="12.75" customHeight="1" x14ac:dyDescent="0.2">
      <c r="A667" s="81">
        <v>6398</v>
      </c>
      <c r="B667" s="165" t="s">
        <v>1908</v>
      </c>
      <c r="C667" s="165" t="s">
        <v>3670</v>
      </c>
      <c r="E667" s="165" t="s">
        <v>3671</v>
      </c>
      <c r="G667" s="81">
        <v>527962</v>
      </c>
      <c r="H667" s="81">
        <v>170754</v>
      </c>
      <c r="I667" s="165" t="s">
        <v>253</v>
      </c>
      <c r="J667" s="349">
        <v>42874</v>
      </c>
      <c r="L667" s="166">
        <v>3</v>
      </c>
      <c r="M667" s="166">
        <v>6</v>
      </c>
      <c r="N667" s="166">
        <v>3</v>
      </c>
      <c r="O667" s="166">
        <v>6</v>
      </c>
      <c r="P667" s="166">
        <v>3</v>
      </c>
      <c r="R667" s="165" t="s">
        <v>3672</v>
      </c>
      <c r="S667" s="81" t="s">
        <v>113</v>
      </c>
      <c r="T667" s="349">
        <v>42894</v>
      </c>
      <c r="U667" s="349">
        <v>42950</v>
      </c>
      <c r="V667" s="81" t="s">
        <v>155</v>
      </c>
      <c r="W667" s="81" t="s">
        <v>114</v>
      </c>
      <c r="Y667" s="81" t="s">
        <v>115</v>
      </c>
      <c r="Z667" s="81" t="s">
        <v>398</v>
      </c>
      <c r="AA667" s="81" t="s">
        <v>117</v>
      </c>
      <c r="AB667" s="81" t="s">
        <v>220</v>
      </c>
      <c r="AC667" s="166">
        <v>2.3000000044703501E-2</v>
      </c>
      <c r="AD667" s="349">
        <v>42874</v>
      </c>
      <c r="AE667" s="81" t="s">
        <v>155</v>
      </c>
      <c r="AG667" s="81" t="s">
        <v>238</v>
      </c>
      <c r="AH667" s="81" t="s">
        <v>118</v>
      </c>
      <c r="AK667" s="166">
        <v>0</v>
      </c>
      <c r="AM667" s="166">
        <v>0</v>
      </c>
      <c r="AO667" s="166">
        <v>0</v>
      </c>
      <c r="AP667" s="166">
        <v>-1</v>
      </c>
      <c r="AQ667" s="166">
        <v>4</v>
      </c>
      <c r="AR667" s="166">
        <v>0</v>
      </c>
      <c r="AS667" s="166">
        <v>0</v>
      </c>
      <c r="AT667" s="166">
        <v>0</v>
      </c>
      <c r="AU667" s="166">
        <v>0</v>
      </c>
      <c r="AV667" s="166">
        <v>0</v>
      </c>
      <c r="AW667" s="166">
        <v>-1</v>
      </c>
      <c r="AX667" s="166">
        <v>4</v>
      </c>
      <c r="AY667" s="166">
        <v>0</v>
      </c>
      <c r="AZ667" s="166">
        <v>0</v>
      </c>
      <c r="BA667" s="166">
        <v>0</v>
      </c>
      <c r="BB667" s="166">
        <v>0</v>
      </c>
      <c r="BC667" s="166">
        <v>0</v>
      </c>
      <c r="BD667" s="166">
        <v>0</v>
      </c>
      <c r="BE667" s="166">
        <v>0</v>
      </c>
      <c r="BF667" s="166">
        <v>0</v>
      </c>
      <c r="BG667" s="166">
        <v>0</v>
      </c>
      <c r="BH667" s="166">
        <v>0</v>
      </c>
      <c r="BI667" s="166">
        <v>0</v>
      </c>
      <c r="BJ667" s="166">
        <v>0</v>
      </c>
      <c r="BK667" s="166">
        <v>0</v>
      </c>
      <c r="BL667" s="166">
        <v>0</v>
      </c>
      <c r="BM667" s="166">
        <v>0</v>
      </c>
      <c r="BN667" s="166">
        <v>0</v>
      </c>
      <c r="BO667" s="166">
        <v>0</v>
      </c>
      <c r="BP667" s="166">
        <v>0</v>
      </c>
      <c r="BQ667" s="81" t="s">
        <v>1757</v>
      </c>
      <c r="BZ667" s="81" t="s">
        <v>155</v>
      </c>
      <c r="CA667" s="81" t="s">
        <v>3980</v>
      </c>
      <c r="CC667" s="167">
        <v>0</v>
      </c>
      <c r="CD667" s="167">
        <f>N667</f>
        <v>3</v>
      </c>
      <c r="CE667" s="167">
        <v>0</v>
      </c>
      <c r="CF667" s="167">
        <v>0</v>
      </c>
      <c r="CG667" s="167">
        <v>0</v>
      </c>
      <c r="CH667" s="167">
        <v>0</v>
      </c>
      <c r="CI667" s="167">
        <v>0</v>
      </c>
      <c r="CJ667" s="167">
        <v>0</v>
      </c>
      <c r="CK667" s="167">
        <v>0</v>
      </c>
      <c r="CL667" s="167">
        <v>0</v>
      </c>
      <c r="CM667" s="167">
        <v>0</v>
      </c>
      <c r="CN667" s="167">
        <v>0</v>
      </c>
      <c r="CO667" s="167">
        <v>0</v>
      </c>
      <c r="CP667" s="167">
        <v>0</v>
      </c>
      <c r="CQ667" s="167">
        <v>0</v>
      </c>
      <c r="CR667" s="167">
        <v>0</v>
      </c>
      <c r="CS667" s="167">
        <v>0</v>
      </c>
      <c r="CT667" s="167">
        <v>0</v>
      </c>
      <c r="CU667" s="167">
        <v>0</v>
      </c>
      <c r="CV667" s="167">
        <v>0</v>
      </c>
      <c r="CW667" s="167">
        <v>0</v>
      </c>
      <c r="CX667" s="167">
        <f>SUM(CD667:CH667)</f>
        <v>3</v>
      </c>
      <c r="CY667" s="167">
        <f>SUM(CD667:CM667)</f>
        <v>3</v>
      </c>
    </row>
    <row r="668" spans="1:103" ht="12.75" customHeight="1" x14ac:dyDescent="0.2">
      <c r="A668" s="81">
        <v>6399</v>
      </c>
      <c r="B668" s="165" t="s">
        <v>1908</v>
      </c>
      <c r="C668" s="165" t="s">
        <v>1707</v>
      </c>
      <c r="E668" s="165" t="s">
        <v>3673</v>
      </c>
      <c r="G668" s="81">
        <v>527919</v>
      </c>
      <c r="H668" s="81">
        <v>172496</v>
      </c>
      <c r="I668" s="165" t="s">
        <v>254</v>
      </c>
      <c r="J668" s="349">
        <v>42837</v>
      </c>
      <c r="L668" s="166">
        <v>1</v>
      </c>
      <c r="M668" s="166">
        <v>3</v>
      </c>
      <c r="N668" s="166">
        <v>2</v>
      </c>
      <c r="O668" s="166">
        <v>3</v>
      </c>
      <c r="P668" s="166">
        <v>2</v>
      </c>
      <c r="R668" s="165" t="s">
        <v>1708</v>
      </c>
      <c r="S668" s="81" t="s">
        <v>113</v>
      </c>
      <c r="T668" s="349">
        <v>42654</v>
      </c>
      <c r="U668" s="349">
        <v>42753</v>
      </c>
      <c r="W668" s="81" t="s">
        <v>114</v>
      </c>
      <c r="Y668" s="81" t="s">
        <v>115</v>
      </c>
      <c r="Z668" s="81" t="s">
        <v>398</v>
      </c>
      <c r="AA668" s="81" t="s">
        <v>117</v>
      </c>
      <c r="AB668" s="81" t="s">
        <v>120</v>
      </c>
      <c r="AC668" s="166">
        <v>1.7999999225139601E-2</v>
      </c>
      <c r="AD668" s="349">
        <v>42837</v>
      </c>
      <c r="AE668" s="81" t="s">
        <v>155</v>
      </c>
      <c r="AG668" s="81" t="s">
        <v>238</v>
      </c>
      <c r="AH668" s="81" t="s">
        <v>118</v>
      </c>
      <c r="AK668" s="166">
        <v>0</v>
      </c>
      <c r="AM668" s="166">
        <v>0</v>
      </c>
      <c r="AO668" s="166">
        <v>0</v>
      </c>
      <c r="AP668" s="166">
        <v>2</v>
      </c>
      <c r="AQ668" s="166">
        <v>0</v>
      </c>
      <c r="AR668" s="166">
        <v>1</v>
      </c>
      <c r="AS668" s="166">
        <v>-1</v>
      </c>
      <c r="AT668" s="166">
        <v>0</v>
      </c>
      <c r="AU668" s="166">
        <v>0</v>
      </c>
      <c r="AV668" s="166">
        <v>0</v>
      </c>
      <c r="AW668" s="166">
        <v>2</v>
      </c>
      <c r="AX668" s="166">
        <v>0</v>
      </c>
      <c r="AY668" s="166">
        <v>1</v>
      </c>
      <c r="AZ668" s="166">
        <v>0</v>
      </c>
      <c r="BA668" s="166">
        <v>0</v>
      </c>
      <c r="BB668" s="166">
        <v>0</v>
      </c>
      <c r="BC668" s="166">
        <v>0</v>
      </c>
      <c r="BD668" s="166">
        <v>0</v>
      </c>
      <c r="BE668" s="166">
        <v>0</v>
      </c>
      <c r="BF668" s="166">
        <v>0</v>
      </c>
      <c r="BG668" s="166">
        <v>-1</v>
      </c>
      <c r="BH668" s="166">
        <v>0</v>
      </c>
      <c r="BI668" s="166">
        <v>0</v>
      </c>
      <c r="BJ668" s="166">
        <v>0</v>
      </c>
      <c r="BK668" s="166">
        <v>0</v>
      </c>
      <c r="BL668" s="166">
        <v>0</v>
      </c>
      <c r="BM668" s="166">
        <v>0</v>
      </c>
      <c r="BN668" s="166">
        <v>0</v>
      </c>
      <c r="BO668" s="166">
        <v>0</v>
      </c>
      <c r="BP668" s="166">
        <v>0</v>
      </c>
      <c r="BQ668" s="81" t="s">
        <v>1757</v>
      </c>
      <c r="BZ668" s="81" t="s">
        <v>155</v>
      </c>
      <c r="CA668" s="81" t="s">
        <v>3980</v>
      </c>
      <c r="CC668" s="167">
        <v>0</v>
      </c>
      <c r="CD668" s="167">
        <f>N668</f>
        <v>2</v>
      </c>
      <c r="CE668" s="167">
        <v>0</v>
      </c>
      <c r="CF668" s="167">
        <v>0</v>
      </c>
      <c r="CG668" s="167">
        <v>0</v>
      </c>
      <c r="CH668" s="167">
        <v>0</v>
      </c>
      <c r="CI668" s="167">
        <v>0</v>
      </c>
      <c r="CJ668" s="167">
        <v>0</v>
      </c>
      <c r="CK668" s="167">
        <v>0</v>
      </c>
      <c r="CL668" s="167">
        <v>0</v>
      </c>
      <c r="CM668" s="167">
        <v>0</v>
      </c>
      <c r="CN668" s="167">
        <v>0</v>
      </c>
      <c r="CO668" s="167">
        <v>0</v>
      </c>
      <c r="CP668" s="167">
        <v>0</v>
      </c>
      <c r="CQ668" s="167">
        <v>0</v>
      </c>
      <c r="CR668" s="167">
        <v>0</v>
      </c>
      <c r="CS668" s="167">
        <v>0</v>
      </c>
      <c r="CT668" s="167">
        <v>0</v>
      </c>
      <c r="CU668" s="167">
        <v>0</v>
      </c>
      <c r="CV668" s="167">
        <v>0</v>
      </c>
      <c r="CW668" s="167">
        <v>0</v>
      </c>
      <c r="CX668" s="167">
        <f>SUM(CD668:CH668)</f>
        <v>2</v>
      </c>
      <c r="CY668" s="167">
        <f>SUM(CD668:CM668)</f>
        <v>2</v>
      </c>
    </row>
    <row r="669" spans="1:103" ht="12.75" customHeight="1" x14ac:dyDescent="0.2">
      <c r="A669" s="81">
        <v>6400</v>
      </c>
      <c r="B669" s="165" t="s">
        <v>1908</v>
      </c>
      <c r="C669" s="165" t="s">
        <v>3674</v>
      </c>
      <c r="E669" s="165" t="s">
        <v>3675</v>
      </c>
      <c r="G669" s="81">
        <v>529268</v>
      </c>
      <c r="H669" s="81">
        <v>171015</v>
      </c>
      <c r="I669" s="165" t="s">
        <v>252</v>
      </c>
      <c r="J669" s="349">
        <v>43190</v>
      </c>
      <c r="L669" s="166">
        <v>0</v>
      </c>
      <c r="M669" s="166">
        <v>3</v>
      </c>
      <c r="N669" s="166">
        <v>3</v>
      </c>
      <c r="O669" s="166">
        <v>4</v>
      </c>
      <c r="P669" s="166">
        <v>4</v>
      </c>
      <c r="R669" s="165" t="s">
        <v>3676</v>
      </c>
      <c r="S669" s="81" t="s">
        <v>113</v>
      </c>
      <c r="T669" s="349">
        <v>42851</v>
      </c>
      <c r="U669" s="349">
        <v>43006</v>
      </c>
      <c r="V669" s="81" t="s">
        <v>155</v>
      </c>
      <c r="W669" s="81" t="s">
        <v>114</v>
      </c>
      <c r="Y669" s="81" t="s">
        <v>115</v>
      </c>
      <c r="Z669" s="81" t="s">
        <v>398</v>
      </c>
      <c r="AA669" s="81" t="s">
        <v>117</v>
      </c>
      <c r="AB669" s="81" t="s">
        <v>218</v>
      </c>
      <c r="AC669" s="166">
        <v>1.30000002682209E-2</v>
      </c>
      <c r="AD669" s="349">
        <v>43190</v>
      </c>
      <c r="AE669" s="81" t="s">
        <v>155</v>
      </c>
      <c r="AG669" s="81" t="s">
        <v>238</v>
      </c>
      <c r="AH669" s="81" t="s">
        <v>118</v>
      </c>
      <c r="AK669" s="166">
        <v>3</v>
      </c>
      <c r="AM669" s="166">
        <v>0</v>
      </c>
      <c r="AO669" s="166">
        <v>0</v>
      </c>
      <c r="AP669" s="166">
        <v>2</v>
      </c>
      <c r="AQ669" s="166">
        <v>1</v>
      </c>
      <c r="AR669" s="166">
        <v>0</v>
      </c>
      <c r="AS669" s="166">
        <v>0</v>
      </c>
      <c r="AT669" s="166">
        <v>0</v>
      </c>
      <c r="AU669" s="166">
        <v>0</v>
      </c>
      <c r="AV669" s="166">
        <v>0</v>
      </c>
      <c r="AW669" s="166">
        <v>2</v>
      </c>
      <c r="AX669" s="166">
        <v>1</v>
      </c>
      <c r="AY669" s="166">
        <v>0</v>
      </c>
      <c r="AZ669" s="166">
        <v>0</v>
      </c>
      <c r="BA669" s="166">
        <v>0</v>
      </c>
      <c r="BB669" s="166">
        <v>0</v>
      </c>
      <c r="BC669" s="166">
        <v>0</v>
      </c>
      <c r="BD669" s="166">
        <v>0</v>
      </c>
      <c r="BE669" s="166">
        <v>0</v>
      </c>
      <c r="BF669" s="166">
        <v>0</v>
      </c>
      <c r="BG669" s="166">
        <v>0</v>
      </c>
      <c r="BH669" s="166">
        <v>0</v>
      </c>
      <c r="BI669" s="166">
        <v>0</v>
      </c>
      <c r="BJ669" s="166">
        <v>0</v>
      </c>
      <c r="BK669" s="166">
        <v>0</v>
      </c>
      <c r="BL669" s="166">
        <v>0</v>
      </c>
      <c r="BM669" s="166">
        <v>0</v>
      </c>
      <c r="BN669" s="166">
        <v>0</v>
      </c>
      <c r="BO669" s="166">
        <v>0</v>
      </c>
      <c r="BP669" s="166">
        <v>0</v>
      </c>
      <c r="BQ669" s="81" t="s">
        <v>1757</v>
      </c>
      <c r="BZ669" s="81" t="s">
        <v>155</v>
      </c>
      <c r="CA669" s="81" t="s">
        <v>3981</v>
      </c>
      <c r="CC669" s="167">
        <v>0</v>
      </c>
      <c r="CD669" s="167">
        <f>$N669/2</f>
        <v>1.5</v>
      </c>
      <c r="CE669" s="167">
        <f>$N669/2</f>
        <v>1.5</v>
      </c>
      <c r="CF669" s="167">
        <v>0</v>
      </c>
      <c r="CG669" s="167">
        <v>0</v>
      </c>
      <c r="CH669" s="167">
        <v>0</v>
      </c>
      <c r="CI669" s="167">
        <v>0</v>
      </c>
      <c r="CJ669" s="167">
        <v>0</v>
      </c>
      <c r="CK669" s="167">
        <v>0</v>
      </c>
      <c r="CL669" s="167">
        <v>0</v>
      </c>
      <c r="CM669" s="167">
        <v>0</v>
      </c>
      <c r="CN669" s="167">
        <v>0</v>
      </c>
      <c r="CO669" s="167">
        <v>0</v>
      </c>
      <c r="CP669" s="167">
        <v>0</v>
      </c>
      <c r="CQ669" s="167">
        <v>0</v>
      </c>
      <c r="CR669" s="167">
        <v>0</v>
      </c>
      <c r="CS669" s="167">
        <v>0</v>
      </c>
      <c r="CT669" s="167">
        <v>0</v>
      </c>
      <c r="CU669" s="167">
        <v>0</v>
      </c>
      <c r="CV669" s="167">
        <v>0</v>
      </c>
      <c r="CW669" s="167">
        <v>0</v>
      </c>
      <c r="CX669" s="167">
        <f>SUM(CD669:CH669)</f>
        <v>3</v>
      </c>
      <c r="CY669" s="167">
        <f>SUM(CD669:CM669)</f>
        <v>3</v>
      </c>
    </row>
    <row r="670" spans="1:103" ht="12.75" customHeight="1" x14ac:dyDescent="0.2">
      <c r="A670" s="81">
        <v>6400</v>
      </c>
      <c r="B670" s="165" t="s">
        <v>1908</v>
      </c>
      <c r="C670" s="165" t="s">
        <v>3674</v>
      </c>
      <c r="E670" s="165" t="s">
        <v>3675</v>
      </c>
      <c r="G670" s="81">
        <v>529268</v>
      </c>
      <c r="H670" s="81">
        <v>171015</v>
      </c>
      <c r="I670" s="165" t="s">
        <v>252</v>
      </c>
      <c r="J670" s="349">
        <v>43190</v>
      </c>
      <c r="L670" s="166">
        <v>0</v>
      </c>
      <c r="M670" s="166">
        <v>1</v>
      </c>
      <c r="N670" s="166">
        <v>1</v>
      </c>
      <c r="O670" s="166">
        <v>4</v>
      </c>
      <c r="P670" s="166">
        <v>4</v>
      </c>
      <c r="R670" s="165" t="s">
        <v>3676</v>
      </c>
      <c r="S670" s="81" t="s">
        <v>113</v>
      </c>
      <c r="T670" s="349">
        <v>42851</v>
      </c>
      <c r="U670" s="349">
        <v>43006</v>
      </c>
      <c r="V670" s="81" t="s">
        <v>155</v>
      </c>
      <c r="W670" s="81" t="s">
        <v>114</v>
      </c>
      <c r="Y670" s="81" t="s">
        <v>115</v>
      </c>
      <c r="Z670" s="81" t="s">
        <v>398</v>
      </c>
      <c r="AA670" s="81" t="s">
        <v>117</v>
      </c>
      <c r="AB670" s="81" t="s">
        <v>102</v>
      </c>
      <c r="AC670" s="166">
        <v>6.0000000521540598E-3</v>
      </c>
      <c r="AD670" s="349">
        <v>43190</v>
      </c>
      <c r="AE670" s="81" t="s">
        <v>155</v>
      </c>
      <c r="AG670" s="81" t="s">
        <v>238</v>
      </c>
      <c r="AH670" s="81" t="s">
        <v>118</v>
      </c>
      <c r="AK670" s="166">
        <v>1</v>
      </c>
      <c r="AM670" s="166">
        <v>0</v>
      </c>
      <c r="AO670" s="166">
        <v>0</v>
      </c>
      <c r="AP670" s="166">
        <v>0</v>
      </c>
      <c r="AQ670" s="166">
        <v>1</v>
      </c>
      <c r="AR670" s="166">
        <v>0</v>
      </c>
      <c r="AS670" s="166">
        <v>0</v>
      </c>
      <c r="AT670" s="166">
        <v>0</v>
      </c>
      <c r="AU670" s="166">
        <v>0</v>
      </c>
      <c r="AV670" s="166">
        <v>0</v>
      </c>
      <c r="AW670" s="166">
        <v>0</v>
      </c>
      <c r="AX670" s="166">
        <v>1</v>
      </c>
      <c r="AY670" s="166">
        <v>0</v>
      </c>
      <c r="AZ670" s="166">
        <v>0</v>
      </c>
      <c r="BA670" s="166">
        <v>0</v>
      </c>
      <c r="BB670" s="166">
        <v>0</v>
      </c>
      <c r="BC670" s="166">
        <v>0</v>
      </c>
      <c r="BD670" s="166">
        <v>0</v>
      </c>
      <c r="BE670" s="166">
        <v>0</v>
      </c>
      <c r="BF670" s="166">
        <v>0</v>
      </c>
      <c r="BG670" s="166">
        <v>0</v>
      </c>
      <c r="BH670" s="166">
        <v>0</v>
      </c>
      <c r="BI670" s="166">
        <v>0</v>
      </c>
      <c r="BJ670" s="166">
        <v>0</v>
      </c>
      <c r="BK670" s="166">
        <v>0</v>
      </c>
      <c r="BL670" s="166">
        <v>0</v>
      </c>
      <c r="BM670" s="166">
        <v>0</v>
      </c>
      <c r="BN670" s="166">
        <v>0</v>
      </c>
      <c r="BO670" s="166">
        <v>0</v>
      </c>
      <c r="BP670" s="166">
        <v>0</v>
      </c>
      <c r="BQ670" s="81" t="s">
        <v>1757</v>
      </c>
      <c r="BZ670" s="81" t="s">
        <v>155</v>
      </c>
      <c r="CA670" s="81" t="s">
        <v>3981</v>
      </c>
      <c r="CC670" s="167">
        <v>0</v>
      </c>
      <c r="CD670" s="167">
        <f>$N670/2</f>
        <v>0.5</v>
      </c>
      <c r="CE670" s="167">
        <f>$N670/2</f>
        <v>0.5</v>
      </c>
      <c r="CF670" s="167">
        <v>0</v>
      </c>
      <c r="CG670" s="167">
        <v>0</v>
      </c>
      <c r="CH670" s="167">
        <v>0</v>
      </c>
      <c r="CI670" s="167">
        <v>0</v>
      </c>
      <c r="CJ670" s="167">
        <v>0</v>
      </c>
      <c r="CK670" s="167">
        <v>0</v>
      </c>
      <c r="CL670" s="167">
        <v>0</v>
      </c>
      <c r="CM670" s="167">
        <v>0</v>
      </c>
      <c r="CN670" s="167">
        <v>0</v>
      </c>
      <c r="CO670" s="167">
        <v>0</v>
      </c>
      <c r="CP670" s="167">
        <v>0</v>
      </c>
      <c r="CQ670" s="167">
        <v>0</v>
      </c>
      <c r="CR670" s="167">
        <v>0</v>
      </c>
      <c r="CS670" s="167">
        <v>0</v>
      </c>
      <c r="CT670" s="167">
        <v>0</v>
      </c>
      <c r="CU670" s="167">
        <v>0</v>
      </c>
      <c r="CV670" s="167">
        <v>0</v>
      </c>
      <c r="CW670" s="167">
        <v>0</v>
      </c>
      <c r="CX670" s="167">
        <f>SUM(CD670:CH670)</f>
        <v>1</v>
      </c>
      <c r="CY670" s="167">
        <f>SUM(CD670:CM670)</f>
        <v>1</v>
      </c>
    </row>
    <row r="671" spans="1:103" x14ac:dyDescent="0.2">
      <c r="A671" s="81">
        <v>6408</v>
      </c>
      <c r="B671" s="165" t="s">
        <v>1908</v>
      </c>
      <c r="C671" s="165" t="s">
        <v>1499</v>
      </c>
      <c r="E671" s="165" t="s">
        <v>3677</v>
      </c>
      <c r="G671" s="81">
        <v>523763</v>
      </c>
      <c r="H671" s="81">
        <v>175632</v>
      </c>
      <c r="I671" s="165" t="s">
        <v>259</v>
      </c>
      <c r="J671" s="349">
        <v>43190</v>
      </c>
      <c r="L671" s="166">
        <v>0</v>
      </c>
      <c r="M671" s="166">
        <v>1</v>
      </c>
      <c r="N671" s="166">
        <v>1</v>
      </c>
      <c r="O671" s="166">
        <v>1</v>
      </c>
      <c r="P671" s="166">
        <v>1</v>
      </c>
      <c r="R671" s="165" t="s">
        <v>1500</v>
      </c>
      <c r="S671" s="81" t="s">
        <v>113</v>
      </c>
      <c r="T671" s="349">
        <v>42712</v>
      </c>
      <c r="U671" s="349">
        <v>42768</v>
      </c>
      <c r="W671" s="81" t="s">
        <v>114</v>
      </c>
      <c r="Y671" s="81" t="s">
        <v>115</v>
      </c>
      <c r="Z671" s="81" t="s">
        <v>398</v>
      </c>
      <c r="AA671" s="81" t="s">
        <v>117</v>
      </c>
      <c r="AB671" s="81" t="s">
        <v>311</v>
      </c>
      <c r="AC671" s="166">
        <v>8.0000003799796104E-3</v>
      </c>
      <c r="AD671" s="349">
        <v>43190</v>
      </c>
      <c r="AE671" s="81" t="s">
        <v>155</v>
      </c>
      <c r="AG671" s="81" t="s">
        <v>238</v>
      </c>
      <c r="AH671" s="81" t="s">
        <v>118</v>
      </c>
      <c r="AK671" s="166">
        <v>0</v>
      </c>
      <c r="AM671" s="166">
        <v>0</v>
      </c>
      <c r="AO671" s="166">
        <v>0</v>
      </c>
      <c r="AP671" s="166">
        <v>0</v>
      </c>
      <c r="AQ671" s="166">
        <v>1</v>
      </c>
      <c r="AR671" s="166">
        <v>0</v>
      </c>
      <c r="AS671" s="166">
        <v>0</v>
      </c>
      <c r="AT671" s="166">
        <v>0</v>
      </c>
      <c r="AU671" s="166">
        <v>0</v>
      </c>
      <c r="AV671" s="166">
        <v>0</v>
      </c>
      <c r="AW671" s="166">
        <v>0</v>
      </c>
      <c r="AX671" s="166">
        <v>1</v>
      </c>
      <c r="AY671" s="166">
        <v>0</v>
      </c>
      <c r="AZ671" s="166">
        <v>0</v>
      </c>
      <c r="BA671" s="166">
        <v>0</v>
      </c>
      <c r="BB671" s="166">
        <v>0</v>
      </c>
      <c r="BC671" s="166">
        <v>0</v>
      </c>
      <c r="BD671" s="166">
        <v>0</v>
      </c>
      <c r="BE671" s="166">
        <v>0</v>
      </c>
      <c r="BF671" s="166">
        <v>0</v>
      </c>
      <c r="BG671" s="166">
        <v>0</v>
      </c>
      <c r="BH671" s="166">
        <v>0</v>
      </c>
      <c r="BI671" s="166">
        <v>0</v>
      </c>
      <c r="BJ671" s="166">
        <v>0</v>
      </c>
      <c r="BK671" s="166">
        <v>0</v>
      </c>
      <c r="BL671" s="166">
        <v>0</v>
      </c>
      <c r="BM671" s="166">
        <v>0</v>
      </c>
      <c r="BN671" s="166">
        <v>0</v>
      </c>
      <c r="BO671" s="166">
        <v>0</v>
      </c>
      <c r="BP671" s="166">
        <v>0</v>
      </c>
      <c r="BQ671" s="81" t="s">
        <v>1758</v>
      </c>
      <c r="BZ671" s="81" t="s">
        <v>155</v>
      </c>
      <c r="CA671" s="81" t="s">
        <v>3981</v>
      </c>
      <c r="CC671" s="167">
        <v>0</v>
      </c>
      <c r="CD671" s="167">
        <f>$N671/2</f>
        <v>0.5</v>
      </c>
      <c r="CE671" s="167">
        <f>$N671/2</f>
        <v>0.5</v>
      </c>
      <c r="CF671" s="167">
        <v>0</v>
      </c>
      <c r="CG671" s="167">
        <v>0</v>
      </c>
      <c r="CH671" s="167">
        <v>0</v>
      </c>
      <c r="CI671" s="167">
        <v>0</v>
      </c>
      <c r="CJ671" s="167">
        <v>0</v>
      </c>
      <c r="CK671" s="167">
        <v>0</v>
      </c>
      <c r="CL671" s="167">
        <v>0</v>
      </c>
      <c r="CM671" s="167">
        <v>0</v>
      </c>
      <c r="CN671" s="167">
        <v>0</v>
      </c>
      <c r="CO671" s="167">
        <v>0</v>
      </c>
      <c r="CP671" s="167">
        <v>0</v>
      </c>
      <c r="CQ671" s="167">
        <v>0</v>
      </c>
      <c r="CR671" s="167">
        <v>0</v>
      </c>
      <c r="CS671" s="167">
        <v>0</v>
      </c>
      <c r="CT671" s="167">
        <v>0</v>
      </c>
      <c r="CU671" s="167">
        <v>0</v>
      </c>
      <c r="CV671" s="167">
        <v>0</v>
      </c>
      <c r="CW671" s="167">
        <v>0</v>
      </c>
      <c r="CX671" s="167">
        <f>SUM(CD671:CH671)</f>
        <v>1</v>
      </c>
      <c r="CY671" s="167">
        <f>SUM(CD671:CM671)</f>
        <v>1</v>
      </c>
    </row>
    <row r="672" spans="1:103" ht="12.75" customHeight="1" x14ac:dyDescent="0.2">
      <c r="A672" s="81">
        <v>6412</v>
      </c>
      <c r="B672" s="165" t="s">
        <v>1908</v>
      </c>
      <c r="C672" s="165" t="s">
        <v>3678</v>
      </c>
      <c r="E672" s="165" t="s">
        <v>3679</v>
      </c>
      <c r="G672" s="81">
        <v>527972</v>
      </c>
      <c r="H672" s="81">
        <v>175255</v>
      </c>
      <c r="I672" s="165" t="s">
        <v>256</v>
      </c>
      <c r="J672" s="349">
        <v>42947</v>
      </c>
      <c r="L672" s="166">
        <v>1</v>
      </c>
      <c r="M672" s="166">
        <v>3</v>
      </c>
      <c r="N672" s="166">
        <v>2</v>
      </c>
      <c r="O672" s="166">
        <v>3</v>
      </c>
      <c r="P672" s="166">
        <v>2</v>
      </c>
      <c r="R672" s="165" t="s">
        <v>3680</v>
      </c>
      <c r="S672" s="81" t="s">
        <v>113</v>
      </c>
      <c r="T672" s="349">
        <v>42821</v>
      </c>
      <c r="U672" s="349">
        <v>42947</v>
      </c>
      <c r="V672" s="81" t="s">
        <v>155</v>
      </c>
      <c r="W672" s="81" t="s">
        <v>114</v>
      </c>
      <c r="Y672" s="81" t="s">
        <v>115</v>
      </c>
      <c r="Z672" s="81" t="s">
        <v>398</v>
      </c>
      <c r="AA672" s="81" t="s">
        <v>117</v>
      </c>
      <c r="AB672" s="81" t="s">
        <v>120</v>
      </c>
      <c r="AC672" s="166">
        <v>1.09999999403954E-2</v>
      </c>
      <c r="AD672" s="349">
        <v>42947</v>
      </c>
      <c r="AE672" s="81" t="s">
        <v>155</v>
      </c>
      <c r="AG672" s="81" t="s">
        <v>238</v>
      </c>
      <c r="AH672" s="81" t="s">
        <v>118</v>
      </c>
      <c r="AK672" s="166">
        <v>0</v>
      </c>
      <c r="AM672" s="166">
        <v>0</v>
      </c>
      <c r="AO672" s="166">
        <v>0</v>
      </c>
      <c r="AP672" s="166">
        <v>1</v>
      </c>
      <c r="AQ672" s="166">
        <v>1</v>
      </c>
      <c r="AR672" s="166">
        <v>1</v>
      </c>
      <c r="AS672" s="166">
        <v>0</v>
      </c>
      <c r="AT672" s="166">
        <v>-1</v>
      </c>
      <c r="AU672" s="166">
        <v>0</v>
      </c>
      <c r="AV672" s="166">
        <v>0</v>
      </c>
      <c r="AW672" s="166">
        <v>1</v>
      </c>
      <c r="AX672" s="166">
        <v>1</v>
      </c>
      <c r="AY672" s="166">
        <v>1</v>
      </c>
      <c r="AZ672" s="166">
        <v>0</v>
      </c>
      <c r="BA672" s="166">
        <v>0</v>
      </c>
      <c r="BB672" s="166">
        <v>0</v>
      </c>
      <c r="BC672" s="166">
        <v>0</v>
      </c>
      <c r="BD672" s="166">
        <v>0</v>
      </c>
      <c r="BE672" s="166">
        <v>0</v>
      </c>
      <c r="BF672" s="166">
        <v>0</v>
      </c>
      <c r="BG672" s="166">
        <v>0</v>
      </c>
      <c r="BH672" s="166">
        <v>-1</v>
      </c>
      <c r="BI672" s="166">
        <v>0</v>
      </c>
      <c r="BJ672" s="166">
        <v>0</v>
      </c>
      <c r="BK672" s="166">
        <v>0</v>
      </c>
      <c r="BL672" s="166">
        <v>0</v>
      </c>
      <c r="BM672" s="166">
        <v>0</v>
      </c>
      <c r="BN672" s="166">
        <v>0</v>
      </c>
      <c r="BO672" s="166">
        <v>0</v>
      </c>
      <c r="BP672" s="166">
        <v>0</v>
      </c>
      <c r="BQ672" s="81" t="s">
        <v>1757</v>
      </c>
      <c r="BZ672" s="81" t="s">
        <v>155</v>
      </c>
      <c r="CA672" s="81" t="s">
        <v>3980</v>
      </c>
      <c r="CC672" s="167">
        <v>0</v>
      </c>
      <c r="CD672" s="167">
        <f>N672</f>
        <v>2</v>
      </c>
      <c r="CE672" s="167">
        <v>0</v>
      </c>
      <c r="CF672" s="167">
        <v>0</v>
      </c>
      <c r="CG672" s="167">
        <v>0</v>
      </c>
      <c r="CH672" s="167">
        <v>0</v>
      </c>
      <c r="CI672" s="167">
        <v>0</v>
      </c>
      <c r="CJ672" s="167">
        <v>0</v>
      </c>
      <c r="CK672" s="167">
        <v>0</v>
      </c>
      <c r="CL672" s="167">
        <v>0</v>
      </c>
      <c r="CM672" s="167">
        <v>0</v>
      </c>
      <c r="CN672" s="167">
        <v>0</v>
      </c>
      <c r="CO672" s="167">
        <v>0</v>
      </c>
      <c r="CP672" s="167">
        <v>0</v>
      </c>
      <c r="CQ672" s="167">
        <v>0</v>
      </c>
      <c r="CR672" s="167">
        <v>0</v>
      </c>
      <c r="CS672" s="167">
        <v>0</v>
      </c>
      <c r="CT672" s="167">
        <v>0</v>
      </c>
      <c r="CU672" s="167">
        <v>0</v>
      </c>
      <c r="CV672" s="167">
        <v>0</v>
      </c>
      <c r="CW672" s="167">
        <v>0</v>
      </c>
      <c r="CX672" s="167">
        <f>SUM(CD672:CH672)</f>
        <v>2</v>
      </c>
      <c r="CY672" s="167">
        <f>SUM(CD672:CM672)</f>
        <v>2</v>
      </c>
    </row>
    <row r="673" spans="1:103" ht="12.75" customHeight="1" x14ac:dyDescent="0.2">
      <c r="A673" s="81">
        <v>6425</v>
      </c>
      <c r="B673" s="165" t="s">
        <v>1908</v>
      </c>
      <c r="C673" s="165" t="s">
        <v>1534</v>
      </c>
      <c r="E673" s="165" t="s">
        <v>3681</v>
      </c>
      <c r="G673" s="81">
        <v>528377</v>
      </c>
      <c r="H673" s="81">
        <v>172130</v>
      </c>
      <c r="I673" s="165" t="s">
        <v>248</v>
      </c>
      <c r="J673" s="349">
        <v>43190</v>
      </c>
      <c r="L673" s="166">
        <v>1</v>
      </c>
      <c r="M673" s="166">
        <v>3</v>
      </c>
      <c r="N673" s="166">
        <v>2</v>
      </c>
      <c r="O673" s="166">
        <v>3</v>
      </c>
      <c r="P673" s="166">
        <v>2</v>
      </c>
      <c r="R673" s="165" t="s">
        <v>1535</v>
      </c>
      <c r="S673" s="81" t="s">
        <v>113</v>
      </c>
      <c r="T673" s="349">
        <v>42765</v>
      </c>
      <c r="U673" s="349">
        <v>42821</v>
      </c>
      <c r="W673" s="81" t="s">
        <v>114</v>
      </c>
      <c r="Y673" s="81" t="s">
        <v>115</v>
      </c>
      <c r="Z673" s="81" t="s">
        <v>398</v>
      </c>
      <c r="AA673" s="81" t="s">
        <v>117</v>
      </c>
      <c r="AB673" s="81" t="s">
        <v>120</v>
      </c>
      <c r="AC673" s="166">
        <v>1.7000000923872001E-2</v>
      </c>
      <c r="AD673" s="349">
        <v>43190</v>
      </c>
      <c r="AE673" s="81" t="s">
        <v>155</v>
      </c>
      <c r="AG673" s="81" t="s">
        <v>238</v>
      </c>
      <c r="AH673" s="81" t="s">
        <v>118</v>
      </c>
      <c r="AK673" s="166">
        <v>0</v>
      </c>
      <c r="AM673" s="166">
        <v>0</v>
      </c>
      <c r="AO673" s="166">
        <v>0</v>
      </c>
      <c r="AP673" s="166">
        <v>1</v>
      </c>
      <c r="AQ673" s="166">
        <v>1</v>
      </c>
      <c r="AR673" s="166">
        <v>1</v>
      </c>
      <c r="AS673" s="166">
        <v>-1</v>
      </c>
      <c r="AT673" s="166">
        <v>0</v>
      </c>
      <c r="AU673" s="166">
        <v>0</v>
      </c>
      <c r="AV673" s="166">
        <v>0</v>
      </c>
      <c r="AW673" s="166">
        <v>1</v>
      </c>
      <c r="AX673" s="166">
        <v>1</v>
      </c>
      <c r="AY673" s="166">
        <v>1</v>
      </c>
      <c r="AZ673" s="166">
        <v>0</v>
      </c>
      <c r="BA673" s="166">
        <v>0</v>
      </c>
      <c r="BB673" s="166">
        <v>0</v>
      </c>
      <c r="BC673" s="166">
        <v>0</v>
      </c>
      <c r="BD673" s="166">
        <v>0</v>
      </c>
      <c r="BE673" s="166">
        <v>0</v>
      </c>
      <c r="BF673" s="166">
        <v>0</v>
      </c>
      <c r="BG673" s="166">
        <v>-1</v>
      </c>
      <c r="BH673" s="166">
        <v>0</v>
      </c>
      <c r="BI673" s="166">
        <v>0</v>
      </c>
      <c r="BJ673" s="166">
        <v>0</v>
      </c>
      <c r="BK673" s="166">
        <v>0</v>
      </c>
      <c r="BL673" s="166">
        <v>0</v>
      </c>
      <c r="BM673" s="166">
        <v>0</v>
      </c>
      <c r="BN673" s="166">
        <v>0</v>
      </c>
      <c r="BO673" s="166">
        <v>0</v>
      </c>
      <c r="BP673" s="166">
        <v>0</v>
      </c>
      <c r="BQ673" s="81" t="s">
        <v>1757</v>
      </c>
      <c r="BZ673" s="81" t="s">
        <v>155</v>
      </c>
      <c r="CA673" s="81" t="s">
        <v>3981</v>
      </c>
      <c r="CC673" s="167">
        <v>0</v>
      </c>
      <c r="CD673" s="167">
        <f>$N673/2</f>
        <v>1</v>
      </c>
      <c r="CE673" s="167">
        <f>$N673/2</f>
        <v>1</v>
      </c>
      <c r="CF673" s="167">
        <v>0</v>
      </c>
      <c r="CG673" s="167">
        <v>0</v>
      </c>
      <c r="CH673" s="167">
        <v>0</v>
      </c>
      <c r="CI673" s="167">
        <v>0</v>
      </c>
      <c r="CJ673" s="167">
        <v>0</v>
      </c>
      <c r="CK673" s="167">
        <v>0</v>
      </c>
      <c r="CL673" s="167">
        <v>0</v>
      </c>
      <c r="CM673" s="167">
        <v>0</v>
      </c>
      <c r="CN673" s="167">
        <v>0</v>
      </c>
      <c r="CO673" s="167">
        <v>0</v>
      </c>
      <c r="CP673" s="167">
        <v>0</v>
      </c>
      <c r="CQ673" s="167">
        <v>0</v>
      </c>
      <c r="CR673" s="167">
        <v>0</v>
      </c>
      <c r="CS673" s="167">
        <v>0</v>
      </c>
      <c r="CT673" s="167">
        <v>0</v>
      </c>
      <c r="CU673" s="167">
        <v>0</v>
      </c>
      <c r="CV673" s="167">
        <v>0</v>
      </c>
      <c r="CW673" s="167">
        <v>0</v>
      </c>
      <c r="CX673" s="167">
        <f>SUM(CD673:CH673)</f>
        <v>2</v>
      </c>
      <c r="CY673" s="167">
        <f>SUM(CD673:CM673)</f>
        <v>2</v>
      </c>
    </row>
    <row r="674" spans="1:103" ht="12.75" customHeight="1" x14ac:dyDescent="0.2">
      <c r="A674" s="81">
        <v>6431</v>
      </c>
      <c r="B674" s="165" t="s">
        <v>1908</v>
      </c>
      <c r="C674" s="165" t="s">
        <v>1070</v>
      </c>
      <c r="E674" s="165" t="s">
        <v>3666</v>
      </c>
      <c r="G674" s="81">
        <v>524445</v>
      </c>
      <c r="H674" s="81">
        <v>174363</v>
      </c>
      <c r="I674" s="165" t="s">
        <v>250</v>
      </c>
      <c r="J674" s="349">
        <v>42825</v>
      </c>
      <c r="L674" s="166">
        <v>1</v>
      </c>
      <c r="M674" s="166">
        <v>9</v>
      </c>
      <c r="N674" s="166">
        <v>8</v>
      </c>
      <c r="O674" s="166">
        <v>9</v>
      </c>
      <c r="P674" s="166">
        <v>8</v>
      </c>
      <c r="R674" s="165" t="s">
        <v>1071</v>
      </c>
      <c r="S674" s="81" t="s">
        <v>113</v>
      </c>
      <c r="T674" s="349">
        <v>42663</v>
      </c>
      <c r="U674" s="349">
        <v>42818</v>
      </c>
      <c r="W674" s="81" t="s">
        <v>114</v>
      </c>
      <c r="Y674" s="81" t="s">
        <v>115</v>
      </c>
      <c r="Z674" s="81" t="s">
        <v>116</v>
      </c>
      <c r="AA674" s="81" t="s">
        <v>117</v>
      </c>
      <c r="AB674" s="81" t="s">
        <v>218</v>
      </c>
      <c r="AC674" s="166">
        <v>7.8000001609325395E-2</v>
      </c>
      <c r="AD674" s="349">
        <v>42825</v>
      </c>
      <c r="AG674" s="81" t="s">
        <v>238</v>
      </c>
      <c r="AH674" s="81" t="s">
        <v>118</v>
      </c>
      <c r="AK674" s="166">
        <v>0</v>
      </c>
      <c r="AM674" s="166">
        <v>0</v>
      </c>
      <c r="AO674" s="166">
        <v>0</v>
      </c>
      <c r="AP674" s="166">
        <v>1</v>
      </c>
      <c r="AQ674" s="166">
        <v>4</v>
      </c>
      <c r="AR674" s="166">
        <v>4</v>
      </c>
      <c r="AS674" s="166">
        <v>-1</v>
      </c>
      <c r="AT674" s="166">
        <v>0</v>
      </c>
      <c r="AU674" s="166">
        <v>0</v>
      </c>
      <c r="AV674" s="166">
        <v>0</v>
      </c>
      <c r="AW674" s="166">
        <v>1</v>
      </c>
      <c r="AX674" s="166">
        <v>4</v>
      </c>
      <c r="AY674" s="166">
        <v>4</v>
      </c>
      <c r="AZ674" s="166">
        <v>0</v>
      </c>
      <c r="BA674" s="166">
        <v>0</v>
      </c>
      <c r="BB674" s="166">
        <v>0</v>
      </c>
      <c r="BC674" s="166">
        <v>0</v>
      </c>
      <c r="BD674" s="166">
        <v>0</v>
      </c>
      <c r="BE674" s="166">
        <v>0</v>
      </c>
      <c r="BF674" s="166">
        <v>0</v>
      </c>
      <c r="BG674" s="166">
        <v>-1</v>
      </c>
      <c r="BH674" s="166">
        <v>0</v>
      </c>
      <c r="BI674" s="166">
        <v>0</v>
      </c>
      <c r="BJ674" s="166">
        <v>0</v>
      </c>
      <c r="BK674" s="166">
        <v>0</v>
      </c>
      <c r="BL674" s="166">
        <v>0</v>
      </c>
      <c r="BM674" s="166">
        <v>0</v>
      </c>
      <c r="BN674" s="166">
        <v>0</v>
      </c>
      <c r="BO674" s="166">
        <v>0</v>
      </c>
      <c r="BP674" s="166">
        <v>0</v>
      </c>
      <c r="BQ674" s="81" t="s">
        <v>1758</v>
      </c>
      <c r="BZ674" s="81" t="s">
        <v>155</v>
      </c>
      <c r="CA674" s="81" t="s">
        <v>3976</v>
      </c>
      <c r="CC674" s="167">
        <v>0</v>
      </c>
      <c r="CD674" s="167">
        <f>N674</f>
        <v>8</v>
      </c>
      <c r="CE674" s="167">
        <v>0</v>
      </c>
      <c r="CF674" s="167">
        <v>0</v>
      </c>
      <c r="CG674" s="167">
        <v>0</v>
      </c>
      <c r="CH674" s="167">
        <v>0</v>
      </c>
      <c r="CI674" s="167">
        <v>0</v>
      </c>
      <c r="CJ674" s="167">
        <v>0</v>
      </c>
      <c r="CK674" s="167">
        <v>0</v>
      </c>
      <c r="CL674" s="167">
        <v>0</v>
      </c>
      <c r="CM674" s="167">
        <v>0</v>
      </c>
      <c r="CN674" s="167">
        <v>0</v>
      </c>
      <c r="CO674" s="167">
        <v>0</v>
      </c>
      <c r="CP674" s="167">
        <v>0</v>
      </c>
      <c r="CQ674" s="167">
        <v>0</v>
      </c>
      <c r="CR674" s="167">
        <v>0</v>
      </c>
      <c r="CS674" s="167">
        <v>0</v>
      </c>
      <c r="CT674" s="167">
        <v>0</v>
      </c>
      <c r="CU674" s="167">
        <v>0</v>
      </c>
      <c r="CV674" s="167">
        <v>0</v>
      </c>
      <c r="CW674" s="167">
        <v>0</v>
      </c>
      <c r="CX674" s="167">
        <f>SUM(CD674:CH674)</f>
        <v>8</v>
      </c>
      <c r="CY674" s="167">
        <f>SUM(CD674:CM674)</f>
        <v>8</v>
      </c>
    </row>
    <row r="675" spans="1:103" x14ac:dyDescent="0.2">
      <c r="A675" s="81">
        <v>6432</v>
      </c>
      <c r="B675" s="165" t="s">
        <v>1908</v>
      </c>
      <c r="C675" s="165" t="s">
        <v>1489</v>
      </c>
      <c r="E675" s="165" t="s">
        <v>3669</v>
      </c>
      <c r="G675" s="81">
        <v>527816</v>
      </c>
      <c r="H675" s="81">
        <v>171144</v>
      </c>
      <c r="I675" s="165" t="s">
        <v>253</v>
      </c>
      <c r="J675" s="349">
        <v>42825</v>
      </c>
      <c r="L675" s="166">
        <v>0</v>
      </c>
      <c r="M675" s="166">
        <v>5</v>
      </c>
      <c r="N675" s="166">
        <v>5</v>
      </c>
      <c r="O675" s="166">
        <v>5</v>
      </c>
      <c r="P675" s="166">
        <v>5</v>
      </c>
      <c r="R675" s="165" t="s">
        <v>1490</v>
      </c>
      <c r="S675" s="81" t="s">
        <v>113</v>
      </c>
      <c r="T675" s="349">
        <v>42699</v>
      </c>
      <c r="U675" s="349">
        <v>42825</v>
      </c>
      <c r="W675" s="81" t="s">
        <v>114</v>
      </c>
      <c r="Y675" s="81" t="s">
        <v>115</v>
      </c>
      <c r="Z675" s="81" t="s">
        <v>116</v>
      </c>
      <c r="AA675" s="81" t="s">
        <v>117</v>
      </c>
      <c r="AB675" s="81" t="s">
        <v>218</v>
      </c>
      <c r="AC675" s="166">
        <v>2.70000007003546E-2</v>
      </c>
      <c r="AD675" s="349">
        <v>42826</v>
      </c>
      <c r="AE675" s="81" t="s">
        <v>155</v>
      </c>
      <c r="AG675" s="81" t="s">
        <v>238</v>
      </c>
      <c r="AH675" s="81" t="s">
        <v>118</v>
      </c>
      <c r="AK675" s="166">
        <v>0</v>
      </c>
      <c r="AM675" s="166">
        <v>5</v>
      </c>
      <c r="AO675" s="166">
        <v>0</v>
      </c>
      <c r="AP675" s="166">
        <v>5</v>
      </c>
      <c r="AQ675" s="166">
        <v>0</v>
      </c>
      <c r="AR675" s="166">
        <v>0</v>
      </c>
      <c r="AS675" s="166">
        <v>0</v>
      </c>
      <c r="AT675" s="166">
        <v>0</v>
      </c>
      <c r="AU675" s="166">
        <v>0</v>
      </c>
      <c r="AV675" s="166">
        <v>0</v>
      </c>
      <c r="AW675" s="166">
        <v>0</v>
      </c>
      <c r="AX675" s="166">
        <v>0</v>
      </c>
      <c r="AY675" s="166">
        <v>0</v>
      </c>
      <c r="AZ675" s="166">
        <v>0</v>
      </c>
      <c r="BA675" s="166">
        <v>0</v>
      </c>
      <c r="BB675" s="166">
        <v>0</v>
      </c>
      <c r="BC675" s="166">
        <v>0</v>
      </c>
      <c r="BD675" s="166">
        <v>5</v>
      </c>
      <c r="BE675" s="166">
        <v>0</v>
      </c>
      <c r="BF675" s="166">
        <v>0</v>
      </c>
      <c r="BG675" s="166">
        <v>0</v>
      </c>
      <c r="BH675" s="166">
        <v>0</v>
      </c>
      <c r="BI675" s="166">
        <v>0</v>
      </c>
      <c r="BJ675" s="166">
        <v>0</v>
      </c>
      <c r="BK675" s="166">
        <v>0</v>
      </c>
      <c r="BL675" s="166">
        <v>0</v>
      </c>
      <c r="BM675" s="166">
        <v>0</v>
      </c>
      <c r="BN675" s="166">
        <v>0</v>
      </c>
      <c r="BO675" s="166">
        <v>0</v>
      </c>
      <c r="BP675" s="166">
        <v>0</v>
      </c>
      <c r="BQ675" s="81" t="s">
        <v>1757</v>
      </c>
      <c r="BZ675" s="81" t="s">
        <v>155</v>
      </c>
      <c r="CA675" s="81" t="s">
        <v>3976</v>
      </c>
      <c r="CC675" s="167">
        <v>0</v>
      </c>
      <c r="CD675" s="167">
        <f>N675</f>
        <v>5</v>
      </c>
      <c r="CE675" s="167">
        <v>0</v>
      </c>
      <c r="CF675" s="167">
        <v>0</v>
      </c>
      <c r="CG675" s="167">
        <v>0</v>
      </c>
      <c r="CH675" s="167">
        <v>0</v>
      </c>
      <c r="CI675" s="167">
        <v>0</v>
      </c>
      <c r="CJ675" s="167">
        <v>0</v>
      </c>
      <c r="CK675" s="167">
        <v>0</v>
      </c>
      <c r="CL675" s="167">
        <v>0</v>
      </c>
      <c r="CM675" s="167">
        <v>0</v>
      </c>
      <c r="CN675" s="167">
        <v>0</v>
      </c>
      <c r="CO675" s="167">
        <v>0</v>
      </c>
      <c r="CP675" s="167">
        <v>0</v>
      </c>
      <c r="CQ675" s="167">
        <v>0</v>
      </c>
      <c r="CR675" s="167">
        <v>0</v>
      </c>
      <c r="CS675" s="167">
        <v>0</v>
      </c>
      <c r="CT675" s="167">
        <v>0</v>
      </c>
      <c r="CU675" s="167">
        <v>0</v>
      </c>
      <c r="CV675" s="167">
        <v>0</v>
      </c>
      <c r="CW675" s="167">
        <v>0</v>
      </c>
      <c r="CX675" s="167">
        <f>SUM(CD675:CH675)</f>
        <v>5</v>
      </c>
      <c r="CY675" s="167">
        <f>SUM(CD675:CM675)</f>
        <v>5</v>
      </c>
    </row>
    <row r="676" spans="1:103" ht="12.75" customHeight="1" x14ac:dyDescent="0.2">
      <c r="A676" s="81">
        <v>6433</v>
      </c>
      <c r="B676" s="165" t="s">
        <v>1908</v>
      </c>
      <c r="C676" s="165" t="s">
        <v>1511</v>
      </c>
      <c r="E676" s="165" t="s">
        <v>3682</v>
      </c>
      <c r="G676" s="81">
        <v>522309</v>
      </c>
      <c r="H676" s="81">
        <v>173207</v>
      </c>
      <c r="I676" s="165" t="s">
        <v>877</v>
      </c>
      <c r="J676" s="349">
        <v>43190</v>
      </c>
      <c r="L676" s="166">
        <v>1</v>
      </c>
      <c r="M676" s="166">
        <v>6</v>
      </c>
      <c r="N676" s="166">
        <v>5</v>
      </c>
      <c r="O676" s="166">
        <v>6</v>
      </c>
      <c r="P676" s="166">
        <v>5</v>
      </c>
      <c r="R676" s="165" t="s">
        <v>1512</v>
      </c>
      <c r="S676" s="81" t="s">
        <v>113</v>
      </c>
      <c r="T676" s="349">
        <v>42741</v>
      </c>
      <c r="U676" s="349">
        <v>42818</v>
      </c>
      <c r="W676" s="81" t="s">
        <v>114</v>
      </c>
      <c r="Y676" s="81" t="s">
        <v>115</v>
      </c>
      <c r="Z676" s="81" t="s">
        <v>116</v>
      </c>
      <c r="AA676" s="81" t="s">
        <v>117</v>
      </c>
      <c r="AB676" s="81" t="s">
        <v>218</v>
      </c>
      <c r="AC676" s="166">
        <v>3.20000015199184E-2</v>
      </c>
      <c r="AD676" s="349">
        <v>43190</v>
      </c>
      <c r="AE676" s="81" t="s">
        <v>155</v>
      </c>
      <c r="AG676" s="81" t="s">
        <v>238</v>
      </c>
      <c r="AH676" s="81" t="s">
        <v>118</v>
      </c>
      <c r="AK676" s="166">
        <v>0</v>
      </c>
      <c r="AM676" s="166">
        <v>0</v>
      </c>
      <c r="AO676" s="166">
        <v>0</v>
      </c>
      <c r="AP676" s="166">
        <v>3</v>
      </c>
      <c r="AQ676" s="166">
        <v>3</v>
      </c>
      <c r="AR676" s="166">
        <v>0</v>
      </c>
      <c r="AS676" s="166">
        <v>0</v>
      </c>
      <c r="AT676" s="166">
        <v>0</v>
      </c>
      <c r="AU676" s="166">
        <v>-1</v>
      </c>
      <c r="AV676" s="166">
        <v>0</v>
      </c>
      <c r="AW676" s="166">
        <v>3</v>
      </c>
      <c r="AX676" s="166">
        <v>3</v>
      </c>
      <c r="AY676" s="166">
        <v>0</v>
      </c>
      <c r="AZ676" s="166">
        <v>0</v>
      </c>
      <c r="BA676" s="166">
        <v>0</v>
      </c>
      <c r="BB676" s="166">
        <v>0</v>
      </c>
      <c r="BC676" s="166">
        <v>0</v>
      </c>
      <c r="BD676" s="166">
        <v>0</v>
      </c>
      <c r="BE676" s="166">
        <v>0</v>
      </c>
      <c r="BF676" s="166">
        <v>0</v>
      </c>
      <c r="BG676" s="166">
        <v>0</v>
      </c>
      <c r="BH676" s="166">
        <v>0</v>
      </c>
      <c r="BI676" s="166">
        <v>-1</v>
      </c>
      <c r="BJ676" s="166">
        <v>0</v>
      </c>
      <c r="BK676" s="166">
        <v>0</v>
      </c>
      <c r="BL676" s="166">
        <v>0</v>
      </c>
      <c r="BM676" s="166">
        <v>0</v>
      </c>
      <c r="BN676" s="166">
        <v>0</v>
      </c>
      <c r="BO676" s="166">
        <v>0</v>
      </c>
      <c r="BP676" s="166">
        <v>0</v>
      </c>
      <c r="BQ676" s="81" t="s">
        <v>1758</v>
      </c>
      <c r="BZ676" s="81" t="s">
        <v>155</v>
      </c>
      <c r="CA676" s="81" t="s">
        <v>3977</v>
      </c>
      <c r="CC676" s="167">
        <v>0</v>
      </c>
      <c r="CD676" s="167">
        <f>$N676/2</f>
        <v>2.5</v>
      </c>
      <c r="CE676" s="167">
        <f>$N676/2</f>
        <v>2.5</v>
      </c>
      <c r="CF676" s="167">
        <v>0</v>
      </c>
      <c r="CG676" s="167">
        <v>0</v>
      </c>
      <c r="CH676" s="167">
        <v>0</v>
      </c>
      <c r="CI676" s="167">
        <v>0</v>
      </c>
      <c r="CJ676" s="167">
        <v>0</v>
      </c>
      <c r="CK676" s="167">
        <v>0</v>
      </c>
      <c r="CL676" s="167">
        <v>0</v>
      </c>
      <c r="CM676" s="167">
        <v>0</v>
      </c>
      <c r="CN676" s="167">
        <v>0</v>
      </c>
      <c r="CO676" s="167">
        <v>0</v>
      </c>
      <c r="CP676" s="167">
        <v>0</v>
      </c>
      <c r="CQ676" s="167">
        <v>0</v>
      </c>
      <c r="CR676" s="167">
        <v>0</v>
      </c>
      <c r="CS676" s="167">
        <v>0</v>
      </c>
      <c r="CT676" s="167">
        <v>0</v>
      </c>
      <c r="CU676" s="167">
        <v>0</v>
      </c>
      <c r="CV676" s="167">
        <v>0</v>
      </c>
      <c r="CW676" s="167">
        <v>0</v>
      </c>
      <c r="CX676" s="167">
        <f>SUM(CD676:CH676)</f>
        <v>5</v>
      </c>
      <c r="CY676" s="167">
        <f>SUM(CD676:CM676)</f>
        <v>5</v>
      </c>
    </row>
    <row r="677" spans="1:103" x14ac:dyDescent="0.2">
      <c r="A677" s="81">
        <v>6485</v>
      </c>
      <c r="B677" s="165" t="s">
        <v>1908</v>
      </c>
      <c r="C677" s="165" t="s">
        <v>1657</v>
      </c>
      <c r="E677" s="165" t="s">
        <v>3685</v>
      </c>
      <c r="G677" s="81">
        <v>525849</v>
      </c>
      <c r="H677" s="81">
        <v>173219</v>
      </c>
      <c r="I677" s="165" t="s">
        <v>249</v>
      </c>
      <c r="J677" s="349">
        <v>43190</v>
      </c>
      <c r="L677" s="166">
        <v>2</v>
      </c>
      <c r="M677" s="166">
        <v>3</v>
      </c>
      <c r="N677" s="166">
        <v>1</v>
      </c>
      <c r="O677" s="166">
        <v>3</v>
      </c>
      <c r="P677" s="166">
        <v>1</v>
      </c>
      <c r="R677" s="165" t="s">
        <v>1658</v>
      </c>
      <c r="S677" s="81" t="s">
        <v>113</v>
      </c>
      <c r="T677" s="349">
        <v>42790</v>
      </c>
      <c r="U677" s="349">
        <v>42846</v>
      </c>
      <c r="V677" s="81" t="s">
        <v>155</v>
      </c>
      <c r="W677" s="81" t="s">
        <v>114</v>
      </c>
      <c r="Y677" s="81" t="s">
        <v>115</v>
      </c>
      <c r="Z677" s="81" t="s">
        <v>398</v>
      </c>
      <c r="AA677" s="81" t="s">
        <v>117</v>
      </c>
      <c r="AB677" s="81" t="s">
        <v>220</v>
      </c>
      <c r="AC677" s="166">
        <v>8.9999996125698107E-3</v>
      </c>
      <c r="AD677" s="350">
        <v>43190</v>
      </c>
      <c r="AG677" s="81" t="s">
        <v>238</v>
      </c>
      <c r="AH677" s="81" t="s">
        <v>118</v>
      </c>
      <c r="AK677" s="166">
        <v>0</v>
      </c>
      <c r="AM677" s="166">
        <v>0</v>
      </c>
      <c r="AO677" s="166">
        <v>1</v>
      </c>
      <c r="AP677" s="166">
        <v>0</v>
      </c>
      <c r="AQ677" s="166">
        <v>1</v>
      </c>
      <c r="AR677" s="166">
        <v>-1</v>
      </c>
      <c r="AS677" s="166">
        <v>0</v>
      </c>
      <c r="AT677" s="166">
        <v>0</v>
      </c>
      <c r="AU677" s="166">
        <v>0</v>
      </c>
      <c r="AV677" s="166">
        <v>1</v>
      </c>
      <c r="AW677" s="166">
        <v>0</v>
      </c>
      <c r="AX677" s="166">
        <v>1</v>
      </c>
      <c r="AY677" s="166">
        <v>-1</v>
      </c>
      <c r="AZ677" s="166">
        <v>0</v>
      </c>
      <c r="BA677" s="166">
        <v>0</v>
      </c>
      <c r="BB677" s="166">
        <v>0</v>
      </c>
      <c r="BC677" s="166">
        <v>0</v>
      </c>
      <c r="BD677" s="166">
        <v>0</v>
      </c>
      <c r="BE677" s="166">
        <v>0</v>
      </c>
      <c r="BF677" s="166">
        <v>0</v>
      </c>
      <c r="BG677" s="166">
        <v>0</v>
      </c>
      <c r="BH677" s="166">
        <v>0</v>
      </c>
      <c r="BI677" s="166">
        <v>0</v>
      </c>
      <c r="BJ677" s="166">
        <v>0</v>
      </c>
      <c r="BK677" s="166">
        <v>0</v>
      </c>
      <c r="BL677" s="166">
        <v>0</v>
      </c>
      <c r="BM677" s="166">
        <v>0</v>
      </c>
      <c r="BN677" s="166">
        <v>0</v>
      </c>
      <c r="BO677" s="166">
        <v>0</v>
      </c>
      <c r="BP677" s="166">
        <v>0</v>
      </c>
      <c r="BQ677" s="81" t="s">
        <v>1758</v>
      </c>
      <c r="BY677" s="81" t="s">
        <v>155</v>
      </c>
      <c r="BZ677" s="81" t="s">
        <v>155</v>
      </c>
      <c r="CA677" s="81" t="s">
        <v>3981</v>
      </c>
      <c r="CC677" s="167">
        <v>0</v>
      </c>
      <c r="CD677" s="167">
        <f>$N677/2</f>
        <v>0.5</v>
      </c>
      <c r="CE677" s="167">
        <f>$N677/2</f>
        <v>0.5</v>
      </c>
      <c r="CF677" s="167">
        <v>0</v>
      </c>
      <c r="CG677" s="167">
        <v>0</v>
      </c>
      <c r="CH677" s="167">
        <v>0</v>
      </c>
      <c r="CI677" s="167">
        <v>0</v>
      </c>
      <c r="CJ677" s="167">
        <v>0</v>
      </c>
      <c r="CK677" s="167">
        <v>0</v>
      </c>
      <c r="CL677" s="167">
        <v>0</v>
      </c>
      <c r="CM677" s="167">
        <v>0</v>
      </c>
      <c r="CN677" s="167">
        <v>0</v>
      </c>
      <c r="CO677" s="167">
        <v>0</v>
      </c>
      <c r="CP677" s="167">
        <v>0</v>
      </c>
      <c r="CQ677" s="167">
        <v>0</v>
      </c>
      <c r="CR677" s="167">
        <v>0</v>
      </c>
      <c r="CS677" s="167">
        <v>0</v>
      </c>
      <c r="CT677" s="167">
        <v>0</v>
      </c>
      <c r="CU677" s="167">
        <v>0</v>
      </c>
      <c r="CV677" s="167">
        <v>0</v>
      </c>
      <c r="CW677" s="167">
        <v>0</v>
      </c>
      <c r="CX677" s="167">
        <f>SUM(CD677:CH677)</f>
        <v>1</v>
      </c>
      <c r="CY677" s="167">
        <f>SUM(CD677:CM677)</f>
        <v>1</v>
      </c>
    </row>
    <row r="678" spans="1:103" ht="12.75" customHeight="1" x14ac:dyDescent="0.2">
      <c r="A678" s="81">
        <v>6486</v>
      </c>
      <c r="B678" s="165" t="s">
        <v>1908</v>
      </c>
      <c r="C678" s="165" t="s">
        <v>1640</v>
      </c>
      <c r="E678" s="165" t="s">
        <v>3686</v>
      </c>
      <c r="G678" s="81">
        <v>528829</v>
      </c>
      <c r="H678" s="81">
        <v>176973</v>
      </c>
      <c r="I678" s="165" t="s">
        <v>240</v>
      </c>
      <c r="J678" s="349">
        <v>42859</v>
      </c>
      <c r="L678" s="166">
        <v>0</v>
      </c>
      <c r="M678" s="166">
        <v>3</v>
      </c>
      <c r="N678" s="166">
        <v>3</v>
      </c>
      <c r="O678" s="166">
        <v>3</v>
      </c>
      <c r="P678" s="166">
        <v>3</v>
      </c>
      <c r="R678" s="165" t="s">
        <v>1641</v>
      </c>
      <c r="S678" s="81" t="s">
        <v>110</v>
      </c>
      <c r="T678" s="349">
        <v>42797</v>
      </c>
      <c r="U678" s="349">
        <v>42859</v>
      </c>
      <c r="V678" s="81" t="s">
        <v>155</v>
      </c>
      <c r="W678" s="81" t="s">
        <v>114</v>
      </c>
      <c r="Y678" s="81" t="s">
        <v>115</v>
      </c>
      <c r="Z678" s="81" t="s">
        <v>310</v>
      </c>
      <c r="AA678" s="81" t="s">
        <v>117</v>
      </c>
      <c r="AB678" s="81" t="s">
        <v>399</v>
      </c>
      <c r="AC678" s="166">
        <v>4.0000001899898104E-3</v>
      </c>
      <c r="AD678" s="349">
        <v>42859</v>
      </c>
      <c r="AE678" s="81" t="s">
        <v>155</v>
      </c>
      <c r="AG678" s="81" t="s">
        <v>238</v>
      </c>
      <c r="AH678" s="81" t="s">
        <v>118</v>
      </c>
      <c r="AK678" s="166">
        <v>0</v>
      </c>
      <c r="AM678" s="166">
        <v>0</v>
      </c>
      <c r="AO678" s="166">
        <v>0</v>
      </c>
      <c r="AP678" s="166">
        <v>1</v>
      </c>
      <c r="AQ678" s="166">
        <v>2</v>
      </c>
      <c r="AR678" s="166">
        <v>0</v>
      </c>
      <c r="AS678" s="166">
        <v>0</v>
      </c>
      <c r="AT678" s="166">
        <v>0</v>
      </c>
      <c r="AU678" s="166">
        <v>0</v>
      </c>
      <c r="AV678" s="166">
        <v>0</v>
      </c>
      <c r="AW678" s="166">
        <v>1</v>
      </c>
      <c r="AX678" s="166">
        <v>2</v>
      </c>
      <c r="AY678" s="166">
        <v>0</v>
      </c>
      <c r="AZ678" s="166">
        <v>0</v>
      </c>
      <c r="BA678" s="166">
        <v>0</v>
      </c>
      <c r="BB678" s="166">
        <v>0</v>
      </c>
      <c r="BC678" s="166">
        <v>0</v>
      </c>
      <c r="BD678" s="166">
        <v>0</v>
      </c>
      <c r="BE678" s="166">
        <v>0</v>
      </c>
      <c r="BF678" s="166">
        <v>0</v>
      </c>
      <c r="BG678" s="166">
        <v>0</v>
      </c>
      <c r="BH678" s="166">
        <v>0</v>
      </c>
      <c r="BI678" s="166">
        <v>0</v>
      </c>
      <c r="BJ678" s="166">
        <v>0</v>
      </c>
      <c r="BK678" s="166">
        <v>0</v>
      </c>
      <c r="BL678" s="166">
        <v>0</v>
      </c>
      <c r="BM678" s="166">
        <v>0</v>
      </c>
      <c r="BN678" s="166">
        <v>0</v>
      </c>
      <c r="BO678" s="166">
        <v>0</v>
      </c>
      <c r="BP678" s="166">
        <v>0</v>
      </c>
      <c r="BQ678" s="81" t="s">
        <v>1759</v>
      </c>
      <c r="BS678" s="81" t="s">
        <v>155</v>
      </c>
      <c r="BZ678" s="81" t="s">
        <v>155</v>
      </c>
      <c r="CA678" s="81" t="s">
        <v>3980</v>
      </c>
      <c r="CC678" s="167">
        <v>0</v>
      </c>
      <c r="CD678" s="167">
        <f>N678</f>
        <v>3</v>
      </c>
      <c r="CE678" s="167">
        <v>0</v>
      </c>
      <c r="CF678" s="167">
        <v>0</v>
      </c>
      <c r="CG678" s="167">
        <v>0</v>
      </c>
      <c r="CH678" s="167">
        <v>0</v>
      </c>
      <c r="CI678" s="167">
        <v>0</v>
      </c>
      <c r="CJ678" s="167">
        <v>0</v>
      </c>
      <c r="CK678" s="167">
        <v>0</v>
      </c>
      <c r="CL678" s="167">
        <v>0</v>
      </c>
      <c r="CM678" s="167">
        <v>0</v>
      </c>
      <c r="CN678" s="167">
        <v>0</v>
      </c>
      <c r="CO678" s="167">
        <v>0</v>
      </c>
      <c r="CP678" s="167">
        <v>0</v>
      </c>
      <c r="CQ678" s="167">
        <v>0</v>
      </c>
      <c r="CR678" s="167">
        <v>0</v>
      </c>
      <c r="CS678" s="167">
        <v>0</v>
      </c>
      <c r="CT678" s="167">
        <v>0</v>
      </c>
      <c r="CU678" s="167">
        <v>0</v>
      </c>
      <c r="CV678" s="167">
        <v>0</v>
      </c>
      <c r="CW678" s="167">
        <v>0</v>
      </c>
      <c r="CX678" s="167">
        <f>SUM(CD678:CH678)</f>
        <v>3</v>
      </c>
      <c r="CY678" s="167">
        <f>SUM(CD678:CM678)</f>
        <v>3</v>
      </c>
    </row>
    <row r="679" spans="1:103" ht="12.75" customHeight="1" x14ac:dyDescent="0.2">
      <c r="A679" s="81">
        <v>6486</v>
      </c>
      <c r="B679" s="165" t="s">
        <v>1908</v>
      </c>
      <c r="C679" s="165" t="s">
        <v>3687</v>
      </c>
      <c r="E679" s="165" t="s">
        <v>3686</v>
      </c>
      <c r="G679" s="81">
        <v>528829</v>
      </c>
      <c r="H679" s="81">
        <v>176973</v>
      </c>
      <c r="I679" s="165" t="s">
        <v>240</v>
      </c>
      <c r="J679" s="349">
        <v>43035</v>
      </c>
      <c r="L679" s="166">
        <v>0</v>
      </c>
      <c r="M679" s="166">
        <v>1</v>
      </c>
      <c r="N679" s="166">
        <v>1</v>
      </c>
      <c r="O679" s="166">
        <v>1</v>
      </c>
      <c r="P679" s="166">
        <v>1</v>
      </c>
      <c r="R679" s="165" t="s">
        <v>3688</v>
      </c>
      <c r="S679" s="81" t="s">
        <v>113</v>
      </c>
      <c r="T679" s="349">
        <v>42891</v>
      </c>
      <c r="U679" s="349">
        <v>43035</v>
      </c>
      <c r="V679" s="81" t="s">
        <v>155</v>
      </c>
      <c r="W679" s="81" t="s">
        <v>114</v>
      </c>
      <c r="Y679" s="81" t="s">
        <v>115</v>
      </c>
      <c r="Z679" s="81" t="s">
        <v>219</v>
      </c>
      <c r="AA679" s="81" t="s">
        <v>117</v>
      </c>
      <c r="AB679" s="81" t="s">
        <v>3889</v>
      </c>
      <c r="AC679" s="166">
        <v>3.0000000260770299E-3</v>
      </c>
      <c r="AD679" s="349">
        <v>43035</v>
      </c>
      <c r="AE679" s="81" t="s">
        <v>155</v>
      </c>
      <c r="AG679" s="81" t="s">
        <v>238</v>
      </c>
      <c r="AH679" s="81" t="s">
        <v>118</v>
      </c>
      <c r="AK679" s="166">
        <v>0</v>
      </c>
      <c r="AM679" s="166">
        <v>0</v>
      </c>
      <c r="AO679" s="166">
        <v>1</v>
      </c>
      <c r="AP679" s="166">
        <v>0</v>
      </c>
      <c r="AQ679" s="166">
        <v>0</v>
      </c>
      <c r="AR679" s="166">
        <v>0</v>
      </c>
      <c r="AS679" s="166">
        <v>0</v>
      </c>
      <c r="AT679" s="166">
        <v>0</v>
      </c>
      <c r="AU679" s="166">
        <v>0</v>
      </c>
      <c r="AV679" s="166">
        <v>1</v>
      </c>
      <c r="AW679" s="166">
        <v>0</v>
      </c>
      <c r="AX679" s="166">
        <v>0</v>
      </c>
      <c r="AY679" s="166">
        <v>0</v>
      </c>
      <c r="AZ679" s="166">
        <v>0</v>
      </c>
      <c r="BA679" s="166">
        <v>0</v>
      </c>
      <c r="BB679" s="166">
        <v>0</v>
      </c>
      <c r="BC679" s="166">
        <v>0</v>
      </c>
      <c r="BD679" s="166">
        <v>0</v>
      </c>
      <c r="BE679" s="166">
        <v>0</v>
      </c>
      <c r="BF679" s="166">
        <v>0</v>
      </c>
      <c r="BG679" s="166">
        <v>0</v>
      </c>
      <c r="BH679" s="166">
        <v>0</v>
      </c>
      <c r="BI679" s="166">
        <v>0</v>
      </c>
      <c r="BJ679" s="166">
        <v>0</v>
      </c>
      <c r="BK679" s="166">
        <v>0</v>
      </c>
      <c r="BL679" s="166">
        <v>0</v>
      </c>
      <c r="BM679" s="166">
        <v>0</v>
      </c>
      <c r="BN679" s="166">
        <v>0</v>
      </c>
      <c r="BO679" s="166">
        <v>0</v>
      </c>
      <c r="BP679" s="166">
        <v>0</v>
      </c>
      <c r="BQ679" s="81" t="s">
        <v>1759</v>
      </c>
      <c r="BS679" s="81" t="s">
        <v>155</v>
      </c>
      <c r="BZ679" s="81" t="s">
        <v>155</v>
      </c>
      <c r="CA679" s="81" t="s">
        <v>3981</v>
      </c>
      <c r="CC679" s="167">
        <v>0</v>
      </c>
      <c r="CD679" s="167">
        <f>$N679/2</f>
        <v>0.5</v>
      </c>
      <c r="CE679" s="167">
        <f>$N679/2</f>
        <v>0.5</v>
      </c>
      <c r="CF679" s="167">
        <v>0</v>
      </c>
      <c r="CG679" s="167">
        <v>0</v>
      </c>
      <c r="CH679" s="167">
        <v>0</v>
      </c>
      <c r="CI679" s="167">
        <v>0</v>
      </c>
      <c r="CJ679" s="167">
        <v>0</v>
      </c>
      <c r="CK679" s="167">
        <v>0</v>
      </c>
      <c r="CL679" s="167">
        <v>0</v>
      </c>
      <c r="CM679" s="167">
        <v>0</v>
      </c>
      <c r="CN679" s="167">
        <v>0</v>
      </c>
      <c r="CO679" s="167">
        <v>0</v>
      </c>
      <c r="CP679" s="167">
        <v>0</v>
      </c>
      <c r="CQ679" s="167">
        <v>0</v>
      </c>
      <c r="CR679" s="167">
        <v>0</v>
      </c>
      <c r="CS679" s="167">
        <v>0</v>
      </c>
      <c r="CT679" s="167">
        <v>0</v>
      </c>
      <c r="CU679" s="167">
        <v>0</v>
      </c>
      <c r="CV679" s="167">
        <v>0</v>
      </c>
      <c r="CW679" s="167">
        <v>0</v>
      </c>
      <c r="CX679" s="167">
        <f>SUM(CD679:CH679)</f>
        <v>1</v>
      </c>
      <c r="CY679" s="167">
        <f>SUM(CD679:CM679)</f>
        <v>1</v>
      </c>
    </row>
    <row r="680" spans="1:103" ht="12.75" customHeight="1" x14ac:dyDescent="0.2">
      <c r="A680" s="81">
        <v>6496</v>
      </c>
      <c r="B680" s="165" t="s">
        <v>1908</v>
      </c>
      <c r="C680" s="165" t="s">
        <v>1598</v>
      </c>
      <c r="E680" s="165" t="s">
        <v>3689</v>
      </c>
      <c r="G680" s="81">
        <v>529005</v>
      </c>
      <c r="H680" s="81">
        <v>173304</v>
      </c>
      <c r="I680" s="165" t="s">
        <v>247</v>
      </c>
      <c r="J680" s="349">
        <v>43190</v>
      </c>
      <c r="L680" s="166">
        <v>0</v>
      </c>
      <c r="M680" s="166">
        <v>2</v>
      </c>
      <c r="N680" s="166">
        <v>2</v>
      </c>
      <c r="O680" s="166">
        <v>2</v>
      </c>
      <c r="P680" s="166">
        <v>2</v>
      </c>
      <c r="R680" s="165" t="s">
        <v>1599</v>
      </c>
      <c r="S680" s="81" t="s">
        <v>113</v>
      </c>
      <c r="T680" s="349">
        <v>42759</v>
      </c>
      <c r="U680" s="349">
        <v>42852</v>
      </c>
      <c r="V680" s="81" t="s">
        <v>155</v>
      </c>
      <c r="W680" s="81" t="s">
        <v>114</v>
      </c>
      <c r="Y680" s="81" t="s">
        <v>115</v>
      </c>
      <c r="Z680" s="81" t="s">
        <v>398</v>
      </c>
      <c r="AA680" s="81" t="s">
        <v>117</v>
      </c>
      <c r="AB680" s="81" t="s">
        <v>399</v>
      </c>
      <c r="AC680" s="166">
        <v>9.9999997764825804E-3</v>
      </c>
      <c r="AD680" s="349">
        <v>43190</v>
      </c>
      <c r="AE680" s="81" t="s">
        <v>155</v>
      </c>
      <c r="AG680" s="81" t="s">
        <v>238</v>
      </c>
      <c r="AH680" s="81" t="s">
        <v>118</v>
      </c>
      <c r="AK680" s="166">
        <v>0</v>
      </c>
      <c r="AM680" s="166">
        <v>0</v>
      </c>
      <c r="AO680" s="166">
        <v>0</v>
      </c>
      <c r="AP680" s="166">
        <v>0</v>
      </c>
      <c r="AQ680" s="166">
        <v>2</v>
      </c>
      <c r="AR680" s="166">
        <v>0</v>
      </c>
      <c r="AS680" s="166">
        <v>0</v>
      </c>
      <c r="AT680" s="166">
        <v>0</v>
      </c>
      <c r="AU680" s="166">
        <v>0</v>
      </c>
      <c r="AV680" s="166">
        <v>0</v>
      </c>
      <c r="AW680" s="166">
        <v>0</v>
      </c>
      <c r="AX680" s="166">
        <v>2</v>
      </c>
      <c r="AY680" s="166">
        <v>0</v>
      </c>
      <c r="AZ680" s="166">
        <v>0</v>
      </c>
      <c r="BA680" s="166">
        <v>0</v>
      </c>
      <c r="BB680" s="166">
        <v>0</v>
      </c>
      <c r="BC680" s="166">
        <v>0</v>
      </c>
      <c r="BD680" s="166">
        <v>0</v>
      </c>
      <c r="BE680" s="166">
        <v>0</v>
      </c>
      <c r="BF680" s="166">
        <v>0</v>
      </c>
      <c r="BG680" s="166">
        <v>0</v>
      </c>
      <c r="BH680" s="166">
        <v>0</v>
      </c>
      <c r="BI680" s="166">
        <v>0</v>
      </c>
      <c r="BJ680" s="166">
        <v>0</v>
      </c>
      <c r="BK680" s="166">
        <v>0</v>
      </c>
      <c r="BL680" s="166">
        <v>0</v>
      </c>
      <c r="BM680" s="166">
        <v>0</v>
      </c>
      <c r="BN680" s="166">
        <v>0</v>
      </c>
      <c r="BO680" s="166">
        <v>0</v>
      </c>
      <c r="BP680" s="166">
        <v>0</v>
      </c>
      <c r="BQ680" s="81" t="s">
        <v>1757</v>
      </c>
      <c r="BZ680" s="81" t="s">
        <v>155</v>
      </c>
      <c r="CA680" s="81" t="s">
        <v>3981</v>
      </c>
      <c r="CC680" s="167">
        <v>0</v>
      </c>
      <c r="CD680" s="167">
        <f>$N680/2</f>
        <v>1</v>
      </c>
      <c r="CE680" s="167">
        <f>$N680/2</f>
        <v>1</v>
      </c>
      <c r="CF680" s="167">
        <v>0</v>
      </c>
      <c r="CG680" s="167">
        <v>0</v>
      </c>
      <c r="CH680" s="167">
        <v>0</v>
      </c>
      <c r="CI680" s="167">
        <v>0</v>
      </c>
      <c r="CJ680" s="167">
        <v>0</v>
      </c>
      <c r="CK680" s="167">
        <v>0</v>
      </c>
      <c r="CL680" s="167">
        <v>0</v>
      </c>
      <c r="CM680" s="167">
        <v>0</v>
      </c>
      <c r="CN680" s="167">
        <v>0</v>
      </c>
      <c r="CO680" s="167">
        <v>0</v>
      </c>
      <c r="CP680" s="167">
        <v>0</v>
      </c>
      <c r="CQ680" s="167">
        <v>0</v>
      </c>
      <c r="CR680" s="167">
        <v>0</v>
      </c>
      <c r="CS680" s="167">
        <v>0</v>
      </c>
      <c r="CT680" s="167">
        <v>0</v>
      </c>
      <c r="CU680" s="167">
        <v>0</v>
      </c>
      <c r="CV680" s="167">
        <v>0</v>
      </c>
      <c r="CW680" s="167">
        <v>0</v>
      </c>
      <c r="CX680" s="167">
        <f>SUM(CD680:CH680)</f>
        <v>2</v>
      </c>
      <c r="CY680" s="167">
        <f>SUM(CD680:CM680)</f>
        <v>2</v>
      </c>
    </row>
    <row r="681" spans="1:103" ht="12.75" customHeight="1" x14ac:dyDescent="0.2">
      <c r="A681" s="81">
        <v>6511</v>
      </c>
      <c r="B681" s="165" t="s">
        <v>1908</v>
      </c>
      <c r="C681" s="165" t="s">
        <v>1572</v>
      </c>
      <c r="E681" s="165" t="s">
        <v>3690</v>
      </c>
      <c r="G681" s="81">
        <v>525953</v>
      </c>
      <c r="H681" s="81">
        <v>175002</v>
      </c>
      <c r="I681" s="165" t="s">
        <v>251</v>
      </c>
      <c r="J681" s="349">
        <v>43190</v>
      </c>
      <c r="L681" s="166">
        <v>2</v>
      </c>
      <c r="M681" s="166">
        <v>4</v>
      </c>
      <c r="N681" s="166">
        <v>2</v>
      </c>
      <c r="O681" s="166">
        <v>4</v>
      </c>
      <c r="P681" s="166">
        <v>2</v>
      </c>
      <c r="R681" s="165" t="s">
        <v>1573</v>
      </c>
      <c r="S681" s="81" t="s">
        <v>113</v>
      </c>
      <c r="T681" s="349">
        <v>42683</v>
      </c>
      <c r="U681" s="349">
        <v>42888</v>
      </c>
      <c r="V681" s="81" t="s">
        <v>155</v>
      </c>
      <c r="W681" s="81" t="s">
        <v>114</v>
      </c>
      <c r="Y681" s="81" t="s">
        <v>115</v>
      </c>
      <c r="Z681" s="81" t="s">
        <v>398</v>
      </c>
      <c r="AA681" s="81" t="s">
        <v>117</v>
      </c>
      <c r="AB681" s="81" t="s">
        <v>399</v>
      </c>
      <c r="AC681" s="166">
        <v>9.9999997764825804E-3</v>
      </c>
      <c r="AD681" s="349">
        <v>43190</v>
      </c>
      <c r="AE681" s="81" t="s">
        <v>155</v>
      </c>
      <c r="AG681" s="81" t="s">
        <v>238</v>
      </c>
      <c r="AH681" s="81" t="s">
        <v>118</v>
      </c>
      <c r="AK681" s="166">
        <v>0</v>
      </c>
      <c r="AM681" s="166">
        <v>0</v>
      </c>
      <c r="AO681" s="166">
        <v>0</v>
      </c>
      <c r="AP681" s="166">
        <v>1</v>
      </c>
      <c r="AQ681" s="166">
        <v>3</v>
      </c>
      <c r="AR681" s="166">
        <v>0</v>
      </c>
      <c r="AS681" s="166">
        <v>0</v>
      </c>
      <c r="AT681" s="166">
        <v>0</v>
      </c>
      <c r="AU681" s="166">
        <v>-2</v>
      </c>
      <c r="AV681" s="166">
        <v>0</v>
      </c>
      <c r="AW681" s="166">
        <v>1</v>
      </c>
      <c r="AX681" s="166">
        <v>3</v>
      </c>
      <c r="AY681" s="166">
        <v>0</v>
      </c>
      <c r="AZ681" s="166">
        <v>0</v>
      </c>
      <c r="BA681" s="166">
        <v>0</v>
      </c>
      <c r="BB681" s="166">
        <v>-2</v>
      </c>
      <c r="BC681" s="166">
        <v>0</v>
      </c>
      <c r="BD681" s="166">
        <v>0</v>
      </c>
      <c r="BE681" s="166">
        <v>0</v>
      </c>
      <c r="BF681" s="166">
        <v>0</v>
      </c>
      <c r="BG681" s="166">
        <v>0</v>
      </c>
      <c r="BH681" s="166">
        <v>0</v>
      </c>
      <c r="BI681" s="166">
        <v>0</v>
      </c>
      <c r="BJ681" s="166">
        <v>0</v>
      </c>
      <c r="BK681" s="166">
        <v>0</v>
      </c>
      <c r="BL681" s="166">
        <v>0</v>
      </c>
      <c r="BM681" s="166">
        <v>0</v>
      </c>
      <c r="BN681" s="166">
        <v>0</v>
      </c>
      <c r="BO681" s="166">
        <v>0</v>
      </c>
      <c r="BP681" s="166">
        <v>0</v>
      </c>
      <c r="BQ681" s="81" t="s">
        <v>1758</v>
      </c>
      <c r="BZ681" s="81" t="s">
        <v>155</v>
      </c>
      <c r="CA681" s="81" t="s">
        <v>3981</v>
      </c>
      <c r="CC681" s="167">
        <v>0</v>
      </c>
      <c r="CD681" s="167">
        <f>$N681/2</f>
        <v>1</v>
      </c>
      <c r="CE681" s="167">
        <f>$N681/2</f>
        <v>1</v>
      </c>
      <c r="CF681" s="167">
        <v>0</v>
      </c>
      <c r="CG681" s="167">
        <v>0</v>
      </c>
      <c r="CH681" s="167">
        <v>0</v>
      </c>
      <c r="CI681" s="167">
        <v>0</v>
      </c>
      <c r="CJ681" s="167">
        <v>0</v>
      </c>
      <c r="CK681" s="167">
        <v>0</v>
      </c>
      <c r="CL681" s="167">
        <v>0</v>
      </c>
      <c r="CM681" s="167">
        <v>0</v>
      </c>
      <c r="CN681" s="167">
        <v>0</v>
      </c>
      <c r="CO681" s="167">
        <v>0</v>
      </c>
      <c r="CP681" s="167">
        <v>0</v>
      </c>
      <c r="CQ681" s="167">
        <v>0</v>
      </c>
      <c r="CR681" s="167">
        <v>0</v>
      </c>
      <c r="CS681" s="167">
        <v>0</v>
      </c>
      <c r="CT681" s="167">
        <v>0</v>
      </c>
      <c r="CU681" s="167">
        <v>0</v>
      </c>
      <c r="CV681" s="167">
        <v>0</v>
      </c>
      <c r="CW681" s="167">
        <v>0</v>
      </c>
      <c r="CX681" s="167">
        <f>SUM(CD681:CH681)</f>
        <v>2</v>
      </c>
      <c r="CY681" s="167">
        <f>SUM(CD681:CM681)</f>
        <v>2</v>
      </c>
    </row>
    <row r="682" spans="1:103" x14ac:dyDescent="0.2">
      <c r="A682" s="81">
        <v>6517</v>
      </c>
      <c r="B682" s="165" t="s">
        <v>1908</v>
      </c>
      <c r="C682" s="165" t="s">
        <v>1590</v>
      </c>
      <c r="E682" s="165" t="s">
        <v>3683</v>
      </c>
      <c r="G682" s="81">
        <v>525437</v>
      </c>
      <c r="H682" s="81">
        <v>175256</v>
      </c>
      <c r="I682" s="165" t="s">
        <v>259</v>
      </c>
      <c r="J682" s="349">
        <v>43110</v>
      </c>
      <c r="L682" s="166">
        <v>0</v>
      </c>
      <c r="M682" s="166">
        <v>93</v>
      </c>
      <c r="N682" s="166">
        <v>93</v>
      </c>
      <c r="O682" s="166">
        <v>172</v>
      </c>
      <c r="P682" s="166">
        <v>172</v>
      </c>
      <c r="Q682" s="81" t="s">
        <v>155</v>
      </c>
      <c r="R682" s="165" t="s">
        <v>1591</v>
      </c>
      <c r="S682" s="81" t="s">
        <v>104</v>
      </c>
      <c r="T682" s="349">
        <v>42744</v>
      </c>
      <c r="U682" s="349">
        <v>43090</v>
      </c>
      <c r="V682" s="81" t="s">
        <v>155</v>
      </c>
      <c r="W682" s="81" t="s">
        <v>114</v>
      </c>
      <c r="Y682" s="81" t="s">
        <v>115</v>
      </c>
      <c r="Z682" s="81" t="s">
        <v>116</v>
      </c>
      <c r="AA682" s="81" t="s">
        <v>116</v>
      </c>
      <c r="AB682" s="81" t="s">
        <v>117</v>
      </c>
      <c r="AC682" s="166">
        <v>2.1600000560283699E-2</v>
      </c>
      <c r="AD682" s="349">
        <v>43110</v>
      </c>
      <c r="AE682" s="81" t="s">
        <v>155</v>
      </c>
      <c r="AG682" s="81" t="s">
        <v>74</v>
      </c>
      <c r="AH682" s="81" t="s">
        <v>990</v>
      </c>
      <c r="AI682" s="81" t="s">
        <v>3684</v>
      </c>
      <c r="AK682" s="166">
        <v>0</v>
      </c>
      <c r="AL682" s="166">
        <v>84</v>
      </c>
      <c r="AM682" s="166">
        <v>0</v>
      </c>
      <c r="AN682" s="166">
        <v>9</v>
      </c>
      <c r="AO682" s="166">
        <v>1</v>
      </c>
      <c r="AP682" s="166">
        <v>21</v>
      </c>
      <c r="AQ682" s="166">
        <v>71</v>
      </c>
      <c r="AR682" s="166">
        <v>0</v>
      </c>
      <c r="AS682" s="166">
        <v>0</v>
      </c>
      <c r="AT682" s="166">
        <v>0</v>
      </c>
      <c r="AU682" s="166">
        <v>0</v>
      </c>
      <c r="AV682" s="166">
        <v>1</v>
      </c>
      <c r="AW682" s="166">
        <v>21</v>
      </c>
      <c r="AX682" s="166">
        <v>71</v>
      </c>
      <c r="AY682" s="166">
        <v>0</v>
      </c>
      <c r="AZ682" s="166">
        <v>0</v>
      </c>
      <c r="BA682" s="166">
        <v>0</v>
      </c>
      <c r="BB682" s="166">
        <v>0</v>
      </c>
      <c r="BC682" s="166">
        <v>0</v>
      </c>
      <c r="BD682" s="166">
        <v>0</v>
      </c>
      <c r="BE682" s="166">
        <v>0</v>
      </c>
      <c r="BF682" s="166">
        <v>0</v>
      </c>
      <c r="BG682" s="166">
        <v>0</v>
      </c>
      <c r="BH682" s="166">
        <v>0</v>
      </c>
      <c r="BI682" s="166">
        <v>0</v>
      </c>
      <c r="BJ682" s="166">
        <v>0</v>
      </c>
      <c r="BK682" s="166">
        <v>0</v>
      </c>
      <c r="BL682" s="166">
        <v>0</v>
      </c>
      <c r="BM682" s="166">
        <v>0</v>
      </c>
      <c r="BN682" s="166">
        <v>0</v>
      </c>
      <c r="BO682" s="166">
        <v>0</v>
      </c>
      <c r="BP682" s="166">
        <v>0</v>
      </c>
      <c r="BQ682" s="81" t="s">
        <v>1758</v>
      </c>
      <c r="BT682" s="81" t="s">
        <v>155</v>
      </c>
      <c r="BZ682" s="81" t="s">
        <v>155</v>
      </c>
      <c r="CA682" s="81" t="s">
        <v>3934</v>
      </c>
      <c r="CC682" s="167">
        <v>0</v>
      </c>
      <c r="CD682" s="167">
        <v>0</v>
      </c>
      <c r="CE682" s="167">
        <f>N682</f>
        <v>93</v>
      </c>
      <c r="CF682" s="167">
        <v>0</v>
      </c>
      <c r="CG682" s="167">
        <v>0</v>
      </c>
      <c r="CH682" s="167">
        <v>0</v>
      </c>
      <c r="CI682" s="167">
        <v>0</v>
      </c>
      <c r="CJ682" s="167">
        <v>0</v>
      </c>
      <c r="CK682" s="167">
        <v>0</v>
      </c>
      <c r="CL682" s="167">
        <v>0</v>
      </c>
      <c r="CM682" s="167">
        <v>0</v>
      </c>
      <c r="CN682" s="167">
        <v>0</v>
      </c>
      <c r="CO682" s="167">
        <v>0</v>
      </c>
      <c r="CP682" s="167">
        <v>0</v>
      </c>
      <c r="CQ682" s="167">
        <v>0</v>
      </c>
      <c r="CR682" s="167">
        <v>0</v>
      </c>
      <c r="CS682" s="167">
        <v>0</v>
      </c>
      <c r="CT682" s="167">
        <v>0</v>
      </c>
      <c r="CU682" s="167">
        <v>0</v>
      </c>
      <c r="CV682" s="167">
        <v>0</v>
      </c>
      <c r="CW682" s="167">
        <v>0</v>
      </c>
      <c r="CX682" s="167">
        <f>SUM(CD682:CH682)</f>
        <v>93</v>
      </c>
      <c r="CY682" s="167">
        <f>SUM(CD682:CM682)</f>
        <v>93</v>
      </c>
    </row>
    <row r="683" spans="1:103" x14ac:dyDescent="0.2">
      <c r="A683" s="81">
        <v>6517</v>
      </c>
      <c r="B683" s="165" t="s">
        <v>1908</v>
      </c>
      <c r="C683" s="165" t="s">
        <v>1590</v>
      </c>
      <c r="E683" s="165" t="s">
        <v>3683</v>
      </c>
      <c r="G683" s="81">
        <v>525437</v>
      </c>
      <c r="H683" s="81">
        <v>175256</v>
      </c>
      <c r="I683" s="165" t="s">
        <v>259</v>
      </c>
      <c r="J683" s="349">
        <v>43110</v>
      </c>
      <c r="L683" s="166">
        <v>0</v>
      </c>
      <c r="M683" s="166">
        <v>79</v>
      </c>
      <c r="N683" s="166">
        <v>79</v>
      </c>
      <c r="O683" s="166">
        <v>172</v>
      </c>
      <c r="P683" s="166">
        <v>172</v>
      </c>
      <c r="Q683" s="81" t="s">
        <v>155</v>
      </c>
      <c r="R683" s="165" t="s">
        <v>1591</v>
      </c>
      <c r="S683" s="81" t="s">
        <v>104</v>
      </c>
      <c r="T683" s="349">
        <v>42744</v>
      </c>
      <c r="U683" s="349">
        <v>43090</v>
      </c>
      <c r="V683" s="81" t="s">
        <v>155</v>
      </c>
      <c r="W683" s="81" t="s">
        <v>114</v>
      </c>
      <c r="Y683" s="81" t="s">
        <v>115</v>
      </c>
      <c r="Z683" s="81" t="s">
        <v>116</v>
      </c>
      <c r="AA683" s="81" t="s">
        <v>116</v>
      </c>
      <c r="AB683" s="81" t="s">
        <v>117</v>
      </c>
      <c r="AC683" s="166">
        <v>0.222000002861023</v>
      </c>
      <c r="AD683" s="349">
        <v>43110</v>
      </c>
      <c r="AE683" s="81" t="s">
        <v>155</v>
      </c>
      <c r="AG683" s="81" t="s">
        <v>238</v>
      </c>
      <c r="AH683" s="81" t="s">
        <v>118</v>
      </c>
      <c r="AI683" s="81" t="s">
        <v>3684</v>
      </c>
      <c r="AK683" s="166">
        <v>0</v>
      </c>
      <c r="AL683" s="166">
        <v>71</v>
      </c>
      <c r="AM683" s="166">
        <v>0</v>
      </c>
      <c r="AN683" s="166">
        <v>8</v>
      </c>
      <c r="AO683" s="166">
        <v>0</v>
      </c>
      <c r="AP683" s="166">
        <v>6</v>
      </c>
      <c r="AQ683" s="166">
        <v>73</v>
      </c>
      <c r="AR683" s="166">
        <v>0</v>
      </c>
      <c r="AS683" s="166">
        <v>0</v>
      </c>
      <c r="AT683" s="166">
        <v>0</v>
      </c>
      <c r="AU683" s="166">
        <v>0</v>
      </c>
      <c r="AV683" s="166">
        <v>0</v>
      </c>
      <c r="AW683" s="166">
        <v>6</v>
      </c>
      <c r="AX683" s="166">
        <v>73</v>
      </c>
      <c r="AY683" s="166">
        <v>0</v>
      </c>
      <c r="AZ683" s="166">
        <v>0</v>
      </c>
      <c r="BA683" s="166">
        <v>0</v>
      </c>
      <c r="BB683" s="166">
        <v>0</v>
      </c>
      <c r="BC683" s="166">
        <v>0</v>
      </c>
      <c r="BD683" s="166">
        <v>0</v>
      </c>
      <c r="BE683" s="166">
        <v>0</v>
      </c>
      <c r="BF683" s="166">
        <v>0</v>
      </c>
      <c r="BG683" s="166">
        <v>0</v>
      </c>
      <c r="BH683" s="166">
        <v>0</v>
      </c>
      <c r="BI683" s="166">
        <v>0</v>
      </c>
      <c r="BJ683" s="166">
        <v>0</v>
      </c>
      <c r="BK683" s="166">
        <v>0</v>
      </c>
      <c r="BL683" s="166">
        <v>0</v>
      </c>
      <c r="BM683" s="166">
        <v>0</v>
      </c>
      <c r="BN683" s="166">
        <v>0</v>
      </c>
      <c r="BO683" s="166">
        <v>0</v>
      </c>
      <c r="BP683" s="166">
        <v>0</v>
      </c>
      <c r="BQ683" s="81" t="s">
        <v>1758</v>
      </c>
      <c r="BT683" s="81" t="s">
        <v>155</v>
      </c>
      <c r="BZ683" s="81" t="s">
        <v>155</v>
      </c>
      <c r="CA683" s="81" t="s">
        <v>3934</v>
      </c>
      <c r="CC683" s="167">
        <v>0</v>
      </c>
      <c r="CD683" s="167">
        <v>0</v>
      </c>
      <c r="CE683" s="167">
        <f>N683</f>
        <v>79</v>
      </c>
      <c r="CF683" s="167">
        <v>0</v>
      </c>
      <c r="CG683" s="167">
        <v>0</v>
      </c>
      <c r="CH683" s="167">
        <v>0</v>
      </c>
      <c r="CI683" s="167">
        <v>0</v>
      </c>
      <c r="CJ683" s="167">
        <v>0</v>
      </c>
      <c r="CK683" s="167">
        <v>0</v>
      </c>
      <c r="CL683" s="167">
        <v>0</v>
      </c>
      <c r="CM683" s="167">
        <v>0</v>
      </c>
      <c r="CN683" s="167">
        <v>0</v>
      </c>
      <c r="CO683" s="167">
        <v>0</v>
      </c>
      <c r="CP683" s="167">
        <v>0</v>
      </c>
      <c r="CQ683" s="167">
        <v>0</v>
      </c>
      <c r="CR683" s="167">
        <v>0</v>
      </c>
      <c r="CS683" s="167">
        <v>0</v>
      </c>
      <c r="CT683" s="167">
        <v>0</v>
      </c>
      <c r="CU683" s="167">
        <v>0</v>
      </c>
      <c r="CV683" s="167">
        <v>0</v>
      </c>
      <c r="CW683" s="167">
        <v>0</v>
      </c>
      <c r="CX683" s="167">
        <f>SUM(CD683:CH683)</f>
        <v>79</v>
      </c>
      <c r="CY683" s="167">
        <f>SUM(CD683:CM683)</f>
        <v>79</v>
      </c>
    </row>
    <row r="684" spans="1:103" ht="12.75" customHeight="1" x14ac:dyDescent="0.2">
      <c r="A684" s="81">
        <v>6530</v>
      </c>
      <c r="B684" s="165" t="s">
        <v>1908</v>
      </c>
      <c r="C684" s="165" t="s">
        <v>1659</v>
      </c>
      <c r="E684" s="165" t="s">
        <v>3691</v>
      </c>
      <c r="G684" s="81">
        <v>522247</v>
      </c>
      <c r="H684" s="81">
        <v>175326</v>
      </c>
      <c r="I684" s="165" t="s">
        <v>59</v>
      </c>
      <c r="J684" s="349">
        <v>43167</v>
      </c>
      <c r="L684" s="166">
        <v>2</v>
      </c>
      <c r="M684" s="166">
        <v>1</v>
      </c>
      <c r="N684" s="166">
        <v>-1</v>
      </c>
      <c r="O684" s="166">
        <v>1</v>
      </c>
      <c r="P684" s="166">
        <v>-1</v>
      </c>
      <c r="R684" s="165" t="s">
        <v>3692</v>
      </c>
      <c r="S684" s="81" t="s">
        <v>113</v>
      </c>
      <c r="T684" s="349">
        <v>42811</v>
      </c>
      <c r="U684" s="349">
        <v>42909</v>
      </c>
      <c r="V684" s="81" t="s">
        <v>155</v>
      </c>
      <c r="W684" s="81" t="s">
        <v>114</v>
      </c>
      <c r="Y684" s="81" t="s">
        <v>115</v>
      </c>
      <c r="Z684" s="81" t="s">
        <v>119</v>
      </c>
      <c r="AA684" s="81" t="s">
        <v>117</v>
      </c>
      <c r="AB684" s="81" t="s">
        <v>336</v>
      </c>
      <c r="AC684" s="166">
        <v>3.8400001823902102E-2</v>
      </c>
      <c r="AD684" s="349">
        <v>43167</v>
      </c>
      <c r="AE684" s="81" t="s">
        <v>155</v>
      </c>
      <c r="AG684" s="81" t="s">
        <v>238</v>
      </c>
      <c r="AH684" s="81" t="s">
        <v>118</v>
      </c>
      <c r="AK684" s="166">
        <v>0</v>
      </c>
      <c r="AM684" s="166">
        <v>0</v>
      </c>
      <c r="AO684" s="166">
        <v>0</v>
      </c>
      <c r="AP684" s="166">
        <v>0</v>
      </c>
      <c r="AQ684" s="166">
        <v>-1</v>
      </c>
      <c r="AR684" s="166">
        <v>-1</v>
      </c>
      <c r="AS684" s="166">
        <v>0</v>
      </c>
      <c r="AT684" s="166">
        <v>1</v>
      </c>
      <c r="AU684" s="166">
        <v>0</v>
      </c>
      <c r="AV684" s="166">
        <v>0</v>
      </c>
      <c r="AW684" s="166">
        <v>0</v>
      </c>
      <c r="AX684" s="166">
        <v>-1</v>
      </c>
      <c r="AY684" s="166">
        <v>-1</v>
      </c>
      <c r="AZ684" s="166">
        <v>0</v>
      </c>
      <c r="BA684" s="166">
        <v>0</v>
      </c>
      <c r="BB684" s="166">
        <v>0</v>
      </c>
      <c r="BC684" s="166">
        <v>0</v>
      </c>
      <c r="BD684" s="166">
        <v>0</v>
      </c>
      <c r="BE684" s="166">
        <v>0</v>
      </c>
      <c r="BF684" s="166">
        <v>0</v>
      </c>
      <c r="BG684" s="166">
        <v>0</v>
      </c>
      <c r="BH684" s="166">
        <v>1</v>
      </c>
      <c r="BI684" s="166">
        <v>0</v>
      </c>
      <c r="BJ684" s="166">
        <v>0</v>
      </c>
      <c r="BK684" s="166">
        <v>0</v>
      </c>
      <c r="BL684" s="166">
        <v>0</v>
      </c>
      <c r="BM684" s="166">
        <v>0</v>
      </c>
      <c r="BN684" s="166">
        <v>0</v>
      </c>
      <c r="BO684" s="166">
        <v>0</v>
      </c>
      <c r="BP684" s="166">
        <v>0</v>
      </c>
      <c r="BQ684" s="81" t="s">
        <v>1758</v>
      </c>
      <c r="BZ684" s="81" t="s">
        <v>155</v>
      </c>
      <c r="CA684" s="81" t="s">
        <v>3981</v>
      </c>
      <c r="CC684" s="167">
        <v>0</v>
      </c>
      <c r="CD684" s="167">
        <f>$N684/2</f>
        <v>-0.5</v>
      </c>
      <c r="CE684" s="167">
        <f>$N684/2</f>
        <v>-0.5</v>
      </c>
      <c r="CF684" s="167">
        <v>0</v>
      </c>
      <c r="CG684" s="167">
        <v>0</v>
      </c>
      <c r="CH684" s="167">
        <v>0</v>
      </c>
      <c r="CI684" s="167">
        <v>0</v>
      </c>
      <c r="CJ684" s="167">
        <v>0</v>
      </c>
      <c r="CK684" s="167">
        <v>0</v>
      </c>
      <c r="CL684" s="167">
        <v>0</v>
      </c>
      <c r="CM684" s="167">
        <v>0</v>
      </c>
      <c r="CN684" s="167">
        <v>0</v>
      </c>
      <c r="CO684" s="167">
        <v>0</v>
      </c>
      <c r="CP684" s="167">
        <v>0</v>
      </c>
      <c r="CQ684" s="167">
        <v>0</v>
      </c>
      <c r="CR684" s="167">
        <v>0</v>
      </c>
      <c r="CS684" s="167">
        <v>0</v>
      </c>
      <c r="CT684" s="167">
        <v>0</v>
      </c>
      <c r="CU684" s="167">
        <v>0</v>
      </c>
      <c r="CV684" s="167">
        <v>0</v>
      </c>
      <c r="CW684" s="167">
        <v>0</v>
      </c>
      <c r="CX684" s="167">
        <f>SUM(CD684:CH684)</f>
        <v>-1</v>
      </c>
      <c r="CY684" s="167">
        <f>SUM(CD684:CM684)</f>
        <v>-1</v>
      </c>
    </row>
    <row r="685" spans="1:103" ht="12.75" customHeight="1" x14ac:dyDescent="0.2">
      <c r="A685" s="81">
        <v>6532</v>
      </c>
      <c r="B685" s="165" t="s">
        <v>1908</v>
      </c>
      <c r="C685" s="165" t="s">
        <v>1670</v>
      </c>
      <c r="E685" s="165" t="s">
        <v>3693</v>
      </c>
      <c r="G685" s="81">
        <v>522110</v>
      </c>
      <c r="H685" s="81">
        <v>172801</v>
      </c>
      <c r="I685" s="165" t="s">
        <v>877</v>
      </c>
      <c r="J685" s="349">
        <v>42888</v>
      </c>
      <c r="L685" s="166">
        <v>1</v>
      </c>
      <c r="M685" s="166">
        <v>3</v>
      </c>
      <c r="N685" s="166">
        <v>2</v>
      </c>
      <c r="O685" s="166">
        <v>3</v>
      </c>
      <c r="P685" s="166">
        <v>2</v>
      </c>
      <c r="R685" s="165" t="s">
        <v>1671</v>
      </c>
      <c r="S685" s="81" t="s">
        <v>113</v>
      </c>
      <c r="T685" s="349">
        <v>42803</v>
      </c>
      <c r="U685" s="349">
        <v>42859</v>
      </c>
      <c r="V685" s="81" t="s">
        <v>155</v>
      </c>
      <c r="W685" s="81" t="s">
        <v>114</v>
      </c>
      <c r="Y685" s="81" t="s">
        <v>115</v>
      </c>
      <c r="Z685" s="81" t="s">
        <v>119</v>
      </c>
      <c r="AA685" s="81" t="s">
        <v>117</v>
      </c>
      <c r="AB685" s="81" t="s">
        <v>120</v>
      </c>
      <c r="AC685" s="166">
        <v>3.29999998211861E-2</v>
      </c>
      <c r="AD685" s="349">
        <v>42888</v>
      </c>
      <c r="AE685" s="81" t="s">
        <v>155</v>
      </c>
      <c r="AG685" s="81" t="s">
        <v>238</v>
      </c>
      <c r="AH685" s="81" t="s">
        <v>118</v>
      </c>
      <c r="AK685" s="166">
        <v>0</v>
      </c>
      <c r="AM685" s="166">
        <v>0</v>
      </c>
      <c r="AO685" s="166">
        <v>0</v>
      </c>
      <c r="AP685" s="166">
        <v>1</v>
      </c>
      <c r="AQ685" s="166">
        <v>0</v>
      </c>
      <c r="AR685" s="166">
        <v>1</v>
      </c>
      <c r="AS685" s="166">
        <v>1</v>
      </c>
      <c r="AT685" s="166">
        <v>-1</v>
      </c>
      <c r="AU685" s="166">
        <v>0</v>
      </c>
      <c r="AV685" s="166">
        <v>0</v>
      </c>
      <c r="AW685" s="166">
        <v>1</v>
      </c>
      <c r="AX685" s="166">
        <v>0</v>
      </c>
      <c r="AY685" s="166">
        <v>1</v>
      </c>
      <c r="AZ685" s="166">
        <v>1</v>
      </c>
      <c r="BA685" s="166">
        <v>0</v>
      </c>
      <c r="BB685" s="166">
        <v>0</v>
      </c>
      <c r="BC685" s="166">
        <v>0</v>
      </c>
      <c r="BD685" s="166">
        <v>0</v>
      </c>
      <c r="BE685" s="166">
        <v>0</v>
      </c>
      <c r="BF685" s="166">
        <v>0</v>
      </c>
      <c r="BG685" s="166">
        <v>0</v>
      </c>
      <c r="BH685" s="166">
        <v>-1</v>
      </c>
      <c r="BI685" s="166">
        <v>0</v>
      </c>
      <c r="BJ685" s="166">
        <v>0</v>
      </c>
      <c r="BK685" s="166">
        <v>0</v>
      </c>
      <c r="BL685" s="166">
        <v>0</v>
      </c>
      <c r="BM685" s="166">
        <v>0</v>
      </c>
      <c r="BN685" s="166">
        <v>0</v>
      </c>
      <c r="BO685" s="166">
        <v>0</v>
      </c>
      <c r="BP685" s="166">
        <v>0</v>
      </c>
      <c r="BQ685" s="81" t="s">
        <v>1758</v>
      </c>
      <c r="BZ685" s="81" t="s">
        <v>155</v>
      </c>
      <c r="CA685" s="81" t="s">
        <v>3980</v>
      </c>
      <c r="CC685" s="167">
        <v>0</v>
      </c>
      <c r="CD685" s="167">
        <f>N685</f>
        <v>2</v>
      </c>
      <c r="CE685" s="167">
        <v>0</v>
      </c>
      <c r="CF685" s="167">
        <v>0</v>
      </c>
      <c r="CG685" s="167">
        <v>0</v>
      </c>
      <c r="CH685" s="167">
        <v>0</v>
      </c>
      <c r="CI685" s="167">
        <v>0</v>
      </c>
      <c r="CJ685" s="167">
        <v>0</v>
      </c>
      <c r="CK685" s="167">
        <v>0</v>
      </c>
      <c r="CL685" s="167">
        <v>0</v>
      </c>
      <c r="CM685" s="167">
        <v>0</v>
      </c>
      <c r="CN685" s="167">
        <v>0</v>
      </c>
      <c r="CO685" s="167">
        <v>0</v>
      </c>
      <c r="CP685" s="167">
        <v>0</v>
      </c>
      <c r="CQ685" s="167">
        <v>0</v>
      </c>
      <c r="CR685" s="167">
        <v>0</v>
      </c>
      <c r="CS685" s="167">
        <v>0</v>
      </c>
      <c r="CT685" s="167">
        <v>0</v>
      </c>
      <c r="CU685" s="167">
        <v>0</v>
      </c>
      <c r="CV685" s="167">
        <v>0</v>
      </c>
      <c r="CW685" s="167">
        <v>0</v>
      </c>
      <c r="CX685" s="167">
        <f>SUM(CD685:CH685)</f>
        <v>2</v>
      </c>
      <c r="CY685" s="167">
        <f>SUM(CD685:CM685)</f>
        <v>2</v>
      </c>
    </row>
    <row r="686" spans="1:103" ht="12.75" customHeight="1" x14ac:dyDescent="0.2">
      <c r="A686" s="81">
        <v>6548</v>
      </c>
      <c r="B686" s="165" t="s">
        <v>1908</v>
      </c>
      <c r="C686" s="165" t="s">
        <v>3694</v>
      </c>
      <c r="E686" s="165" t="s">
        <v>3695</v>
      </c>
      <c r="G686" s="81">
        <v>526176</v>
      </c>
      <c r="H686" s="81">
        <v>172864</v>
      </c>
      <c r="I686" s="165" t="s">
        <v>249</v>
      </c>
      <c r="J686" s="349">
        <v>43190</v>
      </c>
      <c r="L686" s="166">
        <v>3</v>
      </c>
      <c r="M686" s="166">
        <v>9</v>
      </c>
      <c r="N686" s="166">
        <v>6</v>
      </c>
      <c r="O686" s="166">
        <v>9</v>
      </c>
      <c r="P686" s="166">
        <v>6</v>
      </c>
      <c r="R686" s="165" t="s">
        <v>3696</v>
      </c>
      <c r="S686" s="81" t="s">
        <v>113</v>
      </c>
      <c r="T686" s="349">
        <v>42810</v>
      </c>
      <c r="U686" s="349">
        <v>42942</v>
      </c>
      <c r="V686" s="81" t="s">
        <v>155</v>
      </c>
      <c r="W686" s="81" t="s">
        <v>114</v>
      </c>
      <c r="Y686" s="81" t="s">
        <v>115</v>
      </c>
      <c r="Z686" s="81" t="s">
        <v>116</v>
      </c>
      <c r="AA686" s="81" t="s">
        <v>117</v>
      </c>
      <c r="AB686" s="81" t="s">
        <v>218</v>
      </c>
      <c r="AC686" s="166">
        <v>4.39999997615814E-2</v>
      </c>
      <c r="AD686" s="349">
        <v>43190</v>
      </c>
      <c r="AE686" s="81" t="s">
        <v>155</v>
      </c>
      <c r="AG686" s="81" t="s">
        <v>238</v>
      </c>
      <c r="AH686" s="81" t="s">
        <v>118</v>
      </c>
      <c r="AK686" s="166">
        <v>0</v>
      </c>
      <c r="AM686" s="166">
        <v>0</v>
      </c>
      <c r="AO686" s="166">
        <v>1</v>
      </c>
      <c r="AP686" s="166">
        <v>2</v>
      </c>
      <c r="AQ686" s="166">
        <v>5</v>
      </c>
      <c r="AR686" s="166">
        <v>1</v>
      </c>
      <c r="AS686" s="166">
        <v>-3</v>
      </c>
      <c r="AT686" s="166">
        <v>0</v>
      </c>
      <c r="AU686" s="166">
        <v>0</v>
      </c>
      <c r="AV686" s="166">
        <v>1</v>
      </c>
      <c r="AW686" s="166">
        <v>2</v>
      </c>
      <c r="AX686" s="166">
        <v>5</v>
      </c>
      <c r="AY686" s="166">
        <v>1</v>
      </c>
      <c r="AZ686" s="166">
        <v>-3</v>
      </c>
      <c r="BA686" s="166">
        <v>0</v>
      </c>
      <c r="BB686" s="166">
        <v>0</v>
      </c>
      <c r="BC686" s="166">
        <v>0</v>
      </c>
      <c r="BD686" s="166">
        <v>0</v>
      </c>
      <c r="BE686" s="166">
        <v>0</v>
      </c>
      <c r="BF686" s="166">
        <v>0</v>
      </c>
      <c r="BG686" s="166">
        <v>0</v>
      </c>
      <c r="BH686" s="166">
        <v>0</v>
      </c>
      <c r="BI686" s="166">
        <v>0</v>
      </c>
      <c r="BJ686" s="166">
        <v>0</v>
      </c>
      <c r="BK686" s="166">
        <v>0</v>
      </c>
      <c r="BL686" s="166">
        <v>0</v>
      </c>
      <c r="BM686" s="166">
        <v>0</v>
      </c>
      <c r="BN686" s="166">
        <v>0</v>
      </c>
      <c r="BO686" s="166">
        <v>0</v>
      </c>
      <c r="BP686" s="166">
        <v>0</v>
      </c>
      <c r="BQ686" s="81" t="s">
        <v>1758</v>
      </c>
      <c r="BZ686" s="81" t="s">
        <v>155</v>
      </c>
      <c r="CA686" s="81" t="s">
        <v>3977</v>
      </c>
      <c r="CC686" s="167">
        <v>0</v>
      </c>
      <c r="CD686" s="167">
        <f>$N686/2</f>
        <v>3</v>
      </c>
      <c r="CE686" s="167">
        <f>$N686/2</f>
        <v>3</v>
      </c>
      <c r="CF686" s="167">
        <v>0</v>
      </c>
      <c r="CG686" s="167">
        <v>0</v>
      </c>
      <c r="CH686" s="167">
        <v>0</v>
      </c>
      <c r="CI686" s="167">
        <v>0</v>
      </c>
      <c r="CJ686" s="167">
        <v>0</v>
      </c>
      <c r="CK686" s="167">
        <v>0</v>
      </c>
      <c r="CL686" s="167">
        <v>0</v>
      </c>
      <c r="CM686" s="167">
        <v>0</v>
      </c>
      <c r="CN686" s="167">
        <v>0</v>
      </c>
      <c r="CO686" s="167">
        <v>0</v>
      </c>
      <c r="CP686" s="167">
        <v>0</v>
      </c>
      <c r="CQ686" s="167">
        <v>0</v>
      </c>
      <c r="CR686" s="167">
        <v>0</v>
      </c>
      <c r="CS686" s="167">
        <v>0</v>
      </c>
      <c r="CT686" s="167">
        <v>0</v>
      </c>
      <c r="CU686" s="167">
        <v>0</v>
      </c>
      <c r="CV686" s="167">
        <v>0</v>
      </c>
      <c r="CW686" s="167">
        <v>0</v>
      </c>
      <c r="CX686" s="167">
        <f>SUM(CD686:CH686)</f>
        <v>6</v>
      </c>
      <c r="CY686" s="167">
        <f>SUM(CD686:CM686)</f>
        <v>6</v>
      </c>
    </row>
    <row r="687" spans="1:103" ht="12.75" customHeight="1" x14ac:dyDescent="0.2">
      <c r="A687" s="81">
        <v>6581</v>
      </c>
      <c r="B687" s="165" t="s">
        <v>1908</v>
      </c>
      <c r="C687" s="165" t="s">
        <v>3697</v>
      </c>
      <c r="E687" s="165" t="s">
        <v>3698</v>
      </c>
      <c r="G687" s="81">
        <v>524402</v>
      </c>
      <c r="H687" s="81">
        <v>175210</v>
      </c>
      <c r="I687" s="165" t="s">
        <v>259</v>
      </c>
      <c r="J687" s="349">
        <v>43021</v>
      </c>
      <c r="L687" s="166">
        <v>2</v>
      </c>
      <c r="M687" s="166">
        <v>1</v>
      </c>
      <c r="N687" s="166">
        <v>-1</v>
      </c>
      <c r="O687" s="166">
        <v>1</v>
      </c>
      <c r="P687" s="166">
        <v>-1</v>
      </c>
      <c r="R687" s="165" t="s">
        <v>3699</v>
      </c>
      <c r="S687" s="81" t="s">
        <v>113</v>
      </c>
      <c r="T687" s="349">
        <v>42838</v>
      </c>
      <c r="U687" s="349">
        <v>42906</v>
      </c>
      <c r="V687" s="81" t="s">
        <v>155</v>
      </c>
      <c r="W687" s="81" t="s">
        <v>114</v>
      </c>
      <c r="Y687" s="81" t="s">
        <v>115</v>
      </c>
      <c r="Z687" s="81" t="s">
        <v>398</v>
      </c>
      <c r="AA687" s="81" t="s">
        <v>117</v>
      </c>
      <c r="AB687" s="81" t="s">
        <v>336</v>
      </c>
      <c r="AC687" s="166">
        <v>1.4000000432133701E-2</v>
      </c>
      <c r="AD687" s="349">
        <v>43021</v>
      </c>
      <c r="AE687" s="81" t="s">
        <v>155</v>
      </c>
      <c r="AG687" s="81" t="s">
        <v>238</v>
      </c>
      <c r="AH687" s="81" t="s">
        <v>118</v>
      </c>
      <c r="AK687" s="166">
        <v>0</v>
      </c>
      <c r="AM687" s="166">
        <v>0</v>
      </c>
      <c r="AO687" s="166">
        <v>0</v>
      </c>
      <c r="AP687" s="166">
        <v>-2</v>
      </c>
      <c r="AQ687" s="166">
        <v>0</v>
      </c>
      <c r="AR687" s="166">
        <v>1</v>
      </c>
      <c r="AS687" s="166">
        <v>0</v>
      </c>
      <c r="AT687" s="166">
        <v>0</v>
      </c>
      <c r="AU687" s="166">
        <v>0</v>
      </c>
      <c r="AV687" s="166">
        <v>0</v>
      </c>
      <c r="AW687" s="166">
        <v>-2</v>
      </c>
      <c r="AX687" s="166">
        <v>0</v>
      </c>
      <c r="AY687" s="166">
        <v>0</v>
      </c>
      <c r="AZ687" s="166">
        <v>0</v>
      </c>
      <c r="BA687" s="166">
        <v>0</v>
      </c>
      <c r="BB687" s="166">
        <v>0</v>
      </c>
      <c r="BC687" s="166">
        <v>0</v>
      </c>
      <c r="BD687" s="166">
        <v>0</v>
      </c>
      <c r="BE687" s="166">
        <v>0</v>
      </c>
      <c r="BF687" s="166">
        <v>1</v>
      </c>
      <c r="BG687" s="166">
        <v>0</v>
      </c>
      <c r="BH687" s="166">
        <v>0</v>
      </c>
      <c r="BI687" s="166">
        <v>0</v>
      </c>
      <c r="BJ687" s="166">
        <v>0</v>
      </c>
      <c r="BK687" s="166">
        <v>0</v>
      </c>
      <c r="BL687" s="166">
        <v>0</v>
      </c>
      <c r="BM687" s="166">
        <v>0</v>
      </c>
      <c r="BN687" s="166">
        <v>0</v>
      </c>
      <c r="BO687" s="166">
        <v>0</v>
      </c>
      <c r="BP687" s="166">
        <v>0</v>
      </c>
      <c r="BQ687" s="81" t="s">
        <v>1758</v>
      </c>
      <c r="BZ687" s="81" t="s">
        <v>155</v>
      </c>
      <c r="CA687" s="81" t="s">
        <v>3981</v>
      </c>
      <c r="CC687" s="167">
        <v>0</v>
      </c>
      <c r="CD687" s="167">
        <f>$N687/2</f>
        <v>-0.5</v>
      </c>
      <c r="CE687" s="167">
        <f>$N687/2</f>
        <v>-0.5</v>
      </c>
      <c r="CF687" s="167">
        <v>0</v>
      </c>
      <c r="CG687" s="167">
        <v>0</v>
      </c>
      <c r="CH687" s="167">
        <v>0</v>
      </c>
      <c r="CI687" s="167">
        <v>0</v>
      </c>
      <c r="CJ687" s="167">
        <v>0</v>
      </c>
      <c r="CK687" s="167">
        <v>0</v>
      </c>
      <c r="CL687" s="167">
        <v>0</v>
      </c>
      <c r="CM687" s="167">
        <v>0</v>
      </c>
      <c r="CN687" s="167">
        <v>0</v>
      </c>
      <c r="CO687" s="167">
        <v>0</v>
      </c>
      <c r="CP687" s="167">
        <v>0</v>
      </c>
      <c r="CQ687" s="167">
        <v>0</v>
      </c>
      <c r="CR687" s="167">
        <v>0</v>
      </c>
      <c r="CS687" s="167">
        <v>0</v>
      </c>
      <c r="CT687" s="167">
        <v>0</v>
      </c>
      <c r="CU687" s="167">
        <v>0</v>
      </c>
      <c r="CV687" s="167">
        <v>0</v>
      </c>
      <c r="CW687" s="167">
        <v>0</v>
      </c>
      <c r="CX687" s="167">
        <f>SUM(CD687:CH687)</f>
        <v>-1</v>
      </c>
      <c r="CY687" s="167">
        <f>SUM(CD687:CM687)</f>
        <v>-1</v>
      </c>
    </row>
    <row r="688" spans="1:103" ht="12.75" customHeight="1" x14ac:dyDescent="0.2">
      <c r="A688" s="81">
        <v>6582</v>
      </c>
      <c r="B688" s="165" t="s">
        <v>1908</v>
      </c>
      <c r="C688" s="165" t="s">
        <v>3700</v>
      </c>
      <c r="E688" s="165" t="s">
        <v>3701</v>
      </c>
      <c r="G688" s="81">
        <v>527193</v>
      </c>
      <c r="H688" s="81">
        <v>171540</v>
      </c>
      <c r="I688" s="165" t="s">
        <v>242</v>
      </c>
      <c r="J688" s="349">
        <v>43190</v>
      </c>
      <c r="L688" s="166">
        <v>2</v>
      </c>
      <c r="M688" s="166">
        <v>3</v>
      </c>
      <c r="N688" s="166">
        <v>1</v>
      </c>
      <c r="O688" s="166">
        <v>3</v>
      </c>
      <c r="P688" s="166">
        <v>1</v>
      </c>
      <c r="R688" s="165" t="s">
        <v>3702</v>
      </c>
      <c r="S688" s="81" t="s">
        <v>113</v>
      </c>
      <c r="T688" s="349">
        <v>42845</v>
      </c>
      <c r="U688" s="349">
        <v>42947</v>
      </c>
      <c r="V688" s="81" t="s">
        <v>155</v>
      </c>
      <c r="W688" s="81" t="s">
        <v>114</v>
      </c>
      <c r="Y688" s="81" t="s">
        <v>115</v>
      </c>
      <c r="Z688" s="81" t="s">
        <v>398</v>
      </c>
      <c r="AA688" s="81" t="s">
        <v>117</v>
      </c>
      <c r="AB688" s="81" t="s">
        <v>220</v>
      </c>
      <c r="AC688" s="166">
        <v>1.30000002682209E-2</v>
      </c>
      <c r="AD688" s="349">
        <v>43190</v>
      </c>
      <c r="AE688" s="81" t="s">
        <v>155</v>
      </c>
      <c r="AG688" s="81" t="s">
        <v>238</v>
      </c>
      <c r="AH688" s="81" t="s">
        <v>118</v>
      </c>
      <c r="AK688" s="166">
        <v>0</v>
      </c>
      <c r="AM688" s="166">
        <v>0</v>
      </c>
      <c r="AO688" s="166">
        <v>0</v>
      </c>
      <c r="AP688" s="166">
        <v>1</v>
      </c>
      <c r="AQ688" s="166">
        <v>-1</v>
      </c>
      <c r="AR688" s="166">
        <v>1</v>
      </c>
      <c r="AS688" s="166">
        <v>0</v>
      </c>
      <c r="AT688" s="166">
        <v>0</v>
      </c>
      <c r="AU688" s="166">
        <v>0</v>
      </c>
      <c r="AV688" s="166">
        <v>0</v>
      </c>
      <c r="AW688" s="166">
        <v>1</v>
      </c>
      <c r="AX688" s="166">
        <v>-1</v>
      </c>
      <c r="AY688" s="166">
        <v>1</v>
      </c>
      <c r="AZ688" s="166">
        <v>0</v>
      </c>
      <c r="BA688" s="166">
        <v>0</v>
      </c>
      <c r="BB688" s="166">
        <v>0</v>
      </c>
      <c r="BC688" s="166">
        <v>0</v>
      </c>
      <c r="BD688" s="166">
        <v>0</v>
      </c>
      <c r="BE688" s="166">
        <v>0</v>
      </c>
      <c r="BF688" s="166">
        <v>0</v>
      </c>
      <c r="BG688" s="166">
        <v>0</v>
      </c>
      <c r="BH688" s="166">
        <v>0</v>
      </c>
      <c r="BI688" s="166">
        <v>0</v>
      </c>
      <c r="BJ688" s="166">
        <v>0</v>
      </c>
      <c r="BK688" s="166">
        <v>0</v>
      </c>
      <c r="BL688" s="166">
        <v>0</v>
      </c>
      <c r="BM688" s="166">
        <v>0</v>
      </c>
      <c r="BN688" s="166">
        <v>0</v>
      </c>
      <c r="BO688" s="166">
        <v>0</v>
      </c>
      <c r="BP688" s="166">
        <v>0</v>
      </c>
      <c r="BQ688" s="81" t="s">
        <v>1757</v>
      </c>
      <c r="BZ688" s="81" t="s">
        <v>155</v>
      </c>
      <c r="CA688" s="81" t="s">
        <v>3981</v>
      </c>
      <c r="CC688" s="167">
        <v>0</v>
      </c>
      <c r="CD688" s="167">
        <f>$N688/2</f>
        <v>0.5</v>
      </c>
      <c r="CE688" s="167">
        <f>$N688/2</f>
        <v>0.5</v>
      </c>
      <c r="CF688" s="167">
        <v>0</v>
      </c>
      <c r="CG688" s="167">
        <v>0</v>
      </c>
      <c r="CH688" s="167">
        <v>0</v>
      </c>
      <c r="CI688" s="167">
        <v>0</v>
      </c>
      <c r="CJ688" s="167">
        <v>0</v>
      </c>
      <c r="CK688" s="167">
        <v>0</v>
      </c>
      <c r="CL688" s="167">
        <v>0</v>
      </c>
      <c r="CM688" s="167">
        <v>0</v>
      </c>
      <c r="CN688" s="167">
        <v>0</v>
      </c>
      <c r="CO688" s="167">
        <v>0</v>
      </c>
      <c r="CP688" s="167">
        <v>0</v>
      </c>
      <c r="CQ688" s="167">
        <v>0</v>
      </c>
      <c r="CR688" s="167">
        <v>0</v>
      </c>
      <c r="CS688" s="167">
        <v>0</v>
      </c>
      <c r="CT688" s="167">
        <v>0</v>
      </c>
      <c r="CU688" s="167">
        <v>0</v>
      </c>
      <c r="CV688" s="167">
        <v>0</v>
      </c>
      <c r="CW688" s="167">
        <v>0</v>
      </c>
      <c r="CX688" s="167">
        <f>SUM(CD688:CH688)</f>
        <v>1</v>
      </c>
      <c r="CY688" s="167">
        <f>SUM(CD688:CM688)</f>
        <v>1</v>
      </c>
    </row>
    <row r="689" spans="1:103" ht="12.75" customHeight="1" x14ac:dyDescent="0.2">
      <c r="A689" s="81">
        <v>6590</v>
      </c>
      <c r="B689" s="165" t="s">
        <v>1908</v>
      </c>
      <c r="C689" s="165" t="s">
        <v>3703</v>
      </c>
      <c r="E689" s="165" t="s">
        <v>3704</v>
      </c>
      <c r="G689" s="81">
        <v>527583</v>
      </c>
      <c r="H689" s="81">
        <v>174634</v>
      </c>
      <c r="I689" s="165" t="s">
        <v>255</v>
      </c>
      <c r="J689" s="349">
        <v>43190</v>
      </c>
      <c r="L689" s="166">
        <v>1</v>
      </c>
      <c r="M689" s="166">
        <v>2</v>
      </c>
      <c r="N689" s="166">
        <v>1</v>
      </c>
      <c r="O689" s="166">
        <v>2</v>
      </c>
      <c r="P689" s="166">
        <v>1</v>
      </c>
      <c r="R689" s="165" t="s">
        <v>3705</v>
      </c>
      <c r="S689" s="81" t="s">
        <v>113</v>
      </c>
      <c r="T689" s="349">
        <v>42965</v>
      </c>
      <c r="U689" s="349">
        <v>43021</v>
      </c>
      <c r="V689" s="81" t="s">
        <v>155</v>
      </c>
      <c r="W689" s="81" t="s">
        <v>114</v>
      </c>
      <c r="Y689" s="81" t="s">
        <v>115</v>
      </c>
      <c r="Z689" s="81" t="s">
        <v>398</v>
      </c>
      <c r="AA689" s="81" t="s">
        <v>117</v>
      </c>
      <c r="AB689" s="81" t="s">
        <v>220</v>
      </c>
      <c r="AC689" s="166">
        <v>1.09999999403954E-2</v>
      </c>
      <c r="AD689" s="349">
        <v>43190</v>
      </c>
      <c r="AE689" s="81" t="s">
        <v>155</v>
      </c>
      <c r="AG689" s="81" t="s">
        <v>238</v>
      </c>
      <c r="AH689" s="81" t="s">
        <v>118</v>
      </c>
      <c r="AK689" s="166">
        <v>0</v>
      </c>
      <c r="AM689" s="166">
        <v>0</v>
      </c>
      <c r="AO689" s="166">
        <v>0</v>
      </c>
      <c r="AP689" s="166">
        <v>1</v>
      </c>
      <c r="AQ689" s="166">
        <v>1</v>
      </c>
      <c r="AR689" s="166">
        <v>-1</v>
      </c>
      <c r="AS689" s="166">
        <v>0</v>
      </c>
      <c r="AT689" s="166">
        <v>0</v>
      </c>
      <c r="AU689" s="166">
        <v>0</v>
      </c>
      <c r="AV689" s="166">
        <v>0</v>
      </c>
      <c r="AW689" s="166">
        <v>1</v>
      </c>
      <c r="AX689" s="166">
        <v>1</v>
      </c>
      <c r="AY689" s="166">
        <v>-1</v>
      </c>
      <c r="AZ689" s="166">
        <v>0</v>
      </c>
      <c r="BA689" s="166">
        <v>0</v>
      </c>
      <c r="BB689" s="166">
        <v>0</v>
      </c>
      <c r="BC689" s="166">
        <v>0</v>
      </c>
      <c r="BD689" s="166">
        <v>0</v>
      </c>
      <c r="BE689" s="166">
        <v>0</v>
      </c>
      <c r="BF689" s="166">
        <v>0</v>
      </c>
      <c r="BG689" s="166">
        <v>0</v>
      </c>
      <c r="BH689" s="166">
        <v>0</v>
      </c>
      <c r="BI689" s="166">
        <v>0</v>
      </c>
      <c r="BJ689" s="166">
        <v>0</v>
      </c>
      <c r="BK689" s="166">
        <v>0</v>
      </c>
      <c r="BL689" s="166">
        <v>0</v>
      </c>
      <c r="BM689" s="166">
        <v>0</v>
      </c>
      <c r="BN689" s="166">
        <v>0</v>
      </c>
      <c r="BO689" s="166">
        <v>0</v>
      </c>
      <c r="BP689" s="166">
        <v>0</v>
      </c>
      <c r="BQ689" s="81" t="s">
        <v>1757</v>
      </c>
      <c r="BZ689" s="81" t="s">
        <v>155</v>
      </c>
      <c r="CA689" s="81" t="s">
        <v>3981</v>
      </c>
      <c r="CC689" s="167">
        <v>0</v>
      </c>
      <c r="CD689" s="167">
        <f>$N689/2</f>
        <v>0.5</v>
      </c>
      <c r="CE689" s="167">
        <f>$N689/2</f>
        <v>0.5</v>
      </c>
      <c r="CF689" s="167">
        <v>0</v>
      </c>
      <c r="CG689" s="167">
        <v>0</v>
      </c>
      <c r="CH689" s="167">
        <v>0</v>
      </c>
      <c r="CI689" s="167">
        <v>0</v>
      </c>
      <c r="CJ689" s="167">
        <v>0</v>
      </c>
      <c r="CK689" s="167">
        <v>0</v>
      </c>
      <c r="CL689" s="167">
        <v>0</v>
      </c>
      <c r="CM689" s="167">
        <v>0</v>
      </c>
      <c r="CN689" s="167">
        <v>0</v>
      </c>
      <c r="CO689" s="167">
        <v>0</v>
      </c>
      <c r="CP689" s="167">
        <v>0</v>
      </c>
      <c r="CQ689" s="167">
        <v>0</v>
      </c>
      <c r="CR689" s="167">
        <v>0</v>
      </c>
      <c r="CS689" s="167">
        <v>0</v>
      </c>
      <c r="CT689" s="167">
        <v>0</v>
      </c>
      <c r="CU689" s="167">
        <v>0</v>
      </c>
      <c r="CV689" s="167">
        <v>0</v>
      </c>
      <c r="CW689" s="167">
        <v>0</v>
      </c>
      <c r="CX689" s="167">
        <f>SUM(CD689:CH689)</f>
        <v>1</v>
      </c>
      <c r="CY689" s="167">
        <f>SUM(CD689:CM689)</f>
        <v>1</v>
      </c>
    </row>
    <row r="690" spans="1:103" ht="12.75" customHeight="1" x14ac:dyDescent="0.2">
      <c r="A690" s="81">
        <v>6598</v>
      </c>
      <c r="B690" s="165" t="s">
        <v>1908</v>
      </c>
      <c r="C690" s="165" t="s">
        <v>3706</v>
      </c>
      <c r="E690" s="165" t="s">
        <v>3707</v>
      </c>
      <c r="G690" s="81">
        <v>525154</v>
      </c>
      <c r="H690" s="81">
        <v>173412</v>
      </c>
      <c r="I690" s="165" t="s">
        <v>258</v>
      </c>
      <c r="J690" s="349">
        <v>43190</v>
      </c>
      <c r="L690" s="166">
        <v>0</v>
      </c>
      <c r="M690" s="166">
        <v>1</v>
      </c>
      <c r="N690" s="166">
        <v>1</v>
      </c>
      <c r="O690" s="166">
        <v>1</v>
      </c>
      <c r="P690" s="166">
        <v>1</v>
      </c>
      <c r="R690" s="165" t="s">
        <v>3708</v>
      </c>
      <c r="S690" s="81" t="s">
        <v>113</v>
      </c>
      <c r="T690" s="349">
        <v>42885</v>
      </c>
      <c r="U690" s="349">
        <v>42941</v>
      </c>
      <c r="V690" s="81" t="s">
        <v>155</v>
      </c>
      <c r="W690" s="81" t="s">
        <v>114</v>
      </c>
      <c r="Y690" s="81" t="s">
        <v>115</v>
      </c>
      <c r="Z690" s="81" t="s">
        <v>116</v>
      </c>
      <c r="AA690" s="81" t="s">
        <v>117</v>
      </c>
      <c r="AB690" s="81" t="s">
        <v>218</v>
      </c>
      <c r="AC690" s="166">
        <v>7.0000002160668399E-3</v>
      </c>
      <c r="AD690" s="349">
        <v>43190</v>
      </c>
      <c r="AE690" s="81" t="s">
        <v>155</v>
      </c>
      <c r="AG690" s="81" t="s">
        <v>238</v>
      </c>
      <c r="AH690" s="81" t="s">
        <v>118</v>
      </c>
      <c r="AK690" s="166">
        <v>0</v>
      </c>
      <c r="AM690" s="166">
        <v>0</v>
      </c>
      <c r="AO690" s="166">
        <v>0</v>
      </c>
      <c r="AP690" s="166">
        <v>0</v>
      </c>
      <c r="AQ690" s="166">
        <v>1</v>
      </c>
      <c r="AR690" s="166">
        <v>0</v>
      </c>
      <c r="AS690" s="166">
        <v>0</v>
      </c>
      <c r="AT690" s="166">
        <v>0</v>
      </c>
      <c r="AU690" s="166">
        <v>0</v>
      </c>
      <c r="AV690" s="166">
        <v>0</v>
      </c>
      <c r="AW690" s="166">
        <v>0</v>
      </c>
      <c r="AX690" s="166">
        <v>0</v>
      </c>
      <c r="AY690" s="166">
        <v>0</v>
      </c>
      <c r="AZ690" s="166">
        <v>0</v>
      </c>
      <c r="BA690" s="166">
        <v>0</v>
      </c>
      <c r="BB690" s="166">
        <v>0</v>
      </c>
      <c r="BC690" s="166">
        <v>0</v>
      </c>
      <c r="BD690" s="166">
        <v>0</v>
      </c>
      <c r="BE690" s="166">
        <v>1</v>
      </c>
      <c r="BF690" s="166">
        <v>0</v>
      </c>
      <c r="BG690" s="166">
        <v>0</v>
      </c>
      <c r="BH690" s="166">
        <v>0</v>
      </c>
      <c r="BI690" s="166">
        <v>0</v>
      </c>
      <c r="BJ690" s="166">
        <v>0</v>
      </c>
      <c r="BK690" s="166">
        <v>0</v>
      </c>
      <c r="BL690" s="166">
        <v>0</v>
      </c>
      <c r="BM690" s="166">
        <v>0</v>
      </c>
      <c r="BN690" s="166">
        <v>0</v>
      </c>
      <c r="BO690" s="166">
        <v>0</v>
      </c>
      <c r="BP690" s="166">
        <v>0</v>
      </c>
      <c r="BQ690" s="81" t="s">
        <v>1758</v>
      </c>
      <c r="BZ690" s="81" t="s">
        <v>155</v>
      </c>
      <c r="CA690" s="81" t="s">
        <v>3977</v>
      </c>
      <c r="CC690" s="167">
        <v>0</v>
      </c>
      <c r="CD690" s="167">
        <f>$N690/2</f>
        <v>0.5</v>
      </c>
      <c r="CE690" s="167">
        <f>$N690/2</f>
        <v>0.5</v>
      </c>
      <c r="CF690" s="167">
        <v>0</v>
      </c>
      <c r="CG690" s="167">
        <v>0</v>
      </c>
      <c r="CH690" s="167">
        <v>0</v>
      </c>
      <c r="CI690" s="167">
        <v>0</v>
      </c>
      <c r="CJ690" s="167">
        <v>0</v>
      </c>
      <c r="CK690" s="167">
        <v>0</v>
      </c>
      <c r="CL690" s="167">
        <v>0</v>
      </c>
      <c r="CM690" s="167">
        <v>0</v>
      </c>
      <c r="CN690" s="167">
        <v>0</v>
      </c>
      <c r="CO690" s="167">
        <v>0</v>
      </c>
      <c r="CP690" s="167">
        <v>0</v>
      </c>
      <c r="CQ690" s="167">
        <v>0</v>
      </c>
      <c r="CR690" s="167">
        <v>0</v>
      </c>
      <c r="CS690" s="167">
        <v>0</v>
      </c>
      <c r="CT690" s="167">
        <v>0</v>
      </c>
      <c r="CU690" s="167">
        <v>0</v>
      </c>
      <c r="CV690" s="167">
        <v>0</v>
      </c>
      <c r="CW690" s="167">
        <v>0</v>
      </c>
      <c r="CX690" s="167">
        <f>SUM(CD690:CH690)</f>
        <v>1</v>
      </c>
      <c r="CY690" s="167">
        <f>SUM(CD690:CM690)</f>
        <v>1</v>
      </c>
    </row>
    <row r="691" spans="1:103" ht="12.75" customHeight="1" x14ac:dyDescent="0.2">
      <c r="A691" s="81">
        <v>6615</v>
      </c>
      <c r="B691" s="165" t="s">
        <v>1908</v>
      </c>
      <c r="C691" s="165" t="s">
        <v>3709</v>
      </c>
      <c r="E691" s="165" t="s">
        <v>3710</v>
      </c>
      <c r="G691" s="81">
        <v>528918</v>
      </c>
      <c r="H691" s="81">
        <v>174074</v>
      </c>
      <c r="I691" s="165" t="s">
        <v>247</v>
      </c>
      <c r="J691" s="349">
        <v>43190</v>
      </c>
      <c r="L691" s="166">
        <v>1</v>
      </c>
      <c r="M691" s="166">
        <v>2</v>
      </c>
      <c r="N691" s="166">
        <v>1</v>
      </c>
      <c r="O691" s="166">
        <v>2</v>
      </c>
      <c r="P691" s="166">
        <v>1</v>
      </c>
      <c r="R691" s="165" t="s">
        <v>3711</v>
      </c>
      <c r="S691" s="81" t="s">
        <v>113</v>
      </c>
      <c r="T691" s="349">
        <v>42892</v>
      </c>
      <c r="U691" s="349">
        <v>42962</v>
      </c>
      <c r="V691" s="81" t="s">
        <v>155</v>
      </c>
      <c r="W691" s="81" t="s">
        <v>114</v>
      </c>
      <c r="Y691" s="81" t="s">
        <v>115</v>
      </c>
      <c r="Z691" s="81" t="s">
        <v>398</v>
      </c>
      <c r="AA691" s="81" t="s">
        <v>117</v>
      </c>
      <c r="AB691" s="81" t="s">
        <v>120</v>
      </c>
      <c r="AC691" s="166">
        <v>1.09999999403954E-2</v>
      </c>
      <c r="AD691" s="349">
        <v>43190</v>
      </c>
      <c r="AE691" s="81" t="s">
        <v>155</v>
      </c>
      <c r="AG691" s="81" t="s">
        <v>238</v>
      </c>
      <c r="AH691" s="81" t="s">
        <v>118</v>
      </c>
      <c r="AK691" s="166">
        <v>0</v>
      </c>
      <c r="AM691" s="166">
        <v>0</v>
      </c>
      <c r="AO691" s="166">
        <v>0</v>
      </c>
      <c r="AP691" s="166">
        <v>0</v>
      </c>
      <c r="AQ691" s="166">
        <v>0</v>
      </c>
      <c r="AR691" s="166">
        <v>1</v>
      </c>
      <c r="AS691" s="166">
        <v>0</v>
      </c>
      <c r="AT691" s="166">
        <v>0</v>
      </c>
      <c r="AU691" s="166">
        <v>0</v>
      </c>
      <c r="AV691" s="166">
        <v>0</v>
      </c>
      <c r="AW691" s="166">
        <v>0</v>
      </c>
      <c r="AX691" s="166">
        <v>0</v>
      </c>
      <c r="AY691" s="166">
        <v>2</v>
      </c>
      <c r="AZ691" s="166">
        <v>0</v>
      </c>
      <c r="BA691" s="166">
        <v>0</v>
      </c>
      <c r="BB691" s="166">
        <v>0</v>
      </c>
      <c r="BC691" s="166">
        <v>0</v>
      </c>
      <c r="BD691" s="166">
        <v>0</v>
      </c>
      <c r="BE691" s="166">
        <v>0</v>
      </c>
      <c r="BF691" s="166">
        <v>-1</v>
      </c>
      <c r="BG691" s="166">
        <v>0</v>
      </c>
      <c r="BH691" s="166">
        <v>0</v>
      </c>
      <c r="BI691" s="166">
        <v>0</v>
      </c>
      <c r="BJ691" s="166">
        <v>0</v>
      </c>
      <c r="BK691" s="166">
        <v>0</v>
      </c>
      <c r="BL691" s="166">
        <v>0</v>
      </c>
      <c r="BM691" s="166">
        <v>0</v>
      </c>
      <c r="BN691" s="166">
        <v>0</v>
      </c>
      <c r="BO691" s="166">
        <v>0</v>
      </c>
      <c r="BP691" s="166">
        <v>0</v>
      </c>
      <c r="BQ691" s="81" t="s">
        <v>1757</v>
      </c>
      <c r="BZ691" s="81" t="s">
        <v>155</v>
      </c>
      <c r="CA691" s="81" t="s">
        <v>3981</v>
      </c>
      <c r="CC691" s="167">
        <v>0</v>
      </c>
      <c r="CD691" s="167">
        <f>$N691/2</f>
        <v>0.5</v>
      </c>
      <c r="CE691" s="167">
        <f>$N691/2</f>
        <v>0.5</v>
      </c>
      <c r="CF691" s="167">
        <v>0</v>
      </c>
      <c r="CG691" s="167">
        <v>0</v>
      </c>
      <c r="CH691" s="167">
        <v>0</v>
      </c>
      <c r="CI691" s="167">
        <v>0</v>
      </c>
      <c r="CJ691" s="167">
        <v>0</v>
      </c>
      <c r="CK691" s="167">
        <v>0</v>
      </c>
      <c r="CL691" s="167">
        <v>0</v>
      </c>
      <c r="CM691" s="167">
        <v>0</v>
      </c>
      <c r="CN691" s="167">
        <v>0</v>
      </c>
      <c r="CO691" s="167">
        <v>0</v>
      </c>
      <c r="CP691" s="167">
        <v>0</v>
      </c>
      <c r="CQ691" s="167">
        <v>0</v>
      </c>
      <c r="CR691" s="167">
        <v>0</v>
      </c>
      <c r="CS691" s="167">
        <v>0</v>
      </c>
      <c r="CT691" s="167">
        <v>0</v>
      </c>
      <c r="CU691" s="167">
        <v>0</v>
      </c>
      <c r="CV691" s="167">
        <v>0</v>
      </c>
      <c r="CW691" s="167">
        <v>0</v>
      </c>
      <c r="CX691" s="167">
        <f>SUM(CD691:CH691)</f>
        <v>1</v>
      </c>
      <c r="CY691" s="167">
        <f>SUM(CD691:CM691)</f>
        <v>1</v>
      </c>
    </row>
    <row r="692" spans="1:103" ht="12.75" customHeight="1" x14ac:dyDescent="0.2">
      <c r="A692" s="81">
        <v>6621</v>
      </c>
      <c r="B692" s="165" t="s">
        <v>1908</v>
      </c>
      <c r="C692" s="165" t="s">
        <v>3712</v>
      </c>
      <c r="E692" s="165" t="s">
        <v>3713</v>
      </c>
      <c r="G692" s="81">
        <v>523351</v>
      </c>
      <c r="H692" s="81">
        <v>175746</v>
      </c>
      <c r="I692" s="165" t="s">
        <v>259</v>
      </c>
      <c r="J692" s="349">
        <v>43190</v>
      </c>
      <c r="L692" s="166">
        <v>2</v>
      </c>
      <c r="M692" s="166">
        <v>1</v>
      </c>
      <c r="N692" s="166">
        <v>-1</v>
      </c>
      <c r="O692" s="166">
        <v>1</v>
      </c>
      <c r="P692" s="166">
        <v>-1</v>
      </c>
      <c r="R692" s="165" t="s">
        <v>3714</v>
      </c>
      <c r="S692" s="81" t="s">
        <v>113</v>
      </c>
      <c r="T692" s="349">
        <v>42895</v>
      </c>
      <c r="U692" s="349">
        <v>42951</v>
      </c>
      <c r="V692" s="81" t="s">
        <v>155</v>
      </c>
      <c r="W692" s="81" t="s">
        <v>114</v>
      </c>
      <c r="Y692" s="81" t="s">
        <v>115</v>
      </c>
      <c r="Z692" s="81" t="s">
        <v>398</v>
      </c>
      <c r="AA692" s="81" t="s">
        <v>117</v>
      </c>
      <c r="AB692" s="81" t="s">
        <v>336</v>
      </c>
      <c r="AC692" s="166">
        <v>1.2000000104308101E-2</v>
      </c>
      <c r="AD692" s="349">
        <v>43190</v>
      </c>
      <c r="AE692" s="81" t="s">
        <v>155</v>
      </c>
      <c r="AG692" s="81" t="s">
        <v>238</v>
      </c>
      <c r="AH692" s="81" t="s">
        <v>118</v>
      </c>
      <c r="AK692" s="166">
        <v>0</v>
      </c>
      <c r="AM692" s="166">
        <v>0</v>
      </c>
      <c r="AO692" s="166">
        <v>0</v>
      </c>
      <c r="AP692" s="166">
        <v>-1</v>
      </c>
      <c r="AQ692" s="166">
        <v>0</v>
      </c>
      <c r="AR692" s="166">
        <v>-1</v>
      </c>
      <c r="AS692" s="166">
        <v>0</v>
      </c>
      <c r="AT692" s="166">
        <v>1</v>
      </c>
      <c r="AU692" s="166">
        <v>0</v>
      </c>
      <c r="AV692" s="166">
        <v>0</v>
      </c>
      <c r="AW692" s="166">
        <v>-1</v>
      </c>
      <c r="AX692" s="166">
        <v>0</v>
      </c>
      <c r="AY692" s="166">
        <v>-1</v>
      </c>
      <c r="AZ692" s="166">
        <v>0</v>
      </c>
      <c r="BA692" s="166">
        <v>0</v>
      </c>
      <c r="BB692" s="166">
        <v>0</v>
      </c>
      <c r="BC692" s="166">
        <v>0</v>
      </c>
      <c r="BD692" s="166">
        <v>0</v>
      </c>
      <c r="BE692" s="166">
        <v>0</v>
      </c>
      <c r="BF692" s="166">
        <v>0</v>
      </c>
      <c r="BG692" s="166">
        <v>0</v>
      </c>
      <c r="BH692" s="166">
        <v>1</v>
      </c>
      <c r="BI692" s="166">
        <v>0</v>
      </c>
      <c r="BJ692" s="166">
        <v>0</v>
      </c>
      <c r="BK692" s="166">
        <v>0</v>
      </c>
      <c r="BL692" s="166">
        <v>0</v>
      </c>
      <c r="BM692" s="166">
        <v>0</v>
      </c>
      <c r="BN692" s="166">
        <v>0</v>
      </c>
      <c r="BO692" s="166">
        <v>0</v>
      </c>
      <c r="BP692" s="166">
        <v>0</v>
      </c>
      <c r="BQ692" s="81" t="s">
        <v>1758</v>
      </c>
      <c r="BZ692" s="81" t="s">
        <v>155</v>
      </c>
      <c r="CA692" s="81" t="s">
        <v>3981</v>
      </c>
      <c r="CC692" s="167">
        <v>0</v>
      </c>
      <c r="CD692" s="167">
        <f>$N692/2</f>
        <v>-0.5</v>
      </c>
      <c r="CE692" s="167">
        <f>$N692/2</f>
        <v>-0.5</v>
      </c>
      <c r="CF692" s="167">
        <v>0</v>
      </c>
      <c r="CG692" s="167">
        <v>0</v>
      </c>
      <c r="CH692" s="167">
        <v>0</v>
      </c>
      <c r="CI692" s="167">
        <v>0</v>
      </c>
      <c r="CJ692" s="167">
        <v>0</v>
      </c>
      <c r="CK692" s="167">
        <v>0</v>
      </c>
      <c r="CL692" s="167">
        <v>0</v>
      </c>
      <c r="CM692" s="167">
        <v>0</v>
      </c>
      <c r="CN692" s="167">
        <v>0</v>
      </c>
      <c r="CO692" s="167">
        <v>0</v>
      </c>
      <c r="CP692" s="167">
        <v>0</v>
      </c>
      <c r="CQ692" s="167">
        <v>0</v>
      </c>
      <c r="CR692" s="167">
        <v>0</v>
      </c>
      <c r="CS692" s="167">
        <v>0</v>
      </c>
      <c r="CT692" s="167">
        <v>0</v>
      </c>
      <c r="CU692" s="167">
        <v>0</v>
      </c>
      <c r="CV692" s="167">
        <v>0</v>
      </c>
      <c r="CW692" s="167">
        <v>0</v>
      </c>
      <c r="CX692" s="167">
        <f>SUM(CD692:CH692)</f>
        <v>-1</v>
      </c>
      <c r="CY692" s="167">
        <f>SUM(CD692:CM692)</f>
        <v>-1</v>
      </c>
    </row>
    <row r="693" spans="1:103" ht="12.75" customHeight="1" x14ac:dyDescent="0.2">
      <c r="A693" s="81">
        <v>6630</v>
      </c>
      <c r="B693" s="165" t="s">
        <v>1908</v>
      </c>
      <c r="C693" s="165" t="s">
        <v>3715</v>
      </c>
      <c r="E693" s="165" t="s">
        <v>3716</v>
      </c>
      <c r="G693" s="81">
        <v>524488</v>
      </c>
      <c r="H693" s="81">
        <v>175048</v>
      </c>
      <c r="I693" s="165" t="s">
        <v>259</v>
      </c>
      <c r="J693" s="349">
        <v>43190</v>
      </c>
      <c r="L693" s="166">
        <v>0</v>
      </c>
      <c r="M693" s="166">
        <v>1</v>
      </c>
      <c r="N693" s="166">
        <v>1</v>
      </c>
      <c r="O693" s="166">
        <v>1</v>
      </c>
      <c r="P693" s="166">
        <v>1</v>
      </c>
      <c r="R693" s="165" t="s">
        <v>3717</v>
      </c>
      <c r="S693" s="81" t="s">
        <v>113</v>
      </c>
      <c r="T693" s="349">
        <v>43026</v>
      </c>
      <c r="U693" s="349">
        <v>43133</v>
      </c>
      <c r="V693" s="81" t="s">
        <v>155</v>
      </c>
      <c r="W693" s="81" t="s">
        <v>114</v>
      </c>
      <c r="Y693" s="81" t="s">
        <v>115</v>
      </c>
      <c r="Z693" s="81" t="s">
        <v>398</v>
      </c>
      <c r="AA693" s="81" t="s">
        <v>117</v>
      </c>
      <c r="AB693" s="81" t="s">
        <v>218</v>
      </c>
      <c r="AC693" s="166">
        <v>6.0000000521540598E-3</v>
      </c>
      <c r="AD693" s="349">
        <v>43190</v>
      </c>
      <c r="AE693" s="81" t="s">
        <v>155</v>
      </c>
      <c r="AG693" s="81" t="s">
        <v>238</v>
      </c>
      <c r="AH693" s="81" t="s">
        <v>118</v>
      </c>
      <c r="AK693" s="166">
        <v>0</v>
      </c>
      <c r="AM693" s="166">
        <v>0</v>
      </c>
      <c r="AO693" s="166">
        <v>0</v>
      </c>
      <c r="AP693" s="166">
        <v>0</v>
      </c>
      <c r="AQ693" s="166">
        <v>0</v>
      </c>
      <c r="AR693" s="166">
        <v>1</v>
      </c>
      <c r="AS693" s="166">
        <v>0</v>
      </c>
      <c r="AT693" s="166">
        <v>0</v>
      </c>
      <c r="AU693" s="166">
        <v>0</v>
      </c>
      <c r="AV693" s="166">
        <v>0</v>
      </c>
      <c r="AW693" s="166">
        <v>0</v>
      </c>
      <c r="AX693" s="166">
        <v>0</v>
      </c>
      <c r="AY693" s="166">
        <v>1</v>
      </c>
      <c r="AZ693" s="166">
        <v>0</v>
      </c>
      <c r="BA693" s="166">
        <v>0</v>
      </c>
      <c r="BB693" s="166">
        <v>0</v>
      </c>
      <c r="BC693" s="166">
        <v>0</v>
      </c>
      <c r="BD693" s="166">
        <v>0</v>
      </c>
      <c r="BE693" s="166">
        <v>0</v>
      </c>
      <c r="BF693" s="166">
        <v>0</v>
      </c>
      <c r="BG693" s="166">
        <v>0</v>
      </c>
      <c r="BH693" s="166">
        <v>0</v>
      </c>
      <c r="BI693" s="166">
        <v>0</v>
      </c>
      <c r="BJ693" s="166">
        <v>0</v>
      </c>
      <c r="BK693" s="166">
        <v>0</v>
      </c>
      <c r="BL693" s="166">
        <v>0</v>
      </c>
      <c r="BM693" s="166">
        <v>0</v>
      </c>
      <c r="BN693" s="166">
        <v>0</v>
      </c>
      <c r="BO693" s="166">
        <v>0</v>
      </c>
      <c r="BP693" s="166">
        <v>0</v>
      </c>
      <c r="BQ693" s="81" t="s">
        <v>1758</v>
      </c>
      <c r="BZ693" s="81" t="s">
        <v>155</v>
      </c>
      <c r="CA693" s="81" t="s">
        <v>3981</v>
      </c>
      <c r="CC693" s="167">
        <v>0</v>
      </c>
      <c r="CD693" s="167">
        <f>$N693/2</f>
        <v>0.5</v>
      </c>
      <c r="CE693" s="167">
        <f>$N693/2</f>
        <v>0.5</v>
      </c>
      <c r="CF693" s="167">
        <v>0</v>
      </c>
      <c r="CG693" s="167">
        <v>0</v>
      </c>
      <c r="CH693" s="167">
        <v>0</v>
      </c>
      <c r="CI693" s="167">
        <v>0</v>
      </c>
      <c r="CJ693" s="167">
        <v>0</v>
      </c>
      <c r="CK693" s="167">
        <v>0</v>
      </c>
      <c r="CL693" s="167">
        <v>0</v>
      </c>
      <c r="CM693" s="167">
        <v>0</v>
      </c>
      <c r="CN693" s="167">
        <v>0</v>
      </c>
      <c r="CO693" s="167">
        <v>0</v>
      </c>
      <c r="CP693" s="167">
        <v>0</v>
      </c>
      <c r="CQ693" s="167">
        <v>0</v>
      </c>
      <c r="CR693" s="167">
        <v>0</v>
      </c>
      <c r="CS693" s="167">
        <v>0</v>
      </c>
      <c r="CT693" s="167">
        <v>0</v>
      </c>
      <c r="CU693" s="167">
        <v>0</v>
      </c>
      <c r="CV693" s="167">
        <v>0</v>
      </c>
      <c r="CW693" s="167">
        <v>0</v>
      </c>
      <c r="CX693" s="167">
        <f>SUM(CD693:CH693)</f>
        <v>1</v>
      </c>
      <c r="CY693" s="167">
        <f>SUM(CD693:CM693)</f>
        <v>1</v>
      </c>
    </row>
    <row r="694" spans="1:103" ht="12.75" customHeight="1" x14ac:dyDescent="0.2">
      <c r="A694" s="81">
        <v>6636</v>
      </c>
      <c r="B694" s="165" t="s">
        <v>1908</v>
      </c>
      <c r="C694" s="165" t="s">
        <v>3718</v>
      </c>
      <c r="E694" s="165" t="s">
        <v>3719</v>
      </c>
      <c r="G694" s="81">
        <v>527555</v>
      </c>
      <c r="H694" s="81">
        <v>175030</v>
      </c>
      <c r="I694" s="165" t="s">
        <v>255</v>
      </c>
      <c r="J694" s="349">
        <v>43190</v>
      </c>
      <c r="L694" s="166">
        <v>1</v>
      </c>
      <c r="M694" s="166">
        <v>3</v>
      </c>
      <c r="N694" s="166">
        <v>2</v>
      </c>
      <c r="O694" s="166">
        <v>3</v>
      </c>
      <c r="P694" s="166">
        <v>2</v>
      </c>
      <c r="R694" s="165" t="s">
        <v>3720</v>
      </c>
      <c r="S694" s="81" t="s">
        <v>113</v>
      </c>
      <c r="T694" s="349">
        <v>42906</v>
      </c>
      <c r="U694" s="349">
        <v>43003</v>
      </c>
      <c r="V694" s="81" t="s">
        <v>155</v>
      </c>
      <c r="W694" s="81" t="s">
        <v>114</v>
      </c>
      <c r="Y694" s="81" t="s">
        <v>115</v>
      </c>
      <c r="Z694" s="81" t="s">
        <v>119</v>
      </c>
      <c r="AA694" s="81" t="s">
        <v>117</v>
      </c>
      <c r="AB694" s="81" t="s">
        <v>120</v>
      </c>
      <c r="AC694" s="166">
        <v>1.2000000104308101E-2</v>
      </c>
      <c r="AD694" s="349">
        <v>43190</v>
      </c>
      <c r="AE694" s="81" t="s">
        <v>155</v>
      </c>
      <c r="AG694" s="81" t="s">
        <v>238</v>
      </c>
      <c r="AH694" s="81" t="s">
        <v>118</v>
      </c>
      <c r="AK694" s="166">
        <v>0</v>
      </c>
      <c r="AM694" s="166">
        <v>0</v>
      </c>
      <c r="AO694" s="166">
        <v>0</v>
      </c>
      <c r="AP694" s="166">
        <v>1</v>
      </c>
      <c r="AQ694" s="166">
        <v>1</v>
      </c>
      <c r="AR694" s="166">
        <v>1</v>
      </c>
      <c r="AS694" s="166">
        <v>-1</v>
      </c>
      <c r="AT694" s="166">
        <v>0</v>
      </c>
      <c r="AU694" s="166">
        <v>0</v>
      </c>
      <c r="AV694" s="166">
        <v>0</v>
      </c>
      <c r="AW694" s="166">
        <v>1</v>
      </c>
      <c r="AX694" s="166">
        <v>1</v>
      </c>
      <c r="AY694" s="166">
        <v>1</v>
      </c>
      <c r="AZ694" s="166">
        <v>0</v>
      </c>
      <c r="BA694" s="166">
        <v>0</v>
      </c>
      <c r="BB694" s="166">
        <v>0</v>
      </c>
      <c r="BC694" s="166">
        <v>0</v>
      </c>
      <c r="BD694" s="166">
        <v>0</v>
      </c>
      <c r="BE694" s="166">
        <v>0</v>
      </c>
      <c r="BF694" s="166">
        <v>0</v>
      </c>
      <c r="BG694" s="166">
        <v>-1</v>
      </c>
      <c r="BH694" s="166">
        <v>0</v>
      </c>
      <c r="BI694" s="166">
        <v>0</v>
      </c>
      <c r="BJ694" s="166">
        <v>0</v>
      </c>
      <c r="BK694" s="166">
        <v>0</v>
      </c>
      <c r="BL694" s="166">
        <v>0</v>
      </c>
      <c r="BM694" s="166">
        <v>0</v>
      </c>
      <c r="BN694" s="166">
        <v>0</v>
      </c>
      <c r="BO694" s="166">
        <v>0</v>
      </c>
      <c r="BP694" s="166">
        <v>0</v>
      </c>
      <c r="BQ694" s="81" t="s">
        <v>1757</v>
      </c>
      <c r="BZ694" s="81" t="s">
        <v>155</v>
      </c>
      <c r="CA694" s="81" t="s">
        <v>3981</v>
      </c>
      <c r="CC694" s="167">
        <v>0</v>
      </c>
      <c r="CD694" s="167">
        <f>$N694/2</f>
        <v>1</v>
      </c>
      <c r="CE694" s="167">
        <f>$N694/2</f>
        <v>1</v>
      </c>
      <c r="CF694" s="167">
        <v>0</v>
      </c>
      <c r="CG694" s="167">
        <v>0</v>
      </c>
      <c r="CH694" s="167">
        <v>0</v>
      </c>
      <c r="CI694" s="167">
        <v>0</v>
      </c>
      <c r="CJ694" s="167">
        <v>0</v>
      </c>
      <c r="CK694" s="167">
        <v>0</v>
      </c>
      <c r="CL694" s="167">
        <v>0</v>
      </c>
      <c r="CM694" s="167">
        <v>0</v>
      </c>
      <c r="CN694" s="167">
        <v>0</v>
      </c>
      <c r="CO694" s="167">
        <v>0</v>
      </c>
      <c r="CP694" s="167">
        <v>0</v>
      </c>
      <c r="CQ694" s="167">
        <v>0</v>
      </c>
      <c r="CR694" s="167">
        <v>0</v>
      </c>
      <c r="CS694" s="167">
        <v>0</v>
      </c>
      <c r="CT694" s="167">
        <v>0</v>
      </c>
      <c r="CU694" s="167">
        <v>0</v>
      </c>
      <c r="CV694" s="167">
        <v>0</v>
      </c>
      <c r="CW694" s="167">
        <v>0</v>
      </c>
      <c r="CX694" s="167">
        <f>SUM(CD694:CH694)</f>
        <v>2</v>
      </c>
      <c r="CY694" s="167">
        <f>SUM(CD694:CM694)</f>
        <v>2</v>
      </c>
    </row>
    <row r="695" spans="1:103" ht="12.75" customHeight="1" x14ac:dyDescent="0.2">
      <c r="A695" s="81">
        <v>6638</v>
      </c>
      <c r="B695" s="165" t="s">
        <v>1908</v>
      </c>
      <c r="C695" s="165" t="s">
        <v>3721</v>
      </c>
      <c r="E695" s="165" t="s">
        <v>3722</v>
      </c>
      <c r="G695" s="81">
        <v>529477</v>
      </c>
      <c r="H695" s="81">
        <v>170860</v>
      </c>
      <c r="I695" s="165" t="s">
        <v>252</v>
      </c>
      <c r="J695" s="349">
        <v>43190</v>
      </c>
      <c r="L695" s="166">
        <v>0</v>
      </c>
      <c r="M695" s="166">
        <v>1</v>
      </c>
      <c r="N695" s="166">
        <v>1</v>
      </c>
      <c r="O695" s="166">
        <v>1</v>
      </c>
      <c r="P695" s="166">
        <v>1</v>
      </c>
      <c r="R695" s="165" t="s">
        <v>3723</v>
      </c>
      <c r="S695" s="81" t="s">
        <v>113</v>
      </c>
      <c r="T695" s="349">
        <v>43006</v>
      </c>
      <c r="U695" s="349">
        <v>43028</v>
      </c>
      <c r="V695" s="81" t="s">
        <v>155</v>
      </c>
      <c r="W695" s="81" t="s">
        <v>114</v>
      </c>
      <c r="Y695" s="81" t="s">
        <v>115</v>
      </c>
      <c r="Z695" s="81" t="s">
        <v>219</v>
      </c>
      <c r="AA695" s="81" t="s">
        <v>117</v>
      </c>
      <c r="AB695" s="81" t="s">
        <v>3889</v>
      </c>
      <c r="AC695" s="166">
        <v>1.00000004749745E-3</v>
      </c>
      <c r="AD695" s="349">
        <v>43190</v>
      </c>
      <c r="AE695" s="81" t="s">
        <v>155</v>
      </c>
      <c r="AG695" s="81" t="s">
        <v>238</v>
      </c>
      <c r="AH695" s="81" t="s">
        <v>118</v>
      </c>
      <c r="AK695" s="166">
        <v>0</v>
      </c>
      <c r="AM695" s="166">
        <v>0</v>
      </c>
      <c r="AO695" s="166">
        <v>0</v>
      </c>
      <c r="AP695" s="166">
        <v>1</v>
      </c>
      <c r="AQ695" s="166">
        <v>0</v>
      </c>
      <c r="AR695" s="166">
        <v>0</v>
      </c>
      <c r="AS695" s="166">
        <v>0</v>
      </c>
      <c r="AT695" s="166">
        <v>0</v>
      </c>
      <c r="AU695" s="166">
        <v>0</v>
      </c>
      <c r="AV695" s="166">
        <v>0</v>
      </c>
      <c r="AW695" s="166">
        <v>1</v>
      </c>
      <c r="AX695" s="166">
        <v>0</v>
      </c>
      <c r="AY695" s="166">
        <v>0</v>
      </c>
      <c r="AZ695" s="166">
        <v>0</v>
      </c>
      <c r="BA695" s="166">
        <v>0</v>
      </c>
      <c r="BB695" s="166">
        <v>0</v>
      </c>
      <c r="BC695" s="166">
        <v>0</v>
      </c>
      <c r="BD695" s="166">
        <v>0</v>
      </c>
      <c r="BE695" s="166">
        <v>0</v>
      </c>
      <c r="BF695" s="166">
        <v>0</v>
      </c>
      <c r="BG695" s="166">
        <v>0</v>
      </c>
      <c r="BH695" s="166">
        <v>0</v>
      </c>
      <c r="BI695" s="166">
        <v>0</v>
      </c>
      <c r="BJ695" s="166">
        <v>0</v>
      </c>
      <c r="BK695" s="166">
        <v>0</v>
      </c>
      <c r="BL695" s="166">
        <v>0</v>
      </c>
      <c r="BM695" s="166">
        <v>0</v>
      </c>
      <c r="BN695" s="166">
        <v>0</v>
      </c>
      <c r="BO695" s="166">
        <v>0</v>
      </c>
      <c r="BP695" s="166">
        <v>0</v>
      </c>
      <c r="BQ695" s="81" t="s">
        <v>1757</v>
      </c>
      <c r="BZ695" s="81" t="s">
        <v>155</v>
      </c>
      <c r="CA695" s="81" t="s">
        <v>3981</v>
      </c>
      <c r="CC695" s="167">
        <v>0</v>
      </c>
      <c r="CD695" s="167">
        <f>$N695/2</f>
        <v>0.5</v>
      </c>
      <c r="CE695" s="167">
        <f>$N695/2</f>
        <v>0.5</v>
      </c>
      <c r="CF695" s="167">
        <v>0</v>
      </c>
      <c r="CG695" s="167">
        <v>0</v>
      </c>
      <c r="CH695" s="167">
        <v>0</v>
      </c>
      <c r="CI695" s="167">
        <v>0</v>
      </c>
      <c r="CJ695" s="167">
        <v>0</v>
      </c>
      <c r="CK695" s="167">
        <v>0</v>
      </c>
      <c r="CL695" s="167">
        <v>0</v>
      </c>
      <c r="CM695" s="167">
        <v>0</v>
      </c>
      <c r="CN695" s="167">
        <v>0</v>
      </c>
      <c r="CO695" s="167">
        <v>0</v>
      </c>
      <c r="CP695" s="167">
        <v>0</v>
      </c>
      <c r="CQ695" s="167">
        <v>0</v>
      </c>
      <c r="CR695" s="167">
        <v>0</v>
      </c>
      <c r="CS695" s="167">
        <v>0</v>
      </c>
      <c r="CT695" s="167">
        <v>0</v>
      </c>
      <c r="CU695" s="167">
        <v>0</v>
      </c>
      <c r="CV695" s="167">
        <v>0</v>
      </c>
      <c r="CW695" s="167">
        <v>0</v>
      </c>
      <c r="CX695" s="167">
        <f>SUM(CD695:CH695)</f>
        <v>1</v>
      </c>
      <c r="CY695" s="167">
        <f>SUM(CD695:CM695)</f>
        <v>1</v>
      </c>
    </row>
    <row r="696" spans="1:103" ht="12.75" customHeight="1" x14ac:dyDescent="0.2">
      <c r="A696" s="81">
        <v>6650</v>
      </c>
      <c r="B696" s="165" t="s">
        <v>1908</v>
      </c>
      <c r="C696" s="165" t="s">
        <v>3724</v>
      </c>
      <c r="E696" s="165" t="s">
        <v>3725</v>
      </c>
      <c r="G696" s="81">
        <v>527614</v>
      </c>
      <c r="H696" s="81">
        <v>175033</v>
      </c>
      <c r="I696" s="165" t="s">
        <v>255</v>
      </c>
      <c r="J696" s="349">
        <v>43190</v>
      </c>
      <c r="L696" s="166">
        <v>1</v>
      </c>
      <c r="M696" s="166">
        <v>3</v>
      </c>
      <c r="N696" s="166">
        <v>2</v>
      </c>
      <c r="O696" s="166">
        <v>3</v>
      </c>
      <c r="P696" s="166">
        <v>2</v>
      </c>
      <c r="R696" s="165" t="s">
        <v>3726</v>
      </c>
      <c r="S696" s="81" t="s">
        <v>113</v>
      </c>
      <c r="T696" s="349">
        <v>42923</v>
      </c>
      <c r="U696" s="349">
        <v>42979</v>
      </c>
      <c r="V696" s="81" t="s">
        <v>155</v>
      </c>
      <c r="W696" s="81" t="s">
        <v>114</v>
      </c>
      <c r="Y696" s="81" t="s">
        <v>115</v>
      </c>
      <c r="Z696" s="81" t="s">
        <v>398</v>
      </c>
      <c r="AA696" s="81" t="s">
        <v>117</v>
      </c>
      <c r="AB696" s="81" t="s">
        <v>120</v>
      </c>
      <c r="AC696" s="166">
        <v>1.09999999403954E-2</v>
      </c>
      <c r="AD696" s="349">
        <v>43190</v>
      </c>
      <c r="AE696" s="81" t="s">
        <v>155</v>
      </c>
      <c r="AG696" s="81" t="s">
        <v>238</v>
      </c>
      <c r="AH696" s="81" t="s">
        <v>118</v>
      </c>
      <c r="AK696" s="166">
        <v>0</v>
      </c>
      <c r="AM696" s="166">
        <v>0</v>
      </c>
      <c r="AO696" s="166">
        <v>1</v>
      </c>
      <c r="AP696" s="166">
        <v>0</v>
      </c>
      <c r="AQ696" s="166">
        <v>1</v>
      </c>
      <c r="AR696" s="166">
        <v>1</v>
      </c>
      <c r="AS696" s="166">
        <v>-1</v>
      </c>
      <c r="AT696" s="166">
        <v>0</v>
      </c>
      <c r="AU696" s="166">
        <v>0</v>
      </c>
      <c r="AV696" s="166">
        <v>1</v>
      </c>
      <c r="AW696" s="166">
        <v>0</v>
      </c>
      <c r="AX696" s="166">
        <v>1</v>
      </c>
      <c r="AY696" s="166">
        <v>1</v>
      </c>
      <c r="AZ696" s="166">
        <v>0</v>
      </c>
      <c r="BA696" s="166">
        <v>0</v>
      </c>
      <c r="BB696" s="166">
        <v>0</v>
      </c>
      <c r="BC696" s="166">
        <v>0</v>
      </c>
      <c r="BD696" s="166">
        <v>0</v>
      </c>
      <c r="BE696" s="166">
        <v>0</v>
      </c>
      <c r="BF696" s="166">
        <v>0</v>
      </c>
      <c r="BG696" s="166">
        <v>-1</v>
      </c>
      <c r="BH696" s="166">
        <v>0</v>
      </c>
      <c r="BI696" s="166">
        <v>0</v>
      </c>
      <c r="BJ696" s="166">
        <v>0</v>
      </c>
      <c r="BK696" s="166">
        <v>0</v>
      </c>
      <c r="BL696" s="166">
        <v>0</v>
      </c>
      <c r="BM696" s="166">
        <v>0</v>
      </c>
      <c r="BN696" s="166">
        <v>0</v>
      </c>
      <c r="BO696" s="166">
        <v>0</v>
      </c>
      <c r="BP696" s="166">
        <v>0</v>
      </c>
      <c r="BQ696" s="81" t="s">
        <v>1757</v>
      </c>
      <c r="BZ696" s="81" t="s">
        <v>155</v>
      </c>
      <c r="CA696" s="81" t="s">
        <v>3981</v>
      </c>
      <c r="CC696" s="167">
        <v>0</v>
      </c>
      <c r="CD696" s="167">
        <f>$N696/2</f>
        <v>1</v>
      </c>
      <c r="CE696" s="167">
        <f>$N696/2</f>
        <v>1</v>
      </c>
      <c r="CF696" s="167">
        <v>0</v>
      </c>
      <c r="CG696" s="167">
        <v>0</v>
      </c>
      <c r="CH696" s="167">
        <v>0</v>
      </c>
      <c r="CI696" s="167">
        <v>0</v>
      </c>
      <c r="CJ696" s="167">
        <v>0</v>
      </c>
      <c r="CK696" s="167">
        <v>0</v>
      </c>
      <c r="CL696" s="167">
        <v>0</v>
      </c>
      <c r="CM696" s="167">
        <v>0</v>
      </c>
      <c r="CN696" s="167">
        <v>0</v>
      </c>
      <c r="CO696" s="167">
        <v>0</v>
      </c>
      <c r="CP696" s="167">
        <v>0</v>
      </c>
      <c r="CQ696" s="167">
        <v>0</v>
      </c>
      <c r="CR696" s="167">
        <v>0</v>
      </c>
      <c r="CS696" s="167">
        <v>0</v>
      </c>
      <c r="CT696" s="167">
        <v>0</v>
      </c>
      <c r="CU696" s="167">
        <v>0</v>
      </c>
      <c r="CV696" s="167">
        <v>0</v>
      </c>
      <c r="CW696" s="167">
        <v>0</v>
      </c>
      <c r="CX696" s="167">
        <f>SUM(CD696:CH696)</f>
        <v>2</v>
      </c>
      <c r="CY696" s="167">
        <f>SUM(CD696:CM696)</f>
        <v>2</v>
      </c>
    </row>
    <row r="697" spans="1:103" ht="12.75" customHeight="1" x14ac:dyDescent="0.2">
      <c r="A697" s="81">
        <v>6677</v>
      </c>
      <c r="B697" s="165" t="s">
        <v>1908</v>
      </c>
      <c r="C697" s="165" t="s">
        <v>3727</v>
      </c>
      <c r="E697" s="165" t="s">
        <v>3728</v>
      </c>
      <c r="G697" s="81">
        <v>527272</v>
      </c>
      <c r="H697" s="81">
        <v>175730</v>
      </c>
      <c r="I697" s="165" t="s">
        <v>241</v>
      </c>
      <c r="J697" s="349">
        <v>43190</v>
      </c>
      <c r="L697" s="166">
        <v>1</v>
      </c>
      <c r="M697" s="166">
        <v>2</v>
      </c>
      <c r="N697" s="166">
        <v>1</v>
      </c>
      <c r="O697" s="166">
        <v>2</v>
      </c>
      <c r="P697" s="166">
        <v>1</v>
      </c>
      <c r="R697" s="165" t="s">
        <v>3729</v>
      </c>
      <c r="S697" s="81" t="s">
        <v>113</v>
      </c>
      <c r="T697" s="349">
        <v>42941</v>
      </c>
      <c r="U697" s="349">
        <v>42997</v>
      </c>
      <c r="V697" s="81" t="s">
        <v>155</v>
      </c>
      <c r="W697" s="81" t="s">
        <v>114</v>
      </c>
      <c r="Y697" s="81" t="s">
        <v>115</v>
      </c>
      <c r="Z697" s="81" t="s">
        <v>398</v>
      </c>
      <c r="AA697" s="81" t="s">
        <v>117</v>
      </c>
      <c r="AB697" s="81" t="s">
        <v>220</v>
      </c>
      <c r="AC697" s="166">
        <v>6.0000000521540598E-3</v>
      </c>
      <c r="AD697" s="349">
        <v>43190</v>
      </c>
      <c r="AE697" s="81" t="s">
        <v>155</v>
      </c>
      <c r="AG697" s="81" t="s">
        <v>238</v>
      </c>
      <c r="AH697" s="81" t="s">
        <v>118</v>
      </c>
      <c r="AK697" s="166">
        <v>0</v>
      </c>
      <c r="AM697" s="166">
        <v>0</v>
      </c>
      <c r="AO697" s="166">
        <v>0</v>
      </c>
      <c r="AP697" s="166">
        <v>1</v>
      </c>
      <c r="AQ697" s="166">
        <v>1</v>
      </c>
      <c r="AR697" s="166">
        <v>-1</v>
      </c>
      <c r="AS697" s="166">
        <v>0</v>
      </c>
      <c r="AT697" s="166">
        <v>0</v>
      </c>
      <c r="AU697" s="166">
        <v>0</v>
      </c>
      <c r="AV697" s="166">
        <v>0</v>
      </c>
      <c r="AW697" s="166">
        <v>1</v>
      </c>
      <c r="AX697" s="166">
        <v>1</v>
      </c>
      <c r="AY697" s="166">
        <v>-1</v>
      </c>
      <c r="AZ697" s="166">
        <v>0</v>
      </c>
      <c r="BA697" s="166">
        <v>0</v>
      </c>
      <c r="BB697" s="166">
        <v>0</v>
      </c>
      <c r="BC697" s="166">
        <v>0</v>
      </c>
      <c r="BD697" s="166">
        <v>0</v>
      </c>
      <c r="BE697" s="166">
        <v>0</v>
      </c>
      <c r="BF697" s="166">
        <v>0</v>
      </c>
      <c r="BG697" s="166">
        <v>0</v>
      </c>
      <c r="BH697" s="166">
        <v>0</v>
      </c>
      <c r="BI697" s="166">
        <v>0</v>
      </c>
      <c r="BJ697" s="166">
        <v>0</v>
      </c>
      <c r="BK697" s="166">
        <v>0</v>
      </c>
      <c r="BL697" s="166">
        <v>0</v>
      </c>
      <c r="BM697" s="166">
        <v>0</v>
      </c>
      <c r="BN697" s="166">
        <v>0</v>
      </c>
      <c r="BO697" s="166">
        <v>0</v>
      </c>
      <c r="BP697" s="166">
        <v>0</v>
      </c>
      <c r="BQ697" s="81" t="s">
        <v>1757</v>
      </c>
      <c r="BZ697" s="81" t="s">
        <v>155</v>
      </c>
      <c r="CA697" s="81" t="s">
        <v>3981</v>
      </c>
      <c r="CC697" s="167">
        <v>0</v>
      </c>
      <c r="CD697" s="167">
        <f>$N697/2</f>
        <v>0.5</v>
      </c>
      <c r="CE697" s="167">
        <f>$N697/2</f>
        <v>0.5</v>
      </c>
      <c r="CF697" s="167">
        <v>0</v>
      </c>
      <c r="CG697" s="167">
        <v>0</v>
      </c>
      <c r="CH697" s="167">
        <v>0</v>
      </c>
      <c r="CI697" s="167">
        <v>0</v>
      </c>
      <c r="CJ697" s="167">
        <v>0</v>
      </c>
      <c r="CK697" s="167">
        <v>0</v>
      </c>
      <c r="CL697" s="167">
        <v>0</v>
      </c>
      <c r="CM697" s="167">
        <v>0</v>
      </c>
      <c r="CN697" s="167">
        <v>0</v>
      </c>
      <c r="CO697" s="167">
        <v>0</v>
      </c>
      <c r="CP697" s="167">
        <v>0</v>
      </c>
      <c r="CQ697" s="167">
        <v>0</v>
      </c>
      <c r="CR697" s="167">
        <v>0</v>
      </c>
      <c r="CS697" s="167">
        <v>0</v>
      </c>
      <c r="CT697" s="167">
        <v>0</v>
      </c>
      <c r="CU697" s="167">
        <v>0</v>
      </c>
      <c r="CV697" s="167">
        <v>0</v>
      </c>
      <c r="CW697" s="167">
        <v>0</v>
      </c>
      <c r="CX697" s="167">
        <f>SUM(CD697:CH697)</f>
        <v>1</v>
      </c>
      <c r="CY697" s="167">
        <f>SUM(CD697:CM697)</f>
        <v>1</v>
      </c>
    </row>
    <row r="698" spans="1:103" x14ac:dyDescent="0.2">
      <c r="A698" s="81">
        <v>6693</v>
      </c>
      <c r="B698" s="165" t="s">
        <v>1908</v>
      </c>
      <c r="C698" s="165" t="s">
        <v>3730</v>
      </c>
      <c r="E698" s="165" t="s">
        <v>3731</v>
      </c>
      <c r="G698" s="81">
        <v>528847</v>
      </c>
      <c r="H698" s="81">
        <v>172948</v>
      </c>
      <c r="I698" s="165" t="s">
        <v>248</v>
      </c>
      <c r="J698" s="349">
        <v>43190</v>
      </c>
      <c r="L698" s="166">
        <v>0</v>
      </c>
      <c r="M698" s="166">
        <v>3</v>
      </c>
      <c r="N698" s="166">
        <v>3</v>
      </c>
      <c r="O698" s="166">
        <v>3</v>
      </c>
      <c r="P698" s="166">
        <v>3</v>
      </c>
      <c r="R698" s="165" t="s">
        <v>3732</v>
      </c>
      <c r="S698" s="81" t="s">
        <v>113</v>
      </c>
      <c r="T698" s="349">
        <v>42955</v>
      </c>
      <c r="U698" s="349">
        <v>43082</v>
      </c>
      <c r="V698" s="81" t="s">
        <v>155</v>
      </c>
      <c r="W698" s="81" t="s">
        <v>114</v>
      </c>
      <c r="Y698" s="81" t="s">
        <v>115</v>
      </c>
      <c r="Z698" s="81" t="s">
        <v>398</v>
      </c>
      <c r="AA698" s="81" t="s">
        <v>117</v>
      </c>
      <c r="AB698" s="81" t="s">
        <v>311</v>
      </c>
      <c r="AC698" s="166">
        <v>2.8999999165535001E-2</v>
      </c>
      <c r="AD698" s="349">
        <v>43190</v>
      </c>
      <c r="AE698" s="81" t="s">
        <v>155</v>
      </c>
      <c r="AG698" s="81" t="s">
        <v>238</v>
      </c>
      <c r="AH698" s="81" t="s">
        <v>118</v>
      </c>
      <c r="AK698" s="166">
        <v>0</v>
      </c>
      <c r="AM698" s="166">
        <v>0</v>
      </c>
      <c r="AO698" s="166">
        <v>0</v>
      </c>
      <c r="AP698" s="166">
        <v>0</v>
      </c>
      <c r="AQ698" s="166">
        <v>2</v>
      </c>
      <c r="AR698" s="166">
        <v>1</v>
      </c>
      <c r="AS698" s="166">
        <v>0</v>
      </c>
      <c r="AT698" s="166">
        <v>0</v>
      </c>
      <c r="AU698" s="166">
        <v>0</v>
      </c>
      <c r="AV698" s="166">
        <v>0</v>
      </c>
      <c r="AW698" s="166">
        <v>0</v>
      </c>
      <c r="AX698" s="166">
        <v>2</v>
      </c>
      <c r="AY698" s="166">
        <v>1</v>
      </c>
      <c r="AZ698" s="166">
        <v>0</v>
      </c>
      <c r="BA698" s="166">
        <v>0</v>
      </c>
      <c r="BB698" s="166">
        <v>0</v>
      </c>
      <c r="BC698" s="166">
        <v>0</v>
      </c>
      <c r="BD698" s="166">
        <v>0</v>
      </c>
      <c r="BE698" s="166">
        <v>0</v>
      </c>
      <c r="BF698" s="166">
        <v>0</v>
      </c>
      <c r="BG698" s="166">
        <v>0</v>
      </c>
      <c r="BH698" s="166">
        <v>0</v>
      </c>
      <c r="BI698" s="166">
        <v>0</v>
      </c>
      <c r="BJ698" s="166">
        <v>0</v>
      </c>
      <c r="BK698" s="166">
        <v>0</v>
      </c>
      <c r="BL698" s="166">
        <v>0</v>
      </c>
      <c r="BM698" s="166">
        <v>0</v>
      </c>
      <c r="BN698" s="166">
        <v>0</v>
      </c>
      <c r="BO698" s="166">
        <v>0</v>
      </c>
      <c r="BP698" s="166">
        <v>0</v>
      </c>
      <c r="BQ698" s="81" t="s">
        <v>1757</v>
      </c>
      <c r="BZ698" s="81" t="s">
        <v>155</v>
      </c>
      <c r="CA698" s="81" t="s">
        <v>3981</v>
      </c>
      <c r="CC698" s="167">
        <v>0</v>
      </c>
      <c r="CD698" s="167">
        <f>$N698/2</f>
        <v>1.5</v>
      </c>
      <c r="CE698" s="167">
        <f>$N698/2</f>
        <v>1.5</v>
      </c>
      <c r="CF698" s="167">
        <v>0</v>
      </c>
      <c r="CG698" s="167">
        <v>0</v>
      </c>
      <c r="CH698" s="167">
        <v>0</v>
      </c>
      <c r="CI698" s="167">
        <v>0</v>
      </c>
      <c r="CJ698" s="167">
        <v>0</v>
      </c>
      <c r="CK698" s="167">
        <v>0</v>
      </c>
      <c r="CL698" s="167">
        <v>0</v>
      </c>
      <c r="CM698" s="167">
        <v>0</v>
      </c>
      <c r="CN698" s="167">
        <v>0</v>
      </c>
      <c r="CO698" s="167">
        <v>0</v>
      </c>
      <c r="CP698" s="167">
        <v>0</v>
      </c>
      <c r="CQ698" s="167">
        <v>0</v>
      </c>
      <c r="CR698" s="167">
        <v>0</v>
      </c>
      <c r="CS698" s="167">
        <v>0</v>
      </c>
      <c r="CT698" s="167">
        <v>0</v>
      </c>
      <c r="CU698" s="167">
        <v>0</v>
      </c>
      <c r="CV698" s="167">
        <v>0</v>
      </c>
      <c r="CW698" s="167">
        <v>0</v>
      </c>
      <c r="CX698" s="167">
        <f>SUM(CD698:CH698)</f>
        <v>3</v>
      </c>
      <c r="CY698" s="167">
        <f>SUM(CD698:CM698)</f>
        <v>3</v>
      </c>
    </row>
    <row r="699" spans="1:103" x14ac:dyDescent="0.2">
      <c r="A699" s="81">
        <v>6703</v>
      </c>
      <c r="B699" s="165" t="s">
        <v>1908</v>
      </c>
      <c r="C699" s="165" t="s">
        <v>3733</v>
      </c>
      <c r="E699" s="165" t="s">
        <v>3734</v>
      </c>
      <c r="G699" s="81">
        <v>527632</v>
      </c>
      <c r="H699" s="81">
        <v>170817</v>
      </c>
      <c r="I699" s="165" t="s">
        <v>253</v>
      </c>
      <c r="J699" s="349">
        <v>43066</v>
      </c>
      <c r="L699" s="166">
        <v>2</v>
      </c>
      <c r="M699" s="166">
        <v>1</v>
      </c>
      <c r="N699" s="166">
        <v>-1</v>
      </c>
      <c r="O699" s="166">
        <v>1</v>
      </c>
      <c r="P699" s="166">
        <v>-1</v>
      </c>
      <c r="R699" s="165" t="s">
        <v>3735</v>
      </c>
      <c r="S699" s="81" t="s">
        <v>113</v>
      </c>
      <c r="T699" s="349">
        <v>42951</v>
      </c>
      <c r="U699" s="349">
        <v>43006</v>
      </c>
      <c r="V699" s="81" t="s">
        <v>155</v>
      </c>
      <c r="W699" s="81" t="s">
        <v>114</v>
      </c>
      <c r="Y699" s="81" t="s">
        <v>115</v>
      </c>
      <c r="Z699" s="81" t="s">
        <v>119</v>
      </c>
      <c r="AA699" s="81" t="s">
        <v>117</v>
      </c>
      <c r="AB699" s="81" t="s">
        <v>336</v>
      </c>
      <c r="AC699" s="166">
        <v>1.7000000923872001E-2</v>
      </c>
      <c r="AD699" s="349">
        <v>43066</v>
      </c>
      <c r="AE699" s="81" t="s">
        <v>155</v>
      </c>
      <c r="AG699" s="81" t="s">
        <v>238</v>
      </c>
      <c r="AH699" s="81" t="s">
        <v>118</v>
      </c>
      <c r="AK699" s="166">
        <v>0</v>
      </c>
      <c r="AM699" s="166">
        <v>0</v>
      </c>
      <c r="AO699" s="166">
        <v>0</v>
      </c>
      <c r="AP699" s="166">
        <v>-2</v>
      </c>
      <c r="AQ699" s="166">
        <v>0</v>
      </c>
      <c r="AR699" s="166">
        <v>0</v>
      </c>
      <c r="AS699" s="166">
        <v>0</v>
      </c>
      <c r="AT699" s="166">
        <v>1</v>
      </c>
      <c r="AU699" s="166">
        <v>0</v>
      </c>
      <c r="AV699" s="166">
        <v>0</v>
      </c>
      <c r="AW699" s="166">
        <v>-2</v>
      </c>
      <c r="AX699" s="166">
        <v>0</v>
      </c>
      <c r="AY699" s="166">
        <v>0</v>
      </c>
      <c r="AZ699" s="166">
        <v>0</v>
      </c>
      <c r="BA699" s="166">
        <v>0</v>
      </c>
      <c r="BB699" s="166">
        <v>0</v>
      </c>
      <c r="BC699" s="166">
        <v>0</v>
      </c>
      <c r="BD699" s="166">
        <v>0</v>
      </c>
      <c r="BE699" s="166">
        <v>0</v>
      </c>
      <c r="BF699" s="166">
        <v>0</v>
      </c>
      <c r="BG699" s="166">
        <v>0</v>
      </c>
      <c r="BH699" s="166">
        <v>1</v>
      </c>
      <c r="BI699" s="166">
        <v>0</v>
      </c>
      <c r="BJ699" s="166">
        <v>0</v>
      </c>
      <c r="BK699" s="166">
        <v>0</v>
      </c>
      <c r="BL699" s="166">
        <v>0</v>
      </c>
      <c r="BM699" s="166">
        <v>0</v>
      </c>
      <c r="BN699" s="166">
        <v>0</v>
      </c>
      <c r="BO699" s="166">
        <v>0</v>
      </c>
      <c r="BP699" s="166">
        <v>0</v>
      </c>
      <c r="BQ699" s="81" t="s">
        <v>1757</v>
      </c>
      <c r="BZ699" s="81" t="s">
        <v>155</v>
      </c>
      <c r="CA699" s="81" t="s">
        <v>3981</v>
      </c>
      <c r="CC699" s="167">
        <v>0</v>
      </c>
      <c r="CD699" s="167">
        <f>$N699/2</f>
        <v>-0.5</v>
      </c>
      <c r="CE699" s="167">
        <f>$N699/2</f>
        <v>-0.5</v>
      </c>
      <c r="CF699" s="167">
        <v>0</v>
      </c>
      <c r="CG699" s="167">
        <v>0</v>
      </c>
      <c r="CH699" s="167">
        <v>0</v>
      </c>
      <c r="CI699" s="167">
        <v>0</v>
      </c>
      <c r="CJ699" s="167">
        <v>0</v>
      </c>
      <c r="CK699" s="167">
        <v>0</v>
      </c>
      <c r="CL699" s="167">
        <v>0</v>
      </c>
      <c r="CM699" s="167">
        <v>0</v>
      </c>
      <c r="CN699" s="167">
        <v>0</v>
      </c>
      <c r="CO699" s="167">
        <v>0</v>
      </c>
      <c r="CP699" s="167">
        <v>0</v>
      </c>
      <c r="CQ699" s="167">
        <v>0</v>
      </c>
      <c r="CR699" s="167">
        <v>0</v>
      </c>
      <c r="CS699" s="167">
        <v>0</v>
      </c>
      <c r="CT699" s="167">
        <v>0</v>
      </c>
      <c r="CU699" s="167">
        <v>0</v>
      </c>
      <c r="CV699" s="167">
        <v>0</v>
      </c>
      <c r="CW699" s="167">
        <v>0</v>
      </c>
      <c r="CX699" s="167">
        <f>SUM(CD699:CH699)</f>
        <v>-1</v>
      </c>
      <c r="CY699" s="167">
        <f>SUM(CD699:CM699)</f>
        <v>-1</v>
      </c>
    </row>
    <row r="700" spans="1:103" ht="12.75" customHeight="1" x14ac:dyDescent="0.2">
      <c r="A700" s="81">
        <v>6722</v>
      </c>
      <c r="B700" s="165" t="s">
        <v>1908</v>
      </c>
      <c r="C700" s="165" t="s">
        <v>3736</v>
      </c>
      <c r="E700" s="165" t="s">
        <v>3737</v>
      </c>
      <c r="G700" s="81">
        <v>527248</v>
      </c>
      <c r="H700" s="81">
        <v>171364</v>
      </c>
      <c r="I700" s="165" t="s">
        <v>242</v>
      </c>
      <c r="J700" s="349">
        <v>43190</v>
      </c>
      <c r="L700" s="166">
        <v>2</v>
      </c>
      <c r="M700" s="166">
        <v>3</v>
      </c>
      <c r="N700" s="166">
        <v>1</v>
      </c>
      <c r="O700" s="166">
        <v>3</v>
      </c>
      <c r="P700" s="166">
        <v>1</v>
      </c>
      <c r="R700" s="165" t="s">
        <v>3738</v>
      </c>
      <c r="S700" s="81" t="s">
        <v>113</v>
      </c>
      <c r="T700" s="349">
        <v>43021</v>
      </c>
      <c r="U700" s="349">
        <v>43118</v>
      </c>
      <c r="V700" s="81" t="s">
        <v>155</v>
      </c>
      <c r="W700" s="81" t="s">
        <v>114</v>
      </c>
      <c r="Y700" s="81" t="s">
        <v>115</v>
      </c>
      <c r="Z700" s="81" t="s">
        <v>398</v>
      </c>
      <c r="AA700" s="81" t="s">
        <v>117</v>
      </c>
      <c r="AB700" s="81" t="s">
        <v>220</v>
      </c>
      <c r="AC700" s="166">
        <v>9.9999997764825804E-3</v>
      </c>
      <c r="AD700" s="349">
        <v>43190</v>
      </c>
      <c r="AE700" s="81" t="s">
        <v>155</v>
      </c>
      <c r="AG700" s="81" t="s">
        <v>238</v>
      </c>
      <c r="AH700" s="81" t="s">
        <v>118</v>
      </c>
      <c r="AK700" s="166">
        <v>0</v>
      </c>
      <c r="AM700" s="166">
        <v>0</v>
      </c>
      <c r="AO700" s="166">
        <v>0</v>
      </c>
      <c r="AP700" s="166">
        <v>1</v>
      </c>
      <c r="AQ700" s="166">
        <v>0</v>
      </c>
      <c r="AR700" s="166">
        <v>1</v>
      </c>
      <c r="AS700" s="166">
        <v>-1</v>
      </c>
      <c r="AT700" s="166">
        <v>0</v>
      </c>
      <c r="AU700" s="166">
        <v>0</v>
      </c>
      <c r="AV700" s="166">
        <v>0</v>
      </c>
      <c r="AW700" s="166">
        <v>1</v>
      </c>
      <c r="AX700" s="166">
        <v>0</v>
      </c>
      <c r="AY700" s="166">
        <v>1</v>
      </c>
      <c r="AZ700" s="166">
        <v>-1</v>
      </c>
      <c r="BA700" s="166">
        <v>0</v>
      </c>
      <c r="BB700" s="166">
        <v>0</v>
      </c>
      <c r="BC700" s="166">
        <v>0</v>
      </c>
      <c r="BD700" s="166">
        <v>0</v>
      </c>
      <c r="BE700" s="166">
        <v>0</v>
      </c>
      <c r="BF700" s="166">
        <v>0</v>
      </c>
      <c r="BG700" s="166">
        <v>0</v>
      </c>
      <c r="BH700" s="166">
        <v>0</v>
      </c>
      <c r="BI700" s="166">
        <v>0</v>
      </c>
      <c r="BJ700" s="166">
        <v>0</v>
      </c>
      <c r="BK700" s="166">
        <v>0</v>
      </c>
      <c r="BL700" s="166">
        <v>0</v>
      </c>
      <c r="BM700" s="166">
        <v>0</v>
      </c>
      <c r="BN700" s="166">
        <v>0</v>
      </c>
      <c r="BO700" s="166">
        <v>0</v>
      </c>
      <c r="BP700" s="166">
        <v>0</v>
      </c>
      <c r="BQ700" s="81" t="s">
        <v>1757</v>
      </c>
      <c r="BZ700" s="81" t="s">
        <v>155</v>
      </c>
      <c r="CA700" s="81" t="s">
        <v>3981</v>
      </c>
      <c r="CC700" s="167">
        <v>0</v>
      </c>
      <c r="CD700" s="167">
        <f>$N700/2</f>
        <v>0.5</v>
      </c>
      <c r="CE700" s="167">
        <f>$N700/2</f>
        <v>0.5</v>
      </c>
      <c r="CF700" s="167">
        <v>0</v>
      </c>
      <c r="CG700" s="167">
        <v>0</v>
      </c>
      <c r="CH700" s="167">
        <v>0</v>
      </c>
      <c r="CI700" s="167">
        <v>0</v>
      </c>
      <c r="CJ700" s="167">
        <v>0</v>
      </c>
      <c r="CK700" s="167">
        <v>0</v>
      </c>
      <c r="CL700" s="167">
        <v>0</v>
      </c>
      <c r="CM700" s="167">
        <v>0</v>
      </c>
      <c r="CN700" s="167">
        <v>0</v>
      </c>
      <c r="CO700" s="167">
        <v>0</v>
      </c>
      <c r="CP700" s="167">
        <v>0</v>
      </c>
      <c r="CQ700" s="167">
        <v>0</v>
      </c>
      <c r="CR700" s="167">
        <v>0</v>
      </c>
      <c r="CS700" s="167">
        <v>0</v>
      </c>
      <c r="CT700" s="167">
        <v>0</v>
      </c>
      <c r="CU700" s="167">
        <v>0</v>
      </c>
      <c r="CV700" s="167">
        <v>0</v>
      </c>
      <c r="CW700" s="167">
        <v>0</v>
      </c>
      <c r="CX700" s="167">
        <f>SUM(CD700:CH700)</f>
        <v>1</v>
      </c>
      <c r="CY700" s="167">
        <f>SUM(CD700:CM700)</f>
        <v>1</v>
      </c>
    </row>
    <row r="701" spans="1:103" ht="12.75" customHeight="1" x14ac:dyDescent="0.2">
      <c r="A701" s="81">
        <v>6740</v>
      </c>
      <c r="B701" s="165" t="s">
        <v>1908</v>
      </c>
      <c r="C701" s="165" t="s">
        <v>3739</v>
      </c>
      <c r="E701" s="165" t="s">
        <v>3740</v>
      </c>
      <c r="G701" s="81">
        <v>528278</v>
      </c>
      <c r="H701" s="81">
        <v>173009</v>
      </c>
      <c r="I701" s="165" t="s">
        <v>254</v>
      </c>
      <c r="J701" s="349">
        <v>43190</v>
      </c>
      <c r="L701" s="166">
        <v>0</v>
      </c>
      <c r="M701" s="166">
        <v>1</v>
      </c>
      <c r="N701" s="166">
        <v>1</v>
      </c>
      <c r="O701" s="166">
        <v>1</v>
      </c>
      <c r="P701" s="166">
        <v>1</v>
      </c>
      <c r="R701" s="165" t="s">
        <v>1494</v>
      </c>
      <c r="S701" s="81" t="s">
        <v>110</v>
      </c>
      <c r="T701" s="349">
        <v>43052</v>
      </c>
      <c r="U701" s="349">
        <v>43108</v>
      </c>
      <c r="V701" s="81" t="s">
        <v>155</v>
      </c>
      <c r="W701" s="81" t="s">
        <v>114</v>
      </c>
      <c r="Y701" s="81" t="s">
        <v>115</v>
      </c>
      <c r="Z701" s="81" t="s">
        <v>310</v>
      </c>
      <c r="AA701" s="81" t="s">
        <v>117</v>
      </c>
      <c r="AB701" s="81" t="s">
        <v>102</v>
      </c>
      <c r="AC701" s="166">
        <v>8.0000003799796104E-3</v>
      </c>
      <c r="AD701" s="349">
        <v>43190</v>
      </c>
      <c r="AE701" s="81" t="s">
        <v>155</v>
      </c>
      <c r="AG701" s="81" t="s">
        <v>238</v>
      </c>
      <c r="AH701" s="81" t="s">
        <v>118</v>
      </c>
      <c r="AK701" s="166">
        <v>0</v>
      </c>
      <c r="AM701" s="166">
        <v>0</v>
      </c>
      <c r="AO701" s="166">
        <v>0</v>
      </c>
      <c r="AP701" s="166">
        <v>0</v>
      </c>
      <c r="AQ701" s="166">
        <v>1</v>
      </c>
      <c r="AR701" s="166">
        <v>0</v>
      </c>
      <c r="AS701" s="166">
        <v>0</v>
      </c>
      <c r="AT701" s="166">
        <v>0</v>
      </c>
      <c r="AU701" s="166">
        <v>0</v>
      </c>
      <c r="AV701" s="166">
        <v>0</v>
      </c>
      <c r="AW701" s="166">
        <v>0</v>
      </c>
      <c r="AX701" s="166">
        <v>1</v>
      </c>
      <c r="AY701" s="166">
        <v>0</v>
      </c>
      <c r="AZ701" s="166">
        <v>0</v>
      </c>
      <c r="BA701" s="166">
        <v>0</v>
      </c>
      <c r="BB701" s="166">
        <v>0</v>
      </c>
      <c r="BC701" s="166">
        <v>0</v>
      </c>
      <c r="BD701" s="166">
        <v>0</v>
      </c>
      <c r="BE701" s="166">
        <v>0</v>
      </c>
      <c r="BF701" s="166">
        <v>0</v>
      </c>
      <c r="BG701" s="166">
        <v>0</v>
      </c>
      <c r="BH701" s="166">
        <v>0</v>
      </c>
      <c r="BI701" s="166">
        <v>0</v>
      </c>
      <c r="BJ701" s="166">
        <v>0</v>
      </c>
      <c r="BK701" s="166">
        <v>0</v>
      </c>
      <c r="BL701" s="166">
        <v>0</v>
      </c>
      <c r="BM701" s="166">
        <v>0</v>
      </c>
      <c r="BN701" s="166">
        <v>0</v>
      </c>
      <c r="BO701" s="166">
        <v>0</v>
      </c>
      <c r="BP701" s="166">
        <v>0</v>
      </c>
      <c r="BQ701" s="81" t="s">
        <v>1757</v>
      </c>
      <c r="BZ701" s="81" t="s">
        <v>155</v>
      </c>
      <c r="CA701" s="81" t="s">
        <v>3981</v>
      </c>
      <c r="CC701" s="167">
        <v>0</v>
      </c>
      <c r="CD701" s="167">
        <f>$N701/2</f>
        <v>0.5</v>
      </c>
      <c r="CE701" s="167">
        <f>$N701/2</f>
        <v>0.5</v>
      </c>
      <c r="CF701" s="167">
        <v>0</v>
      </c>
      <c r="CG701" s="167">
        <v>0</v>
      </c>
      <c r="CH701" s="167">
        <v>0</v>
      </c>
      <c r="CI701" s="167">
        <v>0</v>
      </c>
      <c r="CJ701" s="167">
        <v>0</v>
      </c>
      <c r="CK701" s="167">
        <v>0</v>
      </c>
      <c r="CL701" s="167">
        <v>0</v>
      </c>
      <c r="CM701" s="167">
        <v>0</v>
      </c>
      <c r="CN701" s="167">
        <v>0</v>
      </c>
      <c r="CO701" s="167">
        <v>0</v>
      </c>
      <c r="CP701" s="167">
        <v>0</v>
      </c>
      <c r="CQ701" s="167">
        <v>0</v>
      </c>
      <c r="CR701" s="167">
        <v>0</v>
      </c>
      <c r="CS701" s="167">
        <v>0</v>
      </c>
      <c r="CT701" s="167">
        <v>0</v>
      </c>
      <c r="CU701" s="167">
        <v>0</v>
      </c>
      <c r="CV701" s="167">
        <v>0</v>
      </c>
      <c r="CW701" s="167">
        <v>0</v>
      </c>
      <c r="CX701" s="167">
        <f>SUM(CD701:CH701)</f>
        <v>1</v>
      </c>
      <c r="CY701" s="167">
        <f>SUM(CD701:CM701)</f>
        <v>1</v>
      </c>
    </row>
    <row r="702" spans="1:103" x14ac:dyDescent="0.2">
      <c r="A702" s="81">
        <v>6741</v>
      </c>
      <c r="B702" s="165" t="s">
        <v>1908</v>
      </c>
      <c r="C702" s="165" t="s">
        <v>3741</v>
      </c>
      <c r="E702" s="165" t="s">
        <v>3742</v>
      </c>
      <c r="G702" s="81">
        <v>525163</v>
      </c>
      <c r="H702" s="81">
        <v>173398</v>
      </c>
      <c r="I702" s="165" t="s">
        <v>258</v>
      </c>
      <c r="J702" s="349">
        <v>43190</v>
      </c>
      <c r="L702" s="166">
        <v>0</v>
      </c>
      <c r="M702" s="166">
        <v>1</v>
      </c>
      <c r="N702" s="166">
        <v>1</v>
      </c>
      <c r="O702" s="166">
        <v>1</v>
      </c>
      <c r="P702" s="166">
        <v>1</v>
      </c>
      <c r="R702" s="165" t="s">
        <v>3743</v>
      </c>
      <c r="S702" s="81" t="s">
        <v>113</v>
      </c>
      <c r="T702" s="349">
        <v>43049</v>
      </c>
      <c r="U702" s="349">
        <v>43153</v>
      </c>
      <c r="V702" s="81" t="s">
        <v>155</v>
      </c>
      <c r="W702" s="81" t="s">
        <v>114</v>
      </c>
      <c r="Y702" s="81" t="s">
        <v>115</v>
      </c>
      <c r="Z702" s="81" t="s">
        <v>310</v>
      </c>
      <c r="AA702" s="81" t="s">
        <v>117</v>
      </c>
      <c r="AB702" s="81" t="s">
        <v>311</v>
      </c>
      <c r="AC702" s="166">
        <v>4.0000001899898104E-3</v>
      </c>
      <c r="AD702" s="349">
        <v>43190</v>
      </c>
      <c r="AE702" s="81" t="s">
        <v>155</v>
      </c>
      <c r="AG702" s="81" t="s">
        <v>238</v>
      </c>
      <c r="AH702" s="81" t="s">
        <v>118</v>
      </c>
      <c r="AK702" s="166">
        <v>0</v>
      </c>
      <c r="AM702" s="166">
        <v>0</v>
      </c>
      <c r="AO702" s="166">
        <v>0</v>
      </c>
      <c r="AP702" s="166">
        <v>1</v>
      </c>
      <c r="AQ702" s="166">
        <v>0</v>
      </c>
      <c r="AR702" s="166">
        <v>0</v>
      </c>
      <c r="AS702" s="166">
        <v>0</v>
      </c>
      <c r="AT702" s="166">
        <v>0</v>
      </c>
      <c r="AU702" s="166">
        <v>0</v>
      </c>
      <c r="AV702" s="166">
        <v>0</v>
      </c>
      <c r="AW702" s="166">
        <v>1</v>
      </c>
      <c r="AX702" s="166">
        <v>0</v>
      </c>
      <c r="AY702" s="166">
        <v>0</v>
      </c>
      <c r="AZ702" s="166">
        <v>0</v>
      </c>
      <c r="BA702" s="166">
        <v>0</v>
      </c>
      <c r="BB702" s="166">
        <v>0</v>
      </c>
      <c r="BC702" s="166">
        <v>0</v>
      </c>
      <c r="BD702" s="166">
        <v>0</v>
      </c>
      <c r="BE702" s="166">
        <v>0</v>
      </c>
      <c r="BF702" s="166">
        <v>0</v>
      </c>
      <c r="BG702" s="166">
        <v>0</v>
      </c>
      <c r="BH702" s="166">
        <v>0</v>
      </c>
      <c r="BI702" s="166">
        <v>0</v>
      </c>
      <c r="BJ702" s="166">
        <v>0</v>
      </c>
      <c r="BK702" s="166">
        <v>0</v>
      </c>
      <c r="BL702" s="166">
        <v>0</v>
      </c>
      <c r="BM702" s="166">
        <v>0</v>
      </c>
      <c r="BN702" s="166">
        <v>0</v>
      </c>
      <c r="BO702" s="166">
        <v>0</v>
      </c>
      <c r="BP702" s="166">
        <v>0</v>
      </c>
      <c r="BQ702" s="81" t="s">
        <v>1758</v>
      </c>
      <c r="BZ702" s="81" t="s">
        <v>155</v>
      </c>
      <c r="CA702" s="81" t="s">
        <v>3981</v>
      </c>
      <c r="CC702" s="167">
        <v>0</v>
      </c>
      <c r="CD702" s="167">
        <f>$N702/2</f>
        <v>0.5</v>
      </c>
      <c r="CE702" s="167">
        <f>$N702/2</f>
        <v>0.5</v>
      </c>
      <c r="CF702" s="167">
        <v>0</v>
      </c>
      <c r="CG702" s="167">
        <v>0</v>
      </c>
      <c r="CH702" s="167">
        <v>0</v>
      </c>
      <c r="CI702" s="167">
        <v>0</v>
      </c>
      <c r="CJ702" s="167">
        <v>0</v>
      </c>
      <c r="CK702" s="167">
        <v>0</v>
      </c>
      <c r="CL702" s="167">
        <v>0</v>
      </c>
      <c r="CM702" s="167">
        <v>0</v>
      </c>
      <c r="CN702" s="167">
        <v>0</v>
      </c>
      <c r="CO702" s="167">
        <v>0</v>
      </c>
      <c r="CP702" s="167">
        <v>0</v>
      </c>
      <c r="CQ702" s="167">
        <v>0</v>
      </c>
      <c r="CR702" s="167">
        <v>0</v>
      </c>
      <c r="CS702" s="167">
        <v>0</v>
      </c>
      <c r="CT702" s="167">
        <v>0</v>
      </c>
      <c r="CU702" s="167">
        <v>0</v>
      </c>
      <c r="CV702" s="167">
        <v>0</v>
      </c>
      <c r="CW702" s="167">
        <v>0</v>
      </c>
      <c r="CX702" s="167">
        <f>SUM(CD702:CH702)</f>
        <v>1</v>
      </c>
      <c r="CY702" s="167">
        <f>SUM(CD702:CM702)</f>
        <v>1</v>
      </c>
    </row>
    <row r="703" spans="1:103" ht="12.75" customHeight="1" x14ac:dyDescent="0.2">
      <c r="A703" s="81">
        <v>6760</v>
      </c>
      <c r="B703" s="165" t="s">
        <v>1908</v>
      </c>
      <c r="C703" s="165" t="s">
        <v>3744</v>
      </c>
      <c r="E703" s="165" t="s">
        <v>3745</v>
      </c>
      <c r="G703" s="81">
        <v>527635</v>
      </c>
      <c r="H703" s="81">
        <v>175238</v>
      </c>
      <c r="I703" s="165" t="s">
        <v>256</v>
      </c>
      <c r="J703" s="349">
        <v>43190</v>
      </c>
      <c r="L703" s="166">
        <v>1</v>
      </c>
      <c r="M703" s="166">
        <v>3</v>
      </c>
      <c r="N703" s="166">
        <v>2</v>
      </c>
      <c r="O703" s="166">
        <v>3</v>
      </c>
      <c r="P703" s="166">
        <v>2</v>
      </c>
      <c r="R703" s="165" t="s">
        <v>3746</v>
      </c>
      <c r="S703" s="81" t="s">
        <v>113</v>
      </c>
      <c r="T703" s="349">
        <v>43076</v>
      </c>
      <c r="U703" s="349">
        <v>43132</v>
      </c>
      <c r="V703" s="81" t="s">
        <v>155</v>
      </c>
      <c r="W703" s="81" t="s">
        <v>114</v>
      </c>
      <c r="Y703" s="81" t="s">
        <v>115</v>
      </c>
      <c r="Z703" s="81" t="s">
        <v>398</v>
      </c>
      <c r="AA703" s="81" t="s">
        <v>117</v>
      </c>
      <c r="AB703" s="81" t="s">
        <v>120</v>
      </c>
      <c r="AC703" s="166">
        <v>1.2000000104308101E-2</v>
      </c>
      <c r="AD703" s="349">
        <v>43190</v>
      </c>
      <c r="AE703" s="81" t="s">
        <v>155</v>
      </c>
      <c r="AG703" s="81" t="s">
        <v>238</v>
      </c>
      <c r="AH703" s="81" t="s">
        <v>118</v>
      </c>
      <c r="AK703" s="166">
        <v>0</v>
      </c>
      <c r="AM703" s="166">
        <v>0</v>
      </c>
      <c r="AO703" s="166">
        <v>0</v>
      </c>
      <c r="AP703" s="166">
        <v>1</v>
      </c>
      <c r="AQ703" s="166">
        <v>1</v>
      </c>
      <c r="AR703" s="166">
        <v>1</v>
      </c>
      <c r="AS703" s="166">
        <v>-1</v>
      </c>
      <c r="AT703" s="166">
        <v>0</v>
      </c>
      <c r="AU703" s="166">
        <v>0</v>
      </c>
      <c r="AV703" s="166">
        <v>0</v>
      </c>
      <c r="AW703" s="166">
        <v>1</v>
      </c>
      <c r="AX703" s="166">
        <v>1</v>
      </c>
      <c r="AY703" s="166">
        <v>1</v>
      </c>
      <c r="AZ703" s="166">
        <v>0</v>
      </c>
      <c r="BA703" s="166">
        <v>0</v>
      </c>
      <c r="BB703" s="166">
        <v>0</v>
      </c>
      <c r="BC703" s="166">
        <v>0</v>
      </c>
      <c r="BD703" s="166">
        <v>0</v>
      </c>
      <c r="BE703" s="166">
        <v>0</v>
      </c>
      <c r="BF703" s="166">
        <v>0</v>
      </c>
      <c r="BG703" s="166">
        <v>-1</v>
      </c>
      <c r="BH703" s="166">
        <v>0</v>
      </c>
      <c r="BI703" s="166">
        <v>0</v>
      </c>
      <c r="BJ703" s="166">
        <v>0</v>
      </c>
      <c r="BK703" s="166">
        <v>0</v>
      </c>
      <c r="BL703" s="166">
        <v>0</v>
      </c>
      <c r="BM703" s="166">
        <v>0</v>
      </c>
      <c r="BN703" s="166">
        <v>0</v>
      </c>
      <c r="BO703" s="166">
        <v>0</v>
      </c>
      <c r="BP703" s="166">
        <v>0</v>
      </c>
      <c r="BQ703" s="81" t="s">
        <v>1757</v>
      </c>
      <c r="BZ703" s="81" t="s">
        <v>155</v>
      </c>
      <c r="CA703" s="81" t="s">
        <v>3981</v>
      </c>
      <c r="CC703" s="167">
        <v>0</v>
      </c>
      <c r="CD703" s="167">
        <f>$N703/2</f>
        <v>1</v>
      </c>
      <c r="CE703" s="167">
        <f>$N703/2</f>
        <v>1</v>
      </c>
      <c r="CF703" s="167">
        <v>0</v>
      </c>
      <c r="CG703" s="167">
        <v>0</v>
      </c>
      <c r="CH703" s="167">
        <v>0</v>
      </c>
      <c r="CI703" s="167">
        <v>0</v>
      </c>
      <c r="CJ703" s="167">
        <v>0</v>
      </c>
      <c r="CK703" s="167">
        <v>0</v>
      </c>
      <c r="CL703" s="167">
        <v>0</v>
      </c>
      <c r="CM703" s="167">
        <v>0</v>
      </c>
      <c r="CN703" s="167">
        <v>0</v>
      </c>
      <c r="CO703" s="167">
        <v>0</v>
      </c>
      <c r="CP703" s="167">
        <v>0</v>
      </c>
      <c r="CQ703" s="167">
        <v>0</v>
      </c>
      <c r="CR703" s="167">
        <v>0</v>
      </c>
      <c r="CS703" s="167">
        <v>0</v>
      </c>
      <c r="CT703" s="167">
        <v>0</v>
      </c>
      <c r="CU703" s="167">
        <v>0</v>
      </c>
      <c r="CV703" s="167">
        <v>0</v>
      </c>
      <c r="CW703" s="167">
        <v>0</v>
      </c>
      <c r="CX703" s="167">
        <f>SUM(CD703:CH703)</f>
        <v>2</v>
      </c>
      <c r="CY703" s="167">
        <f>SUM(CD703:CM703)</f>
        <v>2</v>
      </c>
    </row>
    <row r="704" spans="1:103" ht="12.75" customHeight="1" x14ac:dyDescent="0.2">
      <c r="A704" s="81">
        <v>35</v>
      </c>
      <c r="B704" s="165" t="s">
        <v>1930</v>
      </c>
      <c r="C704" s="165" t="s">
        <v>1343</v>
      </c>
      <c r="D704" s="165" t="s">
        <v>314</v>
      </c>
      <c r="E704" s="165" t="s">
        <v>2407</v>
      </c>
      <c r="G704" s="81">
        <v>527443</v>
      </c>
      <c r="H704" s="81">
        <v>175002</v>
      </c>
      <c r="I704" s="165" t="s">
        <v>255</v>
      </c>
      <c r="L704" s="166">
        <v>0</v>
      </c>
      <c r="M704" s="166">
        <v>2</v>
      </c>
      <c r="N704" s="166">
        <v>2</v>
      </c>
      <c r="O704" s="166">
        <v>2</v>
      </c>
      <c r="P704" s="166">
        <v>2</v>
      </c>
      <c r="R704" s="165" t="s">
        <v>1344</v>
      </c>
      <c r="S704" s="81" t="s">
        <v>113</v>
      </c>
      <c r="T704" s="349">
        <v>42578</v>
      </c>
      <c r="U704" s="349">
        <v>42664</v>
      </c>
      <c r="W704" s="81" t="s">
        <v>114</v>
      </c>
      <c r="Y704" s="81" t="s">
        <v>115</v>
      </c>
      <c r="Z704" s="81" t="s">
        <v>116</v>
      </c>
      <c r="AA704" s="81" t="s">
        <v>117</v>
      </c>
      <c r="AB704" s="81" t="s">
        <v>218</v>
      </c>
      <c r="AC704" s="166">
        <v>6.0000000521540598E-3</v>
      </c>
      <c r="AG704" s="81" t="s">
        <v>238</v>
      </c>
      <c r="AH704" s="81" t="s">
        <v>118</v>
      </c>
      <c r="AK704" s="166">
        <v>2</v>
      </c>
      <c r="AM704" s="166">
        <v>0</v>
      </c>
      <c r="AO704" s="166">
        <v>0</v>
      </c>
      <c r="AP704" s="166">
        <v>0</v>
      </c>
      <c r="AQ704" s="166">
        <v>2</v>
      </c>
      <c r="AR704" s="166">
        <v>0</v>
      </c>
      <c r="AS704" s="166">
        <v>0</v>
      </c>
      <c r="AT704" s="166">
        <v>0</v>
      </c>
      <c r="AU704" s="166">
        <v>0</v>
      </c>
      <c r="AV704" s="166">
        <v>0</v>
      </c>
      <c r="AW704" s="166">
        <v>0</v>
      </c>
      <c r="AX704" s="166">
        <v>2</v>
      </c>
      <c r="AY704" s="166">
        <v>0</v>
      </c>
      <c r="AZ704" s="166">
        <v>0</v>
      </c>
      <c r="BA704" s="166">
        <v>0</v>
      </c>
      <c r="BB704" s="166">
        <v>0</v>
      </c>
      <c r="BC704" s="166">
        <v>0</v>
      </c>
      <c r="BD704" s="166">
        <v>0</v>
      </c>
      <c r="BE704" s="166">
        <v>0</v>
      </c>
      <c r="BF704" s="166">
        <v>0</v>
      </c>
      <c r="BG704" s="166">
        <v>0</v>
      </c>
      <c r="BH704" s="166">
        <v>0</v>
      </c>
      <c r="BI704" s="166">
        <v>0</v>
      </c>
      <c r="BJ704" s="166">
        <v>0</v>
      </c>
      <c r="BK704" s="166">
        <v>0</v>
      </c>
      <c r="BL704" s="166">
        <v>0</v>
      </c>
      <c r="BM704" s="166">
        <v>0</v>
      </c>
      <c r="BN704" s="166">
        <v>0</v>
      </c>
      <c r="BO704" s="166">
        <v>0</v>
      </c>
      <c r="BP704" s="166">
        <v>0</v>
      </c>
      <c r="BQ704" s="81" t="s">
        <v>1757</v>
      </c>
      <c r="BR704" s="81" t="s">
        <v>160</v>
      </c>
      <c r="BZ704" s="81" t="s">
        <v>155</v>
      </c>
      <c r="CA704" s="81">
        <v>4</v>
      </c>
      <c r="CC704" s="167">
        <v>0</v>
      </c>
      <c r="CD704" s="167">
        <v>0</v>
      </c>
      <c r="CE704" s="167">
        <f>$N704/5</f>
        <v>0.4</v>
      </c>
      <c r="CF704" s="167">
        <f>$N704/5</f>
        <v>0.4</v>
      </c>
      <c r="CG704" s="167">
        <f>$N704/5</f>
        <v>0.4</v>
      </c>
      <c r="CH704" s="167">
        <f>$N704/5</f>
        <v>0.4</v>
      </c>
      <c r="CI704" s="167">
        <f>$N704/5</f>
        <v>0.4</v>
      </c>
      <c r="CJ704" s="167">
        <v>0</v>
      </c>
      <c r="CK704" s="167">
        <v>0</v>
      </c>
      <c r="CL704" s="167">
        <v>0</v>
      </c>
      <c r="CM704" s="167">
        <v>0</v>
      </c>
      <c r="CN704" s="167">
        <v>0</v>
      </c>
      <c r="CO704" s="167">
        <v>0</v>
      </c>
      <c r="CP704" s="167">
        <v>0</v>
      </c>
      <c r="CQ704" s="167">
        <v>0</v>
      </c>
      <c r="CR704" s="167">
        <v>0</v>
      </c>
      <c r="CS704" s="167">
        <v>0</v>
      </c>
      <c r="CT704" s="167">
        <v>0</v>
      </c>
      <c r="CU704" s="167">
        <v>0</v>
      </c>
      <c r="CV704" s="167">
        <v>0</v>
      </c>
      <c r="CW704" s="167">
        <v>0</v>
      </c>
      <c r="CX704" s="167">
        <f>SUM(CD704:CH704)</f>
        <v>1.6</v>
      </c>
      <c r="CY704" s="167">
        <f>SUM(CD704:CM704)</f>
        <v>2</v>
      </c>
    </row>
    <row r="705" spans="1:103" ht="12.75" customHeight="1" x14ac:dyDescent="0.2">
      <c r="A705" s="81">
        <v>54</v>
      </c>
      <c r="B705" s="165" t="s">
        <v>1930</v>
      </c>
      <c r="C705" s="165" t="s">
        <v>2408</v>
      </c>
      <c r="D705" s="165" t="s">
        <v>2107</v>
      </c>
      <c r="E705" s="165" t="s">
        <v>2409</v>
      </c>
      <c r="G705" s="81">
        <v>527320</v>
      </c>
      <c r="H705" s="81">
        <v>177144</v>
      </c>
      <c r="I705" s="165" t="s">
        <v>257</v>
      </c>
      <c r="L705" s="166">
        <v>0</v>
      </c>
      <c r="M705" s="166">
        <v>5</v>
      </c>
      <c r="N705" s="166">
        <v>5</v>
      </c>
      <c r="O705" s="166">
        <v>5</v>
      </c>
      <c r="P705" s="166">
        <v>5</v>
      </c>
      <c r="R705" s="165" t="s">
        <v>2410</v>
      </c>
      <c r="S705" s="81" t="s">
        <v>113</v>
      </c>
      <c r="T705" s="349">
        <v>42765</v>
      </c>
      <c r="U705" s="349">
        <v>43087</v>
      </c>
      <c r="V705" s="81" t="s">
        <v>155</v>
      </c>
      <c r="W705" s="81" t="s">
        <v>114</v>
      </c>
      <c r="Y705" s="81" t="s">
        <v>115</v>
      </c>
      <c r="Z705" s="81" t="s">
        <v>219</v>
      </c>
      <c r="AA705" s="81" t="s">
        <v>117</v>
      </c>
      <c r="AB705" s="81" t="s">
        <v>3889</v>
      </c>
      <c r="AC705" s="166">
        <v>2.70000007003546E-2</v>
      </c>
      <c r="AG705" s="81" t="s">
        <v>238</v>
      </c>
      <c r="AH705" s="81" t="s">
        <v>118</v>
      </c>
      <c r="AK705" s="166">
        <v>0</v>
      </c>
      <c r="AM705" s="166">
        <v>0</v>
      </c>
      <c r="AO705" s="166">
        <v>0</v>
      </c>
      <c r="AP705" s="166">
        <v>1</v>
      </c>
      <c r="AQ705" s="166">
        <v>0</v>
      </c>
      <c r="AR705" s="166">
        <v>4</v>
      </c>
      <c r="AS705" s="166">
        <v>0</v>
      </c>
      <c r="AT705" s="166">
        <v>0</v>
      </c>
      <c r="AU705" s="166">
        <v>0</v>
      </c>
      <c r="AV705" s="166">
        <v>0</v>
      </c>
      <c r="AW705" s="166">
        <v>1</v>
      </c>
      <c r="AX705" s="166">
        <v>0</v>
      </c>
      <c r="AY705" s="166">
        <v>4</v>
      </c>
      <c r="AZ705" s="166">
        <v>0</v>
      </c>
      <c r="BA705" s="166">
        <v>0</v>
      </c>
      <c r="BB705" s="166">
        <v>0</v>
      </c>
      <c r="BC705" s="166">
        <v>0</v>
      </c>
      <c r="BD705" s="166">
        <v>0</v>
      </c>
      <c r="BE705" s="166">
        <v>0</v>
      </c>
      <c r="BF705" s="166">
        <v>0</v>
      </c>
      <c r="BG705" s="166">
        <v>0</v>
      </c>
      <c r="BH705" s="166">
        <v>0</v>
      </c>
      <c r="BI705" s="166">
        <v>0</v>
      </c>
      <c r="BJ705" s="166">
        <v>0</v>
      </c>
      <c r="BK705" s="166">
        <v>0</v>
      </c>
      <c r="BL705" s="166">
        <v>0</v>
      </c>
      <c r="BM705" s="166">
        <v>0</v>
      </c>
      <c r="BN705" s="166">
        <v>0</v>
      </c>
      <c r="BO705" s="166">
        <v>0</v>
      </c>
      <c r="BP705" s="166">
        <v>0</v>
      </c>
      <c r="BQ705" s="81" t="s">
        <v>1757</v>
      </c>
      <c r="BX705" s="81" t="s">
        <v>155</v>
      </c>
      <c r="BZ705" s="81" t="s">
        <v>155</v>
      </c>
      <c r="CA705" s="81" t="s">
        <v>1937</v>
      </c>
      <c r="CC705" s="167">
        <v>0</v>
      </c>
      <c r="CD705" s="167">
        <f>$N705/4</f>
        <v>1.25</v>
      </c>
      <c r="CE705" s="167">
        <f>$N705/4</f>
        <v>1.25</v>
      </c>
      <c r="CF705" s="167">
        <f>$N705/4</f>
        <v>1.25</v>
      </c>
      <c r="CG705" s="167">
        <f>$N705/4</f>
        <v>1.25</v>
      </c>
      <c r="CH705" s="167">
        <v>0</v>
      </c>
      <c r="CI705" s="167">
        <v>0</v>
      </c>
      <c r="CJ705" s="167">
        <v>0</v>
      </c>
      <c r="CK705" s="167">
        <v>0</v>
      </c>
      <c r="CL705" s="167">
        <v>0</v>
      </c>
      <c r="CM705" s="167">
        <v>0</v>
      </c>
      <c r="CN705" s="167">
        <v>0</v>
      </c>
      <c r="CO705" s="167">
        <v>0</v>
      </c>
      <c r="CP705" s="167">
        <v>0</v>
      </c>
      <c r="CQ705" s="167">
        <v>0</v>
      </c>
      <c r="CR705" s="167">
        <v>0</v>
      </c>
      <c r="CS705" s="167">
        <v>0</v>
      </c>
      <c r="CT705" s="167">
        <v>0</v>
      </c>
      <c r="CU705" s="167">
        <v>0</v>
      </c>
      <c r="CV705" s="167">
        <v>0</v>
      </c>
      <c r="CW705" s="167">
        <v>0</v>
      </c>
      <c r="CX705" s="167">
        <f>SUM(CD705:CH705)</f>
        <v>5</v>
      </c>
      <c r="CY705" s="167">
        <f>SUM(CD705:CM705)</f>
        <v>5</v>
      </c>
    </row>
    <row r="706" spans="1:103" ht="12.75" customHeight="1" x14ac:dyDescent="0.2">
      <c r="A706" s="81">
        <v>170</v>
      </c>
      <c r="B706" s="165" t="s">
        <v>1930</v>
      </c>
      <c r="C706" s="165" t="s">
        <v>541</v>
      </c>
      <c r="E706" s="165" t="s">
        <v>2411</v>
      </c>
      <c r="G706" s="81">
        <v>528164</v>
      </c>
      <c r="H706" s="81">
        <v>176634</v>
      </c>
      <c r="I706" s="165" t="s">
        <v>240</v>
      </c>
      <c r="L706" s="166">
        <v>0</v>
      </c>
      <c r="M706" s="166">
        <v>5</v>
      </c>
      <c r="N706" s="166">
        <v>5</v>
      </c>
      <c r="O706" s="166">
        <v>5</v>
      </c>
      <c r="P706" s="166">
        <v>5</v>
      </c>
      <c r="R706" s="165" t="s">
        <v>542</v>
      </c>
      <c r="S706" s="81" t="s">
        <v>113</v>
      </c>
      <c r="T706" s="349">
        <v>42121</v>
      </c>
      <c r="U706" s="349">
        <v>42230</v>
      </c>
      <c r="W706" s="81" t="s">
        <v>114</v>
      </c>
      <c r="Y706" s="81" t="s">
        <v>115</v>
      </c>
      <c r="Z706" s="81" t="s">
        <v>398</v>
      </c>
      <c r="AA706" s="81" t="s">
        <v>117</v>
      </c>
      <c r="AB706" s="81" t="s">
        <v>218</v>
      </c>
      <c r="AC706" s="166">
        <v>1.2000000104308101E-2</v>
      </c>
      <c r="AG706" s="81" t="s">
        <v>238</v>
      </c>
      <c r="AH706" s="81" t="s">
        <v>118</v>
      </c>
      <c r="AK706" s="166">
        <v>5</v>
      </c>
      <c r="AM706" s="166">
        <v>0</v>
      </c>
      <c r="AO706" s="166">
        <v>0</v>
      </c>
      <c r="AP706" s="166">
        <v>0</v>
      </c>
      <c r="AQ706" s="166">
        <v>4</v>
      </c>
      <c r="AR706" s="166">
        <v>1</v>
      </c>
      <c r="AS706" s="166">
        <v>0</v>
      </c>
      <c r="AT706" s="166">
        <v>0</v>
      </c>
      <c r="AU706" s="166">
        <v>0</v>
      </c>
      <c r="AV706" s="166">
        <v>0</v>
      </c>
      <c r="AW706" s="166">
        <v>0</v>
      </c>
      <c r="AX706" s="166">
        <v>4</v>
      </c>
      <c r="AY706" s="166">
        <v>1</v>
      </c>
      <c r="AZ706" s="166">
        <v>0</v>
      </c>
      <c r="BA706" s="166">
        <v>0</v>
      </c>
      <c r="BB706" s="166">
        <v>0</v>
      </c>
      <c r="BC706" s="166">
        <v>0</v>
      </c>
      <c r="BD706" s="166">
        <v>0</v>
      </c>
      <c r="BE706" s="166">
        <v>0</v>
      </c>
      <c r="BF706" s="166">
        <v>0</v>
      </c>
      <c r="BG706" s="166">
        <v>0</v>
      </c>
      <c r="BH706" s="166">
        <v>0</v>
      </c>
      <c r="BI706" s="166">
        <v>0</v>
      </c>
      <c r="BJ706" s="166">
        <v>0</v>
      </c>
      <c r="BK706" s="166">
        <v>0</v>
      </c>
      <c r="BL706" s="166">
        <v>0</v>
      </c>
      <c r="BM706" s="166">
        <v>0</v>
      </c>
      <c r="BN706" s="166">
        <v>0</v>
      </c>
      <c r="BO706" s="166">
        <v>0</v>
      </c>
      <c r="BP706" s="166">
        <v>0</v>
      </c>
      <c r="BQ706" s="81" t="s">
        <v>1757</v>
      </c>
      <c r="BZ706" s="81" t="s">
        <v>155</v>
      </c>
      <c r="CA706" s="81" t="s">
        <v>1937</v>
      </c>
      <c r="CC706" s="167">
        <v>0</v>
      </c>
      <c r="CD706" s="167">
        <f>$N706/4</f>
        <v>1.25</v>
      </c>
      <c r="CE706" s="167">
        <f>$N706/4</f>
        <v>1.25</v>
      </c>
      <c r="CF706" s="167">
        <f>$N706/4</f>
        <v>1.25</v>
      </c>
      <c r="CG706" s="167">
        <f>$N706/4</f>
        <v>1.25</v>
      </c>
      <c r="CH706" s="167">
        <v>0</v>
      </c>
      <c r="CI706" s="167">
        <v>0</v>
      </c>
      <c r="CJ706" s="167">
        <v>0</v>
      </c>
      <c r="CK706" s="167">
        <v>0</v>
      </c>
      <c r="CL706" s="167">
        <v>0</v>
      </c>
      <c r="CM706" s="167">
        <v>0</v>
      </c>
      <c r="CN706" s="167">
        <v>0</v>
      </c>
      <c r="CO706" s="167">
        <v>0</v>
      </c>
      <c r="CP706" s="167">
        <v>0</v>
      </c>
      <c r="CQ706" s="167">
        <v>0</v>
      </c>
      <c r="CR706" s="167">
        <v>0</v>
      </c>
      <c r="CS706" s="167">
        <v>0</v>
      </c>
      <c r="CT706" s="167">
        <v>0</v>
      </c>
      <c r="CU706" s="167">
        <v>0</v>
      </c>
      <c r="CV706" s="167">
        <v>0</v>
      </c>
      <c r="CW706" s="167">
        <v>0</v>
      </c>
      <c r="CX706" s="167">
        <f>SUM(CD706:CH706)</f>
        <v>5</v>
      </c>
      <c r="CY706" s="167">
        <f>SUM(CD706:CM706)</f>
        <v>5</v>
      </c>
    </row>
    <row r="707" spans="1:103" ht="12.75" customHeight="1" x14ac:dyDescent="0.2">
      <c r="A707" s="81">
        <v>180</v>
      </c>
      <c r="B707" s="165" t="s">
        <v>1930</v>
      </c>
      <c r="C707" s="165" t="s">
        <v>1735</v>
      </c>
      <c r="D707" s="165" t="s">
        <v>1736</v>
      </c>
      <c r="E707" s="165" t="s">
        <v>1931</v>
      </c>
      <c r="G707" s="81">
        <v>527950</v>
      </c>
      <c r="H707" s="81">
        <v>176519</v>
      </c>
      <c r="I707" s="165" t="s">
        <v>241</v>
      </c>
      <c r="L707" s="166">
        <v>1</v>
      </c>
      <c r="M707" s="166">
        <v>31</v>
      </c>
      <c r="N707" s="166">
        <v>30</v>
      </c>
      <c r="O707" s="166">
        <v>39</v>
      </c>
      <c r="P707" s="166">
        <v>38</v>
      </c>
      <c r="Q707" s="81" t="s">
        <v>155</v>
      </c>
      <c r="R707" s="165" t="s">
        <v>1932</v>
      </c>
      <c r="S707" s="81" t="s">
        <v>104</v>
      </c>
      <c r="T707" s="349">
        <v>42583</v>
      </c>
      <c r="U707" s="349">
        <v>42989</v>
      </c>
      <c r="V707" s="81" t="s">
        <v>155</v>
      </c>
      <c r="W707" s="81" t="s">
        <v>114</v>
      </c>
      <c r="Y707" s="81" t="s">
        <v>115</v>
      </c>
      <c r="Z707" s="81" t="s">
        <v>116</v>
      </c>
      <c r="AA707" s="81" t="s">
        <v>116</v>
      </c>
      <c r="AB707" s="81" t="s">
        <v>117</v>
      </c>
      <c r="AC707" s="166">
        <v>0.104000002145767</v>
      </c>
      <c r="AG707" s="81" t="s">
        <v>238</v>
      </c>
      <c r="AH707" s="81" t="s">
        <v>118</v>
      </c>
      <c r="AK707" s="166">
        <v>31</v>
      </c>
      <c r="AM707" s="166">
        <v>0</v>
      </c>
      <c r="AO707" s="166">
        <v>0</v>
      </c>
      <c r="AP707" s="166">
        <v>14</v>
      </c>
      <c r="AQ707" s="166">
        <v>15</v>
      </c>
      <c r="AR707" s="166">
        <v>1</v>
      </c>
      <c r="AS707" s="166">
        <v>0</v>
      </c>
      <c r="AT707" s="166">
        <v>0</v>
      </c>
      <c r="AU707" s="166">
        <v>0</v>
      </c>
      <c r="AV707" s="166">
        <v>0</v>
      </c>
      <c r="AW707" s="166">
        <v>14</v>
      </c>
      <c r="AX707" s="166">
        <v>15</v>
      </c>
      <c r="AY707" s="166">
        <v>2</v>
      </c>
      <c r="AZ707" s="166">
        <v>0</v>
      </c>
      <c r="BA707" s="166">
        <v>0</v>
      </c>
      <c r="BB707" s="166">
        <v>0</v>
      </c>
      <c r="BC707" s="166">
        <v>0</v>
      </c>
      <c r="BD707" s="166">
        <v>0</v>
      </c>
      <c r="BE707" s="166">
        <v>0</v>
      </c>
      <c r="BF707" s="166">
        <v>-1</v>
      </c>
      <c r="BG707" s="166">
        <v>0</v>
      </c>
      <c r="BH707" s="166">
        <v>0</v>
      </c>
      <c r="BI707" s="166">
        <v>0</v>
      </c>
      <c r="BJ707" s="166">
        <v>0</v>
      </c>
      <c r="BK707" s="166">
        <v>0</v>
      </c>
      <c r="BL707" s="166">
        <v>0</v>
      </c>
      <c r="BM707" s="166">
        <v>0</v>
      </c>
      <c r="BN707" s="166">
        <v>0</v>
      </c>
      <c r="BO707" s="166">
        <v>0</v>
      </c>
      <c r="BP707" s="166">
        <v>0</v>
      </c>
      <c r="BQ707" s="81" t="s">
        <v>1757</v>
      </c>
      <c r="BZ707" s="81" t="s">
        <v>155</v>
      </c>
      <c r="CA707" s="81" t="s">
        <v>3936</v>
      </c>
      <c r="CC707" s="167">
        <v>0</v>
      </c>
      <c r="CD707" s="167">
        <v>0</v>
      </c>
      <c r="CE707" s="167">
        <v>0</v>
      </c>
      <c r="CF707" s="167">
        <f>N707</f>
        <v>30</v>
      </c>
      <c r="CG707" s="167">
        <v>0</v>
      </c>
      <c r="CH707" s="167">
        <v>0</v>
      </c>
      <c r="CI707" s="167">
        <v>0</v>
      </c>
      <c r="CJ707" s="167">
        <v>0</v>
      </c>
      <c r="CK707" s="167">
        <v>0</v>
      </c>
      <c r="CL707" s="167">
        <v>0</v>
      </c>
      <c r="CM707" s="167">
        <v>0</v>
      </c>
      <c r="CN707" s="167">
        <v>0</v>
      </c>
      <c r="CO707" s="167">
        <v>0</v>
      </c>
      <c r="CP707" s="167">
        <v>0</v>
      </c>
      <c r="CQ707" s="167">
        <v>0</v>
      </c>
      <c r="CR707" s="167">
        <v>0</v>
      </c>
      <c r="CS707" s="167">
        <v>0</v>
      </c>
      <c r="CT707" s="167">
        <v>0</v>
      </c>
      <c r="CU707" s="167">
        <v>0</v>
      </c>
      <c r="CV707" s="167">
        <v>0</v>
      </c>
      <c r="CW707" s="167">
        <v>0</v>
      </c>
      <c r="CX707" s="167">
        <f>SUM(CD707:CH707)</f>
        <v>30</v>
      </c>
      <c r="CY707" s="167">
        <f>SUM(CD707:CM707)</f>
        <v>30</v>
      </c>
    </row>
    <row r="708" spans="1:103" ht="12.75" customHeight="1" x14ac:dyDescent="0.2">
      <c r="A708" s="81">
        <v>180</v>
      </c>
      <c r="B708" s="165" t="s">
        <v>1930</v>
      </c>
      <c r="C708" s="165" t="s">
        <v>1735</v>
      </c>
      <c r="D708" s="165" t="s">
        <v>1736</v>
      </c>
      <c r="E708" s="165" t="s">
        <v>1931</v>
      </c>
      <c r="G708" s="81">
        <v>527950</v>
      </c>
      <c r="H708" s="81">
        <v>176519</v>
      </c>
      <c r="I708" s="165" t="s">
        <v>241</v>
      </c>
      <c r="L708" s="166">
        <v>0</v>
      </c>
      <c r="M708" s="166">
        <v>4</v>
      </c>
      <c r="N708" s="166">
        <v>4</v>
      </c>
      <c r="O708" s="166">
        <v>39</v>
      </c>
      <c r="P708" s="166">
        <v>38</v>
      </c>
      <c r="Q708" s="81" t="s">
        <v>155</v>
      </c>
      <c r="R708" s="165" t="s">
        <v>1932</v>
      </c>
      <c r="S708" s="81" t="s">
        <v>104</v>
      </c>
      <c r="T708" s="349">
        <v>42583</v>
      </c>
      <c r="U708" s="349">
        <v>42989</v>
      </c>
      <c r="V708" s="81" t="s">
        <v>155</v>
      </c>
      <c r="W708" s="81" t="s">
        <v>114</v>
      </c>
      <c r="Y708" s="81" t="s">
        <v>115</v>
      </c>
      <c r="Z708" s="81" t="s">
        <v>116</v>
      </c>
      <c r="AA708" s="81" t="s">
        <v>116</v>
      </c>
      <c r="AB708" s="81" t="s">
        <v>117</v>
      </c>
      <c r="AC708" s="166">
        <v>1.4000000432133701E-2</v>
      </c>
      <c r="AG708" s="81" t="s">
        <v>74</v>
      </c>
      <c r="AH708" s="81" t="s">
        <v>990</v>
      </c>
      <c r="AK708" s="166">
        <v>4</v>
      </c>
      <c r="AL708" s="166">
        <v>4</v>
      </c>
      <c r="AM708" s="166">
        <v>0</v>
      </c>
      <c r="AN708" s="166">
        <v>0</v>
      </c>
      <c r="AO708" s="166">
        <v>0</v>
      </c>
      <c r="AP708" s="166">
        <v>2</v>
      </c>
      <c r="AQ708" s="166">
        <v>2</v>
      </c>
      <c r="AR708" s="166">
        <v>0</v>
      </c>
      <c r="AS708" s="166">
        <v>0</v>
      </c>
      <c r="AT708" s="166">
        <v>0</v>
      </c>
      <c r="AU708" s="166">
        <v>0</v>
      </c>
      <c r="AV708" s="166">
        <v>0</v>
      </c>
      <c r="AW708" s="166">
        <v>2</v>
      </c>
      <c r="AX708" s="166">
        <v>2</v>
      </c>
      <c r="AY708" s="166">
        <v>0</v>
      </c>
      <c r="AZ708" s="166">
        <v>0</v>
      </c>
      <c r="BA708" s="166">
        <v>0</v>
      </c>
      <c r="BB708" s="166">
        <v>0</v>
      </c>
      <c r="BC708" s="166">
        <v>0</v>
      </c>
      <c r="BD708" s="166">
        <v>0</v>
      </c>
      <c r="BE708" s="166">
        <v>0</v>
      </c>
      <c r="BF708" s="166">
        <v>0</v>
      </c>
      <c r="BG708" s="166">
        <v>0</v>
      </c>
      <c r="BH708" s="166">
        <v>0</v>
      </c>
      <c r="BI708" s="166">
        <v>0</v>
      </c>
      <c r="BJ708" s="166">
        <v>0</v>
      </c>
      <c r="BK708" s="166">
        <v>0</v>
      </c>
      <c r="BL708" s="166">
        <v>0</v>
      </c>
      <c r="BM708" s="166">
        <v>0</v>
      </c>
      <c r="BN708" s="166">
        <v>0</v>
      </c>
      <c r="BO708" s="166">
        <v>0</v>
      </c>
      <c r="BP708" s="166">
        <v>0</v>
      </c>
      <c r="BQ708" s="81" t="s">
        <v>1757</v>
      </c>
      <c r="BZ708" s="81" t="s">
        <v>155</v>
      </c>
      <c r="CA708" s="81" t="s">
        <v>3936</v>
      </c>
      <c r="CC708" s="167">
        <v>0</v>
      </c>
      <c r="CD708" s="167">
        <v>0</v>
      </c>
      <c r="CE708" s="167">
        <v>0</v>
      </c>
      <c r="CF708" s="167">
        <f>N708</f>
        <v>4</v>
      </c>
      <c r="CG708" s="167">
        <v>0</v>
      </c>
      <c r="CH708" s="167">
        <v>0</v>
      </c>
      <c r="CI708" s="167">
        <v>0</v>
      </c>
      <c r="CJ708" s="167">
        <v>0</v>
      </c>
      <c r="CK708" s="167">
        <v>0</v>
      </c>
      <c r="CL708" s="167">
        <v>0</v>
      </c>
      <c r="CM708" s="167">
        <v>0</v>
      </c>
      <c r="CN708" s="167">
        <v>0</v>
      </c>
      <c r="CO708" s="167">
        <v>0</v>
      </c>
      <c r="CP708" s="167">
        <v>0</v>
      </c>
      <c r="CQ708" s="167">
        <v>0</v>
      </c>
      <c r="CR708" s="167">
        <v>0</v>
      </c>
      <c r="CS708" s="167">
        <v>0</v>
      </c>
      <c r="CT708" s="167">
        <v>0</v>
      </c>
      <c r="CU708" s="167">
        <v>0</v>
      </c>
      <c r="CV708" s="167">
        <v>0</v>
      </c>
      <c r="CW708" s="167">
        <v>0</v>
      </c>
      <c r="CX708" s="167">
        <f>SUM(CD708:CH708)</f>
        <v>4</v>
      </c>
      <c r="CY708" s="167">
        <f>SUM(CD708:CM708)</f>
        <v>4</v>
      </c>
    </row>
    <row r="709" spans="1:103" x14ac:dyDescent="0.2">
      <c r="A709" s="81">
        <v>180</v>
      </c>
      <c r="B709" s="165" t="s">
        <v>1930</v>
      </c>
      <c r="C709" s="165" t="s">
        <v>1735</v>
      </c>
      <c r="D709" s="165" t="s">
        <v>1736</v>
      </c>
      <c r="E709" s="165" t="s">
        <v>1931</v>
      </c>
      <c r="G709" s="81">
        <v>527950</v>
      </c>
      <c r="H709" s="81">
        <v>176519</v>
      </c>
      <c r="I709" s="165" t="s">
        <v>241</v>
      </c>
      <c r="L709" s="166">
        <v>0</v>
      </c>
      <c r="M709" s="166">
        <v>4</v>
      </c>
      <c r="N709" s="166">
        <v>4</v>
      </c>
      <c r="O709" s="166">
        <v>39</v>
      </c>
      <c r="P709" s="166">
        <v>38</v>
      </c>
      <c r="Q709" s="81" t="s">
        <v>155</v>
      </c>
      <c r="R709" s="165" t="s">
        <v>1932</v>
      </c>
      <c r="S709" s="81" t="s">
        <v>104</v>
      </c>
      <c r="T709" s="349">
        <v>42583</v>
      </c>
      <c r="U709" s="349">
        <v>42989</v>
      </c>
      <c r="V709" s="81" t="s">
        <v>155</v>
      </c>
      <c r="W709" s="81" t="s">
        <v>114</v>
      </c>
      <c r="Y709" s="81" t="s">
        <v>115</v>
      </c>
      <c r="Z709" s="81" t="s">
        <v>116</v>
      </c>
      <c r="AA709" s="81" t="s">
        <v>116</v>
      </c>
      <c r="AB709" s="81" t="s">
        <v>117</v>
      </c>
      <c r="AC709" s="166">
        <v>1.4000000432133701E-2</v>
      </c>
      <c r="AG709" s="81" t="s">
        <v>74</v>
      </c>
      <c r="AH709" s="81" t="s">
        <v>895</v>
      </c>
      <c r="AK709" s="166">
        <v>4</v>
      </c>
      <c r="AL709" s="166">
        <v>4</v>
      </c>
      <c r="AM709" s="166">
        <v>1</v>
      </c>
      <c r="AN709" s="166">
        <v>1</v>
      </c>
      <c r="AO709" s="166">
        <v>0</v>
      </c>
      <c r="AP709" s="166">
        <v>2</v>
      </c>
      <c r="AQ709" s="166">
        <v>2</v>
      </c>
      <c r="AR709" s="166">
        <v>0</v>
      </c>
      <c r="AS709" s="166">
        <v>0</v>
      </c>
      <c r="AT709" s="166">
        <v>0</v>
      </c>
      <c r="AU709" s="166">
        <v>0</v>
      </c>
      <c r="AV709" s="166">
        <v>0</v>
      </c>
      <c r="AW709" s="166">
        <v>2</v>
      </c>
      <c r="AX709" s="166">
        <v>2</v>
      </c>
      <c r="AY709" s="166">
        <v>0</v>
      </c>
      <c r="AZ709" s="166">
        <v>0</v>
      </c>
      <c r="BA709" s="166">
        <v>0</v>
      </c>
      <c r="BB709" s="166">
        <v>0</v>
      </c>
      <c r="BC709" s="166">
        <v>0</v>
      </c>
      <c r="BD709" s="166">
        <v>0</v>
      </c>
      <c r="BE709" s="166">
        <v>0</v>
      </c>
      <c r="BF709" s="166">
        <v>0</v>
      </c>
      <c r="BG709" s="166">
        <v>0</v>
      </c>
      <c r="BH709" s="166">
        <v>0</v>
      </c>
      <c r="BI709" s="166">
        <v>0</v>
      </c>
      <c r="BJ709" s="166">
        <v>0</v>
      </c>
      <c r="BK709" s="166">
        <v>0</v>
      </c>
      <c r="BL709" s="166">
        <v>0</v>
      </c>
      <c r="BM709" s="166">
        <v>0</v>
      </c>
      <c r="BN709" s="166">
        <v>0</v>
      </c>
      <c r="BO709" s="166">
        <v>0</v>
      </c>
      <c r="BP709" s="166">
        <v>0</v>
      </c>
      <c r="BQ709" s="81" t="s">
        <v>1757</v>
      </c>
      <c r="BZ709" s="81" t="s">
        <v>155</v>
      </c>
      <c r="CA709" s="81" t="s">
        <v>3936</v>
      </c>
      <c r="CC709" s="167">
        <v>0</v>
      </c>
      <c r="CD709" s="167">
        <v>0</v>
      </c>
      <c r="CE709" s="167">
        <v>0</v>
      </c>
      <c r="CF709" s="167">
        <f>N709</f>
        <v>4</v>
      </c>
      <c r="CG709" s="167">
        <v>0</v>
      </c>
      <c r="CH709" s="167">
        <v>0</v>
      </c>
      <c r="CI709" s="167">
        <v>0</v>
      </c>
      <c r="CJ709" s="167">
        <v>0</v>
      </c>
      <c r="CK709" s="167">
        <v>0</v>
      </c>
      <c r="CL709" s="167">
        <v>0</v>
      </c>
      <c r="CM709" s="167">
        <v>0</v>
      </c>
      <c r="CN709" s="167">
        <v>0</v>
      </c>
      <c r="CO709" s="167">
        <v>0</v>
      </c>
      <c r="CP709" s="167">
        <v>0</v>
      </c>
      <c r="CQ709" s="167">
        <v>0</v>
      </c>
      <c r="CR709" s="167">
        <v>0</v>
      </c>
      <c r="CS709" s="167">
        <v>0</v>
      </c>
      <c r="CT709" s="167">
        <v>0</v>
      </c>
      <c r="CU709" s="167">
        <v>0</v>
      </c>
      <c r="CV709" s="167">
        <v>0</v>
      </c>
      <c r="CW709" s="167">
        <v>0</v>
      </c>
      <c r="CX709" s="167">
        <f>SUM(CD709:CH709)</f>
        <v>4</v>
      </c>
      <c r="CY709" s="167">
        <f>SUM(CD709:CM709)</f>
        <v>4</v>
      </c>
    </row>
    <row r="710" spans="1:103" ht="12.75" customHeight="1" x14ac:dyDescent="0.2">
      <c r="A710" s="81">
        <v>213</v>
      </c>
      <c r="B710" s="165" t="s">
        <v>1930</v>
      </c>
      <c r="C710" s="165" t="s">
        <v>1934</v>
      </c>
      <c r="E710" s="165" t="s">
        <v>1935</v>
      </c>
      <c r="G710" s="81">
        <v>523620</v>
      </c>
      <c r="H710" s="81">
        <v>175154</v>
      </c>
      <c r="I710" s="165" t="s">
        <v>250</v>
      </c>
      <c r="L710" s="166">
        <v>0</v>
      </c>
      <c r="M710" s="166">
        <v>1</v>
      </c>
      <c r="N710" s="166">
        <v>1</v>
      </c>
      <c r="O710" s="166">
        <v>1</v>
      </c>
      <c r="P710" s="166">
        <v>1</v>
      </c>
      <c r="R710" s="165" t="s">
        <v>1936</v>
      </c>
      <c r="S710" s="81" t="s">
        <v>113</v>
      </c>
      <c r="T710" s="349">
        <v>42872</v>
      </c>
      <c r="U710" s="349">
        <v>42929</v>
      </c>
      <c r="V710" s="81" t="s">
        <v>155</v>
      </c>
      <c r="W710" s="81" t="s">
        <v>114</v>
      </c>
      <c r="Y710" s="81" t="s">
        <v>115</v>
      </c>
      <c r="Z710" s="81" t="s">
        <v>310</v>
      </c>
      <c r="AA710" s="81" t="s">
        <v>117</v>
      </c>
      <c r="AB710" s="81" t="s">
        <v>311</v>
      </c>
      <c r="AC710" s="166">
        <v>2.8000000864267301E-2</v>
      </c>
      <c r="AG710" s="81" t="s">
        <v>238</v>
      </c>
      <c r="AH710" s="81" t="s">
        <v>118</v>
      </c>
      <c r="AK710" s="166">
        <v>0</v>
      </c>
      <c r="AM710" s="166">
        <v>0</v>
      </c>
      <c r="AO710" s="166">
        <v>0</v>
      </c>
      <c r="AP710" s="166">
        <v>0</v>
      </c>
      <c r="AQ710" s="166">
        <v>1</v>
      </c>
      <c r="AR710" s="166">
        <v>0</v>
      </c>
      <c r="AS710" s="166">
        <v>0</v>
      </c>
      <c r="AT710" s="166">
        <v>0</v>
      </c>
      <c r="AU710" s="166">
        <v>0</v>
      </c>
      <c r="AV710" s="166">
        <v>0</v>
      </c>
      <c r="AW710" s="166">
        <v>0</v>
      </c>
      <c r="AX710" s="166">
        <v>1</v>
      </c>
      <c r="AY710" s="166">
        <v>0</v>
      </c>
      <c r="AZ710" s="166">
        <v>0</v>
      </c>
      <c r="BA710" s="166">
        <v>0</v>
      </c>
      <c r="BB710" s="166">
        <v>0</v>
      </c>
      <c r="BC710" s="166">
        <v>0</v>
      </c>
      <c r="BD710" s="166">
        <v>0</v>
      </c>
      <c r="BE710" s="166">
        <v>0</v>
      </c>
      <c r="BF710" s="166">
        <v>0</v>
      </c>
      <c r="BG710" s="166">
        <v>0</v>
      </c>
      <c r="BH710" s="166">
        <v>0</v>
      </c>
      <c r="BI710" s="166">
        <v>0</v>
      </c>
      <c r="BJ710" s="166">
        <v>0</v>
      </c>
      <c r="BK710" s="166">
        <v>0</v>
      </c>
      <c r="BL710" s="166">
        <v>0</v>
      </c>
      <c r="BM710" s="166">
        <v>0</v>
      </c>
      <c r="BN710" s="166">
        <v>0</v>
      </c>
      <c r="BO710" s="166">
        <v>0</v>
      </c>
      <c r="BP710" s="166">
        <v>0</v>
      </c>
      <c r="BQ710" s="81" t="s">
        <v>1758</v>
      </c>
      <c r="BR710" s="81" t="s">
        <v>161</v>
      </c>
      <c r="BZ710" s="81" t="s">
        <v>155</v>
      </c>
      <c r="CA710" s="81" t="s">
        <v>1937</v>
      </c>
      <c r="CC710" s="167">
        <v>0</v>
      </c>
      <c r="CD710" s="167">
        <f>$N710/4</f>
        <v>0.25</v>
      </c>
      <c r="CE710" s="167">
        <f>$N710/4</f>
        <v>0.25</v>
      </c>
      <c r="CF710" s="167">
        <f>$N710/4</f>
        <v>0.25</v>
      </c>
      <c r="CG710" s="167">
        <f>$N710/4</f>
        <v>0.25</v>
      </c>
      <c r="CH710" s="167">
        <v>0</v>
      </c>
      <c r="CI710" s="167">
        <v>0</v>
      </c>
      <c r="CJ710" s="167">
        <v>0</v>
      </c>
      <c r="CK710" s="167">
        <v>0</v>
      </c>
      <c r="CL710" s="167">
        <v>0</v>
      </c>
      <c r="CM710" s="167">
        <v>0</v>
      </c>
      <c r="CN710" s="167">
        <v>0</v>
      </c>
      <c r="CO710" s="167">
        <v>0</v>
      </c>
      <c r="CP710" s="167">
        <v>0</v>
      </c>
      <c r="CQ710" s="167">
        <v>0</v>
      </c>
      <c r="CR710" s="167">
        <v>0</v>
      </c>
      <c r="CS710" s="167">
        <v>0</v>
      </c>
      <c r="CT710" s="167">
        <v>0</v>
      </c>
      <c r="CU710" s="167">
        <v>0</v>
      </c>
      <c r="CV710" s="167">
        <v>0</v>
      </c>
      <c r="CW710" s="167">
        <v>0</v>
      </c>
      <c r="CX710" s="167">
        <f>SUM(CD710:CH710)</f>
        <v>1</v>
      </c>
      <c r="CY710" s="167">
        <f>SUM(CD710:CM710)</f>
        <v>1</v>
      </c>
    </row>
    <row r="711" spans="1:103" ht="12.75" customHeight="1" x14ac:dyDescent="0.2">
      <c r="A711" s="81">
        <v>244</v>
      </c>
      <c r="B711" s="165" t="s">
        <v>1930</v>
      </c>
      <c r="C711" s="165" t="s">
        <v>1316</v>
      </c>
      <c r="D711" s="165" t="s">
        <v>876</v>
      </c>
      <c r="E711" s="165" t="s">
        <v>1938</v>
      </c>
      <c r="G711" s="81">
        <v>526455</v>
      </c>
      <c r="H711" s="81">
        <v>175748</v>
      </c>
      <c r="I711" s="165" t="s">
        <v>257</v>
      </c>
      <c r="L711" s="166">
        <v>0</v>
      </c>
      <c r="M711" s="166">
        <v>4</v>
      </c>
      <c r="N711" s="166">
        <v>4</v>
      </c>
      <c r="O711" s="166">
        <v>4</v>
      </c>
      <c r="P711" s="166">
        <v>4</v>
      </c>
      <c r="R711" s="165" t="s">
        <v>1317</v>
      </c>
      <c r="S711" s="81" t="s">
        <v>270</v>
      </c>
      <c r="T711" s="349">
        <v>42548</v>
      </c>
      <c r="U711" s="349">
        <v>42604</v>
      </c>
      <c r="W711" s="81" t="s">
        <v>114</v>
      </c>
      <c r="Y711" s="81" t="s">
        <v>115</v>
      </c>
      <c r="Z711" s="81" t="s">
        <v>310</v>
      </c>
      <c r="AA711" s="81" t="s">
        <v>117</v>
      </c>
      <c r="AB711" s="81" t="s">
        <v>399</v>
      </c>
      <c r="AC711" s="166">
        <v>1.4999999664723899E-2</v>
      </c>
      <c r="AG711" s="81" t="s">
        <v>238</v>
      </c>
      <c r="AH711" s="81" t="s">
        <v>118</v>
      </c>
      <c r="AI711" s="81" t="s">
        <v>1939</v>
      </c>
      <c r="AK711" s="166">
        <v>0</v>
      </c>
      <c r="AM711" s="166">
        <v>0</v>
      </c>
      <c r="AO711" s="166">
        <v>0</v>
      </c>
      <c r="AP711" s="166">
        <v>4</v>
      </c>
      <c r="AQ711" s="166">
        <v>0</v>
      </c>
      <c r="AR711" s="166">
        <v>0</v>
      </c>
      <c r="AS711" s="166">
        <v>0</v>
      </c>
      <c r="AT711" s="166">
        <v>0</v>
      </c>
      <c r="AU711" s="166">
        <v>0</v>
      </c>
      <c r="AV711" s="166">
        <v>0</v>
      </c>
      <c r="AW711" s="166">
        <v>4</v>
      </c>
      <c r="AX711" s="166">
        <v>0</v>
      </c>
      <c r="AY711" s="166">
        <v>0</v>
      </c>
      <c r="AZ711" s="166">
        <v>0</v>
      </c>
      <c r="BA711" s="166">
        <v>0</v>
      </c>
      <c r="BB711" s="166">
        <v>0</v>
      </c>
      <c r="BC711" s="166">
        <v>0</v>
      </c>
      <c r="BD711" s="166">
        <v>0</v>
      </c>
      <c r="BE711" s="166">
        <v>0</v>
      </c>
      <c r="BF711" s="166">
        <v>0</v>
      </c>
      <c r="BG711" s="166">
        <v>0</v>
      </c>
      <c r="BH711" s="166">
        <v>0</v>
      </c>
      <c r="BI711" s="166">
        <v>0</v>
      </c>
      <c r="BJ711" s="166">
        <v>0</v>
      </c>
      <c r="BK711" s="166">
        <v>0</v>
      </c>
      <c r="BL711" s="166">
        <v>0</v>
      </c>
      <c r="BM711" s="166">
        <v>0</v>
      </c>
      <c r="BN711" s="166">
        <v>0</v>
      </c>
      <c r="BO711" s="166">
        <v>0</v>
      </c>
      <c r="BP711" s="166">
        <v>0</v>
      </c>
      <c r="BQ711" s="81" t="s">
        <v>1757</v>
      </c>
      <c r="BX711" s="81" t="s">
        <v>155</v>
      </c>
      <c r="BZ711" s="81" t="s">
        <v>155</v>
      </c>
      <c r="CA711" s="81" t="s">
        <v>3972</v>
      </c>
      <c r="CC711" s="167">
        <v>0</v>
      </c>
      <c r="CD711" s="167">
        <f>$N711/4</f>
        <v>1</v>
      </c>
      <c r="CE711" s="167">
        <f>$N711/4</f>
        <v>1</v>
      </c>
      <c r="CF711" s="167">
        <f>$N711/4</f>
        <v>1</v>
      </c>
      <c r="CG711" s="167">
        <f>$N711/4</f>
        <v>1</v>
      </c>
      <c r="CH711" s="167">
        <v>0</v>
      </c>
      <c r="CI711" s="167">
        <v>0</v>
      </c>
      <c r="CJ711" s="167">
        <v>0</v>
      </c>
      <c r="CK711" s="167">
        <v>0</v>
      </c>
      <c r="CL711" s="167">
        <v>0</v>
      </c>
      <c r="CM711" s="167">
        <v>0</v>
      </c>
      <c r="CN711" s="167">
        <v>0</v>
      </c>
      <c r="CO711" s="167">
        <v>0</v>
      </c>
      <c r="CP711" s="167">
        <v>0</v>
      </c>
      <c r="CQ711" s="167">
        <v>0</v>
      </c>
      <c r="CR711" s="167">
        <v>0</v>
      </c>
      <c r="CS711" s="167">
        <v>0</v>
      </c>
      <c r="CT711" s="167">
        <v>0</v>
      </c>
      <c r="CU711" s="167">
        <v>0</v>
      </c>
      <c r="CV711" s="167">
        <v>0</v>
      </c>
      <c r="CW711" s="167">
        <v>0</v>
      </c>
      <c r="CX711" s="167">
        <f>SUM(CD711:CH711)</f>
        <v>4</v>
      </c>
      <c r="CY711" s="167">
        <f>SUM(CD711:CM711)</f>
        <v>4</v>
      </c>
    </row>
    <row r="712" spans="1:103" x14ac:dyDescent="0.2">
      <c r="A712" s="81">
        <v>280</v>
      </c>
      <c r="B712" s="165" t="s">
        <v>1930</v>
      </c>
      <c r="C712" s="165" t="s">
        <v>1360</v>
      </c>
      <c r="E712" s="165" t="s">
        <v>2415</v>
      </c>
      <c r="G712" s="81">
        <v>528689</v>
      </c>
      <c r="H712" s="81">
        <v>173240</v>
      </c>
      <c r="I712" s="165" t="s">
        <v>247</v>
      </c>
      <c r="L712" s="166">
        <v>1</v>
      </c>
      <c r="M712" s="166">
        <v>3</v>
      </c>
      <c r="N712" s="166">
        <v>2</v>
      </c>
      <c r="O712" s="166">
        <v>3</v>
      </c>
      <c r="P712" s="166">
        <v>2</v>
      </c>
      <c r="R712" s="165" t="s">
        <v>1361</v>
      </c>
      <c r="S712" s="81" t="s">
        <v>113</v>
      </c>
      <c r="T712" s="349">
        <v>42579</v>
      </c>
      <c r="U712" s="349">
        <v>42635</v>
      </c>
      <c r="W712" s="81" t="s">
        <v>114</v>
      </c>
      <c r="Y712" s="81" t="s">
        <v>115</v>
      </c>
      <c r="Z712" s="81" t="s">
        <v>398</v>
      </c>
      <c r="AA712" s="81" t="s">
        <v>117</v>
      </c>
      <c r="AB712" s="81" t="s">
        <v>120</v>
      </c>
      <c r="AC712" s="166">
        <v>1.09999999403954E-2</v>
      </c>
      <c r="AG712" s="81" t="s">
        <v>238</v>
      </c>
      <c r="AH712" s="81" t="s">
        <v>118</v>
      </c>
      <c r="AK712" s="166">
        <v>0</v>
      </c>
      <c r="AM712" s="166">
        <v>0</v>
      </c>
      <c r="AO712" s="166">
        <v>0</v>
      </c>
      <c r="AP712" s="166">
        <v>1</v>
      </c>
      <c r="AQ712" s="166">
        <v>1</v>
      </c>
      <c r="AR712" s="166">
        <v>0</v>
      </c>
      <c r="AS712" s="166">
        <v>0</v>
      </c>
      <c r="AT712" s="166">
        <v>0</v>
      </c>
      <c r="AU712" s="166">
        <v>0</v>
      </c>
      <c r="AV712" s="166">
        <v>0</v>
      </c>
      <c r="AW712" s="166">
        <v>1</v>
      </c>
      <c r="AX712" s="166">
        <v>1</v>
      </c>
      <c r="AY712" s="166">
        <v>1</v>
      </c>
      <c r="AZ712" s="166">
        <v>0</v>
      </c>
      <c r="BA712" s="166">
        <v>0</v>
      </c>
      <c r="BB712" s="166">
        <v>0</v>
      </c>
      <c r="BC712" s="166">
        <v>0</v>
      </c>
      <c r="BD712" s="166">
        <v>0</v>
      </c>
      <c r="BE712" s="166">
        <v>0</v>
      </c>
      <c r="BF712" s="166">
        <v>-1</v>
      </c>
      <c r="BG712" s="166">
        <v>0</v>
      </c>
      <c r="BH712" s="166">
        <v>0</v>
      </c>
      <c r="BI712" s="166">
        <v>0</v>
      </c>
      <c r="BJ712" s="166">
        <v>0</v>
      </c>
      <c r="BK712" s="166">
        <v>0</v>
      </c>
      <c r="BL712" s="166">
        <v>0</v>
      </c>
      <c r="BM712" s="166">
        <v>0</v>
      </c>
      <c r="BN712" s="166">
        <v>0</v>
      </c>
      <c r="BO712" s="166">
        <v>0</v>
      </c>
      <c r="BP712" s="166">
        <v>0</v>
      </c>
      <c r="BQ712" s="81" t="s">
        <v>1757</v>
      </c>
      <c r="BZ712" s="81" t="s">
        <v>155</v>
      </c>
      <c r="CA712" s="81" t="s">
        <v>1937</v>
      </c>
      <c r="CC712" s="167">
        <v>0</v>
      </c>
      <c r="CD712" s="167">
        <f>$N712/4</f>
        <v>0.5</v>
      </c>
      <c r="CE712" s="167">
        <f>$N712/4</f>
        <v>0.5</v>
      </c>
      <c r="CF712" s="167">
        <f>$N712/4</f>
        <v>0.5</v>
      </c>
      <c r="CG712" s="167">
        <f>$N712/4</f>
        <v>0.5</v>
      </c>
      <c r="CH712" s="167">
        <v>0</v>
      </c>
      <c r="CI712" s="167">
        <v>0</v>
      </c>
      <c r="CJ712" s="167">
        <v>0</v>
      </c>
      <c r="CK712" s="167">
        <v>0</v>
      </c>
      <c r="CL712" s="167">
        <v>0</v>
      </c>
      <c r="CM712" s="167">
        <v>0</v>
      </c>
      <c r="CN712" s="167">
        <v>0</v>
      </c>
      <c r="CO712" s="167">
        <v>0</v>
      </c>
      <c r="CP712" s="167">
        <v>0</v>
      </c>
      <c r="CQ712" s="167">
        <v>0</v>
      </c>
      <c r="CR712" s="167">
        <v>0</v>
      </c>
      <c r="CS712" s="167">
        <v>0</v>
      </c>
      <c r="CT712" s="167">
        <v>0</v>
      </c>
      <c r="CU712" s="167">
        <v>0</v>
      </c>
      <c r="CV712" s="167">
        <v>0</v>
      </c>
      <c r="CW712" s="167">
        <v>0</v>
      </c>
      <c r="CX712" s="167">
        <f>SUM(CD712:CH712)</f>
        <v>2</v>
      </c>
      <c r="CY712" s="167">
        <f>SUM(CD712:CM712)</f>
        <v>2</v>
      </c>
    </row>
    <row r="713" spans="1:103" ht="12.75" customHeight="1" x14ac:dyDescent="0.2">
      <c r="A713" s="81">
        <v>411</v>
      </c>
      <c r="B713" s="165" t="s">
        <v>1930</v>
      </c>
      <c r="C713" s="165" t="s">
        <v>436</v>
      </c>
      <c r="E713" s="165" t="s">
        <v>2414</v>
      </c>
      <c r="G713" s="81">
        <v>528848</v>
      </c>
      <c r="H713" s="81">
        <v>176719</v>
      </c>
      <c r="I713" s="165" t="s">
        <v>240</v>
      </c>
      <c r="L713" s="166">
        <v>0</v>
      </c>
      <c r="M713" s="166">
        <v>4</v>
      </c>
      <c r="N713" s="166">
        <v>4</v>
      </c>
      <c r="O713" s="166">
        <v>4</v>
      </c>
      <c r="P713" s="166">
        <v>4</v>
      </c>
      <c r="R713" s="165" t="s">
        <v>437</v>
      </c>
      <c r="S713" s="81" t="s">
        <v>270</v>
      </c>
      <c r="T713" s="349">
        <v>42087</v>
      </c>
      <c r="U713" s="349">
        <v>42165</v>
      </c>
      <c r="W713" s="81" t="s">
        <v>114</v>
      </c>
      <c r="Y713" s="81" t="s">
        <v>115</v>
      </c>
      <c r="Z713" s="81" t="s">
        <v>310</v>
      </c>
      <c r="AA713" s="81" t="s">
        <v>117</v>
      </c>
      <c r="AB713" s="81" t="s">
        <v>399</v>
      </c>
      <c r="AC713" s="166">
        <v>5.9999998658895499E-2</v>
      </c>
      <c r="AG713" s="81" t="s">
        <v>238</v>
      </c>
      <c r="AH713" s="81" t="s">
        <v>118</v>
      </c>
      <c r="AK713" s="166">
        <v>0</v>
      </c>
      <c r="AM713" s="166">
        <v>0</v>
      </c>
      <c r="AO713" s="166">
        <v>0</v>
      </c>
      <c r="AP713" s="166">
        <v>4</v>
      </c>
      <c r="AQ713" s="166">
        <v>0</v>
      </c>
      <c r="AR713" s="166">
        <v>0</v>
      </c>
      <c r="AS713" s="166">
        <v>0</v>
      </c>
      <c r="AT713" s="166">
        <v>0</v>
      </c>
      <c r="AU713" s="166">
        <v>0</v>
      </c>
      <c r="AV713" s="166">
        <v>0</v>
      </c>
      <c r="AW713" s="166">
        <v>4</v>
      </c>
      <c r="AX713" s="166">
        <v>0</v>
      </c>
      <c r="AY713" s="166">
        <v>0</v>
      </c>
      <c r="AZ713" s="166">
        <v>0</v>
      </c>
      <c r="BA713" s="166">
        <v>0</v>
      </c>
      <c r="BB713" s="166">
        <v>0</v>
      </c>
      <c r="BC713" s="166">
        <v>0</v>
      </c>
      <c r="BD713" s="166">
        <v>0</v>
      </c>
      <c r="BE713" s="166">
        <v>0</v>
      </c>
      <c r="BF713" s="166">
        <v>0</v>
      </c>
      <c r="BG713" s="166">
        <v>0</v>
      </c>
      <c r="BH713" s="166">
        <v>0</v>
      </c>
      <c r="BI713" s="166">
        <v>0</v>
      </c>
      <c r="BJ713" s="166">
        <v>0</v>
      </c>
      <c r="BK713" s="166">
        <v>0</v>
      </c>
      <c r="BL713" s="166">
        <v>0</v>
      </c>
      <c r="BM713" s="166">
        <v>0</v>
      </c>
      <c r="BN713" s="166">
        <v>0</v>
      </c>
      <c r="BO713" s="166">
        <v>0</v>
      </c>
      <c r="BP713" s="166">
        <v>0</v>
      </c>
      <c r="BQ713" s="81" t="s">
        <v>1759</v>
      </c>
      <c r="BS713" s="81" t="s">
        <v>155</v>
      </c>
      <c r="BZ713" s="81" t="s">
        <v>155</v>
      </c>
      <c r="CA713" s="81" t="s">
        <v>1937</v>
      </c>
      <c r="CC713" s="167">
        <v>0</v>
      </c>
      <c r="CD713" s="167">
        <f>$N713/4</f>
        <v>1</v>
      </c>
      <c r="CE713" s="167">
        <f>$N713/4</f>
        <v>1</v>
      </c>
      <c r="CF713" s="167">
        <f>$N713/4</f>
        <v>1</v>
      </c>
      <c r="CG713" s="167">
        <f>$N713/4</f>
        <v>1</v>
      </c>
      <c r="CH713" s="167">
        <v>0</v>
      </c>
      <c r="CI713" s="167">
        <v>0</v>
      </c>
      <c r="CJ713" s="167">
        <v>0</v>
      </c>
      <c r="CK713" s="167">
        <v>0</v>
      </c>
      <c r="CL713" s="167">
        <v>0</v>
      </c>
      <c r="CM713" s="167">
        <v>0</v>
      </c>
      <c r="CN713" s="167">
        <v>0</v>
      </c>
      <c r="CO713" s="167">
        <v>0</v>
      </c>
      <c r="CP713" s="167">
        <v>0</v>
      </c>
      <c r="CQ713" s="167">
        <v>0</v>
      </c>
      <c r="CR713" s="167">
        <v>0</v>
      </c>
      <c r="CS713" s="167">
        <v>0</v>
      </c>
      <c r="CT713" s="167">
        <v>0</v>
      </c>
      <c r="CU713" s="167">
        <v>0</v>
      </c>
      <c r="CV713" s="167">
        <v>0</v>
      </c>
      <c r="CW713" s="167">
        <v>0</v>
      </c>
      <c r="CX713" s="167">
        <f>SUM(CD713:CH713)</f>
        <v>4</v>
      </c>
      <c r="CY713" s="167">
        <f>SUM(CD713:CM713)</f>
        <v>4</v>
      </c>
    </row>
    <row r="714" spans="1:103" ht="12.75" customHeight="1" x14ac:dyDescent="0.2">
      <c r="A714" s="81">
        <v>419</v>
      </c>
      <c r="B714" s="165" t="s">
        <v>1930</v>
      </c>
      <c r="C714" s="165" t="s">
        <v>2419</v>
      </c>
      <c r="E714" s="165" t="s">
        <v>2420</v>
      </c>
      <c r="G714" s="81">
        <v>527797</v>
      </c>
      <c r="H714" s="81">
        <v>172208</v>
      </c>
      <c r="I714" s="165" t="s">
        <v>242</v>
      </c>
      <c r="L714" s="166">
        <v>0</v>
      </c>
      <c r="M714" s="166">
        <v>4</v>
      </c>
      <c r="N714" s="166">
        <v>4</v>
      </c>
      <c r="O714" s="166">
        <v>4</v>
      </c>
      <c r="P714" s="166">
        <v>4</v>
      </c>
      <c r="R714" s="165" t="s">
        <v>2421</v>
      </c>
      <c r="S714" s="81" t="s">
        <v>113</v>
      </c>
      <c r="T714" s="349">
        <v>42983</v>
      </c>
      <c r="U714" s="349">
        <v>43087</v>
      </c>
      <c r="V714" s="81" t="s">
        <v>155</v>
      </c>
      <c r="W714" s="81" t="s">
        <v>114</v>
      </c>
      <c r="Y714" s="81" t="s">
        <v>115</v>
      </c>
      <c r="Z714" s="81" t="s">
        <v>116</v>
      </c>
      <c r="AA714" s="81" t="s">
        <v>117</v>
      </c>
      <c r="AB714" s="81" t="s">
        <v>218</v>
      </c>
      <c r="AC714" s="166">
        <v>2.3000000044703501E-2</v>
      </c>
      <c r="AG714" s="81" t="s">
        <v>238</v>
      </c>
      <c r="AH714" s="81" t="s">
        <v>118</v>
      </c>
      <c r="AK714" s="166">
        <v>0</v>
      </c>
      <c r="AM714" s="166">
        <v>0</v>
      </c>
      <c r="AO714" s="166">
        <v>0</v>
      </c>
      <c r="AP714" s="166">
        <v>1</v>
      </c>
      <c r="AQ714" s="166">
        <v>2</v>
      </c>
      <c r="AR714" s="166">
        <v>1</v>
      </c>
      <c r="AS714" s="166">
        <v>0</v>
      </c>
      <c r="AT714" s="166">
        <v>0</v>
      </c>
      <c r="AU714" s="166">
        <v>0</v>
      </c>
      <c r="AV714" s="166">
        <v>0</v>
      </c>
      <c r="AW714" s="166">
        <v>1</v>
      </c>
      <c r="AX714" s="166">
        <v>2</v>
      </c>
      <c r="AY714" s="166">
        <v>1</v>
      </c>
      <c r="AZ714" s="166">
        <v>0</v>
      </c>
      <c r="BA714" s="166">
        <v>0</v>
      </c>
      <c r="BB714" s="166">
        <v>0</v>
      </c>
      <c r="BC714" s="166">
        <v>0</v>
      </c>
      <c r="BD714" s="166">
        <v>0</v>
      </c>
      <c r="BE714" s="166">
        <v>0</v>
      </c>
      <c r="BF714" s="166">
        <v>0</v>
      </c>
      <c r="BG714" s="166">
        <v>0</v>
      </c>
      <c r="BH714" s="166">
        <v>0</v>
      </c>
      <c r="BI714" s="166">
        <v>0</v>
      </c>
      <c r="BJ714" s="166">
        <v>0</v>
      </c>
      <c r="BK714" s="166">
        <v>0</v>
      </c>
      <c r="BL714" s="166">
        <v>0</v>
      </c>
      <c r="BM714" s="166">
        <v>0</v>
      </c>
      <c r="BN714" s="166">
        <v>0</v>
      </c>
      <c r="BO714" s="166">
        <v>0</v>
      </c>
      <c r="BP714" s="166">
        <v>0</v>
      </c>
      <c r="BQ714" s="81" t="s">
        <v>1757</v>
      </c>
      <c r="BZ714" s="81" t="s">
        <v>155</v>
      </c>
      <c r="CA714" s="81">
        <v>4</v>
      </c>
      <c r="CC714" s="167">
        <v>0</v>
      </c>
      <c r="CD714" s="167">
        <v>0</v>
      </c>
      <c r="CE714" s="167">
        <f>$N714/5</f>
        <v>0.8</v>
      </c>
      <c r="CF714" s="167">
        <f>$N714/5</f>
        <v>0.8</v>
      </c>
      <c r="CG714" s="167">
        <f>$N714/5</f>
        <v>0.8</v>
      </c>
      <c r="CH714" s="167">
        <f>$N714/5</f>
        <v>0.8</v>
      </c>
      <c r="CI714" s="167">
        <f>$N714/5</f>
        <v>0.8</v>
      </c>
      <c r="CJ714" s="167">
        <v>0</v>
      </c>
      <c r="CK714" s="167">
        <v>0</v>
      </c>
      <c r="CL714" s="167">
        <v>0</v>
      </c>
      <c r="CM714" s="167">
        <v>0</v>
      </c>
      <c r="CN714" s="167">
        <v>0</v>
      </c>
      <c r="CO714" s="167">
        <v>0</v>
      </c>
      <c r="CP714" s="167">
        <v>0</v>
      </c>
      <c r="CQ714" s="167">
        <v>0</v>
      </c>
      <c r="CR714" s="167">
        <v>0</v>
      </c>
      <c r="CS714" s="167">
        <v>0</v>
      </c>
      <c r="CT714" s="167">
        <v>0</v>
      </c>
      <c r="CU714" s="167">
        <v>0</v>
      </c>
      <c r="CV714" s="167">
        <v>0</v>
      </c>
      <c r="CW714" s="167">
        <v>0</v>
      </c>
      <c r="CX714" s="167">
        <f>SUM(CD714:CH714)</f>
        <v>3.2</v>
      </c>
      <c r="CY714" s="167">
        <f>SUM(CD714:CM714)</f>
        <v>4</v>
      </c>
    </row>
    <row r="715" spans="1:103" ht="12.75" customHeight="1" x14ac:dyDescent="0.2">
      <c r="A715" s="81">
        <v>457</v>
      </c>
      <c r="B715" s="165" t="s">
        <v>1930</v>
      </c>
      <c r="C715" s="165" t="s">
        <v>2422</v>
      </c>
      <c r="E715" s="165" t="s">
        <v>2423</v>
      </c>
      <c r="G715" s="81">
        <v>529185</v>
      </c>
      <c r="H715" s="81">
        <v>170570</v>
      </c>
      <c r="I715" s="165" t="s">
        <v>252</v>
      </c>
      <c r="L715" s="166">
        <v>0</v>
      </c>
      <c r="M715" s="166">
        <v>1</v>
      </c>
      <c r="N715" s="166">
        <v>1</v>
      </c>
      <c r="O715" s="166">
        <v>1</v>
      </c>
      <c r="P715" s="166">
        <v>1</v>
      </c>
      <c r="R715" s="165" t="s">
        <v>2424</v>
      </c>
      <c r="S715" s="81" t="s">
        <v>113</v>
      </c>
      <c r="T715" s="349">
        <v>42900</v>
      </c>
      <c r="U715" s="349">
        <v>43032</v>
      </c>
      <c r="V715" s="81" t="s">
        <v>155</v>
      </c>
      <c r="W715" s="81" t="s">
        <v>114</v>
      </c>
      <c r="Y715" s="81" t="s">
        <v>115</v>
      </c>
      <c r="Z715" s="81" t="s">
        <v>116</v>
      </c>
      <c r="AA715" s="81" t="s">
        <v>117</v>
      </c>
      <c r="AB715" s="81" t="s">
        <v>218</v>
      </c>
      <c r="AC715" s="166">
        <v>1.60000007599592E-2</v>
      </c>
      <c r="AG715" s="81" t="s">
        <v>238</v>
      </c>
      <c r="AH715" s="81" t="s">
        <v>118</v>
      </c>
      <c r="AK715" s="166">
        <v>0</v>
      </c>
      <c r="AM715" s="166">
        <v>0</v>
      </c>
      <c r="AO715" s="166">
        <v>0</v>
      </c>
      <c r="AP715" s="166">
        <v>1</v>
      </c>
      <c r="AQ715" s="166">
        <v>0</v>
      </c>
      <c r="AR715" s="166">
        <v>0</v>
      </c>
      <c r="AS715" s="166">
        <v>0</v>
      </c>
      <c r="AT715" s="166">
        <v>0</v>
      </c>
      <c r="AU715" s="166">
        <v>0</v>
      </c>
      <c r="AV715" s="166">
        <v>0</v>
      </c>
      <c r="AW715" s="166">
        <v>0</v>
      </c>
      <c r="AX715" s="166">
        <v>0</v>
      </c>
      <c r="AY715" s="166">
        <v>0</v>
      </c>
      <c r="AZ715" s="166">
        <v>0</v>
      </c>
      <c r="BA715" s="166">
        <v>0</v>
      </c>
      <c r="BB715" s="166">
        <v>0</v>
      </c>
      <c r="BC715" s="166">
        <v>0</v>
      </c>
      <c r="BD715" s="166">
        <v>1</v>
      </c>
      <c r="BE715" s="166">
        <v>0</v>
      </c>
      <c r="BF715" s="166">
        <v>0</v>
      </c>
      <c r="BG715" s="166">
        <v>0</v>
      </c>
      <c r="BH715" s="166">
        <v>0</v>
      </c>
      <c r="BI715" s="166">
        <v>0</v>
      </c>
      <c r="BJ715" s="166">
        <v>0</v>
      </c>
      <c r="BK715" s="166">
        <v>0</v>
      </c>
      <c r="BL715" s="166">
        <v>0</v>
      </c>
      <c r="BM715" s="166">
        <v>0</v>
      </c>
      <c r="BN715" s="166">
        <v>0</v>
      </c>
      <c r="BO715" s="166">
        <v>0</v>
      </c>
      <c r="BP715" s="166">
        <v>0</v>
      </c>
      <c r="BQ715" s="81" t="s">
        <v>1757</v>
      </c>
      <c r="BZ715" s="81" t="s">
        <v>155</v>
      </c>
      <c r="CA715" s="81">
        <v>4</v>
      </c>
      <c r="CC715" s="167">
        <v>0</v>
      </c>
      <c r="CD715" s="167">
        <v>0</v>
      </c>
      <c r="CE715" s="167">
        <f>$N715/5</f>
        <v>0.2</v>
      </c>
      <c r="CF715" s="167">
        <f>$N715/5</f>
        <v>0.2</v>
      </c>
      <c r="CG715" s="167">
        <f>$N715/5</f>
        <v>0.2</v>
      </c>
      <c r="CH715" s="167">
        <f>$N715/5</f>
        <v>0.2</v>
      </c>
      <c r="CI715" s="167">
        <f>$N715/5</f>
        <v>0.2</v>
      </c>
      <c r="CJ715" s="167">
        <v>0</v>
      </c>
      <c r="CK715" s="167">
        <v>0</v>
      </c>
      <c r="CL715" s="167">
        <v>0</v>
      </c>
      <c r="CM715" s="167">
        <v>0</v>
      </c>
      <c r="CN715" s="167">
        <v>0</v>
      </c>
      <c r="CO715" s="167">
        <v>0</v>
      </c>
      <c r="CP715" s="167">
        <v>0</v>
      </c>
      <c r="CQ715" s="167">
        <v>0</v>
      </c>
      <c r="CR715" s="167">
        <v>0</v>
      </c>
      <c r="CS715" s="167">
        <v>0</v>
      </c>
      <c r="CT715" s="167">
        <v>0</v>
      </c>
      <c r="CU715" s="167">
        <v>0</v>
      </c>
      <c r="CV715" s="167">
        <v>0</v>
      </c>
      <c r="CW715" s="167">
        <v>0</v>
      </c>
      <c r="CX715" s="167">
        <f>SUM(CD715:CH715)</f>
        <v>0.8</v>
      </c>
      <c r="CY715" s="167">
        <f>SUM(CD715:CM715)</f>
        <v>1</v>
      </c>
    </row>
    <row r="716" spans="1:103" ht="12.75" customHeight="1" x14ac:dyDescent="0.2">
      <c r="A716" s="81">
        <v>466</v>
      </c>
      <c r="B716" s="165" t="s">
        <v>1930</v>
      </c>
      <c r="C716" s="165" t="s">
        <v>2416</v>
      </c>
      <c r="E716" s="165" t="s">
        <v>2417</v>
      </c>
      <c r="G716" s="81">
        <v>528790</v>
      </c>
      <c r="H716" s="81">
        <v>173785</v>
      </c>
      <c r="I716" s="165" t="s">
        <v>247</v>
      </c>
      <c r="L716" s="166">
        <v>1</v>
      </c>
      <c r="M716" s="166">
        <v>2</v>
      </c>
      <c r="N716" s="166">
        <v>1</v>
      </c>
      <c r="O716" s="166">
        <v>2</v>
      </c>
      <c r="P716" s="166">
        <v>1</v>
      </c>
      <c r="R716" s="165" t="s">
        <v>2418</v>
      </c>
      <c r="S716" s="81" t="s">
        <v>113</v>
      </c>
      <c r="T716" s="349">
        <v>43124</v>
      </c>
      <c r="U716" s="349">
        <v>43180</v>
      </c>
      <c r="V716" s="81" t="s">
        <v>155</v>
      </c>
      <c r="W716" s="81" t="s">
        <v>114</v>
      </c>
      <c r="Y716" s="81" t="s">
        <v>115</v>
      </c>
      <c r="Z716" s="81" t="s">
        <v>119</v>
      </c>
      <c r="AA716" s="81" t="s">
        <v>117</v>
      </c>
      <c r="AB716" s="81" t="s">
        <v>220</v>
      </c>
      <c r="AC716" s="166">
        <v>6.0000000521540598E-3</v>
      </c>
      <c r="AG716" s="81" t="s">
        <v>238</v>
      </c>
      <c r="AH716" s="81" t="s">
        <v>118</v>
      </c>
      <c r="AK716" s="166">
        <v>0</v>
      </c>
      <c r="AM716" s="166">
        <v>0</v>
      </c>
      <c r="AO716" s="166">
        <v>0</v>
      </c>
      <c r="AP716" s="166">
        <v>2</v>
      </c>
      <c r="AQ716" s="166">
        <v>0</v>
      </c>
      <c r="AR716" s="166">
        <v>0</v>
      </c>
      <c r="AS716" s="166">
        <v>-1</v>
      </c>
      <c r="AT716" s="166">
        <v>0</v>
      </c>
      <c r="AU716" s="166">
        <v>0</v>
      </c>
      <c r="AV716" s="166">
        <v>0</v>
      </c>
      <c r="AW716" s="166">
        <v>2</v>
      </c>
      <c r="AX716" s="166">
        <v>0</v>
      </c>
      <c r="AY716" s="166">
        <v>0</v>
      </c>
      <c r="AZ716" s="166">
        <v>-1</v>
      </c>
      <c r="BA716" s="166">
        <v>0</v>
      </c>
      <c r="BB716" s="166">
        <v>0</v>
      </c>
      <c r="BC716" s="166">
        <v>0</v>
      </c>
      <c r="BD716" s="166">
        <v>0</v>
      </c>
      <c r="BE716" s="166">
        <v>0</v>
      </c>
      <c r="BF716" s="166">
        <v>0</v>
      </c>
      <c r="BG716" s="166">
        <v>0</v>
      </c>
      <c r="BH716" s="166">
        <v>0</v>
      </c>
      <c r="BI716" s="166">
        <v>0</v>
      </c>
      <c r="BJ716" s="166">
        <v>0</v>
      </c>
      <c r="BK716" s="166">
        <v>0</v>
      </c>
      <c r="BL716" s="166">
        <v>0</v>
      </c>
      <c r="BM716" s="166">
        <v>0</v>
      </c>
      <c r="BN716" s="166">
        <v>0</v>
      </c>
      <c r="BO716" s="166">
        <v>0</v>
      </c>
      <c r="BP716" s="166">
        <v>0</v>
      </c>
      <c r="BQ716" s="81" t="s">
        <v>1757</v>
      </c>
      <c r="BZ716" s="81" t="s">
        <v>155</v>
      </c>
      <c r="CA716" s="81" t="s">
        <v>1937</v>
      </c>
      <c r="CC716" s="167">
        <v>0</v>
      </c>
      <c r="CD716" s="167">
        <f>$N716/4</f>
        <v>0.25</v>
      </c>
      <c r="CE716" s="167">
        <f>$N716/4</f>
        <v>0.25</v>
      </c>
      <c r="CF716" s="167">
        <f>$N716/4</f>
        <v>0.25</v>
      </c>
      <c r="CG716" s="167">
        <f>$N716/4</f>
        <v>0.25</v>
      </c>
      <c r="CH716" s="167">
        <v>0</v>
      </c>
      <c r="CI716" s="167">
        <v>0</v>
      </c>
      <c r="CJ716" s="167">
        <v>0</v>
      </c>
      <c r="CK716" s="167">
        <v>0</v>
      </c>
      <c r="CL716" s="167">
        <v>0</v>
      </c>
      <c r="CM716" s="167">
        <v>0</v>
      </c>
      <c r="CN716" s="167">
        <v>0</v>
      </c>
      <c r="CO716" s="167">
        <v>0</v>
      </c>
      <c r="CP716" s="167">
        <v>0</v>
      </c>
      <c r="CQ716" s="167">
        <v>0</v>
      </c>
      <c r="CR716" s="167">
        <v>0</v>
      </c>
      <c r="CS716" s="167">
        <v>0</v>
      </c>
      <c r="CT716" s="167">
        <v>0</v>
      </c>
      <c r="CU716" s="167">
        <v>0</v>
      </c>
      <c r="CV716" s="167">
        <v>0</v>
      </c>
      <c r="CW716" s="167">
        <v>0</v>
      </c>
      <c r="CX716" s="167">
        <f>SUM(CD716:CH716)</f>
        <v>1</v>
      </c>
      <c r="CY716" s="167">
        <f>SUM(CD716:CM716)</f>
        <v>1</v>
      </c>
    </row>
    <row r="717" spans="1:103" ht="12.75" customHeight="1" x14ac:dyDescent="0.2">
      <c r="A717" s="81">
        <v>470</v>
      </c>
      <c r="B717" s="165" t="s">
        <v>1930</v>
      </c>
      <c r="C717" s="165" t="s">
        <v>2428</v>
      </c>
      <c r="E717" s="165" t="s">
        <v>2429</v>
      </c>
      <c r="G717" s="81">
        <v>527370</v>
      </c>
      <c r="H717" s="81">
        <v>171395</v>
      </c>
      <c r="I717" s="165" t="s">
        <v>242</v>
      </c>
      <c r="L717" s="166">
        <v>0</v>
      </c>
      <c r="M717" s="166">
        <v>1</v>
      </c>
      <c r="N717" s="166">
        <v>1</v>
      </c>
      <c r="O717" s="166">
        <v>1</v>
      </c>
      <c r="P717" s="166">
        <v>1</v>
      </c>
      <c r="R717" s="165" t="s">
        <v>2430</v>
      </c>
      <c r="S717" s="81" t="s">
        <v>113</v>
      </c>
      <c r="T717" s="349">
        <v>43041</v>
      </c>
      <c r="U717" s="349">
        <v>43167</v>
      </c>
      <c r="V717" s="81" t="s">
        <v>155</v>
      </c>
      <c r="W717" s="81" t="s">
        <v>114</v>
      </c>
      <c r="Y717" s="81" t="s">
        <v>115</v>
      </c>
      <c r="Z717" s="81" t="s">
        <v>116</v>
      </c>
      <c r="AA717" s="81" t="s">
        <v>117</v>
      </c>
      <c r="AB717" s="81" t="s">
        <v>218</v>
      </c>
      <c r="AC717" s="166">
        <v>4.9999998882412902E-3</v>
      </c>
      <c r="AG717" s="81" t="s">
        <v>238</v>
      </c>
      <c r="AH717" s="81" t="s">
        <v>118</v>
      </c>
      <c r="AK717" s="166">
        <v>0</v>
      </c>
      <c r="AM717" s="166">
        <v>0</v>
      </c>
      <c r="AO717" s="166">
        <v>0</v>
      </c>
      <c r="AP717" s="166">
        <v>0</v>
      </c>
      <c r="AQ717" s="166">
        <v>0</v>
      </c>
      <c r="AR717" s="166">
        <v>1</v>
      </c>
      <c r="AS717" s="166">
        <v>0</v>
      </c>
      <c r="AT717" s="166">
        <v>0</v>
      </c>
      <c r="AU717" s="166">
        <v>0</v>
      </c>
      <c r="AV717" s="166">
        <v>0</v>
      </c>
      <c r="AW717" s="166">
        <v>0</v>
      </c>
      <c r="AX717" s="166">
        <v>0</v>
      </c>
      <c r="AY717" s="166">
        <v>0</v>
      </c>
      <c r="AZ717" s="166">
        <v>0</v>
      </c>
      <c r="BA717" s="166">
        <v>0</v>
      </c>
      <c r="BB717" s="166">
        <v>0</v>
      </c>
      <c r="BC717" s="166">
        <v>0</v>
      </c>
      <c r="BD717" s="166">
        <v>0</v>
      </c>
      <c r="BE717" s="166">
        <v>0</v>
      </c>
      <c r="BF717" s="166">
        <v>1</v>
      </c>
      <c r="BG717" s="166">
        <v>0</v>
      </c>
      <c r="BH717" s="166">
        <v>0</v>
      </c>
      <c r="BI717" s="166">
        <v>0</v>
      </c>
      <c r="BJ717" s="166">
        <v>0</v>
      </c>
      <c r="BK717" s="166">
        <v>0</v>
      </c>
      <c r="BL717" s="166">
        <v>0</v>
      </c>
      <c r="BM717" s="166">
        <v>0</v>
      </c>
      <c r="BN717" s="166">
        <v>0</v>
      </c>
      <c r="BO717" s="166">
        <v>0</v>
      </c>
      <c r="BP717" s="166">
        <v>0</v>
      </c>
      <c r="BQ717" s="81" t="s">
        <v>1757</v>
      </c>
      <c r="BR717" s="81" t="s">
        <v>242</v>
      </c>
      <c r="BZ717" s="81" t="s">
        <v>155</v>
      </c>
      <c r="CA717" s="81">
        <v>4</v>
      </c>
      <c r="CC717" s="167">
        <v>0</v>
      </c>
      <c r="CD717" s="167">
        <v>0</v>
      </c>
      <c r="CE717" s="167">
        <f>$N717/5</f>
        <v>0.2</v>
      </c>
      <c r="CF717" s="167">
        <f>$N717/5</f>
        <v>0.2</v>
      </c>
      <c r="CG717" s="167">
        <f>$N717/5</f>
        <v>0.2</v>
      </c>
      <c r="CH717" s="167">
        <f>$N717/5</f>
        <v>0.2</v>
      </c>
      <c r="CI717" s="167">
        <f>$N717/5</f>
        <v>0.2</v>
      </c>
      <c r="CJ717" s="167">
        <v>0</v>
      </c>
      <c r="CK717" s="167">
        <v>0</v>
      </c>
      <c r="CL717" s="167">
        <v>0</v>
      </c>
      <c r="CM717" s="167">
        <v>0</v>
      </c>
      <c r="CN717" s="167">
        <v>0</v>
      </c>
      <c r="CO717" s="167">
        <v>0</v>
      </c>
      <c r="CP717" s="167">
        <v>0</v>
      </c>
      <c r="CQ717" s="167">
        <v>0</v>
      </c>
      <c r="CR717" s="167">
        <v>0</v>
      </c>
      <c r="CS717" s="167">
        <v>0</v>
      </c>
      <c r="CT717" s="167">
        <v>0</v>
      </c>
      <c r="CU717" s="167">
        <v>0</v>
      </c>
      <c r="CV717" s="167">
        <v>0</v>
      </c>
      <c r="CW717" s="167">
        <v>0</v>
      </c>
      <c r="CX717" s="167">
        <f>SUM(CD717:CH717)</f>
        <v>0.8</v>
      </c>
      <c r="CY717" s="167">
        <f>SUM(CD717:CM717)</f>
        <v>1</v>
      </c>
    </row>
    <row r="718" spans="1:103" ht="12.75" customHeight="1" x14ac:dyDescent="0.2">
      <c r="A718" s="81">
        <v>501</v>
      </c>
      <c r="B718" s="165" t="s">
        <v>1930</v>
      </c>
      <c r="C718" s="165" t="s">
        <v>2425</v>
      </c>
      <c r="E718" s="165" t="s">
        <v>2426</v>
      </c>
      <c r="G718" s="81">
        <v>523779</v>
      </c>
      <c r="H718" s="81">
        <v>175125</v>
      </c>
      <c r="I718" s="165" t="s">
        <v>259</v>
      </c>
      <c r="L718" s="166">
        <v>0</v>
      </c>
      <c r="M718" s="166">
        <v>1</v>
      </c>
      <c r="N718" s="166">
        <v>1</v>
      </c>
      <c r="O718" s="166">
        <v>1</v>
      </c>
      <c r="P718" s="166">
        <v>1</v>
      </c>
      <c r="R718" s="165" t="s">
        <v>2427</v>
      </c>
      <c r="S718" s="81" t="s">
        <v>113</v>
      </c>
      <c r="T718" s="349">
        <v>42901</v>
      </c>
      <c r="U718" s="349">
        <v>42971</v>
      </c>
      <c r="V718" s="81" t="s">
        <v>155</v>
      </c>
      <c r="W718" s="81" t="s">
        <v>114</v>
      </c>
      <c r="Y718" s="81" t="s">
        <v>115</v>
      </c>
      <c r="Z718" s="81" t="s">
        <v>310</v>
      </c>
      <c r="AA718" s="81" t="s">
        <v>117</v>
      </c>
      <c r="AB718" s="81" t="s">
        <v>102</v>
      </c>
      <c r="AC718" s="166">
        <v>8.9999996125698107E-3</v>
      </c>
      <c r="AG718" s="81" t="s">
        <v>238</v>
      </c>
      <c r="AH718" s="81" t="s">
        <v>118</v>
      </c>
      <c r="AK718" s="166">
        <v>0</v>
      </c>
      <c r="AM718" s="166">
        <v>0</v>
      </c>
      <c r="AO718" s="166">
        <v>0</v>
      </c>
      <c r="AP718" s="166">
        <v>0</v>
      </c>
      <c r="AQ718" s="166">
        <v>1</v>
      </c>
      <c r="AR718" s="166">
        <v>0</v>
      </c>
      <c r="AS718" s="166">
        <v>0</v>
      </c>
      <c r="AT718" s="166">
        <v>0</v>
      </c>
      <c r="AU718" s="166">
        <v>0</v>
      </c>
      <c r="AV718" s="166">
        <v>0</v>
      </c>
      <c r="AW718" s="166">
        <v>0</v>
      </c>
      <c r="AX718" s="166">
        <v>1</v>
      </c>
      <c r="AY718" s="166">
        <v>0</v>
      </c>
      <c r="AZ718" s="166">
        <v>0</v>
      </c>
      <c r="BA718" s="166">
        <v>0</v>
      </c>
      <c r="BB718" s="166">
        <v>0</v>
      </c>
      <c r="BC718" s="166">
        <v>0</v>
      </c>
      <c r="BD718" s="166">
        <v>0</v>
      </c>
      <c r="BE718" s="166">
        <v>0</v>
      </c>
      <c r="BF718" s="166">
        <v>0</v>
      </c>
      <c r="BG718" s="166">
        <v>0</v>
      </c>
      <c r="BH718" s="166">
        <v>0</v>
      </c>
      <c r="BI718" s="166">
        <v>0</v>
      </c>
      <c r="BJ718" s="166">
        <v>0</v>
      </c>
      <c r="BK718" s="166">
        <v>0</v>
      </c>
      <c r="BL718" s="166">
        <v>0</v>
      </c>
      <c r="BM718" s="166">
        <v>0</v>
      </c>
      <c r="BN718" s="166">
        <v>0</v>
      </c>
      <c r="BO718" s="166">
        <v>0</v>
      </c>
      <c r="BP718" s="166">
        <v>0</v>
      </c>
      <c r="BQ718" s="81" t="s">
        <v>1758</v>
      </c>
      <c r="BR718" s="81" t="s">
        <v>161</v>
      </c>
      <c r="BZ718" s="81" t="s">
        <v>155</v>
      </c>
      <c r="CA718" s="81" t="s">
        <v>1937</v>
      </c>
      <c r="CC718" s="167">
        <v>0</v>
      </c>
      <c r="CD718" s="167">
        <f>$N718/4</f>
        <v>0.25</v>
      </c>
      <c r="CE718" s="167">
        <f>$N718/4</f>
        <v>0.25</v>
      </c>
      <c r="CF718" s="167">
        <f>$N718/4</f>
        <v>0.25</v>
      </c>
      <c r="CG718" s="167">
        <f>$N718/4</f>
        <v>0.25</v>
      </c>
      <c r="CH718" s="167">
        <v>0</v>
      </c>
      <c r="CI718" s="167">
        <v>0</v>
      </c>
      <c r="CJ718" s="167">
        <v>0</v>
      </c>
      <c r="CK718" s="167">
        <v>0</v>
      </c>
      <c r="CL718" s="167">
        <v>0</v>
      </c>
      <c r="CM718" s="167">
        <v>0</v>
      </c>
      <c r="CN718" s="167">
        <v>0</v>
      </c>
      <c r="CO718" s="167">
        <v>0</v>
      </c>
      <c r="CP718" s="167">
        <v>0</v>
      </c>
      <c r="CQ718" s="167">
        <v>0</v>
      </c>
      <c r="CR718" s="167">
        <v>0</v>
      </c>
      <c r="CS718" s="167">
        <v>0</v>
      </c>
      <c r="CT718" s="167">
        <v>0</v>
      </c>
      <c r="CU718" s="167">
        <v>0</v>
      </c>
      <c r="CV718" s="167">
        <v>0</v>
      </c>
      <c r="CW718" s="167">
        <v>0</v>
      </c>
      <c r="CX718" s="167">
        <f>SUM(CD718:CH718)</f>
        <v>1</v>
      </c>
      <c r="CY718" s="167">
        <f>SUM(CD718:CM718)</f>
        <v>1</v>
      </c>
    </row>
    <row r="719" spans="1:103" ht="12.75" customHeight="1" x14ac:dyDescent="0.2">
      <c r="A719" s="81">
        <v>518</v>
      </c>
      <c r="B719" s="165" t="s">
        <v>1930</v>
      </c>
      <c r="C719" s="165" t="s">
        <v>547</v>
      </c>
      <c r="E719" s="165" t="s">
        <v>2432</v>
      </c>
      <c r="F719" s="165" t="s">
        <v>548</v>
      </c>
      <c r="G719" s="81">
        <v>527485</v>
      </c>
      <c r="H719" s="81">
        <v>171424</v>
      </c>
      <c r="I719" s="165" t="s">
        <v>253</v>
      </c>
      <c r="L719" s="166">
        <v>0</v>
      </c>
      <c r="M719" s="166">
        <v>1</v>
      </c>
      <c r="N719" s="166">
        <v>1</v>
      </c>
      <c r="O719" s="166">
        <v>5</v>
      </c>
      <c r="P719" s="166">
        <v>5</v>
      </c>
      <c r="R719" s="165" t="s">
        <v>1130</v>
      </c>
      <c r="S719" s="81" t="s">
        <v>113</v>
      </c>
      <c r="T719" s="349">
        <v>42135</v>
      </c>
      <c r="U719" s="349">
        <v>42304</v>
      </c>
      <c r="W719" s="81" t="s">
        <v>114</v>
      </c>
      <c r="Y719" s="81" t="s">
        <v>115</v>
      </c>
      <c r="Z719" s="81" t="s">
        <v>398</v>
      </c>
      <c r="AA719" s="81" t="s">
        <v>117</v>
      </c>
      <c r="AB719" s="81" t="s">
        <v>218</v>
      </c>
      <c r="AC719" s="166">
        <v>0</v>
      </c>
      <c r="AG719" s="81" t="s">
        <v>238</v>
      </c>
      <c r="AH719" s="81" t="s">
        <v>118</v>
      </c>
      <c r="AK719" s="166">
        <v>0</v>
      </c>
      <c r="AM719" s="166">
        <v>0</v>
      </c>
      <c r="AO719" s="166">
        <v>0</v>
      </c>
      <c r="AP719" s="166">
        <v>0</v>
      </c>
      <c r="AQ719" s="166">
        <v>0</v>
      </c>
      <c r="AR719" s="166">
        <v>1</v>
      </c>
      <c r="AS719" s="166">
        <v>0</v>
      </c>
      <c r="AT719" s="166">
        <v>0</v>
      </c>
      <c r="AU719" s="166">
        <v>0</v>
      </c>
      <c r="AV719" s="166">
        <v>0</v>
      </c>
      <c r="AW719" s="166">
        <v>0</v>
      </c>
      <c r="AX719" s="166">
        <v>0</v>
      </c>
      <c r="AY719" s="166">
        <v>1</v>
      </c>
      <c r="AZ719" s="166">
        <v>0</v>
      </c>
      <c r="BA719" s="166">
        <v>0</v>
      </c>
      <c r="BB719" s="166">
        <v>0</v>
      </c>
      <c r="BC719" s="166">
        <v>0</v>
      </c>
      <c r="BD719" s="166">
        <v>0</v>
      </c>
      <c r="BE719" s="166">
        <v>0</v>
      </c>
      <c r="BF719" s="166">
        <v>0</v>
      </c>
      <c r="BG719" s="166">
        <v>0</v>
      </c>
      <c r="BH719" s="166">
        <v>0</v>
      </c>
      <c r="BI719" s="166">
        <v>0</v>
      </c>
      <c r="BJ719" s="166">
        <v>0</v>
      </c>
      <c r="BK719" s="166">
        <v>0</v>
      </c>
      <c r="BL719" s="166">
        <v>0</v>
      </c>
      <c r="BM719" s="166">
        <v>0</v>
      </c>
      <c r="BN719" s="166">
        <v>0</v>
      </c>
      <c r="BO719" s="166">
        <v>0</v>
      </c>
      <c r="BP719" s="166">
        <v>0</v>
      </c>
      <c r="BQ719" s="81" t="s">
        <v>1757</v>
      </c>
      <c r="BR719" s="81" t="s">
        <v>242</v>
      </c>
      <c r="BZ719" s="81" t="s">
        <v>155</v>
      </c>
      <c r="CA719" s="81" t="s">
        <v>1937</v>
      </c>
      <c r="CC719" s="167">
        <v>0</v>
      </c>
      <c r="CD719" s="167">
        <f>$N719/4</f>
        <v>0.25</v>
      </c>
      <c r="CE719" s="167">
        <f>$N719/4</f>
        <v>0.25</v>
      </c>
      <c r="CF719" s="167">
        <f>$N719/4</f>
        <v>0.25</v>
      </c>
      <c r="CG719" s="167">
        <f>$N719/4</f>
        <v>0.25</v>
      </c>
      <c r="CH719" s="167">
        <v>0</v>
      </c>
      <c r="CI719" s="167">
        <v>0</v>
      </c>
      <c r="CJ719" s="167">
        <v>0</v>
      </c>
      <c r="CK719" s="167">
        <v>0</v>
      </c>
      <c r="CL719" s="167">
        <v>0</v>
      </c>
      <c r="CM719" s="167">
        <v>0</v>
      </c>
      <c r="CN719" s="167">
        <v>0</v>
      </c>
      <c r="CO719" s="167">
        <v>0</v>
      </c>
      <c r="CP719" s="167">
        <v>0</v>
      </c>
      <c r="CQ719" s="167">
        <v>0</v>
      </c>
      <c r="CR719" s="167">
        <v>0</v>
      </c>
      <c r="CS719" s="167">
        <v>0</v>
      </c>
      <c r="CT719" s="167">
        <v>0</v>
      </c>
      <c r="CU719" s="167">
        <v>0</v>
      </c>
      <c r="CV719" s="167">
        <v>0</v>
      </c>
      <c r="CW719" s="167">
        <v>0</v>
      </c>
      <c r="CX719" s="167">
        <f>SUM(CD719:CH719)</f>
        <v>1</v>
      </c>
      <c r="CY719" s="167">
        <f>SUM(CD719:CM719)</f>
        <v>1</v>
      </c>
    </row>
    <row r="720" spans="1:103" ht="12.75" customHeight="1" x14ac:dyDescent="0.2">
      <c r="A720" s="81">
        <v>518</v>
      </c>
      <c r="B720" s="165" t="s">
        <v>1930</v>
      </c>
      <c r="C720" s="165" t="s">
        <v>547</v>
      </c>
      <c r="E720" s="165" t="s">
        <v>2432</v>
      </c>
      <c r="F720" s="165" t="s">
        <v>549</v>
      </c>
      <c r="G720" s="81">
        <v>527485</v>
      </c>
      <c r="H720" s="81">
        <v>171424</v>
      </c>
      <c r="I720" s="165" t="s">
        <v>253</v>
      </c>
      <c r="L720" s="166">
        <v>0</v>
      </c>
      <c r="M720" s="166">
        <v>4</v>
      </c>
      <c r="N720" s="166">
        <v>4</v>
      </c>
      <c r="O720" s="166">
        <v>5</v>
      </c>
      <c r="P720" s="166">
        <v>5</v>
      </c>
      <c r="R720" s="165" t="s">
        <v>1130</v>
      </c>
      <c r="S720" s="81" t="s">
        <v>113</v>
      </c>
      <c r="T720" s="349">
        <v>42135</v>
      </c>
      <c r="U720" s="349">
        <v>42304</v>
      </c>
      <c r="W720" s="81" t="s">
        <v>114</v>
      </c>
      <c r="Y720" s="81" t="s">
        <v>115</v>
      </c>
      <c r="Z720" s="81" t="s">
        <v>398</v>
      </c>
      <c r="AA720" s="81" t="s">
        <v>117</v>
      </c>
      <c r="AB720" s="81" t="s">
        <v>218</v>
      </c>
      <c r="AC720" s="166">
        <v>1.9999999552965199E-2</v>
      </c>
      <c r="AG720" s="81" t="s">
        <v>238</v>
      </c>
      <c r="AH720" s="81" t="s">
        <v>118</v>
      </c>
      <c r="AK720" s="166">
        <v>0</v>
      </c>
      <c r="AM720" s="166">
        <v>0</v>
      </c>
      <c r="AO720" s="166">
        <v>0</v>
      </c>
      <c r="AP720" s="166">
        <v>0</v>
      </c>
      <c r="AQ720" s="166">
        <v>4</v>
      </c>
      <c r="AR720" s="166">
        <v>0</v>
      </c>
      <c r="AS720" s="166">
        <v>0</v>
      </c>
      <c r="AT720" s="166">
        <v>0</v>
      </c>
      <c r="AU720" s="166">
        <v>0</v>
      </c>
      <c r="AV720" s="166">
        <v>0</v>
      </c>
      <c r="AW720" s="166">
        <v>0</v>
      </c>
      <c r="AX720" s="166">
        <v>4</v>
      </c>
      <c r="AY720" s="166">
        <v>0</v>
      </c>
      <c r="AZ720" s="166">
        <v>0</v>
      </c>
      <c r="BA720" s="166">
        <v>0</v>
      </c>
      <c r="BB720" s="166">
        <v>0</v>
      </c>
      <c r="BC720" s="166">
        <v>0</v>
      </c>
      <c r="BD720" s="166">
        <v>0</v>
      </c>
      <c r="BE720" s="166">
        <v>0</v>
      </c>
      <c r="BF720" s="166">
        <v>0</v>
      </c>
      <c r="BG720" s="166">
        <v>0</v>
      </c>
      <c r="BH720" s="166">
        <v>0</v>
      </c>
      <c r="BI720" s="166">
        <v>0</v>
      </c>
      <c r="BJ720" s="166">
        <v>0</v>
      </c>
      <c r="BK720" s="166">
        <v>0</v>
      </c>
      <c r="BL720" s="166">
        <v>0</v>
      </c>
      <c r="BM720" s="166">
        <v>0</v>
      </c>
      <c r="BN720" s="166">
        <v>0</v>
      </c>
      <c r="BO720" s="166">
        <v>0</v>
      </c>
      <c r="BP720" s="166">
        <v>0</v>
      </c>
      <c r="BQ720" s="81" t="s">
        <v>1757</v>
      </c>
      <c r="BR720" s="81" t="s">
        <v>242</v>
      </c>
      <c r="BZ720" s="81" t="s">
        <v>155</v>
      </c>
      <c r="CA720" s="81" t="s">
        <v>1937</v>
      </c>
      <c r="CC720" s="167">
        <v>0</v>
      </c>
      <c r="CD720" s="167">
        <f>$N720/4</f>
        <v>1</v>
      </c>
      <c r="CE720" s="167">
        <f>$N720/4</f>
        <v>1</v>
      </c>
      <c r="CF720" s="167">
        <f>$N720/4</f>
        <v>1</v>
      </c>
      <c r="CG720" s="167">
        <f>$N720/4</f>
        <v>1</v>
      </c>
      <c r="CH720" s="167">
        <v>0</v>
      </c>
      <c r="CI720" s="167">
        <v>0</v>
      </c>
      <c r="CJ720" s="167">
        <v>0</v>
      </c>
      <c r="CK720" s="167">
        <v>0</v>
      </c>
      <c r="CL720" s="167">
        <v>0</v>
      </c>
      <c r="CM720" s="167">
        <v>0</v>
      </c>
      <c r="CN720" s="167">
        <v>0</v>
      </c>
      <c r="CO720" s="167">
        <v>0</v>
      </c>
      <c r="CP720" s="167">
        <v>0</v>
      </c>
      <c r="CQ720" s="167">
        <v>0</v>
      </c>
      <c r="CR720" s="167">
        <v>0</v>
      </c>
      <c r="CS720" s="167">
        <v>0</v>
      </c>
      <c r="CT720" s="167">
        <v>0</v>
      </c>
      <c r="CU720" s="167">
        <v>0</v>
      </c>
      <c r="CV720" s="167">
        <v>0</v>
      </c>
      <c r="CW720" s="167">
        <v>0</v>
      </c>
      <c r="CX720" s="167">
        <f>SUM(CD720:CH720)</f>
        <v>4</v>
      </c>
      <c r="CY720" s="167">
        <f>SUM(CD720:CM720)</f>
        <v>4</v>
      </c>
    </row>
    <row r="721" spans="1:103" ht="12.75" customHeight="1" x14ac:dyDescent="0.2">
      <c r="A721" s="81">
        <v>530</v>
      </c>
      <c r="B721" s="165" t="s">
        <v>1930</v>
      </c>
      <c r="C721" s="165" t="s">
        <v>1180</v>
      </c>
      <c r="E721" s="165" t="s">
        <v>2433</v>
      </c>
      <c r="G721" s="81">
        <v>528474</v>
      </c>
      <c r="H721" s="81">
        <v>173296</v>
      </c>
      <c r="I721" s="165" t="s">
        <v>254</v>
      </c>
      <c r="L721" s="166">
        <v>1</v>
      </c>
      <c r="M721" s="166">
        <v>2</v>
      </c>
      <c r="N721" s="166">
        <v>1</v>
      </c>
      <c r="O721" s="166">
        <v>2</v>
      </c>
      <c r="P721" s="166">
        <v>1</v>
      </c>
      <c r="R721" s="165" t="s">
        <v>1181</v>
      </c>
      <c r="S721" s="81" t="s">
        <v>296</v>
      </c>
      <c r="T721" s="349">
        <v>42460</v>
      </c>
      <c r="U721" s="349">
        <v>42516</v>
      </c>
      <c r="W721" s="81" t="s">
        <v>297</v>
      </c>
      <c r="X721" s="349">
        <v>42677</v>
      </c>
      <c r="Y721" s="81" t="s">
        <v>115</v>
      </c>
      <c r="Z721" s="81" t="s">
        <v>398</v>
      </c>
      <c r="AA721" s="81" t="s">
        <v>117</v>
      </c>
      <c r="AB721" s="81" t="s">
        <v>220</v>
      </c>
      <c r="AC721" s="166">
        <v>6.0000000521540598E-3</v>
      </c>
      <c r="AG721" s="81" t="s">
        <v>238</v>
      </c>
      <c r="AH721" s="81" t="s">
        <v>118</v>
      </c>
      <c r="AK721" s="166">
        <v>0</v>
      </c>
      <c r="AM721" s="166">
        <v>0</v>
      </c>
      <c r="AO721" s="166">
        <v>0</v>
      </c>
      <c r="AP721" s="166">
        <v>1</v>
      </c>
      <c r="AQ721" s="166">
        <v>1</v>
      </c>
      <c r="AR721" s="166">
        <v>0</v>
      </c>
      <c r="AS721" s="166">
        <v>-1</v>
      </c>
      <c r="AT721" s="166">
        <v>0</v>
      </c>
      <c r="AU721" s="166">
        <v>0</v>
      </c>
      <c r="AV721" s="166">
        <v>0</v>
      </c>
      <c r="AW721" s="166">
        <v>1</v>
      </c>
      <c r="AX721" s="166">
        <v>1</v>
      </c>
      <c r="AY721" s="166">
        <v>0</v>
      </c>
      <c r="AZ721" s="166">
        <v>-1</v>
      </c>
      <c r="BA721" s="166">
        <v>0</v>
      </c>
      <c r="BB721" s="166">
        <v>0</v>
      </c>
      <c r="BC721" s="166">
        <v>0</v>
      </c>
      <c r="BD721" s="166">
        <v>0</v>
      </c>
      <c r="BE721" s="166">
        <v>0</v>
      </c>
      <c r="BF721" s="166">
        <v>0</v>
      </c>
      <c r="BG721" s="166">
        <v>0</v>
      </c>
      <c r="BH721" s="166">
        <v>0</v>
      </c>
      <c r="BI721" s="166">
        <v>0</v>
      </c>
      <c r="BJ721" s="166">
        <v>0</v>
      </c>
      <c r="BK721" s="166">
        <v>0</v>
      </c>
      <c r="BL721" s="166">
        <v>0</v>
      </c>
      <c r="BM721" s="166">
        <v>0</v>
      </c>
      <c r="BN721" s="166">
        <v>0</v>
      </c>
      <c r="BO721" s="166">
        <v>0</v>
      </c>
      <c r="BP721" s="166">
        <v>0</v>
      </c>
      <c r="BQ721" s="81" t="s">
        <v>1757</v>
      </c>
      <c r="BR721" s="81" t="s">
        <v>247</v>
      </c>
      <c r="BZ721" s="81" t="s">
        <v>155</v>
      </c>
      <c r="CA721" s="81" t="s">
        <v>1937</v>
      </c>
      <c r="CC721" s="167">
        <v>0</v>
      </c>
      <c r="CD721" s="167">
        <f>$N721/4</f>
        <v>0.25</v>
      </c>
      <c r="CE721" s="167">
        <f>$N721/4</f>
        <v>0.25</v>
      </c>
      <c r="CF721" s="167">
        <f>$N721/4</f>
        <v>0.25</v>
      </c>
      <c r="CG721" s="167">
        <f>$N721/4</f>
        <v>0.25</v>
      </c>
      <c r="CH721" s="167">
        <v>0</v>
      </c>
      <c r="CI721" s="167">
        <v>0</v>
      </c>
      <c r="CJ721" s="167">
        <v>0</v>
      </c>
      <c r="CK721" s="167">
        <v>0</v>
      </c>
      <c r="CL721" s="167">
        <v>0</v>
      </c>
      <c r="CM721" s="167">
        <v>0</v>
      </c>
      <c r="CN721" s="167">
        <v>0</v>
      </c>
      <c r="CO721" s="167">
        <v>0</v>
      </c>
      <c r="CP721" s="167">
        <v>0</v>
      </c>
      <c r="CQ721" s="167">
        <v>0</v>
      </c>
      <c r="CR721" s="167">
        <v>0</v>
      </c>
      <c r="CS721" s="167">
        <v>0</v>
      </c>
      <c r="CT721" s="167">
        <v>0</v>
      </c>
      <c r="CU721" s="167">
        <v>0</v>
      </c>
      <c r="CV721" s="167">
        <v>0</v>
      </c>
      <c r="CW721" s="167">
        <v>0</v>
      </c>
      <c r="CX721" s="167">
        <f>SUM(CD721:CH721)</f>
        <v>1</v>
      </c>
      <c r="CY721" s="167">
        <f>SUM(CD721:CM721)</f>
        <v>1</v>
      </c>
    </row>
    <row r="722" spans="1:103" ht="12.75" customHeight="1" x14ac:dyDescent="0.2">
      <c r="A722" s="81">
        <v>536</v>
      </c>
      <c r="B722" s="165" t="s">
        <v>1930</v>
      </c>
      <c r="C722" s="165" t="s">
        <v>1326</v>
      </c>
      <c r="E722" s="165" t="s">
        <v>1956</v>
      </c>
      <c r="G722" s="81">
        <v>525441</v>
      </c>
      <c r="H722" s="81">
        <v>174750</v>
      </c>
      <c r="I722" s="165" t="s">
        <v>251</v>
      </c>
      <c r="L722" s="166">
        <v>0</v>
      </c>
      <c r="M722" s="166">
        <v>9</v>
      </c>
      <c r="N722" s="166">
        <v>9</v>
      </c>
      <c r="O722" s="166">
        <v>9</v>
      </c>
      <c r="P722" s="166">
        <v>9</v>
      </c>
      <c r="R722" s="165" t="s">
        <v>1327</v>
      </c>
      <c r="S722" s="81" t="s">
        <v>270</v>
      </c>
      <c r="T722" s="349">
        <v>42545</v>
      </c>
      <c r="U722" s="349">
        <v>42601</v>
      </c>
      <c r="W722" s="81" t="s">
        <v>114</v>
      </c>
      <c r="Y722" s="81" t="s">
        <v>115</v>
      </c>
      <c r="Z722" s="81" t="s">
        <v>310</v>
      </c>
      <c r="AA722" s="81" t="s">
        <v>117</v>
      </c>
      <c r="AB722" s="81" t="s">
        <v>399</v>
      </c>
      <c r="AC722" s="166">
        <v>5.0000000745058101E-2</v>
      </c>
      <c r="AG722" s="81" t="s">
        <v>238</v>
      </c>
      <c r="AH722" s="81" t="s">
        <v>118</v>
      </c>
      <c r="AK722" s="166">
        <v>0</v>
      </c>
      <c r="AM722" s="166">
        <v>0</v>
      </c>
      <c r="AO722" s="166">
        <v>1</v>
      </c>
      <c r="AP722" s="166">
        <v>5</v>
      </c>
      <c r="AQ722" s="166">
        <v>3</v>
      </c>
      <c r="AR722" s="166">
        <v>0</v>
      </c>
      <c r="AS722" s="166">
        <v>0</v>
      </c>
      <c r="AT722" s="166">
        <v>0</v>
      </c>
      <c r="AU722" s="166">
        <v>0</v>
      </c>
      <c r="AV722" s="166">
        <v>1</v>
      </c>
      <c r="AW722" s="166">
        <v>5</v>
      </c>
      <c r="AX722" s="166">
        <v>3</v>
      </c>
      <c r="AY722" s="166">
        <v>0</v>
      </c>
      <c r="AZ722" s="166">
        <v>0</v>
      </c>
      <c r="BA722" s="166">
        <v>0</v>
      </c>
      <c r="BB722" s="166">
        <v>0</v>
      </c>
      <c r="BC722" s="166">
        <v>0</v>
      </c>
      <c r="BD722" s="166">
        <v>0</v>
      </c>
      <c r="BE722" s="166">
        <v>0</v>
      </c>
      <c r="BF722" s="166">
        <v>0</v>
      </c>
      <c r="BG722" s="166">
        <v>0</v>
      </c>
      <c r="BH722" s="166">
        <v>0</v>
      </c>
      <c r="BI722" s="166">
        <v>0</v>
      </c>
      <c r="BJ722" s="166">
        <v>0</v>
      </c>
      <c r="BK722" s="166">
        <v>0</v>
      </c>
      <c r="BL722" s="166">
        <v>0</v>
      </c>
      <c r="BM722" s="166">
        <v>0</v>
      </c>
      <c r="BN722" s="166">
        <v>0</v>
      </c>
      <c r="BO722" s="166">
        <v>0</v>
      </c>
      <c r="BP722" s="166">
        <v>0</v>
      </c>
      <c r="BQ722" s="81" t="s">
        <v>1758</v>
      </c>
      <c r="BR722" s="81" t="s">
        <v>202</v>
      </c>
      <c r="BT722" s="81" t="s">
        <v>155</v>
      </c>
      <c r="BZ722" s="81" t="s">
        <v>155</v>
      </c>
      <c r="CA722" s="81" t="s">
        <v>3972</v>
      </c>
      <c r="CC722" s="167">
        <v>0</v>
      </c>
      <c r="CD722" s="167">
        <f>$N722/4</f>
        <v>2.25</v>
      </c>
      <c r="CE722" s="167">
        <f>$N722/4</f>
        <v>2.25</v>
      </c>
      <c r="CF722" s="167">
        <f>$N722/4</f>
        <v>2.25</v>
      </c>
      <c r="CG722" s="167">
        <f>$N722/4</f>
        <v>2.25</v>
      </c>
      <c r="CH722" s="167">
        <v>0</v>
      </c>
      <c r="CI722" s="167">
        <v>0</v>
      </c>
      <c r="CJ722" s="167">
        <v>0</v>
      </c>
      <c r="CK722" s="167">
        <v>0</v>
      </c>
      <c r="CL722" s="167">
        <v>0</v>
      </c>
      <c r="CM722" s="167">
        <v>0</v>
      </c>
      <c r="CN722" s="167">
        <v>0</v>
      </c>
      <c r="CO722" s="167">
        <v>0</v>
      </c>
      <c r="CP722" s="167">
        <v>0</v>
      </c>
      <c r="CQ722" s="167">
        <v>0</v>
      </c>
      <c r="CR722" s="167">
        <v>0</v>
      </c>
      <c r="CS722" s="167">
        <v>0</v>
      </c>
      <c r="CT722" s="167">
        <v>0</v>
      </c>
      <c r="CU722" s="167">
        <v>0</v>
      </c>
      <c r="CV722" s="167">
        <v>0</v>
      </c>
      <c r="CW722" s="167">
        <v>0</v>
      </c>
      <c r="CX722" s="167">
        <f>SUM(CD722:CH722)</f>
        <v>9</v>
      </c>
      <c r="CY722" s="167">
        <f>SUM(CD722:CM722)</f>
        <v>9</v>
      </c>
    </row>
    <row r="723" spans="1:103" ht="12.75" customHeight="1" x14ac:dyDescent="0.2">
      <c r="A723" s="81">
        <v>615</v>
      </c>
      <c r="B723" s="165" t="s">
        <v>1930</v>
      </c>
      <c r="C723" s="165" t="s">
        <v>2434</v>
      </c>
      <c r="E723" s="165" t="s">
        <v>2435</v>
      </c>
      <c r="G723" s="81">
        <v>528241</v>
      </c>
      <c r="H723" s="81">
        <v>172875</v>
      </c>
      <c r="I723" s="165" t="s">
        <v>254</v>
      </c>
      <c r="L723" s="166">
        <v>0</v>
      </c>
      <c r="M723" s="166">
        <v>1</v>
      </c>
      <c r="N723" s="166">
        <v>1</v>
      </c>
      <c r="O723" s="166">
        <v>1</v>
      </c>
      <c r="P723" s="166">
        <v>1</v>
      </c>
      <c r="R723" s="165" t="s">
        <v>2436</v>
      </c>
      <c r="S723" s="81" t="s">
        <v>113</v>
      </c>
      <c r="T723" s="349">
        <v>42851</v>
      </c>
      <c r="U723" s="349">
        <v>43003</v>
      </c>
      <c r="V723" s="81" t="s">
        <v>155</v>
      </c>
      <c r="W723" s="81" t="s">
        <v>114</v>
      </c>
      <c r="Y723" s="81" t="s">
        <v>115</v>
      </c>
      <c r="Z723" s="81" t="s">
        <v>219</v>
      </c>
      <c r="AA723" s="81" t="s">
        <v>117</v>
      </c>
      <c r="AB723" s="81" t="s">
        <v>3889</v>
      </c>
      <c r="AC723" s="166">
        <v>7.0000002160668399E-3</v>
      </c>
      <c r="AG723" s="81" t="s">
        <v>238</v>
      </c>
      <c r="AH723" s="81" t="s">
        <v>118</v>
      </c>
      <c r="AK723" s="166">
        <v>0</v>
      </c>
      <c r="AM723" s="166">
        <v>0</v>
      </c>
      <c r="AO723" s="166">
        <v>0</v>
      </c>
      <c r="AP723" s="166">
        <v>0</v>
      </c>
      <c r="AQ723" s="166">
        <v>1</v>
      </c>
      <c r="AR723" s="166">
        <v>0</v>
      </c>
      <c r="AS723" s="166">
        <v>0</v>
      </c>
      <c r="AT723" s="166">
        <v>0</v>
      </c>
      <c r="AU723" s="166">
        <v>0</v>
      </c>
      <c r="AV723" s="166">
        <v>0</v>
      </c>
      <c r="AW723" s="166">
        <v>0</v>
      </c>
      <c r="AX723" s="166">
        <v>1</v>
      </c>
      <c r="AY723" s="166">
        <v>0</v>
      </c>
      <c r="AZ723" s="166">
        <v>0</v>
      </c>
      <c r="BA723" s="166">
        <v>0</v>
      </c>
      <c r="BB723" s="166">
        <v>0</v>
      </c>
      <c r="BC723" s="166">
        <v>0</v>
      </c>
      <c r="BD723" s="166">
        <v>0</v>
      </c>
      <c r="BE723" s="166">
        <v>0</v>
      </c>
      <c r="BF723" s="166">
        <v>0</v>
      </c>
      <c r="BG723" s="166">
        <v>0</v>
      </c>
      <c r="BH723" s="166">
        <v>0</v>
      </c>
      <c r="BI723" s="166">
        <v>0</v>
      </c>
      <c r="BJ723" s="166">
        <v>0</v>
      </c>
      <c r="BK723" s="166">
        <v>0</v>
      </c>
      <c r="BL723" s="166">
        <v>0</v>
      </c>
      <c r="BM723" s="166">
        <v>0</v>
      </c>
      <c r="BN723" s="166">
        <v>0</v>
      </c>
      <c r="BO723" s="166">
        <v>0</v>
      </c>
      <c r="BP723" s="166">
        <v>0</v>
      </c>
      <c r="BQ723" s="81" t="s">
        <v>1757</v>
      </c>
      <c r="BZ723" s="81" t="s">
        <v>155</v>
      </c>
      <c r="CA723" s="81" t="s">
        <v>1937</v>
      </c>
      <c r="CC723" s="167">
        <v>0</v>
      </c>
      <c r="CD723" s="167">
        <f>$N723/4</f>
        <v>0.25</v>
      </c>
      <c r="CE723" s="167">
        <f>$N723/4</f>
        <v>0.25</v>
      </c>
      <c r="CF723" s="167">
        <f>$N723/4</f>
        <v>0.25</v>
      </c>
      <c r="CG723" s="167">
        <f>$N723/4</f>
        <v>0.25</v>
      </c>
      <c r="CH723" s="167">
        <v>0</v>
      </c>
      <c r="CI723" s="167">
        <v>0</v>
      </c>
      <c r="CJ723" s="167">
        <v>0</v>
      </c>
      <c r="CK723" s="167">
        <v>0</v>
      </c>
      <c r="CL723" s="167">
        <v>0</v>
      </c>
      <c r="CM723" s="167">
        <v>0</v>
      </c>
      <c r="CN723" s="167">
        <v>0</v>
      </c>
      <c r="CO723" s="167">
        <v>0</v>
      </c>
      <c r="CP723" s="167">
        <v>0</v>
      </c>
      <c r="CQ723" s="167">
        <v>0</v>
      </c>
      <c r="CR723" s="167">
        <v>0</v>
      </c>
      <c r="CS723" s="167">
        <v>0</v>
      </c>
      <c r="CT723" s="167">
        <v>0</v>
      </c>
      <c r="CU723" s="167">
        <v>0</v>
      </c>
      <c r="CV723" s="167">
        <v>0</v>
      </c>
      <c r="CW723" s="167">
        <v>0</v>
      </c>
      <c r="CX723" s="167">
        <f>SUM(CD723:CH723)</f>
        <v>1</v>
      </c>
      <c r="CY723" s="167">
        <f>SUM(CD723:CM723)</f>
        <v>1</v>
      </c>
    </row>
    <row r="724" spans="1:103" x14ac:dyDescent="0.2">
      <c r="A724" s="81">
        <v>730</v>
      </c>
      <c r="B724" s="165" t="s">
        <v>1930</v>
      </c>
      <c r="C724" s="165" t="s">
        <v>97</v>
      </c>
      <c r="E724" s="165" t="s">
        <v>2437</v>
      </c>
      <c r="G724" s="81">
        <v>527663</v>
      </c>
      <c r="H724" s="81">
        <v>174345</v>
      </c>
      <c r="I724" s="165" t="s">
        <v>255</v>
      </c>
      <c r="L724" s="166">
        <v>0</v>
      </c>
      <c r="M724" s="166">
        <v>1</v>
      </c>
      <c r="N724" s="166">
        <v>1</v>
      </c>
      <c r="O724" s="166">
        <v>1</v>
      </c>
      <c r="P724" s="166">
        <v>1</v>
      </c>
      <c r="R724" s="165" t="s">
        <v>1122</v>
      </c>
      <c r="S724" s="81" t="s">
        <v>113</v>
      </c>
      <c r="T724" s="349">
        <v>41988</v>
      </c>
      <c r="U724" s="349">
        <v>42094</v>
      </c>
      <c r="W724" s="81" t="s">
        <v>114</v>
      </c>
      <c r="Y724" s="81" t="s">
        <v>115</v>
      </c>
      <c r="Z724" s="81" t="s">
        <v>398</v>
      </c>
      <c r="AA724" s="81" t="s">
        <v>117</v>
      </c>
      <c r="AB724" s="81" t="s">
        <v>218</v>
      </c>
      <c r="AC724" s="166">
        <v>7.0000002160668399E-3</v>
      </c>
      <c r="AG724" s="81" t="s">
        <v>238</v>
      </c>
      <c r="AH724" s="81" t="s">
        <v>118</v>
      </c>
      <c r="AK724" s="166">
        <v>0</v>
      </c>
      <c r="AM724" s="166">
        <v>0</v>
      </c>
      <c r="AO724" s="166">
        <v>0</v>
      </c>
      <c r="AP724" s="166">
        <v>1</v>
      </c>
      <c r="AQ724" s="166">
        <v>0</v>
      </c>
      <c r="AR724" s="166">
        <v>0</v>
      </c>
      <c r="AS724" s="166">
        <v>0</v>
      </c>
      <c r="AT724" s="166">
        <v>0</v>
      </c>
      <c r="AU724" s="166">
        <v>0</v>
      </c>
      <c r="AV724" s="166">
        <v>0</v>
      </c>
      <c r="AW724" s="166">
        <v>0</v>
      </c>
      <c r="AX724" s="166">
        <v>0</v>
      </c>
      <c r="AY724" s="166">
        <v>0</v>
      </c>
      <c r="AZ724" s="166">
        <v>0</v>
      </c>
      <c r="BA724" s="166">
        <v>0</v>
      </c>
      <c r="BB724" s="166">
        <v>0</v>
      </c>
      <c r="BC724" s="166">
        <v>0</v>
      </c>
      <c r="BD724" s="166">
        <v>1</v>
      </c>
      <c r="BE724" s="166">
        <v>0</v>
      </c>
      <c r="BF724" s="166">
        <v>0</v>
      </c>
      <c r="BG724" s="166">
        <v>0</v>
      </c>
      <c r="BH724" s="166">
        <v>0</v>
      </c>
      <c r="BI724" s="166">
        <v>0</v>
      </c>
      <c r="BJ724" s="166">
        <v>0</v>
      </c>
      <c r="BK724" s="166">
        <v>0</v>
      </c>
      <c r="BL724" s="166">
        <v>0</v>
      </c>
      <c r="BM724" s="166">
        <v>0</v>
      </c>
      <c r="BN724" s="166">
        <v>0</v>
      </c>
      <c r="BO724" s="166">
        <v>0</v>
      </c>
      <c r="BP724" s="166">
        <v>0</v>
      </c>
      <c r="BQ724" s="81" t="s">
        <v>1757</v>
      </c>
      <c r="BZ724" s="81" t="s">
        <v>155</v>
      </c>
      <c r="CA724" s="81" t="s">
        <v>1937</v>
      </c>
      <c r="CC724" s="167">
        <v>0</v>
      </c>
      <c r="CD724" s="167">
        <f>$N724/4</f>
        <v>0.25</v>
      </c>
      <c r="CE724" s="167">
        <f>$N724/4</f>
        <v>0.25</v>
      </c>
      <c r="CF724" s="167">
        <f>$N724/4</f>
        <v>0.25</v>
      </c>
      <c r="CG724" s="167">
        <f>$N724/4</f>
        <v>0.25</v>
      </c>
      <c r="CH724" s="167">
        <v>0</v>
      </c>
      <c r="CI724" s="167">
        <v>0</v>
      </c>
      <c r="CJ724" s="167">
        <v>0</v>
      </c>
      <c r="CK724" s="167">
        <v>0</v>
      </c>
      <c r="CL724" s="167">
        <v>0</v>
      </c>
      <c r="CM724" s="167">
        <v>0</v>
      </c>
      <c r="CN724" s="167">
        <v>0</v>
      </c>
      <c r="CO724" s="167">
        <v>0</v>
      </c>
      <c r="CP724" s="167">
        <v>0</v>
      </c>
      <c r="CQ724" s="167">
        <v>0</v>
      </c>
      <c r="CR724" s="167">
        <v>0</v>
      </c>
      <c r="CS724" s="167">
        <v>0</v>
      </c>
      <c r="CT724" s="167">
        <v>0</v>
      </c>
      <c r="CU724" s="167">
        <v>0</v>
      </c>
      <c r="CV724" s="167">
        <v>0</v>
      </c>
      <c r="CW724" s="167">
        <v>0</v>
      </c>
      <c r="CX724" s="167">
        <f>SUM(CD724:CH724)</f>
        <v>1</v>
      </c>
      <c r="CY724" s="167">
        <f>SUM(CD724:CM724)</f>
        <v>1</v>
      </c>
    </row>
    <row r="725" spans="1:103" ht="12.75" customHeight="1" x14ac:dyDescent="0.2">
      <c r="A725" s="81">
        <v>751</v>
      </c>
      <c r="B725" s="165" t="s">
        <v>1930</v>
      </c>
      <c r="C725" s="165" t="s">
        <v>728</v>
      </c>
      <c r="E725" s="165" t="s">
        <v>2438</v>
      </c>
      <c r="G725" s="81">
        <v>528410</v>
      </c>
      <c r="H725" s="81">
        <v>175764</v>
      </c>
      <c r="I725" s="165" t="s">
        <v>256</v>
      </c>
      <c r="L725" s="166">
        <v>1</v>
      </c>
      <c r="M725" s="166">
        <v>2</v>
      </c>
      <c r="N725" s="166">
        <v>1</v>
      </c>
      <c r="O725" s="166">
        <v>2</v>
      </c>
      <c r="P725" s="166">
        <v>1</v>
      </c>
      <c r="R725" s="165" t="s">
        <v>658</v>
      </c>
      <c r="S725" s="81" t="s">
        <v>113</v>
      </c>
      <c r="T725" s="349">
        <v>42394</v>
      </c>
      <c r="U725" s="349">
        <v>42450</v>
      </c>
      <c r="W725" s="81" t="s">
        <v>114</v>
      </c>
      <c r="Y725" s="81" t="s">
        <v>115</v>
      </c>
      <c r="Z725" s="81" t="s">
        <v>398</v>
      </c>
      <c r="AA725" s="81" t="s">
        <v>117</v>
      </c>
      <c r="AB725" s="81" t="s">
        <v>220</v>
      </c>
      <c r="AC725" s="166">
        <v>8.9999996125698107E-3</v>
      </c>
      <c r="AG725" s="81" t="s">
        <v>238</v>
      </c>
      <c r="AH725" s="81" t="s">
        <v>118</v>
      </c>
      <c r="AK725" s="166">
        <v>0</v>
      </c>
      <c r="AM725" s="166">
        <v>0</v>
      </c>
      <c r="AO725" s="166">
        <v>1</v>
      </c>
      <c r="AP725" s="166">
        <v>0</v>
      </c>
      <c r="AQ725" s="166">
        <v>0</v>
      </c>
      <c r="AR725" s="166">
        <v>0</v>
      </c>
      <c r="AS725" s="166">
        <v>0</v>
      </c>
      <c r="AT725" s="166">
        <v>0</v>
      </c>
      <c r="AU725" s="166">
        <v>0</v>
      </c>
      <c r="AV725" s="166">
        <v>1</v>
      </c>
      <c r="AW725" s="166">
        <v>0</v>
      </c>
      <c r="AX725" s="166">
        <v>0</v>
      </c>
      <c r="AY725" s="166">
        <v>0</v>
      </c>
      <c r="AZ725" s="166">
        <v>0</v>
      </c>
      <c r="BA725" s="166">
        <v>0</v>
      </c>
      <c r="BB725" s="166">
        <v>0</v>
      </c>
      <c r="BC725" s="166">
        <v>0</v>
      </c>
      <c r="BD725" s="166">
        <v>0</v>
      </c>
      <c r="BE725" s="166">
        <v>0</v>
      </c>
      <c r="BF725" s="166">
        <v>0</v>
      </c>
      <c r="BG725" s="166">
        <v>0</v>
      </c>
      <c r="BH725" s="166">
        <v>0</v>
      </c>
      <c r="BI725" s="166">
        <v>0</v>
      </c>
      <c r="BJ725" s="166">
        <v>0</v>
      </c>
      <c r="BK725" s="166">
        <v>0</v>
      </c>
      <c r="BL725" s="166">
        <v>0</v>
      </c>
      <c r="BM725" s="166">
        <v>0</v>
      </c>
      <c r="BN725" s="166">
        <v>0</v>
      </c>
      <c r="BO725" s="166">
        <v>0</v>
      </c>
      <c r="BP725" s="166">
        <v>0</v>
      </c>
      <c r="BQ725" s="81" t="s">
        <v>1757</v>
      </c>
      <c r="BZ725" s="81" t="s">
        <v>155</v>
      </c>
      <c r="CA725" s="81" t="s">
        <v>1937</v>
      </c>
      <c r="CC725" s="167">
        <v>0</v>
      </c>
      <c r="CD725" s="167">
        <f>$N725/4</f>
        <v>0.25</v>
      </c>
      <c r="CE725" s="167">
        <f>$N725/4</f>
        <v>0.25</v>
      </c>
      <c r="CF725" s="167">
        <f>$N725/4</f>
        <v>0.25</v>
      </c>
      <c r="CG725" s="167">
        <f>$N725/4</f>
        <v>0.25</v>
      </c>
      <c r="CH725" s="167">
        <v>0</v>
      </c>
      <c r="CI725" s="167">
        <v>0</v>
      </c>
      <c r="CJ725" s="167">
        <v>0</v>
      </c>
      <c r="CK725" s="167">
        <v>0</v>
      </c>
      <c r="CL725" s="167">
        <v>0</v>
      </c>
      <c r="CM725" s="167">
        <v>0</v>
      </c>
      <c r="CN725" s="167">
        <v>0</v>
      </c>
      <c r="CO725" s="167">
        <v>0</v>
      </c>
      <c r="CP725" s="167">
        <v>0</v>
      </c>
      <c r="CQ725" s="167">
        <v>0</v>
      </c>
      <c r="CR725" s="167">
        <v>0</v>
      </c>
      <c r="CS725" s="167">
        <v>0</v>
      </c>
      <c r="CT725" s="167">
        <v>0</v>
      </c>
      <c r="CU725" s="167">
        <v>0</v>
      </c>
      <c r="CV725" s="167">
        <v>0</v>
      </c>
      <c r="CW725" s="167">
        <v>0</v>
      </c>
      <c r="CX725" s="167">
        <f>SUM(CD725:CH725)</f>
        <v>1</v>
      </c>
      <c r="CY725" s="167">
        <f>SUM(CD725:CM725)</f>
        <v>1</v>
      </c>
    </row>
    <row r="726" spans="1:103" ht="12.75" customHeight="1" x14ac:dyDescent="0.2">
      <c r="A726" s="81">
        <v>751</v>
      </c>
      <c r="B726" s="165" t="s">
        <v>1930</v>
      </c>
      <c r="C726" s="165" t="s">
        <v>729</v>
      </c>
      <c r="E726" s="165" t="s">
        <v>2438</v>
      </c>
      <c r="G726" s="81">
        <v>528410</v>
      </c>
      <c r="H726" s="81">
        <v>175764</v>
      </c>
      <c r="I726" s="165" t="s">
        <v>256</v>
      </c>
      <c r="L726" s="166">
        <v>1</v>
      </c>
      <c r="M726" s="166">
        <v>1</v>
      </c>
      <c r="N726" s="166">
        <v>0</v>
      </c>
      <c r="O726" s="166">
        <v>1</v>
      </c>
      <c r="P726" s="166">
        <v>0</v>
      </c>
      <c r="R726" s="165" t="s">
        <v>658</v>
      </c>
      <c r="S726" s="81" t="s">
        <v>113</v>
      </c>
      <c r="T726" s="349">
        <v>42389</v>
      </c>
      <c r="U726" s="349">
        <v>42445</v>
      </c>
      <c r="W726" s="81" t="s">
        <v>114</v>
      </c>
      <c r="Y726" s="81" t="s">
        <v>115</v>
      </c>
      <c r="Z726" s="81" t="s">
        <v>398</v>
      </c>
      <c r="AA726" s="81" t="s">
        <v>117</v>
      </c>
      <c r="AB726" s="81" t="s">
        <v>220</v>
      </c>
      <c r="AC726" s="166">
        <v>1.09999999403954E-2</v>
      </c>
      <c r="AG726" s="81" t="s">
        <v>238</v>
      </c>
      <c r="AH726" s="81" t="s">
        <v>118</v>
      </c>
      <c r="AK726" s="166">
        <v>0</v>
      </c>
      <c r="AM726" s="166">
        <v>0</v>
      </c>
      <c r="AO726" s="166">
        <v>1</v>
      </c>
      <c r="AP726" s="166">
        <v>0</v>
      </c>
      <c r="AQ726" s="166">
        <v>0</v>
      </c>
      <c r="AR726" s="166">
        <v>-1</v>
      </c>
      <c r="AS726" s="166">
        <v>0</v>
      </c>
      <c r="AT726" s="166">
        <v>0</v>
      </c>
      <c r="AU726" s="166">
        <v>0</v>
      </c>
      <c r="AV726" s="166">
        <v>1</v>
      </c>
      <c r="AW726" s="166">
        <v>0</v>
      </c>
      <c r="AX726" s="166">
        <v>0</v>
      </c>
      <c r="AY726" s="166">
        <v>-1</v>
      </c>
      <c r="AZ726" s="166">
        <v>0</v>
      </c>
      <c r="BA726" s="166">
        <v>0</v>
      </c>
      <c r="BB726" s="166">
        <v>0</v>
      </c>
      <c r="BC726" s="166">
        <v>0</v>
      </c>
      <c r="BD726" s="166">
        <v>0</v>
      </c>
      <c r="BE726" s="166">
        <v>0</v>
      </c>
      <c r="BF726" s="166">
        <v>0</v>
      </c>
      <c r="BG726" s="166">
        <v>0</v>
      </c>
      <c r="BH726" s="166">
        <v>0</v>
      </c>
      <c r="BI726" s="166">
        <v>0</v>
      </c>
      <c r="BJ726" s="166">
        <v>0</v>
      </c>
      <c r="BK726" s="166">
        <v>0</v>
      </c>
      <c r="BL726" s="166">
        <v>0</v>
      </c>
      <c r="BM726" s="166">
        <v>0</v>
      </c>
      <c r="BN726" s="166">
        <v>0</v>
      </c>
      <c r="BO726" s="166">
        <v>0</v>
      </c>
      <c r="BP726" s="166">
        <v>0</v>
      </c>
      <c r="BQ726" s="81" t="s">
        <v>1757</v>
      </c>
      <c r="BZ726" s="81" t="s">
        <v>155</v>
      </c>
      <c r="CA726" s="81" t="s">
        <v>1937</v>
      </c>
      <c r="CC726" s="167">
        <v>0</v>
      </c>
      <c r="CD726" s="167">
        <f>$N726/4</f>
        <v>0</v>
      </c>
      <c r="CE726" s="167">
        <f>$N726/4</f>
        <v>0</v>
      </c>
      <c r="CF726" s="167">
        <f>$N726/4</f>
        <v>0</v>
      </c>
      <c r="CG726" s="167">
        <f>$N726/4</f>
        <v>0</v>
      </c>
      <c r="CH726" s="167">
        <v>0</v>
      </c>
      <c r="CI726" s="167">
        <v>0</v>
      </c>
      <c r="CJ726" s="167">
        <v>0</v>
      </c>
      <c r="CK726" s="167">
        <v>0</v>
      </c>
      <c r="CL726" s="167">
        <v>0</v>
      </c>
      <c r="CM726" s="167">
        <v>0</v>
      </c>
      <c r="CN726" s="167">
        <v>0</v>
      </c>
      <c r="CO726" s="167">
        <v>0</v>
      </c>
      <c r="CP726" s="167">
        <v>0</v>
      </c>
      <c r="CQ726" s="167">
        <v>0</v>
      </c>
      <c r="CR726" s="167">
        <v>0</v>
      </c>
      <c r="CS726" s="167">
        <v>0</v>
      </c>
      <c r="CT726" s="167">
        <v>0</v>
      </c>
      <c r="CU726" s="167">
        <v>0</v>
      </c>
      <c r="CV726" s="167">
        <v>0</v>
      </c>
      <c r="CW726" s="167">
        <v>0</v>
      </c>
      <c r="CX726" s="167">
        <f>SUM(CD726:CH726)</f>
        <v>0</v>
      </c>
      <c r="CY726" s="167">
        <f>SUM(CD726:CM726)</f>
        <v>0</v>
      </c>
    </row>
    <row r="727" spans="1:103" x14ac:dyDescent="0.2">
      <c r="A727" s="81">
        <v>805</v>
      </c>
      <c r="B727" s="165" t="s">
        <v>1930</v>
      </c>
      <c r="C727" s="165" t="s">
        <v>2439</v>
      </c>
      <c r="E727" s="165" t="s">
        <v>2440</v>
      </c>
      <c r="G727" s="81">
        <v>524046</v>
      </c>
      <c r="H727" s="81">
        <v>175290</v>
      </c>
      <c r="I727" s="165" t="s">
        <v>259</v>
      </c>
      <c r="L727" s="166">
        <v>0</v>
      </c>
      <c r="M727" s="166">
        <v>4</v>
      </c>
      <c r="N727" s="166">
        <v>4</v>
      </c>
      <c r="O727" s="166">
        <v>5</v>
      </c>
      <c r="P727" s="166">
        <v>5</v>
      </c>
      <c r="R727" s="165" t="s">
        <v>2441</v>
      </c>
      <c r="S727" s="81" t="s">
        <v>113</v>
      </c>
      <c r="T727" s="349">
        <v>42958</v>
      </c>
      <c r="U727" s="349">
        <v>43011</v>
      </c>
      <c r="V727" s="81" t="s">
        <v>155</v>
      </c>
      <c r="W727" s="81" t="s">
        <v>114</v>
      </c>
      <c r="Y727" s="81" t="s">
        <v>115</v>
      </c>
      <c r="Z727" s="81" t="s">
        <v>398</v>
      </c>
      <c r="AA727" s="81" t="s">
        <v>117</v>
      </c>
      <c r="AB727" s="81" t="s">
        <v>102</v>
      </c>
      <c r="AC727" s="166">
        <v>1.4000000432133701E-2</v>
      </c>
      <c r="AG727" s="81" t="s">
        <v>238</v>
      </c>
      <c r="AH727" s="81" t="s">
        <v>118</v>
      </c>
      <c r="AK727" s="166">
        <v>0</v>
      </c>
      <c r="AM727" s="166">
        <v>0</v>
      </c>
      <c r="AO727" s="166">
        <v>0</v>
      </c>
      <c r="AP727" s="166">
        <v>1</v>
      </c>
      <c r="AQ727" s="166">
        <v>3</v>
      </c>
      <c r="AR727" s="166">
        <v>0</v>
      </c>
      <c r="AS727" s="166">
        <v>0</v>
      </c>
      <c r="AT727" s="166">
        <v>0</v>
      </c>
      <c r="AU727" s="166">
        <v>0</v>
      </c>
      <c r="AV727" s="166">
        <v>0</v>
      </c>
      <c r="AW727" s="166">
        <v>1</v>
      </c>
      <c r="AX727" s="166">
        <v>3</v>
      </c>
      <c r="AY727" s="166">
        <v>0</v>
      </c>
      <c r="AZ727" s="166">
        <v>0</v>
      </c>
      <c r="BA727" s="166">
        <v>0</v>
      </c>
      <c r="BB727" s="166">
        <v>0</v>
      </c>
      <c r="BC727" s="166">
        <v>0</v>
      </c>
      <c r="BD727" s="166">
        <v>0</v>
      </c>
      <c r="BE727" s="166">
        <v>0</v>
      </c>
      <c r="BF727" s="166">
        <v>0</v>
      </c>
      <c r="BG727" s="166">
        <v>0</v>
      </c>
      <c r="BH727" s="166">
        <v>0</v>
      </c>
      <c r="BI727" s="166">
        <v>0</v>
      </c>
      <c r="BJ727" s="166">
        <v>0</v>
      </c>
      <c r="BK727" s="166">
        <v>0</v>
      </c>
      <c r="BL727" s="166">
        <v>0</v>
      </c>
      <c r="BM727" s="166">
        <v>0</v>
      </c>
      <c r="BN727" s="166">
        <v>0</v>
      </c>
      <c r="BO727" s="166">
        <v>0</v>
      </c>
      <c r="BP727" s="166">
        <v>0</v>
      </c>
      <c r="BQ727" s="81" t="s">
        <v>1758</v>
      </c>
      <c r="BR727" s="81" t="s">
        <v>161</v>
      </c>
      <c r="BZ727" s="81" t="s">
        <v>155</v>
      </c>
      <c r="CA727" s="81" t="s">
        <v>1937</v>
      </c>
      <c r="CC727" s="167">
        <v>0</v>
      </c>
      <c r="CD727" s="167">
        <f>$N727/4</f>
        <v>1</v>
      </c>
      <c r="CE727" s="167">
        <f>$N727/4</f>
        <v>1</v>
      </c>
      <c r="CF727" s="167">
        <f>$N727/4</f>
        <v>1</v>
      </c>
      <c r="CG727" s="167">
        <f>$N727/4</f>
        <v>1</v>
      </c>
      <c r="CH727" s="167">
        <v>0</v>
      </c>
      <c r="CI727" s="167">
        <v>0</v>
      </c>
      <c r="CJ727" s="167">
        <v>0</v>
      </c>
      <c r="CK727" s="167">
        <v>0</v>
      </c>
      <c r="CL727" s="167">
        <v>0</v>
      </c>
      <c r="CM727" s="167">
        <v>0</v>
      </c>
      <c r="CN727" s="167">
        <v>0</v>
      </c>
      <c r="CO727" s="167">
        <v>0</v>
      </c>
      <c r="CP727" s="167">
        <v>0</v>
      </c>
      <c r="CQ727" s="167">
        <v>0</v>
      </c>
      <c r="CR727" s="167">
        <v>0</v>
      </c>
      <c r="CS727" s="167">
        <v>0</v>
      </c>
      <c r="CT727" s="167">
        <v>0</v>
      </c>
      <c r="CU727" s="167">
        <v>0</v>
      </c>
      <c r="CV727" s="167">
        <v>0</v>
      </c>
      <c r="CW727" s="167">
        <v>0</v>
      </c>
      <c r="CX727" s="167">
        <f>SUM(CD727:CH727)</f>
        <v>4</v>
      </c>
      <c r="CY727" s="167">
        <f>SUM(CD727:CM727)</f>
        <v>4</v>
      </c>
    </row>
    <row r="728" spans="1:103" ht="12.75" customHeight="1" x14ac:dyDescent="0.2">
      <c r="A728" s="81">
        <v>805</v>
      </c>
      <c r="B728" s="165" t="s">
        <v>1930</v>
      </c>
      <c r="C728" s="165" t="s">
        <v>2439</v>
      </c>
      <c r="E728" s="165" t="s">
        <v>2440</v>
      </c>
      <c r="G728" s="81">
        <v>524046</v>
      </c>
      <c r="H728" s="81">
        <v>175290</v>
      </c>
      <c r="I728" s="165" t="s">
        <v>259</v>
      </c>
      <c r="L728" s="166">
        <v>0</v>
      </c>
      <c r="M728" s="166">
        <v>1</v>
      </c>
      <c r="N728" s="166">
        <v>1</v>
      </c>
      <c r="O728" s="166">
        <v>5</v>
      </c>
      <c r="P728" s="166">
        <v>5</v>
      </c>
      <c r="R728" s="165" t="s">
        <v>2441</v>
      </c>
      <c r="S728" s="81" t="s">
        <v>113</v>
      </c>
      <c r="T728" s="349">
        <v>42958</v>
      </c>
      <c r="U728" s="349">
        <v>43011</v>
      </c>
      <c r="V728" s="81" t="s">
        <v>155</v>
      </c>
      <c r="W728" s="81" t="s">
        <v>114</v>
      </c>
      <c r="Y728" s="81" t="s">
        <v>115</v>
      </c>
      <c r="Z728" s="81" t="s">
        <v>398</v>
      </c>
      <c r="AA728" s="81" t="s">
        <v>117</v>
      </c>
      <c r="AB728" s="81" t="s">
        <v>218</v>
      </c>
      <c r="AC728" s="166">
        <v>4.0000001899898104E-3</v>
      </c>
      <c r="AG728" s="81" t="s">
        <v>238</v>
      </c>
      <c r="AH728" s="81" t="s">
        <v>118</v>
      </c>
      <c r="AK728" s="166">
        <v>0</v>
      </c>
      <c r="AM728" s="166">
        <v>0</v>
      </c>
      <c r="AO728" s="166">
        <v>0</v>
      </c>
      <c r="AP728" s="166">
        <v>0</v>
      </c>
      <c r="AQ728" s="166">
        <v>1</v>
      </c>
      <c r="AR728" s="166">
        <v>0</v>
      </c>
      <c r="AS728" s="166">
        <v>0</v>
      </c>
      <c r="AT728" s="166">
        <v>0</v>
      </c>
      <c r="AU728" s="166">
        <v>0</v>
      </c>
      <c r="AV728" s="166">
        <v>0</v>
      </c>
      <c r="AW728" s="166">
        <v>0</v>
      </c>
      <c r="AX728" s="166">
        <v>1</v>
      </c>
      <c r="AY728" s="166">
        <v>0</v>
      </c>
      <c r="AZ728" s="166">
        <v>0</v>
      </c>
      <c r="BA728" s="166">
        <v>0</v>
      </c>
      <c r="BB728" s="166">
        <v>0</v>
      </c>
      <c r="BC728" s="166">
        <v>0</v>
      </c>
      <c r="BD728" s="166">
        <v>0</v>
      </c>
      <c r="BE728" s="166">
        <v>0</v>
      </c>
      <c r="BF728" s="166">
        <v>0</v>
      </c>
      <c r="BG728" s="166">
        <v>0</v>
      </c>
      <c r="BH728" s="166">
        <v>0</v>
      </c>
      <c r="BI728" s="166">
        <v>0</v>
      </c>
      <c r="BJ728" s="166">
        <v>0</v>
      </c>
      <c r="BK728" s="166">
        <v>0</v>
      </c>
      <c r="BL728" s="166">
        <v>0</v>
      </c>
      <c r="BM728" s="166">
        <v>0</v>
      </c>
      <c r="BN728" s="166">
        <v>0</v>
      </c>
      <c r="BO728" s="166">
        <v>0</v>
      </c>
      <c r="BP728" s="166">
        <v>0</v>
      </c>
      <c r="BQ728" s="81" t="s">
        <v>1758</v>
      </c>
      <c r="BR728" s="81" t="s">
        <v>161</v>
      </c>
      <c r="BZ728" s="81" t="s">
        <v>155</v>
      </c>
      <c r="CA728" s="81" t="s">
        <v>1937</v>
      </c>
      <c r="CC728" s="167">
        <v>0</v>
      </c>
      <c r="CD728" s="167">
        <f>$N728/4</f>
        <v>0.25</v>
      </c>
      <c r="CE728" s="167">
        <f>$N728/4</f>
        <v>0.25</v>
      </c>
      <c r="CF728" s="167">
        <f>$N728/4</f>
        <v>0.25</v>
      </c>
      <c r="CG728" s="167">
        <f>$N728/4</f>
        <v>0.25</v>
      </c>
      <c r="CH728" s="167">
        <v>0</v>
      </c>
      <c r="CI728" s="167">
        <v>0</v>
      </c>
      <c r="CJ728" s="167">
        <v>0</v>
      </c>
      <c r="CK728" s="167">
        <v>0</v>
      </c>
      <c r="CL728" s="167">
        <v>0</v>
      </c>
      <c r="CM728" s="167">
        <v>0</v>
      </c>
      <c r="CN728" s="167">
        <v>0</v>
      </c>
      <c r="CO728" s="167">
        <v>0</v>
      </c>
      <c r="CP728" s="167">
        <v>0</v>
      </c>
      <c r="CQ728" s="167">
        <v>0</v>
      </c>
      <c r="CR728" s="167">
        <v>0</v>
      </c>
      <c r="CS728" s="167">
        <v>0</v>
      </c>
      <c r="CT728" s="167">
        <v>0</v>
      </c>
      <c r="CU728" s="167">
        <v>0</v>
      </c>
      <c r="CV728" s="167">
        <v>0</v>
      </c>
      <c r="CW728" s="167">
        <v>0</v>
      </c>
      <c r="CX728" s="167">
        <f>SUM(CD728:CH728)</f>
        <v>1</v>
      </c>
      <c r="CY728" s="167">
        <f>SUM(CD728:CM728)</f>
        <v>1</v>
      </c>
    </row>
    <row r="729" spans="1:103" ht="12.75" customHeight="1" x14ac:dyDescent="0.2">
      <c r="A729" s="81">
        <v>983</v>
      </c>
      <c r="B729" s="165" t="s">
        <v>1930</v>
      </c>
      <c r="C729" s="165" t="s">
        <v>20</v>
      </c>
      <c r="E729" s="165" t="s">
        <v>2431</v>
      </c>
      <c r="G729" s="81">
        <v>527864</v>
      </c>
      <c r="H729" s="81">
        <v>176587</v>
      </c>
      <c r="I729" s="165" t="s">
        <v>241</v>
      </c>
      <c r="L729" s="166">
        <v>0</v>
      </c>
      <c r="M729" s="166">
        <v>1</v>
      </c>
      <c r="N729" s="166">
        <v>1</v>
      </c>
      <c r="O729" s="166">
        <v>1</v>
      </c>
      <c r="P729" s="166">
        <v>1</v>
      </c>
      <c r="R729" s="165" t="s">
        <v>21</v>
      </c>
      <c r="S729" s="81" t="s">
        <v>110</v>
      </c>
      <c r="T729" s="349">
        <v>41759</v>
      </c>
      <c r="U729" s="349">
        <v>41815</v>
      </c>
      <c r="W729" s="81" t="s">
        <v>114</v>
      </c>
      <c r="Y729" s="81" t="s">
        <v>115</v>
      </c>
      <c r="Z729" s="81" t="s">
        <v>310</v>
      </c>
      <c r="AA729" s="81" t="s">
        <v>117</v>
      </c>
      <c r="AB729" s="81" t="s">
        <v>399</v>
      </c>
      <c r="AC729" s="166">
        <v>3.0000000260770299E-3</v>
      </c>
      <c r="AG729" s="81" t="s">
        <v>238</v>
      </c>
      <c r="AH729" s="81" t="s">
        <v>118</v>
      </c>
      <c r="AK729" s="166">
        <v>0</v>
      </c>
      <c r="AM729" s="166">
        <v>0</v>
      </c>
      <c r="AO729" s="166">
        <v>1</v>
      </c>
      <c r="AP729" s="166">
        <v>0</v>
      </c>
      <c r="AQ729" s="166">
        <v>0</v>
      </c>
      <c r="AR729" s="166">
        <v>0</v>
      </c>
      <c r="AS729" s="166">
        <v>0</v>
      </c>
      <c r="AT729" s="166">
        <v>0</v>
      </c>
      <c r="AU729" s="166">
        <v>0</v>
      </c>
      <c r="AV729" s="166">
        <v>1</v>
      </c>
      <c r="AW729" s="166">
        <v>0</v>
      </c>
      <c r="AX729" s="166">
        <v>0</v>
      </c>
      <c r="AY729" s="166">
        <v>0</v>
      </c>
      <c r="AZ729" s="166">
        <v>0</v>
      </c>
      <c r="BA729" s="166">
        <v>0</v>
      </c>
      <c r="BB729" s="166">
        <v>0</v>
      </c>
      <c r="BC729" s="166">
        <v>0</v>
      </c>
      <c r="BD729" s="166">
        <v>0</v>
      </c>
      <c r="BE729" s="166">
        <v>0</v>
      </c>
      <c r="BF729" s="166">
        <v>0</v>
      </c>
      <c r="BG729" s="166">
        <v>0</v>
      </c>
      <c r="BH729" s="166">
        <v>0</v>
      </c>
      <c r="BI729" s="166">
        <v>0</v>
      </c>
      <c r="BJ729" s="166">
        <v>0</v>
      </c>
      <c r="BK729" s="166">
        <v>0</v>
      </c>
      <c r="BL729" s="166">
        <v>0</v>
      </c>
      <c r="BM729" s="166">
        <v>0</v>
      </c>
      <c r="BN729" s="166">
        <v>0</v>
      </c>
      <c r="BO729" s="166">
        <v>0</v>
      </c>
      <c r="BP729" s="166">
        <v>0</v>
      </c>
      <c r="BQ729" s="81" t="s">
        <v>1757</v>
      </c>
      <c r="BZ729" s="81" t="s">
        <v>155</v>
      </c>
      <c r="CA729" s="81" t="s">
        <v>1937</v>
      </c>
      <c r="CC729" s="167">
        <v>0</v>
      </c>
      <c r="CD729" s="167">
        <f>$N729/4</f>
        <v>0.25</v>
      </c>
      <c r="CE729" s="167">
        <f>$N729/4</f>
        <v>0.25</v>
      </c>
      <c r="CF729" s="167">
        <f>$N729/4</f>
        <v>0.25</v>
      </c>
      <c r="CG729" s="167">
        <f>$N729/4</f>
        <v>0.25</v>
      </c>
      <c r="CH729" s="167">
        <v>0</v>
      </c>
      <c r="CI729" s="167">
        <v>0</v>
      </c>
      <c r="CJ729" s="167">
        <v>0</v>
      </c>
      <c r="CK729" s="167">
        <v>0</v>
      </c>
      <c r="CL729" s="167">
        <v>0</v>
      </c>
      <c r="CM729" s="167">
        <v>0</v>
      </c>
      <c r="CN729" s="167">
        <v>0</v>
      </c>
      <c r="CO729" s="167">
        <v>0</v>
      </c>
      <c r="CP729" s="167">
        <v>0</v>
      </c>
      <c r="CQ729" s="167">
        <v>0</v>
      </c>
      <c r="CR729" s="167">
        <v>0</v>
      </c>
      <c r="CS729" s="167">
        <v>0</v>
      </c>
      <c r="CT729" s="167">
        <v>0</v>
      </c>
      <c r="CU729" s="167">
        <v>0</v>
      </c>
      <c r="CV729" s="167">
        <v>0</v>
      </c>
      <c r="CW729" s="167">
        <v>0</v>
      </c>
      <c r="CX729" s="167">
        <f>SUM(CD729:CH729)</f>
        <v>1</v>
      </c>
      <c r="CY729" s="167">
        <f>SUM(CD729:CM729)</f>
        <v>1</v>
      </c>
    </row>
    <row r="730" spans="1:103" ht="12.75" customHeight="1" x14ac:dyDescent="0.2">
      <c r="A730" s="81">
        <v>999</v>
      </c>
      <c r="B730" s="165" t="s">
        <v>1930</v>
      </c>
      <c r="C730" s="165" t="s">
        <v>429</v>
      </c>
      <c r="E730" s="165" t="s">
        <v>2443</v>
      </c>
      <c r="G730" s="81">
        <v>528491</v>
      </c>
      <c r="H730" s="81">
        <v>173293</v>
      </c>
      <c r="I730" s="165" t="s">
        <v>254</v>
      </c>
      <c r="L730" s="166">
        <v>1</v>
      </c>
      <c r="M730" s="166">
        <v>5</v>
      </c>
      <c r="N730" s="166">
        <v>4</v>
      </c>
      <c r="O730" s="166">
        <v>5</v>
      </c>
      <c r="P730" s="166">
        <v>4</v>
      </c>
      <c r="R730" s="165" t="s">
        <v>1126</v>
      </c>
      <c r="S730" s="81" t="s">
        <v>113</v>
      </c>
      <c r="T730" s="349">
        <v>42073</v>
      </c>
      <c r="U730" s="349">
        <v>42195</v>
      </c>
      <c r="W730" s="81" t="s">
        <v>114</v>
      </c>
      <c r="Y730" s="81" t="s">
        <v>115</v>
      </c>
      <c r="Z730" s="81" t="s">
        <v>219</v>
      </c>
      <c r="AA730" s="81" t="s">
        <v>117</v>
      </c>
      <c r="AB730" s="81" t="s">
        <v>3889</v>
      </c>
      <c r="AC730" s="166">
        <v>1.09999999403954E-2</v>
      </c>
      <c r="AG730" s="81" t="s">
        <v>238</v>
      </c>
      <c r="AH730" s="81" t="s">
        <v>118</v>
      </c>
      <c r="AK730" s="166">
        <v>5</v>
      </c>
      <c r="AM730" s="166">
        <v>0</v>
      </c>
      <c r="AO730" s="166">
        <v>0</v>
      </c>
      <c r="AP730" s="166">
        <v>3</v>
      </c>
      <c r="AQ730" s="166">
        <v>1</v>
      </c>
      <c r="AR730" s="166">
        <v>0</v>
      </c>
      <c r="AS730" s="166">
        <v>0</v>
      </c>
      <c r="AT730" s="166">
        <v>0</v>
      </c>
      <c r="AU730" s="166">
        <v>0</v>
      </c>
      <c r="AV730" s="166">
        <v>0</v>
      </c>
      <c r="AW730" s="166">
        <v>3</v>
      </c>
      <c r="AX730" s="166">
        <v>1</v>
      </c>
      <c r="AY730" s="166">
        <v>0</v>
      </c>
      <c r="AZ730" s="166">
        <v>0</v>
      </c>
      <c r="BA730" s="166">
        <v>0</v>
      </c>
      <c r="BB730" s="166">
        <v>0</v>
      </c>
      <c r="BC730" s="166">
        <v>0</v>
      </c>
      <c r="BD730" s="166">
        <v>0</v>
      </c>
      <c r="BE730" s="166">
        <v>0</v>
      </c>
      <c r="BF730" s="166">
        <v>0</v>
      </c>
      <c r="BG730" s="166">
        <v>0</v>
      </c>
      <c r="BH730" s="166">
        <v>0</v>
      </c>
      <c r="BI730" s="166">
        <v>0</v>
      </c>
      <c r="BJ730" s="166">
        <v>0</v>
      </c>
      <c r="BK730" s="166">
        <v>0</v>
      </c>
      <c r="BL730" s="166">
        <v>0</v>
      </c>
      <c r="BM730" s="166">
        <v>0</v>
      </c>
      <c r="BN730" s="166">
        <v>0</v>
      </c>
      <c r="BO730" s="166">
        <v>0</v>
      </c>
      <c r="BP730" s="166">
        <v>0</v>
      </c>
      <c r="BQ730" s="81" t="s">
        <v>1757</v>
      </c>
      <c r="BR730" s="81" t="s">
        <v>247</v>
      </c>
      <c r="BZ730" s="81" t="s">
        <v>155</v>
      </c>
      <c r="CA730" s="81" t="s">
        <v>1937</v>
      </c>
      <c r="CC730" s="167">
        <v>0</v>
      </c>
      <c r="CD730" s="167">
        <f>$N730/4</f>
        <v>1</v>
      </c>
      <c r="CE730" s="167">
        <f>$N730/4</f>
        <v>1</v>
      </c>
      <c r="CF730" s="167">
        <f>$N730/4</f>
        <v>1</v>
      </c>
      <c r="CG730" s="167">
        <f>$N730/4</f>
        <v>1</v>
      </c>
      <c r="CH730" s="167">
        <v>0</v>
      </c>
      <c r="CI730" s="167">
        <v>0</v>
      </c>
      <c r="CJ730" s="167">
        <v>0</v>
      </c>
      <c r="CK730" s="167">
        <v>0</v>
      </c>
      <c r="CL730" s="167">
        <v>0</v>
      </c>
      <c r="CM730" s="167">
        <v>0</v>
      </c>
      <c r="CN730" s="167">
        <v>0</v>
      </c>
      <c r="CO730" s="167">
        <v>0</v>
      </c>
      <c r="CP730" s="167">
        <v>0</v>
      </c>
      <c r="CQ730" s="167">
        <v>0</v>
      </c>
      <c r="CR730" s="167">
        <v>0</v>
      </c>
      <c r="CS730" s="167">
        <v>0</v>
      </c>
      <c r="CT730" s="167">
        <v>0</v>
      </c>
      <c r="CU730" s="167">
        <v>0</v>
      </c>
      <c r="CV730" s="167">
        <v>0</v>
      </c>
      <c r="CW730" s="167">
        <v>0</v>
      </c>
      <c r="CX730" s="167">
        <f>SUM(CD730:CH730)</f>
        <v>4</v>
      </c>
      <c r="CY730" s="167">
        <f>SUM(CD730:CM730)</f>
        <v>4</v>
      </c>
    </row>
    <row r="731" spans="1:103" ht="12.75" customHeight="1" x14ac:dyDescent="0.2">
      <c r="A731" s="81">
        <v>1090</v>
      </c>
      <c r="B731" s="165" t="s">
        <v>1930</v>
      </c>
      <c r="C731" s="165" t="s">
        <v>1582</v>
      </c>
      <c r="E731" s="165" t="s">
        <v>2444</v>
      </c>
      <c r="G731" s="81">
        <v>527564</v>
      </c>
      <c r="H731" s="81">
        <v>171696</v>
      </c>
      <c r="I731" s="165" t="s">
        <v>242</v>
      </c>
      <c r="L731" s="166">
        <v>0</v>
      </c>
      <c r="M731" s="166">
        <v>1</v>
      </c>
      <c r="N731" s="166">
        <v>1</v>
      </c>
      <c r="O731" s="166">
        <v>2</v>
      </c>
      <c r="P731" s="166">
        <v>1</v>
      </c>
      <c r="R731" s="165" t="s">
        <v>1583</v>
      </c>
      <c r="S731" s="81" t="s">
        <v>296</v>
      </c>
      <c r="T731" s="349">
        <v>42724</v>
      </c>
      <c r="U731" s="349">
        <v>42870</v>
      </c>
      <c r="V731" s="81" t="s">
        <v>155</v>
      </c>
      <c r="W731" s="81" t="s">
        <v>297</v>
      </c>
      <c r="X731" s="349">
        <v>43024</v>
      </c>
      <c r="Y731" s="81" t="s">
        <v>115</v>
      </c>
      <c r="Z731" s="81" t="s">
        <v>219</v>
      </c>
      <c r="AA731" s="81" t="s">
        <v>117</v>
      </c>
      <c r="AB731" s="81" t="s">
        <v>3889</v>
      </c>
      <c r="AC731" s="166">
        <v>7.0000002160668399E-3</v>
      </c>
      <c r="AG731" s="81" t="s">
        <v>238</v>
      </c>
      <c r="AH731" s="81" t="s">
        <v>118</v>
      </c>
      <c r="AK731" s="166">
        <v>0</v>
      </c>
      <c r="AM731" s="166">
        <v>0</v>
      </c>
      <c r="AO731" s="166">
        <v>0</v>
      </c>
      <c r="AP731" s="166">
        <v>1</v>
      </c>
      <c r="AQ731" s="166">
        <v>0</v>
      </c>
      <c r="AR731" s="166">
        <v>0</v>
      </c>
      <c r="AS731" s="166">
        <v>0</v>
      </c>
      <c r="AT731" s="166">
        <v>0</v>
      </c>
      <c r="AU731" s="166">
        <v>0</v>
      </c>
      <c r="AV731" s="166">
        <v>0</v>
      </c>
      <c r="AW731" s="166">
        <v>1</v>
      </c>
      <c r="AX731" s="166">
        <v>0</v>
      </c>
      <c r="AY731" s="166">
        <v>0</v>
      </c>
      <c r="AZ731" s="166">
        <v>0</v>
      </c>
      <c r="BA731" s="166">
        <v>0</v>
      </c>
      <c r="BB731" s="166">
        <v>0</v>
      </c>
      <c r="BC731" s="166">
        <v>0</v>
      </c>
      <c r="BD731" s="166">
        <v>0</v>
      </c>
      <c r="BE731" s="166">
        <v>0</v>
      </c>
      <c r="BF731" s="166">
        <v>0</v>
      </c>
      <c r="BG731" s="166">
        <v>0</v>
      </c>
      <c r="BH731" s="166">
        <v>0</v>
      </c>
      <c r="BI731" s="166">
        <v>0</v>
      </c>
      <c r="BJ731" s="166">
        <v>0</v>
      </c>
      <c r="BK731" s="166">
        <v>0</v>
      </c>
      <c r="BL731" s="166">
        <v>0</v>
      </c>
      <c r="BM731" s="166">
        <v>0</v>
      </c>
      <c r="BN731" s="166">
        <v>0</v>
      </c>
      <c r="BO731" s="166">
        <v>0</v>
      </c>
      <c r="BP731" s="166">
        <v>0</v>
      </c>
      <c r="BQ731" s="81" t="s">
        <v>1757</v>
      </c>
      <c r="BR731" s="81" t="s">
        <v>242</v>
      </c>
      <c r="BZ731" s="81" t="s">
        <v>155</v>
      </c>
      <c r="CA731" s="81" t="s">
        <v>1937</v>
      </c>
      <c r="CC731" s="167">
        <v>0</v>
      </c>
      <c r="CD731" s="167">
        <f>$N731/4</f>
        <v>0.25</v>
      </c>
      <c r="CE731" s="167">
        <f>$N731/4</f>
        <v>0.25</v>
      </c>
      <c r="CF731" s="167">
        <f>$N731/4</f>
        <v>0.25</v>
      </c>
      <c r="CG731" s="167">
        <f>$N731/4</f>
        <v>0.25</v>
      </c>
      <c r="CH731" s="167">
        <v>0</v>
      </c>
      <c r="CI731" s="167">
        <v>0</v>
      </c>
      <c r="CJ731" s="167">
        <v>0</v>
      </c>
      <c r="CK731" s="167">
        <v>0</v>
      </c>
      <c r="CL731" s="167">
        <v>0</v>
      </c>
      <c r="CM731" s="167">
        <v>0</v>
      </c>
      <c r="CN731" s="167">
        <v>0</v>
      </c>
      <c r="CO731" s="167">
        <v>0</v>
      </c>
      <c r="CP731" s="167">
        <v>0</v>
      </c>
      <c r="CQ731" s="167">
        <v>0</v>
      </c>
      <c r="CR731" s="167">
        <v>0</v>
      </c>
      <c r="CS731" s="167">
        <v>0</v>
      </c>
      <c r="CT731" s="167">
        <v>0</v>
      </c>
      <c r="CU731" s="167">
        <v>0</v>
      </c>
      <c r="CV731" s="167">
        <v>0</v>
      </c>
      <c r="CW731" s="167">
        <v>0</v>
      </c>
      <c r="CX731" s="167">
        <f>SUM(CD731:CH731)</f>
        <v>1</v>
      </c>
      <c r="CY731" s="167">
        <f>SUM(CD731:CM731)</f>
        <v>1</v>
      </c>
    </row>
    <row r="732" spans="1:103" x14ac:dyDescent="0.2">
      <c r="A732" s="81">
        <v>1090</v>
      </c>
      <c r="B732" s="165" t="s">
        <v>1930</v>
      </c>
      <c r="C732" s="165" t="s">
        <v>1582</v>
      </c>
      <c r="E732" s="165" t="s">
        <v>2444</v>
      </c>
      <c r="G732" s="81">
        <v>527564</v>
      </c>
      <c r="H732" s="81">
        <v>171696</v>
      </c>
      <c r="I732" s="165" t="s">
        <v>242</v>
      </c>
      <c r="L732" s="166">
        <v>1</v>
      </c>
      <c r="M732" s="166">
        <v>1</v>
      </c>
      <c r="N732" s="166">
        <v>0</v>
      </c>
      <c r="O732" s="166">
        <v>2</v>
      </c>
      <c r="P732" s="166">
        <v>1</v>
      </c>
      <c r="R732" s="165" t="s">
        <v>1583</v>
      </c>
      <c r="S732" s="81" t="s">
        <v>296</v>
      </c>
      <c r="T732" s="349">
        <v>42724</v>
      </c>
      <c r="U732" s="349">
        <v>42870</v>
      </c>
      <c r="V732" s="81" t="s">
        <v>155</v>
      </c>
      <c r="W732" s="81" t="s">
        <v>297</v>
      </c>
      <c r="X732" s="349">
        <v>43024</v>
      </c>
      <c r="Y732" s="81" t="s">
        <v>115</v>
      </c>
      <c r="Z732" s="81" t="s">
        <v>219</v>
      </c>
      <c r="AA732" s="81" t="s">
        <v>117</v>
      </c>
      <c r="AB732" s="81" t="s">
        <v>220</v>
      </c>
      <c r="AC732" s="166">
        <v>8.9999996125698107E-3</v>
      </c>
      <c r="AG732" s="81" t="s">
        <v>238</v>
      </c>
      <c r="AH732" s="81" t="s">
        <v>118</v>
      </c>
      <c r="AK732" s="166">
        <v>0</v>
      </c>
      <c r="AM732" s="166">
        <v>0</v>
      </c>
      <c r="AO732" s="166">
        <v>0</v>
      </c>
      <c r="AP732" s="166">
        <v>-1</v>
      </c>
      <c r="AQ732" s="166">
        <v>1</v>
      </c>
      <c r="AR732" s="166">
        <v>0</v>
      </c>
      <c r="AS732" s="166">
        <v>0</v>
      </c>
      <c r="AT732" s="166">
        <v>0</v>
      </c>
      <c r="AU732" s="166">
        <v>0</v>
      </c>
      <c r="AV732" s="166">
        <v>0</v>
      </c>
      <c r="AW732" s="166">
        <v>-1</v>
      </c>
      <c r="AX732" s="166">
        <v>1</v>
      </c>
      <c r="AY732" s="166">
        <v>0</v>
      </c>
      <c r="AZ732" s="166">
        <v>0</v>
      </c>
      <c r="BA732" s="166">
        <v>0</v>
      </c>
      <c r="BB732" s="166">
        <v>0</v>
      </c>
      <c r="BC732" s="166">
        <v>0</v>
      </c>
      <c r="BD732" s="166">
        <v>0</v>
      </c>
      <c r="BE732" s="166">
        <v>0</v>
      </c>
      <c r="BF732" s="166">
        <v>0</v>
      </c>
      <c r="BG732" s="166">
        <v>0</v>
      </c>
      <c r="BH732" s="166">
        <v>0</v>
      </c>
      <c r="BI732" s="166">
        <v>0</v>
      </c>
      <c r="BJ732" s="166">
        <v>0</v>
      </c>
      <c r="BK732" s="166">
        <v>0</v>
      </c>
      <c r="BL732" s="166">
        <v>0</v>
      </c>
      <c r="BM732" s="166">
        <v>0</v>
      </c>
      <c r="BN732" s="166">
        <v>0</v>
      </c>
      <c r="BO732" s="166">
        <v>0</v>
      </c>
      <c r="BP732" s="166">
        <v>0</v>
      </c>
      <c r="BQ732" s="81" t="s">
        <v>1757</v>
      </c>
      <c r="BR732" s="81" t="s">
        <v>242</v>
      </c>
      <c r="BZ732" s="81" t="s">
        <v>155</v>
      </c>
      <c r="CA732" s="81" t="s">
        <v>1937</v>
      </c>
      <c r="CC732" s="167">
        <v>0</v>
      </c>
      <c r="CD732" s="167">
        <f>$N732/4</f>
        <v>0</v>
      </c>
      <c r="CE732" s="167">
        <f>$N732/4</f>
        <v>0</v>
      </c>
      <c r="CF732" s="167">
        <f>$N732/4</f>
        <v>0</v>
      </c>
      <c r="CG732" s="167">
        <f>$N732/4</f>
        <v>0</v>
      </c>
      <c r="CH732" s="167">
        <v>0</v>
      </c>
      <c r="CI732" s="167">
        <v>0</v>
      </c>
      <c r="CJ732" s="167">
        <v>0</v>
      </c>
      <c r="CK732" s="167">
        <v>0</v>
      </c>
      <c r="CL732" s="167">
        <v>0</v>
      </c>
      <c r="CM732" s="167">
        <v>0</v>
      </c>
      <c r="CN732" s="167">
        <v>0</v>
      </c>
      <c r="CO732" s="167">
        <v>0</v>
      </c>
      <c r="CP732" s="167">
        <v>0</v>
      </c>
      <c r="CQ732" s="167">
        <v>0</v>
      </c>
      <c r="CR732" s="167">
        <v>0</v>
      </c>
      <c r="CS732" s="167">
        <v>0</v>
      </c>
      <c r="CT732" s="167">
        <v>0</v>
      </c>
      <c r="CU732" s="167">
        <v>0</v>
      </c>
      <c r="CV732" s="167">
        <v>0</v>
      </c>
      <c r="CW732" s="167">
        <v>0</v>
      </c>
      <c r="CX732" s="167">
        <f>SUM(CD732:CH732)</f>
        <v>0</v>
      </c>
      <c r="CY732" s="167">
        <f>SUM(CD732:CM732)</f>
        <v>0</v>
      </c>
    </row>
    <row r="733" spans="1:103" x14ac:dyDescent="0.2">
      <c r="A733" s="81">
        <v>1426</v>
      </c>
      <c r="B733" s="165" t="s">
        <v>1930</v>
      </c>
      <c r="C733" s="165" t="s">
        <v>2445</v>
      </c>
      <c r="E733" s="165" t="s">
        <v>2446</v>
      </c>
      <c r="G733" s="81">
        <v>527486</v>
      </c>
      <c r="H733" s="81">
        <v>171495</v>
      </c>
      <c r="I733" s="165" t="s">
        <v>253</v>
      </c>
      <c r="L733" s="166">
        <v>2</v>
      </c>
      <c r="M733" s="166">
        <v>5</v>
      </c>
      <c r="N733" s="166">
        <v>3</v>
      </c>
      <c r="O733" s="166">
        <v>5</v>
      </c>
      <c r="P733" s="166">
        <v>3</v>
      </c>
      <c r="R733" s="165" t="s">
        <v>2447</v>
      </c>
      <c r="S733" s="81" t="s">
        <v>113</v>
      </c>
      <c r="T733" s="349">
        <v>42935</v>
      </c>
      <c r="U733" s="349">
        <v>43077</v>
      </c>
      <c r="V733" s="81" t="s">
        <v>155</v>
      </c>
      <c r="W733" s="81" t="s">
        <v>114</v>
      </c>
      <c r="Y733" s="81" t="s">
        <v>115</v>
      </c>
      <c r="Z733" s="81" t="s">
        <v>398</v>
      </c>
      <c r="AA733" s="81" t="s">
        <v>117</v>
      </c>
      <c r="AB733" s="81" t="s">
        <v>220</v>
      </c>
      <c r="AC733" s="166">
        <v>8.0000003799796104E-3</v>
      </c>
      <c r="AG733" s="81" t="s">
        <v>238</v>
      </c>
      <c r="AH733" s="81" t="s">
        <v>118</v>
      </c>
      <c r="AI733" s="81" t="s">
        <v>2448</v>
      </c>
      <c r="AK733" s="166">
        <v>0</v>
      </c>
      <c r="AM733" s="166">
        <v>0</v>
      </c>
      <c r="AO733" s="166">
        <v>0</v>
      </c>
      <c r="AP733" s="166">
        <v>4</v>
      </c>
      <c r="AQ733" s="166">
        <v>-2</v>
      </c>
      <c r="AR733" s="166">
        <v>1</v>
      </c>
      <c r="AS733" s="166">
        <v>0</v>
      </c>
      <c r="AT733" s="166">
        <v>0</v>
      </c>
      <c r="AU733" s="166">
        <v>0</v>
      </c>
      <c r="AV733" s="166">
        <v>0</v>
      </c>
      <c r="AW733" s="166">
        <v>4</v>
      </c>
      <c r="AX733" s="166">
        <v>-2</v>
      </c>
      <c r="AY733" s="166">
        <v>1</v>
      </c>
      <c r="AZ733" s="166">
        <v>0</v>
      </c>
      <c r="BA733" s="166">
        <v>0</v>
      </c>
      <c r="BB733" s="166">
        <v>0</v>
      </c>
      <c r="BC733" s="166">
        <v>0</v>
      </c>
      <c r="BD733" s="166">
        <v>0</v>
      </c>
      <c r="BE733" s="166">
        <v>0</v>
      </c>
      <c r="BF733" s="166">
        <v>0</v>
      </c>
      <c r="BG733" s="166">
        <v>0</v>
      </c>
      <c r="BH733" s="166">
        <v>0</v>
      </c>
      <c r="BI733" s="166">
        <v>0</v>
      </c>
      <c r="BJ733" s="166">
        <v>0</v>
      </c>
      <c r="BK733" s="166">
        <v>0</v>
      </c>
      <c r="BL733" s="166">
        <v>0</v>
      </c>
      <c r="BM733" s="166">
        <v>0</v>
      </c>
      <c r="BN733" s="166">
        <v>0</v>
      </c>
      <c r="BO733" s="166">
        <v>0</v>
      </c>
      <c r="BP733" s="166">
        <v>0</v>
      </c>
      <c r="BQ733" s="81" t="s">
        <v>1757</v>
      </c>
      <c r="BR733" s="81" t="s">
        <v>242</v>
      </c>
      <c r="BZ733" s="81" t="s">
        <v>155</v>
      </c>
      <c r="CA733" s="81" t="s">
        <v>1937</v>
      </c>
      <c r="CC733" s="167">
        <v>0</v>
      </c>
      <c r="CD733" s="167">
        <f>$N733/4</f>
        <v>0.75</v>
      </c>
      <c r="CE733" s="167">
        <f>$N733/4</f>
        <v>0.75</v>
      </c>
      <c r="CF733" s="167">
        <f>$N733/4</f>
        <v>0.75</v>
      </c>
      <c r="CG733" s="167">
        <f>$N733/4</f>
        <v>0.75</v>
      </c>
      <c r="CH733" s="167">
        <v>0</v>
      </c>
      <c r="CI733" s="167">
        <v>0</v>
      </c>
      <c r="CJ733" s="167">
        <v>0</v>
      </c>
      <c r="CK733" s="167">
        <v>0</v>
      </c>
      <c r="CL733" s="167">
        <v>0</v>
      </c>
      <c r="CM733" s="167">
        <v>0</v>
      </c>
      <c r="CN733" s="167">
        <v>0</v>
      </c>
      <c r="CO733" s="167">
        <v>0</v>
      </c>
      <c r="CP733" s="167">
        <v>0</v>
      </c>
      <c r="CQ733" s="167">
        <v>0</v>
      </c>
      <c r="CR733" s="167">
        <v>0</v>
      </c>
      <c r="CS733" s="167">
        <v>0</v>
      </c>
      <c r="CT733" s="167">
        <v>0</v>
      </c>
      <c r="CU733" s="167">
        <v>0</v>
      </c>
      <c r="CV733" s="167">
        <v>0</v>
      </c>
      <c r="CW733" s="167">
        <v>0</v>
      </c>
      <c r="CX733" s="167">
        <f>SUM(CD733:CH733)</f>
        <v>3</v>
      </c>
      <c r="CY733" s="167">
        <f>SUM(CD733:CM733)</f>
        <v>3</v>
      </c>
    </row>
    <row r="734" spans="1:103" ht="12.75" customHeight="1" x14ac:dyDescent="0.2">
      <c r="A734" s="81">
        <v>1433</v>
      </c>
      <c r="B734" s="165" t="s">
        <v>1930</v>
      </c>
      <c r="C734" s="165" t="s">
        <v>2449</v>
      </c>
      <c r="E734" s="165" t="s">
        <v>2450</v>
      </c>
      <c r="G734" s="81">
        <v>525363</v>
      </c>
      <c r="H734" s="81">
        <v>174695</v>
      </c>
      <c r="I734" s="165" t="s">
        <v>251</v>
      </c>
      <c r="L734" s="166">
        <v>0</v>
      </c>
      <c r="M734" s="166">
        <v>2</v>
      </c>
      <c r="N734" s="166">
        <v>2</v>
      </c>
      <c r="O734" s="166">
        <v>2</v>
      </c>
      <c r="P734" s="166">
        <v>2</v>
      </c>
      <c r="R734" s="165" t="s">
        <v>2451</v>
      </c>
      <c r="S734" s="81" t="s">
        <v>113</v>
      </c>
      <c r="T734" s="349">
        <v>43108</v>
      </c>
      <c r="U734" s="349">
        <v>43164</v>
      </c>
      <c r="V734" s="81" t="s">
        <v>155</v>
      </c>
      <c r="W734" s="81" t="s">
        <v>114</v>
      </c>
      <c r="Y734" s="81" t="s">
        <v>115</v>
      </c>
      <c r="Z734" s="81" t="s">
        <v>219</v>
      </c>
      <c r="AA734" s="81" t="s">
        <v>117</v>
      </c>
      <c r="AB734" s="81" t="s">
        <v>3889</v>
      </c>
      <c r="AC734" s="166">
        <v>4.9999998882412902E-3</v>
      </c>
      <c r="AG734" s="81" t="s">
        <v>238</v>
      </c>
      <c r="AH734" s="81" t="s">
        <v>118</v>
      </c>
      <c r="AK734" s="166">
        <v>0</v>
      </c>
      <c r="AM734" s="166">
        <v>0</v>
      </c>
      <c r="AO734" s="166">
        <v>0</v>
      </c>
      <c r="AP734" s="166">
        <v>0</v>
      </c>
      <c r="AQ734" s="166">
        <v>2</v>
      </c>
      <c r="AR734" s="166">
        <v>0</v>
      </c>
      <c r="AS734" s="166">
        <v>0</v>
      </c>
      <c r="AT734" s="166">
        <v>0</v>
      </c>
      <c r="AU734" s="166">
        <v>0</v>
      </c>
      <c r="AV734" s="166">
        <v>0</v>
      </c>
      <c r="AW734" s="166">
        <v>0</v>
      </c>
      <c r="AX734" s="166">
        <v>2</v>
      </c>
      <c r="AY734" s="166">
        <v>0</v>
      </c>
      <c r="AZ734" s="166">
        <v>0</v>
      </c>
      <c r="BA734" s="166">
        <v>0</v>
      </c>
      <c r="BB734" s="166">
        <v>0</v>
      </c>
      <c r="BC734" s="166">
        <v>0</v>
      </c>
      <c r="BD734" s="166">
        <v>0</v>
      </c>
      <c r="BE734" s="166">
        <v>0</v>
      </c>
      <c r="BF734" s="166">
        <v>0</v>
      </c>
      <c r="BG734" s="166">
        <v>0</v>
      </c>
      <c r="BH734" s="166">
        <v>0</v>
      </c>
      <c r="BI734" s="166">
        <v>0</v>
      </c>
      <c r="BJ734" s="166">
        <v>0</v>
      </c>
      <c r="BK734" s="166">
        <v>0</v>
      </c>
      <c r="BL734" s="166">
        <v>0</v>
      </c>
      <c r="BM734" s="166">
        <v>0</v>
      </c>
      <c r="BN734" s="166">
        <v>0</v>
      </c>
      <c r="BO734" s="166">
        <v>0</v>
      </c>
      <c r="BP734" s="166">
        <v>0</v>
      </c>
      <c r="BQ734" s="81" t="s">
        <v>1758</v>
      </c>
      <c r="BR734" s="81" t="s">
        <v>202</v>
      </c>
      <c r="BT734" s="81" t="s">
        <v>155</v>
      </c>
      <c r="BZ734" s="81" t="s">
        <v>155</v>
      </c>
      <c r="CA734" s="81" t="s">
        <v>1937</v>
      </c>
      <c r="CC734" s="167">
        <v>0</v>
      </c>
      <c r="CD734" s="167">
        <f>$N734/4</f>
        <v>0.5</v>
      </c>
      <c r="CE734" s="167">
        <f>$N734/4</f>
        <v>0.5</v>
      </c>
      <c r="CF734" s="167">
        <f>$N734/4</f>
        <v>0.5</v>
      </c>
      <c r="CG734" s="167">
        <f>$N734/4</f>
        <v>0.5</v>
      </c>
      <c r="CH734" s="167">
        <v>0</v>
      </c>
      <c r="CI734" s="167">
        <v>0</v>
      </c>
      <c r="CJ734" s="167">
        <v>0</v>
      </c>
      <c r="CK734" s="167">
        <v>0</v>
      </c>
      <c r="CL734" s="167">
        <v>0</v>
      </c>
      <c r="CM734" s="167">
        <v>0</v>
      </c>
      <c r="CN734" s="167">
        <v>0</v>
      </c>
      <c r="CO734" s="167">
        <v>0</v>
      </c>
      <c r="CP734" s="167">
        <v>0</v>
      </c>
      <c r="CQ734" s="167">
        <v>0</v>
      </c>
      <c r="CR734" s="167">
        <v>0</v>
      </c>
      <c r="CS734" s="167">
        <v>0</v>
      </c>
      <c r="CT734" s="167">
        <v>0</v>
      </c>
      <c r="CU734" s="167">
        <v>0</v>
      </c>
      <c r="CV734" s="167">
        <v>0</v>
      </c>
      <c r="CW734" s="167">
        <v>0</v>
      </c>
      <c r="CX734" s="167">
        <f>SUM(CD734:CH734)</f>
        <v>2</v>
      </c>
      <c r="CY734" s="167">
        <f>SUM(CD734:CM734)</f>
        <v>2</v>
      </c>
    </row>
    <row r="735" spans="1:103" ht="12.75" customHeight="1" x14ac:dyDescent="0.2">
      <c r="A735" s="81">
        <v>1623</v>
      </c>
      <c r="B735" s="165" t="s">
        <v>1930</v>
      </c>
      <c r="C735" s="165" t="s">
        <v>2452</v>
      </c>
      <c r="D735" s="165" t="s">
        <v>2453</v>
      </c>
      <c r="E735" s="165" t="s">
        <v>2454</v>
      </c>
      <c r="G735" s="81">
        <v>523905</v>
      </c>
      <c r="H735" s="81">
        <v>174935</v>
      </c>
      <c r="I735" s="165" t="s">
        <v>250</v>
      </c>
      <c r="L735" s="166">
        <v>1</v>
      </c>
      <c r="M735" s="166">
        <v>2</v>
      </c>
      <c r="N735" s="166">
        <v>1</v>
      </c>
      <c r="O735" s="166">
        <v>2</v>
      </c>
      <c r="P735" s="166">
        <v>1</v>
      </c>
      <c r="R735" s="165" t="s">
        <v>2455</v>
      </c>
      <c r="S735" s="81" t="s">
        <v>296</v>
      </c>
      <c r="T735" s="349">
        <v>42759</v>
      </c>
      <c r="U735" s="349">
        <v>42815</v>
      </c>
      <c r="V735" s="81" t="s">
        <v>155</v>
      </c>
      <c r="W735" s="81" t="s">
        <v>297</v>
      </c>
      <c r="X735" s="349">
        <v>42962</v>
      </c>
      <c r="Y735" s="81" t="s">
        <v>115</v>
      </c>
      <c r="Z735" s="81" t="s">
        <v>116</v>
      </c>
      <c r="AA735" s="81" t="s">
        <v>117</v>
      </c>
      <c r="AB735" s="81" t="s">
        <v>218</v>
      </c>
      <c r="AC735" s="166">
        <v>9.9999997764825804E-3</v>
      </c>
      <c r="AG735" s="81" t="s">
        <v>238</v>
      </c>
      <c r="AH735" s="81" t="s">
        <v>118</v>
      </c>
      <c r="AK735" s="166">
        <v>0</v>
      </c>
      <c r="AM735" s="166">
        <v>1</v>
      </c>
      <c r="AO735" s="166">
        <v>-1</v>
      </c>
      <c r="AP735" s="166">
        <v>2</v>
      </c>
      <c r="AQ735" s="166">
        <v>0</v>
      </c>
      <c r="AR735" s="166">
        <v>0</v>
      </c>
      <c r="AS735" s="166">
        <v>0</v>
      </c>
      <c r="AT735" s="166">
        <v>0</v>
      </c>
      <c r="AU735" s="166">
        <v>0</v>
      </c>
      <c r="AV735" s="166">
        <v>-1</v>
      </c>
      <c r="AW735" s="166">
        <v>2</v>
      </c>
      <c r="AX735" s="166">
        <v>0</v>
      </c>
      <c r="AY735" s="166">
        <v>0</v>
      </c>
      <c r="AZ735" s="166">
        <v>0</v>
      </c>
      <c r="BA735" s="166">
        <v>0</v>
      </c>
      <c r="BB735" s="166">
        <v>0</v>
      </c>
      <c r="BC735" s="166">
        <v>0</v>
      </c>
      <c r="BD735" s="166">
        <v>0</v>
      </c>
      <c r="BE735" s="166">
        <v>0</v>
      </c>
      <c r="BF735" s="166">
        <v>0</v>
      </c>
      <c r="BG735" s="166">
        <v>0</v>
      </c>
      <c r="BH735" s="166">
        <v>0</v>
      </c>
      <c r="BI735" s="166">
        <v>0</v>
      </c>
      <c r="BJ735" s="166">
        <v>0</v>
      </c>
      <c r="BK735" s="166">
        <v>0</v>
      </c>
      <c r="BL735" s="166">
        <v>0</v>
      </c>
      <c r="BM735" s="166">
        <v>0</v>
      </c>
      <c r="BN735" s="166">
        <v>0</v>
      </c>
      <c r="BO735" s="166">
        <v>0</v>
      </c>
      <c r="BP735" s="166">
        <v>0</v>
      </c>
      <c r="BQ735" s="81" t="s">
        <v>1758</v>
      </c>
      <c r="BZ735" s="81" t="s">
        <v>155</v>
      </c>
      <c r="CA735" s="81">
        <v>4</v>
      </c>
      <c r="CC735" s="167">
        <v>0</v>
      </c>
      <c r="CD735" s="167">
        <v>0</v>
      </c>
      <c r="CE735" s="167">
        <f>$N735/5</f>
        <v>0.2</v>
      </c>
      <c r="CF735" s="167">
        <f>$N735/5</f>
        <v>0.2</v>
      </c>
      <c r="CG735" s="167">
        <f>$N735/5</f>
        <v>0.2</v>
      </c>
      <c r="CH735" s="167">
        <f>$N735/5</f>
        <v>0.2</v>
      </c>
      <c r="CI735" s="167">
        <f>$N735/5</f>
        <v>0.2</v>
      </c>
      <c r="CJ735" s="167">
        <v>0</v>
      </c>
      <c r="CK735" s="167">
        <v>0</v>
      </c>
      <c r="CL735" s="167">
        <v>0</v>
      </c>
      <c r="CM735" s="167">
        <v>0</v>
      </c>
      <c r="CN735" s="167">
        <v>0</v>
      </c>
      <c r="CO735" s="167">
        <v>0</v>
      </c>
      <c r="CP735" s="167">
        <v>0</v>
      </c>
      <c r="CQ735" s="167">
        <v>0</v>
      </c>
      <c r="CR735" s="167">
        <v>0</v>
      </c>
      <c r="CS735" s="167">
        <v>0</v>
      </c>
      <c r="CT735" s="167">
        <v>0</v>
      </c>
      <c r="CU735" s="167">
        <v>0</v>
      </c>
      <c r="CV735" s="167">
        <v>0</v>
      </c>
      <c r="CW735" s="167">
        <v>0</v>
      </c>
      <c r="CX735" s="167">
        <f>SUM(CD735:CH735)</f>
        <v>0.8</v>
      </c>
      <c r="CY735" s="167">
        <f>SUM(CD735:CM735)</f>
        <v>1</v>
      </c>
    </row>
    <row r="736" spans="1:103" ht="12.75" customHeight="1" x14ac:dyDescent="0.2">
      <c r="A736" s="81">
        <v>1877</v>
      </c>
      <c r="B736" s="165" t="s">
        <v>1930</v>
      </c>
      <c r="C736" s="165" t="s">
        <v>686</v>
      </c>
      <c r="D736" s="165" t="s">
        <v>334</v>
      </c>
      <c r="E736" s="165" t="s">
        <v>2442</v>
      </c>
      <c r="G736" s="81">
        <v>526819</v>
      </c>
      <c r="H736" s="81">
        <v>176644</v>
      </c>
      <c r="I736" s="165" t="s">
        <v>257</v>
      </c>
      <c r="L736" s="166">
        <v>0</v>
      </c>
      <c r="M736" s="166">
        <v>3</v>
      </c>
      <c r="N736" s="166">
        <v>3</v>
      </c>
      <c r="O736" s="166">
        <v>3</v>
      </c>
      <c r="P736" s="166">
        <v>3</v>
      </c>
      <c r="R736" s="165" t="s">
        <v>687</v>
      </c>
      <c r="S736" s="81" t="s">
        <v>110</v>
      </c>
      <c r="T736" s="349">
        <v>42293</v>
      </c>
      <c r="U736" s="349">
        <v>42348</v>
      </c>
      <c r="W736" s="81" t="s">
        <v>114</v>
      </c>
      <c r="Y736" s="81" t="s">
        <v>115</v>
      </c>
      <c r="Z736" s="81" t="s">
        <v>310</v>
      </c>
      <c r="AA736" s="81" t="s">
        <v>117</v>
      </c>
      <c r="AB736" s="81" t="s">
        <v>399</v>
      </c>
      <c r="AC736" s="166">
        <v>3.70000004768372E-2</v>
      </c>
      <c r="AG736" s="81" t="s">
        <v>238</v>
      </c>
      <c r="AH736" s="81" t="s">
        <v>118</v>
      </c>
      <c r="AK736" s="166">
        <v>0</v>
      </c>
      <c r="AM736" s="166">
        <v>0</v>
      </c>
      <c r="AO736" s="166">
        <v>0</v>
      </c>
      <c r="AP736" s="166">
        <v>2</v>
      </c>
      <c r="AQ736" s="166">
        <v>1</v>
      </c>
      <c r="AR736" s="166">
        <v>0</v>
      </c>
      <c r="AS736" s="166">
        <v>0</v>
      </c>
      <c r="AT736" s="166">
        <v>0</v>
      </c>
      <c r="AU736" s="166">
        <v>0</v>
      </c>
      <c r="AV736" s="166">
        <v>0</v>
      </c>
      <c r="AW736" s="166">
        <v>2</v>
      </c>
      <c r="AX736" s="166">
        <v>1</v>
      </c>
      <c r="AY736" s="166">
        <v>0</v>
      </c>
      <c r="AZ736" s="166">
        <v>0</v>
      </c>
      <c r="BA736" s="166">
        <v>0</v>
      </c>
      <c r="BB736" s="166">
        <v>0</v>
      </c>
      <c r="BC736" s="166">
        <v>0</v>
      </c>
      <c r="BD736" s="166">
        <v>0</v>
      </c>
      <c r="BE736" s="166">
        <v>0</v>
      </c>
      <c r="BF736" s="166">
        <v>0</v>
      </c>
      <c r="BG736" s="166">
        <v>0</v>
      </c>
      <c r="BH736" s="166">
        <v>0</v>
      </c>
      <c r="BI736" s="166">
        <v>0</v>
      </c>
      <c r="BJ736" s="166">
        <v>0</v>
      </c>
      <c r="BK736" s="166">
        <v>0</v>
      </c>
      <c r="BL736" s="166">
        <v>0</v>
      </c>
      <c r="BM736" s="166">
        <v>0</v>
      </c>
      <c r="BN736" s="166">
        <v>0</v>
      </c>
      <c r="BO736" s="166">
        <v>0</v>
      </c>
      <c r="BP736" s="166">
        <v>0</v>
      </c>
      <c r="BQ736" s="81" t="s">
        <v>1757</v>
      </c>
      <c r="BZ736" s="81" t="s">
        <v>155</v>
      </c>
      <c r="CA736" s="81" t="s">
        <v>1937</v>
      </c>
      <c r="CC736" s="167">
        <v>0</v>
      </c>
      <c r="CD736" s="167">
        <f>$N736/4</f>
        <v>0.75</v>
      </c>
      <c r="CE736" s="167">
        <f>$N736/4</f>
        <v>0.75</v>
      </c>
      <c r="CF736" s="167">
        <f>$N736/4</f>
        <v>0.75</v>
      </c>
      <c r="CG736" s="167">
        <f>$N736/4</f>
        <v>0.75</v>
      </c>
      <c r="CH736" s="167">
        <v>0</v>
      </c>
      <c r="CI736" s="167">
        <v>0</v>
      </c>
      <c r="CJ736" s="167">
        <v>0</v>
      </c>
      <c r="CK736" s="167">
        <v>0</v>
      </c>
      <c r="CL736" s="167">
        <v>0</v>
      </c>
      <c r="CM736" s="167">
        <v>0</v>
      </c>
      <c r="CN736" s="167">
        <v>0</v>
      </c>
      <c r="CO736" s="167">
        <v>0</v>
      </c>
      <c r="CP736" s="167">
        <v>0</v>
      </c>
      <c r="CQ736" s="167">
        <v>0</v>
      </c>
      <c r="CR736" s="167">
        <v>0</v>
      </c>
      <c r="CS736" s="167">
        <v>0</v>
      </c>
      <c r="CT736" s="167">
        <v>0</v>
      </c>
      <c r="CU736" s="167">
        <v>0</v>
      </c>
      <c r="CV736" s="167">
        <v>0</v>
      </c>
      <c r="CW736" s="167">
        <v>0</v>
      </c>
      <c r="CX736" s="167">
        <f>SUM(CD736:CH736)</f>
        <v>3</v>
      </c>
      <c r="CY736" s="167">
        <f>SUM(CD736:CM736)</f>
        <v>3</v>
      </c>
    </row>
    <row r="737" spans="1:103" ht="12.75" customHeight="1" x14ac:dyDescent="0.2">
      <c r="A737" s="81">
        <v>1886</v>
      </c>
      <c r="B737" s="165" t="s">
        <v>1930</v>
      </c>
      <c r="C737" s="165" t="s">
        <v>1368</v>
      </c>
      <c r="E737" s="165" t="s">
        <v>2457</v>
      </c>
      <c r="G737" s="81">
        <v>528075</v>
      </c>
      <c r="H737" s="81">
        <v>172371</v>
      </c>
      <c r="I737" s="165" t="s">
        <v>248</v>
      </c>
      <c r="L737" s="166">
        <v>0</v>
      </c>
      <c r="M737" s="166">
        <v>2</v>
      </c>
      <c r="N737" s="166">
        <v>2</v>
      </c>
      <c r="O737" s="166">
        <v>2</v>
      </c>
      <c r="P737" s="166">
        <v>2</v>
      </c>
      <c r="R737" s="165" t="s">
        <v>1369</v>
      </c>
      <c r="S737" s="81" t="s">
        <v>113</v>
      </c>
      <c r="T737" s="349">
        <v>42613</v>
      </c>
      <c r="U737" s="349">
        <v>42699</v>
      </c>
      <c r="W737" s="81" t="s">
        <v>114</v>
      </c>
      <c r="Y737" s="81" t="s">
        <v>115</v>
      </c>
      <c r="Z737" s="81" t="s">
        <v>219</v>
      </c>
      <c r="AA737" s="81" t="s">
        <v>117</v>
      </c>
      <c r="AB737" s="81" t="s">
        <v>3889</v>
      </c>
      <c r="AC737" s="166">
        <v>8.9999996125698107E-3</v>
      </c>
      <c r="AG737" s="81" t="s">
        <v>238</v>
      </c>
      <c r="AH737" s="81" t="s">
        <v>118</v>
      </c>
      <c r="AK737" s="166">
        <v>0</v>
      </c>
      <c r="AM737" s="166">
        <v>0</v>
      </c>
      <c r="AO737" s="166">
        <v>0</v>
      </c>
      <c r="AP737" s="166">
        <v>2</v>
      </c>
      <c r="AQ737" s="166">
        <v>0</v>
      </c>
      <c r="AR737" s="166">
        <v>0</v>
      </c>
      <c r="AS737" s="166">
        <v>0</v>
      </c>
      <c r="AT737" s="166">
        <v>0</v>
      </c>
      <c r="AU737" s="166">
        <v>0</v>
      </c>
      <c r="AV737" s="166">
        <v>0</v>
      </c>
      <c r="AW737" s="166">
        <v>2</v>
      </c>
      <c r="AX737" s="166">
        <v>0</v>
      </c>
      <c r="AY737" s="166">
        <v>0</v>
      </c>
      <c r="AZ737" s="166">
        <v>0</v>
      </c>
      <c r="BA737" s="166">
        <v>0</v>
      </c>
      <c r="BB737" s="166">
        <v>0</v>
      </c>
      <c r="BC737" s="166">
        <v>0</v>
      </c>
      <c r="BD737" s="166">
        <v>0</v>
      </c>
      <c r="BE737" s="166">
        <v>0</v>
      </c>
      <c r="BF737" s="166">
        <v>0</v>
      </c>
      <c r="BG737" s="166">
        <v>0</v>
      </c>
      <c r="BH737" s="166">
        <v>0</v>
      </c>
      <c r="BI737" s="166">
        <v>0</v>
      </c>
      <c r="BJ737" s="166">
        <v>0</v>
      </c>
      <c r="BK737" s="166">
        <v>0</v>
      </c>
      <c r="BL737" s="166">
        <v>0</v>
      </c>
      <c r="BM737" s="166">
        <v>0</v>
      </c>
      <c r="BN737" s="166">
        <v>0</v>
      </c>
      <c r="BO737" s="166">
        <v>0</v>
      </c>
      <c r="BP737" s="166">
        <v>0</v>
      </c>
      <c r="BQ737" s="81" t="s">
        <v>1757</v>
      </c>
      <c r="BZ737" s="81" t="s">
        <v>155</v>
      </c>
      <c r="CA737" s="81" t="s">
        <v>1937</v>
      </c>
      <c r="CC737" s="167">
        <v>0</v>
      </c>
      <c r="CD737" s="167">
        <f>$N737/4</f>
        <v>0.5</v>
      </c>
      <c r="CE737" s="167">
        <f>$N737/4</f>
        <v>0.5</v>
      </c>
      <c r="CF737" s="167">
        <f>$N737/4</f>
        <v>0.5</v>
      </c>
      <c r="CG737" s="167">
        <f>$N737/4</f>
        <v>0.5</v>
      </c>
      <c r="CH737" s="167">
        <v>0</v>
      </c>
      <c r="CI737" s="167">
        <v>0</v>
      </c>
      <c r="CJ737" s="167">
        <v>0</v>
      </c>
      <c r="CK737" s="167">
        <v>0</v>
      </c>
      <c r="CL737" s="167">
        <v>0</v>
      </c>
      <c r="CM737" s="167">
        <v>0</v>
      </c>
      <c r="CN737" s="167">
        <v>0</v>
      </c>
      <c r="CO737" s="167">
        <v>0</v>
      </c>
      <c r="CP737" s="167">
        <v>0</v>
      </c>
      <c r="CQ737" s="167">
        <v>0</v>
      </c>
      <c r="CR737" s="167">
        <v>0</v>
      </c>
      <c r="CS737" s="167">
        <v>0</v>
      </c>
      <c r="CT737" s="167">
        <v>0</v>
      </c>
      <c r="CU737" s="167">
        <v>0</v>
      </c>
      <c r="CV737" s="167">
        <v>0</v>
      </c>
      <c r="CW737" s="167">
        <v>0</v>
      </c>
      <c r="CX737" s="167">
        <f>SUM(CD737:CH737)</f>
        <v>2</v>
      </c>
      <c r="CY737" s="167">
        <f>SUM(CD737:CM737)</f>
        <v>2</v>
      </c>
    </row>
    <row r="738" spans="1:103" ht="12.75" customHeight="1" x14ac:dyDescent="0.2">
      <c r="A738" s="81">
        <v>1912</v>
      </c>
      <c r="B738" s="165" t="s">
        <v>1930</v>
      </c>
      <c r="C738" s="165" t="s">
        <v>2458</v>
      </c>
      <c r="E738" s="165" t="s">
        <v>2459</v>
      </c>
      <c r="G738" s="81">
        <v>528924</v>
      </c>
      <c r="H738" s="81">
        <v>173571</v>
      </c>
      <c r="I738" s="165" t="s">
        <v>247</v>
      </c>
      <c r="L738" s="166">
        <v>0</v>
      </c>
      <c r="M738" s="166">
        <v>8</v>
      </c>
      <c r="N738" s="166">
        <v>8</v>
      </c>
      <c r="O738" s="166">
        <v>8</v>
      </c>
      <c r="P738" s="166">
        <v>8</v>
      </c>
      <c r="R738" s="165" t="s">
        <v>2460</v>
      </c>
      <c r="S738" s="81" t="s">
        <v>113</v>
      </c>
      <c r="T738" s="349">
        <v>42879</v>
      </c>
      <c r="U738" s="349">
        <v>43003</v>
      </c>
      <c r="V738" s="81" t="s">
        <v>155</v>
      </c>
      <c r="W738" s="81" t="s">
        <v>114</v>
      </c>
      <c r="Y738" s="81" t="s">
        <v>115</v>
      </c>
      <c r="Z738" s="81" t="s">
        <v>116</v>
      </c>
      <c r="AA738" s="81" t="s">
        <v>117</v>
      </c>
      <c r="AB738" s="81" t="s">
        <v>218</v>
      </c>
      <c r="AC738" s="166">
        <v>6.8999998271465302E-2</v>
      </c>
      <c r="AG738" s="81" t="s">
        <v>238</v>
      </c>
      <c r="AH738" s="81" t="s">
        <v>118</v>
      </c>
      <c r="AK738" s="166">
        <v>8</v>
      </c>
      <c r="AM738" s="166">
        <v>0</v>
      </c>
      <c r="AO738" s="166">
        <v>0</v>
      </c>
      <c r="AP738" s="166">
        <v>0</v>
      </c>
      <c r="AQ738" s="166">
        <v>0</v>
      </c>
      <c r="AR738" s="166">
        <v>0</v>
      </c>
      <c r="AS738" s="166">
        <v>8</v>
      </c>
      <c r="AT738" s="166">
        <v>0</v>
      </c>
      <c r="AU738" s="166">
        <v>0</v>
      </c>
      <c r="AV738" s="166">
        <v>0</v>
      </c>
      <c r="AW738" s="166">
        <v>0</v>
      </c>
      <c r="AX738" s="166">
        <v>0</v>
      </c>
      <c r="AY738" s="166">
        <v>0</v>
      </c>
      <c r="AZ738" s="166">
        <v>0</v>
      </c>
      <c r="BA738" s="166">
        <v>0</v>
      </c>
      <c r="BB738" s="166">
        <v>0</v>
      </c>
      <c r="BC738" s="166">
        <v>0</v>
      </c>
      <c r="BD738" s="166">
        <v>0</v>
      </c>
      <c r="BE738" s="166">
        <v>0</v>
      </c>
      <c r="BF738" s="166">
        <v>0</v>
      </c>
      <c r="BG738" s="166">
        <v>8</v>
      </c>
      <c r="BH738" s="166">
        <v>0</v>
      </c>
      <c r="BI738" s="166">
        <v>0</v>
      </c>
      <c r="BJ738" s="166">
        <v>0</v>
      </c>
      <c r="BK738" s="166">
        <v>0</v>
      </c>
      <c r="BL738" s="166">
        <v>0</v>
      </c>
      <c r="BM738" s="166">
        <v>0</v>
      </c>
      <c r="BN738" s="166">
        <v>0</v>
      </c>
      <c r="BO738" s="166">
        <v>0</v>
      </c>
      <c r="BP738" s="166">
        <v>0</v>
      </c>
      <c r="BQ738" s="81" t="s">
        <v>1757</v>
      </c>
      <c r="BZ738" s="81" t="s">
        <v>155</v>
      </c>
      <c r="CA738" s="81" t="s">
        <v>3968</v>
      </c>
      <c r="CC738" s="167">
        <v>0</v>
      </c>
      <c r="CD738" s="167">
        <v>0</v>
      </c>
      <c r="CE738" s="167">
        <v>0</v>
      </c>
      <c r="CF738" s="167">
        <v>0</v>
      </c>
      <c r="CG738" s="167">
        <v>0</v>
      </c>
      <c r="CH738" s="167">
        <f>$N738/3</f>
        <v>2.6666666666666665</v>
      </c>
      <c r="CI738" s="167">
        <f>$N738/3</f>
        <v>2.6666666666666665</v>
      </c>
      <c r="CJ738" s="167">
        <f>$N738/3</f>
        <v>2.6666666666666665</v>
      </c>
      <c r="CK738" s="167">
        <v>0</v>
      </c>
      <c r="CL738" s="167">
        <v>0</v>
      </c>
      <c r="CM738" s="167">
        <v>0</v>
      </c>
      <c r="CN738" s="167">
        <v>0</v>
      </c>
      <c r="CO738" s="167">
        <v>0</v>
      </c>
      <c r="CP738" s="167">
        <v>0</v>
      </c>
      <c r="CQ738" s="167">
        <v>0</v>
      </c>
      <c r="CR738" s="167">
        <v>0</v>
      </c>
      <c r="CS738" s="167">
        <v>0</v>
      </c>
      <c r="CT738" s="167">
        <v>0</v>
      </c>
      <c r="CU738" s="167">
        <v>0</v>
      </c>
      <c r="CV738" s="167">
        <v>0</v>
      </c>
      <c r="CW738" s="167">
        <v>0</v>
      </c>
      <c r="CX738" s="167">
        <f>SUM(CD738:CH738)</f>
        <v>2.6666666666666665</v>
      </c>
      <c r="CY738" s="167">
        <f>SUM(CD738:CM738)</f>
        <v>8</v>
      </c>
    </row>
    <row r="739" spans="1:103" ht="12.75" customHeight="1" x14ac:dyDescent="0.2">
      <c r="A739" s="81">
        <v>1950</v>
      </c>
      <c r="B739" s="165" t="s">
        <v>1930</v>
      </c>
      <c r="C739" s="165" t="s">
        <v>1462</v>
      </c>
      <c r="D739" s="165" t="s">
        <v>1463</v>
      </c>
      <c r="E739" s="165" t="s">
        <v>2461</v>
      </c>
      <c r="G739" s="81">
        <v>527686</v>
      </c>
      <c r="H739" s="81">
        <v>175796</v>
      </c>
      <c r="I739" s="165" t="s">
        <v>256</v>
      </c>
      <c r="L739" s="166">
        <v>0</v>
      </c>
      <c r="M739" s="166">
        <v>1</v>
      </c>
      <c r="N739" s="166">
        <v>1</v>
      </c>
      <c r="O739" s="166">
        <v>1</v>
      </c>
      <c r="P739" s="166">
        <v>1</v>
      </c>
      <c r="R739" s="165" t="s">
        <v>1464</v>
      </c>
      <c r="S739" s="81" t="s">
        <v>113</v>
      </c>
      <c r="T739" s="349">
        <v>42678</v>
      </c>
      <c r="U739" s="349">
        <v>42759</v>
      </c>
      <c r="W739" s="81" t="s">
        <v>114</v>
      </c>
      <c r="Y739" s="81" t="s">
        <v>115</v>
      </c>
      <c r="Z739" s="81" t="s">
        <v>398</v>
      </c>
      <c r="AA739" s="81" t="s">
        <v>117</v>
      </c>
      <c r="AB739" s="81" t="s">
        <v>218</v>
      </c>
      <c r="AC739" s="166">
        <v>8.0000003799796104E-3</v>
      </c>
      <c r="AG739" s="81" t="s">
        <v>238</v>
      </c>
      <c r="AH739" s="81" t="s">
        <v>118</v>
      </c>
      <c r="AK739" s="166">
        <v>0</v>
      </c>
      <c r="AM739" s="166">
        <v>0</v>
      </c>
      <c r="AO739" s="166">
        <v>0</v>
      </c>
      <c r="AP739" s="166">
        <v>1</v>
      </c>
      <c r="AQ739" s="166">
        <v>0</v>
      </c>
      <c r="AR739" s="166">
        <v>0</v>
      </c>
      <c r="AS739" s="166">
        <v>0</v>
      </c>
      <c r="AT739" s="166">
        <v>0</v>
      </c>
      <c r="AU739" s="166">
        <v>0</v>
      </c>
      <c r="AV739" s="166">
        <v>0</v>
      </c>
      <c r="AW739" s="166">
        <v>1</v>
      </c>
      <c r="AX739" s="166">
        <v>0</v>
      </c>
      <c r="AY739" s="166">
        <v>0</v>
      </c>
      <c r="AZ739" s="166">
        <v>0</v>
      </c>
      <c r="BA739" s="166">
        <v>0</v>
      </c>
      <c r="BB739" s="166">
        <v>0</v>
      </c>
      <c r="BC739" s="166">
        <v>0</v>
      </c>
      <c r="BD739" s="166">
        <v>0</v>
      </c>
      <c r="BE739" s="166">
        <v>0</v>
      </c>
      <c r="BF739" s="166">
        <v>0</v>
      </c>
      <c r="BG739" s="166">
        <v>0</v>
      </c>
      <c r="BH739" s="166">
        <v>0</v>
      </c>
      <c r="BI739" s="166">
        <v>0</v>
      </c>
      <c r="BJ739" s="166">
        <v>0</v>
      </c>
      <c r="BK739" s="166">
        <v>0</v>
      </c>
      <c r="BL739" s="166">
        <v>0</v>
      </c>
      <c r="BM739" s="166">
        <v>0</v>
      </c>
      <c r="BN739" s="166">
        <v>0</v>
      </c>
      <c r="BO739" s="166">
        <v>0</v>
      </c>
      <c r="BP739" s="166">
        <v>0</v>
      </c>
      <c r="BQ739" s="81" t="s">
        <v>1757</v>
      </c>
      <c r="BZ739" s="81" t="s">
        <v>155</v>
      </c>
      <c r="CA739" s="81" t="s">
        <v>1937</v>
      </c>
      <c r="CC739" s="167">
        <v>0</v>
      </c>
      <c r="CD739" s="167">
        <f>$N739/4</f>
        <v>0.25</v>
      </c>
      <c r="CE739" s="167">
        <f>$N739/4</f>
        <v>0.25</v>
      </c>
      <c r="CF739" s="167">
        <f>$N739/4</f>
        <v>0.25</v>
      </c>
      <c r="CG739" s="167">
        <f>$N739/4</f>
        <v>0.25</v>
      </c>
      <c r="CH739" s="167">
        <v>0</v>
      </c>
      <c r="CI739" s="167">
        <v>0</v>
      </c>
      <c r="CJ739" s="167">
        <v>0</v>
      </c>
      <c r="CK739" s="167">
        <v>0</v>
      </c>
      <c r="CL739" s="167">
        <v>0</v>
      </c>
      <c r="CM739" s="167">
        <v>0</v>
      </c>
      <c r="CN739" s="167">
        <v>0</v>
      </c>
      <c r="CO739" s="167">
        <v>0</v>
      </c>
      <c r="CP739" s="167">
        <v>0</v>
      </c>
      <c r="CQ739" s="167">
        <v>0</v>
      </c>
      <c r="CR739" s="167">
        <v>0</v>
      </c>
      <c r="CS739" s="167">
        <v>0</v>
      </c>
      <c r="CT739" s="167">
        <v>0</v>
      </c>
      <c r="CU739" s="167">
        <v>0</v>
      </c>
      <c r="CV739" s="167">
        <v>0</v>
      </c>
      <c r="CW739" s="167">
        <v>0</v>
      </c>
      <c r="CX739" s="167">
        <f>SUM(CD739:CH739)</f>
        <v>1</v>
      </c>
      <c r="CY739" s="167">
        <f>SUM(CD739:CM739)</f>
        <v>1</v>
      </c>
    </row>
    <row r="740" spans="1:103" ht="12.75" customHeight="1" x14ac:dyDescent="0.2">
      <c r="A740" s="81">
        <v>1971</v>
      </c>
      <c r="B740" s="165" t="s">
        <v>1930</v>
      </c>
      <c r="C740" s="165" t="s">
        <v>1558</v>
      </c>
      <c r="E740" s="165" t="s">
        <v>1970</v>
      </c>
      <c r="F740" s="165" t="s">
        <v>1971</v>
      </c>
      <c r="G740" s="81">
        <v>527831</v>
      </c>
      <c r="H740" s="81">
        <v>172116</v>
      </c>
      <c r="I740" s="165" t="s">
        <v>242</v>
      </c>
      <c r="L740" s="166">
        <v>0</v>
      </c>
      <c r="M740" s="166">
        <v>6</v>
      </c>
      <c r="N740" s="166">
        <v>6</v>
      </c>
      <c r="O740" s="166">
        <v>18</v>
      </c>
      <c r="P740" s="166">
        <v>18</v>
      </c>
      <c r="Q740" s="81" t="s">
        <v>155</v>
      </c>
      <c r="R740" s="165" t="s">
        <v>1559</v>
      </c>
      <c r="S740" s="81" t="s">
        <v>104</v>
      </c>
      <c r="T740" s="349">
        <v>42635</v>
      </c>
      <c r="U740" s="349">
        <v>43089</v>
      </c>
      <c r="V740" s="81" t="s">
        <v>155</v>
      </c>
      <c r="W740" s="81" t="s">
        <v>114</v>
      </c>
      <c r="Y740" s="81" t="s">
        <v>115</v>
      </c>
      <c r="Z740" s="81" t="s">
        <v>116</v>
      </c>
      <c r="AA740" s="81" t="s">
        <v>116</v>
      </c>
      <c r="AB740" s="81" t="s">
        <v>117</v>
      </c>
      <c r="AC740" s="166">
        <v>4.1999999433755902E-2</v>
      </c>
      <c r="AG740" s="81" t="s">
        <v>74</v>
      </c>
      <c r="AH740" s="81" t="s">
        <v>990</v>
      </c>
      <c r="AK740" s="166">
        <v>0</v>
      </c>
      <c r="AL740" s="166">
        <v>6</v>
      </c>
      <c r="AM740" s="166">
        <v>0</v>
      </c>
      <c r="AO740" s="166">
        <v>0</v>
      </c>
      <c r="AP740" s="166">
        <v>2</v>
      </c>
      <c r="AQ740" s="166">
        <v>4</v>
      </c>
      <c r="AR740" s="166">
        <v>0</v>
      </c>
      <c r="AS740" s="166">
        <v>0</v>
      </c>
      <c r="AT740" s="166">
        <v>0</v>
      </c>
      <c r="AU740" s="166">
        <v>0</v>
      </c>
      <c r="AV740" s="166">
        <v>0</v>
      </c>
      <c r="AW740" s="166">
        <v>2</v>
      </c>
      <c r="AX740" s="166">
        <v>4</v>
      </c>
      <c r="AY740" s="166">
        <v>0</v>
      </c>
      <c r="AZ740" s="166">
        <v>0</v>
      </c>
      <c r="BA740" s="166">
        <v>0</v>
      </c>
      <c r="BB740" s="166">
        <v>0</v>
      </c>
      <c r="BC740" s="166">
        <v>0</v>
      </c>
      <c r="BD740" s="166">
        <v>0</v>
      </c>
      <c r="BE740" s="166">
        <v>0</v>
      </c>
      <c r="BF740" s="166">
        <v>0</v>
      </c>
      <c r="BG740" s="166">
        <v>0</v>
      </c>
      <c r="BH740" s="166">
        <v>0</v>
      </c>
      <c r="BI740" s="166">
        <v>0</v>
      </c>
      <c r="BJ740" s="166">
        <v>0</v>
      </c>
      <c r="BK740" s="166">
        <v>0</v>
      </c>
      <c r="BL740" s="166">
        <v>0</v>
      </c>
      <c r="BM740" s="166">
        <v>0</v>
      </c>
      <c r="BN740" s="166">
        <v>0</v>
      </c>
      <c r="BO740" s="166">
        <v>0</v>
      </c>
      <c r="BP740" s="166">
        <v>0</v>
      </c>
      <c r="BQ740" s="81" t="s">
        <v>1757</v>
      </c>
      <c r="BZ740" s="81" t="s">
        <v>155</v>
      </c>
      <c r="CA740" s="81" t="s">
        <v>3968</v>
      </c>
      <c r="CC740" s="167">
        <v>0</v>
      </c>
      <c r="CD740" s="167">
        <v>0</v>
      </c>
      <c r="CE740" s="167">
        <v>0</v>
      </c>
      <c r="CF740" s="167">
        <v>0</v>
      </c>
      <c r="CG740" s="167">
        <v>0</v>
      </c>
      <c r="CH740" s="167">
        <f>$N740/3</f>
        <v>2</v>
      </c>
      <c r="CI740" s="167">
        <f>$N740/3</f>
        <v>2</v>
      </c>
      <c r="CJ740" s="167">
        <f>$N740/3</f>
        <v>2</v>
      </c>
      <c r="CK740" s="167">
        <v>0</v>
      </c>
      <c r="CL740" s="167">
        <v>0</v>
      </c>
      <c r="CM740" s="167">
        <v>0</v>
      </c>
      <c r="CN740" s="167">
        <v>0</v>
      </c>
      <c r="CO740" s="167">
        <v>0</v>
      </c>
      <c r="CP740" s="167">
        <v>0</v>
      </c>
      <c r="CQ740" s="167">
        <v>0</v>
      </c>
      <c r="CR740" s="167">
        <v>0</v>
      </c>
      <c r="CS740" s="167">
        <v>0</v>
      </c>
      <c r="CT740" s="167">
        <v>0</v>
      </c>
      <c r="CU740" s="167">
        <v>0</v>
      </c>
      <c r="CV740" s="167">
        <v>0</v>
      </c>
      <c r="CW740" s="167">
        <v>0</v>
      </c>
      <c r="CX740" s="167">
        <f>SUM(CD740:CH740)</f>
        <v>2</v>
      </c>
      <c r="CY740" s="167">
        <f>SUM(CD740:CM740)</f>
        <v>6</v>
      </c>
    </row>
    <row r="741" spans="1:103" ht="12.75" customHeight="1" x14ac:dyDescent="0.2">
      <c r="A741" s="81">
        <v>1971</v>
      </c>
      <c r="B741" s="165" t="s">
        <v>1930</v>
      </c>
      <c r="C741" s="165" t="s">
        <v>1558</v>
      </c>
      <c r="E741" s="165" t="s">
        <v>1970</v>
      </c>
      <c r="F741" s="165" t="s">
        <v>1556</v>
      </c>
      <c r="G741" s="81">
        <v>527831</v>
      </c>
      <c r="H741" s="81">
        <v>172116</v>
      </c>
      <c r="I741" s="165" t="s">
        <v>242</v>
      </c>
      <c r="L741" s="166">
        <v>0</v>
      </c>
      <c r="M741" s="166">
        <v>12</v>
      </c>
      <c r="N741" s="166">
        <v>12</v>
      </c>
      <c r="O741" s="166">
        <v>18</v>
      </c>
      <c r="P741" s="166">
        <v>18</v>
      </c>
      <c r="Q741" s="81" t="s">
        <v>155</v>
      </c>
      <c r="R741" s="165" t="s">
        <v>1559</v>
      </c>
      <c r="S741" s="81" t="s">
        <v>104</v>
      </c>
      <c r="T741" s="349">
        <v>42635</v>
      </c>
      <c r="U741" s="349">
        <v>43089</v>
      </c>
      <c r="V741" s="81" t="s">
        <v>155</v>
      </c>
      <c r="W741" s="81" t="s">
        <v>114</v>
      </c>
      <c r="Y741" s="81" t="s">
        <v>115</v>
      </c>
      <c r="Z741" s="81" t="s">
        <v>116</v>
      </c>
      <c r="AA741" s="81" t="s">
        <v>116</v>
      </c>
      <c r="AB741" s="81" t="s">
        <v>117</v>
      </c>
      <c r="AC741" s="166">
        <v>4.5000001788139302E-2</v>
      </c>
      <c r="AG741" s="81" t="s">
        <v>238</v>
      </c>
      <c r="AH741" s="81" t="s">
        <v>118</v>
      </c>
      <c r="AK741" s="166">
        <v>0</v>
      </c>
      <c r="AL741" s="166">
        <v>9</v>
      </c>
      <c r="AM741" s="166">
        <v>0</v>
      </c>
      <c r="AN741" s="166">
        <v>3</v>
      </c>
      <c r="AO741" s="166">
        <v>0</v>
      </c>
      <c r="AP741" s="166">
        <v>5</v>
      </c>
      <c r="AQ741" s="166">
        <v>6</v>
      </c>
      <c r="AR741" s="166">
        <v>1</v>
      </c>
      <c r="AS741" s="166">
        <v>0</v>
      </c>
      <c r="AT741" s="166">
        <v>0</v>
      </c>
      <c r="AU741" s="166">
        <v>0</v>
      </c>
      <c r="AV741" s="166">
        <v>0</v>
      </c>
      <c r="AW741" s="166">
        <v>5</v>
      </c>
      <c r="AX741" s="166">
        <v>6</v>
      </c>
      <c r="AY741" s="166">
        <v>0</v>
      </c>
      <c r="AZ741" s="166">
        <v>0</v>
      </c>
      <c r="BA741" s="166">
        <v>0</v>
      </c>
      <c r="BB741" s="166">
        <v>0</v>
      </c>
      <c r="BC741" s="166">
        <v>0</v>
      </c>
      <c r="BD741" s="166">
        <v>0</v>
      </c>
      <c r="BE741" s="166">
        <v>0</v>
      </c>
      <c r="BF741" s="166">
        <v>1</v>
      </c>
      <c r="BG741" s="166">
        <v>0</v>
      </c>
      <c r="BH741" s="166">
        <v>0</v>
      </c>
      <c r="BI741" s="166">
        <v>0</v>
      </c>
      <c r="BJ741" s="166">
        <v>0</v>
      </c>
      <c r="BK741" s="166">
        <v>0</v>
      </c>
      <c r="BL741" s="166">
        <v>0</v>
      </c>
      <c r="BM741" s="166">
        <v>0</v>
      </c>
      <c r="BN741" s="166">
        <v>0</v>
      </c>
      <c r="BO741" s="166">
        <v>0</v>
      </c>
      <c r="BP741" s="166">
        <v>0</v>
      </c>
      <c r="BQ741" s="81" t="s">
        <v>1757</v>
      </c>
      <c r="BZ741" s="81" t="s">
        <v>155</v>
      </c>
      <c r="CA741" s="81" t="s">
        <v>3968</v>
      </c>
      <c r="CC741" s="167">
        <v>0</v>
      </c>
      <c r="CD741" s="167">
        <v>0</v>
      </c>
      <c r="CE741" s="167">
        <v>0</v>
      </c>
      <c r="CF741" s="167">
        <v>0</v>
      </c>
      <c r="CG741" s="167">
        <v>0</v>
      </c>
      <c r="CH741" s="167">
        <f>$N741/3</f>
        <v>4</v>
      </c>
      <c r="CI741" s="167">
        <f>$N741/3</f>
        <v>4</v>
      </c>
      <c r="CJ741" s="167">
        <f>$N741/3</f>
        <v>4</v>
      </c>
      <c r="CK741" s="167">
        <v>0</v>
      </c>
      <c r="CL741" s="167">
        <v>0</v>
      </c>
      <c r="CM741" s="167">
        <v>0</v>
      </c>
      <c r="CN741" s="167">
        <v>0</v>
      </c>
      <c r="CO741" s="167">
        <v>0</v>
      </c>
      <c r="CP741" s="167">
        <v>0</v>
      </c>
      <c r="CQ741" s="167">
        <v>0</v>
      </c>
      <c r="CR741" s="167">
        <v>0</v>
      </c>
      <c r="CS741" s="167">
        <v>0</v>
      </c>
      <c r="CT741" s="167">
        <v>0</v>
      </c>
      <c r="CU741" s="167">
        <v>0</v>
      </c>
      <c r="CV741" s="167">
        <v>0</v>
      </c>
      <c r="CW741" s="167">
        <v>0</v>
      </c>
      <c r="CX741" s="167">
        <f>SUM(CD741:CH741)</f>
        <v>4</v>
      </c>
      <c r="CY741" s="167">
        <f>SUM(CD741:CM741)</f>
        <v>12</v>
      </c>
    </row>
    <row r="742" spans="1:103" ht="12.75" customHeight="1" x14ac:dyDescent="0.2">
      <c r="A742" s="81">
        <v>1998</v>
      </c>
      <c r="B742" s="165" t="s">
        <v>1930</v>
      </c>
      <c r="C742" s="165" t="s">
        <v>2462</v>
      </c>
      <c r="E742" s="165" t="s">
        <v>2043</v>
      </c>
      <c r="G742" s="81">
        <v>529304</v>
      </c>
      <c r="H742" s="81">
        <v>172598</v>
      </c>
      <c r="I742" s="165" t="s">
        <v>248</v>
      </c>
      <c r="L742" s="166">
        <v>0</v>
      </c>
      <c r="M742" s="166">
        <v>1</v>
      </c>
      <c r="N742" s="166">
        <v>1</v>
      </c>
      <c r="O742" s="166">
        <v>1</v>
      </c>
      <c r="P742" s="166">
        <v>1</v>
      </c>
      <c r="R742" s="165" t="s">
        <v>2463</v>
      </c>
      <c r="S742" s="81" t="s">
        <v>113</v>
      </c>
      <c r="T742" s="349">
        <v>42814</v>
      </c>
      <c r="U742" s="349">
        <v>42919</v>
      </c>
      <c r="V742" s="81" t="s">
        <v>155</v>
      </c>
      <c r="W742" s="81" t="s">
        <v>114</v>
      </c>
      <c r="Y742" s="81" t="s">
        <v>115</v>
      </c>
      <c r="Z742" s="81" t="s">
        <v>116</v>
      </c>
      <c r="AA742" s="81" t="s">
        <v>117</v>
      </c>
      <c r="AB742" s="81" t="s">
        <v>218</v>
      </c>
      <c r="AC742" s="166">
        <v>6.5999999642372104E-2</v>
      </c>
      <c r="AG742" s="81" t="s">
        <v>238</v>
      </c>
      <c r="AH742" s="81" t="s">
        <v>118</v>
      </c>
      <c r="AK742" s="166">
        <v>0</v>
      </c>
      <c r="AM742" s="166">
        <v>0</v>
      </c>
      <c r="AO742" s="166">
        <v>0</v>
      </c>
      <c r="AP742" s="166">
        <v>0</v>
      </c>
      <c r="AQ742" s="166">
        <v>0</v>
      </c>
      <c r="AR742" s="166">
        <v>0</v>
      </c>
      <c r="AS742" s="166">
        <v>1</v>
      </c>
      <c r="AT742" s="166">
        <v>0</v>
      </c>
      <c r="AU742" s="166">
        <v>0</v>
      </c>
      <c r="AV742" s="166">
        <v>0</v>
      </c>
      <c r="AW742" s="166">
        <v>0</v>
      </c>
      <c r="AX742" s="166">
        <v>0</v>
      </c>
      <c r="AY742" s="166">
        <v>0</v>
      </c>
      <c r="AZ742" s="166">
        <v>0</v>
      </c>
      <c r="BA742" s="166">
        <v>0</v>
      </c>
      <c r="BB742" s="166">
        <v>0</v>
      </c>
      <c r="BC742" s="166">
        <v>0</v>
      </c>
      <c r="BD742" s="166">
        <v>0</v>
      </c>
      <c r="BE742" s="166">
        <v>0</v>
      </c>
      <c r="BF742" s="166">
        <v>0</v>
      </c>
      <c r="BG742" s="166">
        <v>1</v>
      </c>
      <c r="BH742" s="166">
        <v>0</v>
      </c>
      <c r="BI742" s="166">
        <v>0</v>
      </c>
      <c r="BJ742" s="166">
        <v>0</v>
      </c>
      <c r="BK742" s="166">
        <v>0</v>
      </c>
      <c r="BL742" s="166">
        <v>0</v>
      </c>
      <c r="BM742" s="166">
        <v>0</v>
      </c>
      <c r="BN742" s="166">
        <v>0</v>
      </c>
      <c r="BO742" s="166">
        <v>0</v>
      </c>
      <c r="BP742" s="166">
        <v>0</v>
      </c>
      <c r="BQ742" s="81" t="s">
        <v>1757</v>
      </c>
      <c r="BZ742" s="81" t="s">
        <v>155</v>
      </c>
      <c r="CA742" s="81">
        <v>4</v>
      </c>
      <c r="CC742" s="167">
        <v>0</v>
      </c>
      <c r="CD742" s="167">
        <v>0</v>
      </c>
      <c r="CE742" s="167">
        <f>$N742/5</f>
        <v>0.2</v>
      </c>
      <c r="CF742" s="167">
        <f>$N742/5</f>
        <v>0.2</v>
      </c>
      <c r="CG742" s="167">
        <f>$N742/5</f>
        <v>0.2</v>
      </c>
      <c r="CH742" s="167">
        <f>$N742/5</f>
        <v>0.2</v>
      </c>
      <c r="CI742" s="167">
        <f>$N742/5</f>
        <v>0.2</v>
      </c>
      <c r="CJ742" s="167">
        <v>0</v>
      </c>
      <c r="CK742" s="167">
        <v>0</v>
      </c>
      <c r="CL742" s="167">
        <v>0</v>
      </c>
      <c r="CM742" s="167">
        <v>0</v>
      </c>
      <c r="CN742" s="167">
        <v>0</v>
      </c>
      <c r="CO742" s="167">
        <v>0</v>
      </c>
      <c r="CP742" s="167">
        <v>0</v>
      </c>
      <c r="CQ742" s="167">
        <v>0</v>
      </c>
      <c r="CR742" s="167">
        <v>0</v>
      </c>
      <c r="CS742" s="167">
        <v>0</v>
      </c>
      <c r="CT742" s="167">
        <v>0</v>
      </c>
      <c r="CU742" s="167">
        <v>0</v>
      </c>
      <c r="CV742" s="167">
        <v>0</v>
      </c>
      <c r="CW742" s="167">
        <v>0</v>
      </c>
      <c r="CX742" s="167">
        <f>SUM(CD742:CH742)</f>
        <v>0.8</v>
      </c>
      <c r="CY742" s="167">
        <f>SUM(CD742:CM742)</f>
        <v>1</v>
      </c>
    </row>
    <row r="743" spans="1:103" ht="12.75" customHeight="1" x14ac:dyDescent="0.2">
      <c r="A743" s="81">
        <v>2034</v>
      </c>
      <c r="B743" s="165" t="s">
        <v>1930</v>
      </c>
      <c r="C743" s="165" t="s">
        <v>1206</v>
      </c>
      <c r="E743" s="165" t="s">
        <v>2456</v>
      </c>
      <c r="G743" s="81">
        <v>528686</v>
      </c>
      <c r="H743" s="81">
        <v>177627</v>
      </c>
      <c r="I743" s="165" t="s">
        <v>240</v>
      </c>
      <c r="L743" s="166">
        <v>2</v>
      </c>
      <c r="M743" s="166">
        <v>1</v>
      </c>
      <c r="N743" s="166">
        <v>-1</v>
      </c>
      <c r="O743" s="166">
        <v>1</v>
      </c>
      <c r="P743" s="166">
        <v>-1</v>
      </c>
      <c r="R743" s="165" t="s">
        <v>1207</v>
      </c>
      <c r="S743" s="81" t="s">
        <v>113</v>
      </c>
      <c r="T743" s="349">
        <v>42502</v>
      </c>
      <c r="U743" s="349">
        <v>42528</v>
      </c>
      <c r="W743" s="81" t="s">
        <v>114</v>
      </c>
      <c r="Y743" s="81" t="s">
        <v>115</v>
      </c>
      <c r="Z743" s="81" t="s">
        <v>119</v>
      </c>
      <c r="AA743" s="81" t="s">
        <v>117</v>
      </c>
      <c r="AB743" s="81" t="s">
        <v>300</v>
      </c>
      <c r="AC743" s="166">
        <v>1.60000007599592E-2</v>
      </c>
      <c r="AG743" s="81" t="s">
        <v>238</v>
      </c>
      <c r="AH743" s="81" t="s">
        <v>118</v>
      </c>
      <c r="AK743" s="166">
        <v>0</v>
      </c>
      <c r="AM743" s="166">
        <v>0</v>
      </c>
      <c r="AO743" s="166">
        <v>0</v>
      </c>
      <c r="AP743" s="166">
        <v>-1</v>
      </c>
      <c r="AQ743" s="166">
        <v>-1</v>
      </c>
      <c r="AR743" s="166">
        <v>1</v>
      </c>
      <c r="AS743" s="166">
        <v>0</v>
      </c>
      <c r="AT743" s="166">
        <v>0</v>
      </c>
      <c r="AU743" s="166">
        <v>0</v>
      </c>
      <c r="AV743" s="166">
        <v>0</v>
      </c>
      <c r="AW743" s="166">
        <v>-1</v>
      </c>
      <c r="AX743" s="166">
        <v>-1</v>
      </c>
      <c r="AY743" s="166">
        <v>1</v>
      </c>
      <c r="AZ743" s="166">
        <v>0</v>
      </c>
      <c r="BA743" s="166">
        <v>0</v>
      </c>
      <c r="BB743" s="166">
        <v>0</v>
      </c>
      <c r="BC743" s="166">
        <v>0</v>
      </c>
      <c r="BD743" s="166">
        <v>0</v>
      </c>
      <c r="BE743" s="166">
        <v>0</v>
      </c>
      <c r="BF743" s="166">
        <v>0</v>
      </c>
      <c r="BG743" s="166">
        <v>0</v>
      </c>
      <c r="BH743" s="166">
        <v>0</v>
      </c>
      <c r="BI743" s="166">
        <v>0</v>
      </c>
      <c r="BJ743" s="166">
        <v>0</v>
      </c>
      <c r="BK743" s="166">
        <v>0</v>
      </c>
      <c r="BL743" s="166">
        <v>0</v>
      </c>
      <c r="BM743" s="166">
        <v>0</v>
      </c>
      <c r="BN743" s="166">
        <v>0</v>
      </c>
      <c r="BO743" s="166">
        <v>0</v>
      </c>
      <c r="BP743" s="166">
        <v>0</v>
      </c>
      <c r="BQ743" s="81" t="s">
        <v>1759</v>
      </c>
      <c r="BS743" s="81" t="s">
        <v>155</v>
      </c>
      <c r="BZ743" s="81" t="s">
        <v>155</v>
      </c>
      <c r="CA743" s="81" t="s">
        <v>1937</v>
      </c>
      <c r="CC743" s="167">
        <v>0</v>
      </c>
      <c r="CD743" s="167">
        <f>$N743/4</f>
        <v>-0.25</v>
      </c>
      <c r="CE743" s="167">
        <f>$N743/4</f>
        <v>-0.25</v>
      </c>
      <c r="CF743" s="167">
        <f>$N743/4</f>
        <v>-0.25</v>
      </c>
      <c r="CG743" s="167">
        <f>$N743/4</f>
        <v>-0.25</v>
      </c>
      <c r="CH743" s="167">
        <v>0</v>
      </c>
      <c r="CI743" s="167">
        <v>0</v>
      </c>
      <c r="CJ743" s="167">
        <v>0</v>
      </c>
      <c r="CK743" s="167">
        <v>0</v>
      </c>
      <c r="CL743" s="167">
        <v>0</v>
      </c>
      <c r="CM743" s="167">
        <v>0</v>
      </c>
      <c r="CN743" s="167">
        <v>0</v>
      </c>
      <c r="CO743" s="167">
        <v>0</v>
      </c>
      <c r="CP743" s="167">
        <v>0</v>
      </c>
      <c r="CQ743" s="167">
        <v>0</v>
      </c>
      <c r="CR743" s="167">
        <v>0</v>
      </c>
      <c r="CS743" s="167">
        <v>0</v>
      </c>
      <c r="CT743" s="167">
        <v>0</v>
      </c>
      <c r="CU743" s="167">
        <v>0</v>
      </c>
      <c r="CV743" s="167">
        <v>0</v>
      </c>
      <c r="CW743" s="167">
        <v>0</v>
      </c>
      <c r="CX743" s="167">
        <f>SUM(CD743:CH743)</f>
        <v>-1</v>
      </c>
      <c r="CY743" s="167">
        <f>SUM(CD743:CM743)</f>
        <v>-1</v>
      </c>
    </row>
    <row r="744" spans="1:103" ht="12.75" customHeight="1" x14ac:dyDescent="0.2">
      <c r="A744" s="81">
        <v>2059</v>
      </c>
      <c r="B744" s="165" t="s">
        <v>1930</v>
      </c>
      <c r="C744" s="165" t="s">
        <v>1646</v>
      </c>
      <c r="E744" s="165" t="s">
        <v>2465</v>
      </c>
      <c r="G744" s="81">
        <v>523779</v>
      </c>
      <c r="H744" s="81">
        <v>172570</v>
      </c>
      <c r="I744" s="165" t="s">
        <v>111</v>
      </c>
      <c r="L744" s="166">
        <v>0</v>
      </c>
      <c r="M744" s="166">
        <v>2</v>
      </c>
      <c r="N744" s="166">
        <v>2</v>
      </c>
      <c r="O744" s="166">
        <v>2</v>
      </c>
      <c r="P744" s="166">
        <v>2</v>
      </c>
      <c r="R744" s="165" t="s">
        <v>1647</v>
      </c>
      <c r="S744" s="81" t="s">
        <v>292</v>
      </c>
      <c r="T744" s="349">
        <v>42797</v>
      </c>
      <c r="U744" s="349">
        <v>42971</v>
      </c>
      <c r="V744" s="81" t="s">
        <v>155</v>
      </c>
      <c r="W744" s="81" t="s">
        <v>114</v>
      </c>
      <c r="Y744" s="81" t="s">
        <v>397</v>
      </c>
      <c r="Z744" s="81" t="s">
        <v>116</v>
      </c>
      <c r="AA744" s="81" t="s">
        <v>117</v>
      </c>
      <c r="AB744" s="81" t="s">
        <v>218</v>
      </c>
      <c r="AC744" s="166">
        <v>0.119999997317791</v>
      </c>
      <c r="AG744" s="81" t="s">
        <v>238</v>
      </c>
      <c r="AH744" s="81" t="s">
        <v>118</v>
      </c>
      <c r="AK744" s="166">
        <v>2</v>
      </c>
      <c r="AM744" s="166">
        <v>0</v>
      </c>
      <c r="AO744" s="166">
        <v>0</v>
      </c>
      <c r="AP744" s="166">
        <v>0</v>
      </c>
      <c r="AQ744" s="166">
        <v>0</v>
      </c>
      <c r="AR744" s="166">
        <v>0</v>
      </c>
      <c r="AS744" s="166">
        <v>2</v>
      </c>
      <c r="AT744" s="166">
        <v>0</v>
      </c>
      <c r="AU744" s="166">
        <v>0</v>
      </c>
      <c r="AV744" s="166">
        <v>0</v>
      </c>
      <c r="AW744" s="166">
        <v>0</v>
      </c>
      <c r="AX744" s="166">
        <v>0</v>
      </c>
      <c r="AY744" s="166">
        <v>0</v>
      </c>
      <c r="AZ744" s="166">
        <v>0</v>
      </c>
      <c r="BA744" s="166">
        <v>0</v>
      </c>
      <c r="BB744" s="166">
        <v>0</v>
      </c>
      <c r="BC744" s="166">
        <v>0</v>
      </c>
      <c r="BD744" s="166">
        <v>0</v>
      </c>
      <c r="BE744" s="166">
        <v>0</v>
      </c>
      <c r="BF744" s="166">
        <v>0</v>
      </c>
      <c r="BG744" s="166">
        <v>2</v>
      </c>
      <c r="BH744" s="166">
        <v>0</v>
      </c>
      <c r="BI744" s="166">
        <v>0</v>
      </c>
      <c r="BJ744" s="166">
        <v>0</v>
      </c>
      <c r="BK744" s="166">
        <v>0</v>
      </c>
      <c r="BL744" s="166">
        <v>0</v>
      </c>
      <c r="BM744" s="166">
        <v>0</v>
      </c>
      <c r="BN744" s="166">
        <v>0</v>
      </c>
      <c r="BO744" s="166">
        <v>0</v>
      </c>
      <c r="BP744" s="166">
        <v>0</v>
      </c>
      <c r="BQ744" s="81" t="s">
        <v>1758</v>
      </c>
      <c r="BZ744" s="81" t="s">
        <v>155</v>
      </c>
      <c r="CA744" s="81">
        <v>4</v>
      </c>
      <c r="CC744" s="167">
        <v>0</v>
      </c>
      <c r="CD744" s="167">
        <v>0</v>
      </c>
      <c r="CE744" s="167">
        <f>$N744/5</f>
        <v>0.4</v>
      </c>
      <c r="CF744" s="167">
        <f>$N744/5</f>
        <v>0.4</v>
      </c>
      <c r="CG744" s="167">
        <f>$N744/5</f>
        <v>0.4</v>
      </c>
      <c r="CH744" s="167">
        <f>$N744/5</f>
        <v>0.4</v>
      </c>
      <c r="CI744" s="167">
        <f>$N744/5</f>
        <v>0.4</v>
      </c>
      <c r="CJ744" s="167">
        <v>0</v>
      </c>
      <c r="CK744" s="167">
        <v>0</v>
      </c>
      <c r="CL744" s="167">
        <v>0</v>
      </c>
      <c r="CM744" s="167">
        <v>0</v>
      </c>
      <c r="CN744" s="167">
        <v>0</v>
      </c>
      <c r="CO744" s="167">
        <v>0</v>
      </c>
      <c r="CP744" s="167">
        <v>0</v>
      </c>
      <c r="CQ744" s="167">
        <v>0</v>
      </c>
      <c r="CR744" s="167">
        <v>0</v>
      </c>
      <c r="CS744" s="167">
        <v>0</v>
      </c>
      <c r="CT744" s="167">
        <v>0</v>
      </c>
      <c r="CU744" s="167">
        <v>0</v>
      </c>
      <c r="CV744" s="167">
        <v>0</v>
      </c>
      <c r="CW744" s="167">
        <v>0</v>
      </c>
      <c r="CX744" s="167">
        <f>SUM(CD744:CH744)</f>
        <v>1.6</v>
      </c>
      <c r="CY744" s="167">
        <f>SUM(CD744:CM744)</f>
        <v>2</v>
      </c>
    </row>
    <row r="745" spans="1:103" ht="12.75" customHeight="1" x14ac:dyDescent="0.2">
      <c r="A745" s="81">
        <v>2088</v>
      </c>
      <c r="B745" s="165" t="s">
        <v>1930</v>
      </c>
      <c r="C745" s="165" t="s">
        <v>2466</v>
      </c>
      <c r="E745" s="165" t="s">
        <v>2467</v>
      </c>
      <c r="F745" s="165" t="s">
        <v>2468</v>
      </c>
      <c r="G745" s="81">
        <v>527545</v>
      </c>
      <c r="H745" s="81">
        <v>170687</v>
      </c>
      <c r="I745" s="165" t="s">
        <v>253</v>
      </c>
      <c r="L745" s="166">
        <v>0</v>
      </c>
      <c r="M745" s="166">
        <v>5</v>
      </c>
      <c r="N745" s="166">
        <v>5</v>
      </c>
      <c r="O745" s="166">
        <v>9</v>
      </c>
      <c r="P745" s="166">
        <v>9</v>
      </c>
      <c r="R745" s="165" t="s">
        <v>2469</v>
      </c>
      <c r="S745" s="81" t="s">
        <v>113</v>
      </c>
      <c r="T745" s="349">
        <v>42927</v>
      </c>
      <c r="U745" s="349">
        <v>43063</v>
      </c>
      <c r="V745" s="81" t="s">
        <v>155</v>
      </c>
      <c r="W745" s="81" t="s">
        <v>114</v>
      </c>
      <c r="Y745" s="81" t="s">
        <v>115</v>
      </c>
      <c r="Z745" s="81" t="s">
        <v>116</v>
      </c>
      <c r="AA745" s="81" t="s">
        <v>117</v>
      </c>
      <c r="AB745" s="81" t="s">
        <v>218</v>
      </c>
      <c r="AC745" s="166">
        <v>3.9000000804662698E-2</v>
      </c>
      <c r="AG745" s="81" t="s">
        <v>238</v>
      </c>
      <c r="AH745" s="81" t="s">
        <v>118</v>
      </c>
      <c r="AK745" s="166">
        <v>0</v>
      </c>
      <c r="AM745" s="166">
        <v>0</v>
      </c>
      <c r="AO745" s="166">
        <v>0</v>
      </c>
      <c r="AP745" s="166">
        <v>0</v>
      </c>
      <c r="AQ745" s="166">
        <v>5</v>
      </c>
      <c r="AR745" s="166">
        <v>0</v>
      </c>
      <c r="AS745" s="166">
        <v>0</v>
      </c>
      <c r="AT745" s="166">
        <v>0</v>
      </c>
      <c r="AU745" s="166">
        <v>0</v>
      </c>
      <c r="AV745" s="166">
        <v>0</v>
      </c>
      <c r="AW745" s="166">
        <v>0</v>
      </c>
      <c r="AX745" s="166">
        <v>5</v>
      </c>
      <c r="AY745" s="166">
        <v>0</v>
      </c>
      <c r="AZ745" s="166">
        <v>0</v>
      </c>
      <c r="BA745" s="166">
        <v>0</v>
      </c>
      <c r="BB745" s="166">
        <v>0</v>
      </c>
      <c r="BC745" s="166">
        <v>0</v>
      </c>
      <c r="BD745" s="166">
        <v>0</v>
      </c>
      <c r="BE745" s="166">
        <v>0</v>
      </c>
      <c r="BF745" s="166">
        <v>0</v>
      </c>
      <c r="BG745" s="166">
        <v>0</v>
      </c>
      <c r="BH745" s="166">
        <v>0</v>
      </c>
      <c r="BI745" s="166">
        <v>0</v>
      </c>
      <c r="BJ745" s="166">
        <v>0</v>
      </c>
      <c r="BK745" s="166">
        <v>0</v>
      </c>
      <c r="BL745" s="166">
        <v>0</v>
      </c>
      <c r="BM745" s="166">
        <v>0</v>
      </c>
      <c r="BN745" s="166">
        <v>0</v>
      </c>
      <c r="BO745" s="166">
        <v>0</v>
      </c>
      <c r="BP745" s="166">
        <v>0</v>
      </c>
      <c r="BQ745" s="81" t="s">
        <v>1757</v>
      </c>
      <c r="BZ745" s="81" t="s">
        <v>155</v>
      </c>
      <c r="CA745" s="81" t="s">
        <v>3968</v>
      </c>
      <c r="CC745" s="167">
        <v>0</v>
      </c>
      <c r="CD745" s="167">
        <v>0</v>
      </c>
      <c r="CE745" s="167">
        <v>0</v>
      </c>
      <c r="CF745" s="167">
        <v>0</v>
      </c>
      <c r="CG745" s="167">
        <v>0</v>
      </c>
      <c r="CH745" s="167">
        <f>$N745/3</f>
        <v>1.6666666666666667</v>
      </c>
      <c r="CI745" s="167">
        <f>$N745/3</f>
        <v>1.6666666666666667</v>
      </c>
      <c r="CJ745" s="167">
        <f>$N745/3</f>
        <v>1.6666666666666667</v>
      </c>
      <c r="CK745" s="167">
        <v>0</v>
      </c>
      <c r="CL745" s="167">
        <v>0</v>
      </c>
      <c r="CM745" s="167">
        <v>0</v>
      </c>
      <c r="CN745" s="167">
        <v>0</v>
      </c>
      <c r="CO745" s="167">
        <v>0</v>
      </c>
      <c r="CP745" s="167">
        <v>0</v>
      </c>
      <c r="CQ745" s="167">
        <v>0</v>
      </c>
      <c r="CR745" s="167">
        <v>0</v>
      </c>
      <c r="CS745" s="167">
        <v>0</v>
      </c>
      <c r="CT745" s="167">
        <v>0</v>
      </c>
      <c r="CU745" s="167">
        <v>0</v>
      </c>
      <c r="CV745" s="167">
        <v>0</v>
      </c>
      <c r="CW745" s="167">
        <v>0</v>
      </c>
      <c r="CX745" s="167">
        <f>SUM(CD745:CH745)</f>
        <v>1.6666666666666667</v>
      </c>
      <c r="CY745" s="167">
        <f>SUM(CD745:CM745)</f>
        <v>5</v>
      </c>
    </row>
    <row r="746" spans="1:103" ht="12.75" customHeight="1" x14ac:dyDescent="0.2">
      <c r="A746" s="81">
        <v>2088</v>
      </c>
      <c r="B746" s="165" t="s">
        <v>1930</v>
      </c>
      <c r="C746" s="165" t="s">
        <v>2466</v>
      </c>
      <c r="E746" s="165" t="s">
        <v>2467</v>
      </c>
      <c r="F746" s="165" t="s">
        <v>2470</v>
      </c>
      <c r="G746" s="81">
        <v>527545</v>
      </c>
      <c r="H746" s="81">
        <v>170687</v>
      </c>
      <c r="I746" s="165" t="s">
        <v>253</v>
      </c>
      <c r="L746" s="166">
        <v>0</v>
      </c>
      <c r="M746" s="166">
        <v>4</v>
      </c>
      <c r="N746" s="166">
        <v>4</v>
      </c>
      <c r="O746" s="166">
        <v>9</v>
      </c>
      <c r="P746" s="166">
        <v>9</v>
      </c>
      <c r="R746" s="165" t="s">
        <v>2469</v>
      </c>
      <c r="S746" s="81" t="s">
        <v>113</v>
      </c>
      <c r="T746" s="349">
        <v>42927</v>
      </c>
      <c r="U746" s="349">
        <v>43063</v>
      </c>
      <c r="V746" s="81" t="s">
        <v>155</v>
      </c>
      <c r="W746" s="81" t="s">
        <v>114</v>
      </c>
      <c r="Y746" s="81" t="s">
        <v>115</v>
      </c>
      <c r="Z746" s="81" t="s">
        <v>116</v>
      </c>
      <c r="AA746" s="81" t="s">
        <v>117</v>
      </c>
      <c r="AB746" s="81" t="s">
        <v>218</v>
      </c>
      <c r="AC746" s="166">
        <v>3.0999999493360499E-2</v>
      </c>
      <c r="AG746" s="81" t="s">
        <v>238</v>
      </c>
      <c r="AH746" s="81" t="s">
        <v>118</v>
      </c>
      <c r="AK746" s="166">
        <v>0</v>
      </c>
      <c r="AM746" s="166">
        <v>0</v>
      </c>
      <c r="AO746" s="166">
        <v>0</v>
      </c>
      <c r="AP746" s="166">
        <v>1</v>
      </c>
      <c r="AQ746" s="166">
        <v>3</v>
      </c>
      <c r="AR746" s="166">
        <v>0</v>
      </c>
      <c r="AS746" s="166">
        <v>0</v>
      </c>
      <c r="AT746" s="166">
        <v>0</v>
      </c>
      <c r="AU746" s="166">
        <v>0</v>
      </c>
      <c r="AV746" s="166">
        <v>0</v>
      </c>
      <c r="AW746" s="166">
        <v>1</v>
      </c>
      <c r="AX746" s="166">
        <v>3</v>
      </c>
      <c r="AY746" s="166">
        <v>0</v>
      </c>
      <c r="AZ746" s="166">
        <v>0</v>
      </c>
      <c r="BA746" s="166">
        <v>0</v>
      </c>
      <c r="BB746" s="166">
        <v>0</v>
      </c>
      <c r="BC746" s="166">
        <v>0</v>
      </c>
      <c r="BD746" s="166">
        <v>0</v>
      </c>
      <c r="BE746" s="166">
        <v>0</v>
      </c>
      <c r="BF746" s="166">
        <v>0</v>
      </c>
      <c r="BG746" s="166">
        <v>0</v>
      </c>
      <c r="BH746" s="166">
        <v>0</v>
      </c>
      <c r="BI746" s="166">
        <v>0</v>
      </c>
      <c r="BJ746" s="166">
        <v>0</v>
      </c>
      <c r="BK746" s="166">
        <v>0</v>
      </c>
      <c r="BL746" s="166">
        <v>0</v>
      </c>
      <c r="BM746" s="166">
        <v>0</v>
      </c>
      <c r="BN746" s="166">
        <v>0</v>
      </c>
      <c r="BO746" s="166">
        <v>0</v>
      </c>
      <c r="BP746" s="166">
        <v>0</v>
      </c>
      <c r="BQ746" s="81" t="s">
        <v>1757</v>
      </c>
      <c r="BZ746" s="81" t="s">
        <v>155</v>
      </c>
      <c r="CA746" s="81" t="s">
        <v>3968</v>
      </c>
      <c r="CC746" s="167">
        <v>0</v>
      </c>
      <c r="CD746" s="167">
        <v>0</v>
      </c>
      <c r="CE746" s="167">
        <v>0</v>
      </c>
      <c r="CF746" s="167">
        <v>0</v>
      </c>
      <c r="CG746" s="167">
        <v>0</v>
      </c>
      <c r="CH746" s="167">
        <f>$N746/3</f>
        <v>1.3333333333333333</v>
      </c>
      <c r="CI746" s="167">
        <f>$N746/3</f>
        <v>1.3333333333333333</v>
      </c>
      <c r="CJ746" s="167">
        <f>$N746/3</f>
        <v>1.3333333333333333</v>
      </c>
      <c r="CK746" s="167">
        <v>0</v>
      </c>
      <c r="CL746" s="167">
        <v>0</v>
      </c>
      <c r="CM746" s="167">
        <v>0</v>
      </c>
      <c r="CN746" s="167">
        <v>0</v>
      </c>
      <c r="CO746" s="167">
        <v>0</v>
      </c>
      <c r="CP746" s="167">
        <v>0</v>
      </c>
      <c r="CQ746" s="167">
        <v>0</v>
      </c>
      <c r="CR746" s="167">
        <v>0</v>
      </c>
      <c r="CS746" s="167">
        <v>0</v>
      </c>
      <c r="CT746" s="167">
        <v>0</v>
      </c>
      <c r="CU746" s="167">
        <v>0</v>
      </c>
      <c r="CV746" s="167">
        <v>0</v>
      </c>
      <c r="CW746" s="167">
        <v>0</v>
      </c>
      <c r="CX746" s="167">
        <f>SUM(CD746:CH746)</f>
        <v>1.3333333333333333</v>
      </c>
      <c r="CY746" s="167">
        <f>SUM(CD746:CM746)</f>
        <v>4</v>
      </c>
    </row>
    <row r="747" spans="1:103" ht="12.75" customHeight="1" x14ac:dyDescent="0.2">
      <c r="A747" s="81">
        <v>2202</v>
      </c>
      <c r="B747" s="165" t="s">
        <v>1930</v>
      </c>
      <c r="C747" s="165" t="s">
        <v>1509</v>
      </c>
      <c r="E747" s="165" t="s">
        <v>2046</v>
      </c>
      <c r="G747" s="81">
        <v>528351</v>
      </c>
      <c r="H747" s="81">
        <v>173235</v>
      </c>
      <c r="I747" s="165" t="s">
        <v>254</v>
      </c>
      <c r="L747" s="166">
        <v>0</v>
      </c>
      <c r="M747" s="166">
        <v>1</v>
      </c>
      <c r="N747" s="166">
        <v>1</v>
      </c>
      <c r="O747" s="166">
        <v>1</v>
      </c>
      <c r="P747" s="166">
        <v>1</v>
      </c>
      <c r="R747" s="165" t="s">
        <v>1510</v>
      </c>
      <c r="S747" s="81" t="s">
        <v>113</v>
      </c>
      <c r="T747" s="349">
        <v>42716</v>
      </c>
      <c r="U747" s="349">
        <v>42822</v>
      </c>
      <c r="W747" s="81" t="s">
        <v>114</v>
      </c>
      <c r="Y747" s="81" t="s">
        <v>115</v>
      </c>
      <c r="Z747" s="81" t="s">
        <v>116</v>
      </c>
      <c r="AA747" s="81" t="s">
        <v>117</v>
      </c>
      <c r="AB747" s="81" t="s">
        <v>218</v>
      </c>
      <c r="AC747" s="166">
        <v>8.0000003799796104E-3</v>
      </c>
      <c r="AG747" s="81" t="s">
        <v>238</v>
      </c>
      <c r="AH747" s="81" t="s">
        <v>118</v>
      </c>
      <c r="AK747" s="166">
        <v>1</v>
      </c>
      <c r="AM747" s="166">
        <v>0</v>
      </c>
      <c r="AO747" s="166">
        <v>0</v>
      </c>
      <c r="AP747" s="166">
        <v>0</v>
      </c>
      <c r="AQ747" s="166">
        <v>1</v>
      </c>
      <c r="AR747" s="166">
        <v>0</v>
      </c>
      <c r="AS747" s="166">
        <v>0</v>
      </c>
      <c r="AT747" s="166">
        <v>0</v>
      </c>
      <c r="AU747" s="166">
        <v>0</v>
      </c>
      <c r="AV747" s="166">
        <v>0</v>
      </c>
      <c r="AW747" s="166">
        <v>0</v>
      </c>
      <c r="AX747" s="166">
        <v>0</v>
      </c>
      <c r="AY747" s="166">
        <v>0</v>
      </c>
      <c r="AZ747" s="166">
        <v>0</v>
      </c>
      <c r="BA747" s="166">
        <v>0</v>
      </c>
      <c r="BB747" s="166">
        <v>0</v>
      </c>
      <c r="BC747" s="166">
        <v>0</v>
      </c>
      <c r="BD747" s="166">
        <v>0</v>
      </c>
      <c r="BE747" s="166">
        <v>1</v>
      </c>
      <c r="BF747" s="166">
        <v>0</v>
      </c>
      <c r="BG747" s="166">
        <v>0</v>
      </c>
      <c r="BH747" s="166">
        <v>0</v>
      </c>
      <c r="BI747" s="166">
        <v>0</v>
      </c>
      <c r="BJ747" s="166">
        <v>0</v>
      </c>
      <c r="BK747" s="166">
        <v>0</v>
      </c>
      <c r="BL747" s="166">
        <v>0</v>
      </c>
      <c r="BM747" s="166">
        <v>0</v>
      </c>
      <c r="BN747" s="166">
        <v>0</v>
      </c>
      <c r="BO747" s="166">
        <v>0</v>
      </c>
      <c r="BP747" s="166">
        <v>0</v>
      </c>
      <c r="BQ747" s="81" t="s">
        <v>1757</v>
      </c>
      <c r="BZ747" s="81" t="s">
        <v>155</v>
      </c>
      <c r="CA747" s="81">
        <v>4</v>
      </c>
      <c r="CC747" s="167">
        <v>0</v>
      </c>
      <c r="CD747" s="167">
        <v>0</v>
      </c>
      <c r="CE747" s="167">
        <f>$N747/5</f>
        <v>0.2</v>
      </c>
      <c r="CF747" s="167">
        <f>$N747/5</f>
        <v>0.2</v>
      </c>
      <c r="CG747" s="167">
        <f>$N747/5</f>
        <v>0.2</v>
      </c>
      <c r="CH747" s="167">
        <f>$N747/5</f>
        <v>0.2</v>
      </c>
      <c r="CI747" s="167">
        <f>$N747/5</f>
        <v>0.2</v>
      </c>
      <c r="CJ747" s="167">
        <v>0</v>
      </c>
      <c r="CK747" s="167">
        <v>0</v>
      </c>
      <c r="CL747" s="167">
        <v>0</v>
      </c>
      <c r="CM747" s="167">
        <v>0</v>
      </c>
      <c r="CN747" s="167">
        <v>0</v>
      </c>
      <c r="CO747" s="167">
        <v>0</v>
      </c>
      <c r="CP747" s="167">
        <v>0</v>
      </c>
      <c r="CQ747" s="167">
        <v>0</v>
      </c>
      <c r="CR747" s="167">
        <v>0</v>
      </c>
      <c r="CS747" s="167">
        <v>0</v>
      </c>
      <c r="CT747" s="167">
        <v>0</v>
      </c>
      <c r="CU747" s="167">
        <v>0</v>
      </c>
      <c r="CV747" s="167">
        <v>0</v>
      </c>
      <c r="CW747" s="167">
        <v>0</v>
      </c>
      <c r="CX747" s="167">
        <f>SUM(CD747:CH747)</f>
        <v>0.8</v>
      </c>
      <c r="CY747" s="167">
        <f>SUM(CD747:CM747)</f>
        <v>1</v>
      </c>
    </row>
    <row r="748" spans="1:103" ht="12.75" customHeight="1" x14ac:dyDescent="0.2">
      <c r="A748" s="81">
        <v>2258</v>
      </c>
      <c r="B748" s="165" t="s">
        <v>1930</v>
      </c>
      <c r="C748" s="165" t="s">
        <v>1602</v>
      </c>
      <c r="D748" s="165" t="s">
        <v>1603</v>
      </c>
      <c r="E748" s="165" t="s">
        <v>2464</v>
      </c>
      <c r="G748" s="81">
        <v>527574</v>
      </c>
      <c r="H748" s="81">
        <v>171046</v>
      </c>
      <c r="I748" s="165" t="s">
        <v>253</v>
      </c>
      <c r="L748" s="166">
        <v>0</v>
      </c>
      <c r="M748" s="166">
        <v>1</v>
      </c>
      <c r="N748" s="166">
        <v>1</v>
      </c>
      <c r="O748" s="166">
        <v>1</v>
      </c>
      <c r="P748" s="166">
        <v>1</v>
      </c>
      <c r="R748" s="165" t="s">
        <v>1604</v>
      </c>
      <c r="S748" s="81" t="s">
        <v>113</v>
      </c>
      <c r="T748" s="349">
        <v>42760</v>
      </c>
      <c r="U748" s="349">
        <v>42831</v>
      </c>
      <c r="V748" s="81" t="s">
        <v>155</v>
      </c>
      <c r="W748" s="81" t="s">
        <v>114</v>
      </c>
      <c r="Y748" s="81" t="s">
        <v>115</v>
      </c>
      <c r="Z748" s="81" t="s">
        <v>310</v>
      </c>
      <c r="AA748" s="81" t="s">
        <v>117</v>
      </c>
      <c r="AB748" s="81" t="s">
        <v>399</v>
      </c>
      <c r="AC748" s="166">
        <v>6.0000000521540598E-3</v>
      </c>
      <c r="AG748" s="81" t="s">
        <v>238</v>
      </c>
      <c r="AH748" s="81" t="s">
        <v>118</v>
      </c>
      <c r="AK748" s="166">
        <v>0</v>
      </c>
      <c r="AM748" s="166">
        <v>0</v>
      </c>
      <c r="AO748" s="166">
        <v>0</v>
      </c>
      <c r="AP748" s="166">
        <v>1</v>
      </c>
      <c r="AQ748" s="166">
        <v>0</v>
      </c>
      <c r="AR748" s="166">
        <v>0</v>
      </c>
      <c r="AS748" s="166">
        <v>0</v>
      </c>
      <c r="AT748" s="166">
        <v>0</v>
      </c>
      <c r="AU748" s="166">
        <v>0</v>
      </c>
      <c r="AV748" s="166">
        <v>0</v>
      </c>
      <c r="AW748" s="166">
        <v>1</v>
      </c>
      <c r="AX748" s="166">
        <v>0</v>
      </c>
      <c r="AY748" s="166">
        <v>0</v>
      </c>
      <c r="AZ748" s="166">
        <v>0</v>
      </c>
      <c r="BA748" s="166">
        <v>0</v>
      </c>
      <c r="BB748" s="166">
        <v>0</v>
      </c>
      <c r="BC748" s="166">
        <v>0</v>
      </c>
      <c r="BD748" s="166">
        <v>0</v>
      </c>
      <c r="BE748" s="166">
        <v>0</v>
      </c>
      <c r="BF748" s="166">
        <v>0</v>
      </c>
      <c r="BG748" s="166">
        <v>0</v>
      </c>
      <c r="BH748" s="166">
        <v>0</v>
      </c>
      <c r="BI748" s="166">
        <v>0</v>
      </c>
      <c r="BJ748" s="166">
        <v>0</v>
      </c>
      <c r="BK748" s="166">
        <v>0</v>
      </c>
      <c r="BL748" s="166">
        <v>0</v>
      </c>
      <c r="BM748" s="166">
        <v>0</v>
      </c>
      <c r="BN748" s="166">
        <v>0</v>
      </c>
      <c r="BO748" s="166">
        <v>0</v>
      </c>
      <c r="BP748" s="166">
        <v>0</v>
      </c>
      <c r="BQ748" s="81" t="s">
        <v>1757</v>
      </c>
      <c r="BZ748" s="81" t="s">
        <v>155</v>
      </c>
      <c r="CA748" s="81" t="s">
        <v>1937</v>
      </c>
      <c r="CC748" s="167">
        <v>0</v>
      </c>
      <c r="CD748" s="167">
        <f>$N748/4</f>
        <v>0.25</v>
      </c>
      <c r="CE748" s="167">
        <f>$N748/4</f>
        <v>0.25</v>
      </c>
      <c r="CF748" s="167">
        <f>$N748/4</f>
        <v>0.25</v>
      </c>
      <c r="CG748" s="167">
        <f>$N748/4</f>
        <v>0.25</v>
      </c>
      <c r="CH748" s="167">
        <v>0</v>
      </c>
      <c r="CI748" s="167">
        <v>0</v>
      </c>
      <c r="CJ748" s="167">
        <v>0</v>
      </c>
      <c r="CK748" s="167">
        <v>0</v>
      </c>
      <c r="CL748" s="167">
        <v>0</v>
      </c>
      <c r="CM748" s="167">
        <v>0</v>
      </c>
      <c r="CN748" s="167">
        <v>0</v>
      </c>
      <c r="CO748" s="167">
        <v>0</v>
      </c>
      <c r="CP748" s="167">
        <v>0</v>
      </c>
      <c r="CQ748" s="167">
        <v>0</v>
      </c>
      <c r="CR748" s="167">
        <v>0</v>
      </c>
      <c r="CS748" s="167">
        <v>0</v>
      </c>
      <c r="CT748" s="167">
        <v>0</v>
      </c>
      <c r="CU748" s="167">
        <v>0</v>
      </c>
      <c r="CV748" s="167">
        <v>0</v>
      </c>
      <c r="CW748" s="167">
        <v>0</v>
      </c>
      <c r="CX748" s="167">
        <f>SUM(CD748:CH748)</f>
        <v>1</v>
      </c>
      <c r="CY748" s="167">
        <f>SUM(CD748:CM748)</f>
        <v>1</v>
      </c>
    </row>
    <row r="749" spans="1:103" ht="12.75" customHeight="1" x14ac:dyDescent="0.2">
      <c r="A749" s="81">
        <v>2304</v>
      </c>
      <c r="B749" s="165" t="s">
        <v>1930</v>
      </c>
      <c r="C749" s="165" t="s">
        <v>786</v>
      </c>
      <c r="D749" s="165" t="s">
        <v>787</v>
      </c>
      <c r="E749" s="165" t="s">
        <v>2472</v>
      </c>
      <c r="G749" s="81">
        <v>528666</v>
      </c>
      <c r="H749" s="81">
        <v>177450</v>
      </c>
      <c r="I749" s="165" t="s">
        <v>240</v>
      </c>
      <c r="L749" s="166">
        <v>0</v>
      </c>
      <c r="M749" s="166">
        <v>7</v>
      </c>
      <c r="N749" s="166">
        <v>7</v>
      </c>
      <c r="O749" s="166">
        <v>7</v>
      </c>
      <c r="P749" s="166">
        <v>7</v>
      </c>
      <c r="R749" s="165" t="s">
        <v>788</v>
      </c>
      <c r="S749" s="81" t="s">
        <v>104</v>
      </c>
      <c r="T749" s="349">
        <v>42296</v>
      </c>
      <c r="U749" s="349">
        <v>42465</v>
      </c>
      <c r="W749" s="81" t="s">
        <v>114</v>
      </c>
      <c r="Y749" s="81" t="s">
        <v>115</v>
      </c>
      <c r="Z749" s="81" t="s">
        <v>310</v>
      </c>
      <c r="AA749" s="81" t="s">
        <v>117</v>
      </c>
      <c r="AB749" s="81" t="s">
        <v>399</v>
      </c>
      <c r="AC749" s="166">
        <v>5.9000000357627903E-2</v>
      </c>
      <c r="AG749" s="81" t="s">
        <v>238</v>
      </c>
      <c r="AH749" s="81" t="s">
        <v>118</v>
      </c>
      <c r="AK749" s="166">
        <v>7</v>
      </c>
      <c r="AM749" s="166">
        <v>0</v>
      </c>
      <c r="AO749" s="166">
        <v>0</v>
      </c>
      <c r="AP749" s="166">
        <v>3</v>
      </c>
      <c r="AQ749" s="166">
        <v>4</v>
      </c>
      <c r="AR749" s="166">
        <v>0</v>
      </c>
      <c r="AS749" s="166">
        <v>0</v>
      </c>
      <c r="AT749" s="166">
        <v>0</v>
      </c>
      <c r="AU749" s="166">
        <v>0</v>
      </c>
      <c r="AV749" s="166">
        <v>0</v>
      </c>
      <c r="AW749" s="166">
        <v>3</v>
      </c>
      <c r="AX749" s="166">
        <v>4</v>
      </c>
      <c r="AY749" s="166">
        <v>0</v>
      </c>
      <c r="AZ749" s="166">
        <v>0</v>
      </c>
      <c r="BA749" s="166">
        <v>0</v>
      </c>
      <c r="BB749" s="166">
        <v>0</v>
      </c>
      <c r="BC749" s="166">
        <v>0</v>
      </c>
      <c r="BD749" s="166">
        <v>0</v>
      </c>
      <c r="BE749" s="166">
        <v>0</v>
      </c>
      <c r="BF749" s="166">
        <v>0</v>
      </c>
      <c r="BG749" s="166">
        <v>0</v>
      </c>
      <c r="BH749" s="166">
        <v>0</v>
      </c>
      <c r="BI749" s="166">
        <v>0</v>
      </c>
      <c r="BJ749" s="166">
        <v>0</v>
      </c>
      <c r="BK749" s="166">
        <v>0</v>
      </c>
      <c r="BL749" s="166">
        <v>0</v>
      </c>
      <c r="BM749" s="166">
        <v>0</v>
      </c>
      <c r="BN749" s="166">
        <v>0</v>
      </c>
      <c r="BO749" s="166">
        <v>0</v>
      </c>
      <c r="BP749" s="166">
        <v>0</v>
      </c>
      <c r="BQ749" s="81" t="s">
        <v>1759</v>
      </c>
      <c r="BS749" s="81" t="s">
        <v>155</v>
      </c>
      <c r="BZ749" s="81" t="s">
        <v>155</v>
      </c>
      <c r="CA749" s="81" t="s">
        <v>3972</v>
      </c>
      <c r="CC749" s="167">
        <v>0</v>
      </c>
      <c r="CD749" s="167">
        <f>$N749/4</f>
        <v>1.75</v>
      </c>
      <c r="CE749" s="167">
        <f>$N749/4</f>
        <v>1.75</v>
      </c>
      <c r="CF749" s="167">
        <f>$N749/4</f>
        <v>1.75</v>
      </c>
      <c r="CG749" s="167">
        <f>$N749/4</f>
        <v>1.75</v>
      </c>
      <c r="CH749" s="167">
        <v>0</v>
      </c>
      <c r="CI749" s="167">
        <v>0</v>
      </c>
      <c r="CJ749" s="167">
        <v>0</v>
      </c>
      <c r="CK749" s="167">
        <v>0</v>
      </c>
      <c r="CL749" s="167">
        <v>0</v>
      </c>
      <c r="CM749" s="167">
        <v>0</v>
      </c>
      <c r="CN749" s="167">
        <v>0</v>
      </c>
      <c r="CO749" s="167">
        <v>0</v>
      </c>
      <c r="CP749" s="167">
        <v>0</v>
      </c>
      <c r="CQ749" s="167">
        <v>0</v>
      </c>
      <c r="CR749" s="167">
        <v>0</v>
      </c>
      <c r="CS749" s="167">
        <v>0</v>
      </c>
      <c r="CT749" s="167">
        <v>0</v>
      </c>
      <c r="CU749" s="167">
        <v>0</v>
      </c>
      <c r="CV749" s="167">
        <v>0</v>
      </c>
      <c r="CW749" s="167">
        <v>0</v>
      </c>
      <c r="CX749" s="167">
        <f>SUM(CD749:CH749)</f>
        <v>7</v>
      </c>
      <c r="CY749" s="167">
        <f>SUM(CD749:CM749)</f>
        <v>7</v>
      </c>
    </row>
    <row r="750" spans="1:103" ht="12.75" customHeight="1" x14ac:dyDescent="0.2">
      <c r="A750" s="81">
        <v>2356</v>
      </c>
      <c r="B750" s="165" t="s">
        <v>1930</v>
      </c>
      <c r="C750" s="165" t="s">
        <v>823</v>
      </c>
      <c r="E750" s="165" t="s">
        <v>2471</v>
      </c>
      <c r="G750" s="81">
        <v>525955</v>
      </c>
      <c r="H750" s="81">
        <v>174077</v>
      </c>
      <c r="I750" s="165" t="s">
        <v>251</v>
      </c>
      <c r="L750" s="166">
        <v>0</v>
      </c>
      <c r="M750" s="166">
        <v>4</v>
      </c>
      <c r="N750" s="166">
        <v>4</v>
      </c>
      <c r="O750" s="166">
        <v>4</v>
      </c>
      <c r="P750" s="166">
        <v>4</v>
      </c>
      <c r="R750" s="165" t="s">
        <v>824</v>
      </c>
      <c r="S750" s="81" t="s">
        <v>113</v>
      </c>
      <c r="T750" s="349">
        <v>42439</v>
      </c>
      <c r="U750" s="349">
        <v>42495</v>
      </c>
      <c r="W750" s="81" t="s">
        <v>114</v>
      </c>
      <c r="Y750" s="81" t="s">
        <v>115</v>
      </c>
      <c r="Z750" s="81" t="s">
        <v>310</v>
      </c>
      <c r="AA750" s="81" t="s">
        <v>117</v>
      </c>
      <c r="AB750" s="81" t="s">
        <v>311</v>
      </c>
      <c r="AC750" s="166">
        <v>2.19999998807907E-2</v>
      </c>
      <c r="AG750" s="81" t="s">
        <v>238</v>
      </c>
      <c r="AH750" s="81" t="s">
        <v>118</v>
      </c>
      <c r="AK750" s="166">
        <v>0</v>
      </c>
      <c r="AM750" s="166">
        <v>0</v>
      </c>
      <c r="AO750" s="166">
        <v>0</v>
      </c>
      <c r="AP750" s="166">
        <v>1</v>
      </c>
      <c r="AQ750" s="166">
        <v>3</v>
      </c>
      <c r="AR750" s="166">
        <v>0</v>
      </c>
      <c r="AS750" s="166">
        <v>0</v>
      </c>
      <c r="AT750" s="166">
        <v>0</v>
      </c>
      <c r="AU750" s="166">
        <v>0</v>
      </c>
      <c r="AV750" s="166">
        <v>0</v>
      </c>
      <c r="AW750" s="166">
        <v>1</v>
      </c>
      <c r="AX750" s="166">
        <v>3</v>
      </c>
      <c r="AY750" s="166">
        <v>0</v>
      </c>
      <c r="AZ750" s="166">
        <v>0</v>
      </c>
      <c r="BA750" s="166">
        <v>0</v>
      </c>
      <c r="BB750" s="166">
        <v>0</v>
      </c>
      <c r="BC750" s="166">
        <v>0</v>
      </c>
      <c r="BD750" s="166">
        <v>0</v>
      </c>
      <c r="BE750" s="166">
        <v>0</v>
      </c>
      <c r="BF750" s="166">
        <v>0</v>
      </c>
      <c r="BG750" s="166">
        <v>0</v>
      </c>
      <c r="BH750" s="166">
        <v>0</v>
      </c>
      <c r="BI750" s="166">
        <v>0</v>
      </c>
      <c r="BJ750" s="166">
        <v>0</v>
      </c>
      <c r="BK750" s="166">
        <v>0</v>
      </c>
      <c r="BL750" s="166">
        <v>0</v>
      </c>
      <c r="BM750" s="166">
        <v>0</v>
      </c>
      <c r="BN750" s="166">
        <v>0</v>
      </c>
      <c r="BO750" s="166">
        <v>0</v>
      </c>
      <c r="BP750" s="166">
        <v>0</v>
      </c>
      <c r="BQ750" s="81" t="s">
        <v>1758</v>
      </c>
      <c r="BZ750" s="81" t="s">
        <v>155</v>
      </c>
      <c r="CA750" s="81" t="s">
        <v>1937</v>
      </c>
      <c r="CC750" s="167">
        <v>0</v>
      </c>
      <c r="CD750" s="167">
        <f>$N750/4</f>
        <v>1</v>
      </c>
      <c r="CE750" s="167">
        <f>$N750/4</f>
        <v>1</v>
      </c>
      <c r="CF750" s="167">
        <f>$N750/4</f>
        <v>1</v>
      </c>
      <c r="CG750" s="167">
        <f>$N750/4</f>
        <v>1</v>
      </c>
      <c r="CH750" s="167">
        <v>0</v>
      </c>
      <c r="CI750" s="167">
        <v>0</v>
      </c>
      <c r="CJ750" s="167">
        <v>0</v>
      </c>
      <c r="CK750" s="167">
        <v>0</v>
      </c>
      <c r="CL750" s="167">
        <v>0</v>
      </c>
      <c r="CM750" s="167">
        <v>0</v>
      </c>
      <c r="CN750" s="167">
        <v>0</v>
      </c>
      <c r="CO750" s="167">
        <v>0</v>
      </c>
      <c r="CP750" s="167">
        <v>0</v>
      </c>
      <c r="CQ750" s="167">
        <v>0</v>
      </c>
      <c r="CR750" s="167">
        <v>0</v>
      </c>
      <c r="CS750" s="167">
        <v>0</v>
      </c>
      <c r="CT750" s="167">
        <v>0</v>
      </c>
      <c r="CU750" s="167">
        <v>0</v>
      </c>
      <c r="CV750" s="167">
        <v>0</v>
      </c>
      <c r="CW750" s="167">
        <v>0</v>
      </c>
      <c r="CX750" s="167">
        <f>SUM(CD750:CH750)</f>
        <v>4</v>
      </c>
      <c r="CY750" s="167">
        <f>SUM(CD750:CM750)</f>
        <v>4</v>
      </c>
    </row>
    <row r="751" spans="1:103" ht="12.75" customHeight="1" x14ac:dyDescent="0.2">
      <c r="A751" s="81">
        <v>2410</v>
      </c>
      <c r="B751" s="165" t="s">
        <v>1930</v>
      </c>
      <c r="C751" s="165" t="s">
        <v>2474</v>
      </c>
      <c r="E751" s="165" t="s">
        <v>2475</v>
      </c>
      <c r="G751" s="81">
        <v>527525</v>
      </c>
      <c r="H751" s="81">
        <v>174930</v>
      </c>
      <c r="I751" s="165" t="s">
        <v>255</v>
      </c>
      <c r="L751" s="166">
        <v>0</v>
      </c>
      <c r="M751" s="166">
        <v>1</v>
      </c>
      <c r="N751" s="166">
        <v>1</v>
      </c>
      <c r="O751" s="166">
        <v>1</v>
      </c>
      <c r="P751" s="166">
        <v>1</v>
      </c>
      <c r="R751" s="165" t="s">
        <v>2476</v>
      </c>
      <c r="S751" s="81" t="s">
        <v>113</v>
      </c>
      <c r="T751" s="349">
        <v>42914</v>
      </c>
      <c r="U751" s="349">
        <v>43040</v>
      </c>
      <c r="V751" s="81" t="s">
        <v>155</v>
      </c>
      <c r="W751" s="81" t="s">
        <v>114</v>
      </c>
      <c r="Y751" s="81" t="s">
        <v>115</v>
      </c>
      <c r="Z751" s="81" t="s">
        <v>116</v>
      </c>
      <c r="AA751" s="81" t="s">
        <v>117</v>
      </c>
      <c r="AB751" s="81" t="s">
        <v>218</v>
      </c>
      <c r="AC751" s="166">
        <v>9.9999997764825804E-3</v>
      </c>
      <c r="AG751" s="81" t="s">
        <v>238</v>
      </c>
      <c r="AH751" s="81" t="s">
        <v>118</v>
      </c>
      <c r="AK751" s="166">
        <v>0</v>
      </c>
      <c r="AM751" s="166">
        <v>0</v>
      </c>
      <c r="AO751" s="166">
        <v>0</v>
      </c>
      <c r="AP751" s="166">
        <v>0</v>
      </c>
      <c r="AQ751" s="166">
        <v>0</v>
      </c>
      <c r="AR751" s="166">
        <v>0</v>
      </c>
      <c r="AS751" s="166">
        <v>1</v>
      </c>
      <c r="AT751" s="166">
        <v>0</v>
      </c>
      <c r="AU751" s="166">
        <v>0</v>
      </c>
      <c r="AV751" s="166">
        <v>0</v>
      </c>
      <c r="AW751" s="166">
        <v>0</v>
      </c>
      <c r="AX751" s="166">
        <v>0</v>
      </c>
      <c r="AY751" s="166">
        <v>0</v>
      </c>
      <c r="AZ751" s="166">
        <v>0</v>
      </c>
      <c r="BA751" s="166">
        <v>0</v>
      </c>
      <c r="BB751" s="166">
        <v>0</v>
      </c>
      <c r="BC751" s="166">
        <v>0</v>
      </c>
      <c r="BD751" s="166">
        <v>0</v>
      </c>
      <c r="BE751" s="166">
        <v>0</v>
      </c>
      <c r="BF751" s="166">
        <v>0</v>
      </c>
      <c r="BG751" s="166">
        <v>1</v>
      </c>
      <c r="BH751" s="166">
        <v>0</v>
      </c>
      <c r="BI751" s="166">
        <v>0</v>
      </c>
      <c r="BJ751" s="166">
        <v>0</v>
      </c>
      <c r="BK751" s="166">
        <v>0</v>
      </c>
      <c r="BL751" s="166">
        <v>0</v>
      </c>
      <c r="BM751" s="166">
        <v>0</v>
      </c>
      <c r="BN751" s="166">
        <v>0</v>
      </c>
      <c r="BO751" s="166">
        <v>0</v>
      </c>
      <c r="BP751" s="166">
        <v>0</v>
      </c>
      <c r="BQ751" s="81" t="s">
        <v>1757</v>
      </c>
      <c r="BR751" s="81" t="s">
        <v>160</v>
      </c>
      <c r="BZ751" s="81" t="s">
        <v>155</v>
      </c>
      <c r="CA751" s="81">
        <v>4</v>
      </c>
      <c r="CC751" s="167">
        <v>0</v>
      </c>
      <c r="CD751" s="167">
        <v>0</v>
      </c>
      <c r="CE751" s="167">
        <f>$N751/5</f>
        <v>0.2</v>
      </c>
      <c r="CF751" s="167">
        <f>$N751/5</f>
        <v>0.2</v>
      </c>
      <c r="CG751" s="167">
        <f>$N751/5</f>
        <v>0.2</v>
      </c>
      <c r="CH751" s="167">
        <f>$N751/5</f>
        <v>0.2</v>
      </c>
      <c r="CI751" s="167">
        <f>$N751/5</f>
        <v>0.2</v>
      </c>
      <c r="CJ751" s="167">
        <v>0</v>
      </c>
      <c r="CK751" s="167">
        <v>0</v>
      </c>
      <c r="CL751" s="167">
        <v>0</v>
      </c>
      <c r="CM751" s="167">
        <v>0</v>
      </c>
      <c r="CN751" s="167">
        <v>0</v>
      </c>
      <c r="CO751" s="167">
        <v>0</v>
      </c>
      <c r="CP751" s="167">
        <v>0</v>
      </c>
      <c r="CQ751" s="167">
        <v>0</v>
      </c>
      <c r="CR751" s="167">
        <v>0</v>
      </c>
      <c r="CS751" s="167">
        <v>0</v>
      </c>
      <c r="CT751" s="167">
        <v>0</v>
      </c>
      <c r="CU751" s="167">
        <v>0</v>
      </c>
      <c r="CV751" s="167">
        <v>0</v>
      </c>
      <c r="CW751" s="167">
        <v>0</v>
      </c>
      <c r="CX751" s="167">
        <f>SUM(CD751:CH751)</f>
        <v>0.8</v>
      </c>
      <c r="CY751" s="167">
        <f>SUM(CD751:CM751)</f>
        <v>1</v>
      </c>
    </row>
    <row r="752" spans="1:103" ht="12.75" customHeight="1" x14ac:dyDescent="0.2">
      <c r="A752" s="81">
        <v>2411</v>
      </c>
      <c r="B752" s="165" t="s">
        <v>1930</v>
      </c>
      <c r="C752" s="165" t="s">
        <v>979</v>
      </c>
      <c r="D752" s="165" t="s">
        <v>508</v>
      </c>
      <c r="E752" s="165" t="s">
        <v>1982</v>
      </c>
      <c r="F752" s="165" t="s">
        <v>4043</v>
      </c>
      <c r="G752" s="81">
        <v>528934</v>
      </c>
      <c r="H752" s="81">
        <v>177496</v>
      </c>
      <c r="I752" s="165" t="s">
        <v>240</v>
      </c>
      <c r="L752" s="166">
        <v>0</v>
      </c>
      <c r="M752" s="166">
        <v>664</v>
      </c>
      <c r="N752" s="166">
        <v>664</v>
      </c>
      <c r="O752" s="166">
        <v>2735</v>
      </c>
      <c r="P752" s="166">
        <v>2735</v>
      </c>
      <c r="Q752" s="81" t="s">
        <v>155</v>
      </c>
      <c r="R752" s="165" t="s">
        <v>980</v>
      </c>
      <c r="S752" s="81" t="s">
        <v>509</v>
      </c>
      <c r="T752" s="349">
        <v>42431</v>
      </c>
      <c r="U752" s="349">
        <v>42682</v>
      </c>
      <c r="W752" s="81" t="s">
        <v>114</v>
      </c>
      <c r="Y752" s="81" t="s">
        <v>115</v>
      </c>
      <c r="Z752" s="81" t="s">
        <v>116</v>
      </c>
      <c r="AA752" s="81" t="s">
        <v>116</v>
      </c>
      <c r="AB752" s="81" t="s">
        <v>117</v>
      </c>
      <c r="AC752" s="166">
        <v>0.83799999999999997</v>
      </c>
      <c r="AG752" s="81" t="s">
        <v>238</v>
      </c>
      <c r="AH752" s="81" t="s">
        <v>118</v>
      </c>
      <c r="AI752" s="353" t="s">
        <v>1983</v>
      </c>
      <c r="AK752" s="166">
        <v>664</v>
      </c>
      <c r="AM752" s="166">
        <v>66</v>
      </c>
      <c r="AO752" s="166">
        <v>0</v>
      </c>
      <c r="AP752" s="166">
        <v>275</v>
      </c>
      <c r="AQ752" s="166">
        <v>267</v>
      </c>
      <c r="AR752" s="166">
        <v>95</v>
      </c>
      <c r="AS752" s="166">
        <v>8</v>
      </c>
      <c r="AT752" s="166">
        <v>19</v>
      </c>
      <c r="AU752" s="166">
        <v>0</v>
      </c>
      <c r="AV752" s="166">
        <v>0</v>
      </c>
      <c r="AW752" s="166">
        <v>275</v>
      </c>
      <c r="AX752" s="166">
        <v>267</v>
      </c>
      <c r="AY752" s="166">
        <v>95</v>
      </c>
      <c r="AZ752" s="166">
        <v>8</v>
      </c>
      <c r="BA752" s="166">
        <v>19</v>
      </c>
      <c r="BB752" s="166">
        <v>0</v>
      </c>
      <c r="BC752" s="166">
        <v>0</v>
      </c>
      <c r="BD752" s="166">
        <v>0</v>
      </c>
      <c r="BE752" s="166">
        <v>0</v>
      </c>
      <c r="BF752" s="166">
        <v>0</v>
      </c>
      <c r="BG752" s="166">
        <v>0</v>
      </c>
      <c r="BH752" s="166">
        <v>0</v>
      </c>
      <c r="BI752" s="166">
        <v>0</v>
      </c>
      <c r="BJ752" s="166">
        <v>0</v>
      </c>
      <c r="BK752" s="166">
        <v>0</v>
      </c>
      <c r="BL752" s="166">
        <v>0</v>
      </c>
      <c r="BM752" s="166">
        <v>0</v>
      </c>
      <c r="BN752" s="166">
        <v>0</v>
      </c>
      <c r="BO752" s="166">
        <v>0</v>
      </c>
      <c r="BP752" s="166">
        <v>0</v>
      </c>
      <c r="BQ752" s="81" t="s">
        <v>1759</v>
      </c>
      <c r="BS752" s="81" t="s">
        <v>155</v>
      </c>
      <c r="BZ752" s="81" t="s">
        <v>155</v>
      </c>
      <c r="CA752" s="81">
        <v>12</v>
      </c>
      <c r="CC752" s="167">
        <v>0</v>
      </c>
      <c r="CD752" s="167">
        <v>0</v>
      </c>
      <c r="CE752" s="167">
        <v>0</v>
      </c>
      <c r="CF752" s="167">
        <v>0</v>
      </c>
      <c r="CG752" s="167">
        <v>0</v>
      </c>
      <c r="CH752" s="167">
        <v>300</v>
      </c>
      <c r="CI752" s="167">
        <v>300</v>
      </c>
      <c r="CJ752" s="167">
        <v>64</v>
      </c>
      <c r="CK752" s="167">
        <v>0</v>
      </c>
      <c r="CL752" s="167">
        <v>0</v>
      </c>
      <c r="CM752" s="167">
        <v>0</v>
      </c>
      <c r="CN752" s="167">
        <v>0</v>
      </c>
      <c r="CO752" s="167">
        <v>0</v>
      </c>
      <c r="CP752" s="167">
        <v>0</v>
      </c>
      <c r="CQ752" s="167">
        <v>0</v>
      </c>
      <c r="CR752" s="167">
        <v>0</v>
      </c>
      <c r="CS752" s="167">
        <v>0</v>
      </c>
      <c r="CT752" s="167">
        <v>0</v>
      </c>
      <c r="CU752" s="167">
        <v>0</v>
      </c>
      <c r="CV752" s="167">
        <v>0</v>
      </c>
      <c r="CW752" s="167">
        <v>0</v>
      </c>
      <c r="CX752" s="167">
        <v>664</v>
      </c>
      <c r="CY752" s="167">
        <v>664</v>
      </c>
    </row>
    <row r="753" spans="1:103" ht="12.75" customHeight="1" x14ac:dyDescent="0.2">
      <c r="A753" s="81">
        <v>2411</v>
      </c>
      <c r="B753" s="165" t="s">
        <v>1930</v>
      </c>
      <c r="C753" s="165" t="s">
        <v>979</v>
      </c>
      <c r="D753" s="165" t="s">
        <v>508</v>
      </c>
      <c r="E753" s="165" t="s">
        <v>1982</v>
      </c>
      <c r="F753" s="165" t="s">
        <v>4035</v>
      </c>
      <c r="G753" s="81">
        <v>528934</v>
      </c>
      <c r="H753" s="81">
        <v>177496</v>
      </c>
      <c r="I753" s="165" t="s">
        <v>240</v>
      </c>
      <c r="L753" s="166">
        <v>0</v>
      </c>
      <c r="M753" s="166">
        <v>152</v>
      </c>
      <c r="N753" s="166">
        <v>152</v>
      </c>
      <c r="O753" s="166">
        <v>2735</v>
      </c>
      <c r="P753" s="166">
        <v>2735</v>
      </c>
      <c r="Q753" s="81" t="s">
        <v>155</v>
      </c>
      <c r="R753" s="165" t="s">
        <v>980</v>
      </c>
      <c r="S753" s="81" t="s">
        <v>509</v>
      </c>
      <c r="T753" s="349">
        <v>42431</v>
      </c>
      <c r="U753" s="349">
        <v>42682</v>
      </c>
      <c r="W753" s="81" t="s">
        <v>114</v>
      </c>
      <c r="Y753" s="81" t="s">
        <v>115</v>
      </c>
      <c r="Z753" s="81" t="s">
        <v>116</v>
      </c>
      <c r="AA753" s="81" t="s">
        <v>116</v>
      </c>
      <c r="AB753" s="81" t="s">
        <v>117</v>
      </c>
      <c r="AC753" s="166">
        <v>0.21</v>
      </c>
      <c r="AG753" s="81" t="s">
        <v>238</v>
      </c>
      <c r="AH753" s="81" t="s">
        <v>118</v>
      </c>
      <c r="AI753" s="352" t="s">
        <v>1983</v>
      </c>
      <c r="AK753" s="166">
        <v>152</v>
      </c>
      <c r="AM753" s="166">
        <v>15</v>
      </c>
      <c r="AO753" s="166">
        <v>26</v>
      </c>
      <c r="AP753" s="166">
        <v>1</v>
      </c>
      <c r="AQ753" s="166">
        <v>31</v>
      </c>
      <c r="AR753" s="166">
        <v>55</v>
      </c>
      <c r="AS753" s="166">
        <v>14</v>
      </c>
      <c r="AT753" s="166">
        <v>25</v>
      </c>
      <c r="AU753" s="166">
        <v>0</v>
      </c>
      <c r="AV753" s="166">
        <v>26</v>
      </c>
      <c r="AW753" s="166">
        <v>1</v>
      </c>
      <c r="AX753" s="166">
        <v>31</v>
      </c>
      <c r="AY753" s="166">
        <v>55</v>
      </c>
      <c r="AZ753" s="166">
        <v>14</v>
      </c>
      <c r="BA753" s="166">
        <v>25</v>
      </c>
      <c r="BB753" s="166">
        <v>0</v>
      </c>
      <c r="BC753" s="166">
        <v>0</v>
      </c>
      <c r="BD753" s="166">
        <v>0</v>
      </c>
      <c r="BE753" s="166">
        <v>0</v>
      </c>
      <c r="BF753" s="166">
        <v>0</v>
      </c>
      <c r="BG753" s="166">
        <v>0</v>
      </c>
      <c r="BH753" s="166">
        <v>0</v>
      </c>
      <c r="BI753" s="166">
        <v>0</v>
      </c>
      <c r="BJ753" s="166">
        <v>0</v>
      </c>
      <c r="BK753" s="166">
        <v>0</v>
      </c>
      <c r="BL753" s="166">
        <v>0</v>
      </c>
      <c r="BM753" s="166">
        <v>0</v>
      </c>
      <c r="BN753" s="166">
        <v>0</v>
      </c>
      <c r="BO753" s="166">
        <v>0</v>
      </c>
      <c r="BP753" s="166">
        <v>0</v>
      </c>
      <c r="BQ753" s="81" t="s">
        <v>1759</v>
      </c>
      <c r="BS753" s="81" t="s">
        <v>155</v>
      </c>
      <c r="BZ753" s="81" t="s">
        <v>155</v>
      </c>
      <c r="CA753" s="81">
        <v>12</v>
      </c>
      <c r="CC753" s="167">
        <v>0</v>
      </c>
      <c r="CD753" s="167">
        <v>0</v>
      </c>
      <c r="CE753" s="167">
        <v>0</v>
      </c>
      <c r="CF753" s="167">
        <v>0</v>
      </c>
      <c r="CG753" s="167">
        <v>0</v>
      </c>
      <c r="CH753" s="167">
        <v>0</v>
      </c>
      <c r="CI753" s="167">
        <v>0</v>
      </c>
      <c r="CJ753" s="167">
        <v>0</v>
      </c>
      <c r="CK753" s="166">
        <v>152</v>
      </c>
      <c r="CL753" s="167">
        <v>0</v>
      </c>
      <c r="CM753" s="167">
        <v>0</v>
      </c>
      <c r="CN753" s="167">
        <v>0</v>
      </c>
      <c r="CO753" s="167">
        <v>0</v>
      </c>
      <c r="CP753" s="167">
        <v>0</v>
      </c>
      <c r="CQ753" s="167">
        <v>0</v>
      </c>
      <c r="CR753" s="167">
        <v>0</v>
      </c>
      <c r="CS753" s="167">
        <v>0</v>
      </c>
      <c r="CT753" s="167">
        <v>0</v>
      </c>
      <c r="CU753" s="167">
        <v>0</v>
      </c>
      <c r="CV753" s="167">
        <v>0</v>
      </c>
      <c r="CW753" s="167">
        <v>0</v>
      </c>
      <c r="CX753" s="167">
        <v>0</v>
      </c>
      <c r="CY753" s="167">
        <v>152</v>
      </c>
    </row>
    <row r="754" spans="1:103" ht="12.75" customHeight="1" x14ac:dyDescent="0.2">
      <c r="A754" s="81">
        <v>2411</v>
      </c>
      <c r="B754" s="165" t="s">
        <v>1930</v>
      </c>
      <c r="C754" s="165" t="s">
        <v>1678</v>
      </c>
      <c r="D754" s="165" t="s">
        <v>508</v>
      </c>
      <c r="E754" s="165" t="s">
        <v>1982</v>
      </c>
      <c r="F754" s="165" t="s">
        <v>1132</v>
      </c>
      <c r="G754" s="81">
        <v>528934</v>
      </c>
      <c r="H754" s="81">
        <v>177496</v>
      </c>
      <c r="I754" s="165" t="s">
        <v>240</v>
      </c>
      <c r="J754" s="349">
        <v>42506</v>
      </c>
      <c r="L754" s="166">
        <v>0</v>
      </c>
      <c r="M754" s="166">
        <v>147</v>
      </c>
      <c r="N754" s="166">
        <v>147</v>
      </c>
      <c r="O754" s="166">
        <v>1192</v>
      </c>
      <c r="P754" s="166">
        <v>1192</v>
      </c>
      <c r="Q754" s="81" t="s">
        <v>155</v>
      </c>
      <c r="R754" s="165" t="s">
        <v>1679</v>
      </c>
      <c r="S754" s="81" t="s">
        <v>4042</v>
      </c>
      <c r="T754" s="349">
        <v>42809</v>
      </c>
      <c r="U754" s="349">
        <v>43049</v>
      </c>
      <c r="V754" s="81" t="s">
        <v>155</v>
      </c>
      <c r="W754" s="81" t="s">
        <v>114</v>
      </c>
      <c r="Y754" s="81" t="s">
        <v>115</v>
      </c>
      <c r="Z754" s="81" t="s">
        <v>116</v>
      </c>
      <c r="AA754" s="81" t="s">
        <v>116</v>
      </c>
      <c r="AB754" s="81" t="s">
        <v>117</v>
      </c>
      <c r="AC754" s="166">
        <v>0.186</v>
      </c>
      <c r="AD754" s="349"/>
      <c r="AG754" s="81" t="s">
        <v>74</v>
      </c>
      <c r="AH754" s="81" t="s">
        <v>880</v>
      </c>
      <c r="AI754" s="81" t="s">
        <v>1983</v>
      </c>
      <c r="AK754" s="166">
        <v>147</v>
      </c>
      <c r="AM754" s="166">
        <v>15</v>
      </c>
      <c r="AO754" s="166">
        <v>0</v>
      </c>
      <c r="AP754" s="166">
        <v>21</v>
      </c>
      <c r="AQ754" s="166">
        <v>71</v>
      </c>
      <c r="AR754" s="166">
        <v>47</v>
      </c>
      <c r="AS754" s="166">
        <v>8</v>
      </c>
      <c r="AT754" s="166">
        <v>0</v>
      </c>
      <c r="AU754" s="166">
        <v>0</v>
      </c>
      <c r="AV754" s="166">
        <v>0</v>
      </c>
      <c r="AW754" s="166">
        <v>21</v>
      </c>
      <c r="AX754" s="166">
        <v>71</v>
      </c>
      <c r="AY754" s="166">
        <v>47</v>
      </c>
      <c r="AZ754" s="166">
        <v>8</v>
      </c>
      <c r="BA754" s="166">
        <v>0</v>
      </c>
      <c r="BB754" s="166">
        <v>0</v>
      </c>
      <c r="BC754" s="166">
        <v>0</v>
      </c>
      <c r="BD754" s="166">
        <v>0</v>
      </c>
      <c r="BE754" s="166">
        <v>0</v>
      </c>
      <c r="BF754" s="166">
        <v>0</v>
      </c>
      <c r="BG754" s="166">
        <v>0</v>
      </c>
      <c r="BH754" s="166">
        <v>0</v>
      </c>
      <c r="BI754" s="166">
        <v>0</v>
      </c>
      <c r="BJ754" s="166">
        <v>0</v>
      </c>
      <c r="BK754" s="166">
        <v>0</v>
      </c>
      <c r="BL754" s="166">
        <v>0</v>
      </c>
      <c r="BM754" s="166">
        <v>0</v>
      </c>
      <c r="BN754" s="166">
        <v>0</v>
      </c>
      <c r="BO754" s="166">
        <v>0</v>
      </c>
      <c r="BP754" s="166">
        <v>0</v>
      </c>
      <c r="BQ754" s="81" t="s">
        <v>1759</v>
      </c>
      <c r="BS754" s="81" t="s">
        <v>155</v>
      </c>
      <c r="BZ754" s="81" t="s">
        <v>155</v>
      </c>
      <c r="CA754" s="81">
        <v>12</v>
      </c>
      <c r="CC754" s="167">
        <v>0</v>
      </c>
      <c r="CD754" s="167">
        <v>0</v>
      </c>
      <c r="CE754" s="167">
        <v>0</v>
      </c>
      <c r="CF754" s="167">
        <v>0</v>
      </c>
      <c r="CG754" s="167">
        <v>0</v>
      </c>
      <c r="CH754" s="167">
        <v>0</v>
      </c>
      <c r="CI754" s="167">
        <v>0</v>
      </c>
      <c r="CJ754" s="167">
        <v>0</v>
      </c>
      <c r="CK754" s="167">
        <v>0</v>
      </c>
      <c r="CL754" s="166">
        <v>147</v>
      </c>
      <c r="CM754" s="167">
        <v>0</v>
      </c>
      <c r="CN754" s="167">
        <v>0</v>
      </c>
      <c r="CO754" s="167">
        <v>0</v>
      </c>
      <c r="CP754" s="167">
        <v>0</v>
      </c>
      <c r="CQ754" s="167">
        <v>0</v>
      </c>
      <c r="CR754" s="167">
        <v>0</v>
      </c>
      <c r="CS754" s="167">
        <v>0</v>
      </c>
      <c r="CT754" s="167">
        <v>0</v>
      </c>
      <c r="CU754" s="167">
        <v>0</v>
      </c>
      <c r="CV754" s="167">
        <v>0</v>
      </c>
      <c r="CW754" s="167">
        <v>0</v>
      </c>
      <c r="CX754" s="167">
        <v>0</v>
      </c>
      <c r="CY754" s="167">
        <v>147</v>
      </c>
    </row>
    <row r="755" spans="1:103" ht="12.75" customHeight="1" x14ac:dyDescent="0.2">
      <c r="A755" s="81">
        <v>2411</v>
      </c>
      <c r="B755" s="165" t="s">
        <v>1930</v>
      </c>
      <c r="C755" s="165" t="s">
        <v>1678</v>
      </c>
      <c r="D755" s="165" t="s">
        <v>508</v>
      </c>
      <c r="E755" s="165" t="s">
        <v>1982</v>
      </c>
      <c r="F755" s="165" t="s">
        <v>1132</v>
      </c>
      <c r="G755" s="81">
        <v>528934</v>
      </c>
      <c r="H755" s="81">
        <v>177496</v>
      </c>
      <c r="I755" s="165" t="s">
        <v>240</v>
      </c>
      <c r="J755" s="349">
        <v>42506</v>
      </c>
      <c r="L755" s="166">
        <v>0</v>
      </c>
      <c r="M755" s="166">
        <v>11</v>
      </c>
      <c r="N755" s="166">
        <v>11</v>
      </c>
      <c r="O755" s="166">
        <v>1192</v>
      </c>
      <c r="P755" s="166">
        <v>1192</v>
      </c>
      <c r="Q755" s="81" t="s">
        <v>155</v>
      </c>
      <c r="R755" s="165" t="s">
        <v>1679</v>
      </c>
      <c r="S755" s="81" t="s">
        <v>4042</v>
      </c>
      <c r="T755" s="349">
        <v>42809</v>
      </c>
      <c r="U755" s="349">
        <v>43049</v>
      </c>
      <c r="V755" s="81" t="s">
        <v>155</v>
      </c>
      <c r="W755" s="81" t="s">
        <v>114</v>
      </c>
      <c r="Y755" s="81" t="s">
        <v>115</v>
      </c>
      <c r="Z755" s="81" t="s">
        <v>116</v>
      </c>
      <c r="AA755" s="81" t="s">
        <v>116</v>
      </c>
      <c r="AB755" s="81" t="s">
        <v>117</v>
      </c>
      <c r="AC755" s="166">
        <v>1.4E-2</v>
      </c>
      <c r="AD755" s="349"/>
      <c r="AG755" s="81" t="s">
        <v>74</v>
      </c>
      <c r="AH755" s="81" t="s">
        <v>895</v>
      </c>
      <c r="AI755" s="81" t="s">
        <v>1983</v>
      </c>
      <c r="AK755" s="166">
        <v>11</v>
      </c>
      <c r="AM755" s="166">
        <v>1</v>
      </c>
      <c r="AO755" s="166">
        <v>0</v>
      </c>
      <c r="AP755" s="166">
        <v>11</v>
      </c>
      <c r="AQ755" s="166">
        <v>0</v>
      </c>
      <c r="AR755" s="166">
        <v>0</v>
      </c>
      <c r="AS755" s="166">
        <v>0</v>
      </c>
      <c r="AT755" s="166">
        <v>0</v>
      </c>
      <c r="AU755" s="166">
        <v>0</v>
      </c>
      <c r="AV755" s="166">
        <v>0</v>
      </c>
      <c r="AW755" s="166">
        <v>11</v>
      </c>
      <c r="AX755" s="166">
        <v>0</v>
      </c>
      <c r="AY755" s="166">
        <v>0</v>
      </c>
      <c r="AZ755" s="166">
        <v>0</v>
      </c>
      <c r="BA755" s="166">
        <v>0</v>
      </c>
      <c r="BB755" s="166">
        <v>0</v>
      </c>
      <c r="BC755" s="166">
        <v>0</v>
      </c>
      <c r="BD755" s="166">
        <v>0</v>
      </c>
      <c r="BE755" s="166">
        <v>0</v>
      </c>
      <c r="BF755" s="166">
        <v>0</v>
      </c>
      <c r="BG755" s="166">
        <v>0</v>
      </c>
      <c r="BH755" s="166">
        <v>0</v>
      </c>
      <c r="BI755" s="166">
        <v>0</v>
      </c>
      <c r="BJ755" s="166">
        <v>0</v>
      </c>
      <c r="BK755" s="166">
        <v>0</v>
      </c>
      <c r="BL755" s="166">
        <v>0</v>
      </c>
      <c r="BM755" s="166">
        <v>0</v>
      </c>
      <c r="BN755" s="166">
        <v>0</v>
      </c>
      <c r="BO755" s="166">
        <v>0</v>
      </c>
      <c r="BP755" s="166">
        <v>0</v>
      </c>
      <c r="BQ755" s="81" t="s">
        <v>1759</v>
      </c>
      <c r="BS755" s="81" t="s">
        <v>155</v>
      </c>
      <c r="BZ755" s="81" t="s">
        <v>155</v>
      </c>
      <c r="CA755" s="81">
        <v>12</v>
      </c>
      <c r="CC755" s="167">
        <v>0</v>
      </c>
      <c r="CD755" s="167">
        <v>0</v>
      </c>
      <c r="CE755" s="167">
        <v>0</v>
      </c>
      <c r="CF755" s="167">
        <v>0</v>
      </c>
      <c r="CG755" s="167">
        <v>0</v>
      </c>
      <c r="CH755" s="167">
        <v>0</v>
      </c>
      <c r="CI755" s="167">
        <v>0</v>
      </c>
      <c r="CJ755" s="167">
        <v>0</v>
      </c>
      <c r="CK755" s="167">
        <v>0</v>
      </c>
      <c r="CL755" s="166">
        <v>11</v>
      </c>
      <c r="CM755" s="167">
        <v>0</v>
      </c>
      <c r="CN755" s="167">
        <v>0</v>
      </c>
      <c r="CO755" s="167">
        <v>0</v>
      </c>
      <c r="CP755" s="167">
        <v>0</v>
      </c>
      <c r="CQ755" s="167">
        <v>0</v>
      </c>
      <c r="CR755" s="167">
        <v>0</v>
      </c>
      <c r="CS755" s="167">
        <v>0</v>
      </c>
      <c r="CT755" s="167">
        <v>0</v>
      </c>
      <c r="CU755" s="167">
        <v>0</v>
      </c>
      <c r="CV755" s="167">
        <v>0</v>
      </c>
      <c r="CW755" s="167">
        <v>0</v>
      </c>
      <c r="CX755" s="167">
        <v>0</v>
      </c>
      <c r="CY755" s="167">
        <v>11</v>
      </c>
    </row>
    <row r="756" spans="1:103" ht="12.75" customHeight="1" x14ac:dyDescent="0.2">
      <c r="A756" s="81">
        <v>2411</v>
      </c>
      <c r="B756" s="165" t="s">
        <v>1930</v>
      </c>
      <c r="C756" s="165" t="s">
        <v>1678</v>
      </c>
      <c r="D756" s="165" t="s">
        <v>508</v>
      </c>
      <c r="E756" s="165" t="s">
        <v>1982</v>
      </c>
      <c r="F756" s="165" t="s">
        <v>4041</v>
      </c>
      <c r="G756" s="81">
        <v>528934</v>
      </c>
      <c r="H756" s="81">
        <v>177496</v>
      </c>
      <c r="I756" s="165" t="s">
        <v>240</v>
      </c>
      <c r="J756" s="349">
        <v>42506</v>
      </c>
      <c r="L756" s="166">
        <v>0</v>
      </c>
      <c r="M756" s="166">
        <v>306</v>
      </c>
      <c r="N756" s="166">
        <v>306</v>
      </c>
      <c r="O756" s="166">
        <v>1192</v>
      </c>
      <c r="P756" s="166">
        <v>1192</v>
      </c>
      <c r="Q756" s="81" t="s">
        <v>155</v>
      </c>
      <c r="R756" s="165" t="s">
        <v>1679</v>
      </c>
      <c r="S756" s="81" t="s">
        <v>4042</v>
      </c>
      <c r="T756" s="349">
        <v>42809</v>
      </c>
      <c r="U756" s="349">
        <v>43049</v>
      </c>
      <c r="V756" s="81" t="s">
        <v>155</v>
      </c>
      <c r="W756" s="81" t="s">
        <v>114</v>
      </c>
      <c r="Y756" s="81" t="s">
        <v>115</v>
      </c>
      <c r="Z756" s="81" t="s">
        <v>116</v>
      </c>
      <c r="AA756" s="81" t="s">
        <v>116</v>
      </c>
      <c r="AB756" s="81" t="s">
        <v>117</v>
      </c>
      <c r="AC756" s="166">
        <v>0.38600000000000001</v>
      </c>
      <c r="AD756" s="349"/>
      <c r="AG756" s="81" t="s">
        <v>238</v>
      </c>
      <c r="AH756" s="81" t="s">
        <v>118</v>
      </c>
      <c r="AI756" s="81" t="s">
        <v>1983</v>
      </c>
      <c r="AK756" s="166">
        <v>306</v>
      </c>
      <c r="AM756" s="166">
        <v>31</v>
      </c>
      <c r="AO756" s="166">
        <v>29</v>
      </c>
      <c r="AP756" s="166">
        <v>0</v>
      </c>
      <c r="AQ756" s="166">
        <v>36</v>
      </c>
      <c r="AR756" s="166">
        <v>140</v>
      </c>
      <c r="AS756" s="166">
        <v>35</v>
      </c>
      <c r="AT756" s="166">
        <v>66</v>
      </c>
      <c r="AU756" s="166">
        <v>0</v>
      </c>
      <c r="AV756" s="166">
        <v>29</v>
      </c>
      <c r="AW756" s="166">
        <v>0</v>
      </c>
      <c r="AX756" s="166">
        <v>36</v>
      </c>
      <c r="AY756" s="166">
        <v>140</v>
      </c>
      <c r="AZ756" s="166">
        <v>35</v>
      </c>
      <c r="BA756" s="166">
        <v>66</v>
      </c>
      <c r="BB756" s="166">
        <v>0</v>
      </c>
      <c r="BC756" s="166">
        <v>0</v>
      </c>
      <c r="BD756" s="166">
        <v>0</v>
      </c>
      <c r="BE756" s="166">
        <v>0</v>
      </c>
      <c r="BF756" s="166">
        <v>0</v>
      </c>
      <c r="BG756" s="166">
        <v>0</v>
      </c>
      <c r="BH756" s="166">
        <v>0</v>
      </c>
      <c r="BI756" s="166">
        <v>0</v>
      </c>
      <c r="BJ756" s="166">
        <v>0</v>
      </c>
      <c r="BK756" s="166">
        <v>0</v>
      </c>
      <c r="BL756" s="166">
        <v>0</v>
      </c>
      <c r="BM756" s="166">
        <v>0</v>
      </c>
      <c r="BN756" s="166">
        <v>0</v>
      </c>
      <c r="BO756" s="166">
        <v>0</v>
      </c>
      <c r="BP756" s="166">
        <v>0</v>
      </c>
      <c r="BQ756" s="81" t="s">
        <v>1759</v>
      </c>
      <c r="BS756" s="81" t="s">
        <v>155</v>
      </c>
      <c r="BZ756" s="81" t="s">
        <v>155</v>
      </c>
      <c r="CA756" s="81">
        <v>12</v>
      </c>
      <c r="CC756" s="167">
        <v>0</v>
      </c>
      <c r="CD756" s="167">
        <v>0</v>
      </c>
      <c r="CE756" s="167">
        <v>0</v>
      </c>
      <c r="CF756" s="167">
        <v>0</v>
      </c>
      <c r="CG756" s="167">
        <v>0</v>
      </c>
      <c r="CH756" s="167">
        <v>0</v>
      </c>
      <c r="CI756" s="167">
        <v>0</v>
      </c>
      <c r="CJ756" s="166">
        <v>300</v>
      </c>
      <c r="CK756" s="167">
        <v>6</v>
      </c>
      <c r="CL756" s="167">
        <v>0</v>
      </c>
      <c r="CM756" s="167">
        <v>0</v>
      </c>
      <c r="CN756" s="167">
        <v>0</v>
      </c>
      <c r="CO756" s="167">
        <v>0</v>
      </c>
      <c r="CP756" s="167">
        <v>0</v>
      </c>
      <c r="CQ756" s="167">
        <v>0</v>
      </c>
      <c r="CR756" s="167">
        <v>0</v>
      </c>
      <c r="CS756" s="167">
        <v>0</v>
      </c>
      <c r="CT756" s="167">
        <v>0</v>
      </c>
      <c r="CU756" s="167">
        <v>0</v>
      </c>
      <c r="CV756" s="167">
        <v>0</v>
      </c>
      <c r="CW756" s="167">
        <v>0</v>
      </c>
      <c r="CX756" s="167">
        <v>0</v>
      </c>
      <c r="CY756" s="167">
        <v>306</v>
      </c>
    </row>
    <row r="757" spans="1:103" ht="12.75" customHeight="1" x14ac:dyDescent="0.2">
      <c r="A757" s="81">
        <v>2411</v>
      </c>
      <c r="B757" s="165" t="s">
        <v>1930</v>
      </c>
      <c r="C757" s="165" t="s">
        <v>1678</v>
      </c>
      <c r="D757" s="165" t="s">
        <v>508</v>
      </c>
      <c r="E757" s="165" t="s">
        <v>1982</v>
      </c>
      <c r="F757" s="165" t="s">
        <v>4041</v>
      </c>
      <c r="G757" s="81">
        <v>528934</v>
      </c>
      <c r="H757" s="81">
        <v>177496</v>
      </c>
      <c r="I757" s="165" t="s">
        <v>240</v>
      </c>
      <c r="J757" s="349">
        <v>42506</v>
      </c>
      <c r="L757" s="166">
        <v>0</v>
      </c>
      <c r="M757" s="166">
        <v>92</v>
      </c>
      <c r="N757" s="166">
        <v>92</v>
      </c>
      <c r="O757" s="166">
        <v>1192</v>
      </c>
      <c r="P757" s="166">
        <v>1192</v>
      </c>
      <c r="Q757" s="81" t="s">
        <v>155</v>
      </c>
      <c r="R757" s="165" t="s">
        <v>1679</v>
      </c>
      <c r="S757" s="81" t="s">
        <v>4042</v>
      </c>
      <c r="T757" s="349">
        <v>42809</v>
      </c>
      <c r="U757" s="349">
        <v>43049</v>
      </c>
      <c r="V757" s="81" t="s">
        <v>155</v>
      </c>
      <c r="W757" s="81" t="s">
        <v>114</v>
      </c>
      <c r="Y757" s="81" t="s">
        <v>115</v>
      </c>
      <c r="Z757" s="81" t="s">
        <v>116</v>
      </c>
      <c r="AA757" s="81" t="s">
        <v>116</v>
      </c>
      <c r="AB757" s="81" t="s">
        <v>117</v>
      </c>
      <c r="AC757" s="166">
        <v>0.11600000000000001</v>
      </c>
      <c r="AD757" s="349"/>
      <c r="AG757" s="81" t="s">
        <v>74</v>
      </c>
      <c r="AH757" s="81" t="s">
        <v>895</v>
      </c>
      <c r="AI757" s="81" t="s">
        <v>1983</v>
      </c>
      <c r="AK757" s="166">
        <v>92</v>
      </c>
      <c r="AM757" s="166">
        <v>9</v>
      </c>
      <c r="AO757" s="166">
        <v>0</v>
      </c>
      <c r="AP757" s="166">
        <v>41</v>
      </c>
      <c r="AQ757" s="166">
        <v>48</v>
      </c>
      <c r="AR757" s="166">
        <v>3</v>
      </c>
      <c r="AS757" s="166">
        <v>0</v>
      </c>
      <c r="AT757" s="166">
        <v>0</v>
      </c>
      <c r="AU757" s="166">
        <v>0</v>
      </c>
      <c r="AV757" s="166">
        <v>0</v>
      </c>
      <c r="AW757" s="166">
        <v>41</v>
      </c>
      <c r="AX757" s="166">
        <v>48</v>
      </c>
      <c r="AY757" s="166">
        <v>3</v>
      </c>
      <c r="AZ757" s="166">
        <v>0</v>
      </c>
      <c r="BA757" s="166">
        <v>0</v>
      </c>
      <c r="BB757" s="166">
        <v>0</v>
      </c>
      <c r="BC757" s="166">
        <v>0</v>
      </c>
      <c r="BD757" s="166">
        <v>0</v>
      </c>
      <c r="BE757" s="166">
        <v>0</v>
      </c>
      <c r="BF757" s="166">
        <v>0</v>
      </c>
      <c r="BG757" s="166">
        <v>0</v>
      </c>
      <c r="BH757" s="166">
        <v>0</v>
      </c>
      <c r="BI757" s="166">
        <v>0</v>
      </c>
      <c r="BJ757" s="166">
        <v>0</v>
      </c>
      <c r="BK757" s="166">
        <v>0</v>
      </c>
      <c r="BL757" s="166">
        <v>0</v>
      </c>
      <c r="BM757" s="166">
        <v>0</v>
      </c>
      <c r="BN757" s="166">
        <v>0</v>
      </c>
      <c r="BO757" s="166">
        <v>0</v>
      </c>
      <c r="BP757" s="166">
        <v>0</v>
      </c>
      <c r="BQ757" s="81" t="s">
        <v>1759</v>
      </c>
      <c r="BS757" s="81" t="s">
        <v>155</v>
      </c>
      <c r="BZ757" s="81" t="s">
        <v>155</v>
      </c>
      <c r="CA757" s="81">
        <v>12</v>
      </c>
      <c r="CC757" s="167">
        <v>0</v>
      </c>
      <c r="CD757" s="167">
        <v>0</v>
      </c>
      <c r="CE757" s="167">
        <v>0</v>
      </c>
      <c r="CF757" s="167">
        <v>0</v>
      </c>
      <c r="CG757" s="167">
        <v>0</v>
      </c>
      <c r="CH757" s="167">
        <v>0</v>
      </c>
      <c r="CI757" s="167">
        <v>0</v>
      </c>
      <c r="CJ757" s="166">
        <v>0</v>
      </c>
      <c r="CK757" s="167">
        <v>92</v>
      </c>
      <c r="CL757" s="167">
        <v>0</v>
      </c>
      <c r="CM757" s="167">
        <v>0</v>
      </c>
      <c r="CN757" s="167">
        <v>0</v>
      </c>
      <c r="CO757" s="167">
        <v>0</v>
      </c>
      <c r="CP757" s="167">
        <v>0</v>
      </c>
      <c r="CQ757" s="167">
        <v>0</v>
      </c>
      <c r="CR757" s="167">
        <v>0</v>
      </c>
      <c r="CS757" s="167">
        <v>0</v>
      </c>
      <c r="CT757" s="167">
        <v>0</v>
      </c>
      <c r="CU757" s="167">
        <v>0</v>
      </c>
      <c r="CV757" s="167">
        <v>0</v>
      </c>
      <c r="CW757" s="167">
        <v>0</v>
      </c>
      <c r="CX757" s="167">
        <v>0</v>
      </c>
      <c r="CY757" s="167">
        <v>92</v>
      </c>
    </row>
    <row r="758" spans="1:103" ht="12.75" customHeight="1" x14ac:dyDescent="0.2">
      <c r="A758" s="81">
        <v>2411</v>
      </c>
      <c r="B758" s="165" t="s">
        <v>1930</v>
      </c>
      <c r="C758" s="165" t="s">
        <v>1846</v>
      </c>
      <c r="D758" s="165" t="s">
        <v>508</v>
      </c>
      <c r="E758" s="165" t="s">
        <v>1982</v>
      </c>
      <c r="F758" s="165" t="s">
        <v>1848</v>
      </c>
      <c r="G758" s="81">
        <v>528934</v>
      </c>
      <c r="H758" s="81">
        <v>177496</v>
      </c>
      <c r="I758" s="165" t="s">
        <v>240</v>
      </c>
      <c r="J758" s="349">
        <v>42506</v>
      </c>
      <c r="L758" s="166">
        <v>0</v>
      </c>
      <c r="M758" s="166">
        <v>827</v>
      </c>
      <c r="N758" s="166">
        <v>827</v>
      </c>
      <c r="O758" s="166">
        <v>1363</v>
      </c>
      <c r="P758" s="166">
        <v>1363</v>
      </c>
      <c r="Q758" s="81" t="s">
        <v>155</v>
      </c>
      <c r="R758" s="165" t="s">
        <v>1849</v>
      </c>
      <c r="S758" s="81" t="s">
        <v>1998</v>
      </c>
      <c r="T758" s="349">
        <v>43010</v>
      </c>
      <c r="U758" s="349">
        <v>43066</v>
      </c>
      <c r="V758" s="81" t="s">
        <v>155</v>
      </c>
      <c r="W758" s="81" t="s">
        <v>114</v>
      </c>
      <c r="Y758" s="81" t="s">
        <v>115</v>
      </c>
      <c r="Z758" s="81" t="s">
        <v>116</v>
      </c>
      <c r="AA758" s="81" t="s">
        <v>116</v>
      </c>
      <c r="AB758" s="81" t="s">
        <v>117</v>
      </c>
      <c r="AC758" s="166">
        <v>1.044</v>
      </c>
      <c r="AD758" s="349"/>
      <c r="AG758" s="81" t="s">
        <v>238</v>
      </c>
      <c r="AH758" s="81" t="s">
        <v>118</v>
      </c>
      <c r="AI758" s="353" t="s">
        <v>1983</v>
      </c>
      <c r="AK758" s="166">
        <v>827</v>
      </c>
      <c r="AM758" s="166">
        <v>83</v>
      </c>
      <c r="AO758" s="166">
        <v>126</v>
      </c>
      <c r="AP758" s="166">
        <v>241</v>
      </c>
      <c r="AQ758" s="166">
        <v>362</v>
      </c>
      <c r="AR758" s="166">
        <v>68</v>
      </c>
      <c r="AS758" s="166">
        <v>11</v>
      </c>
      <c r="AT758" s="166">
        <v>19</v>
      </c>
      <c r="AU758" s="166">
        <v>0</v>
      </c>
      <c r="AV758" s="166">
        <v>126</v>
      </c>
      <c r="AW758" s="166">
        <v>241</v>
      </c>
      <c r="AX758" s="166">
        <v>362</v>
      </c>
      <c r="AY758" s="166">
        <v>68</v>
      </c>
      <c r="AZ758" s="166">
        <v>11</v>
      </c>
      <c r="BA758" s="166">
        <v>19</v>
      </c>
      <c r="BB758" s="166">
        <v>0</v>
      </c>
      <c r="BC758" s="166">
        <v>0</v>
      </c>
      <c r="BD758" s="166">
        <v>0</v>
      </c>
      <c r="BE758" s="166">
        <v>0</v>
      </c>
      <c r="BF758" s="166">
        <v>0</v>
      </c>
      <c r="BG758" s="166">
        <v>0</v>
      </c>
      <c r="BH758" s="166">
        <v>0</v>
      </c>
      <c r="BI758" s="166">
        <v>0</v>
      </c>
      <c r="BJ758" s="166">
        <v>0</v>
      </c>
      <c r="BK758" s="166">
        <v>0</v>
      </c>
      <c r="BL758" s="166">
        <v>0</v>
      </c>
      <c r="BM758" s="166">
        <v>0</v>
      </c>
      <c r="BN758" s="166">
        <v>0</v>
      </c>
      <c r="BO758" s="166">
        <v>0</v>
      </c>
      <c r="BP758" s="166">
        <v>0</v>
      </c>
      <c r="BQ758" s="81" t="s">
        <v>1759</v>
      </c>
      <c r="BS758" s="81" t="s">
        <v>155</v>
      </c>
      <c r="BZ758" s="81" t="s">
        <v>155</v>
      </c>
      <c r="CA758" s="81">
        <v>12</v>
      </c>
      <c r="CC758" s="167">
        <v>0</v>
      </c>
      <c r="CD758" s="167">
        <v>0</v>
      </c>
      <c r="CE758" s="167">
        <v>0</v>
      </c>
      <c r="CF758" s="167">
        <v>0</v>
      </c>
      <c r="CG758" s="167">
        <v>300</v>
      </c>
      <c r="CH758" s="167">
        <v>300</v>
      </c>
      <c r="CI758" s="167">
        <v>227</v>
      </c>
      <c r="CJ758" s="167">
        <v>0</v>
      </c>
      <c r="CK758" s="167">
        <v>0</v>
      </c>
      <c r="CL758" s="167">
        <v>0</v>
      </c>
      <c r="CM758" s="167">
        <v>0</v>
      </c>
      <c r="CN758" s="167">
        <v>0</v>
      </c>
      <c r="CO758" s="167">
        <v>0</v>
      </c>
      <c r="CP758" s="167">
        <v>0</v>
      </c>
      <c r="CQ758" s="167">
        <v>0</v>
      </c>
      <c r="CR758" s="167">
        <v>0</v>
      </c>
      <c r="CS758" s="167">
        <v>0</v>
      </c>
      <c r="CT758" s="167">
        <v>0</v>
      </c>
      <c r="CU758" s="167">
        <v>0</v>
      </c>
      <c r="CV758" s="167">
        <v>0</v>
      </c>
      <c r="CW758" s="167">
        <v>0</v>
      </c>
      <c r="CX758" s="167">
        <v>827</v>
      </c>
      <c r="CY758" s="167">
        <v>827</v>
      </c>
    </row>
    <row r="759" spans="1:103" ht="12.75" customHeight="1" x14ac:dyDescent="0.2">
      <c r="A759" s="81">
        <v>2427</v>
      </c>
      <c r="B759" s="165" t="s">
        <v>1930</v>
      </c>
      <c r="C759" s="165" t="s">
        <v>2477</v>
      </c>
      <c r="D759" s="165" t="s">
        <v>1648</v>
      </c>
      <c r="E759" s="165" t="s">
        <v>2478</v>
      </c>
      <c r="F759" s="165" t="s">
        <v>2363</v>
      </c>
      <c r="G759" s="81">
        <v>527695</v>
      </c>
      <c r="H759" s="81">
        <v>174450</v>
      </c>
      <c r="I759" s="165" t="s">
        <v>255</v>
      </c>
      <c r="L759" s="166">
        <v>2</v>
      </c>
      <c r="M759" s="166">
        <v>6</v>
      </c>
      <c r="N759" s="166">
        <v>4</v>
      </c>
      <c r="O759" s="166">
        <v>7</v>
      </c>
      <c r="P759" s="166">
        <v>5</v>
      </c>
      <c r="R759" s="165" t="s">
        <v>2479</v>
      </c>
      <c r="S759" s="81" t="s">
        <v>113</v>
      </c>
      <c r="T759" s="349">
        <v>43087</v>
      </c>
      <c r="U759" s="349">
        <v>43186</v>
      </c>
      <c r="V759" s="81" t="s">
        <v>155</v>
      </c>
      <c r="W759" s="81" t="s">
        <v>114</v>
      </c>
      <c r="Y759" s="81" t="s">
        <v>115</v>
      </c>
      <c r="Z759" s="81" t="s">
        <v>398</v>
      </c>
      <c r="AA759" s="81" t="s">
        <v>117</v>
      </c>
      <c r="AB759" s="81" t="s">
        <v>120</v>
      </c>
      <c r="AC759" s="166">
        <v>5.0000000745058101E-2</v>
      </c>
      <c r="AG759" s="81" t="s">
        <v>238</v>
      </c>
      <c r="AH759" s="81" t="s">
        <v>118</v>
      </c>
      <c r="AK759" s="166">
        <v>0</v>
      </c>
      <c r="AL759" s="166">
        <v>5</v>
      </c>
      <c r="AM759" s="166">
        <v>0</v>
      </c>
      <c r="AN759" s="166">
        <v>2</v>
      </c>
      <c r="AO759" s="166">
        <v>0</v>
      </c>
      <c r="AP759" s="166">
        <v>0</v>
      </c>
      <c r="AQ759" s="166">
        <v>3</v>
      </c>
      <c r="AR759" s="166">
        <v>3</v>
      </c>
      <c r="AS759" s="166">
        <v>-1</v>
      </c>
      <c r="AT759" s="166">
        <v>-1</v>
      </c>
      <c r="AU759" s="166">
        <v>0</v>
      </c>
      <c r="AV759" s="166">
        <v>0</v>
      </c>
      <c r="AW759" s="166">
        <v>0</v>
      </c>
      <c r="AX759" s="166">
        <v>3</v>
      </c>
      <c r="AY759" s="166">
        <v>3</v>
      </c>
      <c r="AZ759" s="166">
        <v>0</v>
      </c>
      <c r="BA759" s="166">
        <v>0</v>
      </c>
      <c r="BB759" s="166">
        <v>0</v>
      </c>
      <c r="BC759" s="166">
        <v>0</v>
      </c>
      <c r="BD759" s="166">
        <v>0</v>
      </c>
      <c r="BE759" s="166">
        <v>0</v>
      </c>
      <c r="BF759" s="166">
        <v>0</v>
      </c>
      <c r="BG759" s="166">
        <v>-1</v>
      </c>
      <c r="BH759" s="166">
        <v>-1</v>
      </c>
      <c r="BI759" s="166">
        <v>0</v>
      </c>
      <c r="BJ759" s="166">
        <v>0</v>
      </c>
      <c r="BK759" s="166">
        <v>0</v>
      </c>
      <c r="BL759" s="166">
        <v>0</v>
      </c>
      <c r="BM759" s="166">
        <v>0</v>
      </c>
      <c r="BN759" s="166">
        <v>0</v>
      </c>
      <c r="BO759" s="166">
        <v>0</v>
      </c>
      <c r="BP759" s="166">
        <v>0</v>
      </c>
      <c r="BQ759" s="81" t="s">
        <v>1757</v>
      </c>
      <c r="BZ759" s="81" t="s">
        <v>155</v>
      </c>
      <c r="CA759" s="81" t="s">
        <v>1957</v>
      </c>
      <c r="CC759" s="167">
        <v>0</v>
      </c>
      <c r="CD759" s="167">
        <f>N759</f>
        <v>4</v>
      </c>
      <c r="CE759" s="167">
        <v>0</v>
      </c>
      <c r="CF759" s="167">
        <v>0</v>
      </c>
      <c r="CG759" s="167">
        <v>0</v>
      </c>
      <c r="CH759" s="167">
        <v>0</v>
      </c>
      <c r="CI759" s="167">
        <v>0</v>
      </c>
      <c r="CJ759" s="167">
        <v>0</v>
      </c>
      <c r="CK759" s="167">
        <v>0</v>
      </c>
      <c r="CL759" s="167">
        <v>0</v>
      </c>
      <c r="CM759" s="167">
        <v>0</v>
      </c>
      <c r="CN759" s="167">
        <v>0</v>
      </c>
      <c r="CO759" s="167">
        <v>0</v>
      </c>
      <c r="CP759" s="167">
        <v>0</v>
      </c>
      <c r="CQ759" s="167">
        <v>0</v>
      </c>
      <c r="CR759" s="167">
        <v>0</v>
      </c>
      <c r="CS759" s="167">
        <v>0</v>
      </c>
      <c r="CT759" s="167">
        <v>0</v>
      </c>
      <c r="CU759" s="167">
        <v>0</v>
      </c>
      <c r="CV759" s="167">
        <v>0</v>
      </c>
      <c r="CW759" s="167">
        <v>0</v>
      </c>
      <c r="CX759" s="167">
        <f>SUM(CD759:CH759)</f>
        <v>4</v>
      </c>
      <c r="CY759" s="167">
        <f>SUM(CD759:CM759)</f>
        <v>4</v>
      </c>
    </row>
    <row r="760" spans="1:103" ht="12.75" customHeight="1" x14ac:dyDescent="0.2">
      <c r="A760" s="81">
        <v>2427</v>
      </c>
      <c r="B760" s="165" t="s">
        <v>1930</v>
      </c>
      <c r="C760" s="165" t="s">
        <v>2477</v>
      </c>
      <c r="D760" s="165" t="s">
        <v>1648</v>
      </c>
      <c r="E760" s="165" t="s">
        <v>2478</v>
      </c>
      <c r="F760" s="165" t="s">
        <v>2365</v>
      </c>
      <c r="G760" s="81">
        <v>527695</v>
      </c>
      <c r="H760" s="81">
        <v>174450</v>
      </c>
      <c r="I760" s="165" t="s">
        <v>255</v>
      </c>
      <c r="L760" s="166">
        <v>0</v>
      </c>
      <c r="M760" s="166">
        <v>1</v>
      </c>
      <c r="N760" s="166">
        <v>1</v>
      </c>
      <c r="O760" s="166">
        <v>7</v>
      </c>
      <c r="P760" s="166">
        <v>5</v>
      </c>
      <c r="R760" s="165" t="s">
        <v>2479</v>
      </c>
      <c r="S760" s="81" t="s">
        <v>113</v>
      </c>
      <c r="T760" s="349">
        <v>43087</v>
      </c>
      <c r="U760" s="349">
        <v>43186</v>
      </c>
      <c r="V760" s="81" t="s">
        <v>155</v>
      </c>
      <c r="W760" s="81" t="s">
        <v>114</v>
      </c>
      <c r="Y760" s="81" t="s">
        <v>115</v>
      </c>
      <c r="Z760" s="81" t="s">
        <v>398</v>
      </c>
      <c r="AA760" s="81" t="s">
        <v>117</v>
      </c>
      <c r="AB760" s="81" t="s">
        <v>218</v>
      </c>
      <c r="AC760" s="166">
        <v>9.9999997764825804E-3</v>
      </c>
      <c r="AG760" s="81" t="s">
        <v>238</v>
      </c>
      <c r="AH760" s="81" t="s">
        <v>118</v>
      </c>
      <c r="AK760" s="166">
        <v>0</v>
      </c>
      <c r="AM760" s="166">
        <v>0</v>
      </c>
      <c r="AO760" s="166">
        <v>0</v>
      </c>
      <c r="AP760" s="166">
        <v>0</v>
      </c>
      <c r="AQ760" s="166">
        <v>1</v>
      </c>
      <c r="AR760" s="166">
        <v>0</v>
      </c>
      <c r="AS760" s="166">
        <v>0</v>
      </c>
      <c r="AT760" s="166">
        <v>0</v>
      </c>
      <c r="AU760" s="166">
        <v>0</v>
      </c>
      <c r="AV760" s="166">
        <v>0</v>
      </c>
      <c r="AW760" s="166">
        <v>0</v>
      </c>
      <c r="AX760" s="166">
        <v>1</v>
      </c>
      <c r="AY760" s="166">
        <v>0</v>
      </c>
      <c r="AZ760" s="166">
        <v>0</v>
      </c>
      <c r="BA760" s="166">
        <v>0</v>
      </c>
      <c r="BB760" s="166">
        <v>0</v>
      </c>
      <c r="BC760" s="166">
        <v>0</v>
      </c>
      <c r="BD760" s="166">
        <v>0</v>
      </c>
      <c r="BE760" s="166">
        <v>0</v>
      </c>
      <c r="BF760" s="166">
        <v>0</v>
      </c>
      <c r="BG760" s="166">
        <v>0</v>
      </c>
      <c r="BH760" s="166">
        <v>0</v>
      </c>
      <c r="BI760" s="166">
        <v>0</v>
      </c>
      <c r="BJ760" s="166">
        <v>0</v>
      </c>
      <c r="BK760" s="166">
        <v>0</v>
      </c>
      <c r="BL760" s="166">
        <v>0</v>
      </c>
      <c r="BM760" s="166">
        <v>0</v>
      </c>
      <c r="BN760" s="166">
        <v>0</v>
      </c>
      <c r="BO760" s="166">
        <v>0</v>
      </c>
      <c r="BP760" s="166">
        <v>0</v>
      </c>
      <c r="BQ760" s="81" t="s">
        <v>1757</v>
      </c>
      <c r="BZ760" s="81" t="s">
        <v>155</v>
      </c>
      <c r="CA760" s="81" t="s">
        <v>1957</v>
      </c>
      <c r="CC760" s="167">
        <v>0</v>
      </c>
      <c r="CD760" s="167">
        <f>N760</f>
        <v>1</v>
      </c>
      <c r="CE760" s="167">
        <v>0</v>
      </c>
      <c r="CF760" s="167">
        <v>0</v>
      </c>
      <c r="CG760" s="167">
        <v>0</v>
      </c>
      <c r="CH760" s="167">
        <v>0</v>
      </c>
      <c r="CI760" s="167">
        <v>0</v>
      </c>
      <c r="CJ760" s="167">
        <v>0</v>
      </c>
      <c r="CK760" s="167">
        <v>0</v>
      </c>
      <c r="CL760" s="167">
        <v>0</v>
      </c>
      <c r="CM760" s="167">
        <v>0</v>
      </c>
      <c r="CN760" s="167">
        <v>0</v>
      </c>
      <c r="CO760" s="167">
        <v>0</v>
      </c>
      <c r="CP760" s="167">
        <v>0</v>
      </c>
      <c r="CQ760" s="167">
        <v>0</v>
      </c>
      <c r="CR760" s="167">
        <v>0</v>
      </c>
      <c r="CS760" s="167">
        <v>0</v>
      </c>
      <c r="CT760" s="167">
        <v>0</v>
      </c>
      <c r="CU760" s="167">
        <v>0</v>
      </c>
      <c r="CV760" s="167">
        <v>0</v>
      </c>
      <c r="CW760" s="167">
        <v>0</v>
      </c>
      <c r="CX760" s="167">
        <f>SUM(CD760:CH760)</f>
        <v>1</v>
      </c>
      <c r="CY760" s="167">
        <f>SUM(CD760:CM760)</f>
        <v>1</v>
      </c>
    </row>
    <row r="761" spans="1:103" ht="12.75" customHeight="1" x14ac:dyDescent="0.2">
      <c r="A761" s="81">
        <v>2530</v>
      </c>
      <c r="B761" s="165" t="s">
        <v>1930</v>
      </c>
      <c r="C761" s="165" t="s">
        <v>2480</v>
      </c>
      <c r="E761" s="165" t="s">
        <v>2481</v>
      </c>
      <c r="G761" s="81">
        <v>527684</v>
      </c>
      <c r="H761" s="81">
        <v>171814</v>
      </c>
      <c r="I761" s="165" t="s">
        <v>242</v>
      </c>
      <c r="L761" s="166">
        <v>3</v>
      </c>
      <c r="M761" s="166">
        <v>3</v>
      </c>
      <c r="N761" s="166">
        <v>0</v>
      </c>
      <c r="O761" s="166">
        <v>4</v>
      </c>
      <c r="P761" s="166">
        <v>1</v>
      </c>
      <c r="R761" s="165" t="s">
        <v>2482</v>
      </c>
      <c r="S761" s="81" t="s">
        <v>113</v>
      </c>
      <c r="T761" s="349">
        <v>43040</v>
      </c>
      <c r="U761" s="349">
        <v>43112</v>
      </c>
      <c r="V761" s="81" t="s">
        <v>155</v>
      </c>
      <c r="W761" s="81" t="s">
        <v>114</v>
      </c>
      <c r="Y761" s="81" t="s">
        <v>115</v>
      </c>
      <c r="Z761" s="81" t="s">
        <v>398</v>
      </c>
      <c r="AA761" s="81" t="s">
        <v>117</v>
      </c>
      <c r="AB761" s="81" t="s">
        <v>220</v>
      </c>
      <c r="AC761" s="166">
        <v>2.70000007003546E-2</v>
      </c>
      <c r="AG761" s="81" t="s">
        <v>238</v>
      </c>
      <c r="AH761" s="81" t="s">
        <v>118</v>
      </c>
      <c r="AK761" s="166">
        <v>0</v>
      </c>
      <c r="AM761" s="166">
        <v>0</v>
      </c>
      <c r="AO761" s="166">
        <v>0</v>
      </c>
      <c r="AP761" s="166">
        <v>0</v>
      </c>
      <c r="AQ761" s="166">
        <v>-1</v>
      </c>
      <c r="AR761" s="166">
        <v>1</v>
      </c>
      <c r="AS761" s="166">
        <v>0</v>
      </c>
      <c r="AT761" s="166">
        <v>0</v>
      </c>
      <c r="AU761" s="166">
        <v>0</v>
      </c>
      <c r="AV761" s="166">
        <v>0</v>
      </c>
      <c r="AW761" s="166">
        <v>0</v>
      </c>
      <c r="AX761" s="166">
        <v>-1</v>
      </c>
      <c r="AY761" s="166">
        <v>1</v>
      </c>
      <c r="AZ761" s="166">
        <v>0</v>
      </c>
      <c r="BA761" s="166">
        <v>0</v>
      </c>
      <c r="BB761" s="166">
        <v>0</v>
      </c>
      <c r="BC761" s="166">
        <v>0</v>
      </c>
      <c r="BD761" s="166">
        <v>0</v>
      </c>
      <c r="BE761" s="166">
        <v>0</v>
      </c>
      <c r="BF761" s="166">
        <v>0</v>
      </c>
      <c r="BG761" s="166">
        <v>0</v>
      </c>
      <c r="BH761" s="166">
        <v>0</v>
      </c>
      <c r="BI761" s="166">
        <v>0</v>
      </c>
      <c r="BJ761" s="166">
        <v>0</v>
      </c>
      <c r="BK761" s="166">
        <v>0</v>
      </c>
      <c r="BL761" s="166">
        <v>0</v>
      </c>
      <c r="BM761" s="166">
        <v>0</v>
      </c>
      <c r="BN761" s="166">
        <v>0</v>
      </c>
      <c r="BO761" s="166">
        <v>0</v>
      </c>
      <c r="BP761" s="166">
        <v>0</v>
      </c>
      <c r="BQ761" s="81" t="s">
        <v>1757</v>
      </c>
      <c r="BR761" s="81" t="s">
        <v>242</v>
      </c>
      <c r="BZ761" s="81" t="s">
        <v>155</v>
      </c>
      <c r="CA761" s="81" t="s">
        <v>1937</v>
      </c>
      <c r="CC761" s="167">
        <v>0</v>
      </c>
      <c r="CD761" s="167">
        <f>$N761/4</f>
        <v>0</v>
      </c>
      <c r="CE761" s="167">
        <f>$N761/4</f>
        <v>0</v>
      </c>
      <c r="CF761" s="167">
        <f>$N761/4</f>
        <v>0</v>
      </c>
      <c r="CG761" s="167">
        <f>$N761/4</f>
        <v>0</v>
      </c>
      <c r="CH761" s="167">
        <v>0</v>
      </c>
      <c r="CI761" s="167">
        <v>0</v>
      </c>
      <c r="CJ761" s="167">
        <v>0</v>
      </c>
      <c r="CK761" s="167">
        <v>0</v>
      </c>
      <c r="CL761" s="167">
        <v>0</v>
      </c>
      <c r="CM761" s="167">
        <v>0</v>
      </c>
      <c r="CN761" s="167">
        <v>0</v>
      </c>
      <c r="CO761" s="167">
        <v>0</v>
      </c>
      <c r="CP761" s="167">
        <v>0</v>
      </c>
      <c r="CQ761" s="167">
        <v>0</v>
      </c>
      <c r="CR761" s="167">
        <v>0</v>
      </c>
      <c r="CS761" s="167">
        <v>0</v>
      </c>
      <c r="CT761" s="167">
        <v>0</v>
      </c>
      <c r="CU761" s="167">
        <v>0</v>
      </c>
      <c r="CV761" s="167">
        <v>0</v>
      </c>
      <c r="CW761" s="167">
        <v>0</v>
      </c>
      <c r="CX761" s="167">
        <f>SUM(CD761:CH761)</f>
        <v>0</v>
      </c>
      <c r="CY761" s="167">
        <f>SUM(CD761:CM761)</f>
        <v>0</v>
      </c>
    </row>
    <row r="762" spans="1:103" ht="12.75" customHeight="1" x14ac:dyDescent="0.2">
      <c r="A762" s="81">
        <v>2530</v>
      </c>
      <c r="B762" s="165" t="s">
        <v>1930</v>
      </c>
      <c r="C762" s="165" t="s">
        <v>2480</v>
      </c>
      <c r="E762" s="165" t="s">
        <v>2481</v>
      </c>
      <c r="G762" s="81">
        <v>527684</v>
      </c>
      <c r="H762" s="81">
        <v>171814</v>
      </c>
      <c r="I762" s="165" t="s">
        <v>242</v>
      </c>
      <c r="L762" s="166">
        <v>0</v>
      </c>
      <c r="M762" s="166">
        <v>1</v>
      </c>
      <c r="N762" s="166">
        <v>1</v>
      </c>
      <c r="O762" s="166">
        <v>4</v>
      </c>
      <c r="P762" s="166">
        <v>1</v>
      </c>
      <c r="R762" s="165" t="s">
        <v>2482</v>
      </c>
      <c r="S762" s="81" t="s">
        <v>113</v>
      </c>
      <c r="T762" s="349">
        <v>43040</v>
      </c>
      <c r="U762" s="349">
        <v>43112</v>
      </c>
      <c r="V762" s="81" t="s">
        <v>155</v>
      </c>
      <c r="W762" s="81" t="s">
        <v>114</v>
      </c>
      <c r="Y762" s="81" t="s">
        <v>115</v>
      </c>
      <c r="Z762" s="81" t="s">
        <v>398</v>
      </c>
      <c r="AA762" s="81" t="s">
        <v>117</v>
      </c>
      <c r="AB762" s="81" t="s">
        <v>218</v>
      </c>
      <c r="AC762" s="166">
        <v>4.9999998882412902E-3</v>
      </c>
      <c r="AG762" s="81" t="s">
        <v>238</v>
      </c>
      <c r="AH762" s="81" t="s">
        <v>118</v>
      </c>
      <c r="AK762" s="166">
        <v>0</v>
      </c>
      <c r="AM762" s="166">
        <v>0</v>
      </c>
      <c r="AO762" s="166">
        <v>0</v>
      </c>
      <c r="AP762" s="166">
        <v>0</v>
      </c>
      <c r="AQ762" s="166">
        <v>1</v>
      </c>
      <c r="AR762" s="166">
        <v>0</v>
      </c>
      <c r="AS762" s="166">
        <v>0</v>
      </c>
      <c r="AT762" s="166">
        <v>0</v>
      </c>
      <c r="AU762" s="166">
        <v>0</v>
      </c>
      <c r="AV762" s="166">
        <v>0</v>
      </c>
      <c r="AW762" s="166">
        <v>0</v>
      </c>
      <c r="AX762" s="166">
        <v>1</v>
      </c>
      <c r="AY762" s="166">
        <v>0</v>
      </c>
      <c r="AZ762" s="166">
        <v>0</v>
      </c>
      <c r="BA762" s="166">
        <v>0</v>
      </c>
      <c r="BB762" s="166">
        <v>0</v>
      </c>
      <c r="BC762" s="166">
        <v>0</v>
      </c>
      <c r="BD762" s="166">
        <v>0</v>
      </c>
      <c r="BE762" s="166">
        <v>0</v>
      </c>
      <c r="BF762" s="166">
        <v>0</v>
      </c>
      <c r="BG762" s="166">
        <v>0</v>
      </c>
      <c r="BH762" s="166">
        <v>0</v>
      </c>
      <c r="BI762" s="166">
        <v>0</v>
      </c>
      <c r="BJ762" s="166">
        <v>0</v>
      </c>
      <c r="BK762" s="166">
        <v>0</v>
      </c>
      <c r="BL762" s="166">
        <v>0</v>
      </c>
      <c r="BM762" s="166">
        <v>0</v>
      </c>
      <c r="BN762" s="166">
        <v>0</v>
      </c>
      <c r="BO762" s="166">
        <v>0</v>
      </c>
      <c r="BP762" s="166">
        <v>0</v>
      </c>
      <c r="BQ762" s="81" t="s">
        <v>1757</v>
      </c>
      <c r="BR762" s="81" t="s">
        <v>242</v>
      </c>
      <c r="BZ762" s="81" t="s">
        <v>155</v>
      </c>
      <c r="CA762" s="81" t="s">
        <v>1937</v>
      </c>
      <c r="CC762" s="167">
        <v>0</v>
      </c>
      <c r="CD762" s="167">
        <f>$N762/4</f>
        <v>0.25</v>
      </c>
      <c r="CE762" s="167">
        <f>$N762/4</f>
        <v>0.25</v>
      </c>
      <c r="CF762" s="167">
        <f>$N762/4</f>
        <v>0.25</v>
      </c>
      <c r="CG762" s="167">
        <f>$N762/4</f>
        <v>0.25</v>
      </c>
      <c r="CH762" s="167">
        <v>0</v>
      </c>
      <c r="CI762" s="167">
        <v>0</v>
      </c>
      <c r="CJ762" s="167">
        <v>0</v>
      </c>
      <c r="CK762" s="167">
        <v>0</v>
      </c>
      <c r="CL762" s="167">
        <v>0</v>
      </c>
      <c r="CM762" s="167">
        <v>0</v>
      </c>
      <c r="CN762" s="167">
        <v>0</v>
      </c>
      <c r="CO762" s="167">
        <v>0</v>
      </c>
      <c r="CP762" s="167">
        <v>0</v>
      </c>
      <c r="CQ762" s="167">
        <v>0</v>
      </c>
      <c r="CR762" s="167">
        <v>0</v>
      </c>
      <c r="CS762" s="167">
        <v>0</v>
      </c>
      <c r="CT762" s="167">
        <v>0</v>
      </c>
      <c r="CU762" s="167">
        <v>0</v>
      </c>
      <c r="CV762" s="167">
        <v>0</v>
      </c>
      <c r="CW762" s="167">
        <v>0</v>
      </c>
      <c r="CX762" s="167">
        <f>SUM(CD762:CH762)</f>
        <v>1</v>
      </c>
      <c r="CY762" s="167">
        <f>SUM(CD762:CM762)</f>
        <v>1</v>
      </c>
    </row>
    <row r="763" spans="1:103" ht="12.75" customHeight="1" x14ac:dyDescent="0.2">
      <c r="A763" s="81">
        <v>2566</v>
      </c>
      <c r="B763" s="165" t="s">
        <v>1930</v>
      </c>
      <c r="C763" s="165" t="s">
        <v>2483</v>
      </c>
      <c r="D763" s="165" t="s">
        <v>2484</v>
      </c>
      <c r="E763" s="165" t="s">
        <v>2485</v>
      </c>
      <c r="G763" s="81">
        <v>527216</v>
      </c>
      <c r="H763" s="81">
        <v>175354</v>
      </c>
      <c r="I763" s="165" t="s">
        <v>255</v>
      </c>
      <c r="L763" s="166">
        <v>0</v>
      </c>
      <c r="M763" s="166">
        <v>2</v>
      </c>
      <c r="N763" s="166">
        <v>2</v>
      </c>
      <c r="O763" s="166">
        <v>2</v>
      </c>
      <c r="P763" s="166">
        <v>2</v>
      </c>
      <c r="R763" s="165" t="s">
        <v>2486</v>
      </c>
      <c r="S763" s="81" t="s">
        <v>113</v>
      </c>
      <c r="T763" s="349">
        <v>43042</v>
      </c>
      <c r="U763" s="349">
        <v>43147</v>
      </c>
      <c r="V763" s="81" t="s">
        <v>155</v>
      </c>
      <c r="W763" s="81" t="s">
        <v>114</v>
      </c>
      <c r="Y763" s="81" t="s">
        <v>115</v>
      </c>
      <c r="Z763" s="81" t="s">
        <v>398</v>
      </c>
      <c r="AA763" s="81" t="s">
        <v>117</v>
      </c>
      <c r="AB763" s="81" t="s">
        <v>218</v>
      </c>
      <c r="AC763" s="166">
        <v>7.0000002160668399E-3</v>
      </c>
      <c r="AG763" s="81" t="s">
        <v>238</v>
      </c>
      <c r="AH763" s="81" t="s">
        <v>118</v>
      </c>
      <c r="AK763" s="166">
        <v>0</v>
      </c>
      <c r="AM763" s="166">
        <v>0</v>
      </c>
      <c r="AO763" s="166">
        <v>0</v>
      </c>
      <c r="AP763" s="166">
        <v>0</v>
      </c>
      <c r="AQ763" s="166">
        <v>2</v>
      </c>
      <c r="AR763" s="166">
        <v>0</v>
      </c>
      <c r="AS763" s="166">
        <v>0</v>
      </c>
      <c r="AT763" s="166">
        <v>0</v>
      </c>
      <c r="AU763" s="166">
        <v>0</v>
      </c>
      <c r="AV763" s="166">
        <v>0</v>
      </c>
      <c r="AW763" s="166">
        <v>0</v>
      </c>
      <c r="AX763" s="166">
        <v>2</v>
      </c>
      <c r="AY763" s="166">
        <v>0</v>
      </c>
      <c r="AZ763" s="166">
        <v>0</v>
      </c>
      <c r="BA763" s="166">
        <v>0</v>
      </c>
      <c r="BB763" s="166">
        <v>0</v>
      </c>
      <c r="BC763" s="166">
        <v>0</v>
      </c>
      <c r="BD763" s="166">
        <v>0</v>
      </c>
      <c r="BE763" s="166">
        <v>0</v>
      </c>
      <c r="BF763" s="166">
        <v>0</v>
      </c>
      <c r="BG763" s="166">
        <v>0</v>
      </c>
      <c r="BH763" s="166">
        <v>0</v>
      </c>
      <c r="BI763" s="166">
        <v>0</v>
      </c>
      <c r="BJ763" s="166">
        <v>0</v>
      </c>
      <c r="BK763" s="166">
        <v>0</v>
      </c>
      <c r="BL763" s="166">
        <v>0</v>
      </c>
      <c r="BM763" s="166">
        <v>0</v>
      </c>
      <c r="BN763" s="166">
        <v>0</v>
      </c>
      <c r="BO763" s="166">
        <v>0</v>
      </c>
      <c r="BP763" s="166">
        <v>0</v>
      </c>
      <c r="BQ763" s="81" t="s">
        <v>1757</v>
      </c>
      <c r="BR763" s="81" t="s">
        <v>160</v>
      </c>
      <c r="BZ763" s="81" t="s">
        <v>155</v>
      </c>
      <c r="CA763" s="81" t="s">
        <v>1937</v>
      </c>
      <c r="CC763" s="167">
        <v>0</v>
      </c>
      <c r="CD763" s="167">
        <f>$N763/4</f>
        <v>0.5</v>
      </c>
      <c r="CE763" s="167">
        <f>$N763/4</f>
        <v>0.5</v>
      </c>
      <c r="CF763" s="167">
        <f>$N763/4</f>
        <v>0.5</v>
      </c>
      <c r="CG763" s="167">
        <f>$N763/4</f>
        <v>0.5</v>
      </c>
      <c r="CH763" s="167">
        <v>0</v>
      </c>
      <c r="CI763" s="167">
        <v>0</v>
      </c>
      <c r="CJ763" s="167">
        <v>0</v>
      </c>
      <c r="CK763" s="167">
        <v>0</v>
      </c>
      <c r="CL763" s="167">
        <v>0</v>
      </c>
      <c r="CM763" s="167">
        <v>0</v>
      </c>
      <c r="CN763" s="167">
        <v>0</v>
      </c>
      <c r="CO763" s="167">
        <v>0</v>
      </c>
      <c r="CP763" s="167">
        <v>0</v>
      </c>
      <c r="CQ763" s="167">
        <v>0</v>
      </c>
      <c r="CR763" s="167">
        <v>0</v>
      </c>
      <c r="CS763" s="167">
        <v>0</v>
      </c>
      <c r="CT763" s="167">
        <v>0</v>
      </c>
      <c r="CU763" s="167">
        <v>0</v>
      </c>
      <c r="CV763" s="167">
        <v>0</v>
      </c>
      <c r="CW763" s="167">
        <v>0</v>
      </c>
      <c r="CX763" s="167">
        <f>SUM(CD763:CH763)</f>
        <v>2</v>
      </c>
      <c r="CY763" s="167">
        <f>SUM(CD763:CM763)</f>
        <v>2</v>
      </c>
    </row>
    <row r="764" spans="1:103" ht="12.75" customHeight="1" x14ac:dyDescent="0.2">
      <c r="A764" s="81">
        <v>2634</v>
      </c>
      <c r="B764" s="165" t="s">
        <v>1930</v>
      </c>
      <c r="C764" s="165" t="s">
        <v>2487</v>
      </c>
      <c r="E764" s="165" t="s">
        <v>2488</v>
      </c>
      <c r="G764" s="81">
        <v>525348</v>
      </c>
      <c r="H764" s="81">
        <v>174690</v>
      </c>
      <c r="I764" s="165" t="s">
        <v>251</v>
      </c>
      <c r="L764" s="166">
        <v>2</v>
      </c>
      <c r="M764" s="166">
        <v>8</v>
      </c>
      <c r="N764" s="166">
        <v>6</v>
      </c>
      <c r="O764" s="166">
        <v>8</v>
      </c>
      <c r="P764" s="166">
        <v>6</v>
      </c>
      <c r="R764" s="165" t="s">
        <v>2489</v>
      </c>
      <c r="S764" s="81" t="s">
        <v>113</v>
      </c>
      <c r="T764" s="349">
        <v>43108</v>
      </c>
      <c r="U764" s="349">
        <v>43182</v>
      </c>
      <c r="V764" s="81" t="s">
        <v>155</v>
      </c>
      <c r="W764" s="81" t="s">
        <v>114</v>
      </c>
      <c r="Y764" s="81" t="s">
        <v>115</v>
      </c>
      <c r="Z764" s="81" t="s">
        <v>116</v>
      </c>
      <c r="AA764" s="81" t="s">
        <v>117</v>
      </c>
      <c r="AB764" s="81" t="s">
        <v>218</v>
      </c>
      <c r="AC764" s="166">
        <v>1.4000000432133701E-2</v>
      </c>
      <c r="AG764" s="81" t="s">
        <v>238</v>
      </c>
      <c r="AH764" s="81" t="s">
        <v>118</v>
      </c>
      <c r="AK764" s="166">
        <v>0</v>
      </c>
      <c r="AL764" s="166">
        <v>7</v>
      </c>
      <c r="AM764" s="166">
        <v>0</v>
      </c>
      <c r="AN764" s="166">
        <v>1</v>
      </c>
      <c r="AO764" s="166">
        <v>1</v>
      </c>
      <c r="AP764" s="166">
        <v>4</v>
      </c>
      <c r="AQ764" s="166">
        <v>1</v>
      </c>
      <c r="AR764" s="166">
        <v>0</v>
      </c>
      <c r="AS764" s="166">
        <v>0</v>
      </c>
      <c r="AT764" s="166">
        <v>0</v>
      </c>
      <c r="AU764" s="166">
        <v>0</v>
      </c>
      <c r="AV764" s="166">
        <v>1</v>
      </c>
      <c r="AW764" s="166">
        <v>4</v>
      </c>
      <c r="AX764" s="166">
        <v>1</v>
      </c>
      <c r="AY764" s="166">
        <v>0</v>
      </c>
      <c r="AZ764" s="166">
        <v>0</v>
      </c>
      <c r="BA764" s="166">
        <v>0</v>
      </c>
      <c r="BB764" s="166">
        <v>0</v>
      </c>
      <c r="BC764" s="166">
        <v>0</v>
      </c>
      <c r="BD764" s="166">
        <v>0</v>
      </c>
      <c r="BE764" s="166">
        <v>0</v>
      </c>
      <c r="BF764" s="166">
        <v>0</v>
      </c>
      <c r="BG764" s="166">
        <v>0</v>
      </c>
      <c r="BH764" s="166">
        <v>0</v>
      </c>
      <c r="BI764" s="166">
        <v>0</v>
      </c>
      <c r="BJ764" s="166">
        <v>0</v>
      </c>
      <c r="BK764" s="166">
        <v>0</v>
      </c>
      <c r="BL764" s="166">
        <v>0</v>
      </c>
      <c r="BM764" s="166">
        <v>0</v>
      </c>
      <c r="BN764" s="166">
        <v>0</v>
      </c>
      <c r="BO764" s="166">
        <v>0</v>
      </c>
      <c r="BP764" s="166">
        <v>0</v>
      </c>
      <c r="BQ764" s="81" t="s">
        <v>1758</v>
      </c>
      <c r="BR764" s="81" t="s">
        <v>202</v>
      </c>
      <c r="BT764" s="81" t="s">
        <v>155</v>
      </c>
      <c r="BZ764" s="81" t="s">
        <v>155</v>
      </c>
      <c r="CA764" s="81" t="s">
        <v>3968</v>
      </c>
      <c r="CC764" s="167">
        <v>0</v>
      </c>
      <c r="CD764" s="167">
        <v>0</v>
      </c>
      <c r="CE764" s="167">
        <v>0</v>
      </c>
      <c r="CF764" s="167">
        <v>0</v>
      </c>
      <c r="CG764" s="167">
        <v>0</v>
      </c>
      <c r="CH764" s="167">
        <f>$N764/3</f>
        <v>2</v>
      </c>
      <c r="CI764" s="167">
        <f>$N764/3</f>
        <v>2</v>
      </c>
      <c r="CJ764" s="167">
        <f>$N764/3</f>
        <v>2</v>
      </c>
      <c r="CK764" s="167">
        <v>0</v>
      </c>
      <c r="CL764" s="167">
        <v>0</v>
      </c>
      <c r="CM764" s="167">
        <v>0</v>
      </c>
      <c r="CN764" s="167">
        <v>0</v>
      </c>
      <c r="CO764" s="167">
        <v>0</v>
      </c>
      <c r="CP764" s="167">
        <v>0</v>
      </c>
      <c r="CQ764" s="167">
        <v>0</v>
      </c>
      <c r="CR764" s="167">
        <v>0</v>
      </c>
      <c r="CS764" s="167">
        <v>0</v>
      </c>
      <c r="CT764" s="167">
        <v>0</v>
      </c>
      <c r="CU764" s="167">
        <v>0</v>
      </c>
      <c r="CV764" s="167">
        <v>0</v>
      </c>
      <c r="CW764" s="167">
        <v>0</v>
      </c>
      <c r="CX764" s="167">
        <f>SUM(CD764:CH764)</f>
        <v>2</v>
      </c>
      <c r="CY764" s="167">
        <f>SUM(CD764:CM764)</f>
        <v>6</v>
      </c>
    </row>
    <row r="765" spans="1:103" ht="12.75" customHeight="1" x14ac:dyDescent="0.2">
      <c r="A765" s="81">
        <v>2707</v>
      </c>
      <c r="B765" s="165" t="s">
        <v>1930</v>
      </c>
      <c r="C765" s="165" t="s">
        <v>1392</v>
      </c>
      <c r="E765" s="165" t="s">
        <v>2490</v>
      </c>
      <c r="G765" s="81">
        <v>528836</v>
      </c>
      <c r="H765" s="81">
        <v>172626</v>
      </c>
      <c r="I765" s="165" t="s">
        <v>248</v>
      </c>
      <c r="L765" s="166">
        <v>0</v>
      </c>
      <c r="M765" s="166">
        <v>1</v>
      </c>
      <c r="N765" s="166">
        <v>1</v>
      </c>
      <c r="O765" s="166">
        <v>1</v>
      </c>
      <c r="P765" s="166">
        <v>1</v>
      </c>
      <c r="R765" s="165" t="s">
        <v>1393</v>
      </c>
      <c r="S765" s="81" t="s">
        <v>113</v>
      </c>
      <c r="T765" s="349">
        <v>42604</v>
      </c>
      <c r="U765" s="349">
        <v>42660</v>
      </c>
      <c r="W765" s="81" t="s">
        <v>114</v>
      </c>
      <c r="Y765" s="81" t="s">
        <v>115</v>
      </c>
      <c r="Z765" s="81" t="s">
        <v>116</v>
      </c>
      <c r="AA765" s="81" t="s">
        <v>117</v>
      </c>
      <c r="AB765" s="81" t="s">
        <v>218</v>
      </c>
      <c r="AC765" s="166">
        <v>4.9999998882412902E-3</v>
      </c>
      <c r="AG765" s="81" t="s">
        <v>238</v>
      </c>
      <c r="AH765" s="81" t="s">
        <v>118</v>
      </c>
      <c r="AK765" s="166">
        <v>0</v>
      </c>
      <c r="AM765" s="166">
        <v>0</v>
      </c>
      <c r="AO765" s="166">
        <v>0</v>
      </c>
      <c r="AP765" s="166">
        <v>1</v>
      </c>
      <c r="AQ765" s="166">
        <v>0</v>
      </c>
      <c r="AR765" s="166">
        <v>0</v>
      </c>
      <c r="AS765" s="166">
        <v>0</v>
      </c>
      <c r="AT765" s="166">
        <v>0</v>
      </c>
      <c r="AU765" s="166">
        <v>0</v>
      </c>
      <c r="AV765" s="166">
        <v>0</v>
      </c>
      <c r="AW765" s="166">
        <v>0</v>
      </c>
      <c r="AX765" s="166">
        <v>0</v>
      </c>
      <c r="AY765" s="166">
        <v>0</v>
      </c>
      <c r="AZ765" s="166">
        <v>0</v>
      </c>
      <c r="BA765" s="166">
        <v>0</v>
      </c>
      <c r="BB765" s="166">
        <v>0</v>
      </c>
      <c r="BC765" s="166">
        <v>0</v>
      </c>
      <c r="BD765" s="166">
        <v>1</v>
      </c>
      <c r="BE765" s="166">
        <v>0</v>
      </c>
      <c r="BF765" s="166">
        <v>0</v>
      </c>
      <c r="BG765" s="166">
        <v>0</v>
      </c>
      <c r="BH765" s="166">
        <v>0</v>
      </c>
      <c r="BI765" s="166">
        <v>0</v>
      </c>
      <c r="BJ765" s="166">
        <v>0</v>
      </c>
      <c r="BK765" s="166">
        <v>0</v>
      </c>
      <c r="BL765" s="166">
        <v>0</v>
      </c>
      <c r="BM765" s="166">
        <v>0</v>
      </c>
      <c r="BN765" s="166">
        <v>0</v>
      </c>
      <c r="BO765" s="166">
        <v>0</v>
      </c>
      <c r="BP765" s="166">
        <v>0</v>
      </c>
      <c r="BQ765" s="81" t="s">
        <v>1757</v>
      </c>
      <c r="BZ765" s="81" t="s">
        <v>155</v>
      </c>
      <c r="CA765" s="81">
        <v>4</v>
      </c>
      <c r="CC765" s="167">
        <v>0</v>
      </c>
      <c r="CD765" s="167">
        <v>0</v>
      </c>
      <c r="CE765" s="167">
        <f>$N765/5</f>
        <v>0.2</v>
      </c>
      <c r="CF765" s="167">
        <f>$N765/5</f>
        <v>0.2</v>
      </c>
      <c r="CG765" s="167">
        <f>$N765/5</f>
        <v>0.2</v>
      </c>
      <c r="CH765" s="167">
        <f>$N765/5</f>
        <v>0.2</v>
      </c>
      <c r="CI765" s="167">
        <f>$N765/5</f>
        <v>0.2</v>
      </c>
      <c r="CJ765" s="167">
        <v>0</v>
      </c>
      <c r="CK765" s="167">
        <v>0</v>
      </c>
      <c r="CL765" s="167">
        <v>0</v>
      </c>
      <c r="CM765" s="167">
        <v>0</v>
      </c>
      <c r="CN765" s="167">
        <v>0</v>
      </c>
      <c r="CO765" s="167">
        <v>0</v>
      </c>
      <c r="CP765" s="167">
        <v>0</v>
      </c>
      <c r="CQ765" s="167">
        <v>0</v>
      </c>
      <c r="CR765" s="167">
        <v>0</v>
      </c>
      <c r="CS765" s="167">
        <v>0</v>
      </c>
      <c r="CT765" s="167">
        <v>0</v>
      </c>
      <c r="CU765" s="167">
        <v>0</v>
      </c>
      <c r="CV765" s="167">
        <v>0</v>
      </c>
      <c r="CW765" s="167">
        <v>0</v>
      </c>
      <c r="CX765" s="167">
        <f>SUM(CD765:CH765)</f>
        <v>0.8</v>
      </c>
      <c r="CY765" s="167">
        <f>SUM(CD765:CM765)</f>
        <v>1</v>
      </c>
    </row>
    <row r="766" spans="1:103" ht="12.75" customHeight="1" x14ac:dyDescent="0.2">
      <c r="A766" s="81">
        <v>2793</v>
      </c>
      <c r="B766" s="165" t="s">
        <v>1930</v>
      </c>
      <c r="C766" s="165" t="s">
        <v>1288</v>
      </c>
      <c r="E766" s="165" t="s">
        <v>2473</v>
      </c>
      <c r="G766" s="81">
        <v>524772</v>
      </c>
      <c r="H766" s="81">
        <v>173313</v>
      </c>
      <c r="I766" s="165" t="s">
        <v>258</v>
      </c>
      <c r="L766" s="166">
        <v>0</v>
      </c>
      <c r="M766" s="166">
        <v>1</v>
      </c>
      <c r="N766" s="166">
        <v>1</v>
      </c>
      <c r="O766" s="166">
        <v>1</v>
      </c>
      <c r="P766" s="166">
        <v>1</v>
      </c>
      <c r="R766" s="165" t="s">
        <v>1289</v>
      </c>
      <c r="S766" s="81" t="s">
        <v>270</v>
      </c>
      <c r="T766" s="349">
        <v>42535</v>
      </c>
      <c r="U766" s="349">
        <v>42586</v>
      </c>
      <c r="W766" s="81" t="s">
        <v>114</v>
      </c>
      <c r="Y766" s="81" t="s">
        <v>115</v>
      </c>
      <c r="Z766" s="81" t="s">
        <v>310</v>
      </c>
      <c r="AA766" s="81" t="s">
        <v>117</v>
      </c>
      <c r="AB766" s="81" t="s">
        <v>399</v>
      </c>
      <c r="AC766" s="166">
        <v>3.0000000260770299E-3</v>
      </c>
      <c r="AG766" s="81" t="s">
        <v>238</v>
      </c>
      <c r="AH766" s="81" t="s">
        <v>118</v>
      </c>
      <c r="AK766" s="166">
        <v>0</v>
      </c>
      <c r="AM766" s="166">
        <v>0</v>
      </c>
      <c r="AO766" s="166">
        <v>1</v>
      </c>
      <c r="AP766" s="166">
        <v>0</v>
      </c>
      <c r="AQ766" s="166">
        <v>0</v>
      </c>
      <c r="AR766" s="166">
        <v>0</v>
      </c>
      <c r="AS766" s="166">
        <v>0</v>
      </c>
      <c r="AT766" s="166">
        <v>0</v>
      </c>
      <c r="AU766" s="166">
        <v>0</v>
      </c>
      <c r="AV766" s="166">
        <v>1</v>
      </c>
      <c r="AW766" s="166">
        <v>0</v>
      </c>
      <c r="AX766" s="166">
        <v>0</v>
      </c>
      <c r="AY766" s="166">
        <v>0</v>
      </c>
      <c r="AZ766" s="166">
        <v>0</v>
      </c>
      <c r="BA766" s="166">
        <v>0</v>
      </c>
      <c r="BB766" s="166">
        <v>0</v>
      </c>
      <c r="BC766" s="166">
        <v>0</v>
      </c>
      <c r="BD766" s="166">
        <v>0</v>
      </c>
      <c r="BE766" s="166">
        <v>0</v>
      </c>
      <c r="BF766" s="166">
        <v>0</v>
      </c>
      <c r="BG766" s="166">
        <v>0</v>
      </c>
      <c r="BH766" s="166">
        <v>0</v>
      </c>
      <c r="BI766" s="166">
        <v>0</v>
      </c>
      <c r="BJ766" s="166">
        <v>0</v>
      </c>
      <c r="BK766" s="166">
        <v>0</v>
      </c>
      <c r="BL766" s="166">
        <v>0</v>
      </c>
      <c r="BM766" s="166">
        <v>0</v>
      </c>
      <c r="BN766" s="166">
        <v>0</v>
      </c>
      <c r="BO766" s="166">
        <v>0</v>
      </c>
      <c r="BP766" s="166">
        <v>0</v>
      </c>
      <c r="BQ766" s="81" t="s">
        <v>1758</v>
      </c>
      <c r="BZ766" s="81" t="s">
        <v>155</v>
      </c>
      <c r="CA766" s="81" t="s">
        <v>1937</v>
      </c>
      <c r="CC766" s="167">
        <v>0</v>
      </c>
      <c r="CD766" s="167">
        <f>$N766/4</f>
        <v>0.25</v>
      </c>
      <c r="CE766" s="167">
        <f>$N766/4</f>
        <v>0.25</v>
      </c>
      <c r="CF766" s="167">
        <f>$N766/4</f>
        <v>0.25</v>
      </c>
      <c r="CG766" s="167">
        <f>$N766/4</f>
        <v>0.25</v>
      </c>
      <c r="CH766" s="167">
        <v>0</v>
      </c>
      <c r="CI766" s="167">
        <v>0</v>
      </c>
      <c r="CJ766" s="167">
        <v>0</v>
      </c>
      <c r="CK766" s="167">
        <v>0</v>
      </c>
      <c r="CL766" s="167">
        <v>0</v>
      </c>
      <c r="CM766" s="167">
        <v>0</v>
      </c>
      <c r="CN766" s="167">
        <v>0</v>
      </c>
      <c r="CO766" s="167">
        <v>0</v>
      </c>
      <c r="CP766" s="167">
        <v>0</v>
      </c>
      <c r="CQ766" s="167">
        <v>0</v>
      </c>
      <c r="CR766" s="167">
        <v>0</v>
      </c>
      <c r="CS766" s="167">
        <v>0</v>
      </c>
      <c r="CT766" s="167">
        <v>0</v>
      </c>
      <c r="CU766" s="167">
        <v>0</v>
      </c>
      <c r="CV766" s="167">
        <v>0</v>
      </c>
      <c r="CW766" s="167">
        <v>0</v>
      </c>
      <c r="CX766" s="167">
        <f>SUM(CD766:CH766)</f>
        <v>1</v>
      </c>
      <c r="CY766" s="167">
        <f>SUM(CD766:CM766)</f>
        <v>1</v>
      </c>
    </row>
    <row r="767" spans="1:103" ht="12.75" customHeight="1" x14ac:dyDescent="0.2">
      <c r="A767" s="81">
        <v>2798</v>
      </c>
      <c r="B767" s="165" t="s">
        <v>1930</v>
      </c>
      <c r="C767" s="165" t="s">
        <v>1600</v>
      </c>
      <c r="E767" s="165" t="s">
        <v>2491</v>
      </c>
      <c r="G767" s="81">
        <v>527655</v>
      </c>
      <c r="H767" s="81">
        <v>171773</v>
      </c>
      <c r="I767" s="165" t="s">
        <v>242</v>
      </c>
      <c r="L767" s="166">
        <v>0</v>
      </c>
      <c r="M767" s="166">
        <v>1</v>
      </c>
      <c r="N767" s="166">
        <v>1</v>
      </c>
      <c r="O767" s="166">
        <v>1</v>
      </c>
      <c r="P767" s="166">
        <v>1</v>
      </c>
      <c r="R767" s="165" t="s">
        <v>1601</v>
      </c>
      <c r="S767" s="81" t="s">
        <v>113</v>
      </c>
      <c r="T767" s="349">
        <v>42759</v>
      </c>
      <c r="U767" s="349">
        <v>42857</v>
      </c>
      <c r="V767" s="81" t="s">
        <v>155</v>
      </c>
      <c r="W767" s="81" t="s">
        <v>114</v>
      </c>
      <c r="Y767" s="81" t="s">
        <v>115</v>
      </c>
      <c r="Z767" s="81" t="s">
        <v>398</v>
      </c>
      <c r="AA767" s="81" t="s">
        <v>117</v>
      </c>
      <c r="AB767" s="81" t="s">
        <v>218</v>
      </c>
      <c r="AC767" s="166">
        <v>3.0000000260770299E-3</v>
      </c>
      <c r="AG767" s="81" t="s">
        <v>238</v>
      </c>
      <c r="AH767" s="81" t="s">
        <v>118</v>
      </c>
      <c r="AK767" s="166">
        <v>0</v>
      </c>
      <c r="AM767" s="166">
        <v>0</v>
      </c>
      <c r="AO767" s="166">
        <v>1</v>
      </c>
      <c r="AP767" s="166">
        <v>0</v>
      </c>
      <c r="AQ767" s="166">
        <v>0</v>
      </c>
      <c r="AR767" s="166">
        <v>0</v>
      </c>
      <c r="AS767" s="166">
        <v>0</v>
      </c>
      <c r="AT767" s="166">
        <v>0</v>
      </c>
      <c r="AU767" s="166">
        <v>0</v>
      </c>
      <c r="AV767" s="166">
        <v>1</v>
      </c>
      <c r="AW767" s="166">
        <v>0</v>
      </c>
      <c r="AX767" s="166">
        <v>0</v>
      </c>
      <c r="AY767" s="166">
        <v>0</v>
      </c>
      <c r="AZ767" s="166">
        <v>0</v>
      </c>
      <c r="BA767" s="166">
        <v>0</v>
      </c>
      <c r="BB767" s="166">
        <v>0</v>
      </c>
      <c r="BC767" s="166">
        <v>0</v>
      </c>
      <c r="BD767" s="166">
        <v>0</v>
      </c>
      <c r="BE767" s="166">
        <v>0</v>
      </c>
      <c r="BF767" s="166">
        <v>0</v>
      </c>
      <c r="BG767" s="166">
        <v>0</v>
      </c>
      <c r="BH767" s="166">
        <v>0</v>
      </c>
      <c r="BI767" s="166">
        <v>0</v>
      </c>
      <c r="BJ767" s="166">
        <v>0</v>
      </c>
      <c r="BK767" s="166">
        <v>0</v>
      </c>
      <c r="BL767" s="166">
        <v>0</v>
      </c>
      <c r="BM767" s="166">
        <v>0</v>
      </c>
      <c r="BN767" s="166">
        <v>0</v>
      </c>
      <c r="BO767" s="166">
        <v>0</v>
      </c>
      <c r="BP767" s="166">
        <v>0</v>
      </c>
      <c r="BQ767" s="81" t="s">
        <v>1757</v>
      </c>
      <c r="BR767" s="81" t="s">
        <v>242</v>
      </c>
      <c r="BZ767" s="81" t="s">
        <v>155</v>
      </c>
      <c r="CA767" s="81" t="s">
        <v>1937</v>
      </c>
      <c r="CC767" s="167">
        <v>0</v>
      </c>
      <c r="CD767" s="167">
        <f>$N767/4</f>
        <v>0.25</v>
      </c>
      <c r="CE767" s="167">
        <f>$N767/4</f>
        <v>0.25</v>
      </c>
      <c r="CF767" s="167">
        <f>$N767/4</f>
        <v>0.25</v>
      </c>
      <c r="CG767" s="167">
        <f>$N767/4</f>
        <v>0.25</v>
      </c>
      <c r="CH767" s="167">
        <v>0</v>
      </c>
      <c r="CI767" s="167">
        <v>0</v>
      </c>
      <c r="CJ767" s="167">
        <v>0</v>
      </c>
      <c r="CK767" s="167">
        <v>0</v>
      </c>
      <c r="CL767" s="167">
        <v>0</v>
      </c>
      <c r="CM767" s="167">
        <v>0</v>
      </c>
      <c r="CN767" s="167">
        <v>0</v>
      </c>
      <c r="CO767" s="167">
        <v>0</v>
      </c>
      <c r="CP767" s="167">
        <v>0</v>
      </c>
      <c r="CQ767" s="167">
        <v>0</v>
      </c>
      <c r="CR767" s="167">
        <v>0</v>
      </c>
      <c r="CS767" s="167">
        <v>0</v>
      </c>
      <c r="CT767" s="167">
        <v>0</v>
      </c>
      <c r="CU767" s="167">
        <v>0</v>
      </c>
      <c r="CV767" s="167">
        <v>0</v>
      </c>
      <c r="CW767" s="167">
        <v>0</v>
      </c>
      <c r="CX767" s="167">
        <f>SUM(CD767:CH767)</f>
        <v>1</v>
      </c>
      <c r="CY767" s="167">
        <f>SUM(CD767:CM767)</f>
        <v>1</v>
      </c>
    </row>
    <row r="768" spans="1:103" ht="12.75" customHeight="1" x14ac:dyDescent="0.2">
      <c r="A768" s="81">
        <v>2978</v>
      </c>
      <c r="B768" s="165" t="s">
        <v>1930</v>
      </c>
      <c r="C768" s="165" t="s">
        <v>1642</v>
      </c>
      <c r="E768" s="165" t="s">
        <v>2492</v>
      </c>
      <c r="G768" s="81">
        <v>527727</v>
      </c>
      <c r="H768" s="81">
        <v>172703</v>
      </c>
      <c r="I768" s="165" t="s">
        <v>254</v>
      </c>
      <c r="L768" s="166">
        <v>1</v>
      </c>
      <c r="M768" s="166">
        <v>1</v>
      </c>
      <c r="N768" s="166">
        <v>0</v>
      </c>
      <c r="O768" s="166">
        <v>1</v>
      </c>
      <c r="P768" s="166">
        <v>0</v>
      </c>
      <c r="R768" s="165" t="s">
        <v>1643</v>
      </c>
      <c r="S768" s="81" t="s">
        <v>113</v>
      </c>
      <c r="T768" s="349">
        <v>42790</v>
      </c>
      <c r="U768" s="349">
        <v>42846</v>
      </c>
      <c r="V768" s="81" t="s">
        <v>155</v>
      </c>
      <c r="W768" s="81" t="s">
        <v>114</v>
      </c>
      <c r="Y768" s="81" t="s">
        <v>115</v>
      </c>
      <c r="Z768" s="81" t="s">
        <v>116</v>
      </c>
      <c r="AA768" s="81" t="s">
        <v>117</v>
      </c>
      <c r="AB768" s="81" t="s">
        <v>218</v>
      </c>
      <c r="AC768" s="166">
        <v>3.70000004768372E-2</v>
      </c>
      <c r="AG768" s="81" t="s">
        <v>238</v>
      </c>
      <c r="AH768" s="81" t="s">
        <v>118</v>
      </c>
      <c r="AK768" s="166">
        <v>0</v>
      </c>
      <c r="AM768" s="166">
        <v>0</v>
      </c>
      <c r="AO768" s="166">
        <v>0</v>
      </c>
      <c r="AP768" s="166">
        <v>-1</v>
      </c>
      <c r="AQ768" s="166">
        <v>0</v>
      </c>
      <c r="AR768" s="166">
        <v>1</v>
      </c>
      <c r="AS768" s="166">
        <v>0</v>
      </c>
      <c r="AT768" s="166">
        <v>0</v>
      </c>
      <c r="AU768" s="166">
        <v>0</v>
      </c>
      <c r="AV768" s="166">
        <v>0</v>
      </c>
      <c r="AW768" s="166">
        <v>0</v>
      </c>
      <c r="AX768" s="166">
        <v>0</v>
      </c>
      <c r="AY768" s="166">
        <v>0</v>
      </c>
      <c r="AZ768" s="166">
        <v>0</v>
      </c>
      <c r="BA768" s="166">
        <v>0</v>
      </c>
      <c r="BB768" s="166">
        <v>0</v>
      </c>
      <c r="BC768" s="166">
        <v>0</v>
      </c>
      <c r="BD768" s="166">
        <v>-1</v>
      </c>
      <c r="BE768" s="166">
        <v>0</v>
      </c>
      <c r="BF768" s="166">
        <v>1</v>
      </c>
      <c r="BG768" s="166">
        <v>0</v>
      </c>
      <c r="BH768" s="166">
        <v>0</v>
      </c>
      <c r="BI768" s="166">
        <v>0</v>
      </c>
      <c r="BJ768" s="166">
        <v>0</v>
      </c>
      <c r="BK768" s="166">
        <v>0</v>
      </c>
      <c r="BL768" s="166">
        <v>0</v>
      </c>
      <c r="BM768" s="166">
        <v>0</v>
      </c>
      <c r="BN768" s="166">
        <v>0</v>
      </c>
      <c r="BO768" s="166">
        <v>0</v>
      </c>
      <c r="BP768" s="166">
        <v>0</v>
      </c>
      <c r="BQ768" s="81" t="s">
        <v>1757</v>
      </c>
      <c r="BZ768" s="81" t="s">
        <v>155</v>
      </c>
      <c r="CA768" s="81">
        <v>4</v>
      </c>
      <c r="CC768" s="167">
        <v>0</v>
      </c>
      <c r="CD768" s="167">
        <v>0</v>
      </c>
      <c r="CE768" s="167">
        <f>$N768/5</f>
        <v>0</v>
      </c>
      <c r="CF768" s="167">
        <f>$N768/5</f>
        <v>0</v>
      </c>
      <c r="CG768" s="167">
        <f>$N768/5</f>
        <v>0</v>
      </c>
      <c r="CH768" s="167">
        <f>$N768/5</f>
        <v>0</v>
      </c>
      <c r="CI768" s="167">
        <f>$N768/5</f>
        <v>0</v>
      </c>
      <c r="CJ768" s="167">
        <v>0</v>
      </c>
      <c r="CK768" s="167">
        <v>0</v>
      </c>
      <c r="CL768" s="167">
        <v>0</v>
      </c>
      <c r="CM768" s="167">
        <v>0</v>
      </c>
      <c r="CN768" s="167">
        <v>0</v>
      </c>
      <c r="CO768" s="167">
        <v>0</v>
      </c>
      <c r="CP768" s="167">
        <v>0</v>
      </c>
      <c r="CQ768" s="167">
        <v>0</v>
      </c>
      <c r="CR768" s="167">
        <v>0</v>
      </c>
      <c r="CS768" s="167">
        <v>0</v>
      </c>
      <c r="CT768" s="167">
        <v>0</v>
      </c>
      <c r="CU768" s="167">
        <v>0</v>
      </c>
      <c r="CV768" s="167">
        <v>0</v>
      </c>
      <c r="CW768" s="167">
        <v>0</v>
      </c>
      <c r="CX768" s="167">
        <f>SUM(CD768:CH768)</f>
        <v>0</v>
      </c>
      <c r="CY768" s="167">
        <f>SUM(CD768:CM768)</f>
        <v>0</v>
      </c>
    </row>
    <row r="769" spans="1:103" ht="12.75" customHeight="1" x14ac:dyDescent="0.2">
      <c r="A769" s="81">
        <v>3351</v>
      </c>
      <c r="B769" s="165" t="s">
        <v>1930</v>
      </c>
      <c r="C769" s="165" t="s">
        <v>2493</v>
      </c>
      <c r="E769" s="165" t="s">
        <v>2494</v>
      </c>
      <c r="G769" s="81">
        <v>529324</v>
      </c>
      <c r="H769" s="81">
        <v>171420</v>
      </c>
      <c r="I769" s="165" t="s">
        <v>252</v>
      </c>
      <c r="L769" s="166">
        <v>0</v>
      </c>
      <c r="M769" s="166">
        <v>1</v>
      </c>
      <c r="N769" s="166">
        <v>1</v>
      </c>
      <c r="O769" s="166">
        <v>1</v>
      </c>
      <c r="P769" s="166">
        <v>1</v>
      </c>
      <c r="R769" s="165" t="s">
        <v>2495</v>
      </c>
      <c r="S769" s="81" t="s">
        <v>113</v>
      </c>
      <c r="T769" s="349">
        <v>42864</v>
      </c>
      <c r="U769" s="349">
        <v>42920</v>
      </c>
      <c r="V769" s="81" t="s">
        <v>155</v>
      </c>
      <c r="W769" s="81" t="s">
        <v>114</v>
      </c>
      <c r="Y769" s="81" t="s">
        <v>115</v>
      </c>
      <c r="Z769" s="81" t="s">
        <v>116</v>
      </c>
      <c r="AA769" s="81" t="s">
        <v>117</v>
      </c>
      <c r="AB769" s="81" t="s">
        <v>218</v>
      </c>
      <c r="AC769" s="166">
        <v>4.9999998882412902E-3</v>
      </c>
      <c r="AG769" s="81" t="s">
        <v>154</v>
      </c>
      <c r="AH769" s="81" t="s">
        <v>38</v>
      </c>
      <c r="AK769" s="166">
        <v>0</v>
      </c>
      <c r="AM769" s="166">
        <v>0</v>
      </c>
      <c r="AO769" s="166">
        <v>0</v>
      </c>
      <c r="AP769" s="166">
        <v>0</v>
      </c>
      <c r="AQ769" s="166">
        <v>1</v>
      </c>
      <c r="AR769" s="166">
        <v>0</v>
      </c>
      <c r="AS769" s="166">
        <v>0</v>
      </c>
      <c r="AT769" s="166">
        <v>0</v>
      </c>
      <c r="AU769" s="166">
        <v>0</v>
      </c>
      <c r="AV769" s="166">
        <v>0</v>
      </c>
      <c r="AW769" s="166">
        <v>0</v>
      </c>
      <c r="AX769" s="166">
        <v>0</v>
      </c>
      <c r="AY769" s="166">
        <v>0</v>
      </c>
      <c r="AZ769" s="166">
        <v>0</v>
      </c>
      <c r="BA769" s="166">
        <v>0</v>
      </c>
      <c r="BB769" s="166">
        <v>0</v>
      </c>
      <c r="BC769" s="166">
        <v>0</v>
      </c>
      <c r="BD769" s="166">
        <v>0</v>
      </c>
      <c r="BE769" s="166">
        <v>1</v>
      </c>
      <c r="BF769" s="166">
        <v>0</v>
      </c>
      <c r="BG769" s="166">
        <v>0</v>
      </c>
      <c r="BH769" s="166">
        <v>0</v>
      </c>
      <c r="BI769" s="166">
        <v>0</v>
      </c>
      <c r="BJ769" s="166">
        <v>0</v>
      </c>
      <c r="BK769" s="166">
        <v>0</v>
      </c>
      <c r="BL769" s="166">
        <v>0</v>
      </c>
      <c r="BM769" s="166">
        <v>0</v>
      </c>
      <c r="BN769" s="166">
        <v>0</v>
      </c>
      <c r="BO769" s="166">
        <v>0</v>
      </c>
      <c r="BP769" s="166">
        <v>0</v>
      </c>
      <c r="BQ769" s="81" t="s">
        <v>1757</v>
      </c>
      <c r="BZ769" s="81" t="s">
        <v>155</v>
      </c>
      <c r="CA769" s="81">
        <v>4</v>
      </c>
      <c r="CC769" s="167">
        <v>0</v>
      </c>
      <c r="CD769" s="167">
        <v>0</v>
      </c>
      <c r="CE769" s="167">
        <f>$N769/5</f>
        <v>0.2</v>
      </c>
      <c r="CF769" s="167">
        <f>$N769/5</f>
        <v>0.2</v>
      </c>
      <c r="CG769" s="167">
        <f>$N769/5</f>
        <v>0.2</v>
      </c>
      <c r="CH769" s="167">
        <f>$N769/5</f>
        <v>0.2</v>
      </c>
      <c r="CI769" s="167">
        <f>$N769/5</f>
        <v>0.2</v>
      </c>
      <c r="CJ769" s="167">
        <v>0</v>
      </c>
      <c r="CK769" s="167">
        <v>0</v>
      </c>
      <c r="CL769" s="167">
        <v>0</v>
      </c>
      <c r="CM769" s="167">
        <v>0</v>
      </c>
      <c r="CN769" s="167">
        <v>0</v>
      </c>
      <c r="CO769" s="167">
        <v>0</v>
      </c>
      <c r="CP769" s="167">
        <v>0</v>
      </c>
      <c r="CQ769" s="167">
        <v>0</v>
      </c>
      <c r="CR769" s="167">
        <v>0</v>
      </c>
      <c r="CS769" s="167">
        <v>0</v>
      </c>
      <c r="CT769" s="167">
        <v>0</v>
      </c>
      <c r="CU769" s="167">
        <v>0</v>
      </c>
      <c r="CV769" s="167">
        <v>0</v>
      </c>
      <c r="CW769" s="167">
        <v>0</v>
      </c>
      <c r="CX769" s="167">
        <f>SUM(CD769:CH769)</f>
        <v>0.8</v>
      </c>
      <c r="CY769" s="167">
        <f>SUM(CD769:CM769)</f>
        <v>1</v>
      </c>
    </row>
    <row r="770" spans="1:103" ht="12.75" customHeight="1" x14ac:dyDescent="0.2">
      <c r="A770" s="81">
        <v>3510</v>
      </c>
      <c r="B770" s="165" t="s">
        <v>1930</v>
      </c>
      <c r="C770" s="165" t="s">
        <v>826</v>
      </c>
      <c r="D770" s="165" t="s">
        <v>225</v>
      </c>
      <c r="E770" s="165" t="s">
        <v>2138</v>
      </c>
      <c r="G770" s="81">
        <v>529424</v>
      </c>
      <c r="H770" s="81">
        <v>177541</v>
      </c>
      <c r="I770" s="165" t="s">
        <v>240</v>
      </c>
      <c r="L770" s="166">
        <v>2</v>
      </c>
      <c r="M770" s="166">
        <v>1</v>
      </c>
      <c r="N770" s="166">
        <v>-1</v>
      </c>
      <c r="O770" s="166">
        <v>1</v>
      </c>
      <c r="P770" s="166">
        <v>-1</v>
      </c>
      <c r="R770" s="165" t="s">
        <v>827</v>
      </c>
      <c r="S770" s="81" t="s">
        <v>113</v>
      </c>
      <c r="T770" s="349">
        <v>42443</v>
      </c>
      <c r="U770" s="349">
        <v>42443</v>
      </c>
      <c r="W770" s="81" t="s">
        <v>114</v>
      </c>
      <c r="Y770" s="81" t="s">
        <v>115</v>
      </c>
      <c r="Z770" s="81" t="s">
        <v>119</v>
      </c>
      <c r="AA770" s="81" t="s">
        <v>117</v>
      </c>
      <c r="AB770" s="81" t="s">
        <v>220</v>
      </c>
      <c r="AC770" s="166">
        <v>2.60000005364418E-2</v>
      </c>
      <c r="AG770" s="81" t="s">
        <v>238</v>
      </c>
      <c r="AH770" s="81" t="s">
        <v>118</v>
      </c>
      <c r="AI770" s="81" t="s">
        <v>2139</v>
      </c>
      <c r="AK770" s="166">
        <v>0</v>
      </c>
      <c r="AM770" s="166">
        <v>0</v>
      </c>
      <c r="AO770" s="166">
        <v>0</v>
      </c>
      <c r="AP770" s="166">
        <v>0</v>
      </c>
      <c r="AQ770" s="166">
        <v>0</v>
      </c>
      <c r="AR770" s="166">
        <v>-2</v>
      </c>
      <c r="AS770" s="166">
        <v>0</v>
      </c>
      <c r="AT770" s="166">
        <v>1</v>
      </c>
      <c r="AU770" s="166">
        <v>0</v>
      </c>
      <c r="AV770" s="166">
        <v>0</v>
      </c>
      <c r="AW770" s="166">
        <v>0</v>
      </c>
      <c r="AX770" s="166">
        <v>0</v>
      </c>
      <c r="AY770" s="166">
        <v>-2</v>
      </c>
      <c r="AZ770" s="166">
        <v>0</v>
      </c>
      <c r="BA770" s="166">
        <v>1</v>
      </c>
      <c r="BB770" s="166">
        <v>0</v>
      </c>
      <c r="BC770" s="166">
        <v>0</v>
      </c>
      <c r="BD770" s="166">
        <v>0</v>
      </c>
      <c r="BE770" s="166">
        <v>0</v>
      </c>
      <c r="BF770" s="166">
        <v>0</v>
      </c>
      <c r="BG770" s="166">
        <v>0</v>
      </c>
      <c r="BH770" s="166">
        <v>0</v>
      </c>
      <c r="BI770" s="166">
        <v>0</v>
      </c>
      <c r="BJ770" s="166">
        <v>0</v>
      </c>
      <c r="BK770" s="166">
        <v>0</v>
      </c>
      <c r="BL770" s="166">
        <v>0</v>
      </c>
      <c r="BM770" s="166">
        <v>0</v>
      </c>
      <c r="BN770" s="166">
        <v>0</v>
      </c>
      <c r="BO770" s="166">
        <v>0</v>
      </c>
      <c r="BP770" s="166">
        <v>0</v>
      </c>
      <c r="BQ770" s="81" t="s">
        <v>1759</v>
      </c>
      <c r="BS770" s="81" t="s">
        <v>155</v>
      </c>
      <c r="BZ770" s="81" t="s">
        <v>155</v>
      </c>
      <c r="CA770" s="81" t="s">
        <v>1937</v>
      </c>
      <c r="CC770" s="167">
        <v>0</v>
      </c>
      <c r="CD770" s="167">
        <f>$N770/4</f>
        <v>-0.25</v>
      </c>
      <c r="CE770" s="167">
        <f>$N770/4</f>
        <v>-0.25</v>
      </c>
      <c r="CF770" s="167">
        <f>$N770/4</f>
        <v>-0.25</v>
      </c>
      <c r="CG770" s="167">
        <f>$N770/4</f>
        <v>-0.25</v>
      </c>
      <c r="CH770" s="167">
        <v>0</v>
      </c>
      <c r="CI770" s="167">
        <v>0</v>
      </c>
      <c r="CJ770" s="167">
        <v>0</v>
      </c>
      <c r="CK770" s="167">
        <v>0</v>
      </c>
      <c r="CL770" s="167">
        <v>0</v>
      </c>
      <c r="CM770" s="167">
        <v>0</v>
      </c>
      <c r="CN770" s="167">
        <v>0</v>
      </c>
      <c r="CO770" s="167">
        <v>0</v>
      </c>
      <c r="CP770" s="167">
        <v>0</v>
      </c>
      <c r="CQ770" s="167">
        <v>0</v>
      </c>
      <c r="CR770" s="167">
        <v>0</v>
      </c>
      <c r="CS770" s="167">
        <v>0</v>
      </c>
      <c r="CT770" s="167">
        <v>0</v>
      </c>
      <c r="CU770" s="167">
        <v>0</v>
      </c>
      <c r="CV770" s="167">
        <v>0</v>
      </c>
      <c r="CW770" s="167">
        <v>0</v>
      </c>
      <c r="CX770" s="167">
        <f>SUM(CD770:CH770)</f>
        <v>-1</v>
      </c>
      <c r="CY770" s="167">
        <f>SUM(CD770:CM770)</f>
        <v>-1</v>
      </c>
    </row>
    <row r="771" spans="1:103" ht="12.75" customHeight="1" x14ac:dyDescent="0.2">
      <c r="A771" s="81">
        <v>3515</v>
      </c>
      <c r="B771" s="165" t="s">
        <v>1930</v>
      </c>
      <c r="C771" s="165" t="s">
        <v>57</v>
      </c>
      <c r="D771" s="165" t="s">
        <v>58</v>
      </c>
      <c r="E771" s="165" t="s">
        <v>2668</v>
      </c>
      <c r="G771" s="81">
        <v>524039</v>
      </c>
      <c r="H771" s="81">
        <v>175460</v>
      </c>
      <c r="I771" s="165" t="s">
        <v>259</v>
      </c>
      <c r="J771" s="349"/>
      <c r="K771" s="349"/>
      <c r="L771" s="166">
        <v>0</v>
      </c>
      <c r="M771" s="166">
        <v>78</v>
      </c>
      <c r="N771" s="166">
        <v>78</v>
      </c>
      <c r="O771" s="166">
        <v>97</v>
      </c>
      <c r="P771" s="166">
        <v>95</v>
      </c>
      <c r="Q771" s="81" t="s">
        <v>155</v>
      </c>
      <c r="R771" s="165" t="s">
        <v>771</v>
      </c>
      <c r="S771" s="81" t="s">
        <v>104</v>
      </c>
      <c r="T771" s="349">
        <v>42010</v>
      </c>
      <c r="U771" s="349">
        <v>42489</v>
      </c>
      <c r="W771" s="81" t="s">
        <v>114</v>
      </c>
      <c r="Y771" s="81" t="s">
        <v>115</v>
      </c>
      <c r="Z771" s="81" t="s">
        <v>116</v>
      </c>
      <c r="AA771" s="81" t="s">
        <v>116</v>
      </c>
      <c r="AB771" s="81" t="s">
        <v>117</v>
      </c>
      <c r="AC771" s="166">
        <v>0.23199999332428001</v>
      </c>
      <c r="AD771" s="349"/>
      <c r="AF771" s="349"/>
      <c r="AG771" s="81" t="s">
        <v>238</v>
      </c>
      <c r="AH771" s="81" t="s">
        <v>118</v>
      </c>
      <c r="AI771" s="81" t="s">
        <v>2669</v>
      </c>
      <c r="AK771" s="166">
        <v>78</v>
      </c>
      <c r="AM771" s="166">
        <v>8</v>
      </c>
      <c r="AO771" s="166">
        <v>1</v>
      </c>
      <c r="AP771" s="166">
        <v>19</v>
      </c>
      <c r="AQ771" s="166">
        <v>52</v>
      </c>
      <c r="AR771" s="166">
        <v>6</v>
      </c>
      <c r="AS771" s="166">
        <v>0</v>
      </c>
      <c r="AT771" s="166">
        <v>0</v>
      </c>
      <c r="AU771" s="166">
        <v>0</v>
      </c>
      <c r="AV771" s="166">
        <v>1</v>
      </c>
      <c r="AW771" s="166">
        <v>19</v>
      </c>
      <c r="AX771" s="166">
        <v>52</v>
      </c>
      <c r="AY771" s="166">
        <v>6</v>
      </c>
      <c r="AZ771" s="166">
        <v>0</v>
      </c>
      <c r="BA771" s="166">
        <v>0</v>
      </c>
      <c r="BB771" s="166">
        <v>0</v>
      </c>
      <c r="BC771" s="166">
        <v>0</v>
      </c>
      <c r="BD771" s="166">
        <v>0</v>
      </c>
      <c r="BE771" s="166">
        <v>0</v>
      </c>
      <c r="BF771" s="166">
        <v>0</v>
      </c>
      <c r="BG771" s="166">
        <v>0</v>
      </c>
      <c r="BH771" s="166">
        <v>0</v>
      </c>
      <c r="BI771" s="166">
        <v>0</v>
      </c>
      <c r="BJ771" s="166">
        <v>0</v>
      </c>
      <c r="BK771" s="166">
        <v>0</v>
      </c>
      <c r="BL771" s="166">
        <v>0</v>
      </c>
      <c r="BM771" s="166">
        <v>0</v>
      </c>
      <c r="BN771" s="166">
        <v>0</v>
      </c>
      <c r="BO771" s="166">
        <v>0</v>
      </c>
      <c r="BP771" s="166">
        <v>0</v>
      </c>
      <c r="BQ771" s="81" t="s">
        <v>1758</v>
      </c>
      <c r="BR771" s="81" t="s">
        <v>161</v>
      </c>
      <c r="BZ771" s="81" t="s">
        <v>155</v>
      </c>
      <c r="CA771" s="81" t="s">
        <v>3935</v>
      </c>
      <c r="CC771" s="167">
        <v>0</v>
      </c>
      <c r="CD771" s="167">
        <v>0</v>
      </c>
      <c r="CE771" s="167">
        <v>0</v>
      </c>
      <c r="CF771" s="167">
        <v>0</v>
      </c>
      <c r="CG771" s="167">
        <v>0</v>
      </c>
      <c r="CH771" s="167">
        <v>26</v>
      </c>
      <c r="CI771" s="167">
        <v>26</v>
      </c>
      <c r="CJ771" s="167">
        <v>26</v>
      </c>
      <c r="CK771" s="167">
        <v>0</v>
      </c>
      <c r="CL771" s="167">
        <v>0</v>
      </c>
      <c r="CM771" s="167">
        <v>0</v>
      </c>
      <c r="CN771" s="167">
        <v>0</v>
      </c>
      <c r="CO771" s="167">
        <v>0</v>
      </c>
      <c r="CP771" s="167">
        <v>0</v>
      </c>
      <c r="CQ771" s="167">
        <v>0</v>
      </c>
      <c r="CR771" s="167">
        <v>0</v>
      </c>
      <c r="CS771" s="167">
        <v>0</v>
      </c>
      <c r="CT771" s="167">
        <v>0</v>
      </c>
      <c r="CU771" s="167">
        <v>0</v>
      </c>
      <c r="CV771" s="167">
        <v>0</v>
      </c>
      <c r="CW771" s="167">
        <v>0</v>
      </c>
      <c r="CX771" s="167">
        <f>SUM(CD771:CH771)</f>
        <v>26</v>
      </c>
      <c r="CY771" s="167">
        <f>SUM(CD771:CM771)</f>
        <v>78</v>
      </c>
    </row>
    <row r="772" spans="1:103" ht="12.75" customHeight="1" x14ac:dyDescent="0.2">
      <c r="A772" s="81">
        <v>3515</v>
      </c>
      <c r="B772" s="165" t="s">
        <v>1930</v>
      </c>
      <c r="C772" s="165" t="s">
        <v>57</v>
      </c>
      <c r="D772" s="165" t="s">
        <v>58</v>
      </c>
      <c r="E772" s="165" t="s">
        <v>2668</v>
      </c>
      <c r="G772" s="81">
        <v>524039</v>
      </c>
      <c r="H772" s="81">
        <v>175460</v>
      </c>
      <c r="I772" s="165" t="s">
        <v>259</v>
      </c>
      <c r="J772" s="349"/>
      <c r="K772" s="349"/>
      <c r="L772" s="166">
        <v>2</v>
      </c>
      <c r="M772" s="166">
        <v>19</v>
      </c>
      <c r="N772" s="166">
        <v>17</v>
      </c>
      <c r="O772" s="166">
        <v>97</v>
      </c>
      <c r="P772" s="166">
        <v>95</v>
      </c>
      <c r="Q772" s="81" t="s">
        <v>155</v>
      </c>
      <c r="R772" s="165" t="s">
        <v>771</v>
      </c>
      <c r="S772" s="81" t="s">
        <v>104</v>
      </c>
      <c r="T772" s="349">
        <v>42010</v>
      </c>
      <c r="U772" s="349">
        <v>42489</v>
      </c>
      <c r="W772" s="81" t="s">
        <v>114</v>
      </c>
      <c r="Y772" s="81" t="s">
        <v>115</v>
      </c>
      <c r="Z772" s="81" t="s">
        <v>116</v>
      </c>
      <c r="AA772" s="81" t="s">
        <v>116</v>
      </c>
      <c r="AB772" s="81" t="s">
        <v>117</v>
      </c>
      <c r="AC772" s="166">
        <v>5.7999998331069898E-2</v>
      </c>
      <c r="AD772" s="349"/>
      <c r="AF772" s="349"/>
      <c r="AG772" s="81" t="s">
        <v>74</v>
      </c>
      <c r="AH772" s="81" t="s">
        <v>1913</v>
      </c>
      <c r="AI772" s="81" t="s">
        <v>2669</v>
      </c>
      <c r="AK772" s="166">
        <v>19</v>
      </c>
      <c r="AM772" s="166">
        <v>2</v>
      </c>
      <c r="AO772" s="166">
        <v>0</v>
      </c>
      <c r="AP772" s="166">
        <v>14</v>
      </c>
      <c r="AQ772" s="166">
        <v>5</v>
      </c>
      <c r="AR772" s="166">
        <v>-2</v>
      </c>
      <c r="AS772" s="166">
        <v>0</v>
      </c>
      <c r="AT772" s="166">
        <v>0</v>
      </c>
      <c r="AU772" s="166">
        <v>0</v>
      </c>
      <c r="AV772" s="166">
        <v>0</v>
      </c>
      <c r="AW772" s="166">
        <v>14</v>
      </c>
      <c r="AX772" s="166">
        <v>5</v>
      </c>
      <c r="AY772" s="166">
        <v>-2</v>
      </c>
      <c r="AZ772" s="166">
        <v>0</v>
      </c>
      <c r="BA772" s="166">
        <v>0</v>
      </c>
      <c r="BB772" s="166">
        <v>0</v>
      </c>
      <c r="BC772" s="166">
        <v>0</v>
      </c>
      <c r="BD772" s="166">
        <v>0</v>
      </c>
      <c r="BE772" s="166">
        <v>0</v>
      </c>
      <c r="BF772" s="166">
        <v>0</v>
      </c>
      <c r="BG772" s="166">
        <v>0</v>
      </c>
      <c r="BH772" s="166">
        <v>0</v>
      </c>
      <c r="BI772" s="166">
        <v>0</v>
      </c>
      <c r="BJ772" s="166">
        <v>0</v>
      </c>
      <c r="BK772" s="166">
        <v>0</v>
      </c>
      <c r="BL772" s="166">
        <v>0</v>
      </c>
      <c r="BM772" s="166">
        <v>0</v>
      </c>
      <c r="BN772" s="166">
        <v>0</v>
      </c>
      <c r="BO772" s="166">
        <v>0</v>
      </c>
      <c r="BP772" s="166">
        <v>0</v>
      </c>
      <c r="BQ772" s="81" t="s">
        <v>1758</v>
      </c>
      <c r="BR772" s="81" t="s">
        <v>161</v>
      </c>
      <c r="BZ772" s="81" t="s">
        <v>155</v>
      </c>
      <c r="CA772" s="81" t="s">
        <v>3935</v>
      </c>
      <c r="CC772" s="167">
        <v>0</v>
      </c>
      <c r="CD772" s="167">
        <v>0</v>
      </c>
      <c r="CE772" s="167">
        <v>0</v>
      </c>
      <c r="CF772" s="167">
        <v>0</v>
      </c>
      <c r="CG772" s="167">
        <v>0</v>
      </c>
      <c r="CH772" s="167">
        <v>5.666666666666667</v>
      </c>
      <c r="CI772" s="167">
        <v>5.666666666666667</v>
      </c>
      <c r="CJ772" s="167">
        <v>5.666666666666667</v>
      </c>
      <c r="CK772" s="167">
        <v>0</v>
      </c>
      <c r="CL772" s="167">
        <v>0</v>
      </c>
      <c r="CM772" s="167">
        <v>0</v>
      </c>
      <c r="CN772" s="167">
        <v>0</v>
      </c>
      <c r="CO772" s="167">
        <v>0</v>
      </c>
      <c r="CP772" s="167">
        <v>0</v>
      </c>
      <c r="CQ772" s="167">
        <v>0</v>
      </c>
      <c r="CR772" s="167">
        <v>0</v>
      </c>
      <c r="CS772" s="167">
        <v>0</v>
      </c>
      <c r="CT772" s="167">
        <v>0</v>
      </c>
      <c r="CU772" s="167">
        <v>0</v>
      </c>
      <c r="CV772" s="167">
        <v>0</v>
      </c>
      <c r="CW772" s="167">
        <v>0</v>
      </c>
      <c r="CX772" s="167">
        <f>SUM(CD772:CH772)</f>
        <v>5.666666666666667</v>
      </c>
      <c r="CY772" s="167">
        <f>SUM(CD772:CM772)</f>
        <v>17</v>
      </c>
    </row>
    <row r="773" spans="1:103" ht="12.75" customHeight="1" x14ac:dyDescent="0.2">
      <c r="A773" s="81">
        <v>3516</v>
      </c>
      <c r="B773" s="165" t="s">
        <v>1930</v>
      </c>
      <c r="C773" s="165" t="s">
        <v>1540</v>
      </c>
      <c r="D773" s="165" t="s">
        <v>506</v>
      </c>
      <c r="E773" s="165" t="s">
        <v>2670</v>
      </c>
      <c r="F773" s="165" t="s">
        <v>863</v>
      </c>
      <c r="G773" s="81">
        <v>528672</v>
      </c>
      <c r="H773" s="81">
        <v>177315</v>
      </c>
      <c r="I773" s="165" t="s">
        <v>240</v>
      </c>
      <c r="L773" s="166">
        <v>2</v>
      </c>
      <c r="M773" s="166">
        <v>1</v>
      </c>
      <c r="N773" s="166">
        <v>-1</v>
      </c>
      <c r="O773" s="166">
        <v>1</v>
      </c>
      <c r="P773" s="166">
        <v>-1</v>
      </c>
      <c r="Q773" s="81" t="s">
        <v>155</v>
      </c>
      <c r="R773" s="165" t="s">
        <v>1541</v>
      </c>
      <c r="S773" s="81" t="s">
        <v>1916</v>
      </c>
      <c r="T773" s="349">
        <v>42793</v>
      </c>
      <c r="U773" s="349">
        <v>42825</v>
      </c>
      <c r="W773" s="81" t="s">
        <v>114</v>
      </c>
      <c r="Y773" s="81" t="s">
        <v>115</v>
      </c>
      <c r="Z773" s="81" t="s">
        <v>116</v>
      </c>
      <c r="AA773" s="81" t="s">
        <v>116</v>
      </c>
      <c r="AB773" s="81" t="s">
        <v>117</v>
      </c>
      <c r="AC773" s="166">
        <v>2.0000000949949E-3</v>
      </c>
      <c r="AG773" s="81" t="s">
        <v>238</v>
      </c>
      <c r="AH773" s="81" t="s">
        <v>118</v>
      </c>
      <c r="AI773" s="81" t="s">
        <v>2671</v>
      </c>
      <c r="AK773" s="166">
        <v>0</v>
      </c>
      <c r="AM773" s="166">
        <v>0</v>
      </c>
      <c r="AO773" s="166">
        <v>0</v>
      </c>
      <c r="AP773" s="166">
        <v>0</v>
      </c>
      <c r="AQ773" s="166">
        <v>-2</v>
      </c>
      <c r="AR773" s="166">
        <v>0</v>
      </c>
      <c r="AS773" s="166">
        <v>1</v>
      </c>
      <c r="AT773" s="166">
        <v>0</v>
      </c>
      <c r="AU773" s="166">
        <v>0</v>
      </c>
      <c r="AV773" s="166">
        <v>0</v>
      </c>
      <c r="AW773" s="166">
        <v>0</v>
      </c>
      <c r="AX773" s="166">
        <v>-2</v>
      </c>
      <c r="AY773" s="166">
        <v>0</v>
      </c>
      <c r="AZ773" s="166">
        <v>1</v>
      </c>
      <c r="BA773" s="166">
        <v>0</v>
      </c>
      <c r="BB773" s="166">
        <v>0</v>
      </c>
      <c r="BC773" s="166">
        <v>0</v>
      </c>
      <c r="BD773" s="166">
        <v>0</v>
      </c>
      <c r="BE773" s="166">
        <v>0</v>
      </c>
      <c r="BF773" s="166">
        <v>0</v>
      </c>
      <c r="BG773" s="166">
        <v>0</v>
      </c>
      <c r="BH773" s="166">
        <v>0</v>
      </c>
      <c r="BI773" s="166">
        <v>0</v>
      </c>
      <c r="BJ773" s="166">
        <v>0</v>
      </c>
      <c r="BK773" s="166">
        <v>0</v>
      </c>
      <c r="BL773" s="166">
        <v>0</v>
      </c>
      <c r="BM773" s="166">
        <v>0</v>
      </c>
      <c r="BN773" s="166">
        <v>0</v>
      </c>
      <c r="BO773" s="166">
        <v>0</v>
      </c>
      <c r="BP773" s="166">
        <v>0</v>
      </c>
      <c r="BQ773" s="81" t="s">
        <v>1759</v>
      </c>
      <c r="BS773" s="81" t="s">
        <v>155</v>
      </c>
      <c r="BZ773" s="81" t="s">
        <v>155</v>
      </c>
      <c r="CA773" s="81" t="s">
        <v>3968</v>
      </c>
      <c r="CC773" s="167">
        <v>0</v>
      </c>
      <c r="CD773" s="167">
        <v>0</v>
      </c>
      <c r="CE773" s="167">
        <v>0</v>
      </c>
      <c r="CF773" s="167">
        <v>0</v>
      </c>
      <c r="CG773" s="167">
        <v>0</v>
      </c>
      <c r="CH773" s="167">
        <f>$N773/3</f>
        <v>-0.33333333333333331</v>
      </c>
      <c r="CI773" s="167">
        <f>$N773/3</f>
        <v>-0.33333333333333331</v>
      </c>
      <c r="CJ773" s="167">
        <f>$N773/3</f>
        <v>-0.33333333333333331</v>
      </c>
      <c r="CK773" s="167">
        <v>0</v>
      </c>
      <c r="CL773" s="167">
        <v>0</v>
      </c>
      <c r="CM773" s="167">
        <v>0</v>
      </c>
      <c r="CN773" s="167">
        <v>0</v>
      </c>
      <c r="CO773" s="167">
        <v>0</v>
      </c>
      <c r="CP773" s="167">
        <v>0</v>
      </c>
      <c r="CQ773" s="167">
        <v>0</v>
      </c>
      <c r="CR773" s="167">
        <v>0</v>
      </c>
      <c r="CS773" s="167">
        <v>0</v>
      </c>
      <c r="CT773" s="167">
        <v>0</v>
      </c>
      <c r="CU773" s="167">
        <v>0</v>
      </c>
      <c r="CV773" s="167">
        <v>0</v>
      </c>
      <c r="CW773" s="167">
        <v>0</v>
      </c>
      <c r="CX773" s="167">
        <f>SUM(CD773:CH773)</f>
        <v>-0.33333333333333331</v>
      </c>
      <c r="CY773" s="167">
        <f>SUM(CD773:CM773)</f>
        <v>-1</v>
      </c>
    </row>
    <row r="774" spans="1:103" ht="12.75" customHeight="1" x14ac:dyDescent="0.2">
      <c r="A774" s="81">
        <v>3521</v>
      </c>
      <c r="B774" s="165" t="s">
        <v>1930</v>
      </c>
      <c r="C774" s="165" t="s">
        <v>1158</v>
      </c>
      <c r="E774" s="165" t="s">
        <v>2826</v>
      </c>
      <c r="F774" s="165" t="s">
        <v>1159</v>
      </c>
      <c r="G774" s="81">
        <v>527156</v>
      </c>
      <c r="H774" s="81">
        <v>175243</v>
      </c>
      <c r="I774" s="165" t="s">
        <v>255</v>
      </c>
      <c r="L774" s="166">
        <v>0</v>
      </c>
      <c r="M774" s="166">
        <v>43</v>
      </c>
      <c r="N774" s="166">
        <v>43</v>
      </c>
      <c r="O774" s="166">
        <v>151</v>
      </c>
      <c r="P774" s="166">
        <v>151</v>
      </c>
      <c r="Q774" s="81" t="s">
        <v>155</v>
      </c>
      <c r="R774" s="165" t="s">
        <v>1160</v>
      </c>
      <c r="S774" s="81" t="s">
        <v>509</v>
      </c>
      <c r="T774" s="349">
        <v>42345</v>
      </c>
      <c r="U774" s="349">
        <v>42558</v>
      </c>
      <c r="W774" s="81" t="s">
        <v>114</v>
      </c>
      <c r="Y774" s="81" t="s">
        <v>115</v>
      </c>
      <c r="Z774" s="81" t="s">
        <v>116</v>
      </c>
      <c r="AA774" s="81" t="s">
        <v>116</v>
      </c>
      <c r="AB774" s="81" t="s">
        <v>117</v>
      </c>
      <c r="AC774" s="166">
        <v>0.168999999761581</v>
      </c>
      <c r="AG774" s="81" t="s">
        <v>238</v>
      </c>
      <c r="AH774" s="81" t="s">
        <v>118</v>
      </c>
      <c r="AI774" s="81" t="s">
        <v>2827</v>
      </c>
      <c r="AK774" s="166">
        <v>43</v>
      </c>
      <c r="AM774" s="166">
        <v>0</v>
      </c>
      <c r="AO774" s="166">
        <v>0</v>
      </c>
      <c r="AP774" s="166">
        <v>6</v>
      </c>
      <c r="AQ774" s="166">
        <v>28</v>
      </c>
      <c r="AR774" s="166">
        <v>9</v>
      </c>
      <c r="AS774" s="166">
        <v>0</v>
      </c>
      <c r="AT774" s="166">
        <v>0</v>
      </c>
      <c r="AU774" s="166">
        <v>0</v>
      </c>
      <c r="AV774" s="166">
        <v>0</v>
      </c>
      <c r="AW774" s="166">
        <v>6</v>
      </c>
      <c r="AX774" s="166">
        <v>28</v>
      </c>
      <c r="AY774" s="166">
        <v>9</v>
      </c>
      <c r="AZ774" s="166">
        <v>0</v>
      </c>
      <c r="BA774" s="166">
        <v>0</v>
      </c>
      <c r="BB774" s="166">
        <v>0</v>
      </c>
      <c r="BC774" s="166">
        <v>0</v>
      </c>
      <c r="BD774" s="166">
        <v>0</v>
      </c>
      <c r="BE774" s="166">
        <v>0</v>
      </c>
      <c r="BF774" s="166">
        <v>0</v>
      </c>
      <c r="BG774" s="166">
        <v>0</v>
      </c>
      <c r="BH774" s="166">
        <v>0</v>
      </c>
      <c r="BI774" s="166">
        <v>0</v>
      </c>
      <c r="BJ774" s="166">
        <v>0</v>
      </c>
      <c r="BK774" s="166">
        <v>0</v>
      </c>
      <c r="BL774" s="166">
        <v>0</v>
      </c>
      <c r="BM774" s="166">
        <v>0</v>
      </c>
      <c r="BN774" s="166">
        <v>0</v>
      </c>
      <c r="BO774" s="166">
        <v>0</v>
      </c>
      <c r="BP774" s="166">
        <v>0</v>
      </c>
      <c r="BQ774" s="81" t="s">
        <v>1757</v>
      </c>
      <c r="BU774" s="81" t="s">
        <v>155</v>
      </c>
      <c r="BZ774" s="81" t="s">
        <v>155</v>
      </c>
      <c r="CA774" s="81" t="s">
        <v>3936</v>
      </c>
      <c r="CC774" s="167">
        <v>0</v>
      </c>
      <c r="CD774" s="167">
        <v>0</v>
      </c>
      <c r="CE774" s="167">
        <f>$N774/3</f>
        <v>14.333333333333334</v>
      </c>
      <c r="CF774" s="167">
        <f>$N774/3</f>
        <v>14.333333333333334</v>
      </c>
      <c r="CG774" s="167">
        <f>$N774/3</f>
        <v>14.333333333333334</v>
      </c>
      <c r="CH774" s="167">
        <v>0</v>
      </c>
      <c r="CI774" s="167">
        <v>0</v>
      </c>
      <c r="CJ774" s="167">
        <v>0</v>
      </c>
      <c r="CK774" s="167">
        <v>0</v>
      </c>
      <c r="CL774" s="167">
        <v>0</v>
      </c>
      <c r="CM774" s="167">
        <v>0</v>
      </c>
      <c r="CN774" s="167">
        <v>0</v>
      </c>
      <c r="CO774" s="167">
        <v>0</v>
      </c>
      <c r="CP774" s="167">
        <v>0</v>
      </c>
      <c r="CQ774" s="167">
        <v>0</v>
      </c>
      <c r="CR774" s="167">
        <v>0</v>
      </c>
      <c r="CS774" s="167">
        <v>0</v>
      </c>
      <c r="CT774" s="167">
        <v>0</v>
      </c>
      <c r="CU774" s="167">
        <v>0</v>
      </c>
      <c r="CV774" s="167">
        <v>0</v>
      </c>
      <c r="CW774" s="167">
        <v>0</v>
      </c>
      <c r="CX774" s="167">
        <f>SUM(CD774:CH774)</f>
        <v>43</v>
      </c>
      <c r="CY774" s="167">
        <f>SUM(CD774:CM774)</f>
        <v>43</v>
      </c>
    </row>
    <row r="775" spans="1:103" ht="12.75" customHeight="1" x14ac:dyDescent="0.2">
      <c r="A775" s="81">
        <v>3521</v>
      </c>
      <c r="B775" s="165" t="s">
        <v>1930</v>
      </c>
      <c r="C775" s="165" t="s">
        <v>1158</v>
      </c>
      <c r="E775" s="165" t="s">
        <v>2826</v>
      </c>
      <c r="F775" s="165" t="s">
        <v>1161</v>
      </c>
      <c r="G775" s="81">
        <v>527156</v>
      </c>
      <c r="H775" s="81">
        <v>175243</v>
      </c>
      <c r="I775" s="165" t="s">
        <v>255</v>
      </c>
      <c r="L775" s="166">
        <v>0</v>
      </c>
      <c r="M775" s="166">
        <v>8</v>
      </c>
      <c r="N775" s="166">
        <v>8</v>
      </c>
      <c r="O775" s="166">
        <v>151</v>
      </c>
      <c r="P775" s="166">
        <v>151</v>
      </c>
      <c r="Q775" s="81" t="s">
        <v>155</v>
      </c>
      <c r="R775" s="165" t="s">
        <v>1160</v>
      </c>
      <c r="S775" s="81" t="s">
        <v>509</v>
      </c>
      <c r="T775" s="349">
        <v>42345</v>
      </c>
      <c r="U775" s="349">
        <v>42558</v>
      </c>
      <c r="W775" s="81" t="s">
        <v>114</v>
      </c>
      <c r="Y775" s="81" t="s">
        <v>115</v>
      </c>
      <c r="Z775" s="81" t="s">
        <v>116</v>
      </c>
      <c r="AA775" s="81" t="s">
        <v>116</v>
      </c>
      <c r="AB775" s="81" t="s">
        <v>117</v>
      </c>
      <c r="AC775" s="166">
        <v>3.5999998450279201E-2</v>
      </c>
      <c r="AG775" s="81" t="s">
        <v>74</v>
      </c>
      <c r="AH775" s="81" t="s">
        <v>1913</v>
      </c>
      <c r="AI775" s="81" t="s">
        <v>2827</v>
      </c>
      <c r="AK775" s="166">
        <v>8</v>
      </c>
      <c r="AM775" s="166">
        <v>0</v>
      </c>
      <c r="AO775" s="166">
        <v>0</v>
      </c>
      <c r="AP775" s="166">
        <v>6</v>
      </c>
      <c r="AQ775" s="166">
        <v>2</v>
      </c>
      <c r="AR775" s="166">
        <v>0</v>
      </c>
      <c r="AS775" s="166">
        <v>0</v>
      </c>
      <c r="AT775" s="166">
        <v>0</v>
      </c>
      <c r="AU775" s="166">
        <v>0</v>
      </c>
      <c r="AV775" s="166">
        <v>0</v>
      </c>
      <c r="AW775" s="166">
        <v>6</v>
      </c>
      <c r="AX775" s="166">
        <v>2</v>
      </c>
      <c r="AY775" s="166">
        <v>0</v>
      </c>
      <c r="AZ775" s="166">
        <v>0</v>
      </c>
      <c r="BA775" s="166">
        <v>0</v>
      </c>
      <c r="BB775" s="166">
        <v>0</v>
      </c>
      <c r="BC775" s="166">
        <v>0</v>
      </c>
      <c r="BD775" s="166">
        <v>0</v>
      </c>
      <c r="BE775" s="166">
        <v>0</v>
      </c>
      <c r="BF775" s="166">
        <v>0</v>
      </c>
      <c r="BG775" s="166">
        <v>0</v>
      </c>
      <c r="BH775" s="166">
        <v>0</v>
      </c>
      <c r="BI775" s="166">
        <v>0</v>
      </c>
      <c r="BJ775" s="166">
        <v>0</v>
      </c>
      <c r="BK775" s="166">
        <v>0</v>
      </c>
      <c r="BL775" s="166">
        <v>0</v>
      </c>
      <c r="BM775" s="166">
        <v>0</v>
      </c>
      <c r="BN775" s="166">
        <v>0</v>
      </c>
      <c r="BO775" s="166">
        <v>0</v>
      </c>
      <c r="BP775" s="166">
        <v>0</v>
      </c>
      <c r="BQ775" s="81" t="s">
        <v>1757</v>
      </c>
      <c r="BU775" s="81" t="s">
        <v>155</v>
      </c>
      <c r="BZ775" s="81" t="s">
        <v>155</v>
      </c>
      <c r="CA775" s="81" t="s">
        <v>3936</v>
      </c>
      <c r="CC775" s="167">
        <v>0</v>
      </c>
      <c r="CD775" s="167">
        <v>0</v>
      </c>
      <c r="CE775" s="167">
        <f>$N775/3</f>
        <v>2.6666666666666665</v>
      </c>
      <c r="CF775" s="167">
        <f>$N775/3</f>
        <v>2.6666666666666665</v>
      </c>
      <c r="CG775" s="167">
        <f>$N775/3</f>
        <v>2.6666666666666665</v>
      </c>
      <c r="CH775" s="167">
        <v>0</v>
      </c>
      <c r="CI775" s="167">
        <v>0</v>
      </c>
      <c r="CJ775" s="167">
        <v>0</v>
      </c>
      <c r="CK775" s="167">
        <v>0</v>
      </c>
      <c r="CL775" s="167">
        <v>0</v>
      </c>
      <c r="CM775" s="167">
        <v>0</v>
      </c>
      <c r="CN775" s="167">
        <v>0</v>
      </c>
      <c r="CO775" s="167">
        <v>0</v>
      </c>
      <c r="CP775" s="167">
        <v>0</v>
      </c>
      <c r="CQ775" s="167">
        <v>0</v>
      </c>
      <c r="CR775" s="167">
        <v>0</v>
      </c>
      <c r="CS775" s="167">
        <v>0</v>
      </c>
      <c r="CT775" s="167">
        <v>0</v>
      </c>
      <c r="CU775" s="167">
        <v>0</v>
      </c>
      <c r="CV775" s="167">
        <v>0</v>
      </c>
      <c r="CW775" s="167">
        <v>0</v>
      </c>
      <c r="CX775" s="167">
        <f>SUM(CD775:CH775)</f>
        <v>8</v>
      </c>
      <c r="CY775" s="167">
        <f>SUM(CD775:CM775)</f>
        <v>8</v>
      </c>
    </row>
    <row r="776" spans="1:103" ht="12.75" customHeight="1" x14ac:dyDescent="0.2">
      <c r="A776" s="81">
        <v>3521</v>
      </c>
      <c r="B776" s="165" t="s">
        <v>1930</v>
      </c>
      <c r="C776" s="165" t="s">
        <v>1158</v>
      </c>
      <c r="E776" s="165" t="s">
        <v>2826</v>
      </c>
      <c r="F776" s="165" t="s">
        <v>1162</v>
      </c>
      <c r="G776" s="81">
        <v>527156</v>
      </c>
      <c r="H776" s="81">
        <v>175243</v>
      </c>
      <c r="I776" s="165" t="s">
        <v>255</v>
      </c>
      <c r="L776" s="166">
        <v>0</v>
      </c>
      <c r="M776" s="166">
        <v>100</v>
      </c>
      <c r="N776" s="166">
        <v>100</v>
      </c>
      <c r="O776" s="166">
        <v>151</v>
      </c>
      <c r="P776" s="166">
        <v>151</v>
      </c>
      <c r="Q776" s="81" t="s">
        <v>155</v>
      </c>
      <c r="R776" s="165" t="s">
        <v>1160</v>
      </c>
      <c r="S776" s="81" t="s">
        <v>509</v>
      </c>
      <c r="T776" s="349">
        <v>42345</v>
      </c>
      <c r="U776" s="349">
        <v>42558</v>
      </c>
      <c r="W776" s="81" t="s">
        <v>114</v>
      </c>
      <c r="Y776" s="81" t="s">
        <v>115</v>
      </c>
      <c r="Z776" s="81" t="s">
        <v>116</v>
      </c>
      <c r="AA776" s="81" t="s">
        <v>116</v>
      </c>
      <c r="AB776" s="81" t="s">
        <v>117</v>
      </c>
      <c r="AC776" s="166">
        <v>0.30500000715255698</v>
      </c>
      <c r="AG776" s="81" t="s">
        <v>154</v>
      </c>
      <c r="AH776" s="81" t="s">
        <v>312</v>
      </c>
      <c r="AI776" s="81" t="s">
        <v>2827</v>
      </c>
      <c r="AK776" s="166">
        <v>100</v>
      </c>
      <c r="AM776" s="166">
        <v>0</v>
      </c>
      <c r="AO776" s="166">
        <v>0</v>
      </c>
      <c r="AP776" s="166">
        <v>30</v>
      </c>
      <c r="AQ776" s="166">
        <v>31</v>
      </c>
      <c r="AR776" s="166">
        <v>29</v>
      </c>
      <c r="AS776" s="166">
        <v>10</v>
      </c>
      <c r="AT776" s="166">
        <v>0</v>
      </c>
      <c r="AU776" s="166">
        <v>0</v>
      </c>
      <c r="AV776" s="166">
        <v>0</v>
      </c>
      <c r="AW776" s="166">
        <v>30</v>
      </c>
      <c r="AX776" s="166">
        <v>31</v>
      </c>
      <c r="AY776" s="166">
        <v>29</v>
      </c>
      <c r="AZ776" s="166">
        <v>10</v>
      </c>
      <c r="BA776" s="166">
        <v>0</v>
      </c>
      <c r="BB776" s="166">
        <v>0</v>
      </c>
      <c r="BC776" s="166">
        <v>0</v>
      </c>
      <c r="BD776" s="166">
        <v>0</v>
      </c>
      <c r="BE776" s="166">
        <v>0</v>
      </c>
      <c r="BF776" s="166">
        <v>0</v>
      </c>
      <c r="BG776" s="166">
        <v>0</v>
      </c>
      <c r="BH776" s="166">
        <v>0</v>
      </c>
      <c r="BI776" s="166">
        <v>0</v>
      </c>
      <c r="BJ776" s="166">
        <v>0</v>
      </c>
      <c r="BK776" s="166">
        <v>0</v>
      </c>
      <c r="BL776" s="166">
        <v>0</v>
      </c>
      <c r="BM776" s="166">
        <v>0</v>
      </c>
      <c r="BN776" s="166">
        <v>0</v>
      </c>
      <c r="BO776" s="166">
        <v>0</v>
      </c>
      <c r="BP776" s="166">
        <v>0</v>
      </c>
      <c r="BQ776" s="81" t="s">
        <v>1757</v>
      </c>
      <c r="BU776" s="81" t="s">
        <v>155</v>
      </c>
      <c r="BZ776" s="81" t="s">
        <v>155</v>
      </c>
      <c r="CA776" s="81" t="s">
        <v>3936</v>
      </c>
      <c r="CC776" s="167">
        <v>0</v>
      </c>
      <c r="CD776" s="167">
        <v>0</v>
      </c>
      <c r="CE776" s="167">
        <f>$N776/3</f>
        <v>33.333333333333336</v>
      </c>
      <c r="CF776" s="167">
        <f>$N776/3</f>
        <v>33.333333333333336</v>
      </c>
      <c r="CG776" s="167">
        <f>$N776/3</f>
        <v>33.333333333333336</v>
      </c>
      <c r="CH776" s="167">
        <v>0</v>
      </c>
      <c r="CI776" s="167">
        <v>0</v>
      </c>
      <c r="CJ776" s="167">
        <v>0</v>
      </c>
      <c r="CK776" s="167">
        <v>0</v>
      </c>
      <c r="CL776" s="167">
        <v>0</v>
      </c>
      <c r="CM776" s="167">
        <v>0</v>
      </c>
      <c r="CN776" s="167">
        <v>0</v>
      </c>
      <c r="CO776" s="167">
        <v>0</v>
      </c>
      <c r="CP776" s="167">
        <v>0</v>
      </c>
      <c r="CQ776" s="167">
        <v>0</v>
      </c>
      <c r="CR776" s="167">
        <v>0</v>
      </c>
      <c r="CS776" s="167">
        <v>0</v>
      </c>
      <c r="CT776" s="167">
        <v>0</v>
      </c>
      <c r="CU776" s="167">
        <v>0</v>
      </c>
      <c r="CV776" s="167">
        <v>0</v>
      </c>
      <c r="CW776" s="167">
        <v>0</v>
      </c>
      <c r="CX776" s="167">
        <f>SUM(CD776:CH776)</f>
        <v>100</v>
      </c>
      <c r="CY776" s="167">
        <f>SUM(CD776:CM776)</f>
        <v>100</v>
      </c>
    </row>
    <row r="777" spans="1:103" ht="12.75" customHeight="1" x14ac:dyDescent="0.2">
      <c r="A777" s="81">
        <v>3652</v>
      </c>
      <c r="B777" s="165" t="s">
        <v>1930</v>
      </c>
      <c r="C777" s="165" t="s">
        <v>813</v>
      </c>
      <c r="E777" s="165" t="s">
        <v>2496</v>
      </c>
      <c r="G777" s="81">
        <v>527224</v>
      </c>
      <c r="H777" s="81">
        <v>177200</v>
      </c>
      <c r="I777" s="165" t="s">
        <v>257</v>
      </c>
      <c r="L777" s="166">
        <v>0</v>
      </c>
      <c r="M777" s="166">
        <v>4</v>
      </c>
      <c r="N777" s="166">
        <v>4</v>
      </c>
      <c r="O777" s="166">
        <v>4</v>
      </c>
      <c r="P777" s="166">
        <v>4</v>
      </c>
      <c r="R777" s="165" t="s">
        <v>1179</v>
      </c>
      <c r="S777" s="81" t="s">
        <v>113</v>
      </c>
      <c r="T777" s="349">
        <v>42412</v>
      </c>
      <c r="U777" s="349">
        <v>42517</v>
      </c>
      <c r="W777" s="81" t="s">
        <v>114</v>
      </c>
      <c r="Y777" s="81" t="s">
        <v>115</v>
      </c>
      <c r="Z777" s="81" t="s">
        <v>116</v>
      </c>
      <c r="AA777" s="81" t="s">
        <v>117</v>
      </c>
      <c r="AB777" s="81" t="s">
        <v>218</v>
      </c>
      <c r="AC777" s="166">
        <v>4.1999999433755902E-2</v>
      </c>
      <c r="AG777" s="81" t="s">
        <v>238</v>
      </c>
      <c r="AH777" s="81" t="s">
        <v>118</v>
      </c>
      <c r="AK777" s="166">
        <v>0</v>
      </c>
      <c r="AM777" s="166">
        <v>0</v>
      </c>
      <c r="AO777" s="166">
        <v>0</v>
      </c>
      <c r="AP777" s="166">
        <v>0</v>
      </c>
      <c r="AQ777" s="166">
        <v>4</v>
      </c>
      <c r="AR777" s="166">
        <v>0</v>
      </c>
      <c r="AS777" s="166">
        <v>0</v>
      </c>
      <c r="AT777" s="166">
        <v>0</v>
      </c>
      <c r="AU777" s="166">
        <v>0</v>
      </c>
      <c r="AV777" s="166">
        <v>0</v>
      </c>
      <c r="AW777" s="166">
        <v>0</v>
      </c>
      <c r="AX777" s="166">
        <v>4</v>
      </c>
      <c r="AY777" s="166">
        <v>0</v>
      </c>
      <c r="AZ777" s="166">
        <v>0</v>
      </c>
      <c r="BA777" s="166">
        <v>0</v>
      </c>
      <c r="BB777" s="166">
        <v>0</v>
      </c>
      <c r="BC777" s="166">
        <v>0</v>
      </c>
      <c r="BD777" s="166">
        <v>0</v>
      </c>
      <c r="BE777" s="166">
        <v>0</v>
      </c>
      <c r="BF777" s="166">
        <v>0</v>
      </c>
      <c r="BG777" s="166">
        <v>0</v>
      </c>
      <c r="BH777" s="166">
        <v>0</v>
      </c>
      <c r="BI777" s="166">
        <v>0</v>
      </c>
      <c r="BJ777" s="166">
        <v>0</v>
      </c>
      <c r="BK777" s="166">
        <v>0</v>
      </c>
      <c r="BL777" s="166">
        <v>0</v>
      </c>
      <c r="BM777" s="166">
        <v>0</v>
      </c>
      <c r="BN777" s="166">
        <v>0</v>
      </c>
      <c r="BO777" s="166">
        <v>0</v>
      </c>
      <c r="BP777" s="166">
        <v>0</v>
      </c>
      <c r="BQ777" s="81" t="s">
        <v>1757</v>
      </c>
      <c r="BX777" s="81" t="s">
        <v>155</v>
      </c>
      <c r="BZ777" s="81" t="s">
        <v>155</v>
      </c>
      <c r="CA777" s="81">
        <v>4</v>
      </c>
      <c r="CC777" s="167">
        <v>0</v>
      </c>
      <c r="CD777" s="167">
        <v>0</v>
      </c>
      <c r="CE777" s="167">
        <f>$N777/5</f>
        <v>0.8</v>
      </c>
      <c r="CF777" s="167">
        <f>$N777/5</f>
        <v>0.8</v>
      </c>
      <c r="CG777" s="167">
        <f>$N777/5</f>
        <v>0.8</v>
      </c>
      <c r="CH777" s="167">
        <f>$N777/5</f>
        <v>0.8</v>
      </c>
      <c r="CI777" s="167">
        <f>$N777/5</f>
        <v>0.8</v>
      </c>
      <c r="CJ777" s="167">
        <v>0</v>
      </c>
      <c r="CK777" s="167">
        <v>0</v>
      </c>
      <c r="CL777" s="167">
        <v>0</v>
      </c>
      <c r="CM777" s="167">
        <v>0</v>
      </c>
      <c r="CN777" s="167">
        <v>0</v>
      </c>
      <c r="CO777" s="167">
        <v>0</v>
      </c>
      <c r="CP777" s="167">
        <v>0</v>
      </c>
      <c r="CQ777" s="167">
        <v>0</v>
      </c>
      <c r="CR777" s="167">
        <v>0</v>
      </c>
      <c r="CS777" s="167">
        <v>0</v>
      </c>
      <c r="CT777" s="167">
        <v>0</v>
      </c>
      <c r="CU777" s="167">
        <v>0</v>
      </c>
      <c r="CV777" s="167">
        <v>0</v>
      </c>
      <c r="CW777" s="167">
        <v>0</v>
      </c>
      <c r="CX777" s="167">
        <f>SUM(CD777:CH777)</f>
        <v>3.2</v>
      </c>
      <c r="CY777" s="167">
        <f>SUM(CD777:CM777)</f>
        <v>4</v>
      </c>
    </row>
    <row r="778" spans="1:103" ht="12.75" customHeight="1" x14ac:dyDescent="0.2">
      <c r="A778" s="81">
        <v>3660</v>
      </c>
      <c r="B778" s="165" t="s">
        <v>1930</v>
      </c>
      <c r="C778" s="165" t="s">
        <v>2497</v>
      </c>
      <c r="E778" s="165" t="s">
        <v>2498</v>
      </c>
      <c r="G778" s="81">
        <v>527153</v>
      </c>
      <c r="H778" s="81">
        <v>171082</v>
      </c>
      <c r="I778" s="165" t="s">
        <v>242</v>
      </c>
      <c r="L778" s="166">
        <v>0</v>
      </c>
      <c r="M778" s="166">
        <v>2</v>
      </c>
      <c r="N778" s="166">
        <v>2</v>
      </c>
      <c r="O778" s="166">
        <v>2</v>
      </c>
      <c r="P778" s="166">
        <v>2</v>
      </c>
      <c r="R778" s="165" t="s">
        <v>2499</v>
      </c>
      <c r="S778" s="81" t="s">
        <v>113</v>
      </c>
      <c r="T778" s="349">
        <v>42898</v>
      </c>
      <c r="U778" s="349">
        <v>42954</v>
      </c>
      <c r="V778" s="81" t="s">
        <v>155</v>
      </c>
      <c r="W778" s="81" t="s">
        <v>114</v>
      </c>
      <c r="Y778" s="81" t="s">
        <v>115</v>
      </c>
      <c r="Z778" s="81" t="s">
        <v>116</v>
      </c>
      <c r="AA778" s="81" t="s">
        <v>117</v>
      </c>
      <c r="AB778" s="81" t="s">
        <v>218</v>
      </c>
      <c r="AC778" s="166">
        <v>2.8000000864267301E-2</v>
      </c>
      <c r="AG778" s="81" t="s">
        <v>238</v>
      </c>
      <c r="AH778" s="81" t="s">
        <v>118</v>
      </c>
      <c r="AK778" s="166">
        <v>0</v>
      </c>
      <c r="AM778" s="166">
        <v>0</v>
      </c>
      <c r="AO778" s="166">
        <v>0</v>
      </c>
      <c r="AP778" s="166">
        <v>0</v>
      </c>
      <c r="AQ778" s="166">
        <v>0</v>
      </c>
      <c r="AR778" s="166">
        <v>2</v>
      </c>
      <c r="AS778" s="166">
        <v>0</v>
      </c>
      <c r="AT778" s="166">
        <v>0</v>
      </c>
      <c r="AU778" s="166">
        <v>0</v>
      </c>
      <c r="AV778" s="166">
        <v>0</v>
      </c>
      <c r="AW778" s="166">
        <v>0</v>
      </c>
      <c r="AX778" s="166">
        <v>0</v>
      </c>
      <c r="AY778" s="166">
        <v>0</v>
      </c>
      <c r="AZ778" s="166">
        <v>0</v>
      </c>
      <c r="BA778" s="166">
        <v>0</v>
      </c>
      <c r="BB778" s="166">
        <v>0</v>
      </c>
      <c r="BC778" s="166">
        <v>0</v>
      </c>
      <c r="BD778" s="166">
        <v>0</v>
      </c>
      <c r="BE778" s="166">
        <v>0</v>
      </c>
      <c r="BF778" s="166">
        <v>2</v>
      </c>
      <c r="BG778" s="166">
        <v>0</v>
      </c>
      <c r="BH778" s="166">
        <v>0</v>
      </c>
      <c r="BI778" s="166">
        <v>0</v>
      </c>
      <c r="BJ778" s="166">
        <v>0</v>
      </c>
      <c r="BK778" s="166">
        <v>0</v>
      </c>
      <c r="BL778" s="166">
        <v>0</v>
      </c>
      <c r="BM778" s="166">
        <v>0</v>
      </c>
      <c r="BN778" s="166">
        <v>0</v>
      </c>
      <c r="BO778" s="166">
        <v>0</v>
      </c>
      <c r="BP778" s="166">
        <v>0</v>
      </c>
      <c r="BQ778" s="81" t="s">
        <v>1757</v>
      </c>
      <c r="BZ778" s="81" t="s">
        <v>155</v>
      </c>
      <c r="CA778" s="81">
        <v>4</v>
      </c>
      <c r="CC778" s="167">
        <v>0</v>
      </c>
      <c r="CD778" s="167">
        <v>0</v>
      </c>
      <c r="CE778" s="167">
        <f>$N778/5</f>
        <v>0.4</v>
      </c>
      <c r="CF778" s="167">
        <f>$N778/5</f>
        <v>0.4</v>
      </c>
      <c r="CG778" s="167">
        <f>$N778/5</f>
        <v>0.4</v>
      </c>
      <c r="CH778" s="167">
        <f>$N778/5</f>
        <v>0.4</v>
      </c>
      <c r="CI778" s="167">
        <f>$N778/5</f>
        <v>0.4</v>
      </c>
      <c r="CJ778" s="167">
        <v>0</v>
      </c>
      <c r="CK778" s="167">
        <v>0</v>
      </c>
      <c r="CL778" s="167">
        <v>0</v>
      </c>
      <c r="CM778" s="167">
        <v>0</v>
      </c>
      <c r="CN778" s="167">
        <v>0</v>
      </c>
      <c r="CO778" s="167">
        <v>0</v>
      </c>
      <c r="CP778" s="167">
        <v>0</v>
      </c>
      <c r="CQ778" s="167">
        <v>0</v>
      </c>
      <c r="CR778" s="167">
        <v>0</v>
      </c>
      <c r="CS778" s="167">
        <v>0</v>
      </c>
      <c r="CT778" s="167">
        <v>0</v>
      </c>
      <c r="CU778" s="167">
        <v>0</v>
      </c>
      <c r="CV778" s="167">
        <v>0</v>
      </c>
      <c r="CW778" s="167">
        <v>0</v>
      </c>
      <c r="CX778" s="167">
        <f>SUM(CD778:CH778)</f>
        <v>1.6</v>
      </c>
      <c r="CY778" s="167">
        <f>SUM(CD778:CM778)</f>
        <v>2</v>
      </c>
    </row>
    <row r="779" spans="1:103" ht="12.75" customHeight="1" x14ac:dyDescent="0.2">
      <c r="A779" s="81">
        <v>3716</v>
      </c>
      <c r="B779" s="165" t="s">
        <v>1930</v>
      </c>
      <c r="C779" s="165" t="s">
        <v>1485</v>
      </c>
      <c r="E779" s="165" t="s">
        <v>2500</v>
      </c>
      <c r="G779" s="81">
        <v>525905</v>
      </c>
      <c r="H779" s="81">
        <v>173871</v>
      </c>
      <c r="I779" s="165" t="s">
        <v>249</v>
      </c>
      <c r="L779" s="166">
        <v>1</v>
      </c>
      <c r="M779" s="166">
        <v>2</v>
      </c>
      <c r="N779" s="166">
        <v>1</v>
      </c>
      <c r="O779" s="166">
        <v>2</v>
      </c>
      <c r="P779" s="166">
        <v>1</v>
      </c>
      <c r="R779" s="165" t="s">
        <v>1486</v>
      </c>
      <c r="S779" s="81" t="s">
        <v>113</v>
      </c>
      <c r="T779" s="349">
        <v>42690</v>
      </c>
      <c r="U779" s="349">
        <v>42745</v>
      </c>
      <c r="W779" s="81" t="s">
        <v>114</v>
      </c>
      <c r="Y779" s="81" t="s">
        <v>115</v>
      </c>
      <c r="Z779" s="81" t="s">
        <v>119</v>
      </c>
      <c r="AA779" s="81" t="s">
        <v>117</v>
      </c>
      <c r="AB779" s="81" t="s">
        <v>220</v>
      </c>
      <c r="AC779" s="166">
        <v>8.0000003799796104E-3</v>
      </c>
      <c r="AG779" s="81" t="s">
        <v>238</v>
      </c>
      <c r="AH779" s="81" t="s">
        <v>118</v>
      </c>
      <c r="AK779" s="166">
        <v>0</v>
      </c>
      <c r="AM779" s="166">
        <v>0</v>
      </c>
      <c r="AO779" s="166">
        <v>0</v>
      </c>
      <c r="AP779" s="166">
        <v>1</v>
      </c>
      <c r="AQ779" s="166">
        <v>1</v>
      </c>
      <c r="AR779" s="166">
        <v>-1</v>
      </c>
      <c r="AS779" s="166">
        <v>0</v>
      </c>
      <c r="AT779" s="166">
        <v>0</v>
      </c>
      <c r="AU779" s="166">
        <v>0</v>
      </c>
      <c r="AV779" s="166">
        <v>0</v>
      </c>
      <c r="AW779" s="166">
        <v>1</v>
      </c>
      <c r="AX779" s="166">
        <v>1</v>
      </c>
      <c r="AY779" s="166">
        <v>-1</v>
      </c>
      <c r="AZ779" s="166">
        <v>0</v>
      </c>
      <c r="BA779" s="166">
        <v>0</v>
      </c>
      <c r="BB779" s="166">
        <v>0</v>
      </c>
      <c r="BC779" s="166">
        <v>0</v>
      </c>
      <c r="BD779" s="166">
        <v>0</v>
      </c>
      <c r="BE779" s="166">
        <v>0</v>
      </c>
      <c r="BF779" s="166">
        <v>0</v>
      </c>
      <c r="BG779" s="166">
        <v>0</v>
      </c>
      <c r="BH779" s="166">
        <v>0</v>
      </c>
      <c r="BI779" s="166">
        <v>0</v>
      </c>
      <c r="BJ779" s="166">
        <v>0</v>
      </c>
      <c r="BK779" s="166">
        <v>0</v>
      </c>
      <c r="BL779" s="166">
        <v>0</v>
      </c>
      <c r="BM779" s="166">
        <v>0</v>
      </c>
      <c r="BN779" s="166">
        <v>0</v>
      </c>
      <c r="BO779" s="166">
        <v>0</v>
      </c>
      <c r="BP779" s="166">
        <v>0</v>
      </c>
      <c r="BQ779" s="81" t="s">
        <v>1758</v>
      </c>
      <c r="BZ779" s="81" t="s">
        <v>155</v>
      </c>
      <c r="CA779" s="81" t="s">
        <v>1937</v>
      </c>
      <c r="CC779" s="167">
        <v>0</v>
      </c>
      <c r="CD779" s="167">
        <f>$N779/4</f>
        <v>0.25</v>
      </c>
      <c r="CE779" s="167">
        <f>$N779/4</f>
        <v>0.25</v>
      </c>
      <c r="CF779" s="167">
        <f>$N779/4</f>
        <v>0.25</v>
      </c>
      <c r="CG779" s="167">
        <f>$N779/4</f>
        <v>0.25</v>
      </c>
      <c r="CH779" s="167">
        <v>0</v>
      </c>
      <c r="CI779" s="167">
        <v>0</v>
      </c>
      <c r="CJ779" s="167">
        <v>0</v>
      </c>
      <c r="CK779" s="167">
        <v>0</v>
      </c>
      <c r="CL779" s="167">
        <v>0</v>
      </c>
      <c r="CM779" s="167">
        <v>0</v>
      </c>
      <c r="CN779" s="167">
        <v>0</v>
      </c>
      <c r="CO779" s="167">
        <v>0</v>
      </c>
      <c r="CP779" s="167">
        <v>0</v>
      </c>
      <c r="CQ779" s="167">
        <v>0</v>
      </c>
      <c r="CR779" s="167">
        <v>0</v>
      </c>
      <c r="CS779" s="167">
        <v>0</v>
      </c>
      <c r="CT779" s="167">
        <v>0</v>
      </c>
      <c r="CU779" s="167">
        <v>0</v>
      </c>
      <c r="CV779" s="167">
        <v>0</v>
      </c>
      <c r="CW779" s="167">
        <v>0</v>
      </c>
      <c r="CX779" s="167">
        <f>SUM(CD779:CH779)</f>
        <v>1</v>
      </c>
      <c r="CY779" s="167">
        <f>SUM(CD779:CM779)</f>
        <v>1</v>
      </c>
    </row>
    <row r="780" spans="1:103" ht="12.75" customHeight="1" x14ac:dyDescent="0.2">
      <c r="A780" s="81">
        <v>3726</v>
      </c>
      <c r="B780" s="165" t="s">
        <v>1930</v>
      </c>
      <c r="C780" s="165" t="s">
        <v>2501</v>
      </c>
      <c r="E780" s="165" t="s">
        <v>2502</v>
      </c>
      <c r="G780" s="81">
        <v>525701</v>
      </c>
      <c r="H780" s="81">
        <v>173658</v>
      </c>
      <c r="I780" s="165" t="s">
        <v>249</v>
      </c>
      <c r="L780" s="166">
        <v>0</v>
      </c>
      <c r="M780" s="166">
        <v>1</v>
      </c>
      <c r="N780" s="166">
        <v>1</v>
      </c>
      <c r="O780" s="166">
        <v>1</v>
      </c>
      <c r="P780" s="166">
        <v>1</v>
      </c>
      <c r="R780" s="165" t="s">
        <v>319</v>
      </c>
      <c r="S780" s="81" t="s">
        <v>113</v>
      </c>
      <c r="T780" s="349">
        <v>42916</v>
      </c>
      <c r="U780" s="349">
        <v>43158</v>
      </c>
      <c r="V780" s="81" t="s">
        <v>155</v>
      </c>
      <c r="W780" s="81" t="s">
        <v>114</v>
      </c>
      <c r="Y780" s="81" t="s">
        <v>115</v>
      </c>
      <c r="Z780" s="81" t="s">
        <v>116</v>
      </c>
      <c r="AA780" s="81" t="s">
        <v>117</v>
      </c>
      <c r="AB780" s="81" t="s">
        <v>218</v>
      </c>
      <c r="AC780" s="166">
        <v>1.7000000923872001E-2</v>
      </c>
      <c r="AG780" s="81" t="s">
        <v>238</v>
      </c>
      <c r="AH780" s="81" t="s">
        <v>118</v>
      </c>
      <c r="AK780" s="166">
        <v>0</v>
      </c>
      <c r="AM780" s="166">
        <v>0</v>
      </c>
      <c r="AO780" s="166">
        <v>0</v>
      </c>
      <c r="AP780" s="166">
        <v>0</v>
      </c>
      <c r="AQ780" s="166">
        <v>0</v>
      </c>
      <c r="AR780" s="166">
        <v>1</v>
      </c>
      <c r="AS780" s="166">
        <v>0</v>
      </c>
      <c r="AT780" s="166">
        <v>0</v>
      </c>
      <c r="AU780" s="166">
        <v>0</v>
      </c>
      <c r="AV780" s="166">
        <v>0</v>
      </c>
      <c r="AW780" s="166">
        <v>0</v>
      </c>
      <c r="AX780" s="166">
        <v>0</v>
      </c>
      <c r="AY780" s="166">
        <v>0</v>
      </c>
      <c r="AZ780" s="166">
        <v>0</v>
      </c>
      <c r="BA780" s="166">
        <v>0</v>
      </c>
      <c r="BB780" s="166">
        <v>0</v>
      </c>
      <c r="BC780" s="166">
        <v>0</v>
      </c>
      <c r="BD780" s="166">
        <v>0</v>
      </c>
      <c r="BE780" s="166">
        <v>0</v>
      </c>
      <c r="BF780" s="166">
        <v>1</v>
      </c>
      <c r="BG780" s="166">
        <v>0</v>
      </c>
      <c r="BH780" s="166">
        <v>0</v>
      </c>
      <c r="BI780" s="166">
        <v>0</v>
      </c>
      <c r="BJ780" s="166">
        <v>0</v>
      </c>
      <c r="BK780" s="166">
        <v>0</v>
      </c>
      <c r="BL780" s="166">
        <v>0</v>
      </c>
      <c r="BM780" s="166">
        <v>0</v>
      </c>
      <c r="BN780" s="166">
        <v>0</v>
      </c>
      <c r="BO780" s="166">
        <v>0</v>
      </c>
      <c r="BP780" s="166">
        <v>0</v>
      </c>
      <c r="BQ780" s="81" t="s">
        <v>1758</v>
      </c>
      <c r="BY780" s="81" t="s">
        <v>155</v>
      </c>
      <c r="BZ780" s="81" t="s">
        <v>155</v>
      </c>
      <c r="CA780" s="81">
        <v>4</v>
      </c>
      <c r="CC780" s="167">
        <v>0</v>
      </c>
      <c r="CD780" s="167">
        <v>0</v>
      </c>
      <c r="CE780" s="167">
        <f>$N780/5</f>
        <v>0.2</v>
      </c>
      <c r="CF780" s="167">
        <f>$N780/5</f>
        <v>0.2</v>
      </c>
      <c r="CG780" s="167">
        <f>$N780/5</f>
        <v>0.2</v>
      </c>
      <c r="CH780" s="167">
        <f>$N780/5</f>
        <v>0.2</v>
      </c>
      <c r="CI780" s="167">
        <f>$N780/5</f>
        <v>0.2</v>
      </c>
      <c r="CJ780" s="167">
        <v>0</v>
      </c>
      <c r="CK780" s="167">
        <v>0</v>
      </c>
      <c r="CL780" s="167">
        <v>0</v>
      </c>
      <c r="CM780" s="167">
        <v>0</v>
      </c>
      <c r="CN780" s="167">
        <v>0</v>
      </c>
      <c r="CO780" s="167">
        <v>0</v>
      </c>
      <c r="CP780" s="167">
        <v>0</v>
      </c>
      <c r="CQ780" s="167">
        <v>0</v>
      </c>
      <c r="CR780" s="167">
        <v>0</v>
      </c>
      <c r="CS780" s="167">
        <v>0</v>
      </c>
      <c r="CT780" s="167">
        <v>0</v>
      </c>
      <c r="CU780" s="167">
        <v>0</v>
      </c>
      <c r="CV780" s="167">
        <v>0</v>
      </c>
      <c r="CW780" s="167">
        <v>0</v>
      </c>
      <c r="CX780" s="167">
        <f>SUM(CD780:CH780)</f>
        <v>0.8</v>
      </c>
      <c r="CY780" s="167">
        <f>SUM(CD780:CM780)</f>
        <v>1</v>
      </c>
    </row>
    <row r="781" spans="1:103" ht="12.75" customHeight="1" x14ac:dyDescent="0.2">
      <c r="A781" s="81">
        <v>3792</v>
      </c>
      <c r="B781" s="165" t="s">
        <v>1930</v>
      </c>
      <c r="C781" s="165" t="s">
        <v>2503</v>
      </c>
      <c r="E781" s="165" t="s">
        <v>2504</v>
      </c>
      <c r="G781" s="81">
        <v>527949</v>
      </c>
      <c r="H781" s="81">
        <v>172431</v>
      </c>
      <c r="I781" s="165" t="s">
        <v>254</v>
      </c>
      <c r="L781" s="166">
        <v>2</v>
      </c>
      <c r="M781" s="166">
        <v>2</v>
      </c>
      <c r="N781" s="166">
        <v>0</v>
      </c>
      <c r="O781" s="166">
        <v>2</v>
      </c>
      <c r="P781" s="166">
        <v>0</v>
      </c>
      <c r="R781" s="165" t="s">
        <v>2505</v>
      </c>
      <c r="S781" s="81" t="s">
        <v>113</v>
      </c>
      <c r="T781" s="349">
        <v>42878</v>
      </c>
      <c r="U781" s="349">
        <v>42934</v>
      </c>
      <c r="V781" s="81" t="s">
        <v>155</v>
      </c>
      <c r="W781" s="81" t="s">
        <v>114</v>
      </c>
      <c r="Y781" s="81" t="s">
        <v>115</v>
      </c>
      <c r="Z781" s="81" t="s">
        <v>398</v>
      </c>
      <c r="AA781" s="81" t="s">
        <v>117</v>
      </c>
      <c r="AB781" s="81" t="s">
        <v>220</v>
      </c>
      <c r="AC781" s="166">
        <v>6.0000000521540598E-3</v>
      </c>
      <c r="AG781" s="81" t="s">
        <v>238</v>
      </c>
      <c r="AH781" s="81" t="s">
        <v>118</v>
      </c>
      <c r="AK781" s="166">
        <v>0</v>
      </c>
      <c r="AM781" s="166">
        <v>0</v>
      </c>
      <c r="AO781" s="166">
        <v>-1</v>
      </c>
      <c r="AP781" s="166">
        <v>-1</v>
      </c>
      <c r="AQ781" s="166">
        <v>2</v>
      </c>
      <c r="AR781" s="166">
        <v>0</v>
      </c>
      <c r="AS781" s="166">
        <v>0</v>
      </c>
      <c r="AT781" s="166">
        <v>0</v>
      </c>
      <c r="AU781" s="166">
        <v>0</v>
      </c>
      <c r="AV781" s="166">
        <v>-1</v>
      </c>
      <c r="AW781" s="166">
        <v>-1</v>
      </c>
      <c r="AX781" s="166">
        <v>2</v>
      </c>
      <c r="AY781" s="166">
        <v>0</v>
      </c>
      <c r="AZ781" s="166">
        <v>0</v>
      </c>
      <c r="BA781" s="166">
        <v>0</v>
      </c>
      <c r="BB781" s="166">
        <v>0</v>
      </c>
      <c r="BC781" s="166">
        <v>0</v>
      </c>
      <c r="BD781" s="166">
        <v>0</v>
      </c>
      <c r="BE781" s="166">
        <v>0</v>
      </c>
      <c r="BF781" s="166">
        <v>0</v>
      </c>
      <c r="BG781" s="166">
        <v>0</v>
      </c>
      <c r="BH781" s="166">
        <v>0</v>
      </c>
      <c r="BI781" s="166">
        <v>0</v>
      </c>
      <c r="BJ781" s="166">
        <v>0</v>
      </c>
      <c r="BK781" s="166">
        <v>0</v>
      </c>
      <c r="BL781" s="166">
        <v>0</v>
      </c>
      <c r="BM781" s="166">
        <v>0</v>
      </c>
      <c r="BN781" s="166">
        <v>0</v>
      </c>
      <c r="BO781" s="166">
        <v>0</v>
      </c>
      <c r="BP781" s="166">
        <v>0</v>
      </c>
      <c r="BQ781" s="81" t="s">
        <v>1757</v>
      </c>
      <c r="BZ781" s="81" t="s">
        <v>155</v>
      </c>
      <c r="CA781" s="81" t="s">
        <v>1937</v>
      </c>
      <c r="CC781" s="167">
        <v>0</v>
      </c>
      <c r="CD781" s="167">
        <f>$N781/4</f>
        <v>0</v>
      </c>
      <c r="CE781" s="167">
        <f>$N781/4</f>
        <v>0</v>
      </c>
      <c r="CF781" s="167">
        <f>$N781/4</f>
        <v>0</v>
      </c>
      <c r="CG781" s="167">
        <f>$N781/4</f>
        <v>0</v>
      </c>
      <c r="CH781" s="167">
        <v>0</v>
      </c>
      <c r="CI781" s="167">
        <v>0</v>
      </c>
      <c r="CJ781" s="167">
        <v>0</v>
      </c>
      <c r="CK781" s="167">
        <v>0</v>
      </c>
      <c r="CL781" s="167">
        <v>0</v>
      </c>
      <c r="CM781" s="167">
        <v>0</v>
      </c>
      <c r="CN781" s="167">
        <v>0</v>
      </c>
      <c r="CO781" s="167">
        <v>0</v>
      </c>
      <c r="CP781" s="167">
        <v>0</v>
      </c>
      <c r="CQ781" s="167">
        <v>0</v>
      </c>
      <c r="CR781" s="167">
        <v>0</v>
      </c>
      <c r="CS781" s="167">
        <v>0</v>
      </c>
      <c r="CT781" s="167">
        <v>0</v>
      </c>
      <c r="CU781" s="167">
        <v>0</v>
      </c>
      <c r="CV781" s="167">
        <v>0</v>
      </c>
      <c r="CW781" s="167">
        <v>0</v>
      </c>
      <c r="CX781" s="167">
        <f>SUM(CD781:CH781)</f>
        <v>0</v>
      </c>
      <c r="CY781" s="167">
        <f>SUM(CD781:CM781)</f>
        <v>0</v>
      </c>
    </row>
    <row r="782" spans="1:103" ht="12.75" customHeight="1" x14ac:dyDescent="0.2">
      <c r="A782" s="81">
        <v>3860</v>
      </c>
      <c r="B782" s="165" t="s">
        <v>1930</v>
      </c>
      <c r="C782" s="165" t="s">
        <v>2506</v>
      </c>
      <c r="E782" s="165" t="s">
        <v>2507</v>
      </c>
      <c r="G782" s="81">
        <v>525273</v>
      </c>
      <c r="H782" s="81">
        <v>174622</v>
      </c>
      <c r="I782" s="165" t="s">
        <v>258</v>
      </c>
      <c r="L782" s="166">
        <v>0</v>
      </c>
      <c r="M782" s="166">
        <v>3</v>
      </c>
      <c r="N782" s="166">
        <v>3</v>
      </c>
      <c r="O782" s="166">
        <v>3</v>
      </c>
      <c r="P782" s="166">
        <v>3</v>
      </c>
      <c r="R782" s="165" t="s">
        <v>2508</v>
      </c>
      <c r="S782" s="81" t="s">
        <v>110</v>
      </c>
      <c r="T782" s="349">
        <v>42900</v>
      </c>
      <c r="U782" s="349">
        <v>42948</v>
      </c>
      <c r="V782" s="81" t="s">
        <v>155</v>
      </c>
      <c r="W782" s="81" t="s">
        <v>114</v>
      </c>
      <c r="Y782" s="81" t="s">
        <v>115</v>
      </c>
      <c r="Z782" s="81" t="s">
        <v>310</v>
      </c>
      <c r="AA782" s="81" t="s">
        <v>117</v>
      </c>
      <c r="AB782" s="81" t="s">
        <v>399</v>
      </c>
      <c r="AC782" s="166">
        <v>4.6000000089407002E-2</v>
      </c>
      <c r="AG782" s="81" t="s">
        <v>238</v>
      </c>
      <c r="AH782" s="81" t="s">
        <v>118</v>
      </c>
      <c r="AK782" s="166">
        <v>0</v>
      </c>
      <c r="AM782" s="166">
        <v>0</v>
      </c>
      <c r="AO782" s="166">
        <v>0</v>
      </c>
      <c r="AP782" s="166">
        <v>2</v>
      </c>
      <c r="AQ782" s="166">
        <v>1</v>
      </c>
      <c r="AR782" s="166">
        <v>0</v>
      </c>
      <c r="AS782" s="166">
        <v>0</v>
      </c>
      <c r="AT782" s="166">
        <v>0</v>
      </c>
      <c r="AU782" s="166">
        <v>0</v>
      </c>
      <c r="AV782" s="166">
        <v>0</v>
      </c>
      <c r="AW782" s="166">
        <v>2</v>
      </c>
      <c r="AX782" s="166">
        <v>1</v>
      </c>
      <c r="AY782" s="166">
        <v>0</v>
      </c>
      <c r="AZ782" s="166">
        <v>0</v>
      </c>
      <c r="BA782" s="166">
        <v>0</v>
      </c>
      <c r="BB782" s="166">
        <v>0</v>
      </c>
      <c r="BC782" s="166">
        <v>0</v>
      </c>
      <c r="BD782" s="166">
        <v>0</v>
      </c>
      <c r="BE782" s="166">
        <v>0</v>
      </c>
      <c r="BF782" s="166">
        <v>0</v>
      </c>
      <c r="BG782" s="166">
        <v>0</v>
      </c>
      <c r="BH782" s="166">
        <v>0</v>
      </c>
      <c r="BI782" s="166">
        <v>0</v>
      </c>
      <c r="BJ782" s="166">
        <v>0</v>
      </c>
      <c r="BK782" s="166">
        <v>0</v>
      </c>
      <c r="BL782" s="166">
        <v>0</v>
      </c>
      <c r="BM782" s="166">
        <v>0</v>
      </c>
      <c r="BN782" s="166">
        <v>0</v>
      </c>
      <c r="BO782" s="166">
        <v>0</v>
      </c>
      <c r="BP782" s="166">
        <v>0</v>
      </c>
      <c r="BQ782" s="81" t="s">
        <v>1758</v>
      </c>
      <c r="BZ782" s="81" t="s">
        <v>155</v>
      </c>
      <c r="CA782" s="81" t="s">
        <v>1937</v>
      </c>
      <c r="CC782" s="167">
        <v>0</v>
      </c>
      <c r="CD782" s="167">
        <f>$N782/4</f>
        <v>0.75</v>
      </c>
      <c r="CE782" s="167">
        <f>$N782/4</f>
        <v>0.75</v>
      </c>
      <c r="CF782" s="167">
        <f>$N782/4</f>
        <v>0.75</v>
      </c>
      <c r="CG782" s="167">
        <f>$N782/4</f>
        <v>0.75</v>
      </c>
      <c r="CH782" s="167">
        <v>0</v>
      </c>
      <c r="CI782" s="167">
        <v>0</v>
      </c>
      <c r="CJ782" s="167">
        <v>0</v>
      </c>
      <c r="CK782" s="167">
        <v>0</v>
      </c>
      <c r="CL782" s="167">
        <v>0</v>
      </c>
      <c r="CM782" s="167">
        <v>0</v>
      </c>
      <c r="CN782" s="167">
        <v>0</v>
      </c>
      <c r="CO782" s="167">
        <v>0</v>
      </c>
      <c r="CP782" s="167">
        <v>0</v>
      </c>
      <c r="CQ782" s="167">
        <v>0</v>
      </c>
      <c r="CR782" s="167">
        <v>0</v>
      </c>
      <c r="CS782" s="167">
        <v>0</v>
      </c>
      <c r="CT782" s="167">
        <v>0</v>
      </c>
      <c r="CU782" s="167">
        <v>0</v>
      </c>
      <c r="CV782" s="167">
        <v>0</v>
      </c>
      <c r="CW782" s="167">
        <v>0</v>
      </c>
      <c r="CX782" s="167">
        <f>SUM(CD782:CH782)</f>
        <v>3</v>
      </c>
      <c r="CY782" s="167">
        <f>SUM(CD782:CM782)</f>
        <v>3</v>
      </c>
    </row>
    <row r="783" spans="1:103" ht="12.75" customHeight="1" x14ac:dyDescent="0.2">
      <c r="A783" s="81">
        <v>3938</v>
      </c>
      <c r="B783" s="165" t="s">
        <v>1930</v>
      </c>
      <c r="C783" s="165" t="s">
        <v>1330</v>
      </c>
      <c r="D783" s="165" t="s">
        <v>603</v>
      </c>
      <c r="E783" s="165" t="s">
        <v>3005</v>
      </c>
      <c r="F783" s="165" t="s">
        <v>4048</v>
      </c>
      <c r="G783" s="81">
        <v>529318</v>
      </c>
      <c r="H783" s="81">
        <v>177190</v>
      </c>
      <c r="I783" s="165" t="s">
        <v>240</v>
      </c>
      <c r="L783" s="166">
        <v>0</v>
      </c>
      <c r="M783" s="166">
        <v>82</v>
      </c>
      <c r="N783" s="166">
        <v>82</v>
      </c>
      <c r="O783" s="166">
        <v>386</v>
      </c>
      <c r="P783" s="166">
        <v>386</v>
      </c>
      <c r="Q783" s="81" t="s">
        <v>155</v>
      </c>
      <c r="R783" s="165" t="s">
        <v>1331</v>
      </c>
      <c r="S783" s="81" t="s">
        <v>104</v>
      </c>
      <c r="T783" s="349">
        <v>42551</v>
      </c>
      <c r="U783" s="349">
        <v>42695</v>
      </c>
      <c r="W783" s="81" t="s">
        <v>114</v>
      </c>
      <c r="Y783" s="81" t="s">
        <v>115</v>
      </c>
      <c r="Z783" s="81" t="s">
        <v>116</v>
      </c>
      <c r="AA783" s="81" t="s">
        <v>116</v>
      </c>
      <c r="AB783" s="81" t="s">
        <v>117</v>
      </c>
      <c r="AC783" s="166">
        <v>0.309</v>
      </c>
      <c r="AG783" s="81" t="s">
        <v>74</v>
      </c>
      <c r="AH783" s="81" t="s">
        <v>895</v>
      </c>
      <c r="AI783" s="353" t="s">
        <v>3006</v>
      </c>
      <c r="AK783" s="166">
        <v>168</v>
      </c>
      <c r="AM783" s="166">
        <v>17</v>
      </c>
      <c r="AO783" s="166">
        <v>0</v>
      </c>
      <c r="AP783" s="166">
        <v>62</v>
      </c>
      <c r="AQ783" s="166">
        <v>44</v>
      </c>
      <c r="AR783" s="166">
        <v>30</v>
      </c>
      <c r="AS783" s="166">
        <v>32</v>
      </c>
      <c r="AT783" s="166">
        <v>0</v>
      </c>
      <c r="AU783" s="166">
        <v>0</v>
      </c>
      <c r="AV783" s="166">
        <v>0</v>
      </c>
      <c r="AW783" s="166">
        <v>62</v>
      </c>
      <c r="AX783" s="166">
        <v>44</v>
      </c>
      <c r="AY783" s="166">
        <v>30</v>
      </c>
      <c r="AZ783" s="166">
        <v>32</v>
      </c>
      <c r="BA783" s="166">
        <v>0</v>
      </c>
      <c r="BB783" s="166">
        <v>0</v>
      </c>
      <c r="BC783" s="166">
        <v>0</v>
      </c>
      <c r="BD783" s="166">
        <v>0</v>
      </c>
      <c r="BE783" s="166">
        <v>0</v>
      </c>
      <c r="BF783" s="166">
        <v>0</v>
      </c>
      <c r="BG783" s="166">
        <v>0</v>
      </c>
      <c r="BH783" s="166">
        <v>0</v>
      </c>
      <c r="BI783" s="166">
        <v>0</v>
      </c>
      <c r="BJ783" s="166">
        <v>0</v>
      </c>
      <c r="BK783" s="166">
        <v>0</v>
      </c>
      <c r="BL783" s="166">
        <v>0</v>
      </c>
      <c r="BM783" s="166">
        <v>0</v>
      </c>
      <c r="BN783" s="166">
        <v>0</v>
      </c>
      <c r="BO783" s="166">
        <v>0</v>
      </c>
      <c r="BP783" s="166">
        <v>0</v>
      </c>
      <c r="BQ783" s="81" t="s">
        <v>1759</v>
      </c>
      <c r="BS783" s="81" t="s">
        <v>155</v>
      </c>
      <c r="BZ783" s="81" t="s">
        <v>155</v>
      </c>
      <c r="CA783" s="81">
        <v>12</v>
      </c>
      <c r="CC783" s="167">
        <v>0</v>
      </c>
      <c r="CD783" s="167">
        <v>0</v>
      </c>
      <c r="CE783" s="166">
        <v>0</v>
      </c>
      <c r="CF783" s="167">
        <v>82</v>
      </c>
      <c r="CG783" s="167">
        <v>0</v>
      </c>
      <c r="CH783" s="167">
        <v>0</v>
      </c>
      <c r="CI783" s="167">
        <v>0</v>
      </c>
      <c r="CJ783" s="167">
        <v>0</v>
      </c>
      <c r="CK783" s="167">
        <v>0</v>
      </c>
      <c r="CL783" s="167">
        <v>0</v>
      </c>
      <c r="CM783" s="167">
        <v>0</v>
      </c>
      <c r="CN783" s="167">
        <v>0</v>
      </c>
      <c r="CO783" s="167">
        <v>0</v>
      </c>
      <c r="CP783" s="167">
        <v>0</v>
      </c>
      <c r="CQ783" s="167">
        <v>0</v>
      </c>
      <c r="CR783" s="167">
        <v>0</v>
      </c>
      <c r="CS783" s="167">
        <v>0</v>
      </c>
      <c r="CT783" s="167">
        <v>0</v>
      </c>
      <c r="CU783" s="167">
        <v>0</v>
      </c>
      <c r="CV783" s="167">
        <v>0</v>
      </c>
      <c r="CW783" s="167">
        <v>0</v>
      </c>
      <c r="CX783" s="167">
        <v>82</v>
      </c>
      <c r="CY783" s="167">
        <v>82</v>
      </c>
    </row>
    <row r="784" spans="1:103" ht="12.75" customHeight="1" x14ac:dyDescent="0.2">
      <c r="A784" s="81">
        <v>3938</v>
      </c>
      <c r="B784" s="165" t="s">
        <v>1930</v>
      </c>
      <c r="C784" s="165" t="s">
        <v>1330</v>
      </c>
      <c r="D784" s="165" t="s">
        <v>603</v>
      </c>
      <c r="E784" s="165" t="s">
        <v>3005</v>
      </c>
      <c r="F784" s="165" t="s">
        <v>4049</v>
      </c>
      <c r="G784" s="81">
        <v>529318</v>
      </c>
      <c r="H784" s="81">
        <v>177190</v>
      </c>
      <c r="I784" s="165" t="s">
        <v>240</v>
      </c>
      <c r="L784" s="166">
        <v>0</v>
      </c>
      <c r="M784" s="166">
        <v>168</v>
      </c>
      <c r="N784" s="166">
        <v>168</v>
      </c>
      <c r="O784" s="166">
        <v>386</v>
      </c>
      <c r="P784" s="166">
        <v>386</v>
      </c>
      <c r="Q784" s="81" t="s">
        <v>155</v>
      </c>
      <c r="R784" s="165" t="s">
        <v>1331</v>
      </c>
      <c r="S784" s="81" t="s">
        <v>104</v>
      </c>
      <c r="T784" s="349">
        <v>42551</v>
      </c>
      <c r="U784" s="349">
        <v>42695</v>
      </c>
      <c r="W784" s="81" t="s">
        <v>114</v>
      </c>
      <c r="Y784" s="81" t="s">
        <v>115</v>
      </c>
      <c r="Z784" s="81" t="s">
        <v>116</v>
      </c>
      <c r="AA784" s="81" t="s">
        <v>116</v>
      </c>
      <c r="AB784" s="81" t="s">
        <v>117</v>
      </c>
      <c r="AC784" s="166">
        <v>0.25</v>
      </c>
      <c r="AG784" s="81" t="s">
        <v>74</v>
      </c>
      <c r="AH784" s="81" t="s">
        <v>990</v>
      </c>
      <c r="AI784" s="353" t="s">
        <v>3006</v>
      </c>
      <c r="AK784" s="166">
        <v>136</v>
      </c>
      <c r="AM784" s="166">
        <v>14</v>
      </c>
      <c r="AO784" s="166">
        <v>0</v>
      </c>
      <c r="AP784" s="166">
        <v>78</v>
      </c>
      <c r="AQ784" s="166">
        <v>52</v>
      </c>
      <c r="AR784" s="166">
        <v>0</v>
      </c>
      <c r="AS784" s="166">
        <v>0</v>
      </c>
      <c r="AT784" s="166">
        <v>0</v>
      </c>
      <c r="AU784" s="166">
        <v>0</v>
      </c>
      <c r="AV784" s="166">
        <v>0</v>
      </c>
      <c r="AW784" s="166">
        <v>78</v>
      </c>
      <c r="AX784" s="166">
        <v>52</v>
      </c>
      <c r="AY784" s="166">
        <v>0</v>
      </c>
      <c r="AZ784" s="166">
        <v>0</v>
      </c>
      <c r="BA784" s="166">
        <v>0</v>
      </c>
      <c r="BB784" s="166">
        <v>0</v>
      </c>
      <c r="BC784" s="166">
        <v>0</v>
      </c>
      <c r="BD784" s="166">
        <v>0</v>
      </c>
      <c r="BE784" s="166">
        <v>0</v>
      </c>
      <c r="BF784" s="166">
        <v>0</v>
      </c>
      <c r="BG784" s="166">
        <v>0</v>
      </c>
      <c r="BH784" s="166">
        <v>0</v>
      </c>
      <c r="BI784" s="166">
        <v>0</v>
      </c>
      <c r="BJ784" s="166">
        <v>0</v>
      </c>
      <c r="BK784" s="166">
        <v>0</v>
      </c>
      <c r="BL784" s="166">
        <v>0</v>
      </c>
      <c r="BM784" s="166">
        <v>0</v>
      </c>
      <c r="BN784" s="166">
        <v>0</v>
      </c>
      <c r="BO784" s="166">
        <v>0</v>
      </c>
      <c r="BP784" s="166">
        <v>0</v>
      </c>
      <c r="BQ784" s="81" t="s">
        <v>1759</v>
      </c>
      <c r="BS784" s="81" t="s">
        <v>155</v>
      </c>
      <c r="BZ784" s="81" t="s">
        <v>155</v>
      </c>
      <c r="CA784" s="81">
        <v>12</v>
      </c>
      <c r="CC784" s="167">
        <v>0</v>
      </c>
      <c r="CD784" s="167">
        <v>0</v>
      </c>
      <c r="CE784" s="166">
        <v>168</v>
      </c>
      <c r="CF784" s="167">
        <v>0</v>
      </c>
      <c r="CG784" s="167">
        <v>0</v>
      </c>
      <c r="CH784" s="167">
        <v>0</v>
      </c>
      <c r="CI784" s="167">
        <v>0</v>
      </c>
      <c r="CJ784" s="167">
        <v>0</v>
      </c>
      <c r="CK784" s="167">
        <v>0</v>
      </c>
      <c r="CL784" s="167">
        <v>0</v>
      </c>
      <c r="CM784" s="167">
        <v>0</v>
      </c>
      <c r="CN784" s="167">
        <v>0</v>
      </c>
      <c r="CO784" s="167">
        <v>0</v>
      </c>
      <c r="CP784" s="167">
        <v>0</v>
      </c>
      <c r="CQ784" s="167">
        <v>0</v>
      </c>
      <c r="CR784" s="167">
        <v>0</v>
      </c>
      <c r="CS784" s="167">
        <v>0</v>
      </c>
      <c r="CT784" s="167">
        <v>0</v>
      </c>
      <c r="CU784" s="167">
        <v>0</v>
      </c>
      <c r="CV784" s="167">
        <v>0</v>
      </c>
      <c r="CW784" s="167">
        <v>0</v>
      </c>
      <c r="CX784" s="167">
        <v>168</v>
      </c>
      <c r="CY784" s="167">
        <v>168</v>
      </c>
    </row>
    <row r="785" spans="1:103" ht="12.75" customHeight="1" x14ac:dyDescent="0.2">
      <c r="A785" s="81">
        <v>3938</v>
      </c>
      <c r="B785" s="165" t="s">
        <v>1930</v>
      </c>
      <c r="C785" s="165" t="s">
        <v>1330</v>
      </c>
      <c r="D785" s="165" t="s">
        <v>603</v>
      </c>
      <c r="E785" s="165" t="s">
        <v>3005</v>
      </c>
      <c r="F785" s="165" t="s">
        <v>4050</v>
      </c>
      <c r="G785" s="81">
        <v>529318</v>
      </c>
      <c r="H785" s="81">
        <v>177190</v>
      </c>
      <c r="I785" s="165" t="s">
        <v>240</v>
      </c>
      <c r="L785" s="166">
        <v>0</v>
      </c>
      <c r="M785" s="166">
        <v>136</v>
      </c>
      <c r="N785" s="166">
        <v>136</v>
      </c>
      <c r="O785" s="166">
        <v>386</v>
      </c>
      <c r="P785" s="166">
        <v>386</v>
      </c>
      <c r="Q785" s="81" t="s">
        <v>155</v>
      </c>
      <c r="R785" s="165" t="s">
        <v>1331</v>
      </c>
      <c r="S785" s="81" t="s">
        <v>104</v>
      </c>
      <c r="T785" s="349">
        <v>42551</v>
      </c>
      <c r="U785" s="349">
        <v>42695</v>
      </c>
      <c r="W785" s="81" t="s">
        <v>114</v>
      </c>
      <c r="Y785" s="81" t="s">
        <v>115</v>
      </c>
      <c r="Z785" s="81" t="s">
        <v>116</v>
      </c>
      <c r="AA785" s="81" t="s">
        <v>116</v>
      </c>
      <c r="AB785" s="81" t="s">
        <v>117</v>
      </c>
      <c r="AC785" s="166">
        <v>0.151</v>
      </c>
      <c r="AG785" s="81" t="s">
        <v>74</v>
      </c>
      <c r="AH785" s="81" t="s">
        <v>895</v>
      </c>
      <c r="AI785" s="353" t="s">
        <v>3006</v>
      </c>
      <c r="AK785" s="166">
        <v>82</v>
      </c>
      <c r="AM785" s="166">
        <v>8</v>
      </c>
      <c r="AO785" s="166">
        <v>0</v>
      </c>
      <c r="AP785" s="166">
        <v>0</v>
      </c>
      <c r="AQ785" s="166">
        <v>40</v>
      </c>
      <c r="AR785" s="166">
        <v>39</v>
      </c>
      <c r="AS785" s="166">
        <v>3</v>
      </c>
      <c r="AT785" s="166">
        <v>0</v>
      </c>
      <c r="AU785" s="166">
        <v>0</v>
      </c>
      <c r="AV785" s="166">
        <v>0</v>
      </c>
      <c r="AW785" s="166">
        <v>0</v>
      </c>
      <c r="AX785" s="166">
        <v>40</v>
      </c>
      <c r="AY785" s="166">
        <v>39</v>
      </c>
      <c r="AZ785" s="166">
        <v>3</v>
      </c>
      <c r="BA785" s="166">
        <v>0</v>
      </c>
      <c r="BB785" s="166">
        <v>0</v>
      </c>
      <c r="BC785" s="166">
        <v>0</v>
      </c>
      <c r="BD785" s="166">
        <v>0</v>
      </c>
      <c r="BE785" s="166">
        <v>0</v>
      </c>
      <c r="BF785" s="166">
        <v>0</v>
      </c>
      <c r="BG785" s="166">
        <v>0</v>
      </c>
      <c r="BH785" s="166">
        <v>0</v>
      </c>
      <c r="BI785" s="166">
        <v>0</v>
      </c>
      <c r="BJ785" s="166">
        <v>0</v>
      </c>
      <c r="BK785" s="166">
        <v>0</v>
      </c>
      <c r="BL785" s="166">
        <v>0</v>
      </c>
      <c r="BM785" s="166">
        <v>0</v>
      </c>
      <c r="BN785" s="166">
        <v>0</v>
      </c>
      <c r="BO785" s="166">
        <v>0</v>
      </c>
      <c r="BP785" s="166">
        <v>0</v>
      </c>
      <c r="BQ785" s="81" t="s">
        <v>1759</v>
      </c>
      <c r="BS785" s="81" t="s">
        <v>155</v>
      </c>
      <c r="BZ785" s="81" t="s">
        <v>155</v>
      </c>
      <c r="CA785" s="81">
        <v>12</v>
      </c>
      <c r="CC785" s="167">
        <v>0</v>
      </c>
      <c r="CD785" s="167">
        <v>0</v>
      </c>
      <c r="CE785" s="166">
        <v>136</v>
      </c>
      <c r="CF785" s="167">
        <v>0</v>
      </c>
      <c r="CG785" s="167">
        <v>0</v>
      </c>
      <c r="CH785" s="167">
        <v>0</v>
      </c>
      <c r="CI785" s="167">
        <v>0</v>
      </c>
      <c r="CJ785" s="167">
        <v>0</v>
      </c>
      <c r="CK785" s="167">
        <v>0</v>
      </c>
      <c r="CL785" s="167">
        <v>0</v>
      </c>
      <c r="CM785" s="167">
        <v>0</v>
      </c>
      <c r="CN785" s="167">
        <v>0</v>
      </c>
      <c r="CO785" s="167">
        <v>0</v>
      </c>
      <c r="CP785" s="167">
        <v>0</v>
      </c>
      <c r="CQ785" s="167">
        <v>0</v>
      </c>
      <c r="CR785" s="167">
        <v>0</v>
      </c>
      <c r="CS785" s="167">
        <v>0</v>
      </c>
      <c r="CT785" s="167">
        <v>0</v>
      </c>
      <c r="CU785" s="167">
        <v>0</v>
      </c>
      <c r="CV785" s="167">
        <v>0</v>
      </c>
      <c r="CW785" s="167">
        <v>0</v>
      </c>
      <c r="CX785" s="167">
        <v>136</v>
      </c>
      <c r="CY785" s="167">
        <v>136</v>
      </c>
    </row>
    <row r="786" spans="1:103" ht="12.75" customHeight="1" x14ac:dyDescent="0.2">
      <c r="A786" s="81">
        <v>3975</v>
      </c>
      <c r="B786" s="165" t="s">
        <v>1930</v>
      </c>
      <c r="C786" s="165" t="s">
        <v>669</v>
      </c>
      <c r="D786" s="165" t="s">
        <v>670</v>
      </c>
      <c r="E786" s="165" t="s">
        <v>2509</v>
      </c>
      <c r="G786" s="81">
        <v>526857</v>
      </c>
      <c r="H786" s="81">
        <v>176315</v>
      </c>
      <c r="I786" s="165" t="s">
        <v>257</v>
      </c>
      <c r="L786" s="166">
        <v>0</v>
      </c>
      <c r="M786" s="166">
        <v>1</v>
      </c>
      <c r="N786" s="166">
        <v>1</v>
      </c>
      <c r="O786" s="166">
        <v>1</v>
      </c>
      <c r="P786" s="166">
        <v>1</v>
      </c>
      <c r="R786" s="165" t="s">
        <v>671</v>
      </c>
      <c r="S786" s="81" t="s">
        <v>110</v>
      </c>
      <c r="T786" s="349">
        <v>42284</v>
      </c>
      <c r="U786" s="349">
        <v>42340</v>
      </c>
      <c r="W786" s="81" t="s">
        <v>114</v>
      </c>
      <c r="Y786" s="81" t="s">
        <v>115</v>
      </c>
      <c r="Z786" s="81" t="s">
        <v>310</v>
      </c>
      <c r="AA786" s="81" t="s">
        <v>117</v>
      </c>
      <c r="AB786" s="81" t="s">
        <v>399</v>
      </c>
      <c r="AC786" s="166">
        <v>4.9999998882412902E-3</v>
      </c>
      <c r="AG786" s="81" t="s">
        <v>238</v>
      </c>
      <c r="AH786" s="81" t="s">
        <v>118</v>
      </c>
      <c r="AK786" s="166">
        <v>0</v>
      </c>
      <c r="AM786" s="166">
        <v>0</v>
      </c>
      <c r="AO786" s="166">
        <v>0</v>
      </c>
      <c r="AP786" s="166">
        <v>1</v>
      </c>
      <c r="AQ786" s="166">
        <v>0</v>
      </c>
      <c r="AR786" s="166">
        <v>0</v>
      </c>
      <c r="AS786" s="166">
        <v>0</v>
      </c>
      <c r="AT786" s="166">
        <v>0</v>
      </c>
      <c r="AU786" s="166">
        <v>0</v>
      </c>
      <c r="AV786" s="166">
        <v>0</v>
      </c>
      <c r="AW786" s="166">
        <v>1</v>
      </c>
      <c r="AX786" s="166">
        <v>0</v>
      </c>
      <c r="AY786" s="166">
        <v>0</v>
      </c>
      <c r="AZ786" s="166">
        <v>0</v>
      </c>
      <c r="BA786" s="166">
        <v>0</v>
      </c>
      <c r="BB786" s="166">
        <v>0</v>
      </c>
      <c r="BC786" s="166">
        <v>0</v>
      </c>
      <c r="BD786" s="166">
        <v>0</v>
      </c>
      <c r="BE786" s="166">
        <v>0</v>
      </c>
      <c r="BF786" s="166">
        <v>0</v>
      </c>
      <c r="BG786" s="166">
        <v>0</v>
      </c>
      <c r="BH786" s="166">
        <v>0</v>
      </c>
      <c r="BI786" s="166">
        <v>0</v>
      </c>
      <c r="BJ786" s="166">
        <v>0</v>
      </c>
      <c r="BK786" s="166">
        <v>0</v>
      </c>
      <c r="BL786" s="166">
        <v>0</v>
      </c>
      <c r="BM786" s="166">
        <v>0</v>
      </c>
      <c r="BN786" s="166">
        <v>0</v>
      </c>
      <c r="BO786" s="166">
        <v>0</v>
      </c>
      <c r="BP786" s="166">
        <v>0</v>
      </c>
      <c r="BQ786" s="81" t="s">
        <v>1757</v>
      </c>
      <c r="BZ786" s="81" t="s">
        <v>155</v>
      </c>
      <c r="CA786" s="81" t="s">
        <v>1937</v>
      </c>
      <c r="CC786" s="167">
        <v>0</v>
      </c>
      <c r="CD786" s="167">
        <f>$N786/4</f>
        <v>0.25</v>
      </c>
      <c r="CE786" s="167">
        <f>$N786/4</f>
        <v>0.25</v>
      </c>
      <c r="CF786" s="167">
        <f>$N786/4</f>
        <v>0.25</v>
      </c>
      <c r="CG786" s="167">
        <f>$N786/4</f>
        <v>0.25</v>
      </c>
      <c r="CH786" s="167">
        <v>0</v>
      </c>
      <c r="CI786" s="167">
        <v>0</v>
      </c>
      <c r="CJ786" s="167">
        <v>0</v>
      </c>
      <c r="CK786" s="167">
        <v>0</v>
      </c>
      <c r="CL786" s="167">
        <v>0</v>
      </c>
      <c r="CM786" s="167">
        <v>0</v>
      </c>
      <c r="CN786" s="167">
        <v>0</v>
      </c>
      <c r="CO786" s="167">
        <v>0</v>
      </c>
      <c r="CP786" s="167">
        <v>0</v>
      </c>
      <c r="CQ786" s="167">
        <v>0</v>
      </c>
      <c r="CR786" s="167">
        <v>0</v>
      </c>
      <c r="CS786" s="167">
        <v>0</v>
      </c>
      <c r="CT786" s="167">
        <v>0</v>
      </c>
      <c r="CU786" s="167">
        <v>0</v>
      </c>
      <c r="CV786" s="167">
        <v>0</v>
      </c>
      <c r="CW786" s="167">
        <v>0</v>
      </c>
      <c r="CX786" s="167">
        <f>SUM(CD786:CH786)</f>
        <v>1</v>
      </c>
      <c r="CY786" s="167">
        <f>SUM(CD786:CM786)</f>
        <v>1</v>
      </c>
    </row>
    <row r="787" spans="1:103" ht="12.75" customHeight="1" x14ac:dyDescent="0.2">
      <c r="A787" s="81">
        <v>4056</v>
      </c>
      <c r="B787" s="165" t="s">
        <v>1930</v>
      </c>
      <c r="C787" s="165" t="s">
        <v>1519</v>
      </c>
      <c r="E787" s="165" t="s">
        <v>2510</v>
      </c>
      <c r="G787" s="81">
        <v>527655</v>
      </c>
      <c r="H787" s="81">
        <v>174876</v>
      </c>
      <c r="I787" s="165" t="s">
        <v>255</v>
      </c>
      <c r="L787" s="166">
        <v>0</v>
      </c>
      <c r="M787" s="166">
        <v>1</v>
      </c>
      <c r="N787" s="166">
        <v>1</v>
      </c>
      <c r="O787" s="166">
        <v>1</v>
      </c>
      <c r="P787" s="166">
        <v>1</v>
      </c>
      <c r="R787" s="165" t="s">
        <v>1520</v>
      </c>
      <c r="S787" s="81" t="s">
        <v>110</v>
      </c>
      <c r="T787" s="349">
        <v>42748</v>
      </c>
      <c r="U787" s="349">
        <v>42804</v>
      </c>
      <c r="W787" s="81" t="s">
        <v>114</v>
      </c>
      <c r="Y787" s="81" t="s">
        <v>115</v>
      </c>
      <c r="Z787" s="81" t="s">
        <v>310</v>
      </c>
      <c r="AA787" s="81" t="s">
        <v>117</v>
      </c>
      <c r="AB787" s="81" t="s">
        <v>399</v>
      </c>
      <c r="AC787" s="166">
        <v>2.0000000949949E-3</v>
      </c>
      <c r="AG787" s="81" t="s">
        <v>238</v>
      </c>
      <c r="AH787" s="81" t="s">
        <v>118</v>
      </c>
      <c r="AK787" s="166">
        <v>0</v>
      </c>
      <c r="AM787" s="166">
        <v>0</v>
      </c>
      <c r="AO787" s="166">
        <v>1</v>
      </c>
      <c r="AP787" s="166">
        <v>0</v>
      </c>
      <c r="AQ787" s="166">
        <v>0</v>
      </c>
      <c r="AR787" s="166">
        <v>0</v>
      </c>
      <c r="AS787" s="166">
        <v>0</v>
      </c>
      <c r="AT787" s="166">
        <v>0</v>
      </c>
      <c r="AU787" s="166">
        <v>0</v>
      </c>
      <c r="AV787" s="166">
        <v>1</v>
      </c>
      <c r="AW787" s="166">
        <v>0</v>
      </c>
      <c r="AX787" s="166">
        <v>0</v>
      </c>
      <c r="AY787" s="166">
        <v>0</v>
      </c>
      <c r="AZ787" s="166">
        <v>0</v>
      </c>
      <c r="BA787" s="166">
        <v>0</v>
      </c>
      <c r="BB787" s="166">
        <v>0</v>
      </c>
      <c r="BC787" s="166">
        <v>0</v>
      </c>
      <c r="BD787" s="166">
        <v>0</v>
      </c>
      <c r="BE787" s="166">
        <v>0</v>
      </c>
      <c r="BF787" s="166">
        <v>0</v>
      </c>
      <c r="BG787" s="166">
        <v>0</v>
      </c>
      <c r="BH787" s="166">
        <v>0</v>
      </c>
      <c r="BI787" s="166">
        <v>0</v>
      </c>
      <c r="BJ787" s="166">
        <v>0</v>
      </c>
      <c r="BK787" s="166">
        <v>0</v>
      </c>
      <c r="BL787" s="166">
        <v>0</v>
      </c>
      <c r="BM787" s="166">
        <v>0</v>
      </c>
      <c r="BN787" s="166">
        <v>0</v>
      </c>
      <c r="BO787" s="166">
        <v>0</v>
      </c>
      <c r="BP787" s="166">
        <v>0</v>
      </c>
      <c r="BQ787" s="81" t="s">
        <v>1757</v>
      </c>
      <c r="BZ787" s="81" t="s">
        <v>155</v>
      </c>
      <c r="CA787" s="81" t="s">
        <v>1937</v>
      </c>
      <c r="CC787" s="167">
        <v>0</v>
      </c>
      <c r="CD787" s="167">
        <f>$N787/4</f>
        <v>0.25</v>
      </c>
      <c r="CE787" s="167">
        <f>$N787/4</f>
        <v>0.25</v>
      </c>
      <c r="CF787" s="167">
        <f>$N787/4</f>
        <v>0.25</v>
      </c>
      <c r="CG787" s="167">
        <f>$N787/4</f>
        <v>0.25</v>
      </c>
      <c r="CH787" s="167">
        <v>0</v>
      </c>
      <c r="CI787" s="167">
        <v>0</v>
      </c>
      <c r="CJ787" s="167">
        <v>0</v>
      </c>
      <c r="CK787" s="167">
        <v>0</v>
      </c>
      <c r="CL787" s="167">
        <v>0</v>
      </c>
      <c r="CM787" s="167">
        <v>0</v>
      </c>
      <c r="CN787" s="167">
        <v>0</v>
      </c>
      <c r="CO787" s="167">
        <v>0</v>
      </c>
      <c r="CP787" s="167">
        <v>0</v>
      </c>
      <c r="CQ787" s="167">
        <v>0</v>
      </c>
      <c r="CR787" s="167">
        <v>0</v>
      </c>
      <c r="CS787" s="167">
        <v>0</v>
      </c>
      <c r="CT787" s="167">
        <v>0</v>
      </c>
      <c r="CU787" s="167">
        <v>0</v>
      </c>
      <c r="CV787" s="167">
        <v>0</v>
      </c>
      <c r="CW787" s="167">
        <v>0</v>
      </c>
      <c r="CX787" s="167">
        <f>SUM(CD787:CH787)</f>
        <v>1</v>
      </c>
      <c r="CY787" s="167">
        <f>SUM(CD787:CM787)</f>
        <v>1</v>
      </c>
    </row>
    <row r="788" spans="1:103" ht="12.75" customHeight="1" x14ac:dyDescent="0.2">
      <c r="A788" s="81">
        <v>4084</v>
      </c>
      <c r="B788" s="165" t="s">
        <v>1930</v>
      </c>
      <c r="C788" s="165" t="s">
        <v>1374</v>
      </c>
      <c r="E788" s="165" t="s">
        <v>2085</v>
      </c>
      <c r="G788" s="81">
        <v>527971</v>
      </c>
      <c r="H788" s="81">
        <v>172408</v>
      </c>
      <c r="I788" s="165" t="s">
        <v>254</v>
      </c>
      <c r="L788" s="166">
        <v>0</v>
      </c>
      <c r="M788" s="166">
        <v>1</v>
      </c>
      <c r="N788" s="166">
        <v>1</v>
      </c>
      <c r="O788" s="166">
        <v>2</v>
      </c>
      <c r="P788" s="166">
        <v>2</v>
      </c>
      <c r="R788" s="165" t="s">
        <v>1375</v>
      </c>
      <c r="S788" s="81" t="s">
        <v>113</v>
      </c>
      <c r="T788" s="349">
        <v>42594</v>
      </c>
      <c r="U788" s="349">
        <v>42699</v>
      </c>
      <c r="W788" s="81" t="s">
        <v>114</v>
      </c>
      <c r="Y788" s="81" t="s">
        <v>115</v>
      </c>
      <c r="Z788" s="81" t="s">
        <v>398</v>
      </c>
      <c r="AA788" s="81" t="s">
        <v>117</v>
      </c>
      <c r="AB788" s="81" t="s">
        <v>218</v>
      </c>
      <c r="AC788" s="166">
        <v>3.0000000260770299E-3</v>
      </c>
      <c r="AG788" s="81" t="s">
        <v>238</v>
      </c>
      <c r="AH788" s="81" t="s">
        <v>118</v>
      </c>
      <c r="AK788" s="166">
        <v>1</v>
      </c>
      <c r="AM788" s="166">
        <v>1</v>
      </c>
      <c r="AO788" s="166">
        <v>0</v>
      </c>
      <c r="AP788" s="166">
        <v>0</v>
      </c>
      <c r="AQ788" s="166">
        <v>1</v>
      </c>
      <c r="AR788" s="166">
        <v>0</v>
      </c>
      <c r="AS788" s="166">
        <v>0</v>
      </c>
      <c r="AT788" s="166">
        <v>0</v>
      </c>
      <c r="AU788" s="166">
        <v>0</v>
      </c>
      <c r="AV788" s="166">
        <v>0</v>
      </c>
      <c r="AW788" s="166">
        <v>0</v>
      </c>
      <c r="AX788" s="166">
        <v>1</v>
      </c>
      <c r="AY788" s="166">
        <v>0</v>
      </c>
      <c r="AZ788" s="166">
        <v>0</v>
      </c>
      <c r="BA788" s="166">
        <v>0</v>
      </c>
      <c r="BB788" s="166">
        <v>0</v>
      </c>
      <c r="BC788" s="166">
        <v>0</v>
      </c>
      <c r="BD788" s="166">
        <v>0</v>
      </c>
      <c r="BE788" s="166">
        <v>0</v>
      </c>
      <c r="BF788" s="166">
        <v>0</v>
      </c>
      <c r="BG788" s="166">
        <v>0</v>
      </c>
      <c r="BH788" s="166">
        <v>0</v>
      </c>
      <c r="BI788" s="166">
        <v>0</v>
      </c>
      <c r="BJ788" s="166">
        <v>0</v>
      </c>
      <c r="BK788" s="166">
        <v>0</v>
      </c>
      <c r="BL788" s="166">
        <v>0</v>
      </c>
      <c r="BM788" s="166">
        <v>0</v>
      </c>
      <c r="BN788" s="166">
        <v>0</v>
      </c>
      <c r="BO788" s="166">
        <v>0</v>
      </c>
      <c r="BP788" s="166">
        <v>0</v>
      </c>
      <c r="BQ788" s="81" t="s">
        <v>1757</v>
      </c>
      <c r="BZ788" s="81" t="s">
        <v>155</v>
      </c>
      <c r="CA788" s="81" t="s">
        <v>1937</v>
      </c>
      <c r="CC788" s="167">
        <v>0</v>
      </c>
      <c r="CD788" s="167">
        <f>$N788/4</f>
        <v>0.25</v>
      </c>
      <c r="CE788" s="167">
        <f>$N788/4</f>
        <v>0.25</v>
      </c>
      <c r="CF788" s="167">
        <f>$N788/4</f>
        <v>0.25</v>
      </c>
      <c r="CG788" s="167">
        <f>$N788/4</f>
        <v>0.25</v>
      </c>
      <c r="CH788" s="167">
        <v>0</v>
      </c>
      <c r="CI788" s="167">
        <v>0</v>
      </c>
      <c r="CJ788" s="167">
        <v>0</v>
      </c>
      <c r="CK788" s="167">
        <v>0</v>
      </c>
      <c r="CL788" s="167">
        <v>0</v>
      </c>
      <c r="CM788" s="167">
        <v>0</v>
      </c>
      <c r="CN788" s="167">
        <v>0</v>
      </c>
      <c r="CO788" s="167">
        <v>0</v>
      </c>
      <c r="CP788" s="167">
        <v>0</v>
      </c>
      <c r="CQ788" s="167">
        <v>0</v>
      </c>
      <c r="CR788" s="167">
        <v>0</v>
      </c>
      <c r="CS788" s="167">
        <v>0</v>
      </c>
      <c r="CT788" s="167">
        <v>0</v>
      </c>
      <c r="CU788" s="167">
        <v>0</v>
      </c>
      <c r="CV788" s="167">
        <v>0</v>
      </c>
      <c r="CW788" s="167">
        <v>0</v>
      </c>
      <c r="CX788" s="167">
        <f>SUM(CD788:CH788)</f>
        <v>1</v>
      </c>
      <c r="CY788" s="167">
        <f>SUM(CD788:CM788)</f>
        <v>1</v>
      </c>
    </row>
    <row r="789" spans="1:103" ht="12.75" customHeight="1" x14ac:dyDescent="0.2">
      <c r="A789" s="81">
        <v>4084</v>
      </c>
      <c r="B789" s="165" t="s">
        <v>1930</v>
      </c>
      <c r="C789" s="165" t="s">
        <v>1374</v>
      </c>
      <c r="E789" s="165" t="s">
        <v>2085</v>
      </c>
      <c r="G789" s="81">
        <v>527971</v>
      </c>
      <c r="H789" s="81">
        <v>172408</v>
      </c>
      <c r="I789" s="165" t="s">
        <v>254</v>
      </c>
      <c r="L789" s="166">
        <v>0</v>
      </c>
      <c r="M789" s="166">
        <v>1</v>
      </c>
      <c r="N789" s="166">
        <v>1</v>
      </c>
      <c r="O789" s="166">
        <v>2</v>
      </c>
      <c r="P789" s="166">
        <v>2</v>
      </c>
      <c r="R789" s="165" t="s">
        <v>1375</v>
      </c>
      <c r="S789" s="81" t="s">
        <v>113</v>
      </c>
      <c r="T789" s="349">
        <v>42594</v>
      </c>
      <c r="U789" s="349">
        <v>42699</v>
      </c>
      <c r="W789" s="81" t="s">
        <v>114</v>
      </c>
      <c r="Y789" s="81" t="s">
        <v>115</v>
      </c>
      <c r="Z789" s="81" t="s">
        <v>398</v>
      </c>
      <c r="AA789" s="81" t="s">
        <v>117</v>
      </c>
      <c r="AB789" s="81" t="s">
        <v>311</v>
      </c>
      <c r="AC789" s="166">
        <v>3.0000000260770299E-3</v>
      </c>
      <c r="AG789" s="81" t="s">
        <v>238</v>
      </c>
      <c r="AH789" s="81" t="s">
        <v>118</v>
      </c>
      <c r="AK789" s="166">
        <v>1</v>
      </c>
      <c r="AM789" s="166">
        <v>0</v>
      </c>
      <c r="AO789" s="166">
        <v>0</v>
      </c>
      <c r="AP789" s="166">
        <v>0</v>
      </c>
      <c r="AQ789" s="166">
        <v>1</v>
      </c>
      <c r="AR789" s="166">
        <v>0</v>
      </c>
      <c r="AS789" s="166">
        <v>0</v>
      </c>
      <c r="AT789" s="166">
        <v>0</v>
      </c>
      <c r="AU789" s="166">
        <v>0</v>
      </c>
      <c r="AV789" s="166">
        <v>0</v>
      </c>
      <c r="AW789" s="166">
        <v>0</v>
      </c>
      <c r="AX789" s="166">
        <v>1</v>
      </c>
      <c r="AY789" s="166">
        <v>0</v>
      </c>
      <c r="AZ789" s="166">
        <v>0</v>
      </c>
      <c r="BA789" s="166">
        <v>0</v>
      </c>
      <c r="BB789" s="166">
        <v>0</v>
      </c>
      <c r="BC789" s="166">
        <v>0</v>
      </c>
      <c r="BD789" s="166">
        <v>0</v>
      </c>
      <c r="BE789" s="166">
        <v>0</v>
      </c>
      <c r="BF789" s="166">
        <v>0</v>
      </c>
      <c r="BG789" s="166">
        <v>0</v>
      </c>
      <c r="BH789" s="166">
        <v>0</v>
      </c>
      <c r="BI789" s="166">
        <v>0</v>
      </c>
      <c r="BJ789" s="166">
        <v>0</v>
      </c>
      <c r="BK789" s="166">
        <v>0</v>
      </c>
      <c r="BL789" s="166">
        <v>0</v>
      </c>
      <c r="BM789" s="166">
        <v>0</v>
      </c>
      <c r="BN789" s="166">
        <v>0</v>
      </c>
      <c r="BO789" s="166">
        <v>0</v>
      </c>
      <c r="BP789" s="166">
        <v>0</v>
      </c>
      <c r="BQ789" s="81" t="s">
        <v>1757</v>
      </c>
      <c r="BZ789" s="81" t="s">
        <v>155</v>
      </c>
      <c r="CA789" s="81" t="s">
        <v>1937</v>
      </c>
      <c r="CC789" s="167">
        <v>0</v>
      </c>
      <c r="CD789" s="167">
        <f>$N789/4</f>
        <v>0.25</v>
      </c>
      <c r="CE789" s="167">
        <f>$N789/4</f>
        <v>0.25</v>
      </c>
      <c r="CF789" s="167">
        <f>$N789/4</f>
        <v>0.25</v>
      </c>
      <c r="CG789" s="167">
        <f>$N789/4</f>
        <v>0.25</v>
      </c>
      <c r="CH789" s="167">
        <v>0</v>
      </c>
      <c r="CI789" s="167">
        <v>0</v>
      </c>
      <c r="CJ789" s="167">
        <v>0</v>
      </c>
      <c r="CK789" s="167">
        <v>0</v>
      </c>
      <c r="CL789" s="167">
        <v>0</v>
      </c>
      <c r="CM789" s="167">
        <v>0</v>
      </c>
      <c r="CN789" s="167">
        <v>0</v>
      </c>
      <c r="CO789" s="167">
        <v>0</v>
      </c>
      <c r="CP789" s="167">
        <v>0</v>
      </c>
      <c r="CQ789" s="167">
        <v>0</v>
      </c>
      <c r="CR789" s="167">
        <v>0</v>
      </c>
      <c r="CS789" s="167">
        <v>0</v>
      </c>
      <c r="CT789" s="167">
        <v>0</v>
      </c>
      <c r="CU789" s="167">
        <v>0</v>
      </c>
      <c r="CV789" s="167">
        <v>0</v>
      </c>
      <c r="CW789" s="167">
        <v>0</v>
      </c>
      <c r="CX789" s="167">
        <f>SUM(CD789:CH789)</f>
        <v>1</v>
      </c>
      <c r="CY789" s="167">
        <f>SUM(CD789:CM789)</f>
        <v>1</v>
      </c>
    </row>
    <row r="790" spans="1:103" ht="12.75" customHeight="1" x14ac:dyDescent="0.2">
      <c r="A790" s="81">
        <v>4089</v>
      </c>
      <c r="B790" s="165" t="s">
        <v>1930</v>
      </c>
      <c r="C790" s="165" t="s">
        <v>2511</v>
      </c>
      <c r="D790" s="165" t="s">
        <v>2512</v>
      </c>
      <c r="E790" s="165" t="s">
        <v>2513</v>
      </c>
      <c r="G790" s="81">
        <v>523671</v>
      </c>
      <c r="H790" s="81">
        <v>175184</v>
      </c>
      <c r="I790" s="165" t="s">
        <v>259</v>
      </c>
      <c r="L790" s="166">
        <v>0</v>
      </c>
      <c r="M790" s="166">
        <v>1</v>
      </c>
      <c r="N790" s="166">
        <v>1</v>
      </c>
      <c r="O790" s="166">
        <v>1</v>
      </c>
      <c r="P790" s="166">
        <v>1</v>
      </c>
      <c r="R790" s="165" t="s">
        <v>2514</v>
      </c>
      <c r="S790" s="81" t="s">
        <v>113</v>
      </c>
      <c r="T790" s="349">
        <v>42941</v>
      </c>
      <c r="U790" s="349">
        <v>43019</v>
      </c>
      <c r="V790" s="81" t="s">
        <v>155</v>
      </c>
      <c r="W790" s="81" t="s">
        <v>114</v>
      </c>
      <c r="Y790" s="81" t="s">
        <v>115</v>
      </c>
      <c r="Z790" s="81" t="s">
        <v>398</v>
      </c>
      <c r="AA790" s="81" t="s">
        <v>117</v>
      </c>
      <c r="AB790" s="81" t="s">
        <v>311</v>
      </c>
      <c r="AC790" s="166">
        <v>4.9999998882412902E-3</v>
      </c>
      <c r="AG790" s="81" t="s">
        <v>238</v>
      </c>
      <c r="AH790" s="81" t="s">
        <v>118</v>
      </c>
      <c r="AK790" s="166">
        <v>0</v>
      </c>
      <c r="AM790" s="166">
        <v>0</v>
      </c>
      <c r="AO790" s="166">
        <v>0</v>
      </c>
      <c r="AP790" s="166">
        <v>0</v>
      </c>
      <c r="AQ790" s="166">
        <v>1</v>
      </c>
      <c r="AR790" s="166">
        <v>0</v>
      </c>
      <c r="AS790" s="166">
        <v>0</v>
      </c>
      <c r="AT790" s="166">
        <v>0</v>
      </c>
      <c r="AU790" s="166">
        <v>0</v>
      </c>
      <c r="AV790" s="166">
        <v>0</v>
      </c>
      <c r="AW790" s="166">
        <v>0</v>
      </c>
      <c r="AX790" s="166">
        <v>1</v>
      </c>
      <c r="AY790" s="166">
        <v>0</v>
      </c>
      <c r="AZ790" s="166">
        <v>0</v>
      </c>
      <c r="BA790" s="166">
        <v>0</v>
      </c>
      <c r="BB790" s="166">
        <v>0</v>
      </c>
      <c r="BC790" s="166">
        <v>0</v>
      </c>
      <c r="BD790" s="166">
        <v>0</v>
      </c>
      <c r="BE790" s="166">
        <v>0</v>
      </c>
      <c r="BF790" s="166">
        <v>0</v>
      </c>
      <c r="BG790" s="166">
        <v>0</v>
      </c>
      <c r="BH790" s="166">
        <v>0</v>
      </c>
      <c r="BI790" s="166">
        <v>0</v>
      </c>
      <c r="BJ790" s="166">
        <v>0</v>
      </c>
      <c r="BK790" s="166">
        <v>0</v>
      </c>
      <c r="BL790" s="166">
        <v>0</v>
      </c>
      <c r="BM790" s="166">
        <v>0</v>
      </c>
      <c r="BN790" s="166">
        <v>0</v>
      </c>
      <c r="BO790" s="166">
        <v>0</v>
      </c>
      <c r="BP790" s="166">
        <v>0</v>
      </c>
      <c r="BQ790" s="81" t="s">
        <v>1758</v>
      </c>
      <c r="BR790" s="81" t="s">
        <v>161</v>
      </c>
      <c r="BZ790" s="81" t="s">
        <v>155</v>
      </c>
      <c r="CA790" s="81" t="s">
        <v>1937</v>
      </c>
      <c r="CC790" s="167">
        <v>0</v>
      </c>
      <c r="CD790" s="167">
        <f>$N790/4</f>
        <v>0.25</v>
      </c>
      <c r="CE790" s="167">
        <f>$N790/4</f>
        <v>0.25</v>
      </c>
      <c r="CF790" s="167">
        <f>$N790/4</f>
        <v>0.25</v>
      </c>
      <c r="CG790" s="167">
        <f>$N790/4</f>
        <v>0.25</v>
      </c>
      <c r="CH790" s="167">
        <v>0</v>
      </c>
      <c r="CI790" s="167">
        <v>0</v>
      </c>
      <c r="CJ790" s="167">
        <v>0</v>
      </c>
      <c r="CK790" s="167">
        <v>0</v>
      </c>
      <c r="CL790" s="167">
        <v>0</v>
      </c>
      <c r="CM790" s="167">
        <v>0</v>
      </c>
      <c r="CN790" s="167">
        <v>0</v>
      </c>
      <c r="CO790" s="167">
        <v>0</v>
      </c>
      <c r="CP790" s="167">
        <v>0</v>
      </c>
      <c r="CQ790" s="167">
        <v>0</v>
      </c>
      <c r="CR790" s="167">
        <v>0</v>
      </c>
      <c r="CS790" s="167">
        <v>0</v>
      </c>
      <c r="CT790" s="167">
        <v>0</v>
      </c>
      <c r="CU790" s="167">
        <v>0</v>
      </c>
      <c r="CV790" s="167">
        <v>0</v>
      </c>
      <c r="CW790" s="167">
        <v>0</v>
      </c>
      <c r="CX790" s="167">
        <f>SUM(CD790:CH790)</f>
        <v>1</v>
      </c>
      <c r="CY790" s="167">
        <f>SUM(CD790:CM790)</f>
        <v>1</v>
      </c>
    </row>
    <row r="791" spans="1:103" ht="12.75" customHeight="1" x14ac:dyDescent="0.2">
      <c r="A791" s="81">
        <v>4116</v>
      </c>
      <c r="B791" s="165" t="s">
        <v>1930</v>
      </c>
      <c r="C791" s="165" t="s">
        <v>498</v>
      </c>
      <c r="E791" s="165" t="s">
        <v>2515</v>
      </c>
      <c r="G791" s="81">
        <v>529336</v>
      </c>
      <c r="H791" s="81">
        <v>171126</v>
      </c>
      <c r="I791" s="165" t="s">
        <v>252</v>
      </c>
      <c r="L791" s="166">
        <v>0</v>
      </c>
      <c r="M791" s="166">
        <v>1</v>
      </c>
      <c r="N791" s="166">
        <v>1</v>
      </c>
      <c r="O791" s="166">
        <v>1</v>
      </c>
      <c r="P791" s="166">
        <v>1</v>
      </c>
      <c r="R791" s="165" t="s">
        <v>499</v>
      </c>
      <c r="S791" s="81" t="s">
        <v>113</v>
      </c>
      <c r="T791" s="349">
        <v>42051</v>
      </c>
      <c r="U791" s="349">
        <v>42304</v>
      </c>
      <c r="W791" s="81" t="s">
        <v>114</v>
      </c>
      <c r="Y791" s="81" t="s">
        <v>115</v>
      </c>
      <c r="Z791" s="81" t="s">
        <v>398</v>
      </c>
      <c r="AA791" s="81" t="s">
        <v>117</v>
      </c>
      <c r="AB791" s="81" t="s">
        <v>102</v>
      </c>
      <c r="AC791" s="166">
        <v>6.0000000521540598E-3</v>
      </c>
      <c r="AG791" s="81" t="s">
        <v>238</v>
      </c>
      <c r="AH791" s="81" t="s">
        <v>118</v>
      </c>
      <c r="AK791" s="166">
        <v>0</v>
      </c>
      <c r="AM791" s="166">
        <v>0</v>
      </c>
      <c r="AO791" s="166">
        <v>0</v>
      </c>
      <c r="AP791" s="166">
        <v>1</v>
      </c>
      <c r="AQ791" s="166">
        <v>0</v>
      </c>
      <c r="AR791" s="166">
        <v>0</v>
      </c>
      <c r="AS791" s="166">
        <v>0</v>
      </c>
      <c r="AT791" s="166">
        <v>0</v>
      </c>
      <c r="AU791" s="166">
        <v>0</v>
      </c>
      <c r="AV791" s="166">
        <v>0</v>
      </c>
      <c r="AW791" s="166">
        <v>1</v>
      </c>
      <c r="AX791" s="166">
        <v>0</v>
      </c>
      <c r="AY791" s="166">
        <v>0</v>
      </c>
      <c r="AZ791" s="166">
        <v>0</v>
      </c>
      <c r="BA791" s="166">
        <v>0</v>
      </c>
      <c r="BB791" s="166">
        <v>0</v>
      </c>
      <c r="BC791" s="166">
        <v>0</v>
      </c>
      <c r="BD791" s="166">
        <v>0</v>
      </c>
      <c r="BE791" s="166">
        <v>0</v>
      </c>
      <c r="BF791" s="166">
        <v>0</v>
      </c>
      <c r="BG791" s="166">
        <v>0</v>
      </c>
      <c r="BH791" s="166">
        <v>0</v>
      </c>
      <c r="BI791" s="166">
        <v>0</v>
      </c>
      <c r="BJ791" s="166">
        <v>0</v>
      </c>
      <c r="BK791" s="166">
        <v>0</v>
      </c>
      <c r="BL791" s="166">
        <v>0</v>
      </c>
      <c r="BM791" s="166">
        <v>0</v>
      </c>
      <c r="BN791" s="166">
        <v>0</v>
      </c>
      <c r="BO791" s="166">
        <v>0</v>
      </c>
      <c r="BP791" s="166">
        <v>0</v>
      </c>
      <c r="BQ791" s="81" t="s">
        <v>1757</v>
      </c>
      <c r="BZ791" s="81" t="s">
        <v>155</v>
      </c>
      <c r="CA791" s="81" t="s">
        <v>1937</v>
      </c>
      <c r="CC791" s="167">
        <v>0</v>
      </c>
      <c r="CD791" s="167">
        <f>$N791/4</f>
        <v>0.25</v>
      </c>
      <c r="CE791" s="167">
        <f>$N791/4</f>
        <v>0.25</v>
      </c>
      <c r="CF791" s="167">
        <f>$N791/4</f>
        <v>0.25</v>
      </c>
      <c r="CG791" s="167">
        <f>$N791/4</f>
        <v>0.25</v>
      </c>
      <c r="CH791" s="167">
        <v>0</v>
      </c>
      <c r="CI791" s="167">
        <v>0</v>
      </c>
      <c r="CJ791" s="167">
        <v>0</v>
      </c>
      <c r="CK791" s="167">
        <v>0</v>
      </c>
      <c r="CL791" s="167">
        <v>0</v>
      </c>
      <c r="CM791" s="167">
        <v>0</v>
      </c>
      <c r="CN791" s="167">
        <v>0</v>
      </c>
      <c r="CO791" s="167">
        <v>0</v>
      </c>
      <c r="CP791" s="167">
        <v>0</v>
      </c>
      <c r="CQ791" s="167">
        <v>0</v>
      </c>
      <c r="CR791" s="167">
        <v>0</v>
      </c>
      <c r="CS791" s="167">
        <v>0</v>
      </c>
      <c r="CT791" s="167">
        <v>0</v>
      </c>
      <c r="CU791" s="167">
        <v>0</v>
      </c>
      <c r="CV791" s="167">
        <v>0</v>
      </c>
      <c r="CW791" s="167">
        <v>0</v>
      </c>
      <c r="CX791" s="167">
        <f>SUM(CD791:CH791)</f>
        <v>1</v>
      </c>
      <c r="CY791" s="167">
        <f>SUM(CD791:CM791)</f>
        <v>1</v>
      </c>
    </row>
    <row r="792" spans="1:103" ht="12.75" customHeight="1" x14ac:dyDescent="0.2">
      <c r="A792" s="81">
        <v>4122</v>
      </c>
      <c r="B792" s="165" t="s">
        <v>1930</v>
      </c>
      <c r="C792" s="165" t="s">
        <v>1651</v>
      </c>
      <c r="E792" s="165" t="s">
        <v>2516</v>
      </c>
      <c r="G792" s="81">
        <v>529138</v>
      </c>
      <c r="H792" s="81">
        <v>174076</v>
      </c>
      <c r="I792" s="165" t="s">
        <v>247</v>
      </c>
      <c r="L792" s="166">
        <v>0</v>
      </c>
      <c r="M792" s="166">
        <v>1</v>
      </c>
      <c r="N792" s="166">
        <v>1</v>
      </c>
      <c r="O792" s="166">
        <v>1</v>
      </c>
      <c r="P792" s="166">
        <v>1</v>
      </c>
      <c r="R792" s="165" t="s">
        <v>1652</v>
      </c>
      <c r="S792" s="81" t="s">
        <v>113</v>
      </c>
      <c r="T792" s="349">
        <v>42790</v>
      </c>
      <c r="U792" s="349">
        <v>42846</v>
      </c>
      <c r="V792" s="81" t="s">
        <v>155</v>
      </c>
      <c r="W792" s="81" t="s">
        <v>114</v>
      </c>
      <c r="Y792" s="81" t="s">
        <v>115</v>
      </c>
      <c r="Z792" s="81" t="s">
        <v>116</v>
      </c>
      <c r="AA792" s="81" t="s">
        <v>117</v>
      </c>
      <c r="AB792" s="81" t="s">
        <v>218</v>
      </c>
      <c r="AC792" s="166">
        <v>7.0000002160668399E-3</v>
      </c>
      <c r="AG792" s="81" t="s">
        <v>238</v>
      </c>
      <c r="AH792" s="81" t="s">
        <v>118</v>
      </c>
      <c r="AK792" s="166">
        <v>0</v>
      </c>
      <c r="AM792" s="166">
        <v>0</v>
      </c>
      <c r="AO792" s="166">
        <v>0</v>
      </c>
      <c r="AP792" s="166">
        <v>0</v>
      </c>
      <c r="AQ792" s="166">
        <v>0</v>
      </c>
      <c r="AR792" s="166">
        <v>1</v>
      </c>
      <c r="AS792" s="166">
        <v>0</v>
      </c>
      <c r="AT792" s="166">
        <v>0</v>
      </c>
      <c r="AU792" s="166">
        <v>0</v>
      </c>
      <c r="AV792" s="166">
        <v>0</v>
      </c>
      <c r="AW792" s="166">
        <v>0</v>
      </c>
      <c r="AX792" s="166">
        <v>0</v>
      </c>
      <c r="AY792" s="166">
        <v>0</v>
      </c>
      <c r="AZ792" s="166">
        <v>0</v>
      </c>
      <c r="BA792" s="166">
        <v>0</v>
      </c>
      <c r="BB792" s="166">
        <v>0</v>
      </c>
      <c r="BC792" s="166">
        <v>0</v>
      </c>
      <c r="BD792" s="166">
        <v>0</v>
      </c>
      <c r="BE792" s="166">
        <v>0</v>
      </c>
      <c r="BF792" s="166">
        <v>1</v>
      </c>
      <c r="BG792" s="166">
        <v>0</v>
      </c>
      <c r="BH792" s="166">
        <v>0</v>
      </c>
      <c r="BI792" s="166">
        <v>0</v>
      </c>
      <c r="BJ792" s="166">
        <v>0</v>
      </c>
      <c r="BK792" s="166">
        <v>0</v>
      </c>
      <c r="BL792" s="166">
        <v>0</v>
      </c>
      <c r="BM792" s="166">
        <v>0</v>
      </c>
      <c r="BN792" s="166">
        <v>0</v>
      </c>
      <c r="BO792" s="166">
        <v>0</v>
      </c>
      <c r="BP792" s="166">
        <v>0</v>
      </c>
      <c r="BQ792" s="81" t="s">
        <v>1757</v>
      </c>
      <c r="BZ792" s="81" t="s">
        <v>155</v>
      </c>
      <c r="CA792" s="81">
        <v>4</v>
      </c>
      <c r="CC792" s="167">
        <v>0</v>
      </c>
      <c r="CD792" s="167">
        <v>0</v>
      </c>
      <c r="CE792" s="167">
        <f>$N792/5</f>
        <v>0.2</v>
      </c>
      <c r="CF792" s="167">
        <f>$N792/5</f>
        <v>0.2</v>
      </c>
      <c r="CG792" s="167">
        <f>$N792/5</f>
        <v>0.2</v>
      </c>
      <c r="CH792" s="167">
        <f>$N792/5</f>
        <v>0.2</v>
      </c>
      <c r="CI792" s="167">
        <f>$N792/5</f>
        <v>0.2</v>
      </c>
      <c r="CJ792" s="167">
        <v>0</v>
      </c>
      <c r="CK792" s="167">
        <v>0</v>
      </c>
      <c r="CL792" s="167">
        <v>0</v>
      </c>
      <c r="CM792" s="167">
        <v>0</v>
      </c>
      <c r="CN792" s="167">
        <v>0</v>
      </c>
      <c r="CO792" s="167">
        <v>0</v>
      </c>
      <c r="CP792" s="167">
        <v>0</v>
      </c>
      <c r="CQ792" s="167">
        <v>0</v>
      </c>
      <c r="CR792" s="167">
        <v>0</v>
      </c>
      <c r="CS792" s="167">
        <v>0</v>
      </c>
      <c r="CT792" s="167">
        <v>0</v>
      </c>
      <c r="CU792" s="167">
        <v>0</v>
      </c>
      <c r="CV792" s="167">
        <v>0</v>
      </c>
      <c r="CW792" s="167">
        <v>0</v>
      </c>
      <c r="CX792" s="167">
        <f>SUM(CD792:CH792)</f>
        <v>0.8</v>
      </c>
      <c r="CY792" s="167">
        <f>SUM(CD792:CM792)</f>
        <v>1</v>
      </c>
    </row>
    <row r="793" spans="1:103" ht="12.75" customHeight="1" x14ac:dyDescent="0.2">
      <c r="A793" s="81">
        <v>4173</v>
      </c>
      <c r="B793" s="165" t="s">
        <v>1930</v>
      </c>
      <c r="C793" s="165" t="s">
        <v>2517</v>
      </c>
      <c r="E793" s="165" t="s">
        <v>2518</v>
      </c>
      <c r="G793" s="81">
        <v>525437</v>
      </c>
      <c r="H793" s="81">
        <v>174675</v>
      </c>
      <c r="I793" s="165" t="s">
        <v>258</v>
      </c>
      <c r="L793" s="166">
        <v>1</v>
      </c>
      <c r="M793" s="166">
        <v>4</v>
      </c>
      <c r="N793" s="166">
        <v>3</v>
      </c>
      <c r="O793" s="166">
        <v>4</v>
      </c>
      <c r="P793" s="166">
        <v>3</v>
      </c>
      <c r="R793" s="165" t="s">
        <v>2519</v>
      </c>
      <c r="S793" s="81" t="s">
        <v>113</v>
      </c>
      <c r="T793" s="349">
        <v>42955</v>
      </c>
      <c r="U793" s="349">
        <v>43033</v>
      </c>
      <c r="V793" s="81" t="s">
        <v>155</v>
      </c>
      <c r="W793" s="81" t="s">
        <v>114</v>
      </c>
      <c r="Y793" s="81" t="s">
        <v>115</v>
      </c>
      <c r="Z793" s="81" t="s">
        <v>116</v>
      </c>
      <c r="AA793" s="81" t="s">
        <v>117</v>
      </c>
      <c r="AB793" s="81" t="s">
        <v>218</v>
      </c>
      <c r="AC793" s="166">
        <v>1.4000000432133701E-2</v>
      </c>
      <c r="AG793" s="81" t="s">
        <v>238</v>
      </c>
      <c r="AH793" s="81" t="s">
        <v>118</v>
      </c>
      <c r="AK793" s="166">
        <v>0</v>
      </c>
      <c r="AM793" s="166">
        <v>0</v>
      </c>
      <c r="AO793" s="166">
        <v>0</v>
      </c>
      <c r="AP793" s="166">
        <v>2</v>
      </c>
      <c r="AQ793" s="166">
        <v>2</v>
      </c>
      <c r="AR793" s="166">
        <v>-1</v>
      </c>
      <c r="AS793" s="166">
        <v>0</v>
      </c>
      <c r="AT793" s="166">
        <v>0</v>
      </c>
      <c r="AU793" s="166">
        <v>0</v>
      </c>
      <c r="AV793" s="166">
        <v>0</v>
      </c>
      <c r="AW793" s="166">
        <v>2</v>
      </c>
      <c r="AX793" s="166">
        <v>2</v>
      </c>
      <c r="AY793" s="166">
        <v>-1</v>
      </c>
      <c r="AZ793" s="166">
        <v>0</v>
      </c>
      <c r="BA793" s="166">
        <v>0</v>
      </c>
      <c r="BB793" s="166">
        <v>0</v>
      </c>
      <c r="BC793" s="166">
        <v>0</v>
      </c>
      <c r="BD793" s="166">
        <v>0</v>
      </c>
      <c r="BE793" s="166">
        <v>0</v>
      </c>
      <c r="BF793" s="166">
        <v>0</v>
      </c>
      <c r="BG793" s="166">
        <v>0</v>
      </c>
      <c r="BH793" s="166">
        <v>0</v>
      </c>
      <c r="BI793" s="166">
        <v>0</v>
      </c>
      <c r="BJ793" s="166">
        <v>0</v>
      </c>
      <c r="BK793" s="166">
        <v>0</v>
      </c>
      <c r="BL793" s="166">
        <v>0</v>
      </c>
      <c r="BM793" s="166">
        <v>0</v>
      </c>
      <c r="BN793" s="166">
        <v>0</v>
      </c>
      <c r="BO793" s="166">
        <v>0</v>
      </c>
      <c r="BP793" s="166">
        <v>0</v>
      </c>
      <c r="BQ793" s="81" t="s">
        <v>1758</v>
      </c>
      <c r="BR793" s="81" t="s">
        <v>202</v>
      </c>
      <c r="BT793" s="81" t="s">
        <v>155</v>
      </c>
      <c r="BZ793" s="81" t="s">
        <v>155</v>
      </c>
      <c r="CA793" s="81">
        <v>4</v>
      </c>
      <c r="CC793" s="167">
        <v>0</v>
      </c>
      <c r="CD793" s="167">
        <v>0</v>
      </c>
      <c r="CE793" s="167">
        <f>$N793/5</f>
        <v>0.6</v>
      </c>
      <c r="CF793" s="167">
        <f>$N793/5</f>
        <v>0.6</v>
      </c>
      <c r="CG793" s="167">
        <f>$N793/5</f>
        <v>0.6</v>
      </c>
      <c r="CH793" s="167">
        <f>$N793/5</f>
        <v>0.6</v>
      </c>
      <c r="CI793" s="167">
        <f>$N793/5</f>
        <v>0.6</v>
      </c>
      <c r="CJ793" s="167">
        <v>0</v>
      </c>
      <c r="CK793" s="167">
        <v>0</v>
      </c>
      <c r="CL793" s="167">
        <v>0</v>
      </c>
      <c r="CM793" s="167">
        <v>0</v>
      </c>
      <c r="CN793" s="167">
        <v>0</v>
      </c>
      <c r="CO793" s="167">
        <v>0</v>
      </c>
      <c r="CP793" s="167">
        <v>0</v>
      </c>
      <c r="CQ793" s="167">
        <v>0</v>
      </c>
      <c r="CR793" s="167">
        <v>0</v>
      </c>
      <c r="CS793" s="167">
        <v>0</v>
      </c>
      <c r="CT793" s="167">
        <v>0</v>
      </c>
      <c r="CU793" s="167">
        <v>0</v>
      </c>
      <c r="CV793" s="167">
        <v>0</v>
      </c>
      <c r="CW793" s="167">
        <v>0</v>
      </c>
      <c r="CX793" s="167">
        <f>SUM(CD793:CH793)</f>
        <v>2.4</v>
      </c>
      <c r="CY793" s="167">
        <f>SUM(CD793:CM793)</f>
        <v>3</v>
      </c>
    </row>
    <row r="794" spans="1:103" ht="12.75" customHeight="1" x14ac:dyDescent="0.2">
      <c r="A794" s="81">
        <v>4207</v>
      </c>
      <c r="B794" s="165" t="s">
        <v>1930</v>
      </c>
      <c r="C794" s="165" t="s">
        <v>1546</v>
      </c>
      <c r="E794" s="165" t="s">
        <v>2520</v>
      </c>
      <c r="G794" s="81">
        <v>528913</v>
      </c>
      <c r="H794" s="81">
        <v>173014</v>
      </c>
      <c r="I794" s="165" t="s">
        <v>248</v>
      </c>
      <c r="L794" s="166">
        <v>0</v>
      </c>
      <c r="M794" s="166">
        <v>1</v>
      </c>
      <c r="N794" s="166">
        <v>1</v>
      </c>
      <c r="O794" s="166">
        <v>1</v>
      </c>
      <c r="P794" s="166">
        <v>1</v>
      </c>
      <c r="R794" s="165" t="s">
        <v>1547</v>
      </c>
      <c r="S794" s="81" t="s">
        <v>113</v>
      </c>
      <c r="T794" s="349">
        <v>42535</v>
      </c>
      <c r="U794" s="349">
        <v>43069</v>
      </c>
      <c r="V794" s="81" t="s">
        <v>155</v>
      </c>
      <c r="W794" s="81" t="s">
        <v>114</v>
      </c>
      <c r="Y794" s="81" t="s">
        <v>115</v>
      </c>
      <c r="Z794" s="81" t="s">
        <v>398</v>
      </c>
      <c r="AA794" s="81" t="s">
        <v>117</v>
      </c>
      <c r="AB794" s="81" t="s">
        <v>298</v>
      </c>
      <c r="AC794" s="166">
        <v>4.9999998882412902E-3</v>
      </c>
      <c r="AG794" s="81" t="s">
        <v>238</v>
      </c>
      <c r="AH794" s="81" t="s">
        <v>118</v>
      </c>
      <c r="AK794" s="166">
        <v>0</v>
      </c>
      <c r="AM794" s="166">
        <v>0</v>
      </c>
      <c r="AO794" s="166">
        <v>1</v>
      </c>
      <c r="AP794" s="166">
        <v>0</v>
      </c>
      <c r="AQ794" s="166">
        <v>0</v>
      </c>
      <c r="AR794" s="166">
        <v>0</v>
      </c>
      <c r="AS794" s="166">
        <v>0</v>
      </c>
      <c r="AT794" s="166">
        <v>0</v>
      </c>
      <c r="AU794" s="166">
        <v>0</v>
      </c>
      <c r="AV794" s="166">
        <v>1</v>
      </c>
      <c r="AW794" s="166">
        <v>0</v>
      </c>
      <c r="AX794" s="166">
        <v>0</v>
      </c>
      <c r="AY794" s="166">
        <v>0</v>
      </c>
      <c r="AZ794" s="166">
        <v>0</v>
      </c>
      <c r="BA794" s="166">
        <v>0</v>
      </c>
      <c r="BB794" s="166">
        <v>0</v>
      </c>
      <c r="BC794" s="166">
        <v>0</v>
      </c>
      <c r="BD794" s="166">
        <v>0</v>
      </c>
      <c r="BE794" s="166">
        <v>0</v>
      </c>
      <c r="BF794" s="166">
        <v>0</v>
      </c>
      <c r="BG794" s="166">
        <v>0</v>
      </c>
      <c r="BH794" s="166">
        <v>0</v>
      </c>
      <c r="BI794" s="166">
        <v>0</v>
      </c>
      <c r="BJ794" s="166">
        <v>0</v>
      </c>
      <c r="BK794" s="166">
        <v>0</v>
      </c>
      <c r="BL794" s="166">
        <v>0</v>
      </c>
      <c r="BM794" s="166">
        <v>0</v>
      </c>
      <c r="BN794" s="166">
        <v>0</v>
      </c>
      <c r="BO794" s="166">
        <v>0</v>
      </c>
      <c r="BP794" s="166">
        <v>0</v>
      </c>
      <c r="BQ794" s="81" t="s">
        <v>1757</v>
      </c>
      <c r="BZ794" s="81" t="s">
        <v>155</v>
      </c>
      <c r="CA794" s="81" t="s">
        <v>1937</v>
      </c>
      <c r="CC794" s="167">
        <v>0</v>
      </c>
      <c r="CD794" s="167">
        <f>$N794/4</f>
        <v>0.25</v>
      </c>
      <c r="CE794" s="167">
        <f>$N794/4</f>
        <v>0.25</v>
      </c>
      <c r="CF794" s="167">
        <f>$N794/4</f>
        <v>0.25</v>
      </c>
      <c r="CG794" s="167">
        <f>$N794/4</f>
        <v>0.25</v>
      </c>
      <c r="CH794" s="167">
        <v>0</v>
      </c>
      <c r="CI794" s="167">
        <v>0</v>
      </c>
      <c r="CJ794" s="167">
        <v>0</v>
      </c>
      <c r="CK794" s="167">
        <v>0</v>
      </c>
      <c r="CL794" s="167">
        <v>0</v>
      </c>
      <c r="CM794" s="167">
        <v>0</v>
      </c>
      <c r="CN794" s="167">
        <v>0</v>
      </c>
      <c r="CO794" s="167">
        <v>0</v>
      </c>
      <c r="CP794" s="167">
        <v>0</v>
      </c>
      <c r="CQ794" s="167">
        <v>0</v>
      </c>
      <c r="CR794" s="167">
        <v>0</v>
      </c>
      <c r="CS794" s="167">
        <v>0</v>
      </c>
      <c r="CT794" s="167">
        <v>0</v>
      </c>
      <c r="CU794" s="167">
        <v>0</v>
      </c>
      <c r="CV794" s="167">
        <v>0</v>
      </c>
      <c r="CW794" s="167">
        <v>0</v>
      </c>
      <c r="CX794" s="167">
        <f>SUM(CD794:CH794)</f>
        <v>1</v>
      </c>
      <c r="CY794" s="167">
        <f>SUM(CD794:CM794)</f>
        <v>1</v>
      </c>
    </row>
    <row r="795" spans="1:103" ht="12.75" customHeight="1" x14ac:dyDescent="0.2">
      <c r="A795" s="81">
        <v>4229</v>
      </c>
      <c r="B795" s="165" t="s">
        <v>1930</v>
      </c>
      <c r="C795" s="165" t="s">
        <v>1768</v>
      </c>
      <c r="E795" s="165" t="s">
        <v>2521</v>
      </c>
      <c r="G795" s="81">
        <v>525819</v>
      </c>
      <c r="H795" s="81">
        <v>174910</v>
      </c>
      <c r="I795" s="165" t="s">
        <v>251</v>
      </c>
      <c r="L795" s="166">
        <v>1</v>
      </c>
      <c r="M795" s="166">
        <v>0</v>
      </c>
      <c r="N795" s="166">
        <v>-1</v>
      </c>
      <c r="O795" s="166">
        <v>0</v>
      </c>
      <c r="P795" s="166">
        <v>-1</v>
      </c>
      <c r="R795" s="165" t="s">
        <v>1769</v>
      </c>
      <c r="S795" s="81" t="s">
        <v>113</v>
      </c>
      <c r="T795" s="349">
        <v>42444</v>
      </c>
      <c r="U795" s="349">
        <v>42446</v>
      </c>
      <c r="W795" s="81" t="s">
        <v>114</v>
      </c>
      <c r="Y795" s="81" t="s">
        <v>115</v>
      </c>
      <c r="Z795" s="81" t="s">
        <v>398</v>
      </c>
      <c r="AA795" s="81" t="s">
        <v>117</v>
      </c>
      <c r="AB795" s="81" t="s">
        <v>105</v>
      </c>
      <c r="AC795" s="166">
        <v>0</v>
      </c>
      <c r="AG795" s="81" t="s">
        <v>238</v>
      </c>
      <c r="AH795" s="81" t="s">
        <v>118</v>
      </c>
      <c r="AK795" s="166">
        <v>0</v>
      </c>
      <c r="AM795" s="166">
        <v>0</v>
      </c>
      <c r="AO795" s="166">
        <v>0</v>
      </c>
      <c r="AP795" s="166">
        <v>-1</v>
      </c>
      <c r="AQ795" s="166">
        <v>0</v>
      </c>
      <c r="AR795" s="166">
        <v>0</v>
      </c>
      <c r="AS795" s="166">
        <v>0</v>
      </c>
      <c r="AT795" s="166">
        <v>0</v>
      </c>
      <c r="AU795" s="166">
        <v>0</v>
      </c>
      <c r="AV795" s="166">
        <v>0</v>
      </c>
      <c r="AW795" s="166">
        <v>0</v>
      </c>
      <c r="AX795" s="166">
        <v>0</v>
      </c>
      <c r="AY795" s="166">
        <v>0</v>
      </c>
      <c r="AZ795" s="166">
        <v>0</v>
      </c>
      <c r="BA795" s="166">
        <v>0</v>
      </c>
      <c r="BB795" s="166">
        <v>0</v>
      </c>
      <c r="BC795" s="166">
        <v>0</v>
      </c>
      <c r="BD795" s="166">
        <v>0</v>
      </c>
      <c r="BE795" s="166">
        <v>0</v>
      </c>
      <c r="BF795" s="166">
        <v>0</v>
      </c>
      <c r="BG795" s="166">
        <v>0</v>
      </c>
      <c r="BH795" s="166">
        <v>0</v>
      </c>
      <c r="BI795" s="166">
        <v>0</v>
      </c>
      <c r="BJ795" s="166">
        <v>0</v>
      </c>
      <c r="BK795" s="166">
        <v>-1</v>
      </c>
      <c r="BL795" s="166">
        <v>0</v>
      </c>
      <c r="BM795" s="166">
        <v>0</v>
      </c>
      <c r="BN795" s="166">
        <v>0</v>
      </c>
      <c r="BO795" s="166">
        <v>0</v>
      </c>
      <c r="BP795" s="166">
        <v>0</v>
      </c>
      <c r="BQ795" s="81" t="s">
        <v>1758</v>
      </c>
      <c r="BZ795" s="81" t="s">
        <v>155</v>
      </c>
      <c r="CA795" s="81" t="s">
        <v>1937</v>
      </c>
      <c r="CC795" s="167">
        <v>0</v>
      </c>
      <c r="CD795" s="167">
        <f>$N795/4</f>
        <v>-0.25</v>
      </c>
      <c r="CE795" s="167">
        <f>$N795/4</f>
        <v>-0.25</v>
      </c>
      <c r="CF795" s="167">
        <f>$N795/4</f>
        <v>-0.25</v>
      </c>
      <c r="CG795" s="167">
        <f>$N795/4</f>
        <v>-0.25</v>
      </c>
      <c r="CH795" s="167">
        <v>0</v>
      </c>
      <c r="CI795" s="167">
        <v>0</v>
      </c>
      <c r="CJ795" s="167">
        <v>0</v>
      </c>
      <c r="CK795" s="167">
        <v>0</v>
      </c>
      <c r="CL795" s="167">
        <v>0</v>
      </c>
      <c r="CM795" s="167">
        <v>0</v>
      </c>
      <c r="CN795" s="167">
        <v>0</v>
      </c>
      <c r="CO795" s="167">
        <v>0</v>
      </c>
      <c r="CP795" s="167">
        <v>0</v>
      </c>
      <c r="CQ795" s="167">
        <v>0</v>
      </c>
      <c r="CR795" s="167">
        <v>0</v>
      </c>
      <c r="CS795" s="167">
        <v>0</v>
      </c>
      <c r="CT795" s="167">
        <v>0</v>
      </c>
      <c r="CU795" s="167">
        <v>0</v>
      </c>
      <c r="CV795" s="167">
        <v>0</v>
      </c>
      <c r="CW795" s="167">
        <v>0</v>
      </c>
      <c r="CX795" s="167">
        <f>SUM(CD795:CH795)</f>
        <v>-1</v>
      </c>
      <c r="CY795" s="167">
        <f>SUM(CD795:CM795)</f>
        <v>-1</v>
      </c>
    </row>
    <row r="796" spans="1:103" ht="12.75" customHeight="1" x14ac:dyDescent="0.2">
      <c r="A796" s="81">
        <v>4252</v>
      </c>
      <c r="B796" s="165" t="s">
        <v>1930</v>
      </c>
      <c r="C796" s="165" t="s">
        <v>382</v>
      </c>
      <c r="E796" s="165" t="s">
        <v>2522</v>
      </c>
      <c r="G796" s="81">
        <v>527344</v>
      </c>
      <c r="H796" s="81">
        <v>176643</v>
      </c>
      <c r="I796" s="165" t="s">
        <v>257</v>
      </c>
      <c r="L796" s="166">
        <v>0</v>
      </c>
      <c r="M796" s="166">
        <v>1</v>
      </c>
      <c r="N796" s="166">
        <v>1</v>
      </c>
      <c r="O796" s="166">
        <v>1</v>
      </c>
      <c r="P796" s="166">
        <v>1</v>
      </c>
      <c r="R796" s="165" t="s">
        <v>383</v>
      </c>
      <c r="S796" s="81" t="s">
        <v>113</v>
      </c>
      <c r="T796" s="349">
        <v>42023</v>
      </c>
      <c r="U796" s="349">
        <v>42153</v>
      </c>
      <c r="W796" s="81" t="s">
        <v>114</v>
      </c>
      <c r="Y796" s="81" t="s">
        <v>115</v>
      </c>
      <c r="Z796" s="81" t="s">
        <v>398</v>
      </c>
      <c r="AA796" s="81" t="s">
        <v>117</v>
      </c>
      <c r="AB796" s="81" t="s">
        <v>399</v>
      </c>
      <c r="AC796" s="166">
        <v>6.0000000521540598E-3</v>
      </c>
      <c r="AG796" s="81" t="s">
        <v>238</v>
      </c>
      <c r="AH796" s="81" t="s">
        <v>118</v>
      </c>
      <c r="AK796" s="166">
        <v>0</v>
      </c>
      <c r="AM796" s="166">
        <v>0</v>
      </c>
      <c r="AO796" s="166">
        <v>0</v>
      </c>
      <c r="AP796" s="166">
        <v>0</v>
      </c>
      <c r="AQ796" s="166">
        <v>1</v>
      </c>
      <c r="AR796" s="166">
        <v>0</v>
      </c>
      <c r="AS796" s="166">
        <v>0</v>
      </c>
      <c r="AT796" s="166">
        <v>0</v>
      </c>
      <c r="AU796" s="166">
        <v>0</v>
      </c>
      <c r="AV796" s="166">
        <v>0</v>
      </c>
      <c r="AW796" s="166">
        <v>0</v>
      </c>
      <c r="AX796" s="166">
        <v>0</v>
      </c>
      <c r="AY796" s="166">
        <v>0</v>
      </c>
      <c r="AZ796" s="166">
        <v>0</v>
      </c>
      <c r="BA796" s="166">
        <v>0</v>
      </c>
      <c r="BB796" s="166">
        <v>0</v>
      </c>
      <c r="BC796" s="166">
        <v>0</v>
      </c>
      <c r="BD796" s="166">
        <v>0</v>
      </c>
      <c r="BE796" s="166">
        <v>1</v>
      </c>
      <c r="BF796" s="166">
        <v>0</v>
      </c>
      <c r="BG796" s="166">
        <v>0</v>
      </c>
      <c r="BH796" s="166">
        <v>0</v>
      </c>
      <c r="BI796" s="166">
        <v>0</v>
      </c>
      <c r="BJ796" s="166">
        <v>0</v>
      </c>
      <c r="BK796" s="166">
        <v>0</v>
      </c>
      <c r="BL796" s="166">
        <v>0</v>
      </c>
      <c r="BM796" s="166">
        <v>0</v>
      </c>
      <c r="BN796" s="166">
        <v>0</v>
      </c>
      <c r="BO796" s="166">
        <v>0</v>
      </c>
      <c r="BP796" s="166">
        <v>0</v>
      </c>
      <c r="BQ796" s="81" t="s">
        <v>1757</v>
      </c>
      <c r="BZ796" s="81" t="s">
        <v>155</v>
      </c>
      <c r="CA796" s="81" t="s">
        <v>1937</v>
      </c>
      <c r="CC796" s="167">
        <v>0</v>
      </c>
      <c r="CD796" s="167">
        <f>$N796/4</f>
        <v>0.25</v>
      </c>
      <c r="CE796" s="167">
        <f>$N796/4</f>
        <v>0.25</v>
      </c>
      <c r="CF796" s="167">
        <f>$N796/4</f>
        <v>0.25</v>
      </c>
      <c r="CG796" s="167">
        <f>$N796/4</f>
        <v>0.25</v>
      </c>
      <c r="CH796" s="167">
        <v>0</v>
      </c>
      <c r="CI796" s="167">
        <v>0</v>
      </c>
      <c r="CJ796" s="167">
        <v>0</v>
      </c>
      <c r="CK796" s="167">
        <v>0</v>
      </c>
      <c r="CL796" s="167">
        <v>0</v>
      </c>
      <c r="CM796" s="167">
        <v>0</v>
      </c>
      <c r="CN796" s="167">
        <v>0</v>
      </c>
      <c r="CO796" s="167">
        <v>0</v>
      </c>
      <c r="CP796" s="167">
        <v>0</v>
      </c>
      <c r="CQ796" s="167">
        <v>0</v>
      </c>
      <c r="CR796" s="167">
        <v>0</v>
      </c>
      <c r="CS796" s="167">
        <v>0</v>
      </c>
      <c r="CT796" s="167">
        <v>0</v>
      </c>
      <c r="CU796" s="167">
        <v>0</v>
      </c>
      <c r="CV796" s="167">
        <v>0</v>
      </c>
      <c r="CW796" s="167">
        <v>0</v>
      </c>
      <c r="CX796" s="167">
        <f>SUM(CD796:CH796)</f>
        <v>1</v>
      </c>
      <c r="CY796" s="167">
        <f>SUM(CD796:CM796)</f>
        <v>1</v>
      </c>
    </row>
    <row r="797" spans="1:103" ht="12.75" customHeight="1" x14ac:dyDescent="0.2">
      <c r="A797" s="81">
        <v>4314</v>
      </c>
      <c r="B797" s="165" t="s">
        <v>1930</v>
      </c>
      <c r="C797" s="165" t="s">
        <v>733</v>
      </c>
      <c r="E797" s="165" t="s">
        <v>2523</v>
      </c>
      <c r="G797" s="81">
        <v>527097</v>
      </c>
      <c r="H797" s="81">
        <v>176190</v>
      </c>
      <c r="I797" s="165" t="s">
        <v>257</v>
      </c>
      <c r="L797" s="166">
        <v>0</v>
      </c>
      <c r="M797" s="166">
        <v>1</v>
      </c>
      <c r="N797" s="166">
        <v>1</v>
      </c>
      <c r="O797" s="166">
        <v>1</v>
      </c>
      <c r="P797" s="166">
        <v>1</v>
      </c>
      <c r="R797" s="165" t="s">
        <v>562</v>
      </c>
      <c r="S797" s="81" t="s">
        <v>270</v>
      </c>
      <c r="T797" s="349">
        <v>42404</v>
      </c>
      <c r="U797" s="349">
        <v>42460</v>
      </c>
      <c r="W797" s="81" t="s">
        <v>114</v>
      </c>
      <c r="Y797" s="81" t="s">
        <v>115</v>
      </c>
      <c r="Z797" s="81" t="s">
        <v>310</v>
      </c>
      <c r="AA797" s="81" t="s">
        <v>117</v>
      </c>
      <c r="AB797" s="81" t="s">
        <v>399</v>
      </c>
      <c r="AC797" s="166">
        <v>4.9999998882412902E-3</v>
      </c>
      <c r="AG797" s="81" t="s">
        <v>238</v>
      </c>
      <c r="AH797" s="81" t="s">
        <v>118</v>
      </c>
      <c r="AK797" s="166">
        <v>0</v>
      </c>
      <c r="AM797" s="166">
        <v>0</v>
      </c>
      <c r="AO797" s="166">
        <v>0</v>
      </c>
      <c r="AP797" s="166">
        <v>1</v>
      </c>
      <c r="AQ797" s="166">
        <v>0</v>
      </c>
      <c r="AR797" s="166">
        <v>0</v>
      </c>
      <c r="AS797" s="166">
        <v>0</v>
      </c>
      <c r="AT797" s="166">
        <v>0</v>
      </c>
      <c r="AU797" s="166">
        <v>0</v>
      </c>
      <c r="AV797" s="166">
        <v>0</v>
      </c>
      <c r="AW797" s="166">
        <v>0</v>
      </c>
      <c r="AX797" s="166">
        <v>0</v>
      </c>
      <c r="AY797" s="166">
        <v>0</v>
      </c>
      <c r="AZ797" s="166">
        <v>0</v>
      </c>
      <c r="BA797" s="166">
        <v>0</v>
      </c>
      <c r="BB797" s="166">
        <v>0</v>
      </c>
      <c r="BC797" s="166">
        <v>0</v>
      </c>
      <c r="BD797" s="166">
        <v>1</v>
      </c>
      <c r="BE797" s="166">
        <v>0</v>
      </c>
      <c r="BF797" s="166">
        <v>0</v>
      </c>
      <c r="BG797" s="166">
        <v>0</v>
      </c>
      <c r="BH797" s="166">
        <v>0</v>
      </c>
      <c r="BI797" s="166">
        <v>0</v>
      </c>
      <c r="BJ797" s="166">
        <v>0</v>
      </c>
      <c r="BK797" s="166">
        <v>0</v>
      </c>
      <c r="BL797" s="166">
        <v>0</v>
      </c>
      <c r="BM797" s="166">
        <v>0</v>
      </c>
      <c r="BN797" s="166">
        <v>0</v>
      </c>
      <c r="BO797" s="166">
        <v>0</v>
      </c>
      <c r="BP797" s="166">
        <v>0</v>
      </c>
      <c r="BQ797" s="81" t="s">
        <v>1757</v>
      </c>
      <c r="BZ797" s="81" t="s">
        <v>155</v>
      </c>
      <c r="CA797" s="81" t="s">
        <v>1937</v>
      </c>
      <c r="CC797" s="167">
        <v>0</v>
      </c>
      <c r="CD797" s="167">
        <f>$N797/4</f>
        <v>0.25</v>
      </c>
      <c r="CE797" s="167">
        <f>$N797/4</f>
        <v>0.25</v>
      </c>
      <c r="CF797" s="167">
        <f>$N797/4</f>
        <v>0.25</v>
      </c>
      <c r="CG797" s="167">
        <f>$N797/4</f>
        <v>0.25</v>
      </c>
      <c r="CH797" s="167">
        <v>0</v>
      </c>
      <c r="CI797" s="167">
        <v>0</v>
      </c>
      <c r="CJ797" s="167">
        <v>0</v>
      </c>
      <c r="CK797" s="167">
        <v>0</v>
      </c>
      <c r="CL797" s="167">
        <v>0</v>
      </c>
      <c r="CM797" s="167">
        <v>0</v>
      </c>
      <c r="CN797" s="167">
        <v>0</v>
      </c>
      <c r="CO797" s="167">
        <v>0</v>
      </c>
      <c r="CP797" s="167">
        <v>0</v>
      </c>
      <c r="CQ797" s="167">
        <v>0</v>
      </c>
      <c r="CR797" s="167">
        <v>0</v>
      </c>
      <c r="CS797" s="167">
        <v>0</v>
      </c>
      <c r="CT797" s="167">
        <v>0</v>
      </c>
      <c r="CU797" s="167">
        <v>0</v>
      </c>
      <c r="CV797" s="167">
        <v>0</v>
      </c>
      <c r="CW797" s="167">
        <v>0</v>
      </c>
      <c r="CX797" s="167">
        <f>SUM(CD797:CH797)</f>
        <v>1</v>
      </c>
      <c r="CY797" s="167">
        <f>SUM(CD797:CM797)</f>
        <v>1</v>
      </c>
    </row>
    <row r="798" spans="1:103" ht="12.75" customHeight="1" x14ac:dyDescent="0.2">
      <c r="A798" s="81">
        <v>4316</v>
      </c>
      <c r="B798" s="165" t="s">
        <v>1930</v>
      </c>
      <c r="C798" s="165" t="s">
        <v>56</v>
      </c>
      <c r="E798" s="165" t="s">
        <v>3030</v>
      </c>
      <c r="F798" s="165" t="s">
        <v>767</v>
      </c>
      <c r="G798" s="81">
        <v>527567</v>
      </c>
      <c r="H798" s="81">
        <v>171576</v>
      </c>
      <c r="I798" s="165" t="s">
        <v>253</v>
      </c>
      <c r="L798" s="166">
        <v>0</v>
      </c>
      <c r="M798" s="166">
        <v>3</v>
      </c>
      <c r="N798" s="166">
        <v>3</v>
      </c>
      <c r="O798" s="166">
        <v>14</v>
      </c>
      <c r="P798" s="166">
        <v>14</v>
      </c>
      <c r="Q798" s="81" t="s">
        <v>155</v>
      </c>
      <c r="R798" s="165" t="s">
        <v>768</v>
      </c>
      <c r="S798" s="81" t="s">
        <v>104</v>
      </c>
      <c r="T798" s="349">
        <v>41963</v>
      </c>
      <c r="U798" s="349">
        <v>42482</v>
      </c>
      <c r="W798" s="81" t="s">
        <v>114</v>
      </c>
      <c r="Y798" s="81" t="s">
        <v>115</v>
      </c>
      <c r="Z798" s="81" t="s">
        <v>116</v>
      </c>
      <c r="AA798" s="81" t="s">
        <v>116</v>
      </c>
      <c r="AB798" s="81" t="s">
        <v>117</v>
      </c>
      <c r="AC798" s="166">
        <v>1.4999999664723899E-2</v>
      </c>
      <c r="AG798" s="81" t="s">
        <v>238</v>
      </c>
      <c r="AH798" s="81" t="s">
        <v>118</v>
      </c>
      <c r="AI798" s="81" t="s">
        <v>2448</v>
      </c>
      <c r="AK798" s="166">
        <v>14</v>
      </c>
      <c r="AM798" s="166">
        <v>0</v>
      </c>
      <c r="AO798" s="166">
        <v>0</v>
      </c>
      <c r="AP798" s="166">
        <v>1</v>
      </c>
      <c r="AQ798" s="166">
        <v>2</v>
      </c>
      <c r="AR798" s="166">
        <v>0</v>
      </c>
      <c r="AS798" s="166">
        <v>0</v>
      </c>
      <c r="AT798" s="166">
        <v>0</v>
      </c>
      <c r="AU798" s="166">
        <v>0</v>
      </c>
      <c r="AV798" s="166">
        <v>0</v>
      </c>
      <c r="AW798" s="166">
        <v>1</v>
      </c>
      <c r="AX798" s="166">
        <v>2</v>
      </c>
      <c r="AY798" s="166">
        <v>0</v>
      </c>
      <c r="AZ798" s="166">
        <v>0</v>
      </c>
      <c r="BA798" s="166">
        <v>0</v>
      </c>
      <c r="BB798" s="166">
        <v>0</v>
      </c>
      <c r="BC798" s="166">
        <v>0</v>
      </c>
      <c r="BD798" s="166">
        <v>0</v>
      </c>
      <c r="BE798" s="166">
        <v>0</v>
      </c>
      <c r="BF798" s="166">
        <v>0</v>
      </c>
      <c r="BG798" s="166">
        <v>0</v>
      </c>
      <c r="BH798" s="166">
        <v>0</v>
      </c>
      <c r="BI798" s="166">
        <v>0</v>
      </c>
      <c r="BJ798" s="166">
        <v>0</v>
      </c>
      <c r="BK798" s="166">
        <v>0</v>
      </c>
      <c r="BL798" s="166">
        <v>0</v>
      </c>
      <c r="BM798" s="166">
        <v>0</v>
      </c>
      <c r="BN798" s="166">
        <v>0</v>
      </c>
      <c r="BO798" s="166">
        <v>0</v>
      </c>
      <c r="BP798" s="166">
        <v>0</v>
      </c>
      <c r="BQ798" s="81" t="s">
        <v>1757</v>
      </c>
      <c r="BR798" s="81" t="s">
        <v>242</v>
      </c>
      <c r="BZ798" s="81" t="s">
        <v>155</v>
      </c>
      <c r="CA798" s="81" t="s">
        <v>3936</v>
      </c>
      <c r="CC798" s="167">
        <v>0</v>
      </c>
      <c r="CD798" s="167">
        <v>0</v>
      </c>
      <c r="CE798" s="167">
        <f>N798</f>
        <v>3</v>
      </c>
      <c r="CF798" s="167">
        <v>0</v>
      </c>
      <c r="CG798" s="167">
        <v>0</v>
      </c>
      <c r="CH798" s="167">
        <v>0</v>
      </c>
      <c r="CI798" s="167">
        <v>0</v>
      </c>
      <c r="CJ798" s="167">
        <v>0</v>
      </c>
      <c r="CK798" s="167">
        <v>0</v>
      </c>
      <c r="CL798" s="167">
        <v>0</v>
      </c>
      <c r="CM798" s="167">
        <v>0</v>
      </c>
      <c r="CN798" s="167">
        <v>0</v>
      </c>
      <c r="CO798" s="167">
        <v>0</v>
      </c>
      <c r="CP798" s="167">
        <v>0</v>
      </c>
      <c r="CQ798" s="167">
        <v>0</v>
      </c>
      <c r="CR798" s="167">
        <v>0</v>
      </c>
      <c r="CS798" s="167">
        <v>0</v>
      </c>
      <c r="CT798" s="167">
        <v>0</v>
      </c>
      <c r="CU798" s="167">
        <v>0</v>
      </c>
      <c r="CV798" s="167">
        <v>0</v>
      </c>
      <c r="CW798" s="167">
        <v>0</v>
      </c>
      <c r="CX798" s="167">
        <f>SUM(CD798:CH798)</f>
        <v>3</v>
      </c>
      <c r="CY798" s="167">
        <f>SUM(CD798:CM798)</f>
        <v>3</v>
      </c>
    </row>
    <row r="799" spans="1:103" ht="12.75" customHeight="1" x14ac:dyDescent="0.2">
      <c r="A799" s="81">
        <v>4316</v>
      </c>
      <c r="B799" s="165" t="s">
        <v>1930</v>
      </c>
      <c r="C799" s="165" t="s">
        <v>56</v>
      </c>
      <c r="E799" s="165" t="s">
        <v>3030</v>
      </c>
      <c r="F799" s="165" t="s">
        <v>769</v>
      </c>
      <c r="G799" s="81">
        <v>527567</v>
      </c>
      <c r="H799" s="81">
        <v>171576</v>
      </c>
      <c r="I799" s="165" t="s">
        <v>253</v>
      </c>
      <c r="L799" s="166">
        <v>0</v>
      </c>
      <c r="M799" s="166">
        <v>6</v>
      </c>
      <c r="N799" s="166">
        <v>6</v>
      </c>
      <c r="O799" s="166">
        <v>14</v>
      </c>
      <c r="P799" s="166">
        <v>14</v>
      </c>
      <c r="Q799" s="81" t="s">
        <v>155</v>
      </c>
      <c r="R799" s="165" t="s">
        <v>768</v>
      </c>
      <c r="S799" s="81" t="s">
        <v>104</v>
      </c>
      <c r="T799" s="349">
        <v>41963</v>
      </c>
      <c r="U799" s="349">
        <v>42482</v>
      </c>
      <c r="W799" s="81" t="s">
        <v>114</v>
      </c>
      <c r="Y799" s="81" t="s">
        <v>115</v>
      </c>
      <c r="Z799" s="81" t="s">
        <v>116</v>
      </c>
      <c r="AA799" s="81" t="s">
        <v>116</v>
      </c>
      <c r="AB799" s="81" t="s">
        <v>117</v>
      </c>
      <c r="AC799" s="166">
        <v>2.9999999329447701E-2</v>
      </c>
      <c r="AG799" s="81" t="s">
        <v>238</v>
      </c>
      <c r="AH799" s="81" t="s">
        <v>118</v>
      </c>
      <c r="AI799" s="81" t="s">
        <v>2448</v>
      </c>
      <c r="AK799" s="166">
        <v>0</v>
      </c>
      <c r="AM799" s="166">
        <v>0</v>
      </c>
      <c r="AO799" s="166">
        <v>0</v>
      </c>
      <c r="AP799" s="166">
        <v>1</v>
      </c>
      <c r="AQ799" s="166">
        <v>3</v>
      </c>
      <c r="AR799" s="166">
        <v>2</v>
      </c>
      <c r="AS799" s="166">
        <v>0</v>
      </c>
      <c r="AT799" s="166">
        <v>0</v>
      </c>
      <c r="AU799" s="166">
        <v>0</v>
      </c>
      <c r="AV799" s="166">
        <v>0</v>
      </c>
      <c r="AW799" s="166">
        <v>1</v>
      </c>
      <c r="AX799" s="166">
        <v>3</v>
      </c>
      <c r="AY799" s="166">
        <v>2</v>
      </c>
      <c r="AZ799" s="166">
        <v>0</v>
      </c>
      <c r="BA799" s="166">
        <v>0</v>
      </c>
      <c r="BB799" s="166">
        <v>0</v>
      </c>
      <c r="BC799" s="166">
        <v>0</v>
      </c>
      <c r="BD799" s="166">
        <v>0</v>
      </c>
      <c r="BE799" s="166">
        <v>0</v>
      </c>
      <c r="BF799" s="166">
        <v>0</v>
      </c>
      <c r="BG799" s="166">
        <v>0</v>
      </c>
      <c r="BH799" s="166">
        <v>0</v>
      </c>
      <c r="BI799" s="166">
        <v>0</v>
      </c>
      <c r="BJ799" s="166">
        <v>0</v>
      </c>
      <c r="BK799" s="166">
        <v>0</v>
      </c>
      <c r="BL799" s="166">
        <v>0</v>
      </c>
      <c r="BM799" s="166">
        <v>0</v>
      </c>
      <c r="BN799" s="166">
        <v>0</v>
      </c>
      <c r="BO799" s="166">
        <v>0</v>
      </c>
      <c r="BP799" s="166">
        <v>0</v>
      </c>
      <c r="BQ799" s="81" t="s">
        <v>1757</v>
      </c>
      <c r="BR799" s="81" t="s">
        <v>242</v>
      </c>
      <c r="BZ799" s="81" t="s">
        <v>155</v>
      </c>
      <c r="CA799" s="81" t="s">
        <v>3936</v>
      </c>
      <c r="CC799" s="167">
        <v>0</v>
      </c>
      <c r="CD799" s="167">
        <v>0</v>
      </c>
      <c r="CE799" s="167">
        <f>N799</f>
        <v>6</v>
      </c>
      <c r="CF799" s="167">
        <v>0</v>
      </c>
      <c r="CG799" s="167">
        <v>0</v>
      </c>
      <c r="CH799" s="167">
        <v>0</v>
      </c>
      <c r="CI799" s="167">
        <v>0</v>
      </c>
      <c r="CJ799" s="167">
        <v>0</v>
      </c>
      <c r="CK799" s="167">
        <v>0</v>
      </c>
      <c r="CL799" s="167">
        <v>0</v>
      </c>
      <c r="CM799" s="167">
        <v>0</v>
      </c>
      <c r="CN799" s="167">
        <v>0</v>
      </c>
      <c r="CO799" s="167">
        <v>0</v>
      </c>
      <c r="CP799" s="167">
        <v>0</v>
      </c>
      <c r="CQ799" s="167">
        <v>0</v>
      </c>
      <c r="CR799" s="167">
        <v>0</v>
      </c>
      <c r="CS799" s="167">
        <v>0</v>
      </c>
      <c r="CT799" s="167">
        <v>0</v>
      </c>
      <c r="CU799" s="167">
        <v>0</v>
      </c>
      <c r="CV799" s="167">
        <v>0</v>
      </c>
      <c r="CW799" s="167">
        <v>0</v>
      </c>
      <c r="CX799" s="167">
        <f>SUM(CD799:CH799)</f>
        <v>6</v>
      </c>
      <c r="CY799" s="167">
        <f>SUM(CD799:CM799)</f>
        <v>6</v>
      </c>
    </row>
    <row r="800" spans="1:103" ht="12.75" customHeight="1" x14ac:dyDescent="0.2">
      <c r="A800" s="81">
        <v>4316</v>
      </c>
      <c r="B800" s="165" t="s">
        <v>1930</v>
      </c>
      <c r="C800" s="165" t="s">
        <v>56</v>
      </c>
      <c r="E800" s="165" t="s">
        <v>3030</v>
      </c>
      <c r="F800" s="165" t="s">
        <v>770</v>
      </c>
      <c r="G800" s="81">
        <v>527567</v>
      </c>
      <c r="H800" s="81">
        <v>171576</v>
      </c>
      <c r="I800" s="165" t="s">
        <v>253</v>
      </c>
      <c r="L800" s="166">
        <v>0</v>
      </c>
      <c r="M800" s="166">
        <v>5</v>
      </c>
      <c r="N800" s="166">
        <v>5</v>
      </c>
      <c r="O800" s="166">
        <v>14</v>
      </c>
      <c r="P800" s="166">
        <v>14</v>
      </c>
      <c r="Q800" s="81" t="s">
        <v>155</v>
      </c>
      <c r="R800" s="165" t="s">
        <v>768</v>
      </c>
      <c r="S800" s="81" t="s">
        <v>104</v>
      </c>
      <c r="T800" s="349">
        <v>41963</v>
      </c>
      <c r="U800" s="349">
        <v>42482</v>
      </c>
      <c r="W800" s="81" t="s">
        <v>114</v>
      </c>
      <c r="Y800" s="81" t="s">
        <v>115</v>
      </c>
      <c r="Z800" s="81" t="s">
        <v>116</v>
      </c>
      <c r="AA800" s="81" t="s">
        <v>116</v>
      </c>
      <c r="AB800" s="81" t="s">
        <v>117</v>
      </c>
      <c r="AC800" s="166">
        <v>2.5000000372528999E-2</v>
      </c>
      <c r="AG800" s="81" t="s">
        <v>238</v>
      </c>
      <c r="AH800" s="81" t="s">
        <v>118</v>
      </c>
      <c r="AI800" s="81" t="s">
        <v>2448</v>
      </c>
      <c r="AK800" s="166">
        <v>0</v>
      </c>
      <c r="AM800" s="166">
        <v>0</v>
      </c>
      <c r="AO800" s="166">
        <v>0</v>
      </c>
      <c r="AP800" s="166">
        <v>1</v>
      </c>
      <c r="AQ800" s="166">
        <v>3</v>
      </c>
      <c r="AR800" s="166">
        <v>1</v>
      </c>
      <c r="AS800" s="166">
        <v>0</v>
      </c>
      <c r="AT800" s="166">
        <v>0</v>
      </c>
      <c r="AU800" s="166">
        <v>0</v>
      </c>
      <c r="AV800" s="166">
        <v>0</v>
      </c>
      <c r="AW800" s="166">
        <v>1</v>
      </c>
      <c r="AX800" s="166">
        <v>3</v>
      </c>
      <c r="AY800" s="166">
        <v>1</v>
      </c>
      <c r="AZ800" s="166">
        <v>0</v>
      </c>
      <c r="BA800" s="166">
        <v>0</v>
      </c>
      <c r="BB800" s="166">
        <v>0</v>
      </c>
      <c r="BC800" s="166">
        <v>0</v>
      </c>
      <c r="BD800" s="166">
        <v>0</v>
      </c>
      <c r="BE800" s="166">
        <v>0</v>
      </c>
      <c r="BF800" s="166">
        <v>0</v>
      </c>
      <c r="BG800" s="166">
        <v>0</v>
      </c>
      <c r="BH800" s="166">
        <v>0</v>
      </c>
      <c r="BI800" s="166">
        <v>0</v>
      </c>
      <c r="BJ800" s="166">
        <v>0</v>
      </c>
      <c r="BK800" s="166">
        <v>0</v>
      </c>
      <c r="BL800" s="166">
        <v>0</v>
      </c>
      <c r="BM800" s="166">
        <v>0</v>
      </c>
      <c r="BN800" s="166">
        <v>0</v>
      </c>
      <c r="BO800" s="166">
        <v>0</v>
      </c>
      <c r="BP800" s="166">
        <v>0</v>
      </c>
      <c r="BQ800" s="81" t="s">
        <v>1757</v>
      </c>
      <c r="BR800" s="81" t="s">
        <v>242</v>
      </c>
      <c r="BZ800" s="81" t="s">
        <v>155</v>
      </c>
      <c r="CA800" s="81" t="s">
        <v>3936</v>
      </c>
      <c r="CC800" s="167">
        <v>0</v>
      </c>
      <c r="CD800" s="167">
        <v>0</v>
      </c>
      <c r="CE800" s="167">
        <f>N800</f>
        <v>5</v>
      </c>
      <c r="CF800" s="167">
        <v>0</v>
      </c>
      <c r="CG800" s="167">
        <v>0</v>
      </c>
      <c r="CH800" s="167">
        <v>0</v>
      </c>
      <c r="CI800" s="167">
        <v>0</v>
      </c>
      <c r="CJ800" s="167">
        <v>0</v>
      </c>
      <c r="CK800" s="167">
        <v>0</v>
      </c>
      <c r="CL800" s="167">
        <v>0</v>
      </c>
      <c r="CM800" s="167">
        <v>0</v>
      </c>
      <c r="CN800" s="167">
        <v>0</v>
      </c>
      <c r="CO800" s="167">
        <v>0</v>
      </c>
      <c r="CP800" s="167">
        <v>0</v>
      </c>
      <c r="CQ800" s="167">
        <v>0</v>
      </c>
      <c r="CR800" s="167">
        <v>0</v>
      </c>
      <c r="CS800" s="167">
        <v>0</v>
      </c>
      <c r="CT800" s="167">
        <v>0</v>
      </c>
      <c r="CU800" s="167">
        <v>0</v>
      </c>
      <c r="CV800" s="167">
        <v>0</v>
      </c>
      <c r="CW800" s="167">
        <v>0</v>
      </c>
      <c r="CX800" s="167">
        <f>SUM(CD800:CH800)</f>
        <v>5</v>
      </c>
      <c r="CY800" s="167">
        <f>SUM(CD800:CM800)</f>
        <v>5</v>
      </c>
    </row>
    <row r="801" spans="1:103" ht="12.75" customHeight="1" x14ac:dyDescent="0.2">
      <c r="A801" s="81">
        <v>4438</v>
      </c>
      <c r="B801" s="165" t="s">
        <v>1930</v>
      </c>
      <c r="C801" s="165" t="s">
        <v>1666</v>
      </c>
      <c r="E801" s="165" t="s">
        <v>2524</v>
      </c>
      <c r="G801" s="81">
        <v>524309</v>
      </c>
      <c r="H801" s="81">
        <v>174961</v>
      </c>
      <c r="I801" s="165" t="s">
        <v>259</v>
      </c>
      <c r="L801" s="166">
        <v>1</v>
      </c>
      <c r="M801" s="166">
        <v>2</v>
      </c>
      <c r="N801" s="166">
        <v>1</v>
      </c>
      <c r="O801" s="166">
        <v>3</v>
      </c>
      <c r="P801" s="166">
        <v>2</v>
      </c>
      <c r="R801" s="165" t="s">
        <v>1667</v>
      </c>
      <c r="S801" s="81" t="s">
        <v>113</v>
      </c>
      <c r="T801" s="349">
        <v>42804</v>
      </c>
      <c r="U801" s="349">
        <v>42912</v>
      </c>
      <c r="V801" s="81" t="s">
        <v>155</v>
      </c>
      <c r="W801" s="81" t="s">
        <v>114</v>
      </c>
      <c r="Y801" s="81" t="s">
        <v>115</v>
      </c>
      <c r="Z801" s="81" t="s">
        <v>219</v>
      </c>
      <c r="AA801" s="81" t="s">
        <v>117</v>
      </c>
      <c r="AB801" s="81" t="s">
        <v>220</v>
      </c>
      <c r="AC801" s="166">
        <v>4.9999998882412902E-3</v>
      </c>
      <c r="AG801" s="81" t="s">
        <v>238</v>
      </c>
      <c r="AH801" s="81" t="s">
        <v>118</v>
      </c>
      <c r="AK801" s="166">
        <v>0</v>
      </c>
      <c r="AM801" s="166">
        <v>0</v>
      </c>
      <c r="AO801" s="166">
        <v>0</v>
      </c>
      <c r="AP801" s="166">
        <v>2</v>
      </c>
      <c r="AQ801" s="166">
        <v>-1</v>
      </c>
      <c r="AR801" s="166">
        <v>0</v>
      </c>
      <c r="AS801" s="166">
        <v>0</v>
      </c>
      <c r="AT801" s="166">
        <v>0</v>
      </c>
      <c r="AU801" s="166">
        <v>0</v>
      </c>
      <c r="AV801" s="166">
        <v>0</v>
      </c>
      <c r="AW801" s="166">
        <v>2</v>
      </c>
      <c r="AX801" s="166">
        <v>-1</v>
      </c>
      <c r="AY801" s="166">
        <v>0</v>
      </c>
      <c r="AZ801" s="166">
        <v>0</v>
      </c>
      <c r="BA801" s="166">
        <v>0</v>
      </c>
      <c r="BB801" s="166">
        <v>0</v>
      </c>
      <c r="BC801" s="166">
        <v>0</v>
      </c>
      <c r="BD801" s="166">
        <v>0</v>
      </c>
      <c r="BE801" s="166">
        <v>0</v>
      </c>
      <c r="BF801" s="166">
        <v>0</v>
      </c>
      <c r="BG801" s="166">
        <v>0</v>
      </c>
      <c r="BH801" s="166">
        <v>0</v>
      </c>
      <c r="BI801" s="166">
        <v>0</v>
      </c>
      <c r="BJ801" s="166">
        <v>0</v>
      </c>
      <c r="BK801" s="166">
        <v>0</v>
      </c>
      <c r="BL801" s="166">
        <v>0</v>
      </c>
      <c r="BM801" s="166">
        <v>0</v>
      </c>
      <c r="BN801" s="166">
        <v>0</v>
      </c>
      <c r="BO801" s="166">
        <v>0</v>
      </c>
      <c r="BP801" s="166">
        <v>0</v>
      </c>
      <c r="BQ801" s="81" t="s">
        <v>1758</v>
      </c>
      <c r="BR801" s="81" t="s">
        <v>161</v>
      </c>
      <c r="BV801" s="81" t="s">
        <v>155</v>
      </c>
      <c r="BZ801" s="81" t="s">
        <v>155</v>
      </c>
      <c r="CA801" s="81" t="s">
        <v>1937</v>
      </c>
      <c r="CC801" s="167">
        <v>0</v>
      </c>
      <c r="CD801" s="167">
        <f>$N801/4</f>
        <v>0.25</v>
      </c>
      <c r="CE801" s="167">
        <f>$N801/4</f>
        <v>0.25</v>
      </c>
      <c r="CF801" s="167">
        <f>$N801/4</f>
        <v>0.25</v>
      </c>
      <c r="CG801" s="167">
        <f>$N801/4</f>
        <v>0.25</v>
      </c>
      <c r="CH801" s="167">
        <v>0</v>
      </c>
      <c r="CI801" s="167">
        <v>0</v>
      </c>
      <c r="CJ801" s="167">
        <v>0</v>
      </c>
      <c r="CK801" s="167">
        <v>0</v>
      </c>
      <c r="CL801" s="167">
        <v>0</v>
      </c>
      <c r="CM801" s="167">
        <v>0</v>
      </c>
      <c r="CN801" s="167">
        <v>0</v>
      </c>
      <c r="CO801" s="167">
        <v>0</v>
      </c>
      <c r="CP801" s="167">
        <v>0</v>
      </c>
      <c r="CQ801" s="167">
        <v>0</v>
      </c>
      <c r="CR801" s="167">
        <v>0</v>
      </c>
      <c r="CS801" s="167">
        <v>0</v>
      </c>
      <c r="CT801" s="167">
        <v>0</v>
      </c>
      <c r="CU801" s="167">
        <v>0</v>
      </c>
      <c r="CV801" s="167">
        <v>0</v>
      </c>
      <c r="CW801" s="167">
        <v>0</v>
      </c>
      <c r="CX801" s="167">
        <f>SUM(CD801:CH801)</f>
        <v>1</v>
      </c>
      <c r="CY801" s="167">
        <f>SUM(CD801:CM801)</f>
        <v>1</v>
      </c>
    </row>
    <row r="802" spans="1:103" ht="12.75" customHeight="1" x14ac:dyDescent="0.2">
      <c r="A802" s="81">
        <v>4438</v>
      </c>
      <c r="B802" s="165" t="s">
        <v>1930</v>
      </c>
      <c r="C802" s="165" t="s">
        <v>1666</v>
      </c>
      <c r="E802" s="165" t="s">
        <v>2524</v>
      </c>
      <c r="G802" s="81">
        <v>524309</v>
      </c>
      <c r="H802" s="81">
        <v>174961</v>
      </c>
      <c r="I802" s="165" t="s">
        <v>259</v>
      </c>
      <c r="L802" s="166">
        <v>0</v>
      </c>
      <c r="M802" s="166">
        <v>1</v>
      </c>
      <c r="N802" s="166">
        <v>1</v>
      </c>
      <c r="O802" s="166">
        <v>3</v>
      </c>
      <c r="P802" s="166">
        <v>2</v>
      </c>
      <c r="R802" s="165" t="s">
        <v>1667</v>
      </c>
      <c r="S802" s="81" t="s">
        <v>113</v>
      </c>
      <c r="T802" s="349">
        <v>42804</v>
      </c>
      <c r="U802" s="349">
        <v>42912</v>
      </c>
      <c r="V802" s="81" t="s">
        <v>155</v>
      </c>
      <c r="W802" s="81" t="s">
        <v>114</v>
      </c>
      <c r="Y802" s="81" t="s">
        <v>115</v>
      </c>
      <c r="Z802" s="81" t="s">
        <v>219</v>
      </c>
      <c r="AA802" s="81" t="s">
        <v>117</v>
      </c>
      <c r="AB802" s="81" t="s">
        <v>3889</v>
      </c>
      <c r="AC802" s="166">
        <v>6.0000000521540598E-3</v>
      </c>
      <c r="AG802" s="81" t="s">
        <v>238</v>
      </c>
      <c r="AH802" s="81" t="s">
        <v>118</v>
      </c>
      <c r="AK802" s="166">
        <v>0</v>
      </c>
      <c r="AM802" s="166">
        <v>0</v>
      </c>
      <c r="AO802" s="166">
        <v>0</v>
      </c>
      <c r="AP802" s="166">
        <v>0</v>
      </c>
      <c r="AQ802" s="166">
        <v>1</v>
      </c>
      <c r="AR802" s="166">
        <v>0</v>
      </c>
      <c r="AS802" s="166">
        <v>0</v>
      </c>
      <c r="AT802" s="166">
        <v>0</v>
      </c>
      <c r="AU802" s="166">
        <v>0</v>
      </c>
      <c r="AV802" s="166">
        <v>0</v>
      </c>
      <c r="AW802" s="166">
        <v>0</v>
      </c>
      <c r="AX802" s="166">
        <v>1</v>
      </c>
      <c r="AY802" s="166">
        <v>0</v>
      </c>
      <c r="AZ802" s="166">
        <v>0</v>
      </c>
      <c r="BA802" s="166">
        <v>0</v>
      </c>
      <c r="BB802" s="166">
        <v>0</v>
      </c>
      <c r="BC802" s="166">
        <v>0</v>
      </c>
      <c r="BD802" s="166">
        <v>0</v>
      </c>
      <c r="BE802" s="166">
        <v>0</v>
      </c>
      <c r="BF802" s="166">
        <v>0</v>
      </c>
      <c r="BG802" s="166">
        <v>0</v>
      </c>
      <c r="BH802" s="166">
        <v>0</v>
      </c>
      <c r="BI802" s="166">
        <v>0</v>
      </c>
      <c r="BJ802" s="166">
        <v>0</v>
      </c>
      <c r="BK802" s="166">
        <v>0</v>
      </c>
      <c r="BL802" s="166">
        <v>0</v>
      </c>
      <c r="BM802" s="166">
        <v>0</v>
      </c>
      <c r="BN802" s="166">
        <v>0</v>
      </c>
      <c r="BO802" s="166">
        <v>0</v>
      </c>
      <c r="BP802" s="166">
        <v>0</v>
      </c>
      <c r="BQ802" s="81" t="s">
        <v>1758</v>
      </c>
      <c r="BR802" s="81" t="s">
        <v>161</v>
      </c>
      <c r="BV802" s="81" t="s">
        <v>155</v>
      </c>
      <c r="BZ802" s="81" t="s">
        <v>155</v>
      </c>
      <c r="CA802" s="81" t="s">
        <v>1937</v>
      </c>
      <c r="CC802" s="167">
        <v>0</v>
      </c>
      <c r="CD802" s="167">
        <f>$N802/4</f>
        <v>0.25</v>
      </c>
      <c r="CE802" s="167">
        <f>$N802/4</f>
        <v>0.25</v>
      </c>
      <c r="CF802" s="167">
        <f>$N802/4</f>
        <v>0.25</v>
      </c>
      <c r="CG802" s="167">
        <f>$N802/4</f>
        <v>0.25</v>
      </c>
      <c r="CH802" s="167">
        <v>0</v>
      </c>
      <c r="CI802" s="167">
        <v>0</v>
      </c>
      <c r="CJ802" s="167">
        <v>0</v>
      </c>
      <c r="CK802" s="167">
        <v>0</v>
      </c>
      <c r="CL802" s="167">
        <v>0</v>
      </c>
      <c r="CM802" s="167">
        <v>0</v>
      </c>
      <c r="CN802" s="167">
        <v>0</v>
      </c>
      <c r="CO802" s="167">
        <v>0</v>
      </c>
      <c r="CP802" s="167">
        <v>0</v>
      </c>
      <c r="CQ802" s="167">
        <v>0</v>
      </c>
      <c r="CR802" s="167">
        <v>0</v>
      </c>
      <c r="CS802" s="167">
        <v>0</v>
      </c>
      <c r="CT802" s="167">
        <v>0</v>
      </c>
      <c r="CU802" s="167">
        <v>0</v>
      </c>
      <c r="CV802" s="167">
        <v>0</v>
      </c>
      <c r="CW802" s="167">
        <v>0</v>
      </c>
      <c r="CX802" s="167">
        <f>SUM(CD802:CH802)</f>
        <v>1</v>
      </c>
      <c r="CY802" s="167">
        <f>SUM(CD802:CM802)</f>
        <v>1</v>
      </c>
    </row>
    <row r="803" spans="1:103" ht="12.75" customHeight="1" x14ac:dyDescent="0.2">
      <c r="A803" s="81">
        <v>4474</v>
      </c>
      <c r="B803" s="165" t="s">
        <v>1930</v>
      </c>
      <c r="C803" s="165" t="s">
        <v>54</v>
      </c>
      <c r="E803" s="165" t="s">
        <v>3032</v>
      </c>
      <c r="F803" s="165" t="s">
        <v>3033</v>
      </c>
      <c r="G803" s="81">
        <v>527533</v>
      </c>
      <c r="H803" s="81">
        <v>171477</v>
      </c>
      <c r="I803" s="165" t="s">
        <v>253</v>
      </c>
      <c r="L803" s="166">
        <v>0</v>
      </c>
      <c r="M803" s="166">
        <v>6</v>
      </c>
      <c r="N803" s="166">
        <v>6</v>
      </c>
      <c r="O803" s="166">
        <v>19</v>
      </c>
      <c r="P803" s="166">
        <v>19</v>
      </c>
      <c r="Q803" s="81" t="s">
        <v>155</v>
      </c>
      <c r="R803" s="165" t="s">
        <v>55</v>
      </c>
      <c r="S803" s="81" t="s">
        <v>104</v>
      </c>
      <c r="T803" s="349">
        <v>41891</v>
      </c>
      <c r="U803" s="349">
        <v>42594</v>
      </c>
      <c r="W803" s="81" t="s">
        <v>114</v>
      </c>
      <c r="Y803" s="81" t="s">
        <v>115</v>
      </c>
      <c r="Z803" s="81" t="s">
        <v>310</v>
      </c>
      <c r="AA803" s="81" t="s">
        <v>117</v>
      </c>
      <c r="AB803" s="81" t="s">
        <v>102</v>
      </c>
      <c r="AC803" s="166">
        <v>4.3000001460313797E-2</v>
      </c>
      <c r="AG803" s="81" t="s">
        <v>238</v>
      </c>
      <c r="AH803" s="81" t="s">
        <v>1815</v>
      </c>
      <c r="AI803" s="81" t="s">
        <v>2448</v>
      </c>
      <c r="AK803" s="166">
        <v>0</v>
      </c>
      <c r="AM803" s="166">
        <v>0</v>
      </c>
      <c r="AO803" s="166">
        <v>0</v>
      </c>
      <c r="AP803" s="166">
        <v>3</v>
      </c>
      <c r="AQ803" s="166">
        <v>3</v>
      </c>
      <c r="AR803" s="166">
        <v>0</v>
      </c>
      <c r="AS803" s="166">
        <v>0</v>
      </c>
      <c r="AT803" s="166">
        <v>0</v>
      </c>
      <c r="AU803" s="166">
        <v>0</v>
      </c>
      <c r="AV803" s="166">
        <v>0</v>
      </c>
      <c r="AW803" s="166">
        <v>3</v>
      </c>
      <c r="AX803" s="166">
        <v>3</v>
      </c>
      <c r="AY803" s="166">
        <v>0</v>
      </c>
      <c r="AZ803" s="166">
        <v>0</v>
      </c>
      <c r="BA803" s="166">
        <v>0</v>
      </c>
      <c r="BB803" s="166">
        <v>0</v>
      </c>
      <c r="BC803" s="166">
        <v>0</v>
      </c>
      <c r="BD803" s="166">
        <v>0</v>
      </c>
      <c r="BE803" s="166">
        <v>0</v>
      </c>
      <c r="BF803" s="166">
        <v>0</v>
      </c>
      <c r="BG803" s="166">
        <v>0</v>
      </c>
      <c r="BH803" s="166">
        <v>0</v>
      </c>
      <c r="BI803" s="166">
        <v>0</v>
      </c>
      <c r="BJ803" s="166">
        <v>0</v>
      </c>
      <c r="BK803" s="166">
        <v>0</v>
      </c>
      <c r="BL803" s="166">
        <v>0</v>
      </c>
      <c r="BM803" s="166">
        <v>0</v>
      </c>
      <c r="BN803" s="166">
        <v>0</v>
      </c>
      <c r="BO803" s="166">
        <v>0</v>
      </c>
      <c r="BP803" s="166">
        <v>0</v>
      </c>
      <c r="BQ803" s="81" t="s">
        <v>1757</v>
      </c>
      <c r="BR803" s="81" t="s">
        <v>242</v>
      </c>
      <c r="BZ803" s="81" t="s">
        <v>155</v>
      </c>
      <c r="CA803" s="81" t="s">
        <v>1957</v>
      </c>
      <c r="CC803" s="167">
        <v>0</v>
      </c>
      <c r="CD803" s="167">
        <v>0</v>
      </c>
      <c r="CE803" s="167">
        <f>N803</f>
        <v>6</v>
      </c>
      <c r="CF803" s="167">
        <v>0</v>
      </c>
      <c r="CG803" s="167">
        <v>0</v>
      </c>
      <c r="CH803" s="167">
        <v>0</v>
      </c>
      <c r="CI803" s="167">
        <v>0</v>
      </c>
      <c r="CJ803" s="167">
        <v>0</v>
      </c>
      <c r="CK803" s="167">
        <v>0</v>
      </c>
      <c r="CL803" s="167">
        <v>0</v>
      </c>
      <c r="CM803" s="167">
        <v>0</v>
      </c>
      <c r="CN803" s="167">
        <v>0</v>
      </c>
      <c r="CO803" s="167">
        <v>0</v>
      </c>
      <c r="CP803" s="167">
        <v>0</v>
      </c>
      <c r="CQ803" s="167">
        <v>0</v>
      </c>
      <c r="CR803" s="167">
        <v>0</v>
      </c>
      <c r="CS803" s="167">
        <v>0</v>
      </c>
      <c r="CT803" s="167">
        <v>0</v>
      </c>
      <c r="CU803" s="167">
        <v>0</v>
      </c>
      <c r="CV803" s="167">
        <v>0</v>
      </c>
      <c r="CW803" s="167">
        <v>0</v>
      </c>
      <c r="CX803" s="167">
        <f>SUM(CD803:CH803)</f>
        <v>6</v>
      </c>
      <c r="CY803" s="167">
        <f>SUM(CD803:CM803)</f>
        <v>6</v>
      </c>
    </row>
    <row r="804" spans="1:103" ht="12.75" customHeight="1" x14ac:dyDescent="0.2">
      <c r="A804" s="81">
        <v>4474</v>
      </c>
      <c r="B804" s="165" t="s">
        <v>1930</v>
      </c>
      <c r="C804" s="165" t="s">
        <v>54</v>
      </c>
      <c r="E804" s="165" t="s">
        <v>3032</v>
      </c>
      <c r="F804" s="165" t="s">
        <v>1120</v>
      </c>
      <c r="G804" s="81">
        <v>527533</v>
      </c>
      <c r="H804" s="81">
        <v>171477</v>
      </c>
      <c r="I804" s="165" t="s">
        <v>253</v>
      </c>
      <c r="L804" s="166">
        <v>0</v>
      </c>
      <c r="M804" s="166">
        <v>13</v>
      </c>
      <c r="N804" s="166">
        <v>13</v>
      </c>
      <c r="O804" s="166">
        <v>19</v>
      </c>
      <c r="P804" s="166">
        <v>19</v>
      </c>
      <c r="Q804" s="81" t="s">
        <v>155</v>
      </c>
      <c r="R804" s="165" t="s">
        <v>55</v>
      </c>
      <c r="S804" s="81" t="s">
        <v>104</v>
      </c>
      <c r="T804" s="349">
        <v>41891</v>
      </c>
      <c r="U804" s="349">
        <v>42594</v>
      </c>
      <c r="W804" s="81" t="s">
        <v>114</v>
      </c>
      <c r="Y804" s="81" t="s">
        <v>115</v>
      </c>
      <c r="Z804" s="81" t="s">
        <v>310</v>
      </c>
      <c r="AA804" s="81" t="s">
        <v>117</v>
      </c>
      <c r="AB804" s="81" t="s">
        <v>102</v>
      </c>
      <c r="AC804" s="166">
        <v>0.10000000149011599</v>
      </c>
      <c r="AG804" s="81" t="s">
        <v>238</v>
      </c>
      <c r="AH804" s="81" t="s">
        <v>1815</v>
      </c>
      <c r="AI804" s="81" t="s">
        <v>2448</v>
      </c>
      <c r="AK804" s="166">
        <v>9</v>
      </c>
      <c r="AM804" s="166">
        <v>2</v>
      </c>
      <c r="AO804" s="166">
        <v>1</v>
      </c>
      <c r="AP804" s="166">
        <v>1</v>
      </c>
      <c r="AQ804" s="166">
        <v>11</v>
      </c>
      <c r="AR804" s="166">
        <v>0</v>
      </c>
      <c r="AS804" s="166">
        <v>0</v>
      </c>
      <c r="AT804" s="166">
        <v>0</v>
      </c>
      <c r="AU804" s="166">
        <v>0</v>
      </c>
      <c r="AV804" s="166">
        <v>1</v>
      </c>
      <c r="AW804" s="166">
        <v>1</v>
      </c>
      <c r="AX804" s="166">
        <v>11</v>
      </c>
      <c r="AY804" s="166">
        <v>0</v>
      </c>
      <c r="AZ804" s="166">
        <v>0</v>
      </c>
      <c r="BA804" s="166">
        <v>0</v>
      </c>
      <c r="BB804" s="166">
        <v>0</v>
      </c>
      <c r="BC804" s="166">
        <v>0</v>
      </c>
      <c r="BD804" s="166">
        <v>0</v>
      </c>
      <c r="BE804" s="166">
        <v>0</v>
      </c>
      <c r="BF804" s="166">
        <v>0</v>
      </c>
      <c r="BG804" s="166">
        <v>0</v>
      </c>
      <c r="BH804" s="166">
        <v>0</v>
      </c>
      <c r="BI804" s="166">
        <v>0</v>
      </c>
      <c r="BJ804" s="166">
        <v>0</v>
      </c>
      <c r="BK804" s="166">
        <v>0</v>
      </c>
      <c r="BL804" s="166">
        <v>0</v>
      </c>
      <c r="BM804" s="166">
        <v>0</v>
      </c>
      <c r="BN804" s="166">
        <v>0</v>
      </c>
      <c r="BO804" s="166">
        <v>0</v>
      </c>
      <c r="BP804" s="166">
        <v>0</v>
      </c>
      <c r="BQ804" s="81" t="s">
        <v>1757</v>
      </c>
      <c r="BR804" s="81" t="s">
        <v>242</v>
      </c>
      <c r="BZ804" s="81" t="s">
        <v>155</v>
      </c>
      <c r="CA804" s="81" t="s">
        <v>1957</v>
      </c>
      <c r="CC804" s="167">
        <v>0</v>
      </c>
      <c r="CD804" s="167">
        <v>0</v>
      </c>
      <c r="CE804" s="167">
        <f>N804</f>
        <v>13</v>
      </c>
      <c r="CF804" s="167">
        <v>0</v>
      </c>
      <c r="CG804" s="167">
        <v>0</v>
      </c>
      <c r="CH804" s="167">
        <v>0</v>
      </c>
      <c r="CI804" s="167">
        <v>0</v>
      </c>
      <c r="CJ804" s="167">
        <v>0</v>
      </c>
      <c r="CK804" s="167">
        <v>0</v>
      </c>
      <c r="CL804" s="167">
        <v>0</v>
      </c>
      <c r="CM804" s="167">
        <v>0</v>
      </c>
      <c r="CN804" s="167">
        <v>0</v>
      </c>
      <c r="CO804" s="167">
        <v>0</v>
      </c>
      <c r="CP804" s="167">
        <v>0</v>
      </c>
      <c r="CQ804" s="167">
        <v>0</v>
      </c>
      <c r="CR804" s="167">
        <v>0</v>
      </c>
      <c r="CS804" s="167">
        <v>0</v>
      </c>
      <c r="CT804" s="167">
        <v>0</v>
      </c>
      <c r="CU804" s="167">
        <v>0</v>
      </c>
      <c r="CV804" s="167">
        <v>0</v>
      </c>
      <c r="CW804" s="167">
        <v>0</v>
      </c>
      <c r="CX804" s="167">
        <f>SUM(CD804:CH804)</f>
        <v>13</v>
      </c>
      <c r="CY804" s="167">
        <f>SUM(CD804:CM804)</f>
        <v>13</v>
      </c>
    </row>
    <row r="805" spans="1:103" ht="12.75" customHeight="1" x14ac:dyDescent="0.2">
      <c r="A805" s="81">
        <v>4506</v>
      </c>
      <c r="B805" s="165" t="s">
        <v>1930</v>
      </c>
      <c r="C805" s="165" t="s">
        <v>1674</v>
      </c>
      <c r="E805" s="165" t="s">
        <v>2525</v>
      </c>
      <c r="G805" s="81">
        <v>525112</v>
      </c>
      <c r="H805" s="81">
        <v>175239</v>
      </c>
      <c r="I805" s="165" t="s">
        <v>259</v>
      </c>
      <c r="L805" s="166">
        <v>0</v>
      </c>
      <c r="M805" s="166">
        <v>1</v>
      </c>
      <c r="N805" s="166">
        <v>1</v>
      </c>
      <c r="O805" s="166">
        <v>1</v>
      </c>
      <c r="P805" s="166">
        <v>1</v>
      </c>
      <c r="R805" s="165" t="s">
        <v>1675</v>
      </c>
      <c r="S805" s="81" t="s">
        <v>110</v>
      </c>
      <c r="T805" s="349">
        <v>42814</v>
      </c>
      <c r="U805" s="349">
        <v>42851</v>
      </c>
      <c r="V805" s="81" t="s">
        <v>155</v>
      </c>
      <c r="W805" s="81" t="s">
        <v>114</v>
      </c>
      <c r="Y805" s="81" t="s">
        <v>115</v>
      </c>
      <c r="Z805" s="81" t="s">
        <v>310</v>
      </c>
      <c r="AA805" s="81" t="s">
        <v>117</v>
      </c>
      <c r="AB805" s="81" t="s">
        <v>399</v>
      </c>
      <c r="AC805" s="166">
        <v>1.00000004749745E-3</v>
      </c>
      <c r="AG805" s="81" t="s">
        <v>238</v>
      </c>
      <c r="AH805" s="81" t="s">
        <v>118</v>
      </c>
      <c r="AK805" s="166">
        <v>0</v>
      </c>
      <c r="AM805" s="166">
        <v>0</v>
      </c>
      <c r="AO805" s="166">
        <v>0</v>
      </c>
      <c r="AP805" s="166">
        <v>1</v>
      </c>
      <c r="AQ805" s="166">
        <v>0</v>
      </c>
      <c r="AR805" s="166">
        <v>0</v>
      </c>
      <c r="AS805" s="166">
        <v>0</v>
      </c>
      <c r="AT805" s="166">
        <v>0</v>
      </c>
      <c r="AU805" s="166">
        <v>0</v>
      </c>
      <c r="AV805" s="166">
        <v>0</v>
      </c>
      <c r="AW805" s="166">
        <v>1</v>
      </c>
      <c r="AX805" s="166">
        <v>0</v>
      </c>
      <c r="AY805" s="166">
        <v>0</v>
      </c>
      <c r="AZ805" s="166">
        <v>0</v>
      </c>
      <c r="BA805" s="166">
        <v>0</v>
      </c>
      <c r="BB805" s="166">
        <v>0</v>
      </c>
      <c r="BC805" s="166">
        <v>0</v>
      </c>
      <c r="BD805" s="166">
        <v>0</v>
      </c>
      <c r="BE805" s="166">
        <v>0</v>
      </c>
      <c r="BF805" s="166">
        <v>0</v>
      </c>
      <c r="BG805" s="166">
        <v>0</v>
      </c>
      <c r="BH805" s="166">
        <v>0</v>
      </c>
      <c r="BI805" s="166">
        <v>0</v>
      </c>
      <c r="BJ805" s="166">
        <v>0</v>
      </c>
      <c r="BK805" s="166">
        <v>0</v>
      </c>
      <c r="BL805" s="166">
        <v>0</v>
      </c>
      <c r="BM805" s="166">
        <v>0</v>
      </c>
      <c r="BN805" s="166">
        <v>0</v>
      </c>
      <c r="BO805" s="166">
        <v>0</v>
      </c>
      <c r="BP805" s="166">
        <v>0</v>
      </c>
      <c r="BQ805" s="81" t="s">
        <v>1758</v>
      </c>
      <c r="BT805" s="81" t="s">
        <v>155</v>
      </c>
      <c r="BZ805" s="81" t="s">
        <v>155</v>
      </c>
      <c r="CA805" s="81" t="s">
        <v>1937</v>
      </c>
      <c r="CC805" s="167">
        <v>0</v>
      </c>
      <c r="CD805" s="167">
        <f>$N805/4</f>
        <v>0.25</v>
      </c>
      <c r="CE805" s="167">
        <f>$N805/4</f>
        <v>0.25</v>
      </c>
      <c r="CF805" s="167">
        <f>$N805/4</f>
        <v>0.25</v>
      </c>
      <c r="CG805" s="167">
        <f>$N805/4</f>
        <v>0.25</v>
      </c>
      <c r="CH805" s="167">
        <v>0</v>
      </c>
      <c r="CI805" s="167">
        <v>0</v>
      </c>
      <c r="CJ805" s="167">
        <v>0</v>
      </c>
      <c r="CK805" s="167">
        <v>0</v>
      </c>
      <c r="CL805" s="167">
        <v>0</v>
      </c>
      <c r="CM805" s="167">
        <v>0</v>
      </c>
      <c r="CN805" s="167">
        <v>0</v>
      </c>
      <c r="CO805" s="167">
        <v>0</v>
      </c>
      <c r="CP805" s="167">
        <v>0</v>
      </c>
      <c r="CQ805" s="167">
        <v>0</v>
      </c>
      <c r="CR805" s="167">
        <v>0</v>
      </c>
      <c r="CS805" s="167">
        <v>0</v>
      </c>
      <c r="CT805" s="167">
        <v>0</v>
      </c>
      <c r="CU805" s="167">
        <v>0</v>
      </c>
      <c r="CV805" s="167">
        <v>0</v>
      </c>
      <c r="CW805" s="167">
        <v>0</v>
      </c>
      <c r="CX805" s="167">
        <f>SUM(CD805:CH805)</f>
        <v>1</v>
      </c>
      <c r="CY805" s="167">
        <f>SUM(CD805:CM805)</f>
        <v>1</v>
      </c>
    </row>
    <row r="806" spans="1:103" ht="12.75" customHeight="1" x14ac:dyDescent="0.2">
      <c r="A806" s="81">
        <v>4509</v>
      </c>
      <c r="B806" s="165" t="s">
        <v>1930</v>
      </c>
      <c r="C806" s="165" t="s">
        <v>4044</v>
      </c>
      <c r="D806" s="165" t="s">
        <v>4045</v>
      </c>
      <c r="E806" s="165" t="s">
        <v>4046</v>
      </c>
      <c r="G806" s="81">
        <v>529156</v>
      </c>
      <c r="H806" s="81">
        <v>177572</v>
      </c>
      <c r="I806" s="165" t="s">
        <v>240</v>
      </c>
      <c r="L806" s="166">
        <v>0</v>
      </c>
      <c r="M806" s="166">
        <v>422</v>
      </c>
      <c r="N806" s="166">
        <v>422</v>
      </c>
      <c r="O806" s="166">
        <v>422</v>
      </c>
      <c r="P806" s="166">
        <v>422</v>
      </c>
      <c r="Q806" s="81" t="s">
        <v>155</v>
      </c>
      <c r="R806" s="165" t="s">
        <v>4047</v>
      </c>
      <c r="S806" s="81" t="s">
        <v>509</v>
      </c>
      <c r="T806" s="349">
        <v>42755</v>
      </c>
      <c r="U806" s="349">
        <v>42900</v>
      </c>
      <c r="V806" s="81" t="s">
        <v>155</v>
      </c>
      <c r="W806" s="81" t="s">
        <v>114</v>
      </c>
      <c r="Y806" s="81" t="s">
        <v>115</v>
      </c>
      <c r="Z806" s="81" t="s">
        <v>116</v>
      </c>
      <c r="AA806" s="81" t="s">
        <v>116</v>
      </c>
      <c r="AB806" s="81" t="s">
        <v>117</v>
      </c>
      <c r="AC806" s="166">
        <v>0.56999999284744296</v>
      </c>
      <c r="AG806" s="81" t="s">
        <v>238</v>
      </c>
      <c r="AH806" s="81" t="s">
        <v>118</v>
      </c>
      <c r="AI806" s="81" t="s">
        <v>1983</v>
      </c>
      <c r="AK806" s="166">
        <v>422</v>
      </c>
      <c r="AM806" s="166">
        <v>42</v>
      </c>
      <c r="AO806" s="166">
        <v>20</v>
      </c>
      <c r="AP806" s="166">
        <v>64</v>
      </c>
      <c r="AQ806" s="166">
        <v>250</v>
      </c>
      <c r="AR806" s="166">
        <v>88</v>
      </c>
      <c r="AS806" s="166">
        <v>0</v>
      </c>
      <c r="AT806" s="166">
        <v>0</v>
      </c>
      <c r="AU806" s="166">
        <v>0</v>
      </c>
      <c r="AV806" s="166">
        <v>20</v>
      </c>
      <c r="AW806" s="166">
        <v>64</v>
      </c>
      <c r="AX806" s="166">
        <v>240</v>
      </c>
      <c r="AY806" s="166">
        <v>53</v>
      </c>
      <c r="AZ806" s="166">
        <v>0</v>
      </c>
      <c r="BA806" s="166">
        <v>0</v>
      </c>
      <c r="BB806" s="166">
        <v>0</v>
      </c>
      <c r="BC806" s="166">
        <v>0</v>
      </c>
      <c r="BD806" s="166">
        <v>0</v>
      </c>
      <c r="BE806" s="166">
        <v>10</v>
      </c>
      <c r="BF806" s="166">
        <v>35</v>
      </c>
      <c r="BG806" s="166">
        <v>0</v>
      </c>
      <c r="BH806" s="166">
        <v>0</v>
      </c>
      <c r="BI806" s="166">
        <v>0</v>
      </c>
      <c r="BJ806" s="166">
        <v>0</v>
      </c>
      <c r="BK806" s="166">
        <v>0</v>
      </c>
      <c r="BL806" s="166">
        <v>0</v>
      </c>
      <c r="BM806" s="166">
        <v>0</v>
      </c>
      <c r="BN806" s="166">
        <v>0</v>
      </c>
      <c r="BO806" s="166">
        <v>0</v>
      </c>
      <c r="BP806" s="166">
        <v>0</v>
      </c>
      <c r="BQ806" s="81" t="s">
        <v>1759</v>
      </c>
      <c r="BS806" s="81" t="s">
        <v>155</v>
      </c>
      <c r="BZ806" s="81" t="s">
        <v>155</v>
      </c>
      <c r="CA806" s="81">
        <v>12</v>
      </c>
      <c r="CC806" s="167">
        <v>0</v>
      </c>
      <c r="CD806" s="167">
        <v>0</v>
      </c>
      <c r="CE806" s="167">
        <v>0</v>
      </c>
      <c r="CF806" s="167">
        <v>0</v>
      </c>
      <c r="CG806" s="167">
        <v>0</v>
      </c>
      <c r="CH806" s="167">
        <v>0</v>
      </c>
      <c r="CI806" s="167">
        <v>0</v>
      </c>
      <c r="CJ806" s="167">
        <v>0</v>
      </c>
      <c r="CK806" s="167">
        <v>144</v>
      </c>
      <c r="CL806" s="167">
        <v>144</v>
      </c>
      <c r="CM806" s="167">
        <v>134</v>
      </c>
      <c r="CN806" s="167">
        <v>0</v>
      </c>
      <c r="CO806" s="167">
        <v>0</v>
      </c>
      <c r="CP806" s="167">
        <v>0</v>
      </c>
      <c r="CQ806" s="167">
        <v>0</v>
      </c>
      <c r="CR806" s="167">
        <v>0</v>
      </c>
      <c r="CS806" s="167">
        <v>0</v>
      </c>
      <c r="CT806" s="167">
        <v>0</v>
      </c>
      <c r="CU806" s="167">
        <v>0</v>
      </c>
      <c r="CV806" s="167">
        <v>0</v>
      </c>
      <c r="CW806" s="167">
        <v>0</v>
      </c>
      <c r="CX806" s="167">
        <v>0</v>
      </c>
      <c r="CY806" s="167">
        <v>422</v>
      </c>
    </row>
    <row r="807" spans="1:103" ht="12.75" customHeight="1" x14ac:dyDescent="0.2">
      <c r="A807" s="81">
        <v>4673</v>
      </c>
      <c r="B807" s="165" t="s">
        <v>1930</v>
      </c>
      <c r="C807" s="165" t="s">
        <v>1272</v>
      </c>
      <c r="E807" s="165" t="s">
        <v>2526</v>
      </c>
      <c r="G807" s="81">
        <v>521248</v>
      </c>
      <c r="H807" s="81">
        <v>174264</v>
      </c>
      <c r="I807" s="165" t="s">
        <v>877</v>
      </c>
      <c r="L807" s="166">
        <v>1</v>
      </c>
      <c r="M807" s="166">
        <v>1</v>
      </c>
      <c r="N807" s="166">
        <v>0</v>
      </c>
      <c r="O807" s="166">
        <v>1</v>
      </c>
      <c r="P807" s="166">
        <v>0</v>
      </c>
      <c r="R807" s="165" t="s">
        <v>1273</v>
      </c>
      <c r="S807" s="81" t="s">
        <v>113</v>
      </c>
      <c r="T807" s="349">
        <v>42515</v>
      </c>
      <c r="U807" s="349">
        <v>42571</v>
      </c>
      <c r="W807" s="81" t="s">
        <v>114</v>
      </c>
      <c r="Y807" s="81" t="s">
        <v>115</v>
      </c>
      <c r="Z807" s="81" t="s">
        <v>116</v>
      </c>
      <c r="AA807" s="81" t="s">
        <v>117</v>
      </c>
      <c r="AB807" s="81" t="s">
        <v>218</v>
      </c>
      <c r="AC807" s="166">
        <v>7.9999998211860698E-2</v>
      </c>
      <c r="AG807" s="81" t="s">
        <v>238</v>
      </c>
      <c r="AH807" s="81" t="s">
        <v>118</v>
      </c>
      <c r="AK807" s="166">
        <v>1</v>
      </c>
      <c r="AM807" s="166">
        <v>0</v>
      </c>
      <c r="AO807" s="166">
        <v>0</v>
      </c>
      <c r="AP807" s="166">
        <v>0</v>
      </c>
      <c r="AQ807" s="166">
        <v>0</v>
      </c>
      <c r="AR807" s="166">
        <v>0</v>
      </c>
      <c r="AS807" s="166">
        <v>-1</v>
      </c>
      <c r="AT807" s="166">
        <v>1</v>
      </c>
      <c r="AU807" s="166">
        <v>0</v>
      </c>
      <c r="AV807" s="166">
        <v>0</v>
      </c>
      <c r="AW807" s="166">
        <v>0</v>
      </c>
      <c r="AX807" s="166">
        <v>0</v>
      </c>
      <c r="AY807" s="166">
        <v>0</v>
      </c>
      <c r="AZ807" s="166">
        <v>0</v>
      </c>
      <c r="BA807" s="166">
        <v>0</v>
      </c>
      <c r="BB807" s="166">
        <v>0</v>
      </c>
      <c r="BC807" s="166">
        <v>0</v>
      </c>
      <c r="BD807" s="166">
        <v>0</v>
      </c>
      <c r="BE807" s="166">
        <v>0</v>
      </c>
      <c r="BF807" s="166">
        <v>0</v>
      </c>
      <c r="BG807" s="166">
        <v>-1</v>
      </c>
      <c r="BH807" s="166">
        <v>1</v>
      </c>
      <c r="BI807" s="166">
        <v>0</v>
      </c>
      <c r="BJ807" s="166">
        <v>0</v>
      </c>
      <c r="BK807" s="166">
        <v>0</v>
      </c>
      <c r="BL807" s="166">
        <v>0</v>
      </c>
      <c r="BM807" s="166">
        <v>0</v>
      </c>
      <c r="BN807" s="166">
        <v>0</v>
      </c>
      <c r="BO807" s="166">
        <v>0</v>
      </c>
      <c r="BP807" s="166">
        <v>0</v>
      </c>
      <c r="BQ807" s="81" t="s">
        <v>1758</v>
      </c>
      <c r="BZ807" s="81" t="s">
        <v>155</v>
      </c>
      <c r="CA807" s="81">
        <v>4</v>
      </c>
      <c r="CC807" s="167">
        <v>0</v>
      </c>
      <c r="CD807" s="167">
        <v>0</v>
      </c>
      <c r="CE807" s="167">
        <f>$N807/5</f>
        <v>0</v>
      </c>
      <c r="CF807" s="167">
        <f>$N807/5</f>
        <v>0</v>
      </c>
      <c r="CG807" s="167">
        <f>$N807/5</f>
        <v>0</v>
      </c>
      <c r="CH807" s="167">
        <f>$N807/5</f>
        <v>0</v>
      </c>
      <c r="CI807" s="167">
        <f>$N807/5</f>
        <v>0</v>
      </c>
      <c r="CJ807" s="167">
        <v>0</v>
      </c>
      <c r="CK807" s="167">
        <v>0</v>
      </c>
      <c r="CL807" s="167">
        <v>0</v>
      </c>
      <c r="CM807" s="167">
        <v>0</v>
      </c>
      <c r="CN807" s="167">
        <v>0</v>
      </c>
      <c r="CO807" s="167">
        <v>0</v>
      </c>
      <c r="CP807" s="167">
        <v>0</v>
      </c>
      <c r="CQ807" s="167">
        <v>0</v>
      </c>
      <c r="CR807" s="167">
        <v>0</v>
      </c>
      <c r="CS807" s="167">
        <v>0</v>
      </c>
      <c r="CT807" s="167">
        <v>0</v>
      </c>
      <c r="CU807" s="167">
        <v>0</v>
      </c>
      <c r="CV807" s="167">
        <v>0</v>
      </c>
      <c r="CW807" s="167">
        <v>0</v>
      </c>
      <c r="CX807" s="167">
        <f>SUM(CD807:CH807)</f>
        <v>0</v>
      </c>
      <c r="CY807" s="167">
        <f>SUM(CD807:CM807)</f>
        <v>0</v>
      </c>
    </row>
    <row r="808" spans="1:103" ht="12.75" customHeight="1" x14ac:dyDescent="0.2">
      <c r="A808" s="81">
        <v>4677</v>
      </c>
      <c r="B808" s="165" t="s">
        <v>1930</v>
      </c>
      <c r="C808" s="165" t="s">
        <v>2527</v>
      </c>
      <c r="E808" s="165" t="s">
        <v>2528</v>
      </c>
      <c r="G808" s="81">
        <v>527943</v>
      </c>
      <c r="H808" s="81">
        <v>170717</v>
      </c>
      <c r="I808" s="165" t="s">
        <v>253</v>
      </c>
      <c r="L808" s="166">
        <v>0</v>
      </c>
      <c r="M808" s="166">
        <v>1</v>
      </c>
      <c r="N808" s="166">
        <v>1</v>
      </c>
      <c r="O808" s="166">
        <v>1</v>
      </c>
      <c r="P808" s="166">
        <v>1</v>
      </c>
      <c r="R808" s="165" t="s">
        <v>2529</v>
      </c>
      <c r="S808" s="81" t="s">
        <v>113</v>
      </c>
      <c r="T808" s="349">
        <v>43019</v>
      </c>
      <c r="U808" s="349">
        <v>43075</v>
      </c>
      <c r="V808" s="81" t="s">
        <v>155</v>
      </c>
      <c r="W808" s="81" t="s">
        <v>114</v>
      </c>
      <c r="Y808" s="81" t="s">
        <v>115</v>
      </c>
      <c r="Z808" s="81" t="s">
        <v>116</v>
      </c>
      <c r="AA808" s="81" t="s">
        <v>117</v>
      </c>
      <c r="AB808" s="81" t="s">
        <v>218</v>
      </c>
      <c r="AC808" s="166">
        <v>4.0000001899898104E-3</v>
      </c>
      <c r="AG808" s="81" t="s">
        <v>238</v>
      </c>
      <c r="AH808" s="81" t="s">
        <v>118</v>
      </c>
      <c r="AK808" s="166">
        <v>0</v>
      </c>
      <c r="AM808" s="166">
        <v>0</v>
      </c>
      <c r="AO808" s="166">
        <v>1</v>
      </c>
      <c r="AP808" s="166">
        <v>0</v>
      </c>
      <c r="AQ808" s="166">
        <v>0</v>
      </c>
      <c r="AR808" s="166">
        <v>0</v>
      </c>
      <c r="AS808" s="166">
        <v>0</v>
      </c>
      <c r="AT808" s="166">
        <v>0</v>
      </c>
      <c r="AU808" s="166">
        <v>0</v>
      </c>
      <c r="AV808" s="166">
        <v>1</v>
      </c>
      <c r="AW808" s="166">
        <v>0</v>
      </c>
      <c r="AX808" s="166">
        <v>0</v>
      </c>
      <c r="AY808" s="166">
        <v>0</v>
      </c>
      <c r="AZ808" s="166">
        <v>0</v>
      </c>
      <c r="BA808" s="166">
        <v>0</v>
      </c>
      <c r="BB808" s="166">
        <v>0</v>
      </c>
      <c r="BC808" s="166">
        <v>0</v>
      </c>
      <c r="BD808" s="166">
        <v>0</v>
      </c>
      <c r="BE808" s="166">
        <v>0</v>
      </c>
      <c r="BF808" s="166">
        <v>0</v>
      </c>
      <c r="BG808" s="166">
        <v>0</v>
      </c>
      <c r="BH808" s="166">
        <v>0</v>
      </c>
      <c r="BI808" s="166">
        <v>0</v>
      </c>
      <c r="BJ808" s="166">
        <v>0</v>
      </c>
      <c r="BK808" s="166">
        <v>0</v>
      </c>
      <c r="BL808" s="166">
        <v>0</v>
      </c>
      <c r="BM808" s="166">
        <v>0</v>
      </c>
      <c r="BN808" s="166">
        <v>0</v>
      </c>
      <c r="BO808" s="166">
        <v>0</v>
      </c>
      <c r="BP808" s="166">
        <v>0</v>
      </c>
      <c r="BQ808" s="81" t="s">
        <v>1757</v>
      </c>
      <c r="BZ808" s="81" t="s">
        <v>155</v>
      </c>
      <c r="CA808" s="81">
        <v>4</v>
      </c>
      <c r="CC808" s="167">
        <v>0</v>
      </c>
      <c r="CD808" s="167">
        <v>0</v>
      </c>
      <c r="CE808" s="167">
        <f>$N808/5</f>
        <v>0.2</v>
      </c>
      <c r="CF808" s="167">
        <f>$N808/5</f>
        <v>0.2</v>
      </c>
      <c r="CG808" s="167">
        <f>$N808/5</f>
        <v>0.2</v>
      </c>
      <c r="CH808" s="167">
        <f>$N808/5</f>
        <v>0.2</v>
      </c>
      <c r="CI808" s="167">
        <f>$N808/5</f>
        <v>0.2</v>
      </c>
      <c r="CJ808" s="167">
        <v>0</v>
      </c>
      <c r="CK808" s="167">
        <v>0</v>
      </c>
      <c r="CL808" s="167">
        <v>0</v>
      </c>
      <c r="CM808" s="167">
        <v>0</v>
      </c>
      <c r="CN808" s="167">
        <v>0</v>
      </c>
      <c r="CO808" s="167">
        <v>0</v>
      </c>
      <c r="CP808" s="167">
        <v>0</v>
      </c>
      <c r="CQ808" s="167">
        <v>0</v>
      </c>
      <c r="CR808" s="167">
        <v>0</v>
      </c>
      <c r="CS808" s="167">
        <v>0</v>
      </c>
      <c r="CT808" s="167">
        <v>0</v>
      </c>
      <c r="CU808" s="167">
        <v>0</v>
      </c>
      <c r="CV808" s="167">
        <v>0</v>
      </c>
      <c r="CW808" s="167">
        <v>0</v>
      </c>
      <c r="CX808" s="167">
        <f>SUM(CD808:CH808)</f>
        <v>0.8</v>
      </c>
      <c r="CY808" s="167">
        <f>SUM(CD808:CM808)</f>
        <v>1</v>
      </c>
    </row>
    <row r="809" spans="1:103" ht="12.75" customHeight="1" x14ac:dyDescent="0.2">
      <c r="A809" s="81">
        <v>4704</v>
      </c>
      <c r="B809" s="165" t="s">
        <v>1930</v>
      </c>
      <c r="C809" s="165" t="s">
        <v>584</v>
      </c>
      <c r="E809" s="165" t="s">
        <v>2530</v>
      </c>
      <c r="G809" s="81">
        <v>527580</v>
      </c>
      <c r="H809" s="81">
        <v>171643</v>
      </c>
      <c r="I809" s="165" t="s">
        <v>253</v>
      </c>
      <c r="L809" s="166">
        <v>0</v>
      </c>
      <c r="M809" s="166">
        <v>2</v>
      </c>
      <c r="N809" s="166">
        <v>2</v>
      </c>
      <c r="O809" s="166">
        <v>2</v>
      </c>
      <c r="P809" s="166">
        <v>2</v>
      </c>
      <c r="R809" s="165" t="s">
        <v>1137</v>
      </c>
      <c r="S809" s="81" t="s">
        <v>113</v>
      </c>
      <c r="T809" s="349">
        <v>42177</v>
      </c>
      <c r="U809" s="349">
        <v>42233</v>
      </c>
      <c r="W809" s="81" t="s">
        <v>114</v>
      </c>
      <c r="Y809" s="81" t="s">
        <v>115</v>
      </c>
      <c r="Z809" s="81" t="s">
        <v>398</v>
      </c>
      <c r="AA809" s="81" t="s">
        <v>117</v>
      </c>
      <c r="AB809" s="81" t="s">
        <v>311</v>
      </c>
      <c r="AC809" s="166">
        <v>8.0000003799796104E-3</v>
      </c>
      <c r="AG809" s="81" t="s">
        <v>238</v>
      </c>
      <c r="AH809" s="81" t="s">
        <v>118</v>
      </c>
      <c r="AI809" s="81" t="s">
        <v>2448</v>
      </c>
      <c r="AK809" s="166">
        <v>0</v>
      </c>
      <c r="AM809" s="166">
        <v>0</v>
      </c>
      <c r="AO809" s="166">
        <v>0</v>
      </c>
      <c r="AP809" s="166">
        <v>0</v>
      </c>
      <c r="AQ809" s="166">
        <v>2</v>
      </c>
      <c r="AR809" s="166">
        <v>0</v>
      </c>
      <c r="AS809" s="166">
        <v>0</v>
      </c>
      <c r="AT809" s="166">
        <v>0</v>
      </c>
      <c r="AU809" s="166">
        <v>0</v>
      </c>
      <c r="AV809" s="166">
        <v>0</v>
      </c>
      <c r="AW809" s="166">
        <v>0</v>
      </c>
      <c r="AX809" s="166">
        <v>2</v>
      </c>
      <c r="AY809" s="166">
        <v>0</v>
      </c>
      <c r="AZ809" s="166">
        <v>0</v>
      </c>
      <c r="BA809" s="166">
        <v>0</v>
      </c>
      <c r="BB809" s="166">
        <v>0</v>
      </c>
      <c r="BC809" s="166">
        <v>0</v>
      </c>
      <c r="BD809" s="166">
        <v>0</v>
      </c>
      <c r="BE809" s="166">
        <v>0</v>
      </c>
      <c r="BF809" s="166">
        <v>0</v>
      </c>
      <c r="BG809" s="166">
        <v>0</v>
      </c>
      <c r="BH809" s="166">
        <v>0</v>
      </c>
      <c r="BI809" s="166">
        <v>0</v>
      </c>
      <c r="BJ809" s="166">
        <v>0</v>
      </c>
      <c r="BK809" s="166">
        <v>0</v>
      </c>
      <c r="BL809" s="166">
        <v>0</v>
      </c>
      <c r="BM809" s="166">
        <v>0</v>
      </c>
      <c r="BN809" s="166">
        <v>0</v>
      </c>
      <c r="BO809" s="166">
        <v>0</v>
      </c>
      <c r="BP809" s="166">
        <v>0</v>
      </c>
      <c r="BQ809" s="81" t="s">
        <v>1757</v>
      </c>
      <c r="BR809" s="81" t="s">
        <v>242</v>
      </c>
      <c r="BZ809" s="81" t="s">
        <v>155</v>
      </c>
      <c r="CA809" s="81" t="s">
        <v>1937</v>
      </c>
      <c r="CC809" s="167">
        <v>0</v>
      </c>
      <c r="CD809" s="167">
        <f>$N809/4</f>
        <v>0.5</v>
      </c>
      <c r="CE809" s="167">
        <f>$N809/4</f>
        <v>0.5</v>
      </c>
      <c r="CF809" s="167">
        <f>$N809/4</f>
        <v>0.5</v>
      </c>
      <c r="CG809" s="167">
        <f>$N809/4</f>
        <v>0.5</v>
      </c>
      <c r="CH809" s="167">
        <v>0</v>
      </c>
      <c r="CI809" s="167">
        <v>0</v>
      </c>
      <c r="CJ809" s="167">
        <v>0</v>
      </c>
      <c r="CK809" s="167">
        <v>0</v>
      </c>
      <c r="CL809" s="167">
        <v>0</v>
      </c>
      <c r="CM809" s="167">
        <v>0</v>
      </c>
      <c r="CN809" s="167">
        <v>0</v>
      </c>
      <c r="CO809" s="167">
        <v>0</v>
      </c>
      <c r="CP809" s="167">
        <v>0</v>
      </c>
      <c r="CQ809" s="167">
        <v>0</v>
      </c>
      <c r="CR809" s="167">
        <v>0</v>
      </c>
      <c r="CS809" s="167">
        <v>0</v>
      </c>
      <c r="CT809" s="167">
        <v>0</v>
      </c>
      <c r="CU809" s="167">
        <v>0</v>
      </c>
      <c r="CV809" s="167">
        <v>0</v>
      </c>
      <c r="CW809" s="167">
        <v>0</v>
      </c>
      <c r="CX809" s="167">
        <f>SUM(CD809:CH809)</f>
        <v>2</v>
      </c>
      <c r="CY809" s="167">
        <f>SUM(CD809:CM809)</f>
        <v>2</v>
      </c>
    </row>
    <row r="810" spans="1:103" ht="12.75" customHeight="1" x14ac:dyDescent="0.2">
      <c r="A810" s="81">
        <v>4855</v>
      </c>
      <c r="B810" s="165" t="s">
        <v>1930</v>
      </c>
      <c r="C810" s="165" t="s">
        <v>2531</v>
      </c>
      <c r="E810" s="165" t="s">
        <v>2532</v>
      </c>
      <c r="G810" s="81">
        <v>527775</v>
      </c>
      <c r="H810" s="81">
        <v>172038</v>
      </c>
      <c r="I810" s="165" t="s">
        <v>242</v>
      </c>
      <c r="L810" s="166">
        <v>2</v>
      </c>
      <c r="M810" s="166">
        <v>6</v>
      </c>
      <c r="N810" s="166">
        <v>4</v>
      </c>
      <c r="O810" s="166">
        <v>6</v>
      </c>
      <c r="P810" s="166">
        <v>4</v>
      </c>
      <c r="R810" s="165" t="s">
        <v>2533</v>
      </c>
      <c r="S810" s="81" t="s">
        <v>113</v>
      </c>
      <c r="T810" s="349">
        <v>42916</v>
      </c>
      <c r="U810" s="349">
        <v>43000</v>
      </c>
      <c r="V810" s="81" t="s">
        <v>155</v>
      </c>
      <c r="W810" s="81" t="s">
        <v>114</v>
      </c>
      <c r="Y810" s="81" t="s">
        <v>115</v>
      </c>
      <c r="Z810" s="81" t="s">
        <v>398</v>
      </c>
      <c r="AA810" s="81" t="s">
        <v>117</v>
      </c>
      <c r="AB810" s="81" t="s">
        <v>220</v>
      </c>
      <c r="AC810" s="166">
        <v>2.8000000864267301E-2</v>
      </c>
      <c r="AG810" s="81" t="s">
        <v>238</v>
      </c>
      <c r="AH810" s="81" t="s">
        <v>118</v>
      </c>
      <c r="AK810" s="166">
        <v>0</v>
      </c>
      <c r="AM810" s="166">
        <v>0</v>
      </c>
      <c r="AO810" s="166">
        <v>0</v>
      </c>
      <c r="AP810" s="166">
        <v>5</v>
      </c>
      <c r="AQ810" s="166">
        <v>1</v>
      </c>
      <c r="AR810" s="166">
        <v>-2</v>
      </c>
      <c r="AS810" s="166">
        <v>0</v>
      </c>
      <c r="AT810" s="166">
        <v>0</v>
      </c>
      <c r="AU810" s="166">
        <v>0</v>
      </c>
      <c r="AV810" s="166">
        <v>0</v>
      </c>
      <c r="AW810" s="166">
        <v>5</v>
      </c>
      <c r="AX810" s="166">
        <v>1</v>
      </c>
      <c r="AY810" s="166">
        <v>-2</v>
      </c>
      <c r="AZ810" s="166">
        <v>0</v>
      </c>
      <c r="BA810" s="166">
        <v>0</v>
      </c>
      <c r="BB810" s="166">
        <v>0</v>
      </c>
      <c r="BC810" s="166">
        <v>0</v>
      </c>
      <c r="BD810" s="166">
        <v>0</v>
      </c>
      <c r="BE810" s="166">
        <v>0</v>
      </c>
      <c r="BF810" s="166">
        <v>0</v>
      </c>
      <c r="BG810" s="166">
        <v>0</v>
      </c>
      <c r="BH810" s="166">
        <v>0</v>
      </c>
      <c r="BI810" s="166">
        <v>0</v>
      </c>
      <c r="BJ810" s="166">
        <v>0</v>
      </c>
      <c r="BK810" s="166">
        <v>0</v>
      </c>
      <c r="BL810" s="166">
        <v>0</v>
      </c>
      <c r="BM810" s="166">
        <v>0</v>
      </c>
      <c r="BN810" s="166">
        <v>0</v>
      </c>
      <c r="BO810" s="166">
        <v>0</v>
      </c>
      <c r="BP810" s="166">
        <v>0</v>
      </c>
      <c r="BQ810" s="81" t="s">
        <v>1757</v>
      </c>
      <c r="BZ810" s="81" t="s">
        <v>155</v>
      </c>
      <c r="CA810" s="81" t="s">
        <v>3972</v>
      </c>
      <c r="CC810" s="167">
        <v>0</v>
      </c>
      <c r="CD810" s="167">
        <f>$N810/4</f>
        <v>1</v>
      </c>
      <c r="CE810" s="167">
        <f>$N810/4</f>
        <v>1</v>
      </c>
      <c r="CF810" s="167">
        <f>$N810/4</f>
        <v>1</v>
      </c>
      <c r="CG810" s="167">
        <f>$N810/4</f>
        <v>1</v>
      </c>
      <c r="CH810" s="167">
        <v>0</v>
      </c>
      <c r="CI810" s="167">
        <v>0</v>
      </c>
      <c r="CJ810" s="167">
        <v>0</v>
      </c>
      <c r="CK810" s="167">
        <v>0</v>
      </c>
      <c r="CL810" s="167">
        <v>0</v>
      </c>
      <c r="CM810" s="167">
        <v>0</v>
      </c>
      <c r="CN810" s="167">
        <v>0</v>
      </c>
      <c r="CO810" s="167">
        <v>0</v>
      </c>
      <c r="CP810" s="167">
        <v>0</v>
      </c>
      <c r="CQ810" s="167">
        <v>0</v>
      </c>
      <c r="CR810" s="167">
        <v>0</v>
      </c>
      <c r="CS810" s="167">
        <v>0</v>
      </c>
      <c r="CT810" s="167">
        <v>0</v>
      </c>
      <c r="CU810" s="167">
        <v>0</v>
      </c>
      <c r="CV810" s="167">
        <v>0</v>
      </c>
      <c r="CW810" s="167">
        <v>0</v>
      </c>
      <c r="CX810" s="167">
        <f>SUM(CD810:CH810)</f>
        <v>4</v>
      </c>
      <c r="CY810" s="167">
        <f>SUM(CD810:CM810)</f>
        <v>4</v>
      </c>
    </row>
    <row r="811" spans="1:103" ht="12.75" customHeight="1" x14ac:dyDescent="0.2">
      <c r="A811" s="81">
        <v>4864</v>
      </c>
      <c r="B811" s="165" t="s">
        <v>1930</v>
      </c>
      <c r="C811" s="165" t="s">
        <v>2534</v>
      </c>
      <c r="E811" s="165" t="s">
        <v>2535</v>
      </c>
      <c r="G811" s="81">
        <v>527602</v>
      </c>
      <c r="H811" s="81">
        <v>175480</v>
      </c>
      <c r="I811" s="165" t="s">
        <v>256</v>
      </c>
      <c r="L811" s="166">
        <v>0</v>
      </c>
      <c r="M811" s="166">
        <v>4</v>
      </c>
      <c r="N811" s="166">
        <v>4</v>
      </c>
      <c r="O811" s="166">
        <v>4</v>
      </c>
      <c r="P811" s="166">
        <v>4</v>
      </c>
      <c r="R811" s="165" t="s">
        <v>2536</v>
      </c>
      <c r="S811" s="81" t="s">
        <v>110</v>
      </c>
      <c r="T811" s="349">
        <v>43026</v>
      </c>
      <c r="U811" s="349">
        <v>43075</v>
      </c>
      <c r="V811" s="81" t="s">
        <v>155</v>
      </c>
      <c r="W811" s="81" t="s">
        <v>114</v>
      </c>
      <c r="Y811" s="81" t="s">
        <v>115</v>
      </c>
      <c r="Z811" s="81" t="s">
        <v>310</v>
      </c>
      <c r="AA811" s="81" t="s">
        <v>117</v>
      </c>
      <c r="AB811" s="81" t="s">
        <v>399</v>
      </c>
      <c r="AC811" s="166">
        <v>1.09999999403954E-2</v>
      </c>
      <c r="AG811" s="81" t="s">
        <v>238</v>
      </c>
      <c r="AH811" s="81" t="s">
        <v>118</v>
      </c>
      <c r="AK811" s="166">
        <v>0</v>
      </c>
      <c r="AM811" s="166">
        <v>0</v>
      </c>
      <c r="AO811" s="166">
        <v>0</v>
      </c>
      <c r="AP811" s="166">
        <v>4</v>
      </c>
      <c r="AQ811" s="166">
        <v>0</v>
      </c>
      <c r="AR811" s="166">
        <v>0</v>
      </c>
      <c r="AS811" s="166">
        <v>0</v>
      </c>
      <c r="AT811" s="166">
        <v>0</v>
      </c>
      <c r="AU811" s="166">
        <v>0</v>
      </c>
      <c r="AV811" s="166">
        <v>0</v>
      </c>
      <c r="AW811" s="166">
        <v>4</v>
      </c>
      <c r="AX811" s="166">
        <v>0</v>
      </c>
      <c r="AY811" s="166">
        <v>0</v>
      </c>
      <c r="AZ811" s="166">
        <v>0</v>
      </c>
      <c r="BA811" s="166">
        <v>0</v>
      </c>
      <c r="BB811" s="166">
        <v>0</v>
      </c>
      <c r="BC811" s="166">
        <v>0</v>
      </c>
      <c r="BD811" s="166">
        <v>0</v>
      </c>
      <c r="BE811" s="166">
        <v>0</v>
      </c>
      <c r="BF811" s="166">
        <v>0</v>
      </c>
      <c r="BG811" s="166">
        <v>0</v>
      </c>
      <c r="BH811" s="166">
        <v>0</v>
      </c>
      <c r="BI811" s="166">
        <v>0</v>
      </c>
      <c r="BJ811" s="166">
        <v>0</v>
      </c>
      <c r="BK811" s="166">
        <v>0</v>
      </c>
      <c r="BL811" s="166">
        <v>0</v>
      </c>
      <c r="BM811" s="166">
        <v>0</v>
      </c>
      <c r="BN811" s="166">
        <v>0</v>
      </c>
      <c r="BO811" s="166">
        <v>0</v>
      </c>
      <c r="BP811" s="166">
        <v>0</v>
      </c>
      <c r="BQ811" s="81" t="s">
        <v>1757</v>
      </c>
      <c r="BR811" s="81" t="s">
        <v>160</v>
      </c>
      <c r="BZ811" s="81" t="s">
        <v>155</v>
      </c>
      <c r="CA811" s="81" t="s">
        <v>1937</v>
      </c>
      <c r="CC811" s="167">
        <v>0</v>
      </c>
      <c r="CD811" s="167">
        <f>$N811/4</f>
        <v>1</v>
      </c>
      <c r="CE811" s="167">
        <f>$N811/4</f>
        <v>1</v>
      </c>
      <c r="CF811" s="167">
        <f>$N811/4</f>
        <v>1</v>
      </c>
      <c r="CG811" s="167">
        <f>$N811/4</f>
        <v>1</v>
      </c>
      <c r="CH811" s="167">
        <v>0</v>
      </c>
      <c r="CI811" s="167">
        <v>0</v>
      </c>
      <c r="CJ811" s="167">
        <v>0</v>
      </c>
      <c r="CK811" s="167">
        <v>0</v>
      </c>
      <c r="CL811" s="167">
        <v>0</v>
      </c>
      <c r="CM811" s="167">
        <v>0</v>
      </c>
      <c r="CN811" s="167">
        <v>0</v>
      </c>
      <c r="CO811" s="167">
        <v>0</v>
      </c>
      <c r="CP811" s="167">
        <v>0</v>
      </c>
      <c r="CQ811" s="167">
        <v>0</v>
      </c>
      <c r="CR811" s="167">
        <v>0</v>
      </c>
      <c r="CS811" s="167">
        <v>0</v>
      </c>
      <c r="CT811" s="167">
        <v>0</v>
      </c>
      <c r="CU811" s="167">
        <v>0</v>
      </c>
      <c r="CV811" s="167">
        <v>0</v>
      </c>
      <c r="CW811" s="167">
        <v>0</v>
      </c>
      <c r="CX811" s="167">
        <f>SUM(CD811:CH811)</f>
        <v>4</v>
      </c>
      <c r="CY811" s="167">
        <f>SUM(CD811:CM811)</f>
        <v>4</v>
      </c>
    </row>
    <row r="812" spans="1:103" ht="12.75" customHeight="1" x14ac:dyDescent="0.2">
      <c r="A812" s="81">
        <v>4865</v>
      </c>
      <c r="B812" s="165" t="s">
        <v>1930</v>
      </c>
      <c r="C812" s="165" t="s">
        <v>1412</v>
      </c>
      <c r="E812" s="165" t="s">
        <v>2537</v>
      </c>
      <c r="G812" s="81">
        <v>523686</v>
      </c>
      <c r="H812" s="81">
        <v>173656</v>
      </c>
      <c r="I812" s="165" t="s">
        <v>111</v>
      </c>
      <c r="L812" s="166">
        <v>1</v>
      </c>
      <c r="M812" s="166">
        <v>2</v>
      </c>
      <c r="N812" s="166">
        <v>1</v>
      </c>
      <c r="O812" s="166">
        <v>2</v>
      </c>
      <c r="P812" s="166">
        <v>1</v>
      </c>
      <c r="R812" s="165" t="s">
        <v>1413</v>
      </c>
      <c r="S812" s="81" t="s">
        <v>113</v>
      </c>
      <c r="T812" s="349">
        <v>42626</v>
      </c>
      <c r="U812" s="349">
        <v>42682</v>
      </c>
      <c r="W812" s="81" t="s">
        <v>114</v>
      </c>
      <c r="Y812" s="81" t="s">
        <v>115</v>
      </c>
      <c r="Z812" s="81" t="s">
        <v>116</v>
      </c>
      <c r="AA812" s="81" t="s">
        <v>117</v>
      </c>
      <c r="AB812" s="81" t="s">
        <v>218</v>
      </c>
      <c r="AC812" s="166">
        <v>2.4000000208616298E-2</v>
      </c>
      <c r="AG812" s="81" t="s">
        <v>238</v>
      </c>
      <c r="AH812" s="81" t="s">
        <v>118</v>
      </c>
      <c r="AK812" s="166">
        <v>2</v>
      </c>
      <c r="AM812" s="166">
        <v>0</v>
      </c>
      <c r="AO812" s="166">
        <v>0</v>
      </c>
      <c r="AP812" s="166">
        <v>0</v>
      </c>
      <c r="AQ812" s="166">
        <v>-1</v>
      </c>
      <c r="AR812" s="166">
        <v>2</v>
      </c>
      <c r="AS812" s="166">
        <v>0</v>
      </c>
      <c r="AT812" s="166">
        <v>0</v>
      </c>
      <c r="AU812" s="166">
        <v>0</v>
      </c>
      <c r="AV812" s="166">
        <v>0</v>
      </c>
      <c r="AW812" s="166">
        <v>0</v>
      </c>
      <c r="AX812" s="166">
        <v>0</v>
      </c>
      <c r="AY812" s="166">
        <v>0</v>
      </c>
      <c r="AZ812" s="166">
        <v>0</v>
      </c>
      <c r="BA812" s="166">
        <v>0</v>
      </c>
      <c r="BB812" s="166">
        <v>0</v>
      </c>
      <c r="BC812" s="166">
        <v>0</v>
      </c>
      <c r="BD812" s="166">
        <v>0</v>
      </c>
      <c r="BE812" s="166">
        <v>-1</v>
      </c>
      <c r="BF812" s="166">
        <v>2</v>
      </c>
      <c r="BG812" s="166">
        <v>0</v>
      </c>
      <c r="BH812" s="166">
        <v>0</v>
      </c>
      <c r="BI812" s="166">
        <v>0</v>
      </c>
      <c r="BJ812" s="166">
        <v>0</v>
      </c>
      <c r="BK812" s="166">
        <v>0</v>
      </c>
      <c r="BL812" s="166">
        <v>0</v>
      </c>
      <c r="BM812" s="166">
        <v>0</v>
      </c>
      <c r="BN812" s="166">
        <v>0</v>
      </c>
      <c r="BO812" s="166">
        <v>0</v>
      </c>
      <c r="BP812" s="166">
        <v>0</v>
      </c>
      <c r="BQ812" s="81" t="s">
        <v>1758</v>
      </c>
      <c r="BZ812" s="81" t="s">
        <v>155</v>
      </c>
      <c r="CA812" s="81">
        <v>4</v>
      </c>
      <c r="CC812" s="167">
        <v>0</v>
      </c>
      <c r="CD812" s="167">
        <v>0</v>
      </c>
      <c r="CE812" s="167">
        <f>$N812/5</f>
        <v>0.2</v>
      </c>
      <c r="CF812" s="167">
        <f>$N812/5</f>
        <v>0.2</v>
      </c>
      <c r="CG812" s="167">
        <f>$N812/5</f>
        <v>0.2</v>
      </c>
      <c r="CH812" s="167">
        <f>$N812/5</f>
        <v>0.2</v>
      </c>
      <c r="CI812" s="167">
        <f>$N812/5</f>
        <v>0.2</v>
      </c>
      <c r="CJ812" s="167">
        <v>0</v>
      </c>
      <c r="CK812" s="167">
        <v>0</v>
      </c>
      <c r="CL812" s="167">
        <v>0</v>
      </c>
      <c r="CM812" s="167">
        <v>0</v>
      </c>
      <c r="CN812" s="167">
        <v>0</v>
      </c>
      <c r="CO812" s="167">
        <v>0</v>
      </c>
      <c r="CP812" s="167">
        <v>0</v>
      </c>
      <c r="CQ812" s="167">
        <v>0</v>
      </c>
      <c r="CR812" s="167">
        <v>0</v>
      </c>
      <c r="CS812" s="167">
        <v>0</v>
      </c>
      <c r="CT812" s="167">
        <v>0</v>
      </c>
      <c r="CU812" s="167">
        <v>0</v>
      </c>
      <c r="CV812" s="167">
        <v>0</v>
      </c>
      <c r="CW812" s="167">
        <v>0</v>
      </c>
      <c r="CX812" s="167">
        <f>SUM(CD812:CH812)</f>
        <v>0.8</v>
      </c>
      <c r="CY812" s="167">
        <f>SUM(CD812:CM812)</f>
        <v>1</v>
      </c>
    </row>
    <row r="813" spans="1:103" ht="12.75" customHeight="1" x14ac:dyDescent="0.2">
      <c r="A813" s="81">
        <v>4886</v>
      </c>
      <c r="B813" s="165" t="s">
        <v>1930</v>
      </c>
      <c r="C813" s="165" t="s">
        <v>576</v>
      </c>
      <c r="E813" s="165" t="s">
        <v>2538</v>
      </c>
      <c r="G813" s="81">
        <v>528185</v>
      </c>
      <c r="H813" s="81">
        <v>175700</v>
      </c>
      <c r="I813" s="165" t="s">
        <v>256</v>
      </c>
      <c r="L813" s="166">
        <v>0</v>
      </c>
      <c r="M813" s="166">
        <v>5</v>
      </c>
      <c r="N813" s="166">
        <v>5</v>
      </c>
      <c r="O813" s="166">
        <v>6</v>
      </c>
      <c r="P813" s="166">
        <v>6</v>
      </c>
      <c r="R813" s="165" t="s">
        <v>1134</v>
      </c>
      <c r="S813" s="81" t="s">
        <v>113</v>
      </c>
      <c r="T813" s="349">
        <v>42142</v>
      </c>
      <c r="U813" s="349">
        <v>42324</v>
      </c>
      <c r="W813" s="81" t="s">
        <v>114</v>
      </c>
      <c r="Y813" s="81" t="s">
        <v>115</v>
      </c>
      <c r="Z813" s="81" t="s">
        <v>398</v>
      </c>
      <c r="AA813" s="81" t="s">
        <v>117</v>
      </c>
      <c r="AB813" s="81" t="s">
        <v>218</v>
      </c>
      <c r="AC813" s="166">
        <v>6.0000000521540598E-3</v>
      </c>
      <c r="AG813" s="81" t="s">
        <v>238</v>
      </c>
      <c r="AH813" s="81" t="s">
        <v>118</v>
      </c>
      <c r="AK813" s="166">
        <v>0</v>
      </c>
      <c r="AM813" s="166">
        <v>0</v>
      </c>
      <c r="AO813" s="166">
        <v>0</v>
      </c>
      <c r="AP813" s="166">
        <v>1</v>
      </c>
      <c r="AQ813" s="166">
        <v>3</v>
      </c>
      <c r="AR813" s="166">
        <v>1</v>
      </c>
      <c r="AS813" s="166">
        <v>0</v>
      </c>
      <c r="AT813" s="166">
        <v>0</v>
      </c>
      <c r="AU813" s="166">
        <v>0</v>
      </c>
      <c r="AV813" s="166">
        <v>0</v>
      </c>
      <c r="AW813" s="166">
        <v>1</v>
      </c>
      <c r="AX813" s="166">
        <v>3</v>
      </c>
      <c r="AY813" s="166">
        <v>1</v>
      </c>
      <c r="AZ813" s="166">
        <v>0</v>
      </c>
      <c r="BA813" s="166">
        <v>0</v>
      </c>
      <c r="BB813" s="166">
        <v>0</v>
      </c>
      <c r="BC813" s="166">
        <v>0</v>
      </c>
      <c r="BD813" s="166">
        <v>0</v>
      </c>
      <c r="BE813" s="166">
        <v>0</v>
      </c>
      <c r="BF813" s="166">
        <v>0</v>
      </c>
      <c r="BG813" s="166">
        <v>0</v>
      </c>
      <c r="BH813" s="166">
        <v>0</v>
      </c>
      <c r="BI813" s="166">
        <v>0</v>
      </c>
      <c r="BJ813" s="166">
        <v>0</v>
      </c>
      <c r="BK813" s="166">
        <v>0</v>
      </c>
      <c r="BL813" s="166">
        <v>0</v>
      </c>
      <c r="BM813" s="166">
        <v>0</v>
      </c>
      <c r="BN813" s="166">
        <v>0</v>
      </c>
      <c r="BO813" s="166">
        <v>0</v>
      </c>
      <c r="BP813" s="166">
        <v>0</v>
      </c>
      <c r="BQ813" s="81" t="s">
        <v>1757</v>
      </c>
      <c r="BZ813" s="81" t="s">
        <v>155</v>
      </c>
      <c r="CA813" s="81" t="s">
        <v>3972</v>
      </c>
      <c r="CC813" s="167">
        <v>0</v>
      </c>
      <c r="CD813" s="167">
        <f>$N813/4</f>
        <v>1.25</v>
      </c>
      <c r="CE813" s="167">
        <f>$N813/4</f>
        <v>1.25</v>
      </c>
      <c r="CF813" s="167">
        <f>$N813/4</f>
        <v>1.25</v>
      </c>
      <c r="CG813" s="167">
        <f>$N813/4</f>
        <v>1.25</v>
      </c>
      <c r="CH813" s="167">
        <v>0</v>
      </c>
      <c r="CI813" s="167">
        <v>0</v>
      </c>
      <c r="CJ813" s="167">
        <v>0</v>
      </c>
      <c r="CK813" s="167">
        <v>0</v>
      </c>
      <c r="CL813" s="167">
        <v>0</v>
      </c>
      <c r="CM813" s="167">
        <v>0</v>
      </c>
      <c r="CN813" s="167">
        <v>0</v>
      </c>
      <c r="CO813" s="167">
        <v>0</v>
      </c>
      <c r="CP813" s="167">
        <v>0</v>
      </c>
      <c r="CQ813" s="167">
        <v>0</v>
      </c>
      <c r="CR813" s="167">
        <v>0</v>
      </c>
      <c r="CS813" s="167">
        <v>0</v>
      </c>
      <c r="CT813" s="167">
        <v>0</v>
      </c>
      <c r="CU813" s="167">
        <v>0</v>
      </c>
      <c r="CV813" s="167">
        <v>0</v>
      </c>
      <c r="CW813" s="167">
        <v>0</v>
      </c>
      <c r="CX813" s="167">
        <f>SUM(CD813:CH813)</f>
        <v>5</v>
      </c>
      <c r="CY813" s="167">
        <f>SUM(CD813:CM813)</f>
        <v>5</v>
      </c>
    </row>
    <row r="814" spans="1:103" ht="12.75" customHeight="1" x14ac:dyDescent="0.2">
      <c r="A814" s="81">
        <v>4886</v>
      </c>
      <c r="B814" s="165" t="s">
        <v>1930</v>
      </c>
      <c r="C814" s="165" t="s">
        <v>576</v>
      </c>
      <c r="E814" s="165" t="s">
        <v>2538</v>
      </c>
      <c r="G814" s="81">
        <v>528185</v>
      </c>
      <c r="H814" s="81">
        <v>175700</v>
      </c>
      <c r="I814" s="165" t="s">
        <v>256</v>
      </c>
      <c r="L814" s="166">
        <v>0</v>
      </c>
      <c r="M814" s="166">
        <v>1</v>
      </c>
      <c r="N814" s="166">
        <v>1</v>
      </c>
      <c r="O814" s="166">
        <v>6</v>
      </c>
      <c r="P814" s="166">
        <v>6</v>
      </c>
      <c r="R814" s="165" t="s">
        <v>1134</v>
      </c>
      <c r="S814" s="81" t="s">
        <v>113</v>
      </c>
      <c r="T814" s="349">
        <v>42142</v>
      </c>
      <c r="U814" s="349">
        <v>42324</v>
      </c>
      <c r="W814" s="81" t="s">
        <v>114</v>
      </c>
      <c r="Y814" s="81" t="s">
        <v>115</v>
      </c>
      <c r="Z814" s="81" t="s">
        <v>398</v>
      </c>
      <c r="AA814" s="81" t="s">
        <v>117</v>
      </c>
      <c r="AB814" s="81" t="s">
        <v>311</v>
      </c>
      <c r="AC814" s="166">
        <v>2.0000000949949E-3</v>
      </c>
      <c r="AG814" s="81" t="s">
        <v>238</v>
      </c>
      <c r="AH814" s="81" t="s">
        <v>118</v>
      </c>
      <c r="AK814" s="166">
        <v>0</v>
      </c>
      <c r="AM814" s="166">
        <v>0</v>
      </c>
      <c r="AO814" s="166">
        <v>0</v>
      </c>
      <c r="AP814" s="166">
        <v>0</v>
      </c>
      <c r="AQ814" s="166">
        <v>0</v>
      </c>
      <c r="AR814" s="166">
        <v>1</v>
      </c>
      <c r="AS814" s="166">
        <v>0</v>
      </c>
      <c r="AT814" s="166">
        <v>0</v>
      </c>
      <c r="AU814" s="166">
        <v>0</v>
      </c>
      <c r="AV814" s="166">
        <v>0</v>
      </c>
      <c r="AW814" s="166">
        <v>0</v>
      </c>
      <c r="AX814" s="166">
        <v>0</v>
      </c>
      <c r="AY814" s="166">
        <v>0</v>
      </c>
      <c r="AZ814" s="166">
        <v>0</v>
      </c>
      <c r="BA814" s="166">
        <v>0</v>
      </c>
      <c r="BB814" s="166">
        <v>0</v>
      </c>
      <c r="BC814" s="166">
        <v>0</v>
      </c>
      <c r="BD814" s="166">
        <v>0</v>
      </c>
      <c r="BE814" s="166">
        <v>0</v>
      </c>
      <c r="BF814" s="166">
        <v>1</v>
      </c>
      <c r="BG814" s="166">
        <v>0</v>
      </c>
      <c r="BH814" s="166">
        <v>0</v>
      </c>
      <c r="BI814" s="166">
        <v>0</v>
      </c>
      <c r="BJ814" s="166">
        <v>0</v>
      </c>
      <c r="BK814" s="166">
        <v>0</v>
      </c>
      <c r="BL814" s="166">
        <v>0</v>
      </c>
      <c r="BM814" s="166">
        <v>0</v>
      </c>
      <c r="BN814" s="166">
        <v>0</v>
      </c>
      <c r="BO814" s="166">
        <v>0</v>
      </c>
      <c r="BP814" s="166">
        <v>0</v>
      </c>
      <c r="BQ814" s="81" t="s">
        <v>1757</v>
      </c>
      <c r="BZ814" s="81" t="s">
        <v>155</v>
      </c>
      <c r="CA814" s="81" t="s">
        <v>3972</v>
      </c>
      <c r="CC814" s="167">
        <v>0</v>
      </c>
      <c r="CD814" s="167">
        <f>$N814/4</f>
        <v>0.25</v>
      </c>
      <c r="CE814" s="167">
        <f>$N814/4</f>
        <v>0.25</v>
      </c>
      <c r="CF814" s="167">
        <f>$N814/4</f>
        <v>0.25</v>
      </c>
      <c r="CG814" s="167">
        <f>$N814/4</f>
        <v>0.25</v>
      </c>
      <c r="CH814" s="167">
        <v>0</v>
      </c>
      <c r="CI814" s="167">
        <v>0</v>
      </c>
      <c r="CJ814" s="167">
        <v>0</v>
      </c>
      <c r="CK814" s="167">
        <v>0</v>
      </c>
      <c r="CL814" s="167">
        <v>0</v>
      </c>
      <c r="CM814" s="167">
        <v>0</v>
      </c>
      <c r="CN814" s="167">
        <v>0</v>
      </c>
      <c r="CO814" s="167">
        <v>0</v>
      </c>
      <c r="CP814" s="167">
        <v>0</v>
      </c>
      <c r="CQ814" s="167">
        <v>0</v>
      </c>
      <c r="CR814" s="167">
        <v>0</v>
      </c>
      <c r="CS814" s="167">
        <v>0</v>
      </c>
      <c r="CT814" s="167">
        <v>0</v>
      </c>
      <c r="CU814" s="167">
        <v>0</v>
      </c>
      <c r="CV814" s="167">
        <v>0</v>
      </c>
      <c r="CW814" s="167">
        <v>0</v>
      </c>
      <c r="CX814" s="167">
        <f>SUM(CD814:CH814)</f>
        <v>1</v>
      </c>
      <c r="CY814" s="167">
        <f>SUM(CD814:CM814)</f>
        <v>1</v>
      </c>
    </row>
    <row r="815" spans="1:103" ht="12.75" customHeight="1" x14ac:dyDescent="0.2">
      <c r="A815" s="81">
        <v>4936</v>
      </c>
      <c r="B815" s="165" t="s">
        <v>1930</v>
      </c>
      <c r="C815" s="165" t="s">
        <v>1248</v>
      </c>
      <c r="D815" s="165" t="s">
        <v>876</v>
      </c>
      <c r="E815" s="165" t="s">
        <v>2539</v>
      </c>
      <c r="G815" s="81">
        <v>526431</v>
      </c>
      <c r="H815" s="81">
        <v>175730</v>
      </c>
      <c r="I815" s="165" t="s">
        <v>257</v>
      </c>
      <c r="L815" s="166">
        <v>0</v>
      </c>
      <c r="M815" s="166">
        <v>2</v>
      </c>
      <c r="N815" s="166">
        <v>2</v>
      </c>
      <c r="O815" s="166">
        <v>2</v>
      </c>
      <c r="P815" s="166">
        <v>2</v>
      </c>
      <c r="R815" s="165" t="s">
        <v>1249</v>
      </c>
      <c r="S815" s="81" t="s">
        <v>270</v>
      </c>
      <c r="T815" s="349">
        <v>42493</v>
      </c>
      <c r="U815" s="349">
        <v>42549</v>
      </c>
      <c r="W815" s="81" t="s">
        <v>114</v>
      </c>
      <c r="Y815" s="81" t="s">
        <v>115</v>
      </c>
      <c r="Z815" s="81" t="s">
        <v>310</v>
      </c>
      <c r="AA815" s="81" t="s">
        <v>117</v>
      </c>
      <c r="AB815" s="81" t="s">
        <v>399</v>
      </c>
      <c r="AC815" s="166">
        <v>4.0000001899898104E-3</v>
      </c>
      <c r="AG815" s="81" t="s">
        <v>238</v>
      </c>
      <c r="AH815" s="81" t="s">
        <v>118</v>
      </c>
      <c r="AI815" s="81" t="s">
        <v>1939</v>
      </c>
      <c r="AK815" s="166">
        <v>0</v>
      </c>
      <c r="AM815" s="166">
        <v>0</v>
      </c>
      <c r="AO815" s="166">
        <v>0</v>
      </c>
      <c r="AP815" s="166">
        <v>0</v>
      </c>
      <c r="AQ815" s="166">
        <v>2</v>
      </c>
      <c r="AR815" s="166">
        <v>0</v>
      </c>
      <c r="AS815" s="166">
        <v>0</v>
      </c>
      <c r="AT815" s="166">
        <v>0</v>
      </c>
      <c r="AU815" s="166">
        <v>0</v>
      </c>
      <c r="AV815" s="166">
        <v>0</v>
      </c>
      <c r="AW815" s="166">
        <v>0</v>
      </c>
      <c r="AX815" s="166">
        <v>2</v>
      </c>
      <c r="AY815" s="166">
        <v>0</v>
      </c>
      <c r="AZ815" s="166">
        <v>0</v>
      </c>
      <c r="BA815" s="166">
        <v>0</v>
      </c>
      <c r="BB815" s="166">
        <v>0</v>
      </c>
      <c r="BC815" s="166">
        <v>0</v>
      </c>
      <c r="BD815" s="166">
        <v>0</v>
      </c>
      <c r="BE815" s="166">
        <v>0</v>
      </c>
      <c r="BF815" s="166">
        <v>0</v>
      </c>
      <c r="BG815" s="166">
        <v>0</v>
      </c>
      <c r="BH815" s="166">
        <v>0</v>
      </c>
      <c r="BI815" s="166">
        <v>0</v>
      </c>
      <c r="BJ815" s="166">
        <v>0</v>
      </c>
      <c r="BK815" s="166">
        <v>0</v>
      </c>
      <c r="BL815" s="166">
        <v>0</v>
      </c>
      <c r="BM815" s="166">
        <v>0</v>
      </c>
      <c r="BN815" s="166">
        <v>0</v>
      </c>
      <c r="BO815" s="166">
        <v>0</v>
      </c>
      <c r="BP815" s="166">
        <v>0</v>
      </c>
      <c r="BQ815" s="81" t="s">
        <v>1757</v>
      </c>
      <c r="BX815" s="81" t="s">
        <v>155</v>
      </c>
      <c r="BZ815" s="81" t="s">
        <v>155</v>
      </c>
      <c r="CA815" s="81" t="s">
        <v>3972</v>
      </c>
      <c r="CC815" s="167">
        <v>0</v>
      </c>
      <c r="CD815" s="167">
        <f>$N815/4</f>
        <v>0.5</v>
      </c>
      <c r="CE815" s="167">
        <f>$N815/4</f>
        <v>0.5</v>
      </c>
      <c r="CF815" s="167">
        <f>$N815/4</f>
        <v>0.5</v>
      </c>
      <c r="CG815" s="167">
        <f>$N815/4</f>
        <v>0.5</v>
      </c>
      <c r="CH815" s="167">
        <v>0</v>
      </c>
      <c r="CI815" s="167">
        <v>0</v>
      </c>
      <c r="CJ815" s="167">
        <v>0</v>
      </c>
      <c r="CK815" s="167">
        <v>0</v>
      </c>
      <c r="CL815" s="167">
        <v>0</v>
      </c>
      <c r="CM815" s="167">
        <v>0</v>
      </c>
      <c r="CN815" s="167">
        <v>0</v>
      </c>
      <c r="CO815" s="167">
        <v>0</v>
      </c>
      <c r="CP815" s="167">
        <v>0</v>
      </c>
      <c r="CQ815" s="167">
        <v>0</v>
      </c>
      <c r="CR815" s="167">
        <v>0</v>
      </c>
      <c r="CS815" s="167">
        <v>0</v>
      </c>
      <c r="CT815" s="167">
        <v>0</v>
      </c>
      <c r="CU815" s="167">
        <v>0</v>
      </c>
      <c r="CV815" s="167">
        <v>0</v>
      </c>
      <c r="CW815" s="167">
        <v>0</v>
      </c>
      <c r="CX815" s="167">
        <f>SUM(CD815:CH815)</f>
        <v>2</v>
      </c>
      <c r="CY815" s="167">
        <f>SUM(CD815:CM815)</f>
        <v>2</v>
      </c>
    </row>
    <row r="816" spans="1:103" ht="12.75" customHeight="1" x14ac:dyDescent="0.2">
      <c r="A816" s="81">
        <v>4936</v>
      </c>
      <c r="B816" s="165" t="s">
        <v>1930</v>
      </c>
      <c r="C816" s="165" t="s">
        <v>1301</v>
      </c>
      <c r="D816" s="165" t="s">
        <v>876</v>
      </c>
      <c r="E816" s="165" t="s">
        <v>2539</v>
      </c>
      <c r="G816" s="81">
        <v>526431</v>
      </c>
      <c r="H816" s="81">
        <v>175730</v>
      </c>
      <c r="I816" s="165" t="s">
        <v>257</v>
      </c>
      <c r="L816" s="166">
        <v>0</v>
      </c>
      <c r="M816" s="166">
        <v>4</v>
      </c>
      <c r="N816" s="166">
        <v>4</v>
      </c>
      <c r="O816" s="166">
        <v>4</v>
      </c>
      <c r="P816" s="166">
        <v>4</v>
      </c>
      <c r="R816" s="165" t="s">
        <v>1302</v>
      </c>
      <c r="S816" s="81" t="s">
        <v>270</v>
      </c>
      <c r="T816" s="349">
        <v>42536</v>
      </c>
      <c r="U816" s="349">
        <v>42592</v>
      </c>
      <c r="W816" s="81" t="s">
        <v>114</v>
      </c>
      <c r="Y816" s="81" t="s">
        <v>115</v>
      </c>
      <c r="Z816" s="81" t="s">
        <v>310</v>
      </c>
      <c r="AA816" s="81" t="s">
        <v>117</v>
      </c>
      <c r="AB816" s="81" t="s">
        <v>399</v>
      </c>
      <c r="AC816" s="166">
        <v>8.9999996125698107E-3</v>
      </c>
      <c r="AG816" s="81" t="s">
        <v>238</v>
      </c>
      <c r="AH816" s="81" t="s">
        <v>118</v>
      </c>
      <c r="AI816" s="81" t="s">
        <v>1939</v>
      </c>
      <c r="AK816" s="166">
        <v>0</v>
      </c>
      <c r="AM816" s="166">
        <v>0</v>
      </c>
      <c r="AO816" s="166">
        <v>0</v>
      </c>
      <c r="AP816" s="166">
        <v>0</v>
      </c>
      <c r="AQ816" s="166">
        <v>4</v>
      </c>
      <c r="AR816" s="166">
        <v>0</v>
      </c>
      <c r="AS816" s="166">
        <v>0</v>
      </c>
      <c r="AT816" s="166">
        <v>0</v>
      </c>
      <c r="AU816" s="166">
        <v>0</v>
      </c>
      <c r="AV816" s="166">
        <v>0</v>
      </c>
      <c r="AW816" s="166">
        <v>0</v>
      </c>
      <c r="AX816" s="166">
        <v>4</v>
      </c>
      <c r="AY816" s="166">
        <v>0</v>
      </c>
      <c r="AZ816" s="166">
        <v>0</v>
      </c>
      <c r="BA816" s="166">
        <v>0</v>
      </c>
      <c r="BB816" s="166">
        <v>0</v>
      </c>
      <c r="BC816" s="166">
        <v>0</v>
      </c>
      <c r="BD816" s="166">
        <v>0</v>
      </c>
      <c r="BE816" s="166">
        <v>0</v>
      </c>
      <c r="BF816" s="166">
        <v>0</v>
      </c>
      <c r="BG816" s="166">
        <v>0</v>
      </c>
      <c r="BH816" s="166">
        <v>0</v>
      </c>
      <c r="BI816" s="166">
        <v>0</v>
      </c>
      <c r="BJ816" s="166">
        <v>0</v>
      </c>
      <c r="BK816" s="166">
        <v>0</v>
      </c>
      <c r="BL816" s="166">
        <v>0</v>
      </c>
      <c r="BM816" s="166">
        <v>0</v>
      </c>
      <c r="BN816" s="166">
        <v>0</v>
      </c>
      <c r="BO816" s="166">
        <v>0</v>
      </c>
      <c r="BP816" s="166">
        <v>0</v>
      </c>
      <c r="BQ816" s="81" t="s">
        <v>1757</v>
      </c>
      <c r="BX816" s="81" t="s">
        <v>155</v>
      </c>
      <c r="BZ816" s="81" t="s">
        <v>155</v>
      </c>
      <c r="CA816" s="81" t="s">
        <v>3972</v>
      </c>
      <c r="CC816" s="167">
        <v>0</v>
      </c>
      <c r="CD816" s="167">
        <f>$N816/4</f>
        <v>1</v>
      </c>
      <c r="CE816" s="167">
        <f>$N816/4</f>
        <v>1</v>
      </c>
      <c r="CF816" s="167">
        <f>$N816/4</f>
        <v>1</v>
      </c>
      <c r="CG816" s="167">
        <f>$N816/4</f>
        <v>1</v>
      </c>
      <c r="CH816" s="167">
        <v>0</v>
      </c>
      <c r="CI816" s="167">
        <v>0</v>
      </c>
      <c r="CJ816" s="167">
        <v>0</v>
      </c>
      <c r="CK816" s="167">
        <v>0</v>
      </c>
      <c r="CL816" s="167">
        <v>0</v>
      </c>
      <c r="CM816" s="167">
        <v>0</v>
      </c>
      <c r="CN816" s="167">
        <v>0</v>
      </c>
      <c r="CO816" s="167">
        <v>0</v>
      </c>
      <c r="CP816" s="167">
        <v>0</v>
      </c>
      <c r="CQ816" s="167">
        <v>0</v>
      </c>
      <c r="CR816" s="167">
        <v>0</v>
      </c>
      <c r="CS816" s="167">
        <v>0</v>
      </c>
      <c r="CT816" s="167">
        <v>0</v>
      </c>
      <c r="CU816" s="167">
        <v>0</v>
      </c>
      <c r="CV816" s="167">
        <v>0</v>
      </c>
      <c r="CW816" s="167">
        <v>0</v>
      </c>
      <c r="CX816" s="167">
        <f>SUM(CD816:CH816)</f>
        <v>4</v>
      </c>
      <c r="CY816" s="167">
        <f>SUM(CD816:CM816)</f>
        <v>4</v>
      </c>
    </row>
    <row r="817" spans="1:103" ht="12.75" customHeight="1" x14ac:dyDescent="0.2">
      <c r="A817" s="81">
        <v>4936</v>
      </c>
      <c r="B817" s="165" t="s">
        <v>1930</v>
      </c>
      <c r="C817" s="165" t="s">
        <v>1339</v>
      </c>
      <c r="D817" s="165" t="s">
        <v>876</v>
      </c>
      <c r="E817" s="165" t="s">
        <v>2539</v>
      </c>
      <c r="G817" s="81">
        <v>526431</v>
      </c>
      <c r="H817" s="81">
        <v>175730</v>
      </c>
      <c r="I817" s="165" t="s">
        <v>257</v>
      </c>
      <c r="L817" s="166">
        <v>0</v>
      </c>
      <c r="M817" s="166">
        <v>2</v>
      </c>
      <c r="N817" s="166">
        <v>2</v>
      </c>
      <c r="O817" s="166">
        <v>2</v>
      </c>
      <c r="P817" s="166">
        <v>2</v>
      </c>
      <c r="R817" s="165" t="s">
        <v>1340</v>
      </c>
      <c r="S817" s="81" t="s">
        <v>270</v>
      </c>
      <c r="T817" s="349">
        <v>42551</v>
      </c>
      <c r="U817" s="349">
        <v>42607</v>
      </c>
      <c r="W817" s="81" t="s">
        <v>114</v>
      </c>
      <c r="Y817" s="81" t="s">
        <v>115</v>
      </c>
      <c r="Z817" s="81" t="s">
        <v>310</v>
      </c>
      <c r="AA817" s="81" t="s">
        <v>117</v>
      </c>
      <c r="AB817" s="81" t="s">
        <v>399</v>
      </c>
      <c r="AC817" s="166">
        <v>6.0000000521540598E-3</v>
      </c>
      <c r="AG817" s="81" t="s">
        <v>238</v>
      </c>
      <c r="AH817" s="81" t="s">
        <v>118</v>
      </c>
      <c r="AI817" s="81" t="s">
        <v>1939</v>
      </c>
      <c r="AK817" s="166">
        <v>0</v>
      </c>
      <c r="AM817" s="166">
        <v>0</v>
      </c>
      <c r="AO817" s="166">
        <v>0</v>
      </c>
      <c r="AP817" s="166">
        <v>0</v>
      </c>
      <c r="AQ817" s="166">
        <v>2</v>
      </c>
      <c r="AR817" s="166">
        <v>0</v>
      </c>
      <c r="AS817" s="166">
        <v>0</v>
      </c>
      <c r="AT817" s="166">
        <v>0</v>
      </c>
      <c r="AU817" s="166">
        <v>0</v>
      </c>
      <c r="AV817" s="166">
        <v>0</v>
      </c>
      <c r="AW817" s="166">
        <v>0</v>
      </c>
      <c r="AX817" s="166">
        <v>2</v>
      </c>
      <c r="AY817" s="166">
        <v>0</v>
      </c>
      <c r="AZ817" s="166">
        <v>0</v>
      </c>
      <c r="BA817" s="166">
        <v>0</v>
      </c>
      <c r="BB817" s="166">
        <v>0</v>
      </c>
      <c r="BC817" s="166">
        <v>0</v>
      </c>
      <c r="BD817" s="166">
        <v>0</v>
      </c>
      <c r="BE817" s="166">
        <v>0</v>
      </c>
      <c r="BF817" s="166">
        <v>0</v>
      </c>
      <c r="BG817" s="166">
        <v>0</v>
      </c>
      <c r="BH817" s="166">
        <v>0</v>
      </c>
      <c r="BI817" s="166">
        <v>0</v>
      </c>
      <c r="BJ817" s="166">
        <v>0</v>
      </c>
      <c r="BK817" s="166">
        <v>0</v>
      </c>
      <c r="BL817" s="166">
        <v>0</v>
      </c>
      <c r="BM817" s="166">
        <v>0</v>
      </c>
      <c r="BN817" s="166">
        <v>0</v>
      </c>
      <c r="BO817" s="166">
        <v>0</v>
      </c>
      <c r="BP817" s="166">
        <v>0</v>
      </c>
      <c r="BQ817" s="81" t="s">
        <v>1757</v>
      </c>
      <c r="BX817" s="81" t="s">
        <v>155</v>
      </c>
      <c r="BZ817" s="81" t="s">
        <v>155</v>
      </c>
      <c r="CA817" s="81" t="s">
        <v>3972</v>
      </c>
      <c r="CC817" s="167">
        <v>0</v>
      </c>
      <c r="CD817" s="167">
        <f>$N817/4</f>
        <v>0.5</v>
      </c>
      <c r="CE817" s="167">
        <f>$N817/4</f>
        <v>0.5</v>
      </c>
      <c r="CF817" s="167">
        <f>$N817/4</f>
        <v>0.5</v>
      </c>
      <c r="CG817" s="167">
        <f>$N817/4</f>
        <v>0.5</v>
      </c>
      <c r="CH817" s="167">
        <v>0</v>
      </c>
      <c r="CI817" s="167">
        <v>0</v>
      </c>
      <c r="CJ817" s="167">
        <v>0</v>
      </c>
      <c r="CK817" s="167">
        <v>0</v>
      </c>
      <c r="CL817" s="167">
        <v>0</v>
      </c>
      <c r="CM817" s="167">
        <v>0</v>
      </c>
      <c r="CN817" s="167">
        <v>0</v>
      </c>
      <c r="CO817" s="167">
        <v>0</v>
      </c>
      <c r="CP817" s="167">
        <v>0</v>
      </c>
      <c r="CQ817" s="167">
        <v>0</v>
      </c>
      <c r="CR817" s="167">
        <v>0</v>
      </c>
      <c r="CS817" s="167">
        <v>0</v>
      </c>
      <c r="CT817" s="167">
        <v>0</v>
      </c>
      <c r="CU817" s="167">
        <v>0</v>
      </c>
      <c r="CV817" s="167">
        <v>0</v>
      </c>
      <c r="CW817" s="167">
        <v>0</v>
      </c>
      <c r="CX817" s="167">
        <f>SUM(CD817:CH817)</f>
        <v>2</v>
      </c>
      <c r="CY817" s="167">
        <f>SUM(CD817:CM817)</f>
        <v>2</v>
      </c>
    </row>
    <row r="818" spans="1:103" ht="12.75" customHeight="1" x14ac:dyDescent="0.2">
      <c r="A818" s="81">
        <v>4944</v>
      </c>
      <c r="B818" s="165" t="s">
        <v>1930</v>
      </c>
      <c r="C818" s="165" t="s">
        <v>601</v>
      </c>
      <c r="E818" s="165" t="s">
        <v>2540</v>
      </c>
      <c r="G818" s="81">
        <v>528817</v>
      </c>
      <c r="H818" s="81">
        <v>173818</v>
      </c>
      <c r="I818" s="165" t="s">
        <v>247</v>
      </c>
      <c r="L818" s="166">
        <v>1</v>
      </c>
      <c r="M818" s="166">
        <v>1</v>
      </c>
      <c r="N818" s="166">
        <v>0</v>
      </c>
      <c r="O818" s="166">
        <v>1</v>
      </c>
      <c r="P818" s="166">
        <v>0</v>
      </c>
      <c r="R818" s="165" t="s">
        <v>602</v>
      </c>
      <c r="S818" s="81" t="s">
        <v>113</v>
      </c>
      <c r="T818" s="349">
        <v>42184</v>
      </c>
      <c r="U818" s="349">
        <v>42240</v>
      </c>
      <c r="W818" s="81" t="s">
        <v>114</v>
      </c>
      <c r="Y818" s="81" t="s">
        <v>115</v>
      </c>
      <c r="Z818" s="81" t="s">
        <v>310</v>
      </c>
      <c r="AA818" s="81" t="s">
        <v>117</v>
      </c>
      <c r="AB818" s="81" t="s">
        <v>102</v>
      </c>
      <c r="AC818" s="166">
        <v>4.0000001899898104E-3</v>
      </c>
      <c r="AG818" s="81" t="s">
        <v>238</v>
      </c>
      <c r="AH818" s="81" t="s">
        <v>118</v>
      </c>
      <c r="AK818" s="166">
        <v>0</v>
      </c>
      <c r="AM818" s="166">
        <v>0</v>
      </c>
      <c r="AO818" s="166">
        <v>0</v>
      </c>
      <c r="AP818" s="166">
        <v>-1</v>
      </c>
      <c r="AQ818" s="166">
        <v>1</v>
      </c>
      <c r="AR818" s="166">
        <v>0</v>
      </c>
      <c r="AS818" s="166">
        <v>0</v>
      </c>
      <c r="AT818" s="166">
        <v>0</v>
      </c>
      <c r="AU818" s="166">
        <v>0</v>
      </c>
      <c r="AV818" s="166">
        <v>0</v>
      </c>
      <c r="AW818" s="166">
        <v>-1</v>
      </c>
      <c r="AX818" s="166">
        <v>0</v>
      </c>
      <c r="AY818" s="166">
        <v>0</v>
      </c>
      <c r="AZ818" s="166">
        <v>0</v>
      </c>
      <c r="BA818" s="166">
        <v>0</v>
      </c>
      <c r="BB818" s="166">
        <v>0</v>
      </c>
      <c r="BC818" s="166">
        <v>0</v>
      </c>
      <c r="BD818" s="166">
        <v>0</v>
      </c>
      <c r="BE818" s="166">
        <v>1</v>
      </c>
      <c r="BF818" s="166">
        <v>0</v>
      </c>
      <c r="BG818" s="166">
        <v>0</v>
      </c>
      <c r="BH818" s="166">
        <v>0</v>
      </c>
      <c r="BI818" s="166">
        <v>0</v>
      </c>
      <c r="BJ818" s="166">
        <v>0</v>
      </c>
      <c r="BK818" s="166">
        <v>0</v>
      </c>
      <c r="BL818" s="166">
        <v>0</v>
      </c>
      <c r="BM818" s="166">
        <v>0</v>
      </c>
      <c r="BN818" s="166">
        <v>0</v>
      </c>
      <c r="BO818" s="166">
        <v>0</v>
      </c>
      <c r="BP818" s="166">
        <v>0</v>
      </c>
      <c r="BQ818" s="81" t="s">
        <v>1757</v>
      </c>
      <c r="BZ818" s="81" t="s">
        <v>155</v>
      </c>
      <c r="CA818" s="81" t="s">
        <v>1937</v>
      </c>
      <c r="CC818" s="167">
        <v>0</v>
      </c>
      <c r="CD818" s="167">
        <f>$N818/4</f>
        <v>0</v>
      </c>
      <c r="CE818" s="167">
        <f>$N818/4</f>
        <v>0</v>
      </c>
      <c r="CF818" s="167">
        <f>$N818/4</f>
        <v>0</v>
      </c>
      <c r="CG818" s="167">
        <f>$N818/4</f>
        <v>0</v>
      </c>
      <c r="CH818" s="167">
        <v>0</v>
      </c>
      <c r="CI818" s="167">
        <v>0</v>
      </c>
      <c r="CJ818" s="167">
        <v>0</v>
      </c>
      <c r="CK818" s="167">
        <v>0</v>
      </c>
      <c r="CL818" s="167">
        <v>0</v>
      </c>
      <c r="CM818" s="167">
        <v>0</v>
      </c>
      <c r="CN818" s="167">
        <v>0</v>
      </c>
      <c r="CO818" s="167">
        <v>0</v>
      </c>
      <c r="CP818" s="167">
        <v>0</v>
      </c>
      <c r="CQ818" s="167">
        <v>0</v>
      </c>
      <c r="CR818" s="167">
        <v>0</v>
      </c>
      <c r="CS818" s="167">
        <v>0</v>
      </c>
      <c r="CT818" s="167">
        <v>0</v>
      </c>
      <c r="CU818" s="167">
        <v>0</v>
      </c>
      <c r="CV818" s="167">
        <v>0</v>
      </c>
      <c r="CW818" s="167">
        <v>0</v>
      </c>
      <c r="CX818" s="167">
        <f>SUM(CD818:CH818)</f>
        <v>0</v>
      </c>
      <c r="CY818" s="167">
        <f>SUM(CD818:CM818)</f>
        <v>0</v>
      </c>
    </row>
    <row r="819" spans="1:103" ht="12.75" customHeight="1" x14ac:dyDescent="0.2">
      <c r="A819" s="81">
        <v>4945</v>
      </c>
      <c r="B819" s="165" t="s">
        <v>1930</v>
      </c>
      <c r="C819" s="165" t="s">
        <v>629</v>
      </c>
      <c r="E819" s="165" t="s">
        <v>2541</v>
      </c>
      <c r="G819" s="81">
        <v>528361</v>
      </c>
      <c r="H819" s="81">
        <v>172945</v>
      </c>
      <c r="I819" s="165" t="s">
        <v>248</v>
      </c>
      <c r="L819" s="166">
        <v>0</v>
      </c>
      <c r="M819" s="166">
        <v>2</v>
      </c>
      <c r="N819" s="166">
        <v>2</v>
      </c>
      <c r="O819" s="166">
        <v>2</v>
      </c>
      <c r="P819" s="166">
        <v>2</v>
      </c>
      <c r="R819" s="165" t="s">
        <v>630</v>
      </c>
      <c r="S819" s="81" t="s">
        <v>110</v>
      </c>
      <c r="T819" s="349">
        <v>42221</v>
      </c>
      <c r="U819" s="349">
        <v>42277</v>
      </c>
      <c r="W819" s="81" t="s">
        <v>114</v>
      </c>
      <c r="Y819" s="81" t="s">
        <v>115</v>
      </c>
      <c r="Z819" s="81" t="s">
        <v>310</v>
      </c>
      <c r="AA819" s="81" t="s">
        <v>117</v>
      </c>
      <c r="AB819" s="81" t="s">
        <v>102</v>
      </c>
      <c r="AC819" s="166">
        <v>8.0000003799796104E-3</v>
      </c>
      <c r="AG819" s="81" t="s">
        <v>238</v>
      </c>
      <c r="AH819" s="81" t="s">
        <v>118</v>
      </c>
      <c r="AK819" s="166">
        <v>0</v>
      </c>
      <c r="AM819" s="166">
        <v>0</v>
      </c>
      <c r="AO819" s="166">
        <v>2</v>
      </c>
      <c r="AP819" s="166">
        <v>0</v>
      </c>
      <c r="AQ819" s="166">
        <v>0</v>
      </c>
      <c r="AR819" s="166">
        <v>0</v>
      </c>
      <c r="AS819" s="166">
        <v>0</v>
      </c>
      <c r="AT819" s="166">
        <v>0</v>
      </c>
      <c r="AU819" s="166">
        <v>0</v>
      </c>
      <c r="AV819" s="166">
        <v>2</v>
      </c>
      <c r="AW819" s="166">
        <v>0</v>
      </c>
      <c r="AX819" s="166">
        <v>0</v>
      </c>
      <c r="AY819" s="166">
        <v>0</v>
      </c>
      <c r="AZ819" s="166">
        <v>0</v>
      </c>
      <c r="BA819" s="166">
        <v>0</v>
      </c>
      <c r="BB819" s="166">
        <v>0</v>
      </c>
      <c r="BC819" s="166">
        <v>0</v>
      </c>
      <c r="BD819" s="166">
        <v>0</v>
      </c>
      <c r="BE819" s="166">
        <v>0</v>
      </c>
      <c r="BF819" s="166">
        <v>0</v>
      </c>
      <c r="BG819" s="166">
        <v>0</v>
      </c>
      <c r="BH819" s="166">
        <v>0</v>
      </c>
      <c r="BI819" s="166">
        <v>0</v>
      </c>
      <c r="BJ819" s="166">
        <v>0</v>
      </c>
      <c r="BK819" s="166">
        <v>0</v>
      </c>
      <c r="BL819" s="166">
        <v>0</v>
      </c>
      <c r="BM819" s="166">
        <v>0</v>
      </c>
      <c r="BN819" s="166">
        <v>0</v>
      </c>
      <c r="BO819" s="166">
        <v>0</v>
      </c>
      <c r="BP819" s="166">
        <v>0</v>
      </c>
      <c r="BQ819" s="81" t="s">
        <v>1757</v>
      </c>
      <c r="BZ819" s="81" t="s">
        <v>155</v>
      </c>
      <c r="CA819" s="81" t="s">
        <v>1937</v>
      </c>
      <c r="CC819" s="167">
        <v>0</v>
      </c>
      <c r="CD819" s="167">
        <f>$N819/4</f>
        <v>0.5</v>
      </c>
      <c r="CE819" s="167">
        <f>$N819/4</f>
        <v>0.5</v>
      </c>
      <c r="CF819" s="167">
        <f>$N819/4</f>
        <v>0.5</v>
      </c>
      <c r="CG819" s="167">
        <f>$N819/4</f>
        <v>0.5</v>
      </c>
      <c r="CH819" s="167">
        <v>0</v>
      </c>
      <c r="CI819" s="167">
        <v>0</v>
      </c>
      <c r="CJ819" s="167">
        <v>0</v>
      </c>
      <c r="CK819" s="167">
        <v>0</v>
      </c>
      <c r="CL819" s="167">
        <v>0</v>
      </c>
      <c r="CM819" s="167">
        <v>0</v>
      </c>
      <c r="CN819" s="167">
        <v>0</v>
      </c>
      <c r="CO819" s="167">
        <v>0</v>
      </c>
      <c r="CP819" s="167">
        <v>0</v>
      </c>
      <c r="CQ819" s="167">
        <v>0</v>
      </c>
      <c r="CR819" s="167">
        <v>0</v>
      </c>
      <c r="CS819" s="167">
        <v>0</v>
      </c>
      <c r="CT819" s="167">
        <v>0</v>
      </c>
      <c r="CU819" s="167">
        <v>0</v>
      </c>
      <c r="CV819" s="167">
        <v>0</v>
      </c>
      <c r="CW819" s="167">
        <v>0</v>
      </c>
      <c r="CX819" s="167">
        <f>SUM(CD819:CH819)</f>
        <v>2</v>
      </c>
      <c r="CY819" s="167">
        <f>SUM(CD819:CM819)</f>
        <v>2</v>
      </c>
    </row>
    <row r="820" spans="1:103" ht="12.75" customHeight="1" x14ac:dyDescent="0.2">
      <c r="A820" s="81">
        <v>4953</v>
      </c>
      <c r="B820" s="165" t="s">
        <v>1930</v>
      </c>
      <c r="C820" s="165" t="s">
        <v>427</v>
      </c>
      <c r="E820" s="165" t="s">
        <v>2542</v>
      </c>
      <c r="G820" s="81">
        <v>528420</v>
      </c>
      <c r="H820" s="81">
        <v>175774</v>
      </c>
      <c r="I820" s="165" t="s">
        <v>256</v>
      </c>
      <c r="L820" s="166">
        <v>1</v>
      </c>
      <c r="M820" s="166">
        <v>2</v>
      </c>
      <c r="N820" s="166">
        <v>1</v>
      </c>
      <c r="O820" s="166">
        <v>2</v>
      </c>
      <c r="P820" s="166">
        <v>1</v>
      </c>
      <c r="R820" s="165" t="s">
        <v>428</v>
      </c>
      <c r="S820" s="81" t="s">
        <v>113</v>
      </c>
      <c r="T820" s="349">
        <v>42076</v>
      </c>
      <c r="U820" s="349">
        <v>42132</v>
      </c>
      <c r="W820" s="81" t="s">
        <v>114</v>
      </c>
      <c r="Y820" s="81" t="s">
        <v>115</v>
      </c>
      <c r="Z820" s="81" t="s">
        <v>119</v>
      </c>
      <c r="AA820" s="81" t="s">
        <v>117</v>
      </c>
      <c r="AB820" s="81" t="s">
        <v>220</v>
      </c>
      <c r="AC820" s="166">
        <v>1.2000000104308101E-2</v>
      </c>
      <c r="AG820" s="81" t="s">
        <v>238</v>
      </c>
      <c r="AH820" s="81" t="s">
        <v>118</v>
      </c>
      <c r="AK820" s="166">
        <v>0</v>
      </c>
      <c r="AM820" s="166">
        <v>0</v>
      </c>
      <c r="AO820" s="166">
        <v>0</v>
      </c>
      <c r="AP820" s="166">
        <v>2</v>
      </c>
      <c r="AQ820" s="166">
        <v>-1</v>
      </c>
      <c r="AR820" s="166">
        <v>0</v>
      </c>
      <c r="AS820" s="166">
        <v>0</v>
      </c>
      <c r="AT820" s="166">
        <v>0</v>
      </c>
      <c r="AU820" s="166">
        <v>0</v>
      </c>
      <c r="AV820" s="166">
        <v>0</v>
      </c>
      <c r="AW820" s="166">
        <v>2</v>
      </c>
      <c r="AX820" s="166">
        <v>-1</v>
      </c>
      <c r="AY820" s="166">
        <v>0</v>
      </c>
      <c r="AZ820" s="166">
        <v>0</v>
      </c>
      <c r="BA820" s="166">
        <v>0</v>
      </c>
      <c r="BB820" s="166">
        <v>0</v>
      </c>
      <c r="BC820" s="166">
        <v>0</v>
      </c>
      <c r="BD820" s="166">
        <v>0</v>
      </c>
      <c r="BE820" s="166">
        <v>0</v>
      </c>
      <c r="BF820" s="166">
        <v>0</v>
      </c>
      <c r="BG820" s="166">
        <v>0</v>
      </c>
      <c r="BH820" s="166">
        <v>0</v>
      </c>
      <c r="BI820" s="166">
        <v>0</v>
      </c>
      <c r="BJ820" s="166">
        <v>0</v>
      </c>
      <c r="BK820" s="166">
        <v>0</v>
      </c>
      <c r="BL820" s="166">
        <v>0</v>
      </c>
      <c r="BM820" s="166">
        <v>0</v>
      </c>
      <c r="BN820" s="166">
        <v>0</v>
      </c>
      <c r="BO820" s="166">
        <v>0</v>
      </c>
      <c r="BP820" s="166">
        <v>0</v>
      </c>
      <c r="BQ820" s="81" t="s">
        <v>1757</v>
      </c>
      <c r="BZ820" s="81" t="s">
        <v>155</v>
      </c>
      <c r="CA820" s="81" t="s">
        <v>1937</v>
      </c>
      <c r="CC820" s="167">
        <v>0</v>
      </c>
      <c r="CD820" s="167">
        <f>$N820/4</f>
        <v>0.25</v>
      </c>
      <c r="CE820" s="167">
        <f>$N820/4</f>
        <v>0.25</v>
      </c>
      <c r="CF820" s="167">
        <f>$N820/4</f>
        <v>0.25</v>
      </c>
      <c r="CG820" s="167">
        <f>$N820/4</f>
        <v>0.25</v>
      </c>
      <c r="CH820" s="167">
        <v>0</v>
      </c>
      <c r="CI820" s="167">
        <v>0</v>
      </c>
      <c r="CJ820" s="167">
        <v>0</v>
      </c>
      <c r="CK820" s="167">
        <v>0</v>
      </c>
      <c r="CL820" s="167">
        <v>0</v>
      </c>
      <c r="CM820" s="167">
        <v>0</v>
      </c>
      <c r="CN820" s="167">
        <v>0</v>
      </c>
      <c r="CO820" s="167">
        <v>0</v>
      </c>
      <c r="CP820" s="167">
        <v>0</v>
      </c>
      <c r="CQ820" s="167">
        <v>0</v>
      </c>
      <c r="CR820" s="167">
        <v>0</v>
      </c>
      <c r="CS820" s="167">
        <v>0</v>
      </c>
      <c r="CT820" s="167">
        <v>0</v>
      </c>
      <c r="CU820" s="167">
        <v>0</v>
      </c>
      <c r="CV820" s="167">
        <v>0</v>
      </c>
      <c r="CW820" s="167">
        <v>0</v>
      </c>
      <c r="CX820" s="167">
        <f>SUM(CD820:CH820)</f>
        <v>1</v>
      </c>
      <c r="CY820" s="167">
        <f>SUM(CD820:CM820)</f>
        <v>1</v>
      </c>
    </row>
    <row r="821" spans="1:103" ht="12.75" customHeight="1" x14ac:dyDescent="0.2">
      <c r="A821" s="81">
        <v>4953</v>
      </c>
      <c r="B821" s="165" t="s">
        <v>1930</v>
      </c>
      <c r="C821" s="165" t="s">
        <v>1362</v>
      </c>
      <c r="E821" s="165" t="s">
        <v>2542</v>
      </c>
      <c r="G821" s="81">
        <v>528420</v>
      </c>
      <c r="H821" s="81">
        <v>175774</v>
      </c>
      <c r="I821" s="165" t="s">
        <v>256</v>
      </c>
      <c r="L821" s="166">
        <v>0</v>
      </c>
      <c r="M821" s="166">
        <v>1</v>
      </c>
      <c r="N821" s="166">
        <v>1</v>
      </c>
      <c r="O821" s="166">
        <v>1</v>
      </c>
      <c r="P821" s="166">
        <v>1</v>
      </c>
      <c r="R821" s="165" t="s">
        <v>1363</v>
      </c>
      <c r="S821" s="81" t="s">
        <v>113</v>
      </c>
      <c r="T821" s="349">
        <v>42613</v>
      </c>
      <c r="U821" s="349">
        <v>42669</v>
      </c>
      <c r="W821" s="81" t="s">
        <v>114</v>
      </c>
      <c r="Y821" s="81" t="s">
        <v>115</v>
      </c>
      <c r="Z821" s="81" t="s">
        <v>398</v>
      </c>
      <c r="AA821" s="81" t="s">
        <v>117</v>
      </c>
      <c r="AB821" s="81" t="s">
        <v>311</v>
      </c>
      <c r="AC821" s="166">
        <v>9.9999997764825804E-3</v>
      </c>
      <c r="AG821" s="81" t="s">
        <v>238</v>
      </c>
      <c r="AH821" s="81" t="s">
        <v>118</v>
      </c>
      <c r="AK821" s="166">
        <v>0</v>
      </c>
      <c r="AM821" s="166">
        <v>0</v>
      </c>
      <c r="AO821" s="166">
        <v>0</v>
      </c>
      <c r="AP821" s="166">
        <v>0</v>
      </c>
      <c r="AQ821" s="166">
        <v>0</v>
      </c>
      <c r="AR821" s="166">
        <v>1</v>
      </c>
      <c r="AS821" s="166">
        <v>0</v>
      </c>
      <c r="AT821" s="166">
        <v>0</v>
      </c>
      <c r="AU821" s="166">
        <v>0</v>
      </c>
      <c r="AV821" s="166">
        <v>0</v>
      </c>
      <c r="AW821" s="166">
        <v>0</v>
      </c>
      <c r="AX821" s="166">
        <v>0</v>
      </c>
      <c r="AY821" s="166">
        <v>1</v>
      </c>
      <c r="AZ821" s="166">
        <v>0</v>
      </c>
      <c r="BA821" s="166">
        <v>0</v>
      </c>
      <c r="BB821" s="166">
        <v>0</v>
      </c>
      <c r="BC821" s="166">
        <v>0</v>
      </c>
      <c r="BD821" s="166">
        <v>0</v>
      </c>
      <c r="BE821" s="166">
        <v>0</v>
      </c>
      <c r="BF821" s="166">
        <v>0</v>
      </c>
      <c r="BG821" s="166">
        <v>0</v>
      </c>
      <c r="BH821" s="166">
        <v>0</v>
      </c>
      <c r="BI821" s="166">
        <v>0</v>
      </c>
      <c r="BJ821" s="166">
        <v>0</v>
      </c>
      <c r="BK821" s="166">
        <v>0</v>
      </c>
      <c r="BL821" s="166">
        <v>0</v>
      </c>
      <c r="BM821" s="166">
        <v>0</v>
      </c>
      <c r="BN821" s="166">
        <v>0</v>
      </c>
      <c r="BO821" s="166">
        <v>0</v>
      </c>
      <c r="BP821" s="166">
        <v>0</v>
      </c>
      <c r="BQ821" s="81" t="s">
        <v>1757</v>
      </c>
      <c r="BZ821" s="81" t="s">
        <v>155</v>
      </c>
      <c r="CA821" s="81" t="s">
        <v>1937</v>
      </c>
      <c r="CC821" s="167">
        <v>0</v>
      </c>
      <c r="CD821" s="167">
        <f>$N821/4</f>
        <v>0.25</v>
      </c>
      <c r="CE821" s="167">
        <f>$N821/4</f>
        <v>0.25</v>
      </c>
      <c r="CF821" s="167">
        <f>$N821/4</f>
        <v>0.25</v>
      </c>
      <c r="CG821" s="167">
        <f>$N821/4</f>
        <v>0.25</v>
      </c>
      <c r="CH821" s="167">
        <v>0</v>
      </c>
      <c r="CI821" s="167">
        <v>0</v>
      </c>
      <c r="CJ821" s="167">
        <v>0</v>
      </c>
      <c r="CK821" s="167">
        <v>0</v>
      </c>
      <c r="CL821" s="167">
        <v>0</v>
      </c>
      <c r="CM821" s="167">
        <v>0</v>
      </c>
      <c r="CN821" s="167">
        <v>0</v>
      </c>
      <c r="CO821" s="167">
        <v>0</v>
      </c>
      <c r="CP821" s="167">
        <v>0</v>
      </c>
      <c r="CQ821" s="167">
        <v>0</v>
      </c>
      <c r="CR821" s="167">
        <v>0</v>
      </c>
      <c r="CS821" s="167">
        <v>0</v>
      </c>
      <c r="CT821" s="167">
        <v>0</v>
      </c>
      <c r="CU821" s="167">
        <v>0</v>
      </c>
      <c r="CV821" s="167">
        <v>0</v>
      </c>
      <c r="CW821" s="167">
        <v>0</v>
      </c>
      <c r="CX821" s="167">
        <f>SUM(CD821:CH821)</f>
        <v>1</v>
      </c>
      <c r="CY821" s="167">
        <f>SUM(CD821:CM821)</f>
        <v>1</v>
      </c>
    </row>
    <row r="822" spans="1:103" ht="12.75" customHeight="1" x14ac:dyDescent="0.2">
      <c r="A822" s="81">
        <v>4968</v>
      </c>
      <c r="B822" s="165" t="s">
        <v>1930</v>
      </c>
      <c r="C822" s="165" t="s">
        <v>1521</v>
      </c>
      <c r="E822" s="165" t="s">
        <v>2543</v>
      </c>
      <c r="G822" s="81">
        <v>527773</v>
      </c>
      <c r="H822" s="81">
        <v>172716</v>
      </c>
      <c r="I822" s="165" t="s">
        <v>254</v>
      </c>
      <c r="L822" s="166">
        <v>1</v>
      </c>
      <c r="M822" s="166">
        <v>2</v>
      </c>
      <c r="N822" s="166">
        <v>1</v>
      </c>
      <c r="O822" s="166">
        <v>2</v>
      </c>
      <c r="P822" s="166">
        <v>1</v>
      </c>
      <c r="R822" s="165" t="s">
        <v>1522</v>
      </c>
      <c r="S822" s="81" t="s">
        <v>113</v>
      </c>
      <c r="T822" s="349">
        <v>42755</v>
      </c>
      <c r="U822" s="349">
        <v>42810</v>
      </c>
      <c r="W822" s="81" t="s">
        <v>114</v>
      </c>
      <c r="Y822" s="81" t="s">
        <v>115</v>
      </c>
      <c r="Z822" s="81" t="s">
        <v>119</v>
      </c>
      <c r="AA822" s="81" t="s">
        <v>117</v>
      </c>
      <c r="AB822" s="81" t="s">
        <v>120</v>
      </c>
      <c r="AC822" s="166">
        <v>1.7000000923872001E-2</v>
      </c>
      <c r="AG822" s="81" t="s">
        <v>238</v>
      </c>
      <c r="AH822" s="81" t="s">
        <v>118</v>
      </c>
      <c r="AK822" s="166">
        <v>0</v>
      </c>
      <c r="AM822" s="166">
        <v>0</v>
      </c>
      <c r="AO822" s="166">
        <v>0</v>
      </c>
      <c r="AP822" s="166">
        <v>0</v>
      </c>
      <c r="AQ822" s="166">
        <v>0</v>
      </c>
      <c r="AR822" s="166">
        <v>2</v>
      </c>
      <c r="AS822" s="166">
        <v>-1</v>
      </c>
      <c r="AT822" s="166">
        <v>0</v>
      </c>
      <c r="AU822" s="166">
        <v>0</v>
      </c>
      <c r="AV822" s="166">
        <v>0</v>
      </c>
      <c r="AW822" s="166">
        <v>0</v>
      </c>
      <c r="AX822" s="166">
        <v>0</v>
      </c>
      <c r="AY822" s="166">
        <v>2</v>
      </c>
      <c r="AZ822" s="166">
        <v>0</v>
      </c>
      <c r="BA822" s="166">
        <v>0</v>
      </c>
      <c r="BB822" s="166">
        <v>0</v>
      </c>
      <c r="BC822" s="166">
        <v>0</v>
      </c>
      <c r="BD822" s="166">
        <v>0</v>
      </c>
      <c r="BE822" s="166">
        <v>0</v>
      </c>
      <c r="BF822" s="166">
        <v>0</v>
      </c>
      <c r="BG822" s="166">
        <v>-1</v>
      </c>
      <c r="BH822" s="166">
        <v>0</v>
      </c>
      <c r="BI822" s="166">
        <v>0</v>
      </c>
      <c r="BJ822" s="166">
        <v>0</v>
      </c>
      <c r="BK822" s="166">
        <v>0</v>
      </c>
      <c r="BL822" s="166">
        <v>0</v>
      </c>
      <c r="BM822" s="166">
        <v>0</v>
      </c>
      <c r="BN822" s="166">
        <v>0</v>
      </c>
      <c r="BO822" s="166">
        <v>0</v>
      </c>
      <c r="BP822" s="166">
        <v>0</v>
      </c>
      <c r="BQ822" s="81" t="s">
        <v>1757</v>
      </c>
      <c r="BZ822" s="81" t="s">
        <v>155</v>
      </c>
      <c r="CA822" s="81" t="s">
        <v>1937</v>
      </c>
      <c r="CC822" s="167">
        <v>0</v>
      </c>
      <c r="CD822" s="167">
        <f>$N822/4</f>
        <v>0.25</v>
      </c>
      <c r="CE822" s="167">
        <f>$N822/4</f>
        <v>0.25</v>
      </c>
      <c r="CF822" s="167">
        <f>$N822/4</f>
        <v>0.25</v>
      </c>
      <c r="CG822" s="167">
        <f>$N822/4</f>
        <v>0.25</v>
      </c>
      <c r="CH822" s="167">
        <v>0</v>
      </c>
      <c r="CI822" s="167">
        <v>0</v>
      </c>
      <c r="CJ822" s="167">
        <v>0</v>
      </c>
      <c r="CK822" s="167">
        <v>0</v>
      </c>
      <c r="CL822" s="167">
        <v>0</v>
      </c>
      <c r="CM822" s="167">
        <v>0</v>
      </c>
      <c r="CN822" s="167">
        <v>0</v>
      </c>
      <c r="CO822" s="167">
        <v>0</v>
      </c>
      <c r="CP822" s="167">
        <v>0</v>
      </c>
      <c r="CQ822" s="167">
        <v>0</v>
      </c>
      <c r="CR822" s="167">
        <v>0</v>
      </c>
      <c r="CS822" s="167">
        <v>0</v>
      </c>
      <c r="CT822" s="167">
        <v>0</v>
      </c>
      <c r="CU822" s="167">
        <v>0</v>
      </c>
      <c r="CV822" s="167">
        <v>0</v>
      </c>
      <c r="CW822" s="167">
        <v>0</v>
      </c>
      <c r="CX822" s="167">
        <f>SUM(CD822:CH822)</f>
        <v>1</v>
      </c>
      <c r="CY822" s="167">
        <f>SUM(CD822:CM822)</f>
        <v>1</v>
      </c>
    </row>
    <row r="823" spans="1:103" ht="12.75" customHeight="1" x14ac:dyDescent="0.2">
      <c r="A823" s="81">
        <v>5029</v>
      </c>
      <c r="B823" s="165" t="s">
        <v>1930</v>
      </c>
      <c r="C823" s="165" t="s">
        <v>2544</v>
      </c>
      <c r="E823" s="165" t="s">
        <v>2545</v>
      </c>
      <c r="G823" s="81">
        <v>527404</v>
      </c>
      <c r="H823" s="81">
        <v>176366</v>
      </c>
      <c r="I823" s="165" t="s">
        <v>257</v>
      </c>
      <c r="L823" s="166">
        <v>0</v>
      </c>
      <c r="M823" s="166">
        <v>1</v>
      </c>
      <c r="N823" s="166">
        <v>1</v>
      </c>
      <c r="O823" s="166">
        <v>1</v>
      </c>
      <c r="P823" s="166">
        <v>1</v>
      </c>
      <c r="R823" s="165" t="s">
        <v>2546</v>
      </c>
      <c r="S823" s="81" t="s">
        <v>113</v>
      </c>
      <c r="T823" s="349">
        <v>42843</v>
      </c>
      <c r="U823" s="349">
        <v>42914</v>
      </c>
      <c r="V823" s="81" t="s">
        <v>155</v>
      </c>
      <c r="W823" s="81" t="s">
        <v>114</v>
      </c>
      <c r="Y823" s="81" t="s">
        <v>115</v>
      </c>
      <c r="Z823" s="81" t="s">
        <v>219</v>
      </c>
      <c r="AA823" s="81" t="s">
        <v>117</v>
      </c>
      <c r="AB823" s="81" t="s">
        <v>3889</v>
      </c>
      <c r="AC823" s="166">
        <v>7.0000002160668399E-3</v>
      </c>
      <c r="AG823" s="81" t="s">
        <v>238</v>
      </c>
      <c r="AH823" s="81" t="s">
        <v>118</v>
      </c>
      <c r="AK823" s="166">
        <v>0</v>
      </c>
      <c r="AM823" s="166">
        <v>0</v>
      </c>
      <c r="AO823" s="166">
        <v>0</v>
      </c>
      <c r="AP823" s="166">
        <v>0</v>
      </c>
      <c r="AQ823" s="166">
        <v>1</v>
      </c>
      <c r="AR823" s="166">
        <v>0</v>
      </c>
      <c r="AS823" s="166">
        <v>0</v>
      </c>
      <c r="AT823" s="166">
        <v>0</v>
      </c>
      <c r="AU823" s="166">
        <v>0</v>
      </c>
      <c r="AV823" s="166">
        <v>0</v>
      </c>
      <c r="AW823" s="166">
        <v>0</v>
      </c>
      <c r="AX823" s="166">
        <v>1</v>
      </c>
      <c r="AY823" s="166">
        <v>0</v>
      </c>
      <c r="AZ823" s="166">
        <v>0</v>
      </c>
      <c r="BA823" s="166">
        <v>0</v>
      </c>
      <c r="BB823" s="166">
        <v>0</v>
      </c>
      <c r="BC823" s="166">
        <v>0</v>
      </c>
      <c r="BD823" s="166">
        <v>0</v>
      </c>
      <c r="BE823" s="166">
        <v>0</v>
      </c>
      <c r="BF823" s="166">
        <v>0</v>
      </c>
      <c r="BG823" s="166">
        <v>0</v>
      </c>
      <c r="BH823" s="166">
        <v>0</v>
      </c>
      <c r="BI823" s="166">
        <v>0</v>
      </c>
      <c r="BJ823" s="166">
        <v>0</v>
      </c>
      <c r="BK823" s="166">
        <v>0</v>
      </c>
      <c r="BL823" s="166">
        <v>0</v>
      </c>
      <c r="BM823" s="166">
        <v>0</v>
      </c>
      <c r="BN823" s="166">
        <v>0</v>
      </c>
      <c r="BO823" s="166">
        <v>0</v>
      </c>
      <c r="BP823" s="166">
        <v>0</v>
      </c>
      <c r="BQ823" s="81" t="s">
        <v>1757</v>
      </c>
      <c r="BZ823" s="81" t="s">
        <v>155</v>
      </c>
      <c r="CA823" s="81" t="s">
        <v>1937</v>
      </c>
      <c r="CC823" s="167">
        <v>0</v>
      </c>
      <c r="CD823" s="167">
        <f>$N823/4</f>
        <v>0.25</v>
      </c>
      <c r="CE823" s="167">
        <f>$N823/4</f>
        <v>0.25</v>
      </c>
      <c r="CF823" s="167">
        <f>$N823/4</f>
        <v>0.25</v>
      </c>
      <c r="CG823" s="167">
        <f>$N823/4</f>
        <v>0.25</v>
      </c>
      <c r="CH823" s="167">
        <v>0</v>
      </c>
      <c r="CI823" s="167">
        <v>0</v>
      </c>
      <c r="CJ823" s="167">
        <v>0</v>
      </c>
      <c r="CK823" s="167">
        <v>0</v>
      </c>
      <c r="CL823" s="167">
        <v>0</v>
      </c>
      <c r="CM823" s="167">
        <v>0</v>
      </c>
      <c r="CN823" s="167">
        <v>0</v>
      </c>
      <c r="CO823" s="167">
        <v>0</v>
      </c>
      <c r="CP823" s="167">
        <v>0</v>
      </c>
      <c r="CQ823" s="167">
        <v>0</v>
      </c>
      <c r="CR823" s="167">
        <v>0</v>
      </c>
      <c r="CS823" s="167">
        <v>0</v>
      </c>
      <c r="CT823" s="167">
        <v>0</v>
      </c>
      <c r="CU823" s="167">
        <v>0</v>
      </c>
      <c r="CV823" s="167">
        <v>0</v>
      </c>
      <c r="CW823" s="167">
        <v>0</v>
      </c>
      <c r="CX823" s="167">
        <f>SUM(CD823:CH823)</f>
        <v>1</v>
      </c>
      <c r="CY823" s="167">
        <f>SUM(CD823:CM823)</f>
        <v>1</v>
      </c>
    </row>
    <row r="824" spans="1:103" ht="12.75" customHeight="1" x14ac:dyDescent="0.2">
      <c r="A824" s="81">
        <v>5096</v>
      </c>
      <c r="B824" s="165" t="s">
        <v>1930</v>
      </c>
      <c r="C824" s="165" t="s">
        <v>647</v>
      </c>
      <c r="E824" s="165" t="s">
        <v>2547</v>
      </c>
      <c r="G824" s="81">
        <v>526041</v>
      </c>
      <c r="H824" s="81">
        <v>175095</v>
      </c>
      <c r="I824" s="165" t="s">
        <v>251</v>
      </c>
      <c r="L824" s="166">
        <v>0</v>
      </c>
      <c r="M824" s="166">
        <v>2</v>
      </c>
      <c r="N824" s="166">
        <v>2</v>
      </c>
      <c r="O824" s="166">
        <v>2</v>
      </c>
      <c r="P824" s="166">
        <v>2</v>
      </c>
      <c r="R824" s="165" t="s">
        <v>648</v>
      </c>
      <c r="S824" s="81" t="s">
        <v>113</v>
      </c>
      <c r="T824" s="349">
        <v>42345</v>
      </c>
      <c r="U824" s="349">
        <v>42396</v>
      </c>
      <c r="W824" s="81" t="s">
        <v>114</v>
      </c>
      <c r="Y824" s="81" t="s">
        <v>115</v>
      </c>
      <c r="Z824" s="81" t="s">
        <v>310</v>
      </c>
      <c r="AA824" s="81" t="s">
        <v>117</v>
      </c>
      <c r="AB824" s="81" t="s">
        <v>399</v>
      </c>
      <c r="AC824" s="166">
        <v>9.9999997764825804E-3</v>
      </c>
      <c r="AG824" s="81" t="s">
        <v>238</v>
      </c>
      <c r="AH824" s="81" t="s">
        <v>118</v>
      </c>
      <c r="AK824" s="166">
        <v>0</v>
      </c>
      <c r="AM824" s="166">
        <v>0</v>
      </c>
      <c r="AO824" s="166">
        <v>0</v>
      </c>
      <c r="AP824" s="166">
        <v>0</v>
      </c>
      <c r="AQ824" s="166">
        <v>2</v>
      </c>
      <c r="AR824" s="166">
        <v>0</v>
      </c>
      <c r="AS824" s="166">
        <v>0</v>
      </c>
      <c r="AT824" s="166">
        <v>0</v>
      </c>
      <c r="AU824" s="166">
        <v>0</v>
      </c>
      <c r="AV824" s="166">
        <v>0</v>
      </c>
      <c r="AW824" s="166">
        <v>0</v>
      </c>
      <c r="AX824" s="166">
        <v>2</v>
      </c>
      <c r="AY824" s="166">
        <v>0</v>
      </c>
      <c r="AZ824" s="166">
        <v>0</v>
      </c>
      <c r="BA824" s="166">
        <v>0</v>
      </c>
      <c r="BB824" s="166">
        <v>0</v>
      </c>
      <c r="BC824" s="166">
        <v>0</v>
      </c>
      <c r="BD824" s="166">
        <v>0</v>
      </c>
      <c r="BE824" s="166">
        <v>0</v>
      </c>
      <c r="BF824" s="166">
        <v>0</v>
      </c>
      <c r="BG824" s="166">
        <v>0</v>
      </c>
      <c r="BH824" s="166">
        <v>0</v>
      </c>
      <c r="BI824" s="166">
        <v>0</v>
      </c>
      <c r="BJ824" s="166">
        <v>0</v>
      </c>
      <c r="BK824" s="166">
        <v>0</v>
      </c>
      <c r="BL824" s="166">
        <v>0</v>
      </c>
      <c r="BM824" s="166">
        <v>0</v>
      </c>
      <c r="BN824" s="166">
        <v>0</v>
      </c>
      <c r="BO824" s="166">
        <v>0</v>
      </c>
      <c r="BP824" s="166">
        <v>0</v>
      </c>
      <c r="BQ824" s="81" t="s">
        <v>1758</v>
      </c>
      <c r="BZ824" s="81" t="s">
        <v>155</v>
      </c>
      <c r="CA824" s="81" t="s">
        <v>1937</v>
      </c>
      <c r="CC824" s="167">
        <v>0</v>
      </c>
      <c r="CD824" s="167">
        <f>$N824/4</f>
        <v>0.5</v>
      </c>
      <c r="CE824" s="167">
        <f>$N824/4</f>
        <v>0.5</v>
      </c>
      <c r="CF824" s="167">
        <f>$N824/4</f>
        <v>0.5</v>
      </c>
      <c r="CG824" s="167">
        <f>$N824/4</f>
        <v>0.5</v>
      </c>
      <c r="CH824" s="167">
        <v>0</v>
      </c>
      <c r="CI824" s="167">
        <v>0</v>
      </c>
      <c r="CJ824" s="167">
        <v>0</v>
      </c>
      <c r="CK824" s="167">
        <v>0</v>
      </c>
      <c r="CL824" s="167">
        <v>0</v>
      </c>
      <c r="CM824" s="167">
        <v>0</v>
      </c>
      <c r="CN824" s="167">
        <v>0</v>
      </c>
      <c r="CO824" s="167">
        <v>0</v>
      </c>
      <c r="CP824" s="167">
        <v>0</v>
      </c>
      <c r="CQ824" s="167">
        <v>0</v>
      </c>
      <c r="CR824" s="167">
        <v>0</v>
      </c>
      <c r="CS824" s="167">
        <v>0</v>
      </c>
      <c r="CT824" s="167">
        <v>0</v>
      </c>
      <c r="CU824" s="167">
        <v>0</v>
      </c>
      <c r="CV824" s="167">
        <v>0</v>
      </c>
      <c r="CW824" s="167">
        <v>0</v>
      </c>
      <c r="CX824" s="167">
        <f>SUM(CD824:CH824)</f>
        <v>2</v>
      </c>
      <c r="CY824" s="167">
        <f>SUM(CD824:CM824)</f>
        <v>2</v>
      </c>
    </row>
    <row r="825" spans="1:103" ht="12.75" customHeight="1" x14ac:dyDescent="0.2">
      <c r="A825" s="81">
        <v>5119</v>
      </c>
      <c r="B825" s="165" t="s">
        <v>1930</v>
      </c>
      <c r="C825" s="165" t="s">
        <v>1637</v>
      </c>
      <c r="E825" s="165" t="s">
        <v>2116</v>
      </c>
      <c r="G825" s="81">
        <v>527391</v>
      </c>
      <c r="H825" s="81">
        <v>171805</v>
      </c>
      <c r="I825" s="165" t="s">
        <v>242</v>
      </c>
      <c r="L825" s="166">
        <v>0</v>
      </c>
      <c r="M825" s="166">
        <v>6</v>
      </c>
      <c r="N825" s="166">
        <v>6</v>
      </c>
      <c r="O825" s="166">
        <v>6</v>
      </c>
      <c r="P825" s="166">
        <v>6</v>
      </c>
      <c r="R825" s="165" t="s">
        <v>2548</v>
      </c>
      <c r="S825" s="81" t="s">
        <v>113</v>
      </c>
      <c r="T825" s="349">
        <v>42780</v>
      </c>
      <c r="U825" s="349">
        <v>43003</v>
      </c>
      <c r="V825" s="81" t="s">
        <v>155</v>
      </c>
      <c r="W825" s="81" t="s">
        <v>114</v>
      </c>
      <c r="Y825" s="81" t="s">
        <v>115</v>
      </c>
      <c r="Z825" s="81" t="s">
        <v>116</v>
      </c>
      <c r="AA825" s="81" t="s">
        <v>117</v>
      </c>
      <c r="AB825" s="81" t="s">
        <v>218</v>
      </c>
      <c r="AC825" s="166">
        <v>2.5000000372528999E-2</v>
      </c>
      <c r="AG825" s="81" t="s">
        <v>238</v>
      </c>
      <c r="AH825" s="81" t="s">
        <v>118</v>
      </c>
      <c r="AK825" s="166">
        <v>0</v>
      </c>
      <c r="AM825" s="166">
        <v>0</v>
      </c>
      <c r="AO825" s="166">
        <v>0</v>
      </c>
      <c r="AP825" s="166">
        <v>3</v>
      </c>
      <c r="AQ825" s="166">
        <v>2</v>
      </c>
      <c r="AR825" s="166">
        <v>1</v>
      </c>
      <c r="AS825" s="166">
        <v>0</v>
      </c>
      <c r="AT825" s="166">
        <v>0</v>
      </c>
      <c r="AU825" s="166">
        <v>0</v>
      </c>
      <c r="AV825" s="166">
        <v>0</v>
      </c>
      <c r="AW825" s="166">
        <v>3</v>
      </c>
      <c r="AX825" s="166">
        <v>2</v>
      </c>
      <c r="AY825" s="166">
        <v>1</v>
      </c>
      <c r="AZ825" s="166">
        <v>0</v>
      </c>
      <c r="BA825" s="166">
        <v>0</v>
      </c>
      <c r="BB825" s="166">
        <v>0</v>
      </c>
      <c r="BC825" s="166">
        <v>0</v>
      </c>
      <c r="BD825" s="166">
        <v>0</v>
      </c>
      <c r="BE825" s="166">
        <v>0</v>
      </c>
      <c r="BF825" s="166">
        <v>0</v>
      </c>
      <c r="BG825" s="166">
        <v>0</v>
      </c>
      <c r="BH825" s="166">
        <v>0</v>
      </c>
      <c r="BI825" s="166">
        <v>0</v>
      </c>
      <c r="BJ825" s="166">
        <v>0</v>
      </c>
      <c r="BK825" s="166">
        <v>0</v>
      </c>
      <c r="BL825" s="166">
        <v>0</v>
      </c>
      <c r="BM825" s="166">
        <v>0</v>
      </c>
      <c r="BN825" s="166">
        <v>0</v>
      </c>
      <c r="BO825" s="166">
        <v>0</v>
      </c>
      <c r="BP825" s="166">
        <v>0</v>
      </c>
      <c r="BQ825" s="81" t="s">
        <v>1757</v>
      </c>
      <c r="BZ825" s="81" t="s">
        <v>155</v>
      </c>
      <c r="CA825" s="81" t="s">
        <v>3936</v>
      </c>
      <c r="CC825" s="167">
        <v>0</v>
      </c>
      <c r="CD825" s="167">
        <v>0</v>
      </c>
      <c r="CE825" s="167">
        <v>0</v>
      </c>
      <c r="CF825" s="167">
        <v>0</v>
      </c>
      <c r="CG825" s="167">
        <v>0</v>
      </c>
      <c r="CH825" s="167">
        <v>0</v>
      </c>
      <c r="CI825" s="167">
        <f>$N825/3</f>
        <v>2</v>
      </c>
      <c r="CJ825" s="167">
        <f>$N825/3</f>
        <v>2</v>
      </c>
      <c r="CK825" s="167">
        <f>$N825/3</f>
        <v>2</v>
      </c>
      <c r="CL825" s="167">
        <v>0</v>
      </c>
      <c r="CM825" s="167">
        <v>0</v>
      </c>
      <c r="CN825" s="167">
        <v>0</v>
      </c>
      <c r="CO825" s="167">
        <v>0</v>
      </c>
      <c r="CP825" s="167">
        <v>0</v>
      </c>
      <c r="CQ825" s="167">
        <v>0</v>
      </c>
      <c r="CR825" s="167">
        <v>0</v>
      </c>
      <c r="CS825" s="167">
        <v>0</v>
      </c>
      <c r="CT825" s="167">
        <v>0</v>
      </c>
      <c r="CU825" s="167">
        <v>0</v>
      </c>
      <c r="CV825" s="167">
        <v>0</v>
      </c>
      <c r="CW825" s="167">
        <v>0</v>
      </c>
      <c r="CX825" s="167">
        <f>SUM(CD825:CH825)</f>
        <v>0</v>
      </c>
      <c r="CY825" s="167">
        <f>SUM(CD825:CM825)</f>
        <v>6</v>
      </c>
    </row>
    <row r="826" spans="1:103" ht="12.75" customHeight="1" x14ac:dyDescent="0.2">
      <c r="A826" s="81">
        <v>5122</v>
      </c>
      <c r="B826" s="165" t="s">
        <v>1930</v>
      </c>
      <c r="C826" s="165" t="s">
        <v>1251</v>
      </c>
      <c r="E826" s="165" t="s">
        <v>2549</v>
      </c>
      <c r="G826" s="81">
        <v>527968</v>
      </c>
      <c r="H826" s="81">
        <v>170921</v>
      </c>
      <c r="I826" s="165" t="s">
        <v>253</v>
      </c>
      <c r="L826" s="166">
        <v>4</v>
      </c>
      <c r="M826" s="166">
        <v>9</v>
      </c>
      <c r="N826" s="166">
        <v>5</v>
      </c>
      <c r="O826" s="166">
        <v>9</v>
      </c>
      <c r="P826" s="166">
        <v>5</v>
      </c>
      <c r="R826" s="165" t="s">
        <v>1252</v>
      </c>
      <c r="S826" s="81" t="s">
        <v>113</v>
      </c>
      <c r="T826" s="349">
        <v>42507</v>
      </c>
      <c r="U826" s="349">
        <v>42634</v>
      </c>
      <c r="W826" s="81" t="s">
        <v>114</v>
      </c>
      <c r="Y826" s="81" t="s">
        <v>115</v>
      </c>
      <c r="Z826" s="81" t="s">
        <v>116</v>
      </c>
      <c r="AA826" s="81" t="s">
        <v>117</v>
      </c>
      <c r="AB826" s="81" t="s">
        <v>218</v>
      </c>
      <c r="AC826" s="166">
        <v>9.8999999463558197E-2</v>
      </c>
      <c r="AG826" s="81" t="s">
        <v>238</v>
      </c>
      <c r="AH826" s="81" t="s">
        <v>118</v>
      </c>
      <c r="AK826" s="166">
        <v>0</v>
      </c>
      <c r="AM826" s="166">
        <v>0</v>
      </c>
      <c r="AO826" s="166">
        <v>-4</v>
      </c>
      <c r="AP826" s="166">
        <v>4</v>
      </c>
      <c r="AQ826" s="166">
        <v>4</v>
      </c>
      <c r="AR826" s="166">
        <v>1</v>
      </c>
      <c r="AS826" s="166">
        <v>0</v>
      </c>
      <c r="AT826" s="166">
        <v>0</v>
      </c>
      <c r="AU826" s="166">
        <v>0</v>
      </c>
      <c r="AV826" s="166">
        <v>-4</v>
      </c>
      <c r="AW826" s="166">
        <v>4</v>
      </c>
      <c r="AX826" s="166">
        <v>4</v>
      </c>
      <c r="AY826" s="166">
        <v>1</v>
      </c>
      <c r="AZ826" s="166">
        <v>0</v>
      </c>
      <c r="BA826" s="166">
        <v>0</v>
      </c>
      <c r="BB826" s="166">
        <v>0</v>
      </c>
      <c r="BC826" s="166">
        <v>0</v>
      </c>
      <c r="BD826" s="166">
        <v>0</v>
      </c>
      <c r="BE826" s="166">
        <v>0</v>
      </c>
      <c r="BF826" s="166">
        <v>0</v>
      </c>
      <c r="BG826" s="166">
        <v>0</v>
      </c>
      <c r="BH826" s="166">
        <v>0</v>
      </c>
      <c r="BI826" s="166">
        <v>0</v>
      </c>
      <c r="BJ826" s="166">
        <v>0</v>
      </c>
      <c r="BK826" s="166">
        <v>0</v>
      </c>
      <c r="BL826" s="166">
        <v>0</v>
      </c>
      <c r="BM826" s="166">
        <v>0</v>
      </c>
      <c r="BN826" s="166">
        <v>0</v>
      </c>
      <c r="BO826" s="166">
        <v>0</v>
      </c>
      <c r="BP826" s="166">
        <v>0</v>
      </c>
      <c r="BQ826" s="81" t="s">
        <v>1757</v>
      </c>
      <c r="BZ826" s="81" t="s">
        <v>155</v>
      </c>
      <c r="CA826" s="81" t="s">
        <v>3968</v>
      </c>
      <c r="CC826" s="167">
        <v>0</v>
      </c>
      <c r="CD826" s="167">
        <v>0</v>
      </c>
      <c r="CE826" s="167">
        <v>0</v>
      </c>
      <c r="CF826" s="167">
        <v>0</v>
      </c>
      <c r="CG826" s="167">
        <v>0</v>
      </c>
      <c r="CH826" s="167">
        <f>$N826/3</f>
        <v>1.6666666666666667</v>
      </c>
      <c r="CI826" s="167">
        <f>$N826/3</f>
        <v>1.6666666666666667</v>
      </c>
      <c r="CJ826" s="167">
        <f>$N826/3</f>
        <v>1.6666666666666667</v>
      </c>
      <c r="CK826" s="167">
        <v>0</v>
      </c>
      <c r="CL826" s="167">
        <v>0</v>
      </c>
      <c r="CM826" s="167">
        <v>0</v>
      </c>
      <c r="CN826" s="167">
        <v>0</v>
      </c>
      <c r="CO826" s="167">
        <v>0</v>
      </c>
      <c r="CP826" s="167">
        <v>0</v>
      </c>
      <c r="CQ826" s="167">
        <v>0</v>
      </c>
      <c r="CR826" s="167">
        <v>0</v>
      </c>
      <c r="CS826" s="167">
        <v>0</v>
      </c>
      <c r="CT826" s="167">
        <v>0</v>
      </c>
      <c r="CU826" s="167">
        <v>0</v>
      </c>
      <c r="CV826" s="167">
        <v>0</v>
      </c>
      <c r="CW826" s="167">
        <v>0</v>
      </c>
      <c r="CX826" s="167">
        <f>SUM(CD826:CH826)</f>
        <v>1.6666666666666667</v>
      </c>
      <c r="CY826" s="167">
        <f>SUM(CD826:CM826)</f>
        <v>5</v>
      </c>
    </row>
    <row r="827" spans="1:103" ht="12.75" customHeight="1" x14ac:dyDescent="0.2">
      <c r="A827" s="81">
        <v>5142</v>
      </c>
      <c r="B827" s="165" t="s">
        <v>1930</v>
      </c>
      <c r="C827" s="165" t="s">
        <v>2550</v>
      </c>
      <c r="E827" s="165" t="s">
        <v>2551</v>
      </c>
      <c r="G827" s="81">
        <v>528703</v>
      </c>
      <c r="H827" s="81">
        <v>173473</v>
      </c>
      <c r="I827" s="165" t="s">
        <v>247</v>
      </c>
      <c r="L827" s="166">
        <v>1</v>
      </c>
      <c r="M827" s="166">
        <v>5</v>
      </c>
      <c r="N827" s="166">
        <v>4</v>
      </c>
      <c r="O827" s="166">
        <v>5</v>
      </c>
      <c r="P827" s="166">
        <v>4</v>
      </c>
      <c r="R827" s="165" t="s">
        <v>2552</v>
      </c>
      <c r="S827" s="81" t="s">
        <v>113</v>
      </c>
      <c r="T827" s="349">
        <v>43084</v>
      </c>
      <c r="U827" s="349">
        <v>43140</v>
      </c>
      <c r="V827" s="81" t="s">
        <v>155</v>
      </c>
      <c r="W827" s="81" t="s">
        <v>114</v>
      </c>
      <c r="Y827" s="81" t="s">
        <v>115</v>
      </c>
      <c r="Z827" s="81" t="s">
        <v>398</v>
      </c>
      <c r="AA827" s="81" t="s">
        <v>117</v>
      </c>
      <c r="AB827" s="81" t="s">
        <v>120</v>
      </c>
      <c r="AC827" s="166">
        <v>3.70000004768372E-2</v>
      </c>
      <c r="AG827" s="81" t="s">
        <v>238</v>
      </c>
      <c r="AH827" s="81" t="s">
        <v>118</v>
      </c>
      <c r="AK827" s="166">
        <v>0</v>
      </c>
      <c r="AM827" s="166">
        <v>0</v>
      </c>
      <c r="AO827" s="166">
        <v>0</v>
      </c>
      <c r="AP827" s="166">
        <v>1</v>
      </c>
      <c r="AQ827" s="166">
        <v>2</v>
      </c>
      <c r="AR827" s="166">
        <v>2</v>
      </c>
      <c r="AS827" s="166">
        <v>0</v>
      </c>
      <c r="AT827" s="166">
        <v>-1</v>
      </c>
      <c r="AU827" s="166">
        <v>0</v>
      </c>
      <c r="AV827" s="166">
        <v>0</v>
      </c>
      <c r="AW827" s="166">
        <v>1</v>
      </c>
      <c r="AX827" s="166">
        <v>2</v>
      </c>
      <c r="AY827" s="166">
        <v>2</v>
      </c>
      <c r="AZ827" s="166">
        <v>0</v>
      </c>
      <c r="BA827" s="166">
        <v>0</v>
      </c>
      <c r="BB827" s="166">
        <v>0</v>
      </c>
      <c r="BC827" s="166">
        <v>0</v>
      </c>
      <c r="BD827" s="166">
        <v>0</v>
      </c>
      <c r="BE827" s="166">
        <v>0</v>
      </c>
      <c r="BF827" s="166">
        <v>0</v>
      </c>
      <c r="BG827" s="166">
        <v>0</v>
      </c>
      <c r="BH827" s="166">
        <v>-1</v>
      </c>
      <c r="BI827" s="166">
        <v>0</v>
      </c>
      <c r="BJ827" s="166">
        <v>0</v>
      </c>
      <c r="BK827" s="166">
        <v>0</v>
      </c>
      <c r="BL827" s="166">
        <v>0</v>
      </c>
      <c r="BM827" s="166">
        <v>0</v>
      </c>
      <c r="BN827" s="166">
        <v>0</v>
      </c>
      <c r="BO827" s="166">
        <v>0</v>
      </c>
      <c r="BP827" s="166">
        <v>0</v>
      </c>
      <c r="BQ827" s="81" t="s">
        <v>1757</v>
      </c>
      <c r="BZ827" s="81" t="s">
        <v>155</v>
      </c>
      <c r="CA827" s="81" t="s">
        <v>1937</v>
      </c>
      <c r="CC827" s="167">
        <v>0</v>
      </c>
      <c r="CD827" s="167">
        <f>$N827/4</f>
        <v>1</v>
      </c>
      <c r="CE827" s="167">
        <f>$N827/4</f>
        <v>1</v>
      </c>
      <c r="CF827" s="167">
        <f>$N827/4</f>
        <v>1</v>
      </c>
      <c r="CG827" s="167">
        <f>$N827/4</f>
        <v>1</v>
      </c>
      <c r="CH827" s="167">
        <v>0</v>
      </c>
      <c r="CI827" s="167">
        <v>0</v>
      </c>
      <c r="CJ827" s="167">
        <v>0</v>
      </c>
      <c r="CK827" s="167">
        <v>0</v>
      </c>
      <c r="CL827" s="167">
        <v>0</v>
      </c>
      <c r="CM827" s="167">
        <v>0</v>
      </c>
      <c r="CN827" s="167">
        <v>0</v>
      </c>
      <c r="CO827" s="167">
        <v>0</v>
      </c>
      <c r="CP827" s="167">
        <v>0</v>
      </c>
      <c r="CQ827" s="167">
        <v>0</v>
      </c>
      <c r="CR827" s="167">
        <v>0</v>
      </c>
      <c r="CS827" s="167">
        <v>0</v>
      </c>
      <c r="CT827" s="167">
        <v>0</v>
      </c>
      <c r="CU827" s="167">
        <v>0</v>
      </c>
      <c r="CV827" s="167">
        <v>0</v>
      </c>
      <c r="CW827" s="167">
        <v>0</v>
      </c>
      <c r="CX827" s="167">
        <f>SUM(CD827:CH827)</f>
        <v>4</v>
      </c>
      <c r="CY827" s="167">
        <f>SUM(CD827:CM827)</f>
        <v>4</v>
      </c>
    </row>
    <row r="828" spans="1:103" ht="12.75" customHeight="1" x14ac:dyDescent="0.2">
      <c r="A828" s="81">
        <v>5162</v>
      </c>
      <c r="B828" s="165" t="s">
        <v>1930</v>
      </c>
      <c r="C828" s="165" t="s">
        <v>1550</v>
      </c>
      <c r="E828" s="165" t="s">
        <v>2553</v>
      </c>
      <c r="G828" s="81">
        <v>527391</v>
      </c>
      <c r="H828" s="81">
        <v>171717</v>
      </c>
      <c r="I828" s="165" t="s">
        <v>242</v>
      </c>
      <c r="L828" s="166">
        <v>0</v>
      </c>
      <c r="M828" s="166">
        <v>1</v>
      </c>
      <c r="N828" s="166">
        <v>1</v>
      </c>
      <c r="O828" s="166">
        <v>1</v>
      </c>
      <c r="P828" s="166">
        <v>1</v>
      </c>
      <c r="R828" s="165" t="s">
        <v>1551</v>
      </c>
      <c r="S828" s="81" t="s">
        <v>113</v>
      </c>
      <c r="T828" s="349">
        <v>42691</v>
      </c>
      <c r="U828" s="349">
        <v>42873</v>
      </c>
      <c r="V828" s="81" t="s">
        <v>155</v>
      </c>
      <c r="W828" s="81" t="s">
        <v>114</v>
      </c>
      <c r="Y828" s="81" t="s">
        <v>115</v>
      </c>
      <c r="Z828" s="81" t="s">
        <v>310</v>
      </c>
      <c r="AA828" s="81" t="s">
        <v>117</v>
      </c>
      <c r="AB828" s="81" t="s">
        <v>399</v>
      </c>
      <c r="AC828" s="166">
        <v>1.9999999552965199E-2</v>
      </c>
      <c r="AG828" s="81" t="s">
        <v>238</v>
      </c>
      <c r="AH828" s="81" t="s">
        <v>118</v>
      </c>
      <c r="AK828" s="166">
        <v>0</v>
      </c>
      <c r="AM828" s="166">
        <v>0</v>
      </c>
      <c r="AO828" s="166">
        <v>0</v>
      </c>
      <c r="AP828" s="166">
        <v>0</v>
      </c>
      <c r="AQ828" s="166">
        <v>1</v>
      </c>
      <c r="AR828" s="166">
        <v>0</v>
      </c>
      <c r="AS828" s="166">
        <v>0</v>
      </c>
      <c r="AT828" s="166">
        <v>0</v>
      </c>
      <c r="AU828" s="166">
        <v>0</v>
      </c>
      <c r="AV828" s="166">
        <v>0</v>
      </c>
      <c r="AW828" s="166">
        <v>0</v>
      </c>
      <c r="AX828" s="166">
        <v>0</v>
      </c>
      <c r="AY828" s="166">
        <v>0</v>
      </c>
      <c r="AZ828" s="166">
        <v>0</v>
      </c>
      <c r="BA828" s="166">
        <v>0</v>
      </c>
      <c r="BB828" s="166">
        <v>0</v>
      </c>
      <c r="BC828" s="166">
        <v>0</v>
      </c>
      <c r="BD828" s="166">
        <v>0</v>
      </c>
      <c r="BE828" s="166">
        <v>1</v>
      </c>
      <c r="BF828" s="166">
        <v>0</v>
      </c>
      <c r="BG828" s="166">
        <v>0</v>
      </c>
      <c r="BH828" s="166">
        <v>0</v>
      </c>
      <c r="BI828" s="166">
        <v>0</v>
      </c>
      <c r="BJ828" s="166">
        <v>0</v>
      </c>
      <c r="BK828" s="166">
        <v>0</v>
      </c>
      <c r="BL828" s="166">
        <v>0</v>
      </c>
      <c r="BM828" s="166">
        <v>0</v>
      </c>
      <c r="BN828" s="166">
        <v>0</v>
      </c>
      <c r="BO828" s="166">
        <v>0</v>
      </c>
      <c r="BP828" s="166">
        <v>0</v>
      </c>
      <c r="BQ828" s="81" t="s">
        <v>1757</v>
      </c>
      <c r="BZ828" s="81" t="s">
        <v>155</v>
      </c>
      <c r="CA828" s="81" t="s">
        <v>1937</v>
      </c>
      <c r="CC828" s="167">
        <v>0</v>
      </c>
      <c r="CD828" s="167">
        <f>$N828/4</f>
        <v>0.25</v>
      </c>
      <c r="CE828" s="167">
        <f>$N828/4</f>
        <v>0.25</v>
      </c>
      <c r="CF828" s="167">
        <f>$N828/4</f>
        <v>0.25</v>
      </c>
      <c r="CG828" s="167">
        <f>$N828/4</f>
        <v>0.25</v>
      </c>
      <c r="CH828" s="167">
        <v>0</v>
      </c>
      <c r="CI828" s="167">
        <v>0</v>
      </c>
      <c r="CJ828" s="167">
        <v>0</v>
      </c>
      <c r="CK828" s="167">
        <v>0</v>
      </c>
      <c r="CL828" s="167">
        <v>0</v>
      </c>
      <c r="CM828" s="167">
        <v>0</v>
      </c>
      <c r="CN828" s="167">
        <v>0</v>
      </c>
      <c r="CO828" s="167">
        <v>0</v>
      </c>
      <c r="CP828" s="167">
        <v>0</v>
      </c>
      <c r="CQ828" s="167">
        <v>0</v>
      </c>
      <c r="CR828" s="167">
        <v>0</v>
      </c>
      <c r="CS828" s="167">
        <v>0</v>
      </c>
      <c r="CT828" s="167">
        <v>0</v>
      </c>
      <c r="CU828" s="167">
        <v>0</v>
      </c>
      <c r="CV828" s="167">
        <v>0</v>
      </c>
      <c r="CW828" s="167">
        <v>0</v>
      </c>
      <c r="CX828" s="167">
        <f>SUM(CD828:CH828)</f>
        <v>1</v>
      </c>
      <c r="CY828" s="167">
        <f>SUM(CD828:CM828)</f>
        <v>1</v>
      </c>
    </row>
    <row r="829" spans="1:103" ht="12.75" customHeight="1" x14ac:dyDescent="0.2">
      <c r="A829" s="81">
        <v>5188</v>
      </c>
      <c r="B829" s="165" t="s">
        <v>1930</v>
      </c>
      <c r="C829" s="165" t="s">
        <v>574</v>
      </c>
      <c r="E829" s="165" t="s">
        <v>2554</v>
      </c>
      <c r="G829" s="81">
        <v>522735</v>
      </c>
      <c r="H829" s="81">
        <v>175024</v>
      </c>
      <c r="I829" s="165" t="s">
        <v>59</v>
      </c>
      <c r="L829" s="166">
        <v>1</v>
      </c>
      <c r="M829" s="166">
        <v>1</v>
      </c>
      <c r="N829" s="166">
        <v>0</v>
      </c>
      <c r="O829" s="166">
        <v>1</v>
      </c>
      <c r="P829" s="166">
        <v>0</v>
      </c>
      <c r="R829" s="165" t="s">
        <v>575</v>
      </c>
      <c r="S829" s="81" t="s">
        <v>113</v>
      </c>
      <c r="T829" s="349">
        <v>42163</v>
      </c>
      <c r="U829" s="349">
        <v>42264</v>
      </c>
      <c r="W829" s="81" t="s">
        <v>114</v>
      </c>
      <c r="Y829" s="81" t="s">
        <v>115</v>
      </c>
      <c r="Z829" s="81" t="s">
        <v>116</v>
      </c>
      <c r="AA829" s="81" t="s">
        <v>117</v>
      </c>
      <c r="AB829" s="81" t="s">
        <v>218</v>
      </c>
      <c r="AC829" s="166">
        <v>0.12800000607967399</v>
      </c>
      <c r="AG829" s="81" t="s">
        <v>238</v>
      </c>
      <c r="AH829" s="81" t="s">
        <v>118</v>
      </c>
      <c r="AK829" s="166">
        <v>1</v>
      </c>
      <c r="AM829" s="166">
        <v>0</v>
      </c>
      <c r="AO829" s="166">
        <v>0</v>
      </c>
      <c r="AP829" s="166">
        <v>0</v>
      </c>
      <c r="AQ829" s="166">
        <v>0</v>
      </c>
      <c r="AR829" s="166">
        <v>0</v>
      </c>
      <c r="AS829" s="166">
        <v>-1</v>
      </c>
      <c r="AT829" s="166">
        <v>1</v>
      </c>
      <c r="AU829" s="166">
        <v>0</v>
      </c>
      <c r="AV829" s="166">
        <v>0</v>
      </c>
      <c r="AW829" s="166">
        <v>0</v>
      </c>
      <c r="AX829" s="166">
        <v>0</v>
      </c>
      <c r="AY829" s="166">
        <v>0</v>
      </c>
      <c r="AZ829" s="166">
        <v>0</v>
      </c>
      <c r="BA829" s="166">
        <v>0</v>
      </c>
      <c r="BB829" s="166">
        <v>0</v>
      </c>
      <c r="BC829" s="166">
        <v>0</v>
      </c>
      <c r="BD829" s="166">
        <v>0</v>
      </c>
      <c r="BE829" s="166">
        <v>0</v>
      </c>
      <c r="BF829" s="166">
        <v>0</v>
      </c>
      <c r="BG829" s="166">
        <v>-1</v>
      </c>
      <c r="BH829" s="166">
        <v>1</v>
      </c>
      <c r="BI829" s="166">
        <v>0</v>
      </c>
      <c r="BJ829" s="166">
        <v>0</v>
      </c>
      <c r="BK829" s="166">
        <v>0</v>
      </c>
      <c r="BL829" s="166">
        <v>0</v>
      </c>
      <c r="BM829" s="166">
        <v>0</v>
      </c>
      <c r="BN829" s="166">
        <v>0</v>
      </c>
      <c r="BO829" s="166">
        <v>0</v>
      </c>
      <c r="BP829" s="166">
        <v>0</v>
      </c>
      <c r="BQ829" s="81" t="s">
        <v>1758</v>
      </c>
      <c r="BZ829" s="81" t="s">
        <v>155</v>
      </c>
      <c r="CA829" s="81">
        <v>4</v>
      </c>
      <c r="CC829" s="167">
        <v>0</v>
      </c>
      <c r="CD829" s="167">
        <v>0</v>
      </c>
      <c r="CE829" s="167">
        <f>$N829/5</f>
        <v>0</v>
      </c>
      <c r="CF829" s="167">
        <f>$N829/5</f>
        <v>0</v>
      </c>
      <c r="CG829" s="167">
        <f>$N829/5</f>
        <v>0</v>
      </c>
      <c r="CH829" s="167">
        <f>$N829/5</f>
        <v>0</v>
      </c>
      <c r="CI829" s="167">
        <f>$N829/5</f>
        <v>0</v>
      </c>
      <c r="CJ829" s="167">
        <v>0</v>
      </c>
      <c r="CK829" s="167">
        <v>0</v>
      </c>
      <c r="CL829" s="167">
        <v>0</v>
      </c>
      <c r="CM829" s="167">
        <v>0</v>
      </c>
      <c r="CN829" s="167">
        <v>0</v>
      </c>
      <c r="CO829" s="167">
        <v>0</v>
      </c>
      <c r="CP829" s="167">
        <v>0</v>
      </c>
      <c r="CQ829" s="167">
        <v>0</v>
      </c>
      <c r="CR829" s="167">
        <v>0</v>
      </c>
      <c r="CS829" s="167">
        <v>0</v>
      </c>
      <c r="CT829" s="167">
        <v>0</v>
      </c>
      <c r="CU829" s="167">
        <v>0</v>
      </c>
      <c r="CV829" s="167">
        <v>0</v>
      </c>
      <c r="CW829" s="167">
        <v>0</v>
      </c>
      <c r="CX829" s="167">
        <f>SUM(CD829:CH829)</f>
        <v>0</v>
      </c>
      <c r="CY829" s="167">
        <f>SUM(CD829:CM829)</f>
        <v>0</v>
      </c>
    </row>
    <row r="830" spans="1:103" ht="12.75" customHeight="1" x14ac:dyDescent="0.2">
      <c r="A830" s="81">
        <v>5234</v>
      </c>
      <c r="B830" s="165" t="s">
        <v>1930</v>
      </c>
      <c r="C830" s="165" t="s">
        <v>654</v>
      </c>
      <c r="E830" s="165" t="s">
        <v>2555</v>
      </c>
      <c r="G830" s="81">
        <v>526770</v>
      </c>
      <c r="H830" s="81">
        <v>171464</v>
      </c>
      <c r="I830" s="165" t="s">
        <v>242</v>
      </c>
      <c r="L830" s="166">
        <v>0</v>
      </c>
      <c r="M830" s="166">
        <v>1</v>
      </c>
      <c r="N830" s="166">
        <v>1</v>
      </c>
      <c r="O830" s="166">
        <v>1</v>
      </c>
      <c r="P830" s="166">
        <v>1</v>
      </c>
      <c r="R830" s="165" t="s">
        <v>655</v>
      </c>
      <c r="S830" s="81" t="s">
        <v>113</v>
      </c>
      <c r="T830" s="349">
        <v>42263</v>
      </c>
      <c r="U830" s="349">
        <v>42319</v>
      </c>
      <c r="W830" s="81" t="s">
        <v>114</v>
      </c>
      <c r="Y830" s="81" t="s">
        <v>115</v>
      </c>
      <c r="Z830" s="81" t="s">
        <v>116</v>
      </c>
      <c r="AA830" s="81" t="s">
        <v>117</v>
      </c>
      <c r="AB830" s="81" t="s">
        <v>218</v>
      </c>
      <c r="AC830" s="166">
        <v>1.4999999664723899E-2</v>
      </c>
      <c r="AG830" s="81" t="s">
        <v>238</v>
      </c>
      <c r="AH830" s="81" t="s">
        <v>118</v>
      </c>
      <c r="AK830" s="166">
        <v>1</v>
      </c>
      <c r="AM830" s="166">
        <v>0</v>
      </c>
      <c r="AO830" s="166">
        <v>0</v>
      </c>
      <c r="AP830" s="166">
        <v>1</v>
      </c>
      <c r="AQ830" s="166">
        <v>0</v>
      </c>
      <c r="AR830" s="166">
        <v>0</v>
      </c>
      <c r="AS830" s="166">
        <v>0</v>
      </c>
      <c r="AT830" s="166">
        <v>0</v>
      </c>
      <c r="AU830" s="166">
        <v>0</v>
      </c>
      <c r="AV830" s="166">
        <v>0</v>
      </c>
      <c r="AW830" s="166">
        <v>0</v>
      </c>
      <c r="AX830" s="166">
        <v>0</v>
      </c>
      <c r="AY830" s="166">
        <v>0</v>
      </c>
      <c r="AZ830" s="166">
        <v>0</v>
      </c>
      <c r="BA830" s="166">
        <v>0</v>
      </c>
      <c r="BB830" s="166">
        <v>0</v>
      </c>
      <c r="BC830" s="166">
        <v>0</v>
      </c>
      <c r="BD830" s="166">
        <v>1</v>
      </c>
      <c r="BE830" s="166">
        <v>0</v>
      </c>
      <c r="BF830" s="166">
        <v>0</v>
      </c>
      <c r="BG830" s="166">
        <v>0</v>
      </c>
      <c r="BH830" s="166">
        <v>0</v>
      </c>
      <c r="BI830" s="166">
        <v>0</v>
      </c>
      <c r="BJ830" s="166">
        <v>0</v>
      </c>
      <c r="BK830" s="166">
        <v>0</v>
      </c>
      <c r="BL830" s="166">
        <v>0</v>
      </c>
      <c r="BM830" s="166">
        <v>0</v>
      </c>
      <c r="BN830" s="166">
        <v>0</v>
      </c>
      <c r="BO830" s="166">
        <v>0</v>
      </c>
      <c r="BP830" s="166">
        <v>0</v>
      </c>
      <c r="BQ830" s="81" t="s">
        <v>1757</v>
      </c>
      <c r="BZ830" s="81" t="s">
        <v>155</v>
      </c>
      <c r="CA830" s="81">
        <v>4</v>
      </c>
      <c r="CC830" s="167">
        <v>0</v>
      </c>
      <c r="CD830" s="167">
        <v>0</v>
      </c>
      <c r="CE830" s="167">
        <f>$N830/5</f>
        <v>0.2</v>
      </c>
      <c r="CF830" s="167">
        <f>$N830/5</f>
        <v>0.2</v>
      </c>
      <c r="CG830" s="167">
        <f>$N830/5</f>
        <v>0.2</v>
      </c>
      <c r="CH830" s="167">
        <f>$N830/5</f>
        <v>0.2</v>
      </c>
      <c r="CI830" s="167">
        <f>$N830/5</f>
        <v>0.2</v>
      </c>
      <c r="CJ830" s="167">
        <v>0</v>
      </c>
      <c r="CK830" s="167">
        <v>0</v>
      </c>
      <c r="CL830" s="167">
        <v>0</v>
      </c>
      <c r="CM830" s="167">
        <v>0</v>
      </c>
      <c r="CN830" s="167">
        <v>0</v>
      </c>
      <c r="CO830" s="167">
        <v>0</v>
      </c>
      <c r="CP830" s="167">
        <v>0</v>
      </c>
      <c r="CQ830" s="167">
        <v>0</v>
      </c>
      <c r="CR830" s="167">
        <v>0</v>
      </c>
      <c r="CS830" s="167">
        <v>0</v>
      </c>
      <c r="CT830" s="167">
        <v>0</v>
      </c>
      <c r="CU830" s="167">
        <v>0</v>
      </c>
      <c r="CV830" s="167">
        <v>0</v>
      </c>
      <c r="CW830" s="167">
        <v>0</v>
      </c>
      <c r="CX830" s="167">
        <f>SUM(CD830:CH830)</f>
        <v>0.8</v>
      </c>
      <c r="CY830" s="167">
        <f>SUM(CD830:CM830)</f>
        <v>1</v>
      </c>
    </row>
    <row r="831" spans="1:103" ht="12.75" customHeight="1" x14ac:dyDescent="0.2">
      <c r="A831" s="81">
        <v>5278</v>
      </c>
      <c r="B831" s="165" t="s">
        <v>1930</v>
      </c>
      <c r="C831" s="165" t="s">
        <v>822</v>
      </c>
      <c r="E831" s="165" t="s">
        <v>2556</v>
      </c>
      <c r="G831" s="81">
        <v>528623</v>
      </c>
      <c r="H831" s="81">
        <v>176042</v>
      </c>
      <c r="I831" s="165" t="s">
        <v>240</v>
      </c>
      <c r="L831" s="166">
        <v>0</v>
      </c>
      <c r="M831" s="166">
        <v>4</v>
      </c>
      <c r="N831" s="166">
        <v>4</v>
      </c>
      <c r="O831" s="166">
        <v>4</v>
      </c>
      <c r="P831" s="166">
        <v>4</v>
      </c>
      <c r="R831" s="165" t="s">
        <v>1183</v>
      </c>
      <c r="S831" s="81" t="s">
        <v>113</v>
      </c>
      <c r="T831" s="349">
        <v>42417</v>
      </c>
      <c r="U831" s="349">
        <v>42614</v>
      </c>
      <c r="W831" s="81" t="s">
        <v>114</v>
      </c>
      <c r="Y831" s="81" t="s">
        <v>115</v>
      </c>
      <c r="Z831" s="81" t="s">
        <v>116</v>
      </c>
      <c r="AA831" s="81" t="s">
        <v>117</v>
      </c>
      <c r="AB831" s="81" t="s">
        <v>218</v>
      </c>
      <c r="AC831" s="166">
        <v>1.9999999552965199E-2</v>
      </c>
      <c r="AG831" s="81" t="s">
        <v>238</v>
      </c>
      <c r="AH831" s="81" t="s">
        <v>118</v>
      </c>
      <c r="AK831" s="166">
        <v>0</v>
      </c>
      <c r="AM831" s="166">
        <v>0</v>
      </c>
      <c r="AO831" s="166">
        <v>0</v>
      </c>
      <c r="AP831" s="166">
        <v>0</v>
      </c>
      <c r="AQ831" s="166">
        <v>4</v>
      </c>
      <c r="AR831" s="166">
        <v>0</v>
      </c>
      <c r="AS831" s="166">
        <v>0</v>
      </c>
      <c r="AT831" s="166">
        <v>0</v>
      </c>
      <c r="AU831" s="166">
        <v>0</v>
      </c>
      <c r="AV831" s="166">
        <v>0</v>
      </c>
      <c r="AW831" s="166">
        <v>0</v>
      </c>
      <c r="AX831" s="166">
        <v>0</v>
      </c>
      <c r="AY831" s="166">
        <v>0</v>
      </c>
      <c r="AZ831" s="166">
        <v>0</v>
      </c>
      <c r="BA831" s="166">
        <v>0</v>
      </c>
      <c r="BB831" s="166">
        <v>0</v>
      </c>
      <c r="BC831" s="166">
        <v>0</v>
      </c>
      <c r="BD831" s="166">
        <v>0</v>
      </c>
      <c r="BE831" s="166">
        <v>4</v>
      </c>
      <c r="BF831" s="166">
        <v>0</v>
      </c>
      <c r="BG831" s="166">
        <v>0</v>
      </c>
      <c r="BH831" s="166">
        <v>0</v>
      </c>
      <c r="BI831" s="166">
        <v>0</v>
      </c>
      <c r="BJ831" s="166">
        <v>0</v>
      </c>
      <c r="BK831" s="166">
        <v>0</v>
      </c>
      <c r="BL831" s="166">
        <v>0</v>
      </c>
      <c r="BM831" s="166">
        <v>0</v>
      </c>
      <c r="BN831" s="166">
        <v>0</v>
      </c>
      <c r="BO831" s="166">
        <v>0</v>
      </c>
      <c r="BP831" s="166">
        <v>0</v>
      </c>
      <c r="BQ831" s="81" t="s">
        <v>1757</v>
      </c>
      <c r="BZ831" s="81" t="s">
        <v>155</v>
      </c>
      <c r="CA831" s="81">
        <v>4</v>
      </c>
      <c r="CC831" s="167">
        <v>0</v>
      </c>
      <c r="CD831" s="167">
        <v>0</v>
      </c>
      <c r="CE831" s="167">
        <f>$N831/5</f>
        <v>0.8</v>
      </c>
      <c r="CF831" s="167">
        <f>$N831/5</f>
        <v>0.8</v>
      </c>
      <c r="CG831" s="167">
        <f>$N831/5</f>
        <v>0.8</v>
      </c>
      <c r="CH831" s="167">
        <f>$N831/5</f>
        <v>0.8</v>
      </c>
      <c r="CI831" s="167">
        <f>$N831/5</f>
        <v>0.8</v>
      </c>
      <c r="CJ831" s="167">
        <v>0</v>
      </c>
      <c r="CK831" s="167">
        <v>0</v>
      </c>
      <c r="CL831" s="167">
        <v>0</v>
      </c>
      <c r="CM831" s="167">
        <v>0</v>
      </c>
      <c r="CN831" s="167">
        <v>0</v>
      </c>
      <c r="CO831" s="167">
        <v>0</v>
      </c>
      <c r="CP831" s="167">
        <v>0</v>
      </c>
      <c r="CQ831" s="167">
        <v>0</v>
      </c>
      <c r="CR831" s="167">
        <v>0</v>
      </c>
      <c r="CS831" s="167">
        <v>0</v>
      </c>
      <c r="CT831" s="167">
        <v>0</v>
      </c>
      <c r="CU831" s="167">
        <v>0</v>
      </c>
      <c r="CV831" s="167">
        <v>0</v>
      </c>
      <c r="CW831" s="167">
        <v>0</v>
      </c>
      <c r="CX831" s="167">
        <f>SUM(CD831:CH831)</f>
        <v>3.2</v>
      </c>
      <c r="CY831" s="167">
        <f>SUM(CD831:CM831)</f>
        <v>4</v>
      </c>
    </row>
    <row r="832" spans="1:103" ht="12.75" customHeight="1" x14ac:dyDescent="0.2">
      <c r="A832" s="81">
        <v>5281</v>
      </c>
      <c r="B832" s="165" t="s">
        <v>1930</v>
      </c>
      <c r="C832" s="165" t="s">
        <v>2557</v>
      </c>
      <c r="E832" s="165" t="s">
        <v>2558</v>
      </c>
      <c r="G832" s="81">
        <v>526909</v>
      </c>
      <c r="H832" s="81">
        <v>171864</v>
      </c>
      <c r="I832" s="165" t="s">
        <v>242</v>
      </c>
      <c r="L832" s="166">
        <v>0</v>
      </c>
      <c r="M832" s="166">
        <v>1</v>
      </c>
      <c r="N832" s="166">
        <v>1</v>
      </c>
      <c r="O832" s="166">
        <v>1</v>
      </c>
      <c r="P832" s="166">
        <v>1</v>
      </c>
      <c r="R832" s="165" t="s">
        <v>2559</v>
      </c>
      <c r="S832" s="81" t="s">
        <v>113</v>
      </c>
      <c r="T832" s="349">
        <v>42991</v>
      </c>
      <c r="U832" s="349">
        <v>43077</v>
      </c>
      <c r="V832" s="81" t="s">
        <v>155</v>
      </c>
      <c r="W832" s="81" t="s">
        <v>114</v>
      </c>
      <c r="Y832" s="81" t="s">
        <v>115</v>
      </c>
      <c r="Z832" s="81" t="s">
        <v>398</v>
      </c>
      <c r="AA832" s="81" t="s">
        <v>117</v>
      </c>
      <c r="AB832" s="81" t="s">
        <v>102</v>
      </c>
      <c r="AC832" s="166">
        <v>4.0000001899898104E-3</v>
      </c>
      <c r="AG832" s="81" t="s">
        <v>238</v>
      </c>
      <c r="AH832" s="81" t="s">
        <v>118</v>
      </c>
      <c r="AK832" s="166">
        <v>0</v>
      </c>
      <c r="AM832" s="166">
        <v>0</v>
      </c>
      <c r="AO832" s="166">
        <v>0</v>
      </c>
      <c r="AP832" s="166">
        <v>1</v>
      </c>
      <c r="AQ832" s="166">
        <v>0</v>
      </c>
      <c r="AR832" s="166">
        <v>0</v>
      </c>
      <c r="AS832" s="166">
        <v>0</v>
      </c>
      <c r="AT832" s="166">
        <v>0</v>
      </c>
      <c r="AU832" s="166">
        <v>0</v>
      </c>
      <c r="AV832" s="166">
        <v>0</v>
      </c>
      <c r="AW832" s="166">
        <v>1</v>
      </c>
      <c r="AX832" s="166">
        <v>0</v>
      </c>
      <c r="AY832" s="166">
        <v>0</v>
      </c>
      <c r="AZ832" s="166">
        <v>0</v>
      </c>
      <c r="BA832" s="166">
        <v>0</v>
      </c>
      <c r="BB832" s="166">
        <v>0</v>
      </c>
      <c r="BC832" s="166">
        <v>0</v>
      </c>
      <c r="BD832" s="166">
        <v>0</v>
      </c>
      <c r="BE832" s="166">
        <v>0</v>
      </c>
      <c r="BF832" s="166">
        <v>0</v>
      </c>
      <c r="BG832" s="166">
        <v>0</v>
      </c>
      <c r="BH832" s="166">
        <v>0</v>
      </c>
      <c r="BI832" s="166">
        <v>0</v>
      </c>
      <c r="BJ832" s="166">
        <v>0</v>
      </c>
      <c r="BK832" s="166">
        <v>0</v>
      </c>
      <c r="BL832" s="166">
        <v>0</v>
      </c>
      <c r="BM832" s="166">
        <v>0</v>
      </c>
      <c r="BN832" s="166">
        <v>0</v>
      </c>
      <c r="BO832" s="166">
        <v>0</v>
      </c>
      <c r="BP832" s="166">
        <v>0</v>
      </c>
      <c r="BQ832" s="81" t="s">
        <v>1757</v>
      </c>
      <c r="BZ832" s="81" t="s">
        <v>155</v>
      </c>
      <c r="CA832" s="81" t="s">
        <v>1937</v>
      </c>
      <c r="CC832" s="167">
        <v>0</v>
      </c>
      <c r="CD832" s="167">
        <f>$N832/4</f>
        <v>0.25</v>
      </c>
      <c r="CE832" s="167">
        <f>$N832/4</f>
        <v>0.25</v>
      </c>
      <c r="CF832" s="167">
        <f>$N832/4</f>
        <v>0.25</v>
      </c>
      <c r="CG832" s="167">
        <f>$N832/4</f>
        <v>0.25</v>
      </c>
      <c r="CH832" s="167">
        <v>0</v>
      </c>
      <c r="CI832" s="167">
        <v>0</v>
      </c>
      <c r="CJ832" s="167">
        <v>0</v>
      </c>
      <c r="CK832" s="167">
        <v>0</v>
      </c>
      <c r="CL832" s="167">
        <v>0</v>
      </c>
      <c r="CM832" s="167">
        <v>0</v>
      </c>
      <c r="CN832" s="167">
        <v>0</v>
      </c>
      <c r="CO832" s="167">
        <v>0</v>
      </c>
      <c r="CP832" s="167">
        <v>0</v>
      </c>
      <c r="CQ832" s="167">
        <v>0</v>
      </c>
      <c r="CR832" s="167">
        <v>0</v>
      </c>
      <c r="CS832" s="167">
        <v>0</v>
      </c>
      <c r="CT832" s="167">
        <v>0</v>
      </c>
      <c r="CU832" s="167">
        <v>0</v>
      </c>
      <c r="CV832" s="167">
        <v>0</v>
      </c>
      <c r="CW832" s="167">
        <v>0</v>
      </c>
      <c r="CX832" s="167">
        <f>SUM(CD832:CH832)</f>
        <v>1</v>
      </c>
      <c r="CY832" s="167">
        <f>SUM(CD832:CM832)</f>
        <v>1</v>
      </c>
    </row>
    <row r="833" spans="1:103" ht="12.75" customHeight="1" x14ac:dyDescent="0.2">
      <c r="A833" s="81">
        <v>5284</v>
      </c>
      <c r="B833" s="165" t="s">
        <v>1930</v>
      </c>
      <c r="C833" s="165" t="s">
        <v>1491</v>
      </c>
      <c r="E833" s="165" t="s">
        <v>2560</v>
      </c>
      <c r="G833" s="81">
        <v>527494</v>
      </c>
      <c r="H833" s="81">
        <v>176369</v>
      </c>
      <c r="I833" s="165" t="s">
        <v>241</v>
      </c>
      <c r="L833" s="166">
        <v>0</v>
      </c>
      <c r="M833" s="166">
        <v>1</v>
      </c>
      <c r="N833" s="166">
        <v>1</v>
      </c>
      <c r="O833" s="166">
        <v>1</v>
      </c>
      <c r="P833" s="166">
        <v>1</v>
      </c>
      <c r="R833" s="165" t="s">
        <v>1492</v>
      </c>
      <c r="S833" s="81" t="s">
        <v>113</v>
      </c>
      <c r="T833" s="349">
        <v>42718</v>
      </c>
      <c r="U833" s="349">
        <v>42822</v>
      </c>
      <c r="W833" s="81" t="s">
        <v>114</v>
      </c>
      <c r="Y833" s="81" t="s">
        <v>115</v>
      </c>
      <c r="Z833" s="81" t="s">
        <v>398</v>
      </c>
      <c r="AA833" s="81" t="s">
        <v>117</v>
      </c>
      <c r="AB833" s="81" t="s">
        <v>399</v>
      </c>
      <c r="AC833" s="166">
        <v>6.0000000521540598E-3</v>
      </c>
      <c r="AG833" s="81" t="s">
        <v>238</v>
      </c>
      <c r="AH833" s="81" t="s">
        <v>118</v>
      </c>
      <c r="AK833" s="166">
        <v>0</v>
      </c>
      <c r="AM833" s="166">
        <v>0</v>
      </c>
      <c r="AO833" s="166">
        <v>0</v>
      </c>
      <c r="AP833" s="166">
        <v>0</v>
      </c>
      <c r="AQ833" s="166">
        <v>1</v>
      </c>
      <c r="AR833" s="166">
        <v>0</v>
      </c>
      <c r="AS833" s="166">
        <v>0</v>
      </c>
      <c r="AT833" s="166">
        <v>0</v>
      </c>
      <c r="AU833" s="166">
        <v>0</v>
      </c>
      <c r="AV833" s="166">
        <v>0</v>
      </c>
      <c r="AW833" s="166">
        <v>0</v>
      </c>
      <c r="AX833" s="166">
        <v>1</v>
      </c>
      <c r="AY833" s="166">
        <v>0</v>
      </c>
      <c r="AZ833" s="166">
        <v>0</v>
      </c>
      <c r="BA833" s="166">
        <v>0</v>
      </c>
      <c r="BB833" s="166">
        <v>0</v>
      </c>
      <c r="BC833" s="166">
        <v>0</v>
      </c>
      <c r="BD833" s="166">
        <v>0</v>
      </c>
      <c r="BE833" s="166">
        <v>0</v>
      </c>
      <c r="BF833" s="166">
        <v>0</v>
      </c>
      <c r="BG833" s="166">
        <v>0</v>
      </c>
      <c r="BH833" s="166">
        <v>0</v>
      </c>
      <c r="BI833" s="166">
        <v>0</v>
      </c>
      <c r="BJ833" s="166">
        <v>0</v>
      </c>
      <c r="BK833" s="166">
        <v>0</v>
      </c>
      <c r="BL833" s="166">
        <v>0</v>
      </c>
      <c r="BM833" s="166">
        <v>0</v>
      </c>
      <c r="BN833" s="166">
        <v>0</v>
      </c>
      <c r="BO833" s="166">
        <v>0</v>
      </c>
      <c r="BP833" s="166">
        <v>0</v>
      </c>
      <c r="BQ833" s="81" t="s">
        <v>1757</v>
      </c>
      <c r="BZ833" s="81" t="s">
        <v>155</v>
      </c>
      <c r="CA833" s="81" t="s">
        <v>1937</v>
      </c>
      <c r="CC833" s="167">
        <v>0</v>
      </c>
      <c r="CD833" s="167">
        <f>$N833/4</f>
        <v>0.25</v>
      </c>
      <c r="CE833" s="167">
        <f>$N833/4</f>
        <v>0.25</v>
      </c>
      <c r="CF833" s="167">
        <f>$N833/4</f>
        <v>0.25</v>
      </c>
      <c r="CG833" s="167">
        <f>$N833/4</f>
        <v>0.25</v>
      </c>
      <c r="CH833" s="167">
        <v>0</v>
      </c>
      <c r="CI833" s="167">
        <v>0</v>
      </c>
      <c r="CJ833" s="167">
        <v>0</v>
      </c>
      <c r="CK833" s="167">
        <v>0</v>
      </c>
      <c r="CL833" s="167">
        <v>0</v>
      </c>
      <c r="CM833" s="167">
        <v>0</v>
      </c>
      <c r="CN833" s="167">
        <v>0</v>
      </c>
      <c r="CO833" s="167">
        <v>0</v>
      </c>
      <c r="CP833" s="167">
        <v>0</v>
      </c>
      <c r="CQ833" s="167">
        <v>0</v>
      </c>
      <c r="CR833" s="167">
        <v>0</v>
      </c>
      <c r="CS833" s="167">
        <v>0</v>
      </c>
      <c r="CT833" s="167">
        <v>0</v>
      </c>
      <c r="CU833" s="167">
        <v>0</v>
      </c>
      <c r="CV833" s="167">
        <v>0</v>
      </c>
      <c r="CW833" s="167">
        <v>0</v>
      </c>
      <c r="CX833" s="167">
        <f>SUM(CD833:CH833)</f>
        <v>1</v>
      </c>
      <c r="CY833" s="167">
        <f>SUM(CD833:CM833)</f>
        <v>1</v>
      </c>
    </row>
    <row r="834" spans="1:103" ht="12.75" customHeight="1" x14ac:dyDescent="0.2">
      <c r="A834" s="81">
        <v>5298</v>
      </c>
      <c r="B834" s="165" t="s">
        <v>1930</v>
      </c>
      <c r="C834" s="165" t="s">
        <v>1376</v>
      </c>
      <c r="E834" s="165" t="s">
        <v>2561</v>
      </c>
      <c r="G834" s="81">
        <v>521254</v>
      </c>
      <c r="H834" s="81">
        <v>174526</v>
      </c>
      <c r="I834" s="165" t="s">
        <v>877</v>
      </c>
      <c r="L834" s="166">
        <v>0</v>
      </c>
      <c r="M834" s="166">
        <v>1</v>
      </c>
      <c r="N834" s="166">
        <v>1</v>
      </c>
      <c r="O834" s="166">
        <v>1</v>
      </c>
      <c r="P834" s="166">
        <v>1</v>
      </c>
      <c r="R834" s="165" t="s">
        <v>1377</v>
      </c>
      <c r="S834" s="81" t="s">
        <v>113</v>
      </c>
      <c r="T834" s="349">
        <v>42590</v>
      </c>
      <c r="U834" s="349">
        <v>42691</v>
      </c>
      <c r="W834" s="81" t="s">
        <v>114</v>
      </c>
      <c r="Y834" s="81" t="s">
        <v>115</v>
      </c>
      <c r="Z834" s="81" t="s">
        <v>116</v>
      </c>
      <c r="AA834" s="81" t="s">
        <v>117</v>
      </c>
      <c r="AB834" s="81" t="s">
        <v>218</v>
      </c>
      <c r="AC834" s="166">
        <v>0.108000002801418</v>
      </c>
      <c r="AG834" s="81" t="s">
        <v>238</v>
      </c>
      <c r="AH834" s="81" t="s">
        <v>118</v>
      </c>
      <c r="AK834" s="166">
        <v>1</v>
      </c>
      <c r="AM834" s="166">
        <v>1</v>
      </c>
      <c r="AO834" s="166">
        <v>0</v>
      </c>
      <c r="AP834" s="166">
        <v>0</v>
      </c>
      <c r="AQ834" s="166">
        <v>0</v>
      </c>
      <c r="AR834" s="166">
        <v>0</v>
      </c>
      <c r="AS834" s="166">
        <v>0</v>
      </c>
      <c r="AT834" s="166">
        <v>1</v>
      </c>
      <c r="AU834" s="166">
        <v>0</v>
      </c>
      <c r="AV834" s="166">
        <v>0</v>
      </c>
      <c r="AW834" s="166">
        <v>0</v>
      </c>
      <c r="AX834" s="166">
        <v>0</v>
      </c>
      <c r="AY834" s="166">
        <v>0</v>
      </c>
      <c r="AZ834" s="166">
        <v>0</v>
      </c>
      <c r="BA834" s="166">
        <v>0</v>
      </c>
      <c r="BB834" s="166">
        <v>0</v>
      </c>
      <c r="BC834" s="166">
        <v>0</v>
      </c>
      <c r="BD834" s="166">
        <v>0</v>
      </c>
      <c r="BE834" s="166">
        <v>0</v>
      </c>
      <c r="BF834" s="166">
        <v>0</v>
      </c>
      <c r="BG834" s="166">
        <v>0</v>
      </c>
      <c r="BH834" s="166">
        <v>1</v>
      </c>
      <c r="BI834" s="166">
        <v>0</v>
      </c>
      <c r="BJ834" s="166">
        <v>0</v>
      </c>
      <c r="BK834" s="166">
        <v>0</v>
      </c>
      <c r="BL834" s="166">
        <v>0</v>
      </c>
      <c r="BM834" s="166">
        <v>0</v>
      </c>
      <c r="BN834" s="166">
        <v>0</v>
      </c>
      <c r="BO834" s="166">
        <v>0</v>
      </c>
      <c r="BP834" s="166">
        <v>0</v>
      </c>
      <c r="BQ834" s="81" t="s">
        <v>1758</v>
      </c>
      <c r="BZ834" s="81" t="s">
        <v>155</v>
      </c>
      <c r="CA834" s="81">
        <v>4</v>
      </c>
      <c r="CC834" s="167">
        <v>0</v>
      </c>
      <c r="CD834" s="167">
        <v>0</v>
      </c>
      <c r="CE834" s="167">
        <f>$N834/5</f>
        <v>0.2</v>
      </c>
      <c r="CF834" s="167">
        <f>$N834/5</f>
        <v>0.2</v>
      </c>
      <c r="CG834" s="167">
        <f>$N834/5</f>
        <v>0.2</v>
      </c>
      <c r="CH834" s="167">
        <f>$N834/5</f>
        <v>0.2</v>
      </c>
      <c r="CI834" s="167">
        <f>$N834/5</f>
        <v>0.2</v>
      </c>
      <c r="CJ834" s="167">
        <v>0</v>
      </c>
      <c r="CK834" s="167">
        <v>0</v>
      </c>
      <c r="CL834" s="167">
        <v>0</v>
      </c>
      <c r="CM834" s="167">
        <v>0</v>
      </c>
      <c r="CN834" s="167">
        <v>0</v>
      </c>
      <c r="CO834" s="167">
        <v>0</v>
      </c>
      <c r="CP834" s="167">
        <v>0</v>
      </c>
      <c r="CQ834" s="167">
        <v>0</v>
      </c>
      <c r="CR834" s="167">
        <v>0</v>
      </c>
      <c r="CS834" s="167">
        <v>0</v>
      </c>
      <c r="CT834" s="167">
        <v>0</v>
      </c>
      <c r="CU834" s="167">
        <v>0</v>
      </c>
      <c r="CV834" s="167">
        <v>0</v>
      </c>
      <c r="CW834" s="167">
        <v>0</v>
      </c>
      <c r="CX834" s="167">
        <f>SUM(CD834:CH834)</f>
        <v>0.8</v>
      </c>
      <c r="CY834" s="167">
        <f>SUM(CD834:CM834)</f>
        <v>1</v>
      </c>
    </row>
    <row r="835" spans="1:103" ht="12.75" customHeight="1" x14ac:dyDescent="0.2">
      <c r="A835" s="81">
        <v>5359</v>
      </c>
      <c r="B835" s="165" t="s">
        <v>1930</v>
      </c>
      <c r="C835" s="165" t="s">
        <v>1538</v>
      </c>
      <c r="E835" s="165" t="s">
        <v>2562</v>
      </c>
      <c r="G835" s="81">
        <v>529690</v>
      </c>
      <c r="H835" s="81">
        <v>177683</v>
      </c>
      <c r="I835" s="165" t="s">
        <v>240</v>
      </c>
      <c r="L835" s="166">
        <v>1</v>
      </c>
      <c r="M835" s="166">
        <v>2</v>
      </c>
      <c r="N835" s="166">
        <v>1</v>
      </c>
      <c r="O835" s="166">
        <v>2</v>
      </c>
      <c r="P835" s="166">
        <v>1</v>
      </c>
      <c r="R835" s="165" t="s">
        <v>1539</v>
      </c>
      <c r="S835" s="81" t="s">
        <v>113</v>
      </c>
      <c r="T835" s="349">
        <v>42767</v>
      </c>
      <c r="U835" s="349">
        <v>42804</v>
      </c>
      <c r="W835" s="81" t="s">
        <v>114</v>
      </c>
      <c r="Y835" s="81" t="s">
        <v>115</v>
      </c>
      <c r="Z835" s="81" t="s">
        <v>119</v>
      </c>
      <c r="AA835" s="81" t="s">
        <v>117</v>
      </c>
      <c r="AB835" s="81" t="s">
        <v>220</v>
      </c>
      <c r="AC835" s="166">
        <v>8.0000003799796104E-3</v>
      </c>
      <c r="AG835" s="81" t="s">
        <v>238</v>
      </c>
      <c r="AH835" s="81" t="s">
        <v>118</v>
      </c>
      <c r="AK835" s="166">
        <v>0</v>
      </c>
      <c r="AM835" s="166">
        <v>0</v>
      </c>
      <c r="AO835" s="166">
        <v>1</v>
      </c>
      <c r="AP835" s="166">
        <v>1</v>
      </c>
      <c r="AQ835" s="166">
        <v>-1</v>
      </c>
      <c r="AR835" s="166">
        <v>0</v>
      </c>
      <c r="AS835" s="166">
        <v>0</v>
      </c>
      <c r="AT835" s="166">
        <v>0</v>
      </c>
      <c r="AU835" s="166">
        <v>0</v>
      </c>
      <c r="AV835" s="166">
        <v>1</v>
      </c>
      <c r="AW835" s="166">
        <v>1</v>
      </c>
      <c r="AX835" s="166">
        <v>0</v>
      </c>
      <c r="AY835" s="166">
        <v>0</v>
      </c>
      <c r="AZ835" s="166">
        <v>0</v>
      </c>
      <c r="BA835" s="166">
        <v>0</v>
      </c>
      <c r="BB835" s="166">
        <v>0</v>
      </c>
      <c r="BC835" s="166">
        <v>0</v>
      </c>
      <c r="BD835" s="166">
        <v>0</v>
      </c>
      <c r="BE835" s="166">
        <v>-1</v>
      </c>
      <c r="BF835" s="166">
        <v>0</v>
      </c>
      <c r="BG835" s="166">
        <v>0</v>
      </c>
      <c r="BH835" s="166">
        <v>0</v>
      </c>
      <c r="BI835" s="166">
        <v>0</v>
      </c>
      <c r="BJ835" s="166">
        <v>0</v>
      </c>
      <c r="BK835" s="166">
        <v>0</v>
      </c>
      <c r="BL835" s="166">
        <v>0</v>
      </c>
      <c r="BM835" s="166">
        <v>0</v>
      </c>
      <c r="BN835" s="166">
        <v>0</v>
      </c>
      <c r="BO835" s="166">
        <v>0</v>
      </c>
      <c r="BP835" s="166">
        <v>0</v>
      </c>
      <c r="BQ835" s="81" t="s">
        <v>1759</v>
      </c>
      <c r="BS835" s="81" t="s">
        <v>155</v>
      </c>
      <c r="BZ835" s="81" t="s">
        <v>155</v>
      </c>
      <c r="CA835" s="81" t="s">
        <v>1937</v>
      </c>
      <c r="CC835" s="167">
        <v>0</v>
      </c>
      <c r="CD835" s="167">
        <f>$N835/4</f>
        <v>0.25</v>
      </c>
      <c r="CE835" s="167">
        <f>$N835/4</f>
        <v>0.25</v>
      </c>
      <c r="CF835" s="167">
        <f>$N835/4</f>
        <v>0.25</v>
      </c>
      <c r="CG835" s="167">
        <f>$N835/4</f>
        <v>0.25</v>
      </c>
      <c r="CH835" s="167">
        <v>0</v>
      </c>
      <c r="CI835" s="167">
        <v>0</v>
      </c>
      <c r="CJ835" s="167">
        <v>0</v>
      </c>
      <c r="CK835" s="167">
        <v>0</v>
      </c>
      <c r="CL835" s="167">
        <v>0</v>
      </c>
      <c r="CM835" s="167">
        <v>0</v>
      </c>
      <c r="CN835" s="167">
        <v>0</v>
      </c>
      <c r="CO835" s="167">
        <v>0</v>
      </c>
      <c r="CP835" s="167">
        <v>0</v>
      </c>
      <c r="CQ835" s="167">
        <v>0</v>
      </c>
      <c r="CR835" s="167">
        <v>0</v>
      </c>
      <c r="CS835" s="167">
        <v>0</v>
      </c>
      <c r="CT835" s="167">
        <v>0</v>
      </c>
      <c r="CU835" s="167">
        <v>0</v>
      </c>
      <c r="CV835" s="167">
        <v>0</v>
      </c>
      <c r="CW835" s="167">
        <v>0</v>
      </c>
      <c r="CX835" s="167">
        <f>SUM(CD835:CH835)</f>
        <v>1</v>
      </c>
      <c r="CY835" s="167">
        <f>SUM(CD835:CM835)</f>
        <v>1</v>
      </c>
    </row>
    <row r="836" spans="1:103" ht="12.75" customHeight="1" x14ac:dyDescent="0.2">
      <c r="A836" s="81">
        <v>5363</v>
      </c>
      <c r="B836" s="165" t="s">
        <v>1930</v>
      </c>
      <c r="C836" s="165" t="s">
        <v>724</v>
      </c>
      <c r="E836" s="165" t="s">
        <v>2563</v>
      </c>
      <c r="G836" s="81">
        <v>525417</v>
      </c>
      <c r="H836" s="81">
        <v>174604</v>
      </c>
      <c r="I836" s="165" t="s">
        <v>258</v>
      </c>
      <c r="L836" s="166">
        <v>1</v>
      </c>
      <c r="M836" s="166">
        <v>1</v>
      </c>
      <c r="N836" s="166">
        <v>0</v>
      </c>
      <c r="O836" s="166">
        <v>1</v>
      </c>
      <c r="P836" s="166">
        <v>0</v>
      </c>
      <c r="R836" s="165" t="s">
        <v>725</v>
      </c>
      <c r="S836" s="81" t="s">
        <v>113</v>
      </c>
      <c r="T836" s="349">
        <v>42394</v>
      </c>
      <c r="U836" s="349">
        <v>42450</v>
      </c>
      <c r="W836" s="81" t="s">
        <v>114</v>
      </c>
      <c r="Y836" s="81" t="s">
        <v>115</v>
      </c>
      <c r="Z836" s="81" t="s">
        <v>310</v>
      </c>
      <c r="AA836" s="81" t="s">
        <v>117</v>
      </c>
      <c r="AB836" s="81" t="s">
        <v>105</v>
      </c>
      <c r="AC836" s="166">
        <v>6.0000000521540598E-3</v>
      </c>
      <c r="AG836" s="81" t="s">
        <v>238</v>
      </c>
      <c r="AH836" s="81" t="s">
        <v>118</v>
      </c>
      <c r="AK836" s="166">
        <v>0</v>
      </c>
      <c r="AM836" s="166">
        <v>0</v>
      </c>
      <c r="AO836" s="166">
        <v>0</v>
      </c>
      <c r="AP836" s="166">
        <v>1</v>
      </c>
      <c r="AQ836" s="166">
        <v>-1</v>
      </c>
      <c r="AR836" s="166">
        <v>0</v>
      </c>
      <c r="AS836" s="166">
        <v>0</v>
      </c>
      <c r="AT836" s="166">
        <v>0</v>
      </c>
      <c r="AU836" s="166">
        <v>0</v>
      </c>
      <c r="AV836" s="166">
        <v>0</v>
      </c>
      <c r="AW836" s="166">
        <v>1</v>
      </c>
      <c r="AX836" s="166">
        <v>-1</v>
      </c>
      <c r="AY836" s="166">
        <v>0</v>
      </c>
      <c r="AZ836" s="166">
        <v>0</v>
      </c>
      <c r="BA836" s="166">
        <v>0</v>
      </c>
      <c r="BB836" s="166">
        <v>0</v>
      </c>
      <c r="BC836" s="166">
        <v>0</v>
      </c>
      <c r="BD836" s="166">
        <v>0</v>
      </c>
      <c r="BE836" s="166">
        <v>0</v>
      </c>
      <c r="BF836" s="166">
        <v>0</v>
      </c>
      <c r="BG836" s="166">
        <v>0</v>
      </c>
      <c r="BH836" s="166">
        <v>0</v>
      </c>
      <c r="BI836" s="166">
        <v>0</v>
      </c>
      <c r="BJ836" s="166">
        <v>0</v>
      </c>
      <c r="BK836" s="166">
        <v>0</v>
      </c>
      <c r="BL836" s="166">
        <v>0</v>
      </c>
      <c r="BM836" s="166">
        <v>0</v>
      </c>
      <c r="BN836" s="166">
        <v>0</v>
      </c>
      <c r="BO836" s="166">
        <v>0</v>
      </c>
      <c r="BP836" s="166">
        <v>0</v>
      </c>
      <c r="BQ836" s="81" t="s">
        <v>1758</v>
      </c>
      <c r="BR836" s="81" t="s">
        <v>202</v>
      </c>
      <c r="BT836" s="81" t="s">
        <v>155</v>
      </c>
      <c r="BZ836" s="81" t="s">
        <v>155</v>
      </c>
      <c r="CA836" s="81" t="s">
        <v>1937</v>
      </c>
      <c r="CC836" s="167">
        <v>0</v>
      </c>
      <c r="CD836" s="167">
        <f>$N836/4</f>
        <v>0</v>
      </c>
      <c r="CE836" s="167">
        <f>$N836/4</f>
        <v>0</v>
      </c>
      <c r="CF836" s="167">
        <f>$N836/4</f>
        <v>0</v>
      </c>
      <c r="CG836" s="167">
        <f>$N836/4</f>
        <v>0</v>
      </c>
      <c r="CH836" s="167">
        <v>0</v>
      </c>
      <c r="CI836" s="167">
        <v>0</v>
      </c>
      <c r="CJ836" s="167">
        <v>0</v>
      </c>
      <c r="CK836" s="167">
        <v>0</v>
      </c>
      <c r="CL836" s="167">
        <v>0</v>
      </c>
      <c r="CM836" s="167">
        <v>0</v>
      </c>
      <c r="CN836" s="167">
        <v>0</v>
      </c>
      <c r="CO836" s="167">
        <v>0</v>
      </c>
      <c r="CP836" s="167">
        <v>0</v>
      </c>
      <c r="CQ836" s="167">
        <v>0</v>
      </c>
      <c r="CR836" s="167">
        <v>0</v>
      </c>
      <c r="CS836" s="167">
        <v>0</v>
      </c>
      <c r="CT836" s="167">
        <v>0</v>
      </c>
      <c r="CU836" s="167">
        <v>0</v>
      </c>
      <c r="CV836" s="167">
        <v>0</v>
      </c>
      <c r="CW836" s="167">
        <v>0</v>
      </c>
      <c r="CX836" s="167">
        <f>SUM(CD836:CH836)</f>
        <v>0</v>
      </c>
      <c r="CY836" s="167">
        <f>SUM(CD836:CM836)</f>
        <v>0</v>
      </c>
    </row>
    <row r="837" spans="1:103" ht="12.75" customHeight="1" x14ac:dyDescent="0.2">
      <c r="A837" s="81">
        <v>5454</v>
      </c>
      <c r="B837" s="165" t="s">
        <v>1930</v>
      </c>
      <c r="C837" s="165" t="s">
        <v>494</v>
      </c>
      <c r="E837" s="165" t="s">
        <v>3369</v>
      </c>
      <c r="G837" s="81">
        <v>524592</v>
      </c>
      <c r="H837" s="81">
        <v>175268</v>
      </c>
      <c r="I837" s="165" t="s">
        <v>259</v>
      </c>
      <c r="L837" s="166">
        <v>0</v>
      </c>
      <c r="M837" s="166">
        <v>53</v>
      </c>
      <c r="N837" s="166">
        <v>53</v>
      </c>
      <c r="O837" s="166">
        <v>53</v>
      </c>
      <c r="P837" s="166">
        <v>53</v>
      </c>
      <c r="Q837" s="81" t="s">
        <v>155</v>
      </c>
      <c r="R837" s="165" t="s">
        <v>1123</v>
      </c>
      <c r="S837" s="81" t="s">
        <v>104</v>
      </c>
      <c r="T837" s="349">
        <v>42011</v>
      </c>
      <c r="U837" s="349">
        <v>42291</v>
      </c>
      <c r="W837" s="81" t="s">
        <v>114</v>
      </c>
      <c r="Y837" s="81" t="s">
        <v>115</v>
      </c>
      <c r="Z837" s="81" t="s">
        <v>116</v>
      </c>
      <c r="AA837" s="81" t="s">
        <v>116</v>
      </c>
      <c r="AB837" s="81" t="s">
        <v>117</v>
      </c>
      <c r="AC837" s="166">
        <v>0.19599999487400099</v>
      </c>
      <c r="AG837" s="81" t="s">
        <v>238</v>
      </c>
      <c r="AH837" s="81" t="s">
        <v>118</v>
      </c>
      <c r="AK837" s="166">
        <v>53</v>
      </c>
      <c r="AM837" s="166">
        <v>6</v>
      </c>
      <c r="AO837" s="166">
        <v>0</v>
      </c>
      <c r="AP837" s="166">
        <v>10</v>
      </c>
      <c r="AQ837" s="166">
        <v>40</v>
      </c>
      <c r="AR837" s="166">
        <v>3</v>
      </c>
      <c r="AS837" s="166">
        <v>0</v>
      </c>
      <c r="AT837" s="166">
        <v>0</v>
      </c>
      <c r="AU837" s="166">
        <v>0</v>
      </c>
      <c r="AV837" s="166">
        <v>0</v>
      </c>
      <c r="AW837" s="166">
        <v>10</v>
      </c>
      <c r="AX837" s="166">
        <v>40</v>
      </c>
      <c r="AY837" s="166">
        <v>3</v>
      </c>
      <c r="AZ837" s="166">
        <v>0</v>
      </c>
      <c r="BA837" s="166">
        <v>0</v>
      </c>
      <c r="BB837" s="166">
        <v>0</v>
      </c>
      <c r="BC837" s="166">
        <v>0</v>
      </c>
      <c r="BD837" s="166">
        <v>0</v>
      </c>
      <c r="BE837" s="166">
        <v>0</v>
      </c>
      <c r="BF837" s="166">
        <v>0</v>
      </c>
      <c r="BG837" s="166">
        <v>0</v>
      </c>
      <c r="BH837" s="166">
        <v>0</v>
      </c>
      <c r="BI837" s="166">
        <v>0</v>
      </c>
      <c r="BJ837" s="166">
        <v>0</v>
      </c>
      <c r="BK837" s="166">
        <v>0</v>
      </c>
      <c r="BL837" s="166">
        <v>0</v>
      </c>
      <c r="BM837" s="166">
        <v>0</v>
      </c>
      <c r="BN837" s="166">
        <v>0</v>
      </c>
      <c r="BO837" s="166">
        <v>0</v>
      </c>
      <c r="BP837" s="166">
        <v>0</v>
      </c>
      <c r="BQ837" s="81" t="s">
        <v>1758</v>
      </c>
      <c r="BX837" s="81" t="s">
        <v>155</v>
      </c>
      <c r="BZ837" s="81" t="s">
        <v>155</v>
      </c>
      <c r="CA837" s="81" t="s">
        <v>3968</v>
      </c>
      <c r="CC837" s="167">
        <v>0</v>
      </c>
      <c r="CD837" s="167">
        <v>0</v>
      </c>
      <c r="CE837" s="167">
        <v>0</v>
      </c>
      <c r="CF837" s="167">
        <v>0</v>
      </c>
      <c r="CG837" s="167">
        <v>0</v>
      </c>
      <c r="CH837" s="167">
        <f>$N837/3</f>
        <v>17.666666666666668</v>
      </c>
      <c r="CI837" s="167">
        <f>$N837/3</f>
        <v>17.666666666666668</v>
      </c>
      <c r="CJ837" s="167">
        <f>$N837/3</f>
        <v>17.666666666666668</v>
      </c>
      <c r="CK837" s="167">
        <v>0</v>
      </c>
      <c r="CL837" s="167">
        <v>0</v>
      </c>
      <c r="CM837" s="167">
        <v>0</v>
      </c>
      <c r="CN837" s="167">
        <v>0</v>
      </c>
      <c r="CO837" s="167">
        <v>0</v>
      </c>
      <c r="CP837" s="167">
        <v>0</v>
      </c>
      <c r="CQ837" s="167">
        <v>0</v>
      </c>
      <c r="CR837" s="167">
        <v>0</v>
      </c>
      <c r="CS837" s="167">
        <v>0</v>
      </c>
      <c r="CT837" s="167">
        <v>0</v>
      </c>
      <c r="CU837" s="167">
        <v>0</v>
      </c>
      <c r="CV837" s="167">
        <v>0</v>
      </c>
      <c r="CW837" s="167">
        <v>0</v>
      </c>
      <c r="CX837" s="167">
        <f>SUM(CD837:CH837)</f>
        <v>17.666666666666668</v>
      </c>
      <c r="CY837" s="167">
        <f>SUM(CD837:CM837)</f>
        <v>53</v>
      </c>
    </row>
    <row r="838" spans="1:103" ht="12.75" customHeight="1" x14ac:dyDescent="0.2">
      <c r="A838" s="81">
        <v>5479</v>
      </c>
      <c r="B838" s="165" t="s">
        <v>1930</v>
      </c>
      <c r="C838" s="165" t="s">
        <v>1345</v>
      </c>
      <c r="D838" s="165" t="s">
        <v>1346</v>
      </c>
      <c r="E838" s="165" t="s">
        <v>2564</v>
      </c>
      <c r="G838" s="81">
        <v>528475</v>
      </c>
      <c r="H838" s="81">
        <v>176217</v>
      </c>
      <c r="I838" s="165" t="s">
        <v>240</v>
      </c>
      <c r="L838" s="166">
        <v>0</v>
      </c>
      <c r="M838" s="166">
        <v>2</v>
      </c>
      <c r="N838" s="166">
        <v>2</v>
      </c>
      <c r="O838" s="166">
        <v>2</v>
      </c>
      <c r="P838" s="166">
        <v>2</v>
      </c>
      <c r="R838" s="165" t="s">
        <v>1347</v>
      </c>
      <c r="S838" s="81" t="s">
        <v>113</v>
      </c>
      <c r="T838" s="349">
        <v>42559</v>
      </c>
      <c r="U838" s="349">
        <v>42702</v>
      </c>
      <c r="W838" s="81" t="s">
        <v>114</v>
      </c>
      <c r="Y838" s="81" t="s">
        <v>115</v>
      </c>
      <c r="Z838" s="81" t="s">
        <v>116</v>
      </c>
      <c r="AA838" s="81" t="s">
        <v>117</v>
      </c>
      <c r="AB838" s="81" t="s">
        <v>218</v>
      </c>
      <c r="AC838" s="166">
        <v>3.29999998211861E-2</v>
      </c>
      <c r="AG838" s="81" t="s">
        <v>238</v>
      </c>
      <c r="AH838" s="81" t="s">
        <v>118</v>
      </c>
      <c r="AK838" s="166">
        <v>2</v>
      </c>
      <c r="AM838" s="166">
        <v>0</v>
      </c>
      <c r="AO838" s="166">
        <v>0</v>
      </c>
      <c r="AP838" s="166">
        <v>0</v>
      </c>
      <c r="AQ838" s="166">
        <v>0</v>
      </c>
      <c r="AR838" s="166">
        <v>2</v>
      </c>
      <c r="AS838" s="166">
        <v>0</v>
      </c>
      <c r="AT838" s="166">
        <v>0</v>
      </c>
      <c r="AU838" s="166">
        <v>0</v>
      </c>
      <c r="AV838" s="166">
        <v>0</v>
      </c>
      <c r="AW838" s="166">
        <v>0</v>
      </c>
      <c r="AX838" s="166">
        <v>0</v>
      </c>
      <c r="AY838" s="166">
        <v>0</v>
      </c>
      <c r="AZ838" s="166">
        <v>0</v>
      </c>
      <c r="BA838" s="166">
        <v>0</v>
      </c>
      <c r="BB838" s="166">
        <v>0</v>
      </c>
      <c r="BC838" s="166">
        <v>0</v>
      </c>
      <c r="BD838" s="166">
        <v>0</v>
      </c>
      <c r="BE838" s="166">
        <v>0</v>
      </c>
      <c r="BF838" s="166">
        <v>2</v>
      </c>
      <c r="BG838" s="166">
        <v>0</v>
      </c>
      <c r="BH838" s="166">
        <v>0</v>
      </c>
      <c r="BI838" s="166">
        <v>0</v>
      </c>
      <c r="BJ838" s="166">
        <v>0</v>
      </c>
      <c r="BK838" s="166">
        <v>0</v>
      </c>
      <c r="BL838" s="166">
        <v>0</v>
      </c>
      <c r="BM838" s="166">
        <v>0</v>
      </c>
      <c r="BN838" s="166">
        <v>0</v>
      </c>
      <c r="BO838" s="166">
        <v>0</v>
      </c>
      <c r="BP838" s="166">
        <v>0</v>
      </c>
      <c r="BQ838" s="81" t="s">
        <v>1757</v>
      </c>
      <c r="BZ838" s="81" t="s">
        <v>155</v>
      </c>
      <c r="CA838" s="81">
        <v>4</v>
      </c>
      <c r="CC838" s="167">
        <v>0</v>
      </c>
      <c r="CD838" s="167">
        <v>0</v>
      </c>
      <c r="CE838" s="167">
        <f>$N838/5</f>
        <v>0.4</v>
      </c>
      <c r="CF838" s="167">
        <f>$N838/5</f>
        <v>0.4</v>
      </c>
      <c r="CG838" s="167">
        <f>$N838/5</f>
        <v>0.4</v>
      </c>
      <c r="CH838" s="167">
        <f>$N838/5</f>
        <v>0.4</v>
      </c>
      <c r="CI838" s="167">
        <f>$N838/5</f>
        <v>0.4</v>
      </c>
      <c r="CJ838" s="167">
        <v>0</v>
      </c>
      <c r="CK838" s="167">
        <v>0</v>
      </c>
      <c r="CL838" s="167">
        <v>0</v>
      </c>
      <c r="CM838" s="167">
        <v>0</v>
      </c>
      <c r="CN838" s="167">
        <v>0</v>
      </c>
      <c r="CO838" s="167">
        <v>0</v>
      </c>
      <c r="CP838" s="167">
        <v>0</v>
      </c>
      <c r="CQ838" s="167">
        <v>0</v>
      </c>
      <c r="CR838" s="167">
        <v>0</v>
      </c>
      <c r="CS838" s="167">
        <v>0</v>
      </c>
      <c r="CT838" s="167">
        <v>0</v>
      </c>
      <c r="CU838" s="167">
        <v>0</v>
      </c>
      <c r="CV838" s="167">
        <v>0</v>
      </c>
      <c r="CW838" s="167">
        <v>0</v>
      </c>
      <c r="CX838" s="167">
        <f>SUM(CD838:CH838)</f>
        <v>1.6</v>
      </c>
      <c r="CY838" s="167">
        <f>SUM(CD838:CM838)</f>
        <v>2</v>
      </c>
    </row>
    <row r="839" spans="1:103" ht="12.75" customHeight="1" x14ac:dyDescent="0.2">
      <c r="A839" s="81">
        <v>5499</v>
      </c>
      <c r="B839" s="165" t="s">
        <v>1930</v>
      </c>
      <c r="C839" s="165" t="s">
        <v>1517</v>
      </c>
      <c r="E839" s="165" t="s">
        <v>2565</v>
      </c>
      <c r="G839" s="81">
        <v>526630</v>
      </c>
      <c r="H839" s="81">
        <v>176073</v>
      </c>
      <c r="I839" s="165" t="s">
        <v>257</v>
      </c>
      <c r="L839" s="166">
        <v>0</v>
      </c>
      <c r="M839" s="166">
        <v>4</v>
      </c>
      <c r="N839" s="166">
        <v>4</v>
      </c>
      <c r="O839" s="166">
        <v>4</v>
      </c>
      <c r="P839" s="166">
        <v>4</v>
      </c>
      <c r="R839" s="165" t="s">
        <v>1518</v>
      </c>
      <c r="S839" s="81" t="s">
        <v>270</v>
      </c>
      <c r="T839" s="349">
        <v>42747</v>
      </c>
      <c r="U839" s="349">
        <v>42803</v>
      </c>
      <c r="W839" s="81" t="s">
        <v>114</v>
      </c>
      <c r="Y839" s="81" t="s">
        <v>115</v>
      </c>
      <c r="Z839" s="81" t="s">
        <v>310</v>
      </c>
      <c r="AA839" s="81" t="s">
        <v>117</v>
      </c>
      <c r="AB839" s="81" t="s">
        <v>399</v>
      </c>
      <c r="AC839" s="166">
        <v>1.39999995008111E-3</v>
      </c>
      <c r="AG839" s="81" t="s">
        <v>238</v>
      </c>
      <c r="AH839" s="81" t="s">
        <v>118</v>
      </c>
      <c r="AI839" s="81" t="s">
        <v>2001</v>
      </c>
      <c r="AK839" s="166">
        <v>0</v>
      </c>
      <c r="AM839" s="166">
        <v>0</v>
      </c>
      <c r="AO839" s="166">
        <v>0</v>
      </c>
      <c r="AP839" s="166">
        <v>1</v>
      </c>
      <c r="AQ839" s="166">
        <v>3</v>
      </c>
      <c r="AR839" s="166">
        <v>0</v>
      </c>
      <c r="AS839" s="166">
        <v>0</v>
      </c>
      <c r="AT839" s="166">
        <v>0</v>
      </c>
      <c r="AU839" s="166">
        <v>0</v>
      </c>
      <c r="AV839" s="166">
        <v>0</v>
      </c>
      <c r="AW839" s="166">
        <v>1</v>
      </c>
      <c r="AX839" s="166">
        <v>3</v>
      </c>
      <c r="AY839" s="166">
        <v>0</v>
      </c>
      <c r="AZ839" s="166">
        <v>0</v>
      </c>
      <c r="BA839" s="166">
        <v>0</v>
      </c>
      <c r="BB839" s="166">
        <v>0</v>
      </c>
      <c r="BC839" s="166">
        <v>0</v>
      </c>
      <c r="BD839" s="166">
        <v>0</v>
      </c>
      <c r="BE839" s="166">
        <v>0</v>
      </c>
      <c r="BF839" s="166">
        <v>0</v>
      </c>
      <c r="BG839" s="166">
        <v>0</v>
      </c>
      <c r="BH839" s="166">
        <v>0</v>
      </c>
      <c r="BI839" s="166">
        <v>0</v>
      </c>
      <c r="BJ839" s="166">
        <v>0</v>
      </c>
      <c r="BK839" s="166">
        <v>0</v>
      </c>
      <c r="BL839" s="166">
        <v>0</v>
      </c>
      <c r="BM839" s="166">
        <v>0</v>
      </c>
      <c r="BN839" s="166">
        <v>0</v>
      </c>
      <c r="BO839" s="166">
        <v>0</v>
      </c>
      <c r="BP839" s="166">
        <v>0</v>
      </c>
      <c r="BQ839" s="81" t="s">
        <v>1757</v>
      </c>
      <c r="BX839" s="81" t="s">
        <v>155</v>
      </c>
      <c r="BZ839" s="81" t="s">
        <v>155</v>
      </c>
      <c r="CA839" s="81" t="s">
        <v>1937</v>
      </c>
      <c r="CC839" s="167">
        <v>0</v>
      </c>
      <c r="CD839" s="167">
        <f>$N839/4</f>
        <v>1</v>
      </c>
      <c r="CE839" s="167">
        <f>$N839/4</f>
        <v>1</v>
      </c>
      <c r="CF839" s="167">
        <f>$N839/4</f>
        <v>1</v>
      </c>
      <c r="CG839" s="167">
        <f>$N839/4</f>
        <v>1</v>
      </c>
      <c r="CH839" s="167">
        <v>0</v>
      </c>
      <c r="CI839" s="167">
        <v>0</v>
      </c>
      <c r="CJ839" s="167">
        <v>0</v>
      </c>
      <c r="CK839" s="167">
        <v>0</v>
      </c>
      <c r="CL839" s="167">
        <v>0</v>
      </c>
      <c r="CM839" s="167">
        <v>0</v>
      </c>
      <c r="CN839" s="167">
        <v>0</v>
      </c>
      <c r="CO839" s="167">
        <v>0</v>
      </c>
      <c r="CP839" s="167">
        <v>0</v>
      </c>
      <c r="CQ839" s="167">
        <v>0</v>
      </c>
      <c r="CR839" s="167">
        <v>0</v>
      </c>
      <c r="CS839" s="167">
        <v>0</v>
      </c>
      <c r="CT839" s="167">
        <v>0</v>
      </c>
      <c r="CU839" s="167">
        <v>0</v>
      </c>
      <c r="CV839" s="167">
        <v>0</v>
      </c>
      <c r="CW839" s="167">
        <v>0</v>
      </c>
      <c r="CX839" s="167">
        <f>SUM(CD839:CH839)</f>
        <v>4</v>
      </c>
      <c r="CY839" s="167">
        <f>SUM(CD839:CM839)</f>
        <v>4</v>
      </c>
    </row>
    <row r="840" spans="1:103" ht="12.75" customHeight="1" x14ac:dyDescent="0.2">
      <c r="A840" s="81">
        <v>5518</v>
      </c>
      <c r="B840" s="165" t="s">
        <v>1930</v>
      </c>
      <c r="C840" s="165" t="s">
        <v>640</v>
      </c>
      <c r="E840" s="165" t="s">
        <v>2566</v>
      </c>
      <c r="G840" s="81">
        <v>529242</v>
      </c>
      <c r="H840" s="81">
        <v>171102</v>
      </c>
      <c r="I840" s="165" t="s">
        <v>252</v>
      </c>
      <c r="L840" s="166">
        <v>1</v>
      </c>
      <c r="M840" s="166">
        <v>3</v>
      </c>
      <c r="N840" s="166">
        <v>2</v>
      </c>
      <c r="O840" s="166">
        <v>3</v>
      </c>
      <c r="P840" s="166">
        <v>2</v>
      </c>
      <c r="R840" s="165" t="s">
        <v>1139</v>
      </c>
      <c r="S840" s="81" t="s">
        <v>113</v>
      </c>
      <c r="T840" s="349">
        <v>42227</v>
      </c>
      <c r="U840" s="349">
        <v>42283</v>
      </c>
      <c r="W840" s="81" t="s">
        <v>114</v>
      </c>
      <c r="Y840" s="81" t="s">
        <v>115</v>
      </c>
      <c r="Z840" s="81" t="s">
        <v>398</v>
      </c>
      <c r="AA840" s="81" t="s">
        <v>117</v>
      </c>
      <c r="AB840" s="81" t="s">
        <v>120</v>
      </c>
      <c r="AC840" s="166">
        <v>1.4999999664723899E-2</v>
      </c>
      <c r="AG840" s="81" t="s">
        <v>238</v>
      </c>
      <c r="AH840" s="81" t="s">
        <v>118</v>
      </c>
      <c r="AK840" s="166">
        <v>0</v>
      </c>
      <c r="AM840" s="166">
        <v>0</v>
      </c>
      <c r="AO840" s="166">
        <v>0</v>
      </c>
      <c r="AP840" s="166">
        <v>1</v>
      </c>
      <c r="AQ840" s="166">
        <v>1</v>
      </c>
      <c r="AR840" s="166">
        <v>1</v>
      </c>
      <c r="AS840" s="166">
        <v>-1</v>
      </c>
      <c r="AT840" s="166">
        <v>0</v>
      </c>
      <c r="AU840" s="166">
        <v>0</v>
      </c>
      <c r="AV840" s="166">
        <v>0</v>
      </c>
      <c r="AW840" s="166">
        <v>1</v>
      </c>
      <c r="AX840" s="166">
        <v>1</v>
      </c>
      <c r="AY840" s="166">
        <v>1</v>
      </c>
      <c r="AZ840" s="166">
        <v>0</v>
      </c>
      <c r="BA840" s="166">
        <v>0</v>
      </c>
      <c r="BB840" s="166">
        <v>0</v>
      </c>
      <c r="BC840" s="166">
        <v>0</v>
      </c>
      <c r="BD840" s="166">
        <v>0</v>
      </c>
      <c r="BE840" s="166">
        <v>0</v>
      </c>
      <c r="BF840" s="166">
        <v>0</v>
      </c>
      <c r="BG840" s="166">
        <v>-1</v>
      </c>
      <c r="BH840" s="166">
        <v>0</v>
      </c>
      <c r="BI840" s="166">
        <v>0</v>
      </c>
      <c r="BJ840" s="166">
        <v>0</v>
      </c>
      <c r="BK840" s="166">
        <v>0</v>
      </c>
      <c r="BL840" s="166">
        <v>0</v>
      </c>
      <c r="BM840" s="166">
        <v>0</v>
      </c>
      <c r="BN840" s="166">
        <v>0</v>
      </c>
      <c r="BO840" s="166">
        <v>0</v>
      </c>
      <c r="BP840" s="166">
        <v>0</v>
      </c>
      <c r="BQ840" s="81" t="s">
        <v>1757</v>
      </c>
      <c r="BZ840" s="81" t="s">
        <v>155</v>
      </c>
      <c r="CA840" s="81" t="s">
        <v>1937</v>
      </c>
      <c r="CC840" s="167">
        <v>0</v>
      </c>
      <c r="CD840" s="167">
        <f>$N840/4</f>
        <v>0.5</v>
      </c>
      <c r="CE840" s="167">
        <f>$N840/4</f>
        <v>0.5</v>
      </c>
      <c r="CF840" s="167">
        <f>$N840/4</f>
        <v>0.5</v>
      </c>
      <c r="CG840" s="167">
        <f>$N840/4</f>
        <v>0.5</v>
      </c>
      <c r="CH840" s="167">
        <v>0</v>
      </c>
      <c r="CI840" s="167">
        <v>0</v>
      </c>
      <c r="CJ840" s="167">
        <v>0</v>
      </c>
      <c r="CK840" s="167">
        <v>0</v>
      </c>
      <c r="CL840" s="167">
        <v>0</v>
      </c>
      <c r="CM840" s="167">
        <v>0</v>
      </c>
      <c r="CN840" s="167">
        <v>0</v>
      </c>
      <c r="CO840" s="167">
        <v>0</v>
      </c>
      <c r="CP840" s="167">
        <v>0</v>
      </c>
      <c r="CQ840" s="167">
        <v>0</v>
      </c>
      <c r="CR840" s="167">
        <v>0</v>
      </c>
      <c r="CS840" s="167">
        <v>0</v>
      </c>
      <c r="CT840" s="167">
        <v>0</v>
      </c>
      <c r="CU840" s="167">
        <v>0</v>
      </c>
      <c r="CV840" s="167">
        <v>0</v>
      </c>
      <c r="CW840" s="167">
        <v>0</v>
      </c>
      <c r="CX840" s="167">
        <f>SUM(CD840:CH840)</f>
        <v>2</v>
      </c>
      <c r="CY840" s="167">
        <f>SUM(CD840:CM840)</f>
        <v>2</v>
      </c>
    </row>
    <row r="841" spans="1:103" ht="12.75" customHeight="1" x14ac:dyDescent="0.2">
      <c r="A841" s="81">
        <v>5539</v>
      </c>
      <c r="B841" s="165" t="s">
        <v>1930</v>
      </c>
      <c r="C841" s="165" t="s">
        <v>424</v>
      </c>
      <c r="E841" s="165" t="s">
        <v>2567</v>
      </c>
      <c r="G841" s="81">
        <v>527142</v>
      </c>
      <c r="H841" s="81">
        <v>174906</v>
      </c>
      <c r="I841" s="165" t="s">
        <v>255</v>
      </c>
      <c r="L841" s="166">
        <v>0</v>
      </c>
      <c r="M841" s="166">
        <v>1</v>
      </c>
      <c r="N841" s="166">
        <v>1</v>
      </c>
      <c r="O841" s="166">
        <v>1</v>
      </c>
      <c r="P841" s="166">
        <v>1</v>
      </c>
      <c r="R841" s="165" t="s">
        <v>425</v>
      </c>
      <c r="S841" s="81" t="s">
        <v>113</v>
      </c>
      <c r="T841" s="349">
        <v>42086</v>
      </c>
      <c r="U841" s="349">
        <v>42229</v>
      </c>
      <c r="W841" s="81" t="s">
        <v>114</v>
      </c>
      <c r="Y841" s="81" t="s">
        <v>115</v>
      </c>
      <c r="Z841" s="81" t="s">
        <v>116</v>
      </c>
      <c r="AA841" s="81" t="s">
        <v>117</v>
      </c>
      <c r="AB841" s="81" t="s">
        <v>218</v>
      </c>
      <c r="AC841" s="166">
        <v>9.9999997764825804E-3</v>
      </c>
      <c r="AG841" s="81" t="s">
        <v>238</v>
      </c>
      <c r="AH841" s="81" t="s">
        <v>118</v>
      </c>
      <c r="AK841" s="166">
        <v>1</v>
      </c>
      <c r="AM841" s="166">
        <v>0</v>
      </c>
      <c r="AO841" s="166">
        <v>0</v>
      </c>
      <c r="AP841" s="166">
        <v>0</v>
      </c>
      <c r="AQ841" s="166">
        <v>0</v>
      </c>
      <c r="AR841" s="166">
        <v>0</v>
      </c>
      <c r="AS841" s="166">
        <v>1</v>
      </c>
      <c r="AT841" s="166">
        <v>0</v>
      </c>
      <c r="AU841" s="166">
        <v>0</v>
      </c>
      <c r="AV841" s="166">
        <v>0</v>
      </c>
      <c r="AW841" s="166">
        <v>0</v>
      </c>
      <c r="AX841" s="166">
        <v>0</v>
      </c>
      <c r="AY841" s="166">
        <v>0</v>
      </c>
      <c r="AZ841" s="166">
        <v>0</v>
      </c>
      <c r="BA841" s="166">
        <v>0</v>
      </c>
      <c r="BB841" s="166">
        <v>0</v>
      </c>
      <c r="BC841" s="166">
        <v>0</v>
      </c>
      <c r="BD841" s="166">
        <v>0</v>
      </c>
      <c r="BE841" s="166">
        <v>0</v>
      </c>
      <c r="BF841" s="166">
        <v>0</v>
      </c>
      <c r="BG841" s="166">
        <v>1</v>
      </c>
      <c r="BH841" s="166">
        <v>0</v>
      </c>
      <c r="BI841" s="166">
        <v>0</v>
      </c>
      <c r="BJ841" s="166">
        <v>0</v>
      </c>
      <c r="BK841" s="166">
        <v>0</v>
      </c>
      <c r="BL841" s="166">
        <v>0</v>
      </c>
      <c r="BM841" s="166">
        <v>0</v>
      </c>
      <c r="BN841" s="166">
        <v>0</v>
      </c>
      <c r="BO841" s="166">
        <v>0</v>
      </c>
      <c r="BP841" s="166">
        <v>0</v>
      </c>
      <c r="BQ841" s="81" t="s">
        <v>1757</v>
      </c>
      <c r="BZ841" s="81" t="s">
        <v>155</v>
      </c>
      <c r="CA841" s="81">
        <v>4</v>
      </c>
      <c r="CC841" s="167">
        <v>0</v>
      </c>
      <c r="CD841" s="167">
        <v>0</v>
      </c>
      <c r="CE841" s="167">
        <f>$N841/5</f>
        <v>0.2</v>
      </c>
      <c r="CF841" s="167">
        <f>$N841/5</f>
        <v>0.2</v>
      </c>
      <c r="CG841" s="167">
        <f>$N841/5</f>
        <v>0.2</v>
      </c>
      <c r="CH841" s="167">
        <f>$N841/5</f>
        <v>0.2</v>
      </c>
      <c r="CI841" s="167">
        <f>$N841/5</f>
        <v>0.2</v>
      </c>
      <c r="CJ841" s="167">
        <v>0</v>
      </c>
      <c r="CK841" s="167">
        <v>0</v>
      </c>
      <c r="CL841" s="167">
        <v>0</v>
      </c>
      <c r="CM841" s="167">
        <v>0</v>
      </c>
      <c r="CN841" s="167">
        <v>0</v>
      </c>
      <c r="CO841" s="167">
        <v>0</v>
      </c>
      <c r="CP841" s="167">
        <v>0</v>
      </c>
      <c r="CQ841" s="167">
        <v>0</v>
      </c>
      <c r="CR841" s="167">
        <v>0</v>
      </c>
      <c r="CS841" s="167">
        <v>0</v>
      </c>
      <c r="CT841" s="167">
        <v>0</v>
      </c>
      <c r="CU841" s="167">
        <v>0</v>
      </c>
      <c r="CV841" s="167">
        <v>0</v>
      </c>
      <c r="CW841" s="167">
        <v>0</v>
      </c>
      <c r="CX841" s="167">
        <f>SUM(CD841:CH841)</f>
        <v>0.8</v>
      </c>
      <c r="CY841" s="167">
        <f>SUM(CD841:CM841)</f>
        <v>1</v>
      </c>
    </row>
    <row r="842" spans="1:103" ht="12.75" customHeight="1" x14ac:dyDescent="0.2">
      <c r="A842" s="81">
        <v>5552</v>
      </c>
      <c r="B842" s="165" t="s">
        <v>1930</v>
      </c>
      <c r="C842" s="165" t="s">
        <v>2568</v>
      </c>
      <c r="E842" s="165" t="s">
        <v>2119</v>
      </c>
      <c r="G842" s="81">
        <v>525905</v>
      </c>
      <c r="H842" s="81">
        <v>173024</v>
      </c>
      <c r="I842" s="165" t="s">
        <v>249</v>
      </c>
      <c r="L842" s="166">
        <v>0</v>
      </c>
      <c r="M842" s="166">
        <v>7</v>
      </c>
      <c r="N842" s="166">
        <v>7</v>
      </c>
      <c r="O842" s="166">
        <v>7</v>
      </c>
      <c r="P842" s="166">
        <v>7</v>
      </c>
      <c r="R842" s="165" t="s">
        <v>2569</v>
      </c>
      <c r="S842" s="81" t="s">
        <v>270</v>
      </c>
      <c r="T842" s="349">
        <v>42888</v>
      </c>
      <c r="U842" s="349">
        <v>42944</v>
      </c>
      <c r="V842" s="81" t="s">
        <v>155</v>
      </c>
      <c r="W842" s="81" t="s">
        <v>114</v>
      </c>
      <c r="Y842" s="81" t="s">
        <v>115</v>
      </c>
      <c r="Z842" s="81" t="s">
        <v>310</v>
      </c>
      <c r="AA842" s="81" t="s">
        <v>117</v>
      </c>
      <c r="AB842" s="81" t="s">
        <v>399</v>
      </c>
      <c r="AC842" s="166">
        <v>5.7000000029802302E-2</v>
      </c>
      <c r="AG842" s="81" t="s">
        <v>238</v>
      </c>
      <c r="AH842" s="81" t="s">
        <v>118</v>
      </c>
      <c r="AK842" s="166">
        <v>0</v>
      </c>
      <c r="AM842" s="166">
        <v>0</v>
      </c>
      <c r="AO842" s="166">
        <v>1</v>
      </c>
      <c r="AP842" s="166">
        <v>3</v>
      </c>
      <c r="AQ842" s="166">
        <v>3</v>
      </c>
      <c r="AR842" s="166">
        <v>0</v>
      </c>
      <c r="AS842" s="166">
        <v>0</v>
      </c>
      <c r="AT842" s="166">
        <v>0</v>
      </c>
      <c r="AU842" s="166">
        <v>0</v>
      </c>
      <c r="AV842" s="166">
        <v>1</v>
      </c>
      <c r="AW842" s="166">
        <v>3</v>
      </c>
      <c r="AX842" s="166">
        <v>3</v>
      </c>
      <c r="AY842" s="166">
        <v>0</v>
      </c>
      <c r="AZ842" s="166">
        <v>0</v>
      </c>
      <c r="BA842" s="166">
        <v>0</v>
      </c>
      <c r="BB842" s="166">
        <v>0</v>
      </c>
      <c r="BC842" s="166">
        <v>0</v>
      </c>
      <c r="BD842" s="166">
        <v>0</v>
      </c>
      <c r="BE842" s="166">
        <v>0</v>
      </c>
      <c r="BF842" s="166">
        <v>0</v>
      </c>
      <c r="BG842" s="166">
        <v>0</v>
      </c>
      <c r="BH842" s="166">
        <v>0</v>
      </c>
      <c r="BI842" s="166">
        <v>0</v>
      </c>
      <c r="BJ842" s="166">
        <v>0</v>
      </c>
      <c r="BK842" s="166">
        <v>0</v>
      </c>
      <c r="BL842" s="166">
        <v>0</v>
      </c>
      <c r="BM842" s="166">
        <v>0</v>
      </c>
      <c r="BN842" s="166">
        <v>0</v>
      </c>
      <c r="BO842" s="166">
        <v>0</v>
      </c>
      <c r="BP842" s="166">
        <v>0</v>
      </c>
      <c r="BQ842" s="81" t="s">
        <v>1758</v>
      </c>
      <c r="BY842" s="81" t="s">
        <v>155</v>
      </c>
      <c r="BZ842" s="81" t="s">
        <v>155</v>
      </c>
      <c r="CA842" s="81" t="s">
        <v>3972</v>
      </c>
      <c r="CC842" s="167">
        <v>0</v>
      </c>
      <c r="CD842" s="167">
        <f>$N842/4</f>
        <v>1.75</v>
      </c>
      <c r="CE842" s="167">
        <f>$N842/4</f>
        <v>1.75</v>
      </c>
      <c r="CF842" s="167">
        <f>$N842/4</f>
        <v>1.75</v>
      </c>
      <c r="CG842" s="167">
        <f>$N842/4</f>
        <v>1.75</v>
      </c>
      <c r="CH842" s="167">
        <v>0</v>
      </c>
      <c r="CI842" s="167">
        <v>0</v>
      </c>
      <c r="CJ842" s="167">
        <v>0</v>
      </c>
      <c r="CK842" s="167">
        <v>0</v>
      </c>
      <c r="CL842" s="167">
        <v>0</v>
      </c>
      <c r="CM842" s="167">
        <v>0</v>
      </c>
      <c r="CN842" s="167">
        <v>0</v>
      </c>
      <c r="CO842" s="167">
        <v>0</v>
      </c>
      <c r="CP842" s="167">
        <v>0</v>
      </c>
      <c r="CQ842" s="167">
        <v>0</v>
      </c>
      <c r="CR842" s="167">
        <v>0</v>
      </c>
      <c r="CS842" s="167">
        <v>0</v>
      </c>
      <c r="CT842" s="167">
        <v>0</v>
      </c>
      <c r="CU842" s="167">
        <v>0</v>
      </c>
      <c r="CV842" s="167">
        <v>0</v>
      </c>
      <c r="CW842" s="167">
        <v>0</v>
      </c>
      <c r="CX842" s="167">
        <f>SUM(CD842:CH842)</f>
        <v>7</v>
      </c>
      <c r="CY842" s="167">
        <f>SUM(CD842:CM842)</f>
        <v>7</v>
      </c>
    </row>
    <row r="843" spans="1:103" ht="12.75" customHeight="1" x14ac:dyDescent="0.2">
      <c r="A843" s="81">
        <v>5561</v>
      </c>
      <c r="B843" s="165" t="s">
        <v>1930</v>
      </c>
      <c r="C843" s="165" t="s">
        <v>2570</v>
      </c>
      <c r="E843" s="165" t="s">
        <v>2571</v>
      </c>
      <c r="G843" s="81">
        <v>528467</v>
      </c>
      <c r="H843" s="81">
        <v>172710</v>
      </c>
      <c r="I843" s="165" t="s">
        <v>248</v>
      </c>
      <c r="L843" s="166">
        <v>1</v>
      </c>
      <c r="M843" s="166">
        <v>3</v>
      </c>
      <c r="N843" s="166">
        <v>2</v>
      </c>
      <c r="O843" s="166">
        <v>3</v>
      </c>
      <c r="P843" s="166">
        <v>2</v>
      </c>
      <c r="R843" s="165" t="s">
        <v>2572</v>
      </c>
      <c r="S843" s="81" t="s">
        <v>113</v>
      </c>
      <c r="T843" s="349">
        <v>43102</v>
      </c>
      <c r="U843" s="349">
        <v>43158</v>
      </c>
      <c r="V843" s="81" t="s">
        <v>155</v>
      </c>
      <c r="W843" s="81" t="s">
        <v>114</v>
      </c>
      <c r="Y843" s="81" t="s">
        <v>115</v>
      </c>
      <c r="Z843" s="81" t="s">
        <v>398</v>
      </c>
      <c r="AA843" s="81" t="s">
        <v>117</v>
      </c>
      <c r="AB843" s="81" t="s">
        <v>120</v>
      </c>
      <c r="AC843" s="166">
        <v>1.7000000923872001E-2</v>
      </c>
      <c r="AG843" s="81" t="s">
        <v>238</v>
      </c>
      <c r="AH843" s="81" t="s">
        <v>118</v>
      </c>
      <c r="AK843" s="166">
        <v>0</v>
      </c>
      <c r="AM843" s="166">
        <v>0</v>
      </c>
      <c r="AO843" s="166">
        <v>0</v>
      </c>
      <c r="AP843" s="166">
        <v>0</v>
      </c>
      <c r="AQ843" s="166">
        <v>2</v>
      </c>
      <c r="AR843" s="166">
        <v>1</v>
      </c>
      <c r="AS843" s="166">
        <v>-1</v>
      </c>
      <c r="AT843" s="166">
        <v>0</v>
      </c>
      <c r="AU843" s="166">
        <v>0</v>
      </c>
      <c r="AV843" s="166">
        <v>0</v>
      </c>
      <c r="AW843" s="166">
        <v>0</v>
      </c>
      <c r="AX843" s="166">
        <v>2</v>
      </c>
      <c r="AY843" s="166">
        <v>1</v>
      </c>
      <c r="AZ843" s="166">
        <v>0</v>
      </c>
      <c r="BA843" s="166">
        <v>0</v>
      </c>
      <c r="BB843" s="166">
        <v>0</v>
      </c>
      <c r="BC843" s="166">
        <v>0</v>
      </c>
      <c r="BD843" s="166">
        <v>0</v>
      </c>
      <c r="BE843" s="166">
        <v>0</v>
      </c>
      <c r="BF843" s="166">
        <v>0</v>
      </c>
      <c r="BG843" s="166">
        <v>-1</v>
      </c>
      <c r="BH843" s="166">
        <v>0</v>
      </c>
      <c r="BI843" s="166">
        <v>0</v>
      </c>
      <c r="BJ843" s="166">
        <v>0</v>
      </c>
      <c r="BK843" s="166">
        <v>0</v>
      </c>
      <c r="BL843" s="166">
        <v>0</v>
      </c>
      <c r="BM843" s="166">
        <v>0</v>
      </c>
      <c r="BN843" s="166">
        <v>0</v>
      </c>
      <c r="BO843" s="166">
        <v>0</v>
      </c>
      <c r="BP843" s="166">
        <v>0</v>
      </c>
      <c r="BQ843" s="81" t="s">
        <v>1757</v>
      </c>
      <c r="BZ843" s="81" t="s">
        <v>155</v>
      </c>
      <c r="CA843" s="81" t="s">
        <v>1937</v>
      </c>
      <c r="CC843" s="167">
        <v>0</v>
      </c>
      <c r="CD843" s="167">
        <f>$N843/4</f>
        <v>0.5</v>
      </c>
      <c r="CE843" s="167">
        <f>$N843/4</f>
        <v>0.5</v>
      </c>
      <c r="CF843" s="167">
        <f>$N843/4</f>
        <v>0.5</v>
      </c>
      <c r="CG843" s="167">
        <f>$N843/4</f>
        <v>0.5</v>
      </c>
      <c r="CH843" s="167">
        <v>0</v>
      </c>
      <c r="CI843" s="167">
        <v>0</v>
      </c>
      <c r="CJ843" s="167">
        <v>0</v>
      </c>
      <c r="CK843" s="167">
        <v>0</v>
      </c>
      <c r="CL843" s="167">
        <v>0</v>
      </c>
      <c r="CM843" s="167">
        <v>0</v>
      </c>
      <c r="CN843" s="167">
        <v>0</v>
      </c>
      <c r="CO843" s="167">
        <v>0</v>
      </c>
      <c r="CP843" s="167">
        <v>0</v>
      </c>
      <c r="CQ843" s="167">
        <v>0</v>
      </c>
      <c r="CR843" s="167">
        <v>0</v>
      </c>
      <c r="CS843" s="167">
        <v>0</v>
      </c>
      <c r="CT843" s="167">
        <v>0</v>
      </c>
      <c r="CU843" s="167">
        <v>0</v>
      </c>
      <c r="CV843" s="167">
        <v>0</v>
      </c>
      <c r="CW843" s="167">
        <v>0</v>
      </c>
      <c r="CX843" s="167">
        <f>SUM(CD843:CH843)</f>
        <v>2</v>
      </c>
      <c r="CY843" s="167">
        <f>SUM(CD843:CM843)</f>
        <v>2</v>
      </c>
    </row>
    <row r="844" spans="1:103" ht="12.75" customHeight="1" x14ac:dyDescent="0.2">
      <c r="A844" s="81">
        <v>5589</v>
      </c>
      <c r="B844" s="165" t="s">
        <v>1930</v>
      </c>
      <c r="C844" s="165" t="s">
        <v>706</v>
      </c>
      <c r="E844" s="165" t="s">
        <v>3372</v>
      </c>
      <c r="G844" s="81">
        <v>526329</v>
      </c>
      <c r="H844" s="81">
        <v>175625</v>
      </c>
      <c r="I844" s="165" t="s">
        <v>257</v>
      </c>
      <c r="L844" s="166">
        <v>0</v>
      </c>
      <c r="M844" s="166">
        <v>11</v>
      </c>
      <c r="N844" s="166">
        <v>11</v>
      </c>
      <c r="O844" s="166">
        <v>11</v>
      </c>
      <c r="P844" s="166">
        <v>11</v>
      </c>
      <c r="Q844" s="81" t="s">
        <v>155</v>
      </c>
      <c r="R844" s="165" t="s">
        <v>707</v>
      </c>
      <c r="S844" s="81" t="s">
        <v>270</v>
      </c>
      <c r="T844" s="349">
        <v>42347</v>
      </c>
      <c r="U844" s="349">
        <v>42403</v>
      </c>
      <c r="W844" s="81" t="s">
        <v>114</v>
      </c>
      <c r="Y844" s="81" t="s">
        <v>115</v>
      </c>
      <c r="Z844" s="81" t="s">
        <v>310</v>
      </c>
      <c r="AA844" s="81" t="s">
        <v>117</v>
      </c>
      <c r="AB844" s="81" t="s">
        <v>399</v>
      </c>
      <c r="AC844" s="166">
        <v>5.2999999374151202E-2</v>
      </c>
      <c r="AG844" s="81" t="s">
        <v>238</v>
      </c>
      <c r="AH844" s="81" t="s">
        <v>118</v>
      </c>
      <c r="AK844" s="166">
        <v>0</v>
      </c>
      <c r="AM844" s="166">
        <v>0</v>
      </c>
      <c r="AO844" s="166">
        <v>0</v>
      </c>
      <c r="AP844" s="166">
        <v>3</v>
      </c>
      <c r="AQ844" s="166">
        <v>6</v>
      </c>
      <c r="AR844" s="166">
        <v>2</v>
      </c>
      <c r="AS844" s="166">
        <v>0</v>
      </c>
      <c r="AT844" s="166">
        <v>0</v>
      </c>
      <c r="AU844" s="166">
        <v>0</v>
      </c>
      <c r="AV844" s="166">
        <v>0</v>
      </c>
      <c r="AW844" s="166">
        <v>3</v>
      </c>
      <c r="AX844" s="166">
        <v>6</v>
      </c>
      <c r="AY844" s="166">
        <v>2</v>
      </c>
      <c r="AZ844" s="166">
        <v>0</v>
      </c>
      <c r="BA844" s="166">
        <v>0</v>
      </c>
      <c r="BB844" s="166">
        <v>0</v>
      </c>
      <c r="BC844" s="166">
        <v>0</v>
      </c>
      <c r="BD844" s="166">
        <v>0</v>
      </c>
      <c r="BE844" s="166">
        <v>0</v>
      </c>
      <c r="BF844" s="166">
        <v>0</v>
      </c>
      <c r="BG844" s="166">
        <v>0</v>
      </c>
      <c r="BH844" s="166">
        <v>0</v>
      </c>
      <c r="BI844" s="166">
        <v>0</v>
      </c>
      <c r="BJ844" s="166">
        <v>0</v>
      </c>
      <c r="BK844" s="166">
        <v>0</v>
      </c>
      <c r="BL844" s="166">
        <v>0</v>
      </c>
      <c r="BM844" s="166">
        <v>0</v>
      </c>
      <c r="BN844" s="166">
        <v>0</v>
      </c>
      <c r="BO844" s="166">
        <v>0</v>
      </c>
      <c r="BP844" s="166">
        <v>0</v>
      </c>
      <c r="BQ844" s="81" t="s">
        <v>1757</v>
      </c>
      <c r="BX844" s="81" t="s">
        <v>155</v>
      </c>
      <c r="BZ844" s="81" t="s">
        <v>155</v>
      </c>
      <c r="CA844" s="81" t="s">
        <v>3972</v>
      </c>
      <c r="CC844" s="167">
        <v>0</v>
      </c>
      <c r="CD844" s="167">
        <f>$N844/4</f>
        <v>2.75</v>
      </c>
      <c r="CE844" s="167">
        <f>$N844/4</f>
        <v>2.75</v>
      </c>
      <c r="CF844" s="167">
        <f>$N844/4</f>
        <v>2.75</v>
      </c>
      <c r="CG844" s="167">
        <f>$N844/4</f>
        <v>2.75</v>
      </c>
      <c r="CH844" s="167">
        <v>0</v>
      </c>
      <c r="CI844" s="167">
        <v>0</v>
      </c>
      <c r="CJ844" s="167">
        <v>0</v>
      </c>
      <c r="CK844" s="167">
        <v>0</v>
      </c>
      <c r="CL844" s="167">
        <v>0</v>
      </c>
      <c r="CM844" s="167">
        <v>0</v>
      </c>
      <c r="CN844" s="167">
        <v>0</v>
      </c>
      <c r="CO844" s="167">
        <v>0</v>
      </c>
      <c r="CP844" s="167">
        <v>0</v>
      </c>
      <c r="CQ844" s="167">
        <v>0</v>
      </c>
      <c r="CR844" s="167">
        <v>0</v>
      </c>
      <c r="CS844" s="167">
        <v>0</v>
      </c>
      <c r="CT844" s="167">
        <v>0</v>
      </c>
      <c r="CU844" s="167">
        <v>0</v>
      </c>
      <c r="CV844" s="167">
        <v>0</v>
      </c>
      <c r="CW844" s="167">
        <v>0</v>
      </c>
      <c r="CX844" s="167">
        <f>SUM(CD844:CH844)</f>
        <v>11</v>
      </c>
      <c r="CY844" s="167">
        <f>SUM(CD844:CM844)</f>
        <v>11</v>
      </c>
    </row>
    <row r="845" spans="1:103" ht="12.75" customHeight="1" x14ac:dyDescent="0.2">
      <c r="A845" s="81">
        <v>5589</v>
      </c>
      <c r="B845" s="165" t="s">
        <v>1930</v>
      </c>
      <c r="C845" s="165" t="s">
        <v>1332</v>
      </c>
      <c r="E845" s="165" t="s">
        <v>3372</v>
      </c>
      <c r="G845" s="81">
        <v>526329</v>
      </c>
      <c r="H845" s="81">
        <v>175625</v>
      </c>
      <c r="I845" s="165" t="s">
        <v>257</v>
      </c>
      <c r="L845" s="166">
        <v>0</v>
      </c>
      <c r="M845" s="166">
        <v>9</v>
      </c>
      <c r="N845" s="166">
        <v>9</v>
      </c>
      <c r="O845" s="166">
        <v>9</v>
      </c>
      <c r="P845" s="166">
        <v>9</v>
      </c>
      <c r="R845" s="165" t="s">
        <v>1333</v>
      </c>
      <c r="S845" s="81" t="s">
        <v>113</v>
      </c>
      <c r="T845" s="349">
        <v>42551</v>
      </c>
      <c r="U845" s="349">
        <v>42702</v>
      </c>
      <c r="W845" s="81" t="s">
        <v>114</v>
      </c>
      <c r="Y845" s="81" t="s">
        <v>115</v>
      </c>
      <c r="Z845" s="81" t="s">
        <v>219</v>
      </c>
      <c r="AA845" s="81" t="s">
        <v>117</v>
      </c>
      <c r="AB845" s="81" t="s">
        <v>3889</v>
      </c>
      <c r="AC845" s="166">
        <v>2.70000007003546E-2</v>
      </c>
      <c r="AG845" s="81" t="s">
        <v>238</v>
      </c>
      <c r="AH845" s="81" t="s">
        <v>118</v>
      </c>
      <c r="AK845" s="166">
        <v>9</v>
      </c>
      <c r="AM845" s="166">
        <v>0</v>
      </c>
      <c r="AO845" s="166">
        <v>0</v>
      </c>
      <c r="AP845" s="166">
        <v>2</v>
      </c>
      <c r="AQ845" s="166">
        <v>5</v>
      </c>
      <c r="AR845" s="166">
        <v>2</v>
      </c>
      <c r="AS845" s="166">
        <v>0</v>
      </c>
      <c r="AT845" s="166">
        <v>0</v>
      </c>
      <c r="AU845" s="166">
        <v>0</v>
      </c>
      <c r="AV845" s="166">
        <v>0</v>
      </c>
      <c r="AW845" s="166">
        <v>2</v>
      </c>
      <c r="AX845" s="166">
        <v>5</v>
      </c>
      <c r="AY845" s="166">
        <v>2</v>
      </c>
      <c r="AZ845" s="166">
        <v>0</v>
      </c>
      <c r="BA845" s="166">
        <v>0</v>
      </c>
      <c r="BB845" s="166">
        <v>0</v>
      </c>
      <c r="BC845" s="166">
        <v>0</v>
      </c>
      <c r="BD845" s="166">
        <v>0</v>
      </c>
      <c r="BE845" s="166">
        <v>0</v>
      </c>
      <c r="BF845" s="166">
        <v>0</v>
      </c>
      <c r="BG845" s="166">
        <v>0</v>
      </c>
      <c r="BH845" s="166">
        <v>0</v>
      </c>
      <c r="BI845" s="166">
        <v>0</v>
      </c>
      <c r="BJ845" s="166">
        <v>0</v>
      </c>
      <c r="BK845" s="166">
        <v>0</v>
      </c>
      <c r="BL845" s="166">
        <v>0</v>
      </c>
      <c r="BM845" s="166">
        <v>0</v>
      </c>
      <c r="BN845" s="166">
        <v>0</v>
      </c>
      <c r="BO845" s="166">
        <v>0</v>
      </c>
      <c r="BP845" s="166">
        <v>0</v>
      </c>
      <c r="BQ845" s="81" t="s">
        <v>1757</v>
      </c>
      <c r="BX845" s="81" t="s">
        <v>155</v>
      </c>
      <c r="BZ845" s="81" t="s">
        <v>155</v>
      </c>
      <c r="CA845" s="81" t="s">
        <v>3972</v>
      </c>
      <c r="CC845" s="167">
        <v>0</v>
      </c>
      <c r="CD845" s="167">
        <f>$N845/4</f>
        <v>2.25</v>
      </c>
      <c r="CE845" s="167">
        <f>$N845/4</f>
        <v>2.25</v>
      </c>
      <c r="CF845" s="167">
        <f>$N845/4</f>
        <v>2.25</v>
      </c>
      <c r="CG845" s="167">
        <f>$N845/4</f>
        <v>2.25</v>
      </c>
      <c r="CH845" s="167">
        <v>0</v>
      </c>
      <c r="CI845" s="167">
        <v>0</v>
      </c>
      <c r="CJ845" s="167">
        <v>0</v>
      </c>
      <c r="CK845" s="167">
        <v>0</v>
      </c>
      <c r="CL845" s="167">
        <v>0</v>
      </c>
      <c r="CM845" s="167">
        <v>0</v>
      </c>
      <c r="CN845" s="167">
        <v>0</v>
      </c>
      <c r="CO845" s="167">
        <v>0</v>
      </c>
      <c r="CP845" s="167">
        <v>0</v>
      </c>
      <c r="CQ845" s="167">
        <v>0</v>
      </c>
      <c r="CR845" s="167">
        <v>0</v>
      </c>
      <c r="CS845" s="167">
        <v>0</v>
      </c>
      <c r="CT845" s="167">
        <v>0</v>
      </c>
      <c r="CU845" s="167">
        <v>0</v>
      </c>
      <c r="CV845" s="167">
        <v>0</v>
      </c>
      <c r="CW845" s="167">
        <v>0</v>
      </c>
      <c r="CX845" s="167">
        <f>SUM(CD845:CH845)</f>
        <v>9</v>
      </c>
      <c r="CY845" s="167">
        <f>SUM(CD845:CM845)</f>
        <v>9</v>
      </c>
    </row>
    <row r="846" spans="1:103" ht="12.75" customHeight="1" x14ac:dyDescent="0.2">
      <c r="A846" s="81">
        <v>5597</v>
      </c>
      <c r="B846" s="165" t="s">
        <v>1930</v>
      </c>
      <c r="C846" s="165" t="s">
        <v>100</v>
      </c>
      <c r="E846" s="165" t="s">
        <v>2573</v>
      </c>
      <c r="G846" s="81">
        <v>527204</v>
      </c>
      <c r="H846" s="81">
        <v>177286</v>
      </c>
      <c r="I846" s="165" t="s">
        <v>257</v>
      </c>
      <c r="L846" s="166">
        <v>2</v>
      </c>
      <c r="M846" s="166">
        <v>1</v>
      </c>
      <c r="N846" s="166">
        <v>-1</v>
      </c>
      <c r="O846" s="166">
        <v>1</v>
      </c>
      <c r="P846" s="166">
        <v>-1</v>
      </c>
      <c r="R846" s="165" t="s">
        <v>227</v>
      </c>
      <c r="S846" s="81" t="s">
        <v>113</v>
      </c>
      <c r="T846" s="349">
        <v>41983</v>
      </c>
      <c r="U846" s="349">
        <v>42074</v>
      </c>
      <c r="W846" s="81" t="s">
        <v>114</v>
      </c>
      <c r="Y846" s="81" t="s">
        <v>115</v>
      </c>
      <c r="Z846" s="81" t="s">
        <v>119</v>
      </c>
      <c r="AA846" s="81" t="s">
        <v>117</v>
      </c>
      <c r="AB846" s="81" t="s">
        <v>300</v>
      </c>
      <c r="AC846" s="166">
        <v>5.4000001400709201E-2</v>
      </c>
      <c r="AG846" s="81" t="s">
        <v>238</v>
      </c>
      <c r="AH846" s="81" t="s">
        <v>118</v>
      </c>
      <c r="AK846" s="166">
        <v>0</v>
      </c>
      <c r="AM846" s="166">
        <v>0</v>
      </c>
      <c r="AO846" s="166">
        <v>0</v>
      </c>
      <c r="AP846" s="166">
        <v>0</v>
      </c>
      <c r="AQ846" s="166">
        <v>-1</v>
      </c>
      <c r="AR846" s="166">
        <v>-1</v>
      </c>
      <c r="AS846" s="166">
        <v>0</v>
      </c>
      <c r="AT846" s="166">
        <v>1</v>
      </c>
      <c r="AU846" s="166">
        <v>0</v>
      </c>
      <c r="AV846" s="166">
        <v>0</v>
      </c>
      <c r="AW846" s="166">
        <v>0</v>
      </c>
      <c r="AX846" s="166">
        <v>-1</v>
      </c>
      <c r="AY846" s="166">
        <v>-1</v>
      </c>
      <c r="AZ846" s="166">
        <v>0</v>
      </c>
      <c r="BA846" s="166">
        <v>1</v>
      </c>
      <c r="BB846" s="166">
        <v>0</v>
      </c>
      <c r="BC846" s="166">
        <v>0</v>
      </c>
      <c r="BD846" s="166">
        <v>0</v>
      </c>
      <c r="BE846" s="166">
        <v>0</v>
      </c>
      <c r="BF846" s="166">
        <v>0</v>
      </c>
      <c r="BG846" s="166">
        <v>0</v>
      </c>
      <c r="BH846" s="166">
        <v>0</v>
      </c>
      <c r="BI846" s="166">
        <v>0</v>
      </c>
      <c r="BJ846" s="166">
        <v>0</v>
      </c>
      <c r="BK846" s="166">
        <v>0</v>
      </c>
      <c r="BL846" s="166">
        <v>0</v>
      </c>
      <c r="BM846" s="166">
        <v>0</v>
      </c>
      <c r="BN846" s="166">
        <v>0</v>
      </c>
      <c r="BO846" s="166">
        <v>0</v>
      </c>
      <c r="BP846" s="166">
        <v>0</v>
      </c>
      <c r="BQ846" s="81" t="s">
        <v>1757</v>
      </c>
      <c r="BX846" s="81" t="s">
        <v>155</v>
      </c>
      <c r="BZ846" s="81" t="s">
        <v>155</v>
      </c>
      <c r="CA846" s="81" t="s">
        <v>1937</v>
      </c>
      <c r="CC846" s="167">
        <v>0</v>
      </c>
      <c r="CD846" s="167">
        <f>$N846/4</f>
        <v>-0.25</v>
      </c>
      <c r="CE846" s="167">
        <f>$N846/4</f>
        <v>-0.25</v>
      </c>
      <c r="CF846" s="167">
        <f>$N846/4</f>
        <v>-0.25</v>
      </c>
      <c r="CG846" s="167">
        <f>$N846/4</f>
        <v>-0.25</v>
      </c>
      <c r="CH846" s="167">
        <v>0</v>
      </c>
      <c r="CI846" s="167">
        <v>0</v>
      </c>
      <c r="CJ846" s="167">
        <v>0</v>
      </c>
      <c r="CK846" s="167">
        <v>0</v>
      </c>
      <c r="CL846" s="167">
        <v>0</v>
      </c>
      <c r="CM846" s="167">
        <v>0</v>
      </c>
      <c r="CN846" s="167">
        <v>0</v>
      </c>
      <c r="CO846" s="167">
        <v>0</v>
      </c>
      <c r="CP846" s="167">
        <v>0</v>
      </c>
      <c r="CQ846" s="167">
        <v>0</v>
      </c>
      <c r="CR846" s="167">
        <v>0</v>
      </c>
      <c r="CS846" s="167">
        <v>0</v>
      </c>
      <c r="CT846" s="167">
        <v>0</v>
      </c>
      <c r="CU846" s="167">
        <v>0</v>
      </c>
      <c r="CV846" s="167">
        <v>0</v>
      </c>
      <c r="CW846" s="167">
        <v>0</v>
      </c>
      <c r="CX846" s="167">
        <f>SUM(CD846:CH846)</f>
        <v>-1</v>
      </c>
      <c r="CY846" s="167">
        <f>SUM(CD846:CM846)</f>
        <v>-1</v>
      </c>
    </row>
    <row r="847" spans="1:103" ht="12.75" customHeight="1" x14ac:dyDescent="0.2">
      <c r="A847" s="81">
        <v>5605</v>
      </c>
      <c r="B847" s="165" t="s">
        <v>1930</v>
      </c>
      <c r="C847" s="165" t="s">
        <v>1303</v>
      </c>
      <c r="E847" s="165" t="s">
        <v>2574</v>
      </c>
      <c r="G847" s="81">
        <v>526468</v>
      </c>
      <c r="H847" s="81">
        <v>175725</v>
      </c>
      <c r="I847" s="165" t="s">
        <v>257</v>
      </c>
      <c r="L847" s="166">
        <v>0</v>
      </c>
      <c r="M847" s="166">
        <v>1</v>
      </c>
      <c r="N847" s="166">
        <v>1</v>
      </c>
      <c r="O847" s="166">
        <v>1</v>
      </c>
      <c r="P847" s="166">
        <v>1</v>
      </c>
      <c r="R847" s="165" t="s">
        <v>1304</v>
      </c>
      <c r="S847" s="81" t="s">
        <v>270</v>
      </c>
      <c r="T847" s="349">
        <v>42548</v>
      </c>
      <c r="U847" s="349">
        <v>42604</v>
      </c>
      <c r="W847" s="81" t="s">
        <v>114</v>
      </c>
      <c r="Y847" s="81" t="s">
        <v>115</v>
      </c>
      <c r="Z847" s="81" t="s">
        <v>310</v>
      </c>
      <c r="AA847" s="81" t="s">
        <v>117</v>
      </c>
      <c r="AB847" s="81" t="s">
        <v>399</v>
      </c>
      <c r="AC847" s="166">
        <v>4.0000001899898104E-3</v>
      </c>
      <c r="AG847" s="81" t="s">
        <v>238</v>
      </c>
      <c r="AH847" s="81" t="s">
        <v>118</v>
      </c>
      <c r="AI847" s="81" t="s">
        <v>1939</v>
      </c>
      <c r="AK847" s="166">
        <v>0</v>
      </c>
      <c r="AM847" s="166">
        <v>0</v>
      </c>
      <c r="AO847" s="166">
        <v>0</v>
      </c>
      <c r="AP847" s="166">
        <v>0</v>
      </c>
      <c r="AQ847" s="166">
        <v>1</v>
      </c>
      <c r="AR847" s="166">
        <v>0</v>
      </c>
      <c r="AS847" s="166">
        <v>0</v>
      </c>
      <c r="AT847" s="166">
        <v>0</v>
      </c>
      <c r="AU847" s="166">
        <v>0</v>
      </c>
      <c r="AV847" s="166">
        <v>0</v>
      </c>
      <c r="AW847" s="166">
        <v>0</v>
      </c>
      <c r="AX847" s="166">
        <v>1</v>
      </c>
      <c r="AY847" s="166">
        <v>0</v>
      </c>
      <c r="AZ847" s="166">
        <v>0</v>
      </c>
      <c r="BA847" s="166">
        <v>0</v>
      </c>
      <c r="BB847" s="166">
        <v>0</v>
      </c>
      <c r="BC847" s="166">
        <v>0</v>
      </c>
      <c r="BD847" s="166">
        <v>0</v>
      </c>
      <c r="BE847" s="166">
        <v>0</v>
      </c>
      <c r="BF847" s="166">
        <v>0</v>
      </c>
      <c r="BG847" s="166">
        <v>0</v>
      </c>
      <c r="BH847" s="166">
        <v>0</v>
      </c>
      <c r="BI847" s="166">
        <v>0</v>
      </c>
      <c r="BJ847" s="166">
        <v>0</v>
      </c>
      <c r="BK847" s="166">
        <v>0</v>
      </c>
      <c r="BL847" s="166">
        <v>0</v>
      </c>
      <c r="BM847" s="166">
        <v>0</v>
      </c>
      <c r="BN847" s="166">
        <v>0</v>
      </c>
      <c r="BO847" s="166">
        <v>0</v>
      </c>
      <c r="BP847" s="166">
        <v>0</v>
      </c>
      <c r="BQ847" s="81" t="s">
        <v>1757</v>
      </c>
      <c r="BX847" s="81" t="s">
        <v>155</v>
      </c>
      <c r="BZ847" s="81" t="s">
        <v>155</v>
      </c>
      <c r="CA847" s="81" t="s">
        <v>1937</v>
      </c>
      <c r="CC847" s="167">
        <v>0</v>
      </c>
      <c r="CD847" s="167">
        <f>$N847/4</f>
        <v>0.25</v>
      </c>
      <c r="CE847" s="167">
        <f>$N847/4</f>
        <v>0.25</v>
      </c>
      <c r="CF847" s="167">
        <f>$N847/4</f>
        <v>0.25</v>
      </c>
      <c r="CG847" s="167">
        <f>$N847/4</f>
        <v>0.25</v>
      </c>
      <c r="CH847" s="167">
        <v>0</v>
      </c>
      <c r="CI847" s="167">
        <v>0</v>
      </c>
      <c r="CJ847" s="167">
        <v>0</v>
      </c>
      <c r="CK847" s="167">
        <v>0</v>
      </c>
      <c r="CL847" s="167">
        <v>0</v>
      </c>
      <c r="CM847" s="167">
        <v>0</v>
      </c>
      <c r="CN847" s="167">
        <v>0</v>
      </c>
      <c r="CO847" s="167">
        <v>0</v>
      </c>
      <c r="CP847" s="167">
        <v>0</v>
      </c>
      <c r="CQ847" s="167">
        <v>0</v>
      </c>
      <c r="CR847" s="167">
        <v>0</v>
      </c>
      <c r="CS847" s="167">
        <v>0</v>
      </c>
      <c r="CT847" s="167">
        <v>0</v>
      </c>
      <c r="CU847" s="167">
        <v>0</v>
      </c>
      <c r="CV847" s="167">
        <v>0</v>
      </c>
      <c r="CW847" s="167">
        <v>0</v>
      </c>
      <c r="CX847" s="167">
        <f>SUM(CD847:CH847)</f>
        <v>1</v>
      </c>
      <c r="CY847" s="167">
        <f>SUM(CD847:CM847)</f>
        <v>1</v>
      </c>
    </row>
    <row r="848" spans="1:103" ht="12.75" customHeight="1" x14ac:dyDescent="0.2">
      <c r="A848" s="81">
        <v>5634</v>
      </c>
      <c r="B848" s="165" t="s">
        <v>1930</v>
      </c>
      <c r="C848" s="165" t="s">
        <v>2575</v>
      </c>
      <c r="D848" s="165" t="s">
        <v>2107</v>
      </c>
      <c r="E848" s="165" t="s">
        <v>2576</v>
      </c>
      <c r="G848" s="81">
        <v>527292</v>
      </c>
      <c r="H848" s="81">
        <v>177189</v>
      </c>
      <c r="I848" s="165" t="s">
        <v>257</v>
      </c>
      <c r="L848" s="166">
        <v>0</v>
      </c>
      <c r="M848" s="166">
        <v>2</v>
      </c>
      <c r="N848" s="166">
        <v>2</v>
      </c>
      <c r="O848" s="166">
        <v>2</v>
      </c>
      <c r="P848" s="166">
        <v>2</v>
      </c>
      <c r="R848" s="165" t="s">
        <v>2577</v>
      </c>
      <c r="S848" s="81" t="s">
        <v>110</v>
      </c>
      <c r="T848" s="349">
        <v>42888</v>
      </c>
      <c r="U848" s="349">
        <v>42930</v>
      </c>
      <c r="V848" s="81" t="s">
        <v>155</v>
      </c>
      <c r="W848" s="81" t="s">
        <v>114</v>
      </c>
      <c r="Y848" s="81" t="s">
        <v>115</v>
      </c>
      <c r="Z848" s="81" t="s">
        <v>310</v>
      </c>
      <c r="AA848" s="81" t="s">
        <v>117</v>
      </c>
      <c r="AB848" s="81" t="s">
        <v>399</v>
      </c>
      <c r="AC848" s="166">
        <v>2.60000005364418E-2</v>
      </c>
      <c r="AG848" s="81" t="s">
        <v>238</v>
      </c>
      <c r="AH848" s="81" t="s">
        <v>118</v>
      </c>
      <c r="AK848" s="166">
        <v>0</v>
      </c>
      <c r="AM848" s="166">
        <v>0</v>
      </c>
      <c r="AO848" s="166">
        <v>0</v>
      </c>
      <c r="AP848" s="166">
        <v>1</v>
      </c>
      <c r="AQ848" s="166">
        <v>1</v>
      </c>
      <c r="AR848" s="166">
        <v>0</v>
      </c>
      <c r="AS848" s="166">
        <v>0</v>
      </c>
      <c r="AT848" s="166">
        <v>0</v>
      </c>
      <c r="AU848" s="166">
        <v>0</v>
      </c>
      <c r="AV848" s="166">
        <v>0</v>
      </c>
      <c r="AW848" s="166">
        <v>1</v>
      </c>
      <c r="AX848" s="166">
        <v>1</v>
      </c>
      <c r="AY848" s="166">
        <v>0</v>
      </c>
      <c r="AZ848" s="166">
        <v>0</v>
      </c>
      <c r="BA848" s="166">
        <v>0</v>
      </c>
      <c r="BB848" s="166">
        <v>0</v>
      </c>
      <c r="BC848" s="166">
        <v>0</v>
      </c>
      <c r="BD848" s="166">
        <v>0</v>
      </c>
      <c r="BE848" s="166">
        <v>0</v>
      </c>
      <c r="BF848" s="166">
        <v>0</v>
      </c>
      <c r="BG848" s="166">
        <v>0</v>
      </c>
      <c r="BH848" s="166">
        <v>0</v>
      </c>
      <c r="BI848" s="166">
        <v>0</v>
      </c>
      <c r="BJ848" s="166">
        <v>0</v>
      </c>
      <c r="BK848" s="166">
        <v>0</v>
      </c>
      <c r="BL848" s="166">
        <v>0</v>
      </c>
      <c r="BM848" s="166">
        <v>0</v>
      </c>
      <c r="BN848" s="166">
        <v>0</v>
      </c>
      <c r="BO848" s="166">
        <v>0</v>
      </c>
      <c r="BP848" s="166">
        <v>0</v>
      </c>
      <c r="BQ848" s="81" t="s">
        <v>1757</v>
      </c>
      <c r="BX848" s="81" t="s">
        <v>155</v>
      </c>
      <c r="BZ848" s="81" t="s">
        <v>155</v>
      </c>
      <c r="CA848" s="81" t="s">
        <v>3972</v>
      </c>
      <c r="CC848" s="167">
        <v>0</v>
      </c>
      <c r="CD848" s="167">
        <f>$N848/4</f>
        <v>0.5</v>
      </c>
      <c r="CE848" s="167">
        <f>$N848/4</f>
        <v>0.5</v>
      </c>
      <c r="CF848" s="167">
        <f>$N848/4</f>
        <v>0.5</v>
      </c>
      <c r="CG848" s="167">
        <f>$N848/4</f>
        <v>0.5</v>
      </c>
      <c r="CH848" s="167">
        <v>0</v>
      </c>
      <c r="CI848" s="167">
        <v>0</v>
      </c>
      <c r="CJ848" s="167">
        <v>0</v>
      </c>
      <c r="CK848" s="167">
        <v>0</v>
      </c>
      <c r="CL848" s="167">
        <v>0</v>
      </c>
      <c r="CM848" s="167">
        <v>0</v>
      </c>
      <c r="CN848" s="167">
        <v>0</v>
      </c>
      <c r="CO848" s="167">
        <v>0</v>
      </c>
      <c r="CP848" s="167">
        <v>0</v>
      </c>
      <c r="CQ848" s="167">
        <v>0</v>
      </c>
      <c r="CR848" s="167">
        <v>0</v>
      </c>
      <c r="CS848" s="167">
        <v>0</v>
      </c>
      <c r="CT848" s="167">
        <v>0</v>
      </c>
      <c r="CU848" s="167">
        <v>0</v>
      </c>
      <c r="CV848" s="167">
        <v>0</v>
      </c>
      <c r="CW848" s="167">
        <v>0</v>
      </c>
      <c r="CX848" s="167">
        <f>SUM(CD848:CH848)</f>
        <v>2</v>
      </c>
      <c r="CY848" s="167">
        <f>SUM(CD848:CM848)</f>
        <v>2</v>
      </c>
    </row>
    <row r="849" spans="1:103" ht="12.75" customHeight="1" x14ac:dyDescent="0.2">
      <c r="A849" s="81">
        <v>5653</v>
      </c>
      <c r="B849" s="165" t="s">
        <v>1930</v>
      </c>
      <c r="C849" s="165" t="s">
        <v>2578</v>
      </c>
      <c r="E849" s="165" t="s">
        <v>2579</v>
      </c>
      <c r="G849" s="81">
        <v>525465</v>
      </c>
      <c r="H849" s="81">
        <v>174675</v>
      </c>
      <c r="I849" s="165" t="s">
        <v>258</v>
      </c>
      <c r="L849" s="166">
        <v>2</v>
      </c>
      <c r="M849" s="166">
        <v>2</v>
      </c>
      <c r="N849" s="166">
        <v>0</v>
      </c>
      <c r="O849" s="166">
        <v>3</v>
      </c>
      <c r="P849" s="166">
        <v>1</v>
      </c>
      <c r="R849" s="165" t="s">
        <v>2580</v>
      </c>
      <c r="S849" s="81" t="s">
        <v>113</v>
      </c>
      <c r="T849" s="349">
        <v>42920</v>
      </c>
      <c r="U849" s="349">
        <v>43041</v>
      </c>
      <c r="V849" s="81" t="s">
        <v>155</v>
      </c>
      <c r="W849" s="81" t="s">
        <v>114</v>
      </c>
      <c r="Y849" s="81" t="s">
        <v>115</v>
      </c>
      <c r="Z849" s="81" t="s">
        <v>398</v>
      </c>
      <c r="AA849" s="81" t="s">
        <v>117</v>
      </c>
      <c r="AB849" s="81" t="s">
        <v>220</v>
      </c>
      <c r="AC849" s="166">
        <v>6.0000000521540598E-3</v>
      </c>
      <c r="AG849" s="81" t="s">
        <v>238</v>
      </c>
      <c r="AH849" s="81" t="s">
        <v>118</v>
      </c>
      <c r="AK849" s="166">
        <v>0</v>
      </c>
      <c r="AM849" s="166">
        <v>0</v>
      </c>
      <c r="AO849" s="166">
        <v>0</v>
      </c>
      <c r="AP849" s="166">
        <v>0</v>
      </c>
      <c r="AQ849" s="166">
        <v>-2</v>
      </c>
      <c r="AR849" s="166">
        <v>2</v>
      </c>
      <c r="AS849" s="166">
        <v>0</v>
      </c>
      <c r="AT849" s="166">
        <v>0</v>
      </c>
      <c r="AU849" s="166">
        <v>0</v>
      </c>
      <c r="AV849" s="166">
        <v>0</v>
      </c>
      <c r="AW849" s="166">
        <v>0</v>
      </c>
      <c r="AX849" s="166">
        <v>-2</v>
      </c>
      <c r="AY849" s="166">
        <v>2</v>
      </c>
      <c r="AZ849" s="166">
        <v>0</v>
      </c>
      <c r="BA849" s="166">
        <v>0</v>
      </c>
      <c r="BB849" s="166">
        <v>0</v>
      </c>
      <c r="BC849" s="166">
        <v>0</v>
      </c>
      <c r="BD849" s="166">
        <v>0</v>
      </c>
      <c r="BE849" s="166">
        <v>0</v>
      </c>
      <c r="BF849" s="166">
        <v>0</v>
      </c>
      <c r="BG849" s="166">
        <v>0</v>
      </c>
      <c r="BH849" s="166">
        <v>0</v>
      </c>
      <c r="BI849" s="166">
        <v>0</v>
      </c>
      <c r="BJ849" s="166">
        <v>0</v>
      </c>
      <c r="BK849" s="166">
        <v>0</v>
      </c>
      <c r="BL849" s="166">
        <v>0</v>
      </c>
      <c r="BM849" s="166">
        <v>0</v>
      </c>
      <c r="BN849" s="166">
        <v>0</v>
      </c>
      <c r="BO849" s="166">
        <v>0</v>
      </c>
      <c r="BP849" s="166">
        <v>0</v>
      </c>
      <c r="BQ849" s="81" t="s">
        <v>1758</v>
      </c>
      <c r="BR849" s="81" t="s">
        <v>202</v>
      </c>
      <c r="BT849" s="81" t="s">
        <v>155</v>
      </c>
      <c r="BZ849" s="81" t="s">
        <v>155</v>
      </c>
      <c r="CA849" s="81" t="s">
        <v>1937</v>
      </c>
      <c r="CC849" s="167">
        <v>0</v>
      </c>
      <c r="CD849" s="167">
        <f>$N849/4</f>
        <v>0</v>
      </c>
      <c r="CE849" s="167">
        <f>$N849/4</f>
        <v>0</v>
      </c>
      <c r="CF849" s="167">
        <f>$N849/4</f>
        <v>0</v>
      </c>
      <c r="CG849" s="167">
        <f>$N849/4</f>
        <v>0</v>
      </c>
      <c r="CH849" s="167">
        <v>0</v>
      </c>
      <c r="CI849" s="167">
        <v>0</v>
      </c>
      <c r="CJ849" s="167">
        <v>0</v>
      </c>
      <c r="CK849" s="167">
        <v>0</v>
      </c>
      <c r="CL849" s="167">
        <v>0</v>
      </c>
      <c r="CM849" s="167">
        <v>0</v>
      </c>
      <c r="CN849" s="167">
        <v>0</v>
      </c>
      <c r="CO849" s="167">
        <v>0</v>
      </c>
      <c r="CP849" s="167">
        <v>0</v>
      </c>
      <c r="CQ849" s="167">
        <v>0</v>
      </c>
      <c r="CR849" s="167">
        <v>0</v>
      </c>
      <c r="CS849" s="167">
        <v>0</v>
      </c>
      <c r="CT849" s="167">
        <v>0</v>
      </c>
      <c r="CU849" s="167">
        <v>0</v>
      </c>
      <c r="CV849" s="167">
        <v>0</v>
      </c>
      <c r="CW849" s="167">
        <v>0</v>
      </c>
      <c r="CX849" s="167">
        <f>SUM(CD849:CH849)</f>
        <v>0</v>
      </c>
      <c r="CY849" s="167">
        <f>SUM(CD849:CM849)</f>
        <v>0</v>
      </c>
    </row>
    <row r="850" spans="1:103" ht="12.75" customHeight="1" x14ac:dyDescent="0.2">
      <c r="A850" s="81">
        <v>5653</v>
      </c>
      <c r="B850" s="165" t="s">
        <v>1930</v>
      </c>
      <c r="C850" s="165" t="s">
        <v>2578</v>
      </c>
      <c r="E850" s="165" t="s">
        <v>2579</v>
      </c>
      <c r="G850" s="81">
        <v>525465</v>
      </c>
      <c r="H850" s="81">
        <v>174675</v>
      </c>
      <c r="I850" s="165" t="s">
        <v>258</v>
      </c>
      <c r="L850" s="166">
        <v>0</v>
      </c>
      <c r="M850" s="166">
        <v>1</v>
      </c>
      <c r="N850" s="166">
        <v>1</v>
      </c>
      <c r="O850" s="166">
        <v>3</v>
      </c>
      <c r="P850" s="166">
        <v>1</v>
      </c>
      <c r="R850" s="165" t="s">
        <v>2580</v>
      </c>
      <c r="S850" s="81" t="s">
        <v>113</v>
      </c>
      <c r="T850" s="349">
        <v>42920</v>
      </c>
      <c r="U850" s="349">
        <v>43041</v>
      </c>
      <c r="V850" s="81" t="s">
        <v>155</v>
      </c>
      <c r="W850" s="81" t="s">
        <v>114</v>
      </c>
      <c r="Y850" s="81" t="s">
        <v>115</v>
      </c>
      <c r="Z850" s="81" t="s">
        <v>398</v>
      </c>
      <c r="AA850" s="81" t="s">
        <v>117</v>
      </c>
      <c r="AB850" s="81" t="s">
        <v>218</v>
      </c>
      <c r="AC850" s="166">
        <v>3.0000000260770299E-3</v>
      </c>
      <c r="AG850" s="81" t="s">
        <v>238</v>
      </c>
      <c r="AH850" s="81" t="s">
        <v>118</v>
      </c>
      <c r="AK850" s="166">
        <v>0</v>
      </c>
      <c r="AM850" s="166">
        <v>0</v>
      </c>
      <c r="AO850" s="166">
        <v>0</v>
      </c>
      <c r="AP850" s="166">
        <v>0</v>
      </c>
      <c r="AQ850" s="166">
        <v>1</v>
      </c>
      <c r="AR850" s="166">
        <v>0</v>
      </c>
      <c r="AS850" s="166">
        <v>0</v>
      </c>
      <c r="AT850" s="166">
        <v>0</v>
      </c>
      <c r="AU850" s="166">
        <v>0</v>
      </c>
      <c r="AV850" s="166">
        <v>0</v>
      </c>
      <c r="AW850" s="166">
        <v>0</v>
      </c>
      <c r="AX850" s="166">
        <v>1</v>
      </c>
      <c r="AY850" s="166">
        <v>0</v>
      </c>
      <c r="AZ850" s="166">
        <v>0</v>
      </c>
      <c r="BA850" s="166">
        <v>0</v>
      </c>
      <c r="BB850" s="166">
        <v>0</v>
      </c>
      <c r="BC850" s="166">
        <v>0</v>
      </c>
      <c r="BD850" s="166">
        <v>0</v>
      </c>
      <c r="BE850" s="166">
        <v>0</v>
      </c>
      <c r="BF850" s="166">
        <v>0</v>
      </c>
      <c r="BG850" s="166">
        <v>0</v>
      </c>
      <c r="BH850" s="166">
        <v>0</v>
      </c>
      <c r="BI850" s="166">
        <v>0</v>
      </c>
      <c r="BJ850" s="166">
        <v>0</v>
      </c>
      <c r="BK850" s="166">
        <v>0</v>
      </c>
      <c r="BL850" s="166">
        <v>0</v>
      </c>
      <c r="BM850" s="166">
        <v>0</v>
      </c>
      <c r="BN850" s="166">
        <v>0</v>
      </c>
      <c r="BO850" s="166">
        <v>0</v>
      </c>
      <c r="BP850" s="166">
        <v>0</v>
      </c>
      <c r="BQ850" s="81" t="s">
        <v>1758</v>
      </c>
      <c r="BR850" s="81" t="s">
        <v>202</v>
      </c>
      <c r="BT850" s="81" t="s">
        <v>155</v>
      </c>
      <c r="BZ850" s="81" t="s">
        <v>155</v>
      </c>
      <c r="CA850" s="81" t="s">
        <v>1937</v>
      </c>
      <c r="CC850" s="167">
        <v>0</v>
      </c>
      <c r="CD850" s="167">
        <f>$N850/4</f>
        <v>0.25</v>
      </c>
      <c r="CE850" s="167">
        <f>$N850/4</f>
        <v>0.25</v>
      </c>
      <c r="CF850" s="167">
        <f>$N850/4</f>
        <v>0.25</v>
      </c>
      <c r="CG850" s="167">
        <f>$N850/4</f>
        <v>0.25</v>
      </c>
      <c r="CH850" s="167">
        <v>0</v>
      </c>
      <c r="CI850" s="167">
        <v>0</v>
      </c>
      <c r="CJ850" s="167">
        <v>0</v>
      </c>
      <c r="CK850" s="167">
        <v>0</v>
      </c>
      <c r="CL850" s="167">
        <v>0</v>
      </c>
      <c r="CM850" s="167">
        <v>0</v>
      </c>
      <c r="CN850" s="167">
        <v>0</v>
      </c>
      <c r="CO850" s="167">
        <v>0</v>
      </c>
      <c r="CP850" s="167">
        <v>0</v>
      </c>
      <c r="CQ850" s="167">
        <v>0</v>
      </c>
      <c r="CR850" s="167">
        <v>0</v>
      </c>
      <c r="CS850" s="167">
        <v>0</v>
      </c>
      <c r="CT850" s="167">
        <v>0</v>
      </c>
      <c r="CU850" s="167">
        <v>0</v>
      </c>
      <c r="CV850" s="167">
        <v>0</v>
      </c>
      <c r="CW850" s="167">
        <v>0</v>
      </c>
      <c r="CX850" s="167">
        <f>SUM(CD850:CH850)</f>
        <v>1</v>
      </c>
      <c r="CY850" s="167">
        <f>SUM(CD850:CM850)</f>
        <v>1</v>
      </c>
    </row>
    <row r="851" spans="1:103" ht="12.75" customHeight="1" x14ac:dyDescent="0.2">
      <c r="A851" s="81">
        <v>5666</v>
      </c>
      <c r="B851" s="165" t="s">
        <v>1930</v>
      </c>
      <c r="C851" s="165" t="s">
        <v>651</v>
      </c>
      <c r="E851" s="165" t="s">
        <v>2581</v>
      </c>
      <c r="G851" s="81">
        <v>527230</v>
      </c>
      <c r="H851" s="81">
        <v>174138</v>
      </c>
      <c r="I851" s="165" t="s">
        <v>260</v>
      </c>
      <c r="L851" s="166">
        <v>2</v>
      </c>
      <c r="M851" s="166">
        <v>0</v>
      </c>
      <c r="N851" s="166">
        <v>-2</v>
      </c>
      <c r="O851" s="166">
        <v>0</v>
      </c>
      <c r="P851" s="166">
        <v>-2</v>
      </c>
      <c r="R851" s="165" t="s">
        <v>652</v>
      </c>
      <c r="S851" s="81" t="s">
        <v>113</v>
      </c>
      <c r="T851" s="349">
        <v>42375</v>
      </c>
      <c r="U851" s="349">
        <v>42424</v>
      </c>
      <c r="W851" s="81" t="s">
        <v>114</v>
      </c>
      <c r="Y851" s="81" t="s">
        <v>115</v>
      </c>
      <c r="Z851" s="81" t="s">
        <v>310</v>
      </c>
      <c r="AA851" s="81" t="s">
        <v>117</v>
      </c>
      <c r="AB851" s="81" t="s">
        <v>105</v>
      </c>
      <c r="AC851" s="166">
        <v>3.20000015199184E-2</v>
      </c>
      <c r="AG851" s="81" t="s">
        <v>238</v>
      </c>
      <c r="AH851" s="81" t="s">
        <v>118</v>
      </c>
      <c r="AK851" s="166">
        <v>0</v>
      </c>
      <c r="AM851" s="166">
        <v>0</v>
      </c>
      <c r="AO851" s="166">
        <v>0</v>
      </c>
      <c r="AP851" s="166">
        <v>0</v>
      </c>
      <c r="AQ851" s="166">
        <v>-1</v>
      </c>
      <c r="AR851" s="166">
        <v>-1</v>
      </c>
      <c r="AS851" s="166">
        <v>0</v>
      </c>
      <c r="AT851" s="166">
        <v>0</v>
      </c>
      <c r="AU851" s="166">
        <v>0</v>
      </c>
      <c r="AV851" s="166">
        <v>0</v>
      </c>
      <c r="AW851" s="166">
        <v>0</v>
      </c>
      <c r="AX851" s="166">
        <v>-1</v>
      </c>
      <c r="AY851" s="166">
        <v>0</v>
      </c>
      <c r="AZ851" s="166">
        <v>0</v>
      </c>
      <c r="BA851" s="166">
        <v>0</v>
      </c>
      <c r="BB851" s="166">
        <v>0</v>
      </c>
      <c r="BC851" s="166">
        <v>0</v>
      </c>
      <c r="BD851" s="166">
        <v>0</v>
      </c>
      <c r="BE851" s="166">
        <v>0</v>
      </c>
      <c r="BF851" s="166">
        <v>-1</v>
      </c>
      <c r="BG851" s="166">
        <v>0</v>
      </c>
      <c r="BH851" s="166">
        <v>0</v>
      </c>
      <c r="BI851" s="166">
        <v>0</v>
      </c>
      <c r="BJ851" s="166">
        <v>0</v>
      </c>
      <c r="BK851" s="166">
        <v>0</v>
      </c>
      <c r="BL851" s="166">
        <v>0</v>
      </c>
      <c r="BM851" s="166">
        <v>0</v>
      </c>
      <c r="BN851" s="166">
        <v>0</v>
      </c>
      <c r="BO851" s="166">
        <v>0</v>
      </c>
      <c r="BP851" s="166">
        <v>0</v>
      </c>
      <c r="BQ851" s="81" t="s">
        <v>1758</v>
      </c>
      <c r="BZ851" s="81" t="s">
        <v>155</v>
      </c>
      <c r="CA851" s="81" t="s">
        <v>1937</v>
      </c>
      <c r="CC851" s="167">
        <v>0</v>
      </c>
      <c r="CD851" s="167">
        <f>$N851/4</f>
        <v>-0.5</v>
      </c>
      <c r="CE851" s="167">
        <f>$N851/4</f>
        <v>-0.5</v>
      </c>
      <c r="CF851" s="167">
        <f>$N851/4</f>
        <v>-0.5</v>
      </c>
      <c r="CG851" s="167">
        <f>$N851/4</f>
        <v>-0.5</v>
      </c>
      <c r="CH851" s="167">
        <v>0</v>
      </c>
      <c r="CI851" s="167">
        <v>0</v>
      </c>
      <c r="CJ851" s="167">
        <v>0</v>
      </c>
      <c r="CK851" s="167">
        <v>0</v>
      </c>
      <c r="CL851" s="167">
        <v>0</v>
      </c>
      <c r="CM851" s="167">
        <v>0</v>
      </c>
      <c r="CN851" s="167">
        <v>0</v>
      </c>
      <c r="CO851" s="167">
        <v>0</v>
      </c>
      <c r="CP851" s="167">
        <v>0</v>
      </c>
      <c r="CQ851" s="167">
        <v>0</v>
      </c>
      <c r="CR851" s="167">
        <v>0</v>
      </c>
      <c r="CS851" s="167">
        <v>0</v>
      </c>
      <c r="CT851" s="167">
        <v>0</v>
      </c>
      <c r="CU851" s="167">
        <v>0</v>
      </c>
      <c r="CV851" s="167">
        <v>0</v>
      </c>
      <c r="CW851" s="167">
        <v>0</v>
      </c>
      <c r="CX851" s="167">
        <f>SUM(CD851:CH851)</f>
        <v>-2</v>
      </c>
      <c r="CY851" s="167">
        <f>SUM(CD851:CM851)</f>
        <v>-2</v>
      </c>
    </row>
    <row r="852" spans="1:103" ht="12.75" customHeight="1" x14ac:dyDescent="0.2">
      <c r="A852" s="81">
        <v>5682</v>
      </c>
      <c r="B852" s="165" t="s">
        <v>1930</v>
      </c>
      <c r="C852" s="165" t="s">
        <v>1193</v>
      </c>
      <c r="E852" s="165" t="s">
        <v>2582</v>
      </c>
      <c r="G852" s="81">
        <v>528537</v>
      </c>
      <c r="H852" s="81">
        <v>175740</v>
      </c>
      <c r="I852" s="165" t="s">
        <v>256</v>
      </c>
      <c r="L852" s="166">
        <v>0</v>
      </c>
      <c r="M852" s="166">
        <v>1</v>
      </c>
      <c r="N852" s="166">
        <v>1</v>
      </c>
      <c r="O852" s="166">
        <v>1</v>
      </c>
      <c r="P852" s="166">
        <v>1</v>
      </c>
      <c r="R852" s="165" t="s">
        <v>1194</v>
      </c>
      <c r="S852" s="81" t="s">
        <v>113</v>
      </c>
      <c r="T852" s="349">
        <v>42493</v>
      </c>
      <c r="U852" s="349">
        <v>42549</v>
      </c>
      <c r="W852" s="81" t="s">
        <v>114</v>
      </c>
      <c r="Y852" s="81" t="s">
        <v>115</v>
      </c>
      <c r="Z852" s="81" t="s">
        <v>398</v>
      </c>
      <c r="AA852" s="81" t="s">
        <v>117</v>
      </c>
      <c r="AB852" s="81" t="s">
        <v>102</v>
      </c>
      <c r="AC852" s="166">
        <v>4.0000001899898104E-3</v>
      </c>
      <c r="AG852" s="81" t="s">
        <v>238</v>
      </c>
      <c r="AH852" s="81" t="s">
        <v>118</v>
      </c>
      <c r="AK852" s="166">
        <v>0</v>
      </c>
      <c r="AM852" s="166">
        <v>0</v>
      </c>
      <c r="AO852" s="166">
        <v>0</v>
      </c>
      <c r="AP852" s="166">
        <v>1</v>
      </c>
      <c r="AQ852" s="166">
        <v>0</v>
      </c>
      <c r="AR852" s="166">
        <v>0</v>
      </c>
      <c r="AS852" s="166">
        <v>0</v>
      </c>
      <c r="AT852" s="166">
        <v>0</v>
      </c>
      <c r="AU852" s="166">
        <v>0</v>
      </c>
      <c r="AV852" s="166">
        <v>0</v>
      </c>
      <c r="AW852" s="166">
        <v>1</v>
      </c>
      <c r="AX852" s="166">
        <v>0</v>
      </c>
      <c r="AY852" s="166">
        <v>0</v>
      </c>
      <c r="AZ852" s="166">
        <v>0</v>
      </c>
      <c r="BA852" s="166">
        <v>0</v>
      </c>
      <c r="BB852" s="166">
        <v>0</v>
      </c>
      <c r="BC852" s="166">
        <v>0</v>
      </c>
      <c r="BD852" s="166">
        <v>0</v>
      </c>
      <c r="BE852" s="166">
        <v>0</v>
      </c>
      <c r="BF852" s="166">
        <v>0</v>
      </c>
      <c r="BG852" s="166">
        <v>0</v>
      </c>
      <c r="BH852" s="166">
        <v>0</v>
      </c>
      <c r="BI852" s="166">
        <v>0</v>
      </c>
      <c r="BJ852" s="166">
        <v>0</v>
      </c>
      <c r="BK852" s="166">
        <v>0</v>
      </c>
      <c r="BL852" s="166">
        <v>0</v>
      </c>
      <c r="BM852" s="166">
        <v>0</v>
      </c>
      <c r="BN852" s="166">
        <v>0</v>
      </c>
      <c r="BO852" s="166">
        <v>0</v>
      </c>
      <c r="BP852" s="166">
        <v>0</v>
      </c>
      <c r="BQ852" s="81" t="s">
        <v>1757</v>
      </c>
      <c r="BZ852" s="81" t="s">
        <v>155</v>
      </c>
      <c r="CA852" s="81" t="s">
        <v>1937</v>
      </c>
      <c r="CC852" s="167">
        <v>0</v>
      </c>
      <c r="CD852" s="167">
        <f>$N852/4</f>
        <v>0.25</v>
      </c>
      <c r="CE852" s="167">
        <f>$N852/4</f>
        <v>0.25</v>
      </c>
      <c r="CF852" s="167">
        <f>$N852/4</f>
        <v>0.25</v>
      </c>
      <c r="CG852" s="167">
        <f>$N852/4</f>
        <v>0.25</v>
      </c>
      <c r="CH852" s="167">
        <v>0</v>
      </c>
      <c r="CI852" s="167">
        <v>0</v>
      </c>
      <c r="CJ852" s="167">
        <v>0</v>
      </c>
      <c r="CK852" s="167">
        <v>0</v>
      </c>
      <c r="CL852" s="167">
        <v>0</v>
      </c>
      <c r="CM852" s="167">
        <v>0</v>
      </c>
      <c r="CN852" s="167">
        <v>0</v>
      </c>
      <c r="CO852" s="167">
        <v>0</v>
      </c>
      <c r="CP852" s="167">
        <v>0</v>
      </c>
      <c r="CQ852" s="167">
        <v>0</v>
      </c>
      <c r="CR852" s="167">
        <v>0</v>
      </c>
      <c r="CS852" s="167">
        <v>0</v>
      </c>
      <c r="CT852" s="167">
        <v>0</v>
      </c>
      <c r="CU852" s="167">
        <v>0</v>
      </c>
      <c r="CV852" s="167">
        <v>0</v>
      </c>
      <c r="CW852" s="167">
        <v>0</v>
      </c>
      <c r="CX852" s="167">
        <f>SUM(CD852:CH852)</f>
        <v>1</v>
      </c>
      <c r="CY852" s="167">
        <f>SUM(CD852:CM852)</f>
        <v>1</v>
      </c>
    </row>
    <row r="853" spans="1:103" ht="12.75" customHeight="1" x14ac:dyDescent="0.2">
      <c r="A853" s="81">
        <v>5682</v>
      </c>
      <c r="B853" s="165" t="s">
        <v>1930</v>
      </c>
      <c r="C853" s="165" t="s">
        <v>2583</v>
      </c>
      <c r="E853" s="165" t="s">
        <v>2582</v>
      </c>
      <c r="G853" s="81">
        <v>528537</v>
      </c>
      <c r="H853" s="81">
        <v>175740</v>
      </c>
      <c r="I853" s="165" t="s">
        <v>256</v>
      </c>
      <c r="L853" s="166">
        <v>1</v>
      </c>
      <c r="M853" s="166">
        <v>2</v>
      </c>
      <c r="N853" s="166">
        <v>1</v>
      </c>
      <c r="O853" s="166">
        <v>3</v>
      </c>
      <c r="P853" s="166">
        <v>2</v>
      </c>
      <c r="R853" s="165" t="s">
        <v>2584</v>
      </c>
      <c r="S853" s="81" t="s">
        <v>113</v>
      </c>
      <c r="T853" s="349">
        <v>42838</v>
      </c>
      <c r="U853" s="349">
        <v>42997</v>
      </c>
      <c r="V853" s="81" t="s">
        <v>155</v>
      </c>
      <c r="W853" s="81" t="s">
        <v>114</v>
      </c>
      <c r="Y853" s="81" t="s">
        <v>115</v>
      </c>
      <c r="Z853" s="81" t="s">
        <v>398</v>
      </c>
      <c r="AA853" s="81" t="s">
        <v>117</v>
      </c>
      <c r="AB853" s="81" t="s">
        <v>220</v>
      </c>
      <c r="AC853" s="166">
        <v>4.0000001899898104E-3</v>
      </c>
      <c r="AG853" s="81" t="s">
        <v>238</v>
      </c>
      <c r="AH853" s="81" t="s">
        <v>118</v>
      </c>
      <c r="AK853" s="166">
        <v>0</v>
      </c>
      <c r="AM853" s="166">
        <v>0</v>
      </c>
      <c r="AO853" s="166">
        <v>0</v>
      </c>
      <c r="AP853" s="166">
        <v>2</v>
      </c>
      <c r="AQ853" s="166">
        <v>0</v>
      </c>
      <c r="AR853" s="166">
        <v>0</v>
      </c>
      <c r="AS853" s="166">
        <v>-1</v>
      </c>
      <c r="AT853" s="166">
        <v>0</v>
      </c>
      <c r="AU853" s="166">
        <v>0</v>
      </c>
      <c r="AV853" s="166">
        <v>0</v>
      </c>
      <c r="AW853" s="166">
        <v>2</v>
      </c>
      <c r="AX853" s="166">
        <v>0</v>
      </c>
      <c r="AY853" s="166">
        <v>0</v>
      </c>
      <c r="AZ853" s="166">
        <v>-1</v>
      </c>
      <c r="BA853" s="166">
        <v>0</v>
      </c>
      <c r="BB853" s="166">
        <v>0</v>
      </c>
      <c r="BC853" s="166">
        <v>0</v>
      </c>
      <c r="BD853" s="166">
        <v>0</v>
      </c>
      <c r="BE853" s="166">
        <v>0</v>
      </c>
      <c r="BF853" s="166">
        <v>0</v>
      </c>
      <c r="BG853" s="166">
        <v>0</v>
      </c>
      <c r="BH853" s="166">
        <v>0</v>
      </c>
      <c r="BI853" s="166">
        <v>0</v>
      </c>
      <c r="BJ853" s="166">
        <v>0</v>
      </c>
      <c r="BK853" s="166">
        <v>0</v>
      </c>
      <c r="BL853" s="166">
        <v>0</v>
      </c>
      <c r="BM853" s="166">
        <v>0</v>
      </c>
      <c r="BN853" s="166">
        <v>0</v>
      </c>
      <c r="BO853" s="166">
        <v>0</v>
      </c>
      <c r="BP853" s="166">
        <v>0</v>
      </c>
      <c r="BQ853" s="81" t="s">
        <v>1757</v>
      </c>
      <c r="BZ853" s="81" t="s">
        <v>155</v>
      </c>
      <c r="CA853" s="81" t="s">
        <v>1937</v>
      </c>
      <c r="CC853" s="167">
        <v>0</v>
      </c>
      <c r="CD853" s="167">
        <f>$N853/4</f>
        <v>0.25</v>
      </c>
      <c r="CE853" s="167">
        <f>$N853/4</f>
        <v>0.25</v>
      </c>
      <c r="CF853" s="167">
        <f>$N853/4</f>
        <v>0.25</v>
      </c>
      <c r="CG853" s="167">
        <f>$N853/4</f>
        <v>0.25</v>
      </c>
      <c r="CH853" s="167">
        <v>0</v>
      </c>
      <c r="CI853" s="167">
        <v>0</v>
      </c>
      <c r="CJ853" s="167">
        <v>0</v>
      </c>
      <c r="CK853" s="167">
        <v>0</v>
      </c>
      <c r="CL853" s="167">
        <v>0</v>
      </c>
      <c r="CM853" s="167">
        <v>0</v>
      </c>
      <c r="CN853" s="167">
        <v>0</v>
      </c>
      <c r="CO853" s="167">
        <v>0</v>
      </c>
      <c r="CP853" s="167">
        <v>0</v>
      </c>
      <c r="CQ853" s="167">
        <v>0</v>
      </c>
      <c r="CR853" s="167">
        <v>0</v>
      </c>
      <c r="CS853" s="167">
        <v>0</v>
      </c>
      <c r="CT853" s="167">
        <v>0</v>
      </c>
      <c r="CU853" s="167">
        <v>0</v>
      </c>
      <c r="CV853" s="167">
        <v>0</v>
      </c>
      <c r="CW853" s="167">
        <v>0</v>
      </c>
      <c r="CX853" s="167">
        <f>SUM(CD853:CH853)</f>
        <v>1</v>
      </c>
      <c r="CY853" s="167">
        <f>SUM(CD853:CM853)</f>
        <v>1</v>
      </c>
    </row>
    <row r="854" spans="1:103" ht="12.75" customHeight="1" x14ac:dyDescent="0.2">
      <c r="A854" s="81">
        <v>5682</v>
      </c>
      <c r="B854" s="165" t="s">
        <v>1930</v>
      </c>
      <c r="C854" s="165" t="s">
        <v>2583</v>
      </c>
      <c r="E854" s="165" t="s">
        <v>2582</v>
      </c>
      <c r="G854" s="81">
        <v>528537</v>
      </c>
      <c r="H854" s="81">
        <v>175740</v>
      </c>
      <c r="I854" s="165" t="s">
        <v>256</v>
      </c>
      <c r="L854" s="166">
        <v>0</v>
      </c>
      <c r="M854" s="166">
        <v>1</v>
      </c>
      <c r="N854" s="166">
        <v>1</v>
      </c>
      <c r="O854" s="166">
        <v>3</v>
      </c>
      <c r="P854" s="166">
        <v>2</v>
      </c>
      <c r="R854" s="165" t="s">
        <v>2584</v>
      </c>
      <c r="S854" s="81" t="s">
        <v>113</v>
      </c>
      <c r="T854" s="349">
        <v>42838</v>
      </c>
      <c r="U854" s="349">
        <v>42997</v>
      </c>
      <c r="V854" s="81" t="s">
        <v>155</v>
      </c>
      <c r="W854" s="81" t="s">
        <v>114</v>
      </c>
      <c r="Y854" s="81" t="s">
        <v>115</v>
      </c>
      <c r="Z854" s="81" t="s">
        <v>398</v>
      </c>
      <c r="AA854" s="81" t="s">
        <v>117</v>
      </c>
      <c r="AB854" s="81" t="s">
        <v>218</v>
      </c>
      <c r="AC854" s="166">
        <v>3.0000000260770299E-3</v>
      </c>
      <c r="AG854" s="81" t="s">
        <v>238</v>
      </c>
      <c r="AH854" s="81" t="s">
        <v>118</v>
      </c>
      <c r="AK854" s="166">
        <v>0</v>
      </c>
      <c r="AM854" s="166">
        <v>0</v>
      </c>
      <c r="AO854" s="166">
        <v>0</v>
      </c>
      <c r="AP854" s="166">
        <v>1</v>
      </c>
      <c r="AQ854" s="166">
        <v>0</v>
      </c>
      <c r="AR854" s="166">
        <v>0</v>
      </c>
      <c r="AS854" s="166">
        <v>0</v>
      </c>
      <c r="AT854" s="166">
        <v>0</v>
      </c>
      <c r="AU854" s="166">
        <v>0</v>
      </c>
      <c r="AV854" s="166">
        <v>0</v>
      </c>
      <c r="AW854" s="166">
        <v>1</v>
      </c>
      <c r="AX854" s="166">
        <v>0</v>
      </c>
      <c r="AY854" s="166">
        <v>0</v>
      </c>
      <c r="AZ854" s="166">
        <v>0</v>
      </c>
      <c r="BA854" s="166">
        <v>0</v>
      </c>
      <c r="BB854" s="166">
        <v>0</v>
      </c>
      <c r="BC854" s="166">
        <v>0</v>
      </c>
      <c r="BD854" s="166">
        <v>0</v>
      </c>
      <c r="BE854" s="166">
        <v>0</v>
      </c>
      <c r="BF854" s="166">
        <v>0</v>
      </c>
      <c r="BG854" s="166">
        <v>0</v>
      </c>
      <c r="BH854" s="166">
        <v>0</v>
      </c>
      <c r="BI854" s="166">
        <v>0</v>
      </c>
      <c r="BJ854" s="166">
        <v>0</v>
      </c>
      <c r="BK854" s="166">
        <v>0</v>
      </c>
      <c r="BL854" s="166">
        <v>0</v>
      </c>
      <c r="BM854" s="166">
        <v>0</v>
      </c>
      <c r="BN854" s="166">
        <v>0</v>
      </c>
      <c r="BO854" s="166">
        <v>0</v>
      </c>
      <c r="BP854" s="166">
        <v>0</v>
      </c>
      <c r="BQ854" s="81" t="s">
        <v>1757</v>
      </c>
      <c r="BZ854" s="81" t="s">
        <v>155</v>
      </c>
      <c r="CA854" s="81" t="s">
        <v>1937</v>
      </c>
      <c r="CC854" s="167">
        <v>0</v>
      </c>
      <c r="CD854" s="167">
        <f>$N854/4</f>
        <v>0.25</v>
      </c>
      <c r="CE854" s="167">
        <f>$N854/4</f>
        <v>0.25</v>
      </c>
      <c r="CF854" s="167">
        <f>$N854/4</f>
        <v>0.25</v>
      </c>
      <c r="CG854" s="167">
        <f>$N854/4</f>
        <v>0.25</v>
      </c>
      <c r="CH854" s="167">
        <v>0</v>
      </c>
      <c r="CI854" s="167">
        <v>0</v>
      </c>
      <c r="CJ854" s="167">
        <v>0</v>
      </c>
      <c r="CK854" s="167">
        <v>0</v>
      </c>
      <c r="CL854" s="167">
        <v>0</v>
      </c>
      <c r="CM854" s="167">
        <v>0</v>
      </c>
      <c r="CN854" s="167">
        <v>0</v>
      </c>
      <c r="CO854" s="167">
        <v>0</v>
      </c>
      <c r="CP854" s="167">
        <v>0</v>
      </c>
      <c r="CQ854" s="167">
        <v>0</v>
      </c>
      <c r="CR854" s="167">
        <v>0</v>
      </c>
      <c r="CS854" s="167">
        <v>0</v>
      </c>
      <c r="CT854" s="167">
        <v>0</v>
      </c>
      <c r="CU854" s="167">
        <v>0</v>
      </c>
      <c r="CV854" s="167">
        <v>0</v>
      </c>
      <c r="CW854" s="167">
        <v>0</v>
      </c>
      <c r="CX854" s="167">
        <f>SUM(CD854:CH854)</f>
        <v>1</v>
      </c>
      <c r="CY854" s="167">
        <f>SUM(CD854:CM854)</f>
        <v>1</v>
      </c>
    </row>
    <row r="855" spans="1:103" ht="12.75" customHeight="1" x14ac:dyDescent="0.2">
      <c r="A855" s="81">
        <v>5706</v>
      </c>
      <c r="B855" s="165" t="s">
        <v>1930</v>
      </c>
      <c r="C855" s="165" t="s">
        <v>328</v>
      </c>
      <c r="E855" s="165" t="s">
        <v>2585</v>
      </c>
      <c r="G855" s="81">
        <v>528634</v>
      </c>
      <c r="H855" s="81">
        <v>170655</v>
      </c>
      <c r="I855" s="165" t="s">
        <v>252</v>
      </c>
      <c r="L855" s="166">
        <v>0</v>
      </c>
      <c r="M855" s="166">
        <v>2</v>
      </c>
      <c r="N855" s="166">
        <v>2</v>
      </c>
      <c r="O855" s="166">
        <v>2</v>
      </c>
      <c r="P855" s="166">
        <v>2</v>
      </c>
      <c r="R855" s="165" t="s">
        <v>329</v>
      </c>
      <c r="S855" s="81" t="s">
        <v>113</v>
      </c>
      <c r="T855" s="349">
        <v>41845</v>
      </c>
      <c r="U855" s="349">
        <v>42145</v>
      </c>
      <c r="W855" s="81" t="s">
        <v>114</v>
      </c>
      <c r="Y855" s="81" t="s">
        <v>115</v>
      </c>
      <c r="Z855" s="81" t="s">
        <v>219</v>
      </c>
      <c r="AA855" s="81" t="s">
        <v>117</v>
      </c>
      <c r="AB855" s="81" t="s">
        <v>3889</v>
      </c>
      <c r="AC855" s="166">
        <v>8.0000003799796104E-3</v>
      </c>
      <c r="AG855" s="81" t="s">
        <v>238</v>
      </c>
      <c r="AH855" s="81" t="s">
        <v>118</v>
      </c>
      <c r="AK855" s="166">
        <v>0</v>
      </c>
      <c r="AM855" s="166">
        <v>0</v>
      </c>
      <c r="AO855" s="166">
        <v>0</v>
      </c>
      <c r="AP855" s="166">
        <v>2</v>
      </c>
      <c r="AQ855" s="166">
        <v>0</v>
      </c>
      <c r="AR855" s="166">
        <v>0</v>
      </c>
      <c r="AS855" s="166">
        <v>0</v>
      </c>
      <c r="AT855" s="166">
        <v>0</v>
      </c>
      <c r="AU855" s="166">
        <v>0</v>
      </c>
      <c r="AV855" s="166">
        <v>0</v>
      </c>
      <c r="AW855" s="166">
        <v>2</v>
      </c>
      <c r="AX855" s="166">
        <v>0</v>
      </c>
      <c r="AY855" s="166">
        <v>0</v>
      </c>
      <c r="AZ855" s="166">
        <v>0</v>
      </c>
      <c r="BA855" s="166">
        <v>0</v>
      </c>
      <c r="BB855" s="166">
        <v>0</v>
      </c>
      <c r="BC855" s="166">
        <v>0</v>
      </c>
      <c r="BD855" s="166">
        <v>0</v>
      </c>
      <c r="BE855" s="166">
        <v>0</v>
      </c>
      <c r="BF855" s="166">
        <v>0</v>
      </c>
      <c r="BG855" s="166">
        <v>0</v>
      </c>
      <c r="BH855" s="166">
        <v>0</v>
      </c>
      <c r="BI855" s="166">
        <v>0</v>
      </c>
      <c r="BJ855" s="166">
        <v>0</v>
      </c>
      <c r="BK855" s="166">
        <v>0</v>
      </c>
      <c r="BL855" s="166">
        <v>0</v>
      </c>
      <c r="BM855" s="166">
        <v>0</v>
      </c>
      <c r="BN855" s="166">
        <v>0</v>
      </c>
      <c r="BO855" s="166">
        <v>0</v>
      </c>
      <c r="BP855" s="166">
        <v>0</v>
      </c>
      <c r="BQ855" s="81" t="s">
        <v>1757</v>
      </c>
      <c r="BZ855" s="81" t="s">
        <v>155</v>
      </c>
      <c r="CA855" s="81" t="s">
        <v>1937</v>
      </c>
      <c r="CC855" s="167">
        <v>0</v>
      </c>
      <c r="CD855" s="167">
        <f>$N855/4</f>
        <v>0.5</v>
      </c>
      <c r="CE855" s="167">
        <f>$N855/4</f>
        <v>0.5</v>
      </c>
      <c r="CF855" s="167">
        <f>$N855/4</f>
        <v>0.5</v>
      </c>
      <c r="CG855" s="167">
        <f>$N855/4</f>
        <v>0.5</v>
      </c>
      <c r="CH855" s="167">
        <v>0</v>
      </c>
      <c r="CI855" s="167">
        <v>0</v>
      </c>
      <c r="CJ855" s="167">
        <v>0</v>
      </c>
      <c r="CK855" s="167">
        <v>0</v>
      </c>
      <c r="CL855" s="167">
        <v>0</v>
      </c>
      <c r="CM855" s="167">
        <v>0</v>
      </c>
      <c r="CN855" s="167">
        <v>0</v>
      </c>
      <c r="CO855" s="167">
        <v>0</v>
      </c>
      <c r="CP855" s="167">
        <v>0</v>
      </c>
      <c r="CQ855" s="167">
        <v>0</v>
      </c>
      <c r="CR855" s="167">
        <v>0</v>
      </c>
      <c r="CS855" s="167">
        <v>0</v>
      </c>
      <c r="CT855" s="167">
        <v>0</v>
      </c>
      <c r="CU855" s="167">
        <v>0</v>
      </c>
      <c r="CV855" s="167">
        <v>0</v>
      </c>
      <c r="CW855" s="167">
        <v>0</v>
      </c>
      <c r="CX855" s="167">
        <f>SUM(CD855:CH855)</f>
        <v>2</v>
      </c>
      <c r="CY855" s="167">
        <f>SUM(CD855:CM855)</f>
        <v>2</v>
      </c>
    </row>
    <row r="856" spans="1:103" ht="12.75" customHeight="1" x14ac:dyDescent="0.2">
      <c r="A856" s="81">
        <v>5729</v>
      </c>
      <c r="B856" s="165" t="s">
        <v>1930</v>
      </c>
      <c r="C856" s="165" t="s">
        <v>391</v>
      </c>
      <c r="E856" s="165" t="s">
        <v>2586</v>
      </c>
      <c r="G856" s="81">
        <v>527242</v>
      </c>
      <c r="H856" s="81">
        <v>171469</v>
      </c>
      <c r="I856" s="165" t="s">
        <v>242</v>
      </c>
      <c r="L856" s="166">
        <v>2</v>
      </c>
      <c r="M856" s="166">
        <v>1</v>
      </c>
      <c r="N856" s="166">
        <v>-1</v>
      </c>
      <c r="O856" s="166">
        <v>1</v>
      </c>
      <c r="P856" s="166">
        <v>-1</v>
      </c>
      <c r="R856" s="165" t="s">
        <v>392</v>
      </c>
      <c r="S856" s="81" t="s">
        <v>113</v>
      </c>
      <c r="T856" s="349">
        <v>41899</v>
      </c>
      <c r="U856" s="349">
        <v>41955</v>
      </c>
      <c r="W856" s="81" t="s">
        <v>114</v>
      </c>
      <c r="Y856" s="81" t="s">
        <v>115</v>
      </c>
      <c r="Z856" s="81" t="s">
        <v>119</v>
      </c>
      <c r="AA856" s="81" t="s">
        <v>117</v>
      </c>
      <c r="AB856" s="81" t="s">
        <v>300</v>
      </c>
      <c r="AC856" s="166">
        <v>1.4000000432133701E-2</v>
      </c>
      <c r="AG856" s="81" t="s">
        <v>238</v>
      </c>
      <c r="AH856" s="81" t="s">
        <v>118</v>
      </c>
      <c r="AK856" s="166">
        <v>0</v>
      </c>
      <c r="AM856" s="166">
        <v>0</v>
      </c>
      <c r="AO856" s="166">
        <v>0</v>
      </c>
      <c r="AP856" s="166">
        <v>-1</v>
      </c>
      <c r="AQ856" s="166">
        <v>-1</v>
      </c>
      <c r="AR856" s="166">
        <v>1</v>
      </c>
      <c r="AS856" s="166">
        <v>0</v>
      </c>
      <c r="AT856" s="166">
        <v>0</v>
      </c>
      <c r="AU856" s="166">
        <v>0</v>
      </c>
      <c r="AV856" s="166">
        <v>0</v>
      </c>
      <c r="AW856" s="166">
        <v>-1</v>
      </c>
      <c r="AX856" s="166">
        <v>-1</v>
      </c>
      <c r="AY856" s="166">
        <v>1</v>
      </c>
      <c r="AZ856" s="166">
        <v>0</v>
      </c>
      <c r="BA856" s="166">
        <v>0</v>
      </c>
      <c r="BB856" s="166">
        <v>0</v>
      </c>
      <c r="BC856" s="166">
        <v>0</v>
      </c>
      <c r="BD856" s="166">
        <v>0</v>
      </c>
      <c r="BE856" s="166">
        <v>0</v>
      </c>
      <c r="BF856" s="166">
        <v>0</v>
      </c>
      <c r="BG856" s="166">
        <v>0</v>
      </c>
      <c r="BH856" s="166">
        <v>0</v>
      </c>
      <c r="BI856" s="166">
        <v>0</v>
      </c>
      <c r="BJ856" s="166">
        <v>0</v>
      </c>
      <c r="BK856" s="166">
        <v>0</v>
      </c>
      <c r="BL856" s="166">
        <v>0</v>
      </c>
      <c r="BM856" s="166">
        <v>0</v>
      </c>
      <c r="BN856" s="166">
        <v>0</v>
      </c>
      <c r="BO856" s="166">
        <v>0</v>
      </c>
      <c r="BP856" s="166">
        <v>0</v>
      </c>
      <c r="BQ856" s="81" t="s">
        <v>1757</v>
      </c>
      <c r="BZ856" s="81" t="s">
        <v>155</v>
      </c>
      <c r="CA856" s="81" t="s">
        <v>1937</v>
      </c>
      <c r="CC856" s="167">
        <v>0</v>
      </c>
      <c r="CD856" s="167">
        <f>$N856/4</f>
        <v>-0.25</v>
      </c>
      <c r="CE856" s="167">
        <f>$N856/4</f>
        <v>-0.25</v>
      </c>
      <c r="CF856" s="167">
        <f>$N856/4</f>
        <v>-0.25</v>
      </c>
      <c r="CG856" s="167">
        <f>$N856/4</f>
        <v>-0.25</v>
      </c>
      <c r="CH856" s="167">
        <v>0</v>
      </c>
      <c r="CI856" s="167">
        <v>0</v>
      </c>
      <c r="CJ856" s="167">
        <v>0</v>
      </c>
      <c r="CK856" s="167">
        <v>0</v>
      </c>
      <c r="CL856" s="167">
        <v>0</v>
      </c>
      <c r="CM856" s="167">
        <v>0</v>
      </c>
      <c r="CN856" s="167">
        <v>0</v>
      </c>
      <c r="CO856" s="167">
        <v>0</v>
      </c>
      <c r="CP856" s="167">
        <v>0</v>
      </c>
      <c r="CQ856" s="167">
        <v>0</v>
      </c>
      <c r="CR856" s="167">
        <v>0</v>
      </c>
      <c r="CS856" s="167">
        <v>0</v>
      </c>
      <c r="CT856" s="167">
        <v>0</v>
      </c>
      <c r="CU856" s="167">
        <v>0</v>
      </c>
      <c r="CV856" s="167">
        <v>0</v>
      </c>
      <c r="CW856" s="167">
        <v>0</v>
      </c>
      <c r="CX856" s="167">
        <f>SUM(CD856:CH856)</f>
        <v>-1</v>
      </c>
      <c r="CY856" s="167">
        <f>SUM(CD856:CM856)</f>
        <v>-1</v>
      </c>
    </row>
    <row r="857" spans="1:103" ht="12.75" customHeight="1" x14ac:dyDescent="0.2">
      <c r="A857" s="81">
        <v>5734</v>
      </c>
      <c r="B857" s="165" t="s">
        <v>1930</v>
      </c>
      <c r="C857" s="165" t="s">
        <v>1201</v>
      </c>
      <c r="E857" s="165" t="s">
        <v>2587</v>
      </c>
      <c r="G857" s="81">
        <v>527231</v>
      </c>
      <c r="H857" s="81">
        <v>171411</v>
      </c>
      <c r="I857" s="165" t="s">
        <v>242</v>
      </c>
      <c r="L857" s="166">
        <v>2</v>
      </c>
      <c r="M857" s="166">
        <v>3</v>
      </c>
      <c r="N857" s="166">
        <v>1</v>
      </c>
      <c r="O857" s="166">
        <v>3</v>
      </c>
      <c r="P857" s="166">
        <v>1</v>
      </c>
      <c r="R857" s="165" t="s">
        <v>1202</v>
      </c>
      <c r="S857" s="81" t="s">
        <v>113</v>
      </c>
      <c r="T857" s="349">
        <v>42465</v>
      </c>
      <c r="U857" s="349">
        <v>42521</v>
      </c>
      <c r="W857" s="81" t="s">
        <v>114</v>
      </c>
      <c r="Y857" s="81" t="s">
        <v>115</v>
      </c>
      <c r="Z857" s="81" t="s">
        <v>116</v>
      </c>
      <c r="AA857" s="81" t="s">
        <v>117</v>
      </c>
      <c r="AB857" s="81" t="s">
        <v>218</v>
      </c>
      <c r="AC857" s="166">
        <v>2.4000000208616298E-2</v>
      </c>
      <c r="AG857" s="81" t="s">
        <v>238</v>
      </c>
      <c r="AH857" s="81" t="s">
        <v>118</v>
      </c>
      <c r="AK857" s="166">
        <v>3</v>
      </c>
      <c r="AM857" s="166">
        <v>0</v>
      </c>
      <c r="AO857" s="166">
        <v>0</v>
      </c>
      <c r="AP857" s="166">
        <v>0</v>
      </c>
      <c r="AQ857" s="166">
        <v>-2</v>
      </c>
      <c r="AR857" s="166">
        <v>3</v>
      </c>
      <c r="AS857" s="166">
        <v>0</v>
      </c>
      <c r="AT857" s="166">
        <v>0</v>
      </c>
      <c r="AU857" s="166">
        <v>0</v>
      </c>
      <c r="AV857" s="166">
        <v>0</v>
      </c>
      <c r="AW857" s="166">
        <v>0</v>
      </c>
      <c r="AX857" s="166">
        <v>-2</v>
      </c>
      <c r="AY857" s="166">
        <v>0</v>
      </c>
      <c r="AZ857" s="166">
        <v>0</v>
      </c>
      <c r="BA857" s="166">
        <v>0</v>
      </c>
      <c r="BB857" s="166">
        <v>0</v>
      </c>
      <c r="BC857" s="166">
        <v>0</v>
      </c>
      <c r="BD857" s="166">
        <v>0</v>
      </c>
      <c r="BE857" s="166">
        <v>0</v>
      </c>
      <c r="BF857" s="166">
        <v>3</v>
      </c>
      <c r="BG857" s="166">
        <v>0</v>
      </c>
      <c r="BH857" s="166">
        <v>0</v>
      </c>
      <c r="BI857" s="166">
        <v>0</v>
      </c>
      <c r="BJ857" s="166">
        <v>0</v>
      </c>
      <c r="BK857" s="166">
        <v>0</v>
      </c>
      <c r="BL857" s="166">
        <v>0</v>
      </c>
      <c r="BM857" s="166">
        <v>0</v>
      </c>
      <c r="BN857" s="166">
        <v>0</v>
      </c>
      <c r="BO857" s="166">
        <v>0</v>
      </c>
      <c r="BP857" s="166">
        <v>0</v>
      </c>
      <c r="BQ857" s="81" t="s">
        <v>1757</v>
      </c>
      <c r="BZ857" s="81" t="s">
        <v>155</v>
      </c>
      <c r="CA857" s="81">
        <v>4</v>
      </c>
      <c r="CC857" s="167">
        <v>0</v>
      </c>
      <c r="CD857" s="167">
        <v>0</v>
      </c>
      <c r="CE857" s="167">
        <f>$N857/5</f>
        <v>0.2</v>
      </c>
      <c r="CF857" s="167">
        <f>$N857/5</f>
        <v>0.2</v>
      </c>
      <c r="CG857" s="167">
        <f>$N857/5</f>
        <v>0.2</v>
      </c>
      <c r="CH857" s="167">
        <f>$N857/5</f>
        <v>0.2</v>
      </c>
      <c r="CI857" s="167">
        <f>$N857/5</f>
        <v>0.2</v>
      </c>
      <c r="CJ857" s="167">
        <v>0</v>
      </c>
      <c r="CK857" s="167">
        <v>0</v>
      </c>
      <c r="CL857" s="167">
        <v>0</v>
      </c>
      <c r="CM857" s="167">
        <v>0</v>
      </c>
      <c r="CN857" s="167">
        <v>0</v>
      </c>
      <c r="CO857" s="167">
        <v>0</v>
      </c>
      <c r="CP857" s="167">
        <v>0</v>
      </c>
      <c r="CQ857" s="167">
        <v>0</v>
      </c>
      <c r="CR857" s="167">
        <v>0</v>
      </c>
      <c r="CS857" s="167">
        <v>0</v>
      </c>
      <c r="CT857" s="167">
        <v>0</v>
      </c>
      <c r="CU857" s="167">
        <v>0</v>
      </c>
      <c r="CV857" s="167">
        <v>0</v>
      </c>
      <c r="CW857" s="167">
        <v>0</v>
      </c>
      <c r="CX857" s="167">
        <f>SUM(CD857:CH857)</f>
        <v>0.8</v>
      </c>
      <c r="CY857" s="167">
        <f>SUM(CD857:CM857)</f>
        <v>1</v>
      </c>
    </row>
    <row r="858" spans="1:103" ht="12.75" customHeight="1" x14ac:dyDescent="0.2">
      <c r="A858" s="81">
        <v>5749</v>
      </c>
      <c r="B858" s="165" t="s">
        <v>1930</v>
      </c>
      <c r="C858" s="165" t="s">
        <v>70</v>
      </c>
      <c r="E858" s="165" t="s">
        <v>2588</v>
      </c>
      <c r="G858" s="81">
        <v>523192</v>
      </c>
      <c r="H858" s="81">
        <v>175813</v>
      </c>
      <c r="I858" s="165" t="s">
        <v>259</v>
      </c>
      <c r="L858" s="166">
        <v>0</v>
      </c>
      <c r="M858" s="166">
        <v>2</v>
      </c>
      <c r="N858" s="166">
        <v>2</v>
      </c>
      <c r="O858" s="166">
        <v>2</v>
      </c>
      <c r="P858" s="166">
        <v>2</v>
      </c>
      <c r="R858" s="165" t="s">
        <v>71</v>
      </c>
      <c r="S858" s="81" t="s">
        <v>110</v>
      </c>
      <c r="T858" s="349">
        <v>41921</v>
      </c>
      <c r="U858" s="349">
        <v>41977</v>
      </c>
      <c r="W858" s="81" t="s">
        <v>114</v>
      </c>
      <c r="Y858" s="81" t="s">
        <v>115</v>
      </c>
      <c r="Z858" s="81" t="s">
        <v>310</v>
      </c>
      <c r="AA858" s="81" t="s">
        <v>117</v>
      </c>
      <c r="AB858" s="81" t="s">
        <v>399</v>
      </c>
      <c r="AC858" s="166">
        <v>4.9999998882412902E-3</v>
      </c>
      <c r="AG858" s="81" t="s">
        <v>238</v>
      </c>
      <c r="AH858" s="81" t="s">
        <v>118</v>
      </c>
      <c r="AK858" s="166">
        <v>0</v>
      </c>
      <c r="AM858" s="166">
        <v>0</v>
      </c>
      <c r="AO858" s="166">
        <v>0</v>
      </c>
      <c r="AP858" s="166">
        <v>0</v>
      </c>
      <c r="AQ858" s="166">
        <v>2</v>
      </c>
      <c r="AR858" s="166">
        <v>0</v>
      </c>
      <c r="AS858" s="166">
        <v>0</v>
      </c>
      <c r="AT858" s="166">
        <v>0</v>
      </c>
      <c r="AU858" s="166">
        <v>0</v>
      </c>
      <c r="AV858" s="166">
        <v>0</v>
      </c>
      <c r="AW858" s="166">
        <v>0</v>
      </c>
      <c r="AX858" s="166">
        <v>2</v>
      </c>
      <c r="AY858" s="166">
        <v>0</v>
      </c>
      <c r="AZ858" s="166">
        <v>0</v>
      </c>
      <c r="BA858" s="166">
        <v>0</v>
      </c>
      <c r="BB858" s="166">
        <v>0</v>
      </c>
      <c r="BC858" s="166">
        <v>0</v>
      </c>
      <c r="BD858" s="166">
        <v>0</v>
      </c>
      <c r="BE858" s="166">
        <v>0</v>
      </c>
      <c r="BF858" s="166">
        <v>0</v>
      </c>
      <c r="BG858" s="166">
        <v>0</v>
      </c>
      <c r="BH858" s="166">
        <v>0</v>
      </c>
      <c r="BI858" s="166">
        <v>0</v>
      </c>
      <c r="BJ858" s="166">
        <v>0</v>
      </c>
      <c r="BK858" s="166">
        <v>0</v>
      </c>
      <c r="BL858" s="166">
        <v>0</v>
      </c>
      <c r="BM858" s="166">
        <v>0</v>
      </c>
      <c r="BN858" s="166">
        <v>0</v>
      </c>
      <c r="BO858" s="166">
        <v>0</v>
      </c>
      <c r="BP858" s="166">
        <v>0</v>
      </c>
      <c r="BQ858" s="81" t="s">
        <v>1758</v>
      </c>
      <c r="BZ858" s="81" t="s">
        <v>155</v>
      </c>
      <c r="CA858" s="81" t="s">
        <v>1937</v>
      </c>
      <c r="CC858" s="167">
        <v>0</v>
      </c>
      <c r="CD858" s="167">
        <f>$N858/4</f>
        <v>0.5</v>
      </c>
      <c r="CE858" s="167">
        <f>$N858/4</f>
        <v>0.5</v>
      </c>
      <c r="CF858" s="167">
        <f>$N858/4</f>
        <v>0.5</v>
      </c>
      <c r="CG858" s="167">
        <f>$N858/4</f>
        <v>0.5</v>
      </c>
      <c r="CH858" s="167">
        <v>0</v>
      </c>
      <c r="CI858" s="167">
        <v>0</v>
      </c>
      <c r="CJ858" s="167">
        <v>0</v>
      </c>
      <c r="CK858" s="167">
        <v>0</v>
      </c>
      <c r="CL858" s="167">
        <v>0</v>
      </c>
      <c r="CM858" s="167">
        <v>0</v>
      </c>
      <c r="CN858" s="167">
        <v>0</v>
      </c>
      <c r="CO858" s="167">
        <v>0</v>
      </c>
      <c r="CP858" s="167">
        <v>0</v>
      </c>
      <c r="CQ858" s="167">
        <v>0</v>
      </c>
      <c r="CR858" s="167">
        <v>0</v>
      </c>
      <c r="CS858" s="167">
        <v>0</v>
      </c>
      <c r="CT858" s="167">
        <v>0</v>
      </c>
      <c r="CU858" s="167">
        <v>0</v>
      </c>
      <c r="CV858" s="167">
        <v>0</v>
      </c>
      <c r="CW858" s="167">
        <v>0</v>
      </c>
      <c r="CX858" s="167">
        <f>SUM(CD858:CH858)</f>
        <v>2</v>
      </c>
      <c r="CY858" s="167">
        <f>SUM(CD858:CM858)</f>
        <v>2</v>
      </c>
    </row>
    <row r="859" spans="1:103" ht="12.75" customHeight="1" x14ac:dyDescent="0.2">
      <c r="A859" s="81">
        <v>5758</v>
      </c>
      <c r="B859" s="165" t="s">
        <v>1930</v>
      </c>
      <c r="C859" s="165" t="s">
        <v>230</v>
      </c>
      <c r="E859" s="165" t="s">
        <v>2589</v>
      </c>
      <c r="G859" s="81">
        <v>524187</v>
      </c>
      <c r="H859" s="81">
        <v>175554</v>
      </c>
      <c r="I859" s="165" t="s">
        <v>259</v>
      </c>
      <c r="L859" s="166">
        <v>0</v>
      </c>
      <c r="M859" s="166">
        <v>3</v>
      </c>
      <c r="N859" s="166">
        <v>3</v>
      </c>
      <c r="O859" s="166">
        <v>3</v>
      </c>
      <c r="P859" s="166">
        <v>3</v>
      </c>
      <c r="R859" s="165" t="s">
        <v>231</v>
      </c>
      <c r="S859" s="81" t="s">
        <v>270</v>
      </c>
      <c r="T859" s="349">
        <v>41984</v>
      </c>
      <c r="U859" s="349">
        <v>42040</v>
      </c>
      <c r="W859" s="81" t="s">
        <v>114</v>
      </c>
      <c r="Y859" s="81" t="s">
        <v>115</v>
      </c>
      <c r="Z859" s="81" t="s">
        <v>310</v>
      </c>
      <c r="AA859" s="81" t="s">
        <v>117</v>
      </c>
      <c r="AB859" s="81" t="s">
        <v>399</v>
      </c>
      <c r="AC859" s="166">
        <v>3.9000000804662698E-2</v>
      </c>
      <c r="AG859" s="81" t="s">
        <v>238</v>
      </c>
      <c r="AH859" s="81" t="s">
        <v>118</v>
      </c>
      <c r="AK859" s="166">
        <v>0</v>
      </c>
      <c r="AM859" s="166">
        <v>0</v>
      </c>
      <c r="AO859" s="166">
        <v>0</v>
      </c>
      <c r="AP859" s="166">
        <v>0</v>
      </c>
      <c r="AQ859" s="166">
        <v>0</v>
      </c>
      <c r="AR859" s="166">
        <v>3</v>
      </c>
      <c r="AS859" s="166">
        <v>0</v>
      </c>
      <c r="AT859" s="166">
        <v>0</v>
      </c>
      <c r="AU859" s="166">
        <v>0</v>
      </c>
      <c r="AV859" s="166">
        <v>0</v>
      </c>
      <c r="AW859" s="166">
        <v>0</v>
      </c>
      <c r="AX859" s="166">
        <v>0</v>
      </c>
      <c r="AY859" s="166">
        <v>3</v>
      </c>
      <c r="AZ859" s="166">
        <v>0</v>
      </c>
      <c r="BA859" s="166">
        <v>0</v>
      </c>
      <c r="BB859" s="166">
        <v>0</v>
      </c>
      <c r="BC859" s="166">
        <v>0</v>
      </c>
      <c r="BD859" s="166">
        <v>0</v>
      </c>
      <c r="BE859" s="166">
        <v>0</v>
      </c>
      <c r="BF859" s="166">
        <v>0</v>
      </c>
      <c r="BG859" s="166">
        <v>0</v>
      </c>
      <c r="BH859" s="166">
        <v>0</v>
      </c>
      <c r="BI859" s="166">
        <v>0</v>
      </c>
      <c r="BJ859" s="166">
        <v>0</v>
      </c>
      <c r="BK859" s="166">
        <v>0</v>
      </c>
      <c r="BL859" s="166">
        <v>0</v>
      </c>
      <c r="BM859" s="166">
        <v>0</v>
      </c>
      <c r="BN859" s="166">
        <v>0</v>
      </c>
      <c r="BO859" s="166">
        <v>0</v>
      </c>
      <c r="BP859" s="166">
        <v>0</v>
      </c>
      <c r="BQ859" s="81" t="s">
        <v>1758</v>
      </c>
      <c r="BR859" s="81" t="s">
        <v>161</v>
      </c>
      <c r="BX859" s="81" t="s">
        <v>155</v>
      </c>
      <c r="BZ859" s="81" t="s">
        <v>155</v>
      </c>
      <c r="CA859" s="81" t="s">
        <v>1937</v>
      </c>
      <c r="CC859" s="167">
        <v>0</v>
      </c>
      <c r="CD859" s="167">
        <f>$N859/4</f>
        <v>0.75</v>
      </c>
      <c r="CE859" s="167">
        <f>$N859/4</f>
        <v>0.75</v>
      </c>
      <c r="CF859" s="167">
        <f>$N859/4</f>
        <v>0.75</v>
      </c>
      <c r="CG859" s="167">
        <f>$N859/4</f>
        <v>0.75</v>
      </c>
      <c r="CH859" s="167">
        <v>0</v>
      </c>
      <c r="CI859" s="167">
        <v>0</v>
      </c>
      <c r="CJ859" s="167">
        <v>0</v>
      </c>
      <c r="CK859" s="167">
        <v>0</v>
      </c>
      <c r="CL859" s="167">
        <v>0</v>
      </c>
      <c r="CM859" s="167">
        <v>0</v>
      </c>
      <c r="CN859" s="167">
        <v>0</v>
      </c>
      <c r="CO859" s="167">
        <v>0</v>
      </c>
      <c r="CP859" s="167">
        <v>0</v>
      </c>
      <c r="CQ859" s="167">
        <v>0</v>
      </c>
      <c r="CR859" s="167">
        <v>0</v>
      </c>
      <c r="CS859" s="167">
        <v>0</v>
      </c>
      <c r="CT859" s="167">
        <v>0</v>
      </c>
      <c r="CU859" s="167">
        <v>0</v>
      </c>
      <c r="CV859" s="167">
        <v>0</v>
      </c>
      <c r="CW859" s="167">
        <v>0</v>
      </c>
      <c r="CX859" s="167">
        <f>SUM(CD859:CH859)</f>
        <v>3</v>
      </c>
      <c r="CY859" s="167">
        <f>SUM(CD859:CM859)</f>
        <v>3</v>
      </c>
    </row>
    <row r="860" spans="1:103" ht="12.75" customHeight="1" x14ac:dyDescent="0.2">
      <c r="A860" s="81">
        <v>5770</v>
      </c>
      <c r="B860" s="165" t="s">
        <v>1930</v>
      </c>
      <c r="C860" s="165" t="s">
        <v>556</v>
      </c>
      <c r="E860" s="165" t="s">
        <v>2590</v>
      </c>
      <c r="G860" s="81">
        <v>524319</v>
      </c>
      <c r="H860" s="81">
        <v>174957</v>
      </c>
      <c r="I860" s="165" t="s">
        <v>259</v>
      </c>
      <c r="L860" s="166">
        <v>0</v>
      </c>
      <c r="M860" s="166">
        <v>2</v>
      </c>
      <c r="N860" s="166">
        <v>2</v>
      </c>
      <c r="O860" s="166">
        <v>2</v>
      </c>
      <c r="P860" s="166">
        <v>2</v>
      </c>
      <c r="R860" s="165" t="s">
        <v>1131</v>
      </c>
      <c r="S860" s="81" t="s">
        <v>113</v>
      </c>
      <c r="T860" s="349">
        <v>42144</v>
      </c>
      <c r="U860" s="349">
        <v>42236</v>
      </c>
      <c r="W860" s="81" t="s">
        <v>114</v>
      </c>
      <c r="Y860" s="81" t="s">
        <v>115</v>
      </c>
      <c r="Z860" s="81" t="s">
        <v>398</v>
      </c>
      <c r="AA860" s="81" t="s">
        <v>117</v>
      </c>
      <c r="AB860" s="81" t="s">
        <v>218</v>
      </c>
      <c r="AC860" s="166">
        <v>7.0000002160668399E-3</v>
      </c>
      <c r="AG860" s="81" t="s">
        <v>238</v>
      </c>
      <c r="AH860" s="81" t="s">
        <v>118</v>
      </c>
      <c r="AK860" s="166">
        <v>0</v>
      </c>
      <c r="AM860" s="166">
        <v>0</v>
      </c>
      <c r="AO860" s="166">
        <v>0</v>
      </c>
      <c r="AP860" s="166">
        <v>2</v>
      </c>
      <c r="AQ860" s="166">
        <v>0</v>
      </c>
      <c r="AR860" s="166">
        <v>0</v>
      </c>
      <c r="AS860" s="166">
        <v>0</v>
      </c>
      <c r="AT860" s="166">
        <v>0</v>
      </c>
      <c r="AU860" s="166">
        <v>0</v>
      </c>
      <c r="AV860" s="166">
        <v>0</v>
      </c>
      <c r="AW860" s="166">
        <v>2</v>
      </c>
      <c r="AX860" s="166">
        <v>0</v>
      </c>
      <c r="AY860" s="166">
        <v>0</v>
      </c>
      <c r="AZ860" s="166">
        <v>0</v>
      </c>
      <c r="BA860" s="166">
        <v>0</v>
      </c>
      <c r="BB860" s="166">
        <v>0</v>
      </c>
      <c r="BC860" s="166">
        <v>0</v>
      </c>
      <c r="BD860" s="166">
        <v>0</v>
      </c>
      <c r="BE860" s="166">
        <v>0</v>
      </c>
      <c r="BF860" s="166">
        <v>0</v>
      </c>
      <c r="BG860" s="166">
        <v>0</v>
      </c>
      <c r="BH860" s="166">
        <v>0</v>
      </c>
      <c r="BI860" s="166">
        <v>0</v>
      </c>
      <c r="BJ860" s="166">
        <v>0</v>
      </c>
      <c r="BK860" s="166">
        <v>0</v>
      </c>
      <c r="BL860" s="166">
        <v>0</v>
      </c>
      <c r="BM860" s="166">
        <v>0</v>
      </c>
      <c r="BN860" s="166">
        <v>0</v>
      </c>
      <c r="BO860" s="166">
        <v>0</v>
      </c>
      <c r="BP860" s="166">
        <v>0</v>
      </c>
      <c r="BQ860" s="81" t="s">
        <v>1758</v>
      </c>
      <c r="BR860" s="81" t="s">
        <v>161</v>
      </c>
      <c r="BV860" s="81" t="s">
        <v>155</v>
      </c>
      <c r="BZ860" s="81" t="s">
        <v>155</v>
      </c>
      <c r="CA860" s="81" t="s">
        <v>1937</v>
      </c>
      <c r="CC860" s="167">
        <v>0</v>
      </c>
      <c r="CD860" s="167">
        <f>$N860/4</f>
        <v>0.5</v>
      </c>
      <c r="CE860" s="167">
        <f>$N860/4</f>
        <v>0.5</v>
      </c>
      <c r="CF860" s="167">
        <f>$N860/4</f>
        <v>0.5</v>
      </c>
      <c r="CG860" s="167">
        <f>$N860/4</f>
        <v>0.5</v>
      </c>
      <c r="CH860" s="167">
        <v>0</v>
      </c>
      <c r="CI860" s="167">
        <v>0</v>
      </c>
      <c r="CJ860" s="167">
        <v>0</v>
      </c>
      <c r="CK860" s="167">
        <v>0</v>
      </c>
      <c r="CL860" s="167">
        <v>0</v>
      </c>
      <c r="CM860" s="167">
        <v>0</v>
      </c>
      <c r="CN860" s="167">
        <v>0</v>
      </c>
      <c r="CO860" s="167">
        <v>0</v>
      </c>
      <c r="CP860" s="167">
        <v>0</v>
      </c>
      <c r="CQ860" s="167">
        <v>0</v>
      </c>
      <c r="CR860" s="167">
        <v>0</v>
      </c>
      <c r="CS860" s="167">
        <v>0</v>
      </c>
      <c r="CT860" s="167">
        <v>0</v>
      </c>
      <c r="CU860" s="167">
        <v>0</v>
      </c>
      <c r="CV860" s="167">
        <v>0</v>
      </c>
      <c r="CW860" s="167">
        <v>0</v>
      </c>
      <c r="CX860" s="167">
        <f>SUM(CD860:CH860)</f>
        <v>2</v>
      </c>
      <c r="CY860" s="167">
        <f>SUM(CD860:CM860)</f>
        <v>2</v>
      </c>
    </row>
    <row r="861" spans="1:103" ht="12.75" customHeight="1" x14ac:dyDescent="0.2">
      <c r="A861" s="81">
        <v>5774</v>
      </c>
      <c r="B861" s="165" t="s">
        <v>1930</v>
      </c>
      <c r="C861" s="165" t="s">
        <v>1352</v>
      </c>
      <c r="E861" s="165" t="s">
        <v>2591</v>
      </c>
      <c r="G861" s="81">
        <v>527884</v>
      </c>
      <c r="H861" s="81">
        <v>176593</v>
      </c>
      <c r="I861" s="165" t="s">
        <v>241</v>
      </c>
      <c r="L861" s="166">
        <v>1</v>
      </c>
      <c r="M861" s="166">
        <v>3</v>
      </c>
      <c r="N861" s="166">
        <v>2</v>
      </c>
      <c r="O861" s="166">
        <v>3</v>
      </c>
      <c r="P861" s="166">
        <v>2</v>
      </c>
      <c r="R861" s="165" t="s">
        <v>1353</v>
      </c>
      <c r="S861" s="81" t="s">
        <v>113</v>
      </c>
      <c r="T861" s="349">
        <v>42600</v>
      </c>
      <c r="U861" s="349">
        <v>42723</v>
      </c>
      <c r="W861" s="81" t="s">
        <v>114</v>
      </c>
      <c r="Y861" s="81" t="s">
        <v>115</v>
      </c>
      <c r="Z861" s="81" t="s">
        <v>398</v>
      </c>
      <c r="AA861" s="81" t="s">
        <v>117</v>
      </c>
      <c r="AB861" s="81" t="s">
        <v>220</v>
      </c>
      <c r="AC861" s="166">
        <v>6.0000000521540598E-3</v>
      </c>
      <c r="AG861" s="81" t="s">
        <v>238</v>
      </c>
      <c r="AH861" s="81" t="s">
        <v>118</v>
      </c>
      <c r="AK861" s="166">
        <v>0</v>
      </c>
      <c r="AM861" s="166">
        <v>0</v>
      </c>
      <c r="AO861" s="166">
        <v>0</v>
      </c>
      <c r="AP861" s="166">
        <v>2</v>
      </c>
      <c r="AQ861" s="166">
        <v>1</v>
      </c>
      <c r="AR861" s="166">
        <v>0</v>
      </c>
      <c r="AS861" s="166">
        <v>-1</v>
      </c>
      <c r="AT861" s="166">
        <v>0</v>
      </c>
      <c r="AU861" s="166">
        <v>0</v>
      </c>
      <c r="AV861" s="166">
        <v>0</v>
      </c>
      <c r="AW861" s="166">
        <v>2</v>
      </c>
      <c r="AX861" s="166">
        <v>1</v>
      </c>
      <c r="AY861" s="166">
        <v>0</v>
      </c>
      <c r="AZ861" s="166">
        <v>-1</v>
      </c>
      <c r="BA861" s="166">
        <v>0</v>
      </c>
      <c r="BB861" s="166">
        <v>0</v>
      </c>
      <c r="BC861" s="166">
        <v>0</v>
      </c>
      <c r="BD861" s="166">
        <v>0</v>
      </c>
      <c r="BE861" s="166">
        <v>0</v>
      </c>
      <c r="BF861" s="166">
        <v>0</v>
      </c>
      <c r="BG861" s="166">
        <v>0</v>
      </c>
      <c r="BH861" s="166">
        <v>0</v>
      </c>
      <c r="BI861" s="166">
        <v>0</v>
      </c>
      <c r="BJ861" s="166">
        <v>0</v>
      </c>
      <c r="BK861" s="166">
        <v>0</v>
      </c>
      <c r="BL861" s="166">
        <v>0</v>
      </c>
      <c r="BM861" s="166">
        <v>0</v>
      </c>
      <c r="BN861" s="166">
        <v>0</v>
      </c>
      <c r="BO861" s="166">
        <v>0</v>
      </c>
      <c r="BP861" s="166">
        <v>0</v>
      </c>
      <c r="BQ861" s="81" t="s">
        <v>1757</v>
      </c>
      <c r="BZ861" s="81" t="s">
        <v>155</v>
      </c>
      <c r="CA861" s="81" t="s">
        <v>1937</v>
      </c>
      <c r="CC861" s="167">
        <v>0</v>
      </c>
      <c r="CD861" s="167">
        <f>$N861/4</f>
        <v>0.5</v>
      </c>
      <c r="CE861" s="167">
        <f>$N861/4</f>
        <v>0.5</v>
      </c>
      <c r="CF861" s="167">
        <f>$N861/4</f>
        <v>0.5</v>
      </c>
      <c r="CG861" s="167">
        <f>$N861/4</f>
        <v>0.5</v>
      </c>
      <c r="CH861" s="167">
        <v>0</v>
      </c>
      <c r="CI861" s="167">
        <v>0</v>
      </c>
      <c r="CJ861" s="167">
        <v>0</v>
      </c>
      <c r="CK861" s="167">
        <v>0</v>
      </c>
      <c r="CL861" s="167">
        <v>0</v>
      </c>
      <c r="CM861" s="167">
        <v>0</v>
      </c>
      <c r="CN861" s="167">
        <v>0</v>
      </c>
      <c r="CO861" s="167">
        <v>0</v>
      </c>
      <c r="CP861" s="167">
        <v>0</v>
      </c>
      <c r="CQ861" s="167">
        <v>0</v>
      </c>
      <c r="CR861" s="167">
        <v>0</v>
      </c>
      <c r="CS861" s="167">
        <v>0</v>
      </c>
      <c r="CT861" s="167">
        <v>0</v>
      </c>
      <c r="CU861" s="167">
        <v>0</v>
      </c>
      <c r="CV861" s="167">
        <v>0</v>
      </c>
      <c r="CW861" s="167">
        <v>0</v>
      </c>
      <c r="CX861" s="167">
        <f>SUM(CD861:CH861)</f>
        <v>2</v>
      </c>
      <c r="CY861" s="167">
        <f>SUM(CD861:CM861)</f>
        <v>2</v>
      </c>
    </row>
    <row r="862" spans="1:103" ht="12.75" customHeight="1" x14ac:dyDescent="0.2">
      <c r="A862" s="81">
        <v>5780</v>
      </c>
      <c r="B862" s="165" t="s">
        <v>1930</v>
      </c>
      <c r="C862" s="165" t="s">
        <v>1586</v>
      </c>
      <c r="E862" s="165" t="s">
        <v>2592</v>
      </c>
      <c r="G862" s="81">
        <v>527671</v>
      </c>
      <c r="H862" s="81">
        <v>172854</v>
      </c>
      <c r="I862" s="165" t="s">
        <v>254</v>
      </c>
      <c r="L862" s="166">
        <v>0</v>
      </c>
      <c r="M862" s="166">
        <v>1</v>
      </c>
      <c r="N862" s="166">
        <v>1</v>
      </c>
      <c r="O862" s="166">
        <v>1</v>
      </c>
      <c r="P862" s="166">
        <v>1</v>
      </c>
      <c r="R862" s="165" t="s">
        <v>1587</v>
      </c>
      <c r="S862" s="81" t="s">
        <v>113</v>
      </c>
      <c r="T862" s="349">
        <v>42746</v>
      </c>
      <c r="U862" s="349">
        <v>42874</v>
      </c>
      <c r="V862" s="81" t="s">
        <v>155</v>
      </c>
      <c r="W862" s="81" t="s">
        <v>114</v>
      </c>
      <c r="Y862" s="81" t="s">
        <v>115</v>
      </c>
      <c r="Z862" s="81" t="s">
        <v>116</v>
      </c>
      <c r="AA862" s="81" t="s">
        <v>117</v>
      </c>
      <c r="AB862" s="81" t="s">
        <v>218</v>
      </c>
      <c r="AC862" s="166">
        <v>8.0000003799796104E-3</v>
      </c>
      <c r="AG862" s="81" t="s">
        <v>238</v>
      </c>
      <c r="AH862" s="81" t="s">
        <v>118</v>
      </c>
      <c r="AK862" s="166">
        <v>1</v>
      </c>
      <c r="AM862" s="166">
        <v>0</v>
      </c>
      <c r="AO862" s="166">
        <v>0</v>
      </c>
      <c r="AP862" s="166">
        <v>0</v>
      </c>
      <c r="AQ862" s="166">
        <v>1</v>
      </c>
      <c r="AR862" s="166">
        <v>0</v>
      </c>
      <c r="AS862" s="166">
        <v>0</v>
      </c>
      <c r="AT862" s="166">
        <v>0</v>
      </c>
      <c r="AU862" s="166">
        <v>0</v>
      </c>
      <c r="AV862" s="166">
        <v>0</v>
      </c>
      <c r="AW862" s="166">
        <v>0</v>
      </c>
      <c r="AX862" s="166">
        <v>0</v>
      </c>
      <c r="AY862" s="166">
        <v>0</v>
      </c>
      <c r="AZ862" s="166">
        <v>0</v>
      </c>
      <c r="BA862" s="166">
        <v>0</v>
      </c>
      <c r="BB862" s="166">
        <v>0</v>
      </c>
      <c r="BC862" s="166">
        <v>0</v>
      </c>
      <c r="BD862" s="166">
        <v>0</v>
      </c>
      <c r="BE862" s="166">
        <v>1</v>
      </c>
      <c r="BF862" s="166">
        <v>0</v>
      </c>
      <c r="BG862" s="166">
        <v>0</v>
      </c>
      <c r="BH862" s="166">
        <v>0</v>
      </c>
      <c r="BI862" s="166">
        <v>0</v>
      </c>
      <c r="BJ862" s="166">
        <v>0</v>
      </c>
      <c r="BK862" s="166">
        <v>0</v>
      </c>
      <c r="BL862" s="166">
        <v>0</v>
      </c>
      <c r="BM862" s="166">
        <v>0</v>
      </c>
      <c r="BN862" s="166">
        <v>0</v>
      </c>
      <c r="BO862" s="166">
        <v>0</v>
      </c>
      <c r="BP862" s="166">
        <v>0</v>
      </c>
      <c r="BQ862" s="81" t="s">
        <v>1757</v>
      </c>
      <c r="BZ862" s="81" t="s">
        <v>155</v>
      </c>
      <c r="CA862" s="81">
        <v>4</v>
      </c>
      <c r="CC862" s="167">
        <v>0</v>
      </c>
      <c r="CD862" s="167">
        <v>0</v>
      </c>
      <c r="CE862" s="167">
        <f>$N862/5</f>
        <v>0.2</v>
      </c>
      <c r="CF862" s="167">
        <f>$N862/5</f>
        <v>0.2</v>
      </c>
      <c r="CG862" s="167">
        <f>$N862/5</f>
        <v>0.2</v>
      </c>
      <c r="CH862" s="167">
        <f>$N862/5</f>
        <v>0.2</v>
      </c>
      <c r="CI862" s="167">
        <f>$N862/5</f>
        <v>0.2</v>
      </c>
      <c r="CJ862" s="167">
        <v>0</v>
      </c>
      <c r="CK862" s="167">
        <v>0</v>
      </c>
      <c r="CL862" s="167">
        <v>0</v>
      </c>
      <c r="CM862" s="167">
        <v>0</v>
      </c>
      <c r="CN862" s="167">
        <v>0</v>
      </c>
      <c r="CO862" s="167">
        <v>0</v>
      </c>
      <c r="CP862" s="167">
        <v>0</v>
      </c>
      <c r="CQ862" s="167">
        <v>0</v>
      </c>
      <c r="CR862" s="167">
        <v>0</v>
      </c>
      <c r="CS862" s="167">
        <v>0</v>
      </c>
      <c r="CT862" s="167">
        <v>0</v>
      </c>
      <c r="CU862" s="167">
        <v>0</v>
      </c>
      <c r="CV862" s="167">
        <v>0</v>
      </c>
      <c r="CW862" s="167">
        <v>0</v>
      </c>
      <c r="CX862" s="167">
        <f>SUM(CD862:CH862)</f>
        <v>0.8</v>
      </c>
      <c r="CY862" s="167">
        <f>SUM(CD862:CM862)</f>
        <v>1</v>
      </c>
    </row>
    <row r="863" spans="1:103" ht="12.75" customHeight="1" x14ac:dyDescent="0.2">
      <c r="A863" s="81">
        <v>5781</v>
      </c>
      <c r="B863" s="165" t="s">
        <v>1930</v>
      </c>
      <c r="C863" s="165" t="s">
        <v>2593</v>
      </c>
      <c r="E863" s="165" t="s">
        <v>2594</v>
      </c>
      <c r="G863" s="81">
        <v>526418</v>
      </c>
      <c r="H863" s="81">
        <v>175586</v>
      </c>
      <c r="I863" s="165" t="s">
        <v>257</v>
      </c>
      <c r="L863" s="166">
        <v>0</v>
      </c>
      <c r="M863" s="166">
        <v>3</v>
      </c>
      <c r="N863" s="166">
        <v>3</v>
      </c>
      <c r="O863" s="166">
        <v>3</v>
      </c>
      <c r="P863" s="166">
        <v>3</v>
      </c>
      <c r="R863" s="165" t="s">
        <v>2595</v>
      </c>
      <c r="S863" s="81" t="s">
        <v>104</v>
      </c>
      <c r="T863" s="349">
        <v>41855</v>
      </c>
      <c r="U863" s="349">
        <v>42740</v>
      </c>
      <c r="W863" s="81" t="s">
        <v>114</v>
      </c>
      <c r="Y863" s="81" t="s">
        <v>115</v>
      </c>
      <c r="Z863" s="81" t="s">
        <v>116</v>
      </c>
      <c r="AA863" s="81" t="s">
        <v>117</v>
      </c>
      <c r="AB863" s="81" t="s">
        <v>218</v>
      </c>
      <c r="AC863" s="166">
        <v>3.0999999493360499E-2</v>
      </c>
      <c r="AG863" s="81" t="s">
        <v>238</v>
      </c>
      <c r="AH863" s="81" t="s">
        <v>118</v>
      </c>
      <c r="AI863" s="81" t="s">
        <v>2596</v>
      </c>
      <c r="AK863" s="166">
        <v>0</v>
      </c>
      <c r="AM863" s="166">
        <v>0</v>
      </c>
      <c r="AO863" s="166">
        <v>0</v>
      </c>
      <c r="AP863" s="166">
        <v>0</v>
      </c>
      <c r="AQ863" s="166">
        <v>0</v>
      </c>
      <c r="AR863" s="166">
        <v>3</v>
      </c>
      <c r="AS863" s="166">
        <v>0</v>
      </c>
      <c r="AT863" s="166">
        <v>0</v>
      </c>
      <c r="AU863" s="166">
        <v>0</v>
      </c>
      <c r="AV863" s="166">
        <v>0</v>
      </c>
      <c r="AW863" s="166">
        <v>0</v>
      </c>
      <c r="AX863" s="166">
        <v>0</v>
      </c>
      <c r="AY863" s="166">
        <v>3</v>
      </c>
      <c r="AZ863" s="166">
        <v>0</v>
      </c>
      <c r="BA863" s="166">
        <v>0</v>
      </c>
      <c r="BB863" s="166">
        <v>0</v>
      </c>
      <c r="BC863" s="166">
        <v>0</v>
      </c>
      <c r="BD863" s="166">
        <v>0</v>
      </c>
      <c r="BE863" s="166">
        <v>0</v>
      </c>
      <c r="BF863" s="166">
        <v>0</v>
      </c>
      <c r="BG863" s="166">
        <v>0</v>
      </c>
      <c r="BH863" s="166">
        <v>0</v>
      </c>
      <c r="BI863" s="166">
        <v>0</v>
      </c>
      <c r="BJ863" s="166">
        <v>0</v>
      </c>
      <c r="BK863" s="166">
        <v>0</v>
      </c>
      <c r="BL863" s="166">
        <v>0</v>
      </c>
      <c r="BM863" s="166">
        <v>0</v>
      </c>
      <c r="BN863" s="166">
        <v>0</v>
      </c>
      <c r="BO863" s="166">
        <v>0</v>
      </c>
      <c r="BP863" s="166">
        <v>0</v>
      </c>
      <c r="BQ863" s="81" t="s">
        <v>1757</v>
      </c>
      <c r="BX863" s="81" t="s">
        <v>155</v>
      </c>
      <c r="BZ863" s="81" t="s">
        <v>155</v>
      </c>
      <c r="CA863" s="81">
        <v>4</v>
      </c>
      <c r="CC863" s="167">
        <v>0</v>
      </c>
      <c r="CD863" s="167">
        <v>0</v>
      </c>
      <c r="CE863" s="167">
        <f>$N863/5</f>
        <v>0.6</v>
      </c>
      <c r="CF863" s="167">
        <f>$N863/5</f>
        <v>0.6</v>
      </c>
      <c r="CG863" s="167">
        <f>$N863/5</f>
        <v>0.6</v>
      </c>
      <c r="CH863" s="167">
        <f>$N863/5</f>
        <v>0.6</v>
      </c>
      <c r="CI863" s="167">
        <f>$N863/5</f>
        <v>0.6</v>
      </c>
      <c r="CJ863" s="167">
        <v>0</v>
      </c>
      <c r="CK863" s="167">
        <v>0</v>
      </c>
      <c r="CL863" s="167">
        <v>0</v>
      </c>
      <c r="CM863" s="167">
        <v>0</v>
      </c>
      <c r="CN863" s="167">
        <v>0</v>
      </c>
      <c r="CO863" s="167">
        <v>0</v>
      </c>
      <c r="CP863" s="167">
        <v>0</v>
      </c>
      <c r="CQ863" s="167">
        <v>0</v>
      </c>
      <c r="CR863" s="167">
        <v>0</v>
      </c>
      <c r="CS863" s="167">
        <v>0</v>
      </c>
      <c r="CT863" s="167">
        <v>0</v>
      </c>
      <c r="CU863" s="167">
        <v>0</v>
      </c>
      <c r="CV863" s="167">
        <v>0</v>
      </c>
      <c r="CW863" s="167">
        <v>0</v>
      </c>
      <c r="CX863" s="167">
        <f>SUM(CD863:CH863)</f>
        <v>2.4</v>
      </c>
      <c r="CY863" s="167">
        <f>SUM(CD863:CM863)</f>
        <v>3</v>
      </c>
    </row>
    <row r="864" spans="1:103" ht="12.75" customHeight="1" x14ac:dyDescent="0.2">
      <c r="A864" s="81">
        <v>5790</v>
      </c>
      <c r="B864" s="165" t="s">
        <v>1930</v>
      </c>
      <c r="C864" s="165" t="s">
        <v>1414</v>
      </c>
      <c r="E864" s="165" t="s">
        <v>3380</v>
      </c>
      <c r="G864" s="81">
        <v>527359</v>
      </c>
      <c r="H864" s="81">
        <v>171269</v>
      </c>
      <c r="I864" s="165" t="s">
        <v>253</v>
      </c>
      <c r="L864" s="166">
        <v>0</v>
      </c>
      <c r="M864" s="166">
        <v>36</v>
      </c>
      <c r="N864" s="166">
        <v>36</v>
      </c>
      <c r="O864" s="166">
        <v>45</v>
      </c>
      <c r="P864" s="166">
        <v>45</v>
      </c>
      <c r="Q864" s="81" t="s">
        <v>155</v>
      </c>
      <c r="R864" s="165" t="s">
        <v>1415</v>
      </c>
      <c r="S864" s="81" t="s">
        <v>104</v>
      </c>
      <c r="T864" s="349">
        <v>42661</v>
      </c>
      <c r="U864" s="349">
        <v>42824</v>
      </c>
      <c r="W864" s="81" t="s">
        <v>114</v>
      </c>
      <c r="Y864" s="81" t="s">
        <v>115</v>
      </c>
      <c r="Z864" s="81" t="s">
        <v>116</v>
      </c>
      <c r="AA864" s="81" t="s">
        <v>116</v>
      </c>
      <c r="AB864" s="81" t="s">
        <v>117</v>
      </c>
      <c r="AC864" s="166">
        <v>7.1999996900558499E-2</v>
      </c>
      <c r="AG864" s="81" t="s">
        <v>238</v>
      </c>
      <c r="AH864" s="81" t="s">
        <v>118</v>
      </c>
      <c r="AK864" s="166">
        <v>36</v>
      </c>
      <c r="AM864" s="166">
        <v>2</v>
      </c>
      <c r="AO864" s="166">
        <v>0</v>
      </c>
      <c r="AP864" s="166">
        <v>12</v>
      </c>
      <c r="AQ864" s="166">
        <v>19</v>
      </c>
      <c r="AR864" s="166">
        <v>5</v>
      </c>
      <c r="AS864" s="166">
        <v>0</v>
      </c>
      <c r="AT864" s="166">
        <v>0</v>
      </c>
      <c r="AU864" s="166">
        <v>0</v>
      </c>
      <c r="AV864" s="166">
        <v>0</v>
      </c>
      <c r="AW864" s="166">
        <v>12</v>
      </c>
      <c r="AX864" s="166">
        <v>19</v>
      </c>
      <c r="AY864" s="166">
        <v>5</v>
      </c>
      <c r="AZ864" s="166">
        <v>0</v>
      </c>
      <c r="BA864" s="166">
        <v>0</v>
      </c>
      <c r="BB864" s="166">
        <v>0</v>
      </c>
      <c r="BC864" s="166">
        <v>0</v>
      </c>
      <c r="BD864" s="166">
        <v>0</v>
      </c>
      <c r="BE864" s="166">
        <v>0</v>
      </c>
      <c r="BF864" s="166">
        <v>0</v>
      </c>
      <c r="BG864" s="166">
        <v>0</v>
      </c>
      <c r="BH864" s="166">
        <v>0</v>
      </c>
      <c r="BI864" s="166">
        <v>0</v>
      </c>
      <c r="BJ864" s="166">
        <v>0</v>
      </c>
      <c r="BK864" s="166">
        <v>0</v>
      </c>
      <c r="BL864" s="166">
        <v>0</v>
      </c>
      <c r="BM864" s="166">
        <v>0</v>
      </c>
      <c r="BN864" s="166">
        <v>0</v>
      </c>
      <c r="BO864" s="166">
        <v>0</v>
      </c>
      <c r="BP864" s="166">
        <v>0</v>
      </c>
      <c r="BQ864" s="81" t="s">
        <v>1757</v>
      </c>
      <c r="BZ864" s="81" t="s">
        <v>155</v>
      </c>
      <c r="CA864" s="81" t="s">
        <v>3936</v>
      </c>
      <c r="CC864" s="167">
        <v>0</v>
      </c>
      <c r="CD864" s="167">
        <v>0</v>
      </c>
      <c r="CE864" s="167">
        <v>0</v>
      </c>
      <c r="CF864" s="167">
        <v>0</v>
      </c>
      <c r="CG864" s="167">
        <v>0</v>
      </c>
      <c r="CH864" s="167">
        <v>0</v>
      </c>
      <c r="CI864" s="167">
        <f>$N864/3</f>
        <v>12</v>
      </c>
      <c r="CJ864" s="167">
        <f>$N864/3</f>
        <v>12</v>
      </c>
      <c r="CK864" s="167">
        <f>$N864/3</f>
        <v>12</v>
      </c>
      <c r="CL864" s="167">
        <v>0</v>
      </c>
      <c r="CM864" s="167">
        <v>0</v>
      </c>
      <c r="CN864" s="167">
        <v>0</v>
      </c>
      <c r="CO864" s="167">
        <v>0</v>
      </c>
      <c r="CP864" s="167">
        <v>0</v>
      </c>
      <c r="CQ864" s="167">
        <v>0</v>
      </c>
      <c r="CR864" s="167">
        <v>0</v>
      </c>
      <c r="CS864" s="167">
        <v>0</v>
      </c>
      <c r="CT864" s="167">
        <v>0</v>
      </c>
      <c r="CU864" s="167">
        <v>0</v>
      </c>
      <c r="CV864" s="167">
        <v>0</v>
      </c>
      <c r="CW864" s="167">
        <v>0</v>
      </c>
      <c r="CX864" s="167">
        <f>SUM(CD864:CH864)</f>
        <v>0</v>
      </c>
      <c r="CY864" s="167">
        <f>SUM(CD864:CM864)</f>
        <v>36</v>
      </c>
    </row>
    <row r="865" spans="1:103" ht="12.75" customHeight="1" x14ac:dyDescent="0.2">
      <c r="A865" s="81">
        <v>5790</v>
      </c>
      <c r="B865" s="165" t="s">
        <v>1930</v>
      </c>
      <c r="C865" s="165" t="s">
        <v>1414</v>
      </c>
      <c r="E865" s="165" t="s">
        <v>3380</v>
      </c>
      <c r="G865" s="81">
        <v>527359</v>
      </c>
      <c r="H865" s="81">
        <v>171269</v>
      </c>
      <c r="I865" s="165" t="s">
        <v>253</v>
      </c>
      <c r="L865" s="166">
        <v>0</v>
      </c>
      <c r="M865" s="166">
        <v>9</v>
      </c>
      <c r="N865" s="166">
        <v>9</v>
      </c>
      <c r="O865" s="166">
        <v>45</v>
      </c>
      <c r="P865" s="166">
        <v>45</v>
      </c>
      <c r="Q865" s="81" t="s">
        <v>155</v>
      </c>
      <c r="R865" s="165" t="s">
        <v>1415</v>
      </c>
      <c r="S865" s="81" t="s">
        <v>104</v>
      </c>
      <c r="T865" s="349">
        <v>42661</v>
      </c>
      <c r="U865" s="349">
        <v>42824</v>
      </c>
      <c r="W865" s="81" t="s">
        <v>114</v>
      </c>
      <c r="Y865" s="81" t="s">
        <v>115</v>
      </c>
      <c r="Z865" s="81" t="s">
        <v>116</v>
      </c>
      <c r="AA865" s="81" t="s">
        <v>116</v>
      </c>
      <c r="AB865" s="81" t="s">
        <v>117</v>
      </c>
      <c r="AC865" s="166">
        <v>3.4000001847744002E-2</v>
      </c>
      <c r="AG865" s="81" t="s">
        <v>74</v>
      </c>
      <c r="AH865" s="81" t="s">
        <v>1913</v>
      </c>
      <c r="AK865" s="166">
        <v>9</v>
      </c>
      <c r="AM865" s="166">
        <v>5</v>
      </c>
      <c r="AO865" s="166">
        <v>0</v>
      </c>
      <c r="AP865" s="166">
        <v>5</v>
      </c>
      <c r="AQ865" s="166">
        <v>4</v>
      </c>
      <c r="AR865" s="166">
        <v>0</v>
      </c>
      <c r="AS865" s="166">
        <v>0</v>
      </c>
      <c r="AT865" s="166">
        <v>0</v>
      </c>
      <c r="AU865" s="166">
        <v>0</v>
      </c>
      <c r="AV865" s="166">
        <v>0</v>
      </c>
      <c r="AW865" s="166">
        <v>5</v>
      </c>
      <c r="AX865" s="166">
        <v>4</v>
      </c>
      <c r="AY865" s="166">
        <v>0</v>
      </c>
      <c r="AZ865" s="166">
        <v>0</v>
      </c>
      <c r="BA865" s="166">
        <v>0</v>
      </c>
      <c r="BB865" s="166">
        <v>0</v>
      </c>
      <c r="BC865" s="166">
        <v>0</v>
      </c>
      <c r="BD865" s="166">
        <v>0</v>
      </c>
      <c r="BE865" s="166">
        <v>0</v>
      </c>
      <c r="BF865" s="166">
        <v>0</v>
      </c>
      <c r="BG865" s="166">
        <v>0</v>
      </c>
      <c r="BH865" s="166">
        <v>0</v>
      </c>
      <c r="BI865" s="166">
        <v>0</v>
      </c>
      <c r="BJ865" s="166">
        <v>0</v>
      </c>
      <c r="BK865" s="166">
        <v>0</v>
      </c>
      <c r="BL865" s="166">
        <v>0</v>
      </c>
      <c r="BM865" s="166">
        <v>0</v>
      </c>
      <c r="BN865" s="166">
        <v>0</v>
      </c>
      <c r="BO865" s="166">
        <v>0</v>
      </c>
      <c r="BP865" s="166">
        <v>0</v>
      </c>
      <c r="BQ865" s="81" t="s">
        <v>1757</v>
      </c>
      <c r="BZ865" s="81" t="s">
        <v>155</v>
      </c>
      <c r="CA865" s="81" t="s">
        <v>3936</v>
      </c>
      <c r="CC865" s="167">
        <v>0</v>
      </c>
      <c r="CD865" s="167">
        <v>0</v>
      </c>
      <c r="CE865" s="167">
        <v>0</v>
      </c>
      <c r="CF865" s="167">
        <v>0</v>
      </c>
      <c r="CG865" s="167">
        <v>0</v>
      </c>
      <c r="CH865" s="167">
        <v>0</v>
      </c>
      <c r="CI865" s="167">
        <f>$N865/3</f>
        <v>3</v>
      </c>
      <c r="CJ865" s="167">
        <f>$N865/3</f>
        <v>3</v>
      </c>
      <c r="CK865" s="167">
        <f>$N865/3</f>
        <v>3</v>
      </c>
      <c r="CL865" s="167">
        <v>0</v>
      </c>
      <c r="CM865" s="167">
        <v>0</v>
      </c>
      <c r="CN865" s="167">
        <v>0</v>
      </c>
      <c r="CO865" s="167">
        <v>0</v>
      </c>
      <c r="CP865" s="167">
        <v>0</v>
      </c>
      <c r="CQ865" s="167">
        <v>0</v>
      </c>
      <c r="CR865" s="167">
        <v>0</v>
      </c>
      <c r="CS865" s="167">
        <v>0</v>
      </c>
      <c r="CT865" s="167">
        <v>0</v>
      </c>
      <c r="CU865" s="167">
        <v>0</v>
      </c>
      <c r="CV865" s="167">
        <v>0</v>
      </c>
      <c r="CW865" s="167">
        <v>0</v>
      </c>
      <c r="CX865" s="167">
        <f>SUM(CD865:CH865)</f>
        <v>0</v>
      </c>
      <c r="CY865" s="167">
        <f>SUM(CD865:CM865)</f>
        <v>9</v>
      </c>
    </row>
    <row r="866" spans="1:103" ht="12.75" customHeight="1" x14ac:dyDescent="0.2">
      <c r="A866" s="81">
        <v>5801</v>
      </c>
      <c r="B866" s="165" t="s">
        <v>1930</v>
      </c>
      <c r="C866" s="165" t="s">
        <v>1311</v>
      </c>
      <c r="E866" s="165" t="s">
        <v>2599</v>
      </c>
      <c r="G866" s="81">
        <v>526534</v>
      </c>
      <c r="H866" s="81">
        <v>175822</v>
      </c>
      <c r="I866" s="165" t="s">
        <v>257</v>
      </c>
      <c r="L866" s="166">
        <v>0</v>
      </c>
      <c r="M866" s="166">
        <v>1</v>
      </c>
      <c r="N866" s="166">
        <v>1</v>
      </c>
      <c r="O866" s="166">
        <v>1</v>
      </c>
      <c r="P866" s="166">
        <v>1</v>
      </c>
      <c r="R866" s="165" t="s">
        <v>1312</v>
      </c>
      <c r="S866" s="81" t="s">
        <v>270</v>
      </c>
      <c r="T866" s="349">
        <v>42548</v>
      </c>
      <c r="U866" s="349">
        <v>42604</v>
      </c>
      <c r="W866" s="81" t="s">
        <v>114</v>
      </c>
      <c r="Y866" s="81" t="s">
        <v>115</v>
      </c>
      <c r="Z866" s="81" t="s">
        <v>310</v>
      </c>
      <c r="AA866" s="81" t="s">
        <v>117</v>
      </c>
      <c r="AB866" s="81" t="s">
        <v>399</v>
      </c>
      <c r="AC866" s="166">
        <v>4.9999998882412902E-3</v>
      </c>
      <c r="AG866" s="81" t="s">
        <v>238</v>
      </c>
      <c r="AH866" s="81" t="s">
        <v>118</v>
      </c>
      <c r="AI866" s="81" t="s">
        <v>1939</v>
      </c>
      <c r="AK866" s="166">
        <v>0</v>
      </c>
      <c r="AM866" s="166">
        <v>0</v>
      </c>
      <c r="AO866" s="166">
        <v>0</v>
      </c>
      <c r="AP866" s="166">
        <v>1</v>
      </c>
      <c r="AQ866" s="166">
        <v>0</v>
      </c>
      <c r="AR866" s="166">
        <v>0</v>
      </c>
      <c r="AS866" s="166">
        <v>0</v>
      </c>
      <c r="AT866" s="166">
        <v>0</v>
      </c>
      <c r="AU866" s="166">
        <v>0</v>
      </c>
      <c r="AV866" s="166">
        <v>0</v>
      </c>
      <c r="AW866" s="166">
        <v>1</v>
      </c>
      <c r="AX866" s="166">
        <v>0</v>
      </c>
      <c r="AY866" s="166">
        <v>0</v>
      </c>
      <c r="AZ866" s="166">
        <v>0</v>
      </c>
      <c r="BA866" s="166">
        <v>0</v>
      </c>
      <c r="BB866" s="166">
        <v>0</v>
      </c>
      <c r="BC866" s="166">
        <v>0</v>
      </c>
      <c r="BD866" s="166">
        <v>0</v>
      </c>
      <c r="BE866" s="166">
        <v>0</v>
      </c>
      <c r="BF866" s="166">
        <v>0</v>
      </c>
      <c r="BG866" s="166">
        <v>0</v>
      </c>
      <c r="BH866" s="166">
        <v>0</v>
      </c>
      <c r="BI866" s="166">
        <v>0</v>
      </c>
      <c r="BJ866" s="166">
        <v>0</v>
      </c>
      <c r="BK866" s="166">
        <v>0</v>
      </c>
      <c r="BL866" s="166">
        <v>0</v>
      </c>
      <c r="BM866" s="166">
        <v>0</v>
      </c>
      <c r="BN866" s="166">
        <v>0</v>
      </c>
      <c r="BO866" s="166">
        <v>0</v>
      </c>
      <c r="BP866" s="166">
        <v>0</v>
      </c>
      <c r="BQ866" s="81" t="s">
        <v>1757</v>
      </c>
      <c r="BX866" s="81" t="s">
        <v>155</v>
      </c>
      <c r="BZ866" s="81" t="s">
        <v>155</v>
      </c>
      <c r="CA866" s="81" t="s">
        <v>1937</v>
      </c>
      <c r="CC866" s="167">
        <v>0</v>
      </c>
      <c r="CD866" s="167">
        <f>$N866/4</f>
        <v>0.25</v>
      </c>
      <c r="CE866" s="167">
        <f>$N866/4</f>
        <v>0.25</v>
      </c>
      <c r="CF866" s="167">
        <f>$N866/4</f>
        <v>0.25</v>
      </c>
      <c r="CG866" s="167">
        <f>$N866/4</f>
        <v>0.25</v>
      </c>
      <c r="CH866" s="167">
        <v>0</v>
      </c>
      <c r="CI866" s="167">
        <v>0</v>
      </c>
      <c r="CJ866" s="167">
        <v>0</v>
      </c>
      <c r="CK866" s="167">
        <v>0</v>
      </c>
      <c r="CL866" s="167">
        <v>0</v>
      </c>
      <c r="CM866" s="167">
        <v>0</v>
      </c>
      <c r="CN866" s="167">
        <v>0</v>
      </c>
      <c r="CO866" s="167">
        <v>0</v>
      </c>
      <c r="CP866" s="167">
        <v>0</v>
      </c>
      <c r="CQ866" s="167">
        <v>0</v>
      </c>
      <c r="CR866" s="167">
        <v>0</v>
      </c>
      <c r="CS866" s="167">
        <v>0</v>
      </c>
      <c r="CT866" s="167">
        <v>0</v>
      </c>
      <c r="CU866" s="167">
        <v>0</v>
      </c>
      <c r="CV866" s="167">
        <v>0</v>
      </c>
      <c r="CW866" s="167">
        <v>0</v>
      </c>
      <c r="CX866" s="167">
        <f>SUM(CD866:CH866)</f>
        <v>1</v>
      </c>
      <c r="CY866" s="167">
        <f>SUM(CD866:CM866)</f>
        <v>1</v>
      </c>
    </row>
    <row r="867" spans="1:103" ht="12.75" customHeight="1" x14ac:dyDescent="0.2">
      <c r="A867" s="81">
        <v>5803</v>
      </c>
      <c r="B867" s="165" t="s">
        <v>1930</v>
      </c>
      <c r="C867" s="165" t="s">
        <v>1233</v>
      </c>
      <c r="E867" s="165" t="s">
        <v>2600</v>
      </c>
      <c r="G867" s="81">
        <v>526534</v>
      </c>
      <c r="H867" s="81">
        <v>175822</v>
      </c>
      <c r="I867" s="165" t="s">
        <v>257</v>
      </c>
      <c r="L867" s="166">
        <v>0</v>
      </c>
      <c r="M867" s="166">
        <v>6</v>
      </c>
      <c r="N867" s="166">
        <v>6</v>
      </c>
      <c r="O867" s="166">
        <v>6</v>
      </c>
      <c r="P867" s="166">
        <v>6</v>
      </c>
      <c r="R867" s="165" t="s">
        <v>1234</v>
      </c>
      <c r="S867" s="81" t="s">
        <v>270</v>
      </c>
      <c r="T867" s="349">
        <v>42488</v>
      </c>
      <c r="U867" s="349">
        <v>42544</v>
      </c>
      <c r="W867" s="81" t="s">
        <v>114</v>
      </c>
      <c r="Y867" s="81" t="s">
        <v>115</v>
      </c>
      <c r="Z867" s="81" t="s">
        <v>310</v>
      </c>
      <c r="AA867" s="81" t="s">
        <v>117</v>
      </c>
      <c r="AB867" s="81" t="s">
        <v>399</v>
      </c>
      <c r="AC867" s="166">
        <v>8.0000003799796104E-3</v>
      </c>
      <c r="AG867" s="81" t="s">
        <v>238</v>
      </c>
      <c r="AH867" s="81" t="s">
        <v>118</v>
      </c>
      <c r="AI867" s="81" t="s">
        <v>1939</v>
      </c>
      <c r="AK867" s="166">
        <v>0</v>
      </c>
      <c r="AM867" s="166">
        <v>0</v>
      </c>
      <c r="AO867" s="166">
        <v>0</v>
      </c>
      <c r="AP867" s="166">
        <v>6</v>
      </c>
      <c r="AQ867" s="166">
        <v>0</v>
      </c>
      <c r="AR867" s="166">
        <v>0</v>
      </c>
      <c r="AS867" s="166">
        <v>0</v>
      </c>
      <c r="AT867" s="166">
        <v>0</v>
      </c>
      <c r="AU867" s="166">
        <v>0</v>
      </c>
      <c r="AV867" s="166">
        <v>0</v>
      </c>
      <c r="AW867" s="166">
        <v>6</v>
      </c>
      <c r="AX867" s="166">
        <v>0</v>
      </c>
      <c r="AY867" s="166">
        <v>0</v>
      </c>
      <c r="AZ867" s="166">
        <v>0</v>
      </c>
      <c r="BA867" s="166">
        <v>0</v>
      </c>
      <c r="BB867" s="166">
        <v>0</v>
      </c>
      <c r="BC867" s="166">
        <v>0</v>
      </c>
      <c r="BD867" s="166">
        <v>0</v>
      </c>
      <c r="BE867" s="166">
        <v>0</v>
      </c>
      <c r="BF867" s="166">
        <v>0</v>
      </c>
      <c r="BG867" s="166">
        <v>0</v>
      </c>
      <c r="BH867" s="166">
        <v>0</v>
      </c>
      <c r="BI867" s="166">
        <v>0</v>
      </c>
      <c r="BJ867" s="166">
        <v>0</v>
      </c>
      <c r="BK867" s="166">
        <v>0</v>
      </c>
      <c r="BL867" s="166">
        <v>0</v>
      </c>
      <c r="BM867" s="166">
        <v>0</v>
      </c>
      <c r="BN867" s="166">
        <v>0</v>
      </c>
      <c r="BO867" s="166">
        <v>0</v>
      </c>
      <c r="BP867" s="166">
        <v>0</v>
      </c>
      <c r="BQ867" s="81" t="s">
        <v>1757</v>
      </c>
      <c r="BX867" s="81" t="s">
        <v>155</v>
      </c>
      <c r="BZ867" s="81" t="s">
        <v>155</v>
      </c>
      <c r="CA867" s="81" t="s">
        <v>3972</v>
      </c>
      <c r="CC867" s="167">
        <v>0</v>
      </c>
      <c r="CD867" s="167">
        <f>$N867/4</f>
        <v>1.5</v>
      </c>
      <c r="CE867" s="167">
        <f>$N867/4</f>
        <v>1.5</v>
      </c>
      <c r="CF867" s="167">
        <f>$N867/4</f>
        <v>1.5</v>
      </c>
      <c r="CG867" s="167">
        <f>$N867/4</f>
        <v>1.5</v>
      </c>
      <c r="CH867" s="167">
        <v>0</v>
      </c>
      <c r="CI867" s="167">
        <v>0</v>
      </c>
      <c r="CJ867" s="167">
        <v>0</v>
      </c>
      <c r="CK867" s="167">
        <v>0</v>
      </c>
      <c r="CL867" s="167">
        <v>0</v>
      </c>
      <c r="CM867" s="167">
        <v>0</v>
      </c>
      <c r="CN867" s="167">
        <v>0</v>
      </c>
      <c r="CO867" s="167">
        <v>0</v>
      </c>
      <c r="CP867" s="167">
        <v>0</v>
      </c>
      <c r="CQ867" s="167">
        <v>0</v>
      </c>
      <c r="CR867" s="167">
        <v>0</v>
      </c>
      <c r="CS867" s="167">
        <v>0</v>
      </c>
      <c r="CT867" s="167">
        <v>0</v>
      </c>
      <c r="CU867" s="167">
        <v>0</v>
      </c>
      <c r="CV867" s="167">
        <v>0</v>
      </c>
      <c r="CW867" s="167">
        <v>0</v>
      </c>
      <c r="CX867" s="167">
        <f>SUM(CD867:CH867)</f>
        <v>6</v>
      </c>
      <c r="CY867" s="167">
        <f>SUM(CD867:CM867)</f>
        <v>6</v>
      </c>
    </row>
    <row r="868" spans="1:103" ht="12.75" customHeight="1" x14ac:dyDescent="0.2">
      <c r="A868" s="81">
        <v>5804</v>
      </c>
      <c r="B868" s="165" t="s">
        <v>1930</v>
      </c>
      <c r="C868" s="165" t="s">
        <v>1324</v>
      </c>
      <c r="D868" s="165" t="s">
        <v>876</v>
      </c>
      <c r="E868" s="165" t="s">
        <v>2601</v>
      </c>
      <c r="G868" s="81">
        <v>526485</v>
      </c>
      <c r="H868" s="81">
        <v>175743</v>
      </c>
      <c r="I868" s="165" t="s">
        <v>257</v>
      </c>
      <c r="L868" s="166">
        <v>0</v>
      </c>
      <c r="M868" s="166">
        <v>5</v>
      </c>
      <c r="N868" s="166">
        <v>5</v>
      </c>
      <c r="O868" s="166">
        <v>5</v>
      </c>
      <c r="P868" s="166">
        <v>5</v>
      </c>
      <c r="R868" s="165" t="s">
        <v>1325</v>
      </c>
      <c r="S868" s="81" t="s">
        <v>270</v>
      </c>
      <c r="T868" s="349">
        <v>42538</v>
      </c>
      <c r="U868" s="349">
        <v>42594</v>
      </c>
      <c r="W868" s="81" t="s">
        <v>114</v>
      </c>
      <c r="Y868" s="81" t="s">
        <v>115</v>
      </c>
      <c r="Z868" s="81" t="s">
        <v>310</v>
      </c>
      <c r="AA868" s="81" t="s">
        <v>117</v>
      </c>
      <c r="AB868" s="81" t="s">
        <v>399</v>
      </c>
      <c r="AC868" s="166">
        <v>3.5999998450279201E-2</v>
      </c>
      <c r="AG868" s="81" t="s">
        <v>238</v>
      </c>
      <c r="AH868" s="81" t="s">
        <v>118</v>
      </c>
      <c r="AI868" s="81" t="s">
        <v>1939</v>
      </c>
      <c r="AK868" s="166">
        <v>0</v>
      </c>
      <c r="AM868" s="166">
        <v>0</v>
      </c>
      <c r="AO868" s="166">
        <v>0</v>
      </c>
      <c r="AP868" s="166">
        <v>0</v>
      </c>
      <c r="AQ868" s="166">
        <v>0</v>
      </c>
      <c r="AR868" s="166">
        <v>5</v>
      </c>
      <c r="AS868" s="166">
        <v>0</v>
      </c>
      <c r="AT868" s="166">
        <v>0</v>
      </c>
      <c r="AU868" s="166">
        <v>0</v>
      </c>
      <c r="AV868" s="166">
        <v>0</v>
      </c>
      <c r="AW868" s="166">
        <v>0</v>
      </c>
      <c r="AX868" s="166">
        <v>0</v>
      </c>
      <c r="AY868" s="166">
        <v>5</v>
      </c>
      <c r="AZ868" s="166">
        <v>0</v>
      </c>
      <c r="BA868" s="166">
        <v>0</v>
      </c>
      <c r="BB868" s="166">
        <v>0</v>
      </c>
      <c r="BC868" s="166">
        <v>0</v>
      </c>
      <c r="BD868" s="166">
        <v>0</v>
      </c>
      <c r="BE868" s="166">
        <v>0</v>
      </c>
      <c r="BF868" s="166">
        <v>0</v>
      </c>
      <c r="BG868" s="166">
        <v>0</v>
      </c>
      <c r="BH868" s="166">
        <v>0</v>
      </c>
      <c r="BI868" s="166">
        <v>0</v>
      </c>
      <c r="BJ868" s="166">
        <v>0</v>
      </c>
      <c r="BK868" s="166">
        <v>0</v>
      </c>
      <c r="BL868" s="166">
        <v>0</v>
      </c>
      <c r="BM868" s="166">
        <v>0</v>
      </c>
      <c r="BN868" s="166">
        <v>0</v>
      </c>
      <c r="BO868" s="166">
        <v>0</v>
      </c>
      <c r="BP868" s="166">
        <v>0</v>
      </c>
      <c r="BQ868" s="81" t="s">
        <v>1757</v>
      </c>
      <c r="BX868" s="81" t="s">
        <v>155</v>
      </c>
      <c r="BZ868" s="81" t="s">
        <v>155</v>
      </c>
      <c r="CA868" s="81" t="s">
        <v>1937</v>
      </c>
      <c r="CC868" s="167">
        <v>0</v>
      </c>
      <c r="CD868" s="167">
        <f>$N868/4</f>
        <v>1.25</v>
      </c>
      <c r="CE868" s="167">
        <f>$N868/4</f>
        <v>1.25</v>
      </c>
      <c r="CF868" s="167">
        <f>$N868/4</f>
        <v>1.25</v>
      </c>
      <c r="CG868" s="167">
        <f>$N868/4</f>
        <v>1.25</v>
      </c>
      <c r="CH868" s="167">
        <v>0</v>
      </c>
      <c r="CI868" s="167">
        <v>0</v>
      </c>
      <c r="CJ868" s="167">
        <v>0</v>
      </c>
      <c r="CK868" s="167">
        <v>0</v>
      </c>
      <c r="CL868" s="167">
        <v>0</v>
      </c>
      <c r="CM868" s="167">
        <v>0</v>
      </c>
      <c r="CN868" s="167">
        <v>0</v>
      </c>
      <c r="CO868" s="167">
        <v>0</v>
      </c>
      <c r="CP868" s="167">
        <v>0</v>
      </c>
      <c r="CQ868" s="167">
        <v>0</v>
      </c>
      <c r="CR868" s="167">
        <v>0</v>
      </c>
      <c r="CS868" s="167">
        <v>0</v>
      </c>
      <c r="CT868" s="167">
        <v>0</v>
      </c>
      <c r="CU868" s="167">
        <v>0</v>
      </c>
      <c r="CV868" s="167">
        <v>0</v>
      </c>
      <c r="CW868" s="167">
        <v>0</v>
      </c>
      <c r="CX868" s="167">
        <f>SUM(CD868:CH868)</f>
        <v>5</v>
      </c>
      <c r="CY868" s="167">
        <f>SUM(CD868:CM868)</f>
        <v>5</v>
      </c>
    </row>
    <row r="869" spans="1:103" ht="12.75" customHeight="1" x14ac:dyDescent="0.2">
      <c r="A869" s="81">
        <v>5805</v>
      </c>
      <c r="B869" s="165" t="s">
        <v>1930</v>
      </c>
      <c r="C869" s="165" t="s">
        <v>1237</v>
      </c>
      <c r="D869" s="165" t="s">
        <v>876</v>
      </c>
      <c r="E869" s="165" t="s">
        <v>2602</v>
      </c>
      <c r="G869" s="81">
        <v>526469</v>
      </c>
      <c r="H869" s="81">
        <v>175725</v>
      </c>
      <c r="I869" s="165" t="s">
        <v>257</v>
      </c>
      <c r="L869" s="166">
        <v>0</v>
      </c>
      <c r="M869" s="166">
        <v>6</v>
      </c>
      <c r="N869" s="166">
        <v>6</v>
      </c>
      <c r="O869" s="166">
        <v>6</v>
      </c>
      <c r="P869" s="166">
        <v>6</v>
      </c>
      <c r="R869" s="165" t="s">
        <v>1238</v>
      </c>
      <c r="S869" s="81" t="s">
        <v>270</v>
      </c>
      <c r="T869" s="349">
        <v>42487</v>
      </c>
      <c r="U869" s="349">
        <v>42543</v>
      </c>
      <c r="W869" s="81" t="s">
        <v>114</v>
      </c>
      <c r="Y869" s="81" t="s">
        <v>115</v>
      </c>
      <c r="Z869" s="81" t="s">
        <v>310</v>
      </c>
      <c r="AA869" s="81" t="s">
        <v>117</v>
      </c>
      <c r="AB869" s="81" t="s">
        <v>399</v>
      </c>
      <c r="AC869" s="166">
        <v>1.8999999389052401E-2</v>
      </c>
      <c r="AG869" s="81" t="s">
        <v>238</v>
      </c>
      <c r="AH869" s="81" t="s">
        <v>118</v>
      </c>
      <c r="AI869" s="81" t="s">
        <v>1939</v>
      </c>
      <c r="AK869" s="166">
        <v>0</v>
      </c>
      <c r="AM869" s="166">
        <v>0</v>
      </c>
      <c r="AO869" s="166">
        <v>0</v>
      </c>
      <c r="AP869" s="166">
        <v>3</v>
      </c>
      <c r="AQ869" s="166">
        <v>3</v>
      </c>
      <c r="AR869" s="166">
        <v>0</v>
      </c>
      <c r="AS869" s="166">
        <v>0</v>
      </c>
      <c r="AT869" s="166">
        <v>0</v>
      </c>
      <c r="AU869" s="166">
        <v>0</v>
      </c>
      <c r="AV869" s="166">
        <v>0</v>
      </c>
      <c r="AW869" s="166">
        <v>3</v>
      </c>
      <c r="AX869" s="166">
        <v>3</v>
      </c>
      <c r="AY869" s="166">
        <v>0</v>
      </c>
      <c r="AZ869" s="166">
        <v>0</v>
      </c>
      <c r="BA869" s="166">
        <v>0</v>
      </c>
      <c r="BB869" s="166">
        <v>0</v>
      </c>
      <c r="BC869" s="166">
        <v>0</v>
      </c>
      <c r="BD869" s="166">
        <v>0</v>
      </c>
      <c r="BE869" s="166">
        <v>0</v>
      </c>
      <c r="BF869" s="166">
        <v>0</v>
      </c>
      <c r="BG869" s="166">
        <v>0</v>
      </c>
      <c r="BH869" s="166">
        <v>0</v>
      </c>
      <c r="BI869" s="166">
        <v>0</v>
      </c>
      <c r="BJ869" s="166">
        <v>0</v>
      </c>
      <c r="BK869" s="166">
        <v>0</v>
      </c>
      <c r="BL869" s="166">
        <v>0</v>
      </c>
      <c r="BM869" s="166">
        <v>0</v>
      </c>
      <c r="BN869" s="166">
        <v>0</v>
      </c>
      <c r="BO869" s="166">
        <v>0</v>
      </c>
      <c r="BP869" s="166">
        <v>0</v>
      </c>
      <c r="BQ869" s="81" t="s">
        <v>1757</v>
      </c>
      <c r="BX869" s="81" t="s">
        <v>155</v>
      </c>
      <c r="BZ869" s="81" t="s">
        <v>155</v>
      </c>
      <c r="CA869" s="81" t="s">
        <v>3972</v>
      </c>
      <c r="CC869" s="167">
        <v>0</v>
      </c>
      <c r="CD869" s="167">
        <f>$N869/4</f>
        <v>1.5</v>
      </c>
      <c r="CE869" s="167">
        <f>$N869/4</f>
        <v>1.5</v>
      </c>
      <c r="CF869" s="167">
        <f>$N869/4</f>
        <v>1.5</v>
      </c>
      <c r="CG869" s="167">
        <f>$N869/4</f>
        <v>1.5</v>
      </c>
      <c r="CH869" s="167">
        <v>0</v>
      </c>
      <c r="CI869" s="167">
        <v>0</v>
      </c>
      <c r="CJ869" s="167">
        <v>0</v>
      </c>
      <c r="CK869" s="167">
        <v>0</v>
      </c>
      <c r="CL869" s="167">
        <v>0</v>
      </c>
      <c r="CM869" s="167">
        <v>0</v>
      </c>
      <c r="CN869" s="167">
        <v>0</v>
      </c>
      <c r="CO869" s="167">
        <v>0</v>
      </c>
      <c r="CP869" s="167">
        <v>0</v>
      </c>
      <c r="CQ869" s="167">
        <v>0</v>
      </c>
      <c r="CR869" s="167">
        <v>0</v>
      </c>
      <c r="CS869" s="167">
        <v>0</v>
      </c>
      <c r="CT869" s="167">
        <v>0</v>
      </c>
      <c r="CU869" s="167">
        <v>0</v>
      </c>
      <c r="CV869" s="167">
        <v>0</v>
      </c>
      <c r="CW869" s="167">
        <v>0</v>
      </c>
      <c r="CX869" s="167">
        <f>SUM(CD869:CH869)</f>
        <v>6</v>
      </c>
      <c r="CY869" s="167">
        <f>SUM(CD869:CM869)</f>
        <v>6</v>
      </c>
    </row>
    <row r="870" spans="1:103" ht="12.75" customHeight="1" x14ac:dyDescent="0.2">
      <c r="A870" s="81">
        <v>5807</v>
      </c>
      <c r="B870" s="165" t="s">
        <v>1930</v>
      </c>
      <c r="C870" s="165" t="s">
        <v>98</v>
      </c>
      <c r="E870" s="165" t="s">
        <v>2603</v>
      </c>
      <c r="G870" s="81">
        <v>526857</v>
      </c>
      <c r="H870" s="81">
        <v>176702</v>
      </c>
      <c r="I870" s="165" t="s">
        <v>257</v>
      </c>
      <c r="L870" s="166">
        <v>1</v>
      </c>
      <c r="M870" s="166">
        <v>2</v>
      </c>
      <c r="N870" s="166">
        <v>1</v>
      </c>
      <c r="O870" s="166">
        <v>2</v>
      </c>
      <c r="P870" s="166">
        <v>1</v>
      </c>
      <c r="R870" s="165" t="s">
        <v>99</v>
      </c>
      <c r="S870" s="81" t="s">
        <v>113</v>
      </c>
      <c r="T870" s="349">
        <v>41974</v>
      </c>
      <c r="U870" s="349">
        <v>42030</v>
      </c>
      <c r="W870" s="81" t="s">
        <v>114</v>
      </c>
      <c r="Y870" s="81" t="s">
        <v>115</v>
      </c>
      <c r="Z870" s="81" t="s">
        <v>119</v>
      </c>
      <c r="AA870" s="81" t="s">
        <v>117</v>
      </c>
      <c r="AB870" s="81" t="s">
        <v>220</v>
      </c>
      <c r="AC870" s="166">
        <v>3.0000000260770299E-3</v>
      </c>
      <c r="AG870" s="81" t="s">
        <v>238</v>
      </c>
      <c r="AH870" s="81" t="s">
        <v>118</v>
      </c>
      <c r="AK870" s="166">
        <v>0</v>
      </c>
      <c r="AM870" s="166">
        <v>0</v>
      </c>
      <c r="AO870" s="166">
        <v>0</v>
      </c>
      <c r="AP870" s="166">
        <v>2</v>
      </c>
      <c r="AQ870" s="166">
        <v>-1</v>
      </c>
      <c r="AR870" s="166">
        <v>0</v>
      </c>
      <c r="AS870" s="166">
        <v>0</v>
      </c>
      <c r="AT870" s="166">
        <v>0</v>
      </c>
      <c r="AU870" s="166">
        <v>0</v>
      </c>
      <c r="AV870" s="166">
        <v>0</v>
      </c>
      <c r="AW870" s="166">
        <v>2</v>
      </c>
      <c r="AX870" s="166">
        <v>-1</v>
      </c>
      <c r="AY870" s="166">
        <v>0</v>
      </c>
      <c r="AZ870" s="166">
        <v>0</v>
      </c>
      <c r="BA870" s="166">
        <v>0</v>
      </c>
      <c r="BB870" s="166">
        <v>0</v>
      </c>
      <c r="BC870" s="166">
        <v>0</v>
      </c>
      <c r="BD870" s="166">
        <v>0</v>
      </c>
      <c r="BE870" s="166">
        <v>0</v>
      </c>
      <c r="BF870" s="166">
        <v>0</v>
      </c>
      <c r="BG870" s="166">
        <v>0</v>
      </c>
      <c r="BH870" s="166">
        <v>0</v>
      </c>
      <c r="BI870" s="166">
        <v>0</v>
      </c>
      <c r="BJ870" s="166">
        <v>0</v>
      </c>
      <c r="BK870" s="166">
        <v>0</v>
      </c>
      <c r="BL870" s="166">
        <v>0</v>
      </c>
      <c r="BM870" s="166">
        <v>0</v>
      </c>
      <c r="BN870" s="166">
        <v>0</v>
      </c>
      <c r="BO870" s="166">
        <v>0</v>
      </c>
      <c r="BP870" s="166">
        <v>0</v>
      </c>
      <c r="BQ870" s="81" t="s">
        <v>1757</v>
      </c>
      <c r="BZ870" s="81" t="s">
        <v>155</v>
      </c>
      <c r="CA870" s="81" t="s">
        <v>1937</v>
      </c>
      <c r="CC870" s="167">
        <v>0</v>
      </c>
      <c r="CD870" s="167">
        <f>$N870/4</f>
        <v>0.25</v>
      </c>
      <c r="CE870" s="167">
        <f>$N870/4</f>
        <v>0.25</v>
      </c>
      <c r="CF870" s="167">
        <f>$N870/4</f>
        <v>0.25</v>
      </c>
      <c r="CG870" s="167">
        <f>$N870/4</f>
        <v>0.25</v>
      </c>
      <c r="CH870" s="167">
        <v>0</v>
      </c>
      <c r="CI870" s="167">
        <v>0</v>
      </c>
      <c r="CJ870" s="167">
        <v>0</v>
      </c>
      <c r="CK870" s="167">
        <v>0</v>
      </c>
      <c r="CL870" s="167">
        <v>0</v>
      </c>
      <c r="CM870" s="167">
        <v>0</v>
      </c>
      <c r="CN870" s="167">
        <v>0</v>
      </c>
      <c r="CO870" s="167">
        <v>0</v>
      </c>
      <c r="CP870" s="167">
        <v>0</v>
      </c>
      <c r="CQ870" s="167">
        <v>0</v>
      </c>
      <c r="CR870" s="167">
        <v>0</v>
      </c>
      <c r="CS870" s="167">
        <v>0</v>
      </c>
      <c r="CT870" s="167">
        <v>0</v>
      </c>
      <c r="CU870" s="167">
        <v>0</v>
      </c>
      <c r="CV870" s="167">
        <v>0</v>
      </c>
      <c r="CW870" s="167">
        <v>0</v>
      </c>
      <c r="CX870" s="167">
        <f>SUM(CD870:CH870)</f>
        <v>1</v>
      </c>
      <c r="CY870" s="167">
        <f>SUM(CD870:CM870)</f>
        <v>1</v>
      </c>
    </row>
    <row r="871" spans="1:103" ht="12.75" customHeight="1" x14ac:dyDescent="0.2">
      <c r="A871" s="81">
        <v>5828</v>
      </c>
      <c r="B871" s="165" t="s">
        <v>1930</v>
      </c>
      <c r="C871" s="165" t="s">
        <v>380</v>
      </c>
      <c r="E871" s="165" t="s">
        <v>2604</v>
      </c>
      <c r="G871" s="81">
        <v>526141</v>
      </c>
      <c r="H871" s="81">
        <v>172702</v>
      </c>
      <c r="I871" s="165" t="s">
        <v>249</v>
      </c>
      <c r="L871" s="166">
        <v>0</v>
      </c>
      <c r="M871" s="166">
        <v>1</v>
      </c>
      <c r="N871" s="166">
        <v>1</v>
      </c>
      <c r="O871" s="166">
        <v>1</v>
      </c>
      <c r="P871" s="166">
        <v>1</v>
      </c>
      <c r="R871" s="165" t="s">
        <v>486</v>
      </c>
      <c r="S871" s="81" t="s">
        <v>113</v>
      </c>
      <c r="T871" s="349">
        <v>42011</v>
      </c>
      <c r="U871" s="349">
        <v>42101</v>
      </c>
      <c r="W871" s="81" t="s">
        <v>114</v>
      </c>
      <c r="Y871" s="81" t="s">
        <v>115</v>
      </c>
      <c r="Z871" s="81" t="s">
        <v>219</v>
      </c>
      <c r="AA871" s="81" t="s">
        <v>117</v>
      </c>
      <c r="AB871" s="81" t="s">
        <v>3889</v>
      </c>
      <c r="AC871" s="166">
        <v>3.0000000260770299E-3</v>
      </c>
      <c r="AG871" s="81" t="s">
        <v>238</v>
      </c>
      <c r="AH871" s="81" t="s">
        <v>118</v>
      </c>
      <c r="AK871" s="166">
        <v>0</v>
      </c>
      <c r="AM871" s="166">
        <v>0</v>
      </c>
      <c r="AO871" s="166">
        <v>0</v>
      </c>
      <c r="AP871" s="166">
        <v>0</v>
      </c>
      <c r="AQ871" s="166">
        <v>1</v>
      </c>
      <c r="AR871" s="166">
        <v>0</v>
      </c>
      <c r="AS871" s="166">
        <v>0</v>
      </c>
      <c r="AT871" s="166">
        <v>0</v>
      </c>
      <c r="AU871" s="166">
        <v>0</v>
      </c>
      <c r="AV871" s="166">
        <v>0</v>
      </c>
      <c r="AW871" s="166">
        <v>0</v>
      </c>
      <c r="AX871" s="166">
        <v>1</v>
      </c>
      <c r="AY871" s="166">
        <v>0</v>
      </c>
      <c r="AZ871" s="166">
        <v>0</v>
      </c>
      <c r="BA871" s="166">
        <v>0</v>
      </c>
      <c r="BB871" s="166">
        <v>0</v>
      </c>
      <c r="BC871" s="166">
        <v>0</v>
      </c>
      <c r="BD871" s="166">
        <v>0</v>
      </c>
      <c r="BE871" s="166">
        <v>0</v>
      </c>
      <c r="BF871" s="166">
        <v>0</v>
      </c>
      <c r="BG871" s="166">
        <v>0</v>
      </c>
      <c r="BH871" s="166">
        <v>0</v>
      </c>
      <c r="BI871" s="166">
        <v>0</v>
      </c>
      <c r="BJ871" s="166">
        <v>0</v>
      </c>
      <c r="BK871" s="166">
        <v>0</v>
      </c>
      <c r="BL871" s="166">
        <v>0</v>
      </c>
      <c r="BM871" s="166">
        <v>0</v>
      </c>
      <c r="BN871" s="166">
        <v>0</v>
      </c>
      <c r="BO871" s="166">
        <v>0</v>
      </c>
      <c r="BP871" s="166">
        <v>0</v>
      </c>
      <c r="BQ871" s="81" t="s">
        <v>1758</v>
      </c>
      <c r="BZ871" s="81" t="s">
        <v>155</v>
      </c>
      <c r="CA871" s="81" t="s">
        <v>1937</v>
      </c>
      <c r="CC871" s="167">
        <v>0</v>
      </c>
      <c r="CD871" s="167">
        <f>$N871/4</f>
        <v>0.25</v>
      </c>
      <c r="CE871" s="167">
        <f>$N871/4</f>
        <v>0.25</v>
      </c>
      <c r="CF871" s="167">
        <f>$N871/4</f>
        <v>0.25</v>
      </c>
      <c r="CG871" s="167">
        <f>$N871/4</f>
        <v>0.25</v>
      </c>
      <c r="CH871" s="167">
        <v>0</v>
      </c>
      <c r="CI871" s="167">
        <v>0</v>
      </c>
      <c r="CJ871" s="167">
        <v>0</v>
      </c>
      <c r="CK871" s="167">
        <v>0</v>
      </c>
      <c r="CL871" s="167">
        <v>0</v>
      </c>
      <c r="CM871" s="167">
        <v>0</v>
      </c>
      <c r="CN871" s="167">
        <v>0</v>
      </c>
      <c r="CO871" s="167">
        <v>0</v>
      </c>
      <c r="CP871" s="167">
        <v>0</v>
      </c>
      <c r="CQ871" s="167">
        <v>0</v>
      </c>
      <c r="CR871" s="167">
        <v>0</v>
      </c>
      <c r="CS871" s="167">
        <v>0</v>
      </c>
      <c r="CT871" s="167">
        <v>0</v>
      </c>
      <c r="CU871" s="167">
        <v>0</v>
      </c>
      <c r="CV871" s="167">
        <v>0</v>
      </c>
      <c r="CW871" s="167">
        <v>0</v>
      </c>
      <c r="CX871" s="167">
        <f>SUM(CD871:CH871)</f>
        <v>1</v>
      </c>
      <c r="CY871" s="167">
        <f>SUM(CD871:CM871)</f>
        <v>1</v>
      </c>
    </row>
    <row r="872" spans="1:103" ht="12.75" customHeight="1" x14ac:dyDescent="0.2">
      <c r="A872" s="81">
        <v>5832</v>
      </c>
      <c r="B872" s="165" t="s">
        <v>1930</v>
      </c>
      <c r="C872" s="165" t="s">
        <v>413</v>
      </c>
      <c r="E872" s="165" t="s">
        <v>2605</v>
      </c>
      <c r="G872" s="81">
        <v>527798</v>
      </c>
      <c r="H872" s="81">
        <v>175779</v>
      </c>
      <c r="I872" s="165" t="s">
        <v>256</v>
      </c>
      <c r="L872" s="166">
        <v>0</v>
      </c>
      <c r="M872" s="166">
        <v>1</v>
      </c>
      <c r="N872" s="166">
        <v>1</v>
      </c>
      <c r="O872" s="166">
        <v>1</v>
      </c>
      <c r="P872" s="166">
        <v>1</v>
      </c>
      <c r="R872" s="165" t="s">
        <v>492</v>
      </c>
      <c r="S872" s="81" t="s">
        <v>113</v>
      </c>
      <c r="T872" s="349">
        <v>41992</v>
      </c>
      <c r="U872" s="349">
        <v>42164</v>
      </c>
      <c r="W872" s="81" t="s">
        <v>114</v>
      </c>
      <c r="Y872" s="81" t="s">
        <v>115</v>
      </c>
      <c r="Z872" s="81" t="s">
        <v>116</v>
      </c>
      <c r="AA872" s="81" t="s">
        <v>117</v>
      </c>
      <c r="AB872" s="81" t="s">
        <v>218</v>
      </c>
      <c r="AC872" s="166">
        <v>8.0000003799796104E-3</v>
      </c>
      <c r="AG872" s="81" t="s">
        <v>238</v>
      </c>
      <c r="AH872" s="81" t="s">
        <v>118</v>
      </c>
      <c r="AK872" s="166">
        <v>1</v>
      </c>
      <c r="AM872" s="166">
        <v>0</v>
      </c>
      <c r="AO872" s="166">
        <v>0</v>
      </c>
      <c r="AP872" s="166">
        <v>0</v>
      </c>
      <c r="AQ872" s="166">
        <v>1</v>
      </c>
      <c r="AR872" s="166">
        <v>0</v>
      </c>
      <c r="AS872" s="166">
        <v>0</v>
      </c>
      <c r="AT872" s="166">
        <v>0</v>
      </c>
      <c r="AU872" s="166">
        <v>0</v>
      </c>
      <c r="AV872" s="166">
        <v>0</v>
      </c>
      <c r="AW872" s="166">
        <v>0</v>
      </c>
      <c r="AX872" s="166">
        <v>0</v>
      </c>
      <c r="AY872" s="166">
        <v>0</v>
      </c>
      <c r="AZ872" s="166">
        <v>0</v>
      </c>
      <c r="BA872" s="166">
        <v>0</v>
      </c>
      <c r="BB872" s="166">
        <v>0</v>
      </c>
      <c r="BC872" s="166">
        <v>0</v>
      </c>
      <c r="BD872" s="166">
        <v>0</v>
      </c>
      <c r="BE872" s="166">
        <v>1</v>
      </c>
      <c r="BF872" s="166">
        <v>0</v>
      </c>
      <c r="BG872" s="166">
        <v>0</v>
      </c>
      <c r="BH872" s="166">
        <v>0</v>
      </c>
      <c r="BI872" s="166">
        <v>0</v>
      </c>
      <c r="BJ872" s="166">
        <v>0</v>
      </c>
      <c r="BK872" s="166">
        <v>0</v>
      </c>
      <c r="BL872" s="166">
        <v>0</v>
      </c>
      <c r="BM872" s="166">
        <v>0</v>
      </c>
      <c r="BN872" s="166">
        <v>0</v>
      </c>
      <c r="BO872" s="166">
        <v>0</v>
      </c>
      <c r="BP872" s="166">
        <v>0</v>
      </c>
      <c r="BQ872" s="81" t="s">
        <v>1757</v>
      </c>
      <c r="BZ872" s="81" t="s">
        <v>155</v>
      </c>
      <c r="CA872" s="81">
        <v>4</v>
      </c>
      <c r="CC872" s="167">
        <v>0</v>
      </c>
      <c r="CD872" s="167">
        <v>0</v>
      </c>
      <c r="CE872" s="167">
        <f>$N872/5</f>
        <v>0.2</v>
      </c>
      <c r="CF872" s="167">
        <f>$N872/5</f>
        <v>0.2</v>
      </c>
      <c r="CG872" s="167">
        <f>$N872/5</f>
        <v>0.2</v>
      </c>
      <c r="CH872" s="167">
        <f>$N872/5</f>
        <v>0.2</v>
      </c>
      <c r="CI872" s="167">
        <f>$N872/5</f>
        <v>0.2</v>
      </c>
      <c r="CJ872" s="167">
        <v>0</v>
      </c>
      <c r="CK872" s="167">
        <v>0</v>
      </c>
      <c r="CL872" s="167">
        <v>0</v>
      </c>
      <c r="CM872" s="167">
        <v>0</v>
      </c>
      <c r="CN872" s="167">
        <v>0</v>
      </c>
      <c r="CO872" s="167">
        <v>0</v>
      </c>
      <c r="CP872" s="167">
        <v>0</v>
      </c>
      <c r="CQ872" s="167">
        <v>0</v>
      </c>
      <c r="CR872" s="167">
        <v>0</v>
      </c>
      <c r="CS872" s="167">
        <v>0</v>
      </c>
      <c r="CT872" s="167">
        <v>0</v>
      </c>
      <c r="CU872" s="167">
        <v>0</v>
      </c>
      <c r="CV872" s="167">
        <v>0</v>
      </c>
      <c r="CW872" s="167">
        <v>0</v>
      </c>
      <c r="CX872" s="167">
        <f>SUM(CD872:CH872)</f>
        <v>0.8</v>
      </c>
      <c r="CY872" s="167">
        <f>SUM(CD872:CM872)</f>
        <v>1</v>
      </c>
    </row>
    <row r="873" spans="1:103" ht="12.75" customHeight="1" x14ac:dyDescent="0.2">
      <c r="A873" s="81">
        <v>5833</v>
      </c>
      <c r="B873" s="165" t="s">
        <v>1930</v>
      </c>
      <c r="C873" s="165" t="s">
        <v>626</v>
      </c>
      <c r="E873" s="165" t="s">
        <v>2606</v>
      </c>
      <c r="G873" s="81">
        <v>528459</v>
      </c>
      <c r="H873" s="81">
        <v>175776</v>
      </c>
      <c r="I873" s="165" t="s">
        <v>256</v>
      </c>
      <c r="L873" s="166">
        <v>0</v>
      </c>
      <c r="M873" s="166">
        <v>1</v>
      </c>
      <c r="N873" s="166">
        <v>1</v>
      </c>
      <c r="O873" s="166">
        <v>2</v>
      </c>
      <c r="P873" s="166">
        <v>2</v>
      </c>
      <c r="R873" s="165" t="s">
        <v>627</v>
      </c>
      <c r="S873" s="81" t="s">
        <v>113</v>
      </c>
      <c r="T873" s="349">
        <v>42221</v>
      </c>
      <c r="U873" s="349">
        <v>42277</v>
      </c>
      <c r="W873" s="81" t="s">
        <v>114</v>
      </c>
      <c r="Y873" s="81" t="s">
        <v>115</v>
      </c>
      <c r="Z873" s="81" t="s">
        <v>398</v>
      </c>
      <c r="AA873" s="81" t="s">
        <v>117</v>
      </c>
      <c r="AB873" s="81" t="s">
        <v>102</v>
      </c>
      <c r="AC873" s="166">
        <v>3.0000000260770299E-3</v>
      </c>
      <c r="AG873" s="81" t="s">
        <v>238</v>
      </c>
      <c r="AH873" s="81" t="s">
        <v>118</v>
      </c>
      <c r="AK873" s="166">
        <v>0</v>
      </c>
      <c r="AM873" s="166">
        <v>0</v>
      </c>
      <c r="AO873" s="166">
        <v>0</v>
      </c>
      <c r="AP873" s="166">
        <v>1</v>
      </c>
      <c r="AQ873" s="166">
        <v>0</v>
      </c>
      <c r="AR873" s="166">
        <v>0</v>
      </c>
      <c r="AS873" s="166">
        <v>0</v>
      </c>
      <c r="AT873" s="166">
        <v>0</v>
      </c>
      <c r="AU873" s="166">
        <v>0</v>
      </c>
      <c r="AV873" s="166">
        <v>0</v>
      </c>
      <c r="AW873" s="166">
        <v>1</v>
      </c>
      <c r="AX873" s="166">
        <v>0</v>
      </c>
      <c r="AY873" s="166">
        <v>0</v>
      </c>
      <c r="AZ873" s="166">
        <v>0</v>
      </c>
      <c r="BA873" s="166">
        <v>0</v>
      </c>
      <c r="BB873" s="166">
        <v>0</v>
      </c>
      <c r="BC873" s="166">
        <v>0</v>
      </c>
      <c r="BD873" s="166">
        <v>0</v>
      </c>
      <c r="BE873" s="166">
        <v>0</v>
      </c>
      <c r="BF873" s="166">
        <v>0</v>
      </c>
      <c r="BG873" s="166">
        <v>0</v>
      </c>
      <c r="BH873" s="166">
        <v>0</v>
      </c>
      <c r="BI873" s="166">
        <v>0</v>
      </c>
      <c r="BJ873" s="166">
        <v>0</v>
      </c>
      <c r="BK873" s="166">
        <v>0</v>
      </c>
      <c r="BL873" s="166">
        <v>0</v>
      </c>
      <c r="BM873" s="166">
        <v>0</v>
      </c>
      <c r="BN873" s="166">
        <v>0</v>
      </c>
      <c r="BO873" s="166">
        <v>0</v>
      </c>
      <c r="BP873" s="166">
        <v>0</v>
      </c>
      <c r="BQ873" s="81" t="s">
        <v>1757</v>
      </c>
      <c r="BZ873" s="81" t="s">
        <v>155</v>
      </c>
      <c r="CA873" s="81" t="s">
        <v>1937</v>
      </c>
      <c r="CC873" s="167">
        <v>0</v>
      </c>
      <c r="CD873" s="167">
        <f>$N873/4</f>
        <v>0.25</v>
      </c>
      <c r="CE873" s="167">
        <f>$N873/4</f>
        <v>0.25</v>
      </c>
      <c r="CF873" s="167">
        <f>$N873/4</f>
        <v>0.25</v>
      </c>
      <c r="CG873" s="167">
        <f>$N873/4</f>
        <v>0.25</v>
      </c>
      <c r="CH873" s="167">
        <v>0</v>
      </c>
      <c r="CI873" s="167">
        <v>0</v>
      </c>
      <c r="CJ873" s="167">
        <v>0</v>
      </c>
      <c r="CK873" s="167">
        <v>0</v>
      </c>
      <c r="CL873" s="167">
        <v>0</v>
      </c>
      <c r="CM873" s="167">
        <v>0</v>
      </c>
      <c r="CN873" s="167">
        <v>0</v>
      </c>
      <c r="CO873" s="167">
        <v>0</v>
      </c>
      <c r="CP873" s="167">
        <v>0</v>
      </c>
      <c r="CQ873" s="167">
        <v>0</v>
      </c>
      <c r="CR873" s="167">
        <v>0</v>
      </c>
      <c r="CS873" s="167">
        <v>0</v>
      </c>
      <c r="CT873" s="167">
        <v>0</v>
      </c>
      <c r="CU873" s="167">
        <v>0</v>
      </c>
      <c r="CV873" s="167">
        <v>0</v>
      </c>
      <c r="CW873" s="167">
        <v>0</v>
      </c>
      <c r="CX873" s="167">
        <f>SUM(CD873:CH873)</f>
        <v>1</v>
      </c>
      <c r="CY873" s="167">
        <f>SUM(CD873:CM873)</f>
        <v>1</v>
      </c>
    </row>
    <row r="874" spans="1:103" ht="12.75" customHeight="1" x14ac:dyDescent="0.2">
      <c r="A874" s="81">
        <v>5833</v>
      </c>
      <c r="B874" s="165" t="s">
        <v>1930</v>
      </c>
      <c r="C874" s="165" t="s">
        <v>626</v>
      </c>
      <c r="E874" s="165" t="s">
        <v>2606</v>
      </c>
      <c r="G874" s="81">
        <v>528459</v>
      </c>
      <c r="H874" s="81">
        <v>175776</v>
      </c>
      <c r="I874" s="165" t="s">
        <v>256</v>
      </c>
      <c r="L874" s="166">
        <v>0</v>
      </c>
      <c r="M874" s="166">
        <v>1</v>
      </c>
      <c r="N874" s="166">
        <v>1</v>
      </c>
      <c r="O874" s="166">
        <v>2</v>
      </c>
      <c r="P874" s="166">
        <v>2</v>
      </c>
      <c r="R874" s="165" t="s">
        <v>627</v>
      </c>
      <c r="S874" s="81" t="s">
        <v>113</v>
      </c>
      <c r="T874" s="349">
        <v>42221</v>
      </c>
      <c r="U874" s="349">
        <v>42277</v>
      </c>
      <c r="W874" s="81" t="s">
        <v>114</v>
      </c>
      <c r="Y874" s="81" t="s">
        <v>115</v>
      </c>
      <c r="Z874" s="81" t="s">
        <v>398</v>
      </c>
      <c r="AA874" s="81" t="s">
        <v>117</v>
      </c>
      <c r="AB874" s="81" t="s">
        <v>218</v>
      </c>
      <c r="AC874" s="166">
        <v>2.0000000949949E-3</v>
      </c>
      <c r="AG874" s="81" t="s">
        <v>238</v>
      </c>
      <c r="AH874" s="81" t="s">
        <v>118</v>
      </c>
      <c r="AK874" s="166">
        <v>0</v>
      </c>
      <c r="AM874" s="166">
        <v>0</v>
      </c>
      <c r="AO874" s="166">
        <v>0</v>
      </c>
      <c r="AP874" s="166">
        <v>1</v>
      </c>
      <c r="AQ874" s="166">
        <v>0</v>
      </c>
      <c r="AR874" s="166">
        <v>0</v>
      </c>
      <c r="AS874" s="166">
        <v>0</v>
      </c>
      <c r="AT874" s="166">
        <v>0</v>
      </c>
      <c r="AU874" s="166">
        <v>0</v>
      </c>
      <c r="AV874" s="166">
        <v>0</v>
      </c>
      <c r="AW874" s="166">
        <v>1</v>
      </c>
      <c r="AX874" s="166">
        <v>0</v>
      </c>
      <c r="AY874" s="166">
        <v>0</v>
      </c>
      <c r="AZ874" s="166">
        <v>0</v>
      </c>
      <c r="BA874" s="166">
        <v>0</v>
      </c>
      <c r="BB874" s="166">
        <v>0</v>
      </c>
      <c r="BC874" s="166">
        <v>0</v>
      </c>
      <c r="BD874" s="166">
        <v>0</v>
      </c>
      <c r="BE874" s="166">
        <v>0</v>
      </c>
      <c r="BF874" s="166">
        <v>0</v>
      </c>
      <c r="BG874" s="166">
        <v>0</v>
      </c>
      <c r="BH874" s="166">
        <v>0</v>
      </c>
      <c r="BI874" s="166">
        <v>0</v>
      </c>
      <c r="BJ874" s="166">
        <v>0</v>
      </c>
      <c r="BK874" s="166">
        <v>0</v>
      </c>
      <c r="BL874" s="166">
        <v>0</v>
      </c>
      <c r="BM874" s="166">
        <v>0</v>
      </c>
      <c r="BN874" s="166">
        <v>0</v>
      </c>
      <c r="BO874" s="166">
        <v>0</v>
      </c>
      <c r="BP874" s="166">
        <v>0</v>
      </c>
      <c r="BQ874" s="81" t="s">
        <v>1757</v>
      </c>
      <c r="BZ874" s="81" t="s">
        <v>155</v>
      </c>
      <c r="CA874" s="81" t="s">
        <v>1937</v>
      </c>
      <c r="CC874" s="167">
        <v>0</v>
      </c>
      <c r="CD874" s="167">
        <f>$N874/4</f>
        <v>0.25</v>
      </c>
      <c r="CE874" s="167">
        <f>$N874/4</f>
        <v>0.25</v>
      </c>
      <c r="CF874" s="167">
        <f>$N874/4</f>
        <v>0.25</v>
      </c>
      <c r="CG874" s="167">
        <f>$N874/4</f>
        <v>0.25</v>
      </c>
      <c r="CH874" s="167">
        <v>0</v>
      </c>
      <c r="CI874" s="167">
        <v>0</v>
      </c>
      <c r="CJ874" s="167">
        <v>0</v>
      </c>
      <c r="CK874" s="167">
        <v>0</v>
      </c>
      <c r="CL874" s="167">
        <v>0</v>
      </c>
      <c r="CM874" s="167">
        <v>0</v>
      </c>
      <c r="CN874" s="167">
        <v>0</v>
      </c>
      <c r="CO874" s="167">
        <v>0</v>
      </c>
      <c r="CP874" s="167">
        <v>0</v>
      </c>
      <c r="CQ874" s="167">
        <v>0</v>
      </c>
      <c r="CR874" s="167">
        <v>0</v>
      </c>
      <c r="CS874" s="167">
        <v>0</v>
      </c>
      <c r="CT874" s="167">
        <v>0</v>
      </c>
      <c r="CU874" s="167">
        <v>0</v>
      </c>
      <c r="CV874" s="167">
        <v>0</v>
      </c>
      <c r="CW874" s="167">
        <v>0</v>
      </c>
      <c r="CX874" s="167">
        <f>SUM(CD874:CH874)</f>
        <v>1</v>
      </c>
      <c r="CY874" s="167">
        <f>SUM(CD874:CM874)</f>
        <v>1</v>
      </c>
    </row>
    <row r="875" spans="1:103" ht="12.75" customHeight="1" x14ac:dyDescent="0.2">
      <c r="A875" s="81">
        <v>5844</v>
      </c>
      <c r="B875" s="165" t="s">
        <v>1930</v>
      </c>
      <c r="C875" s="165" t="s">
        <v>2607</v>
      </c>
      <c r="E875" s="165" t="s">
        <v>2608</v>
      </c>
      <c r="G875" s="81">
        <v>527957</v>
      </c>
      <c r="H875" s="81">
        <v>172279</v>
      </c>
      <c r="I875" s="165" t="s">
        <v>248</v>
      </c>
      <c r="L875" s="166">
        <v>1</v>
      </c>
      <c r="M875" s="166">
        <v>3</v>
      </c>
      <c r="N875" s="166">
        <v>2</v>
      </c>
      <c r="O875" s="166">
        <v>3</v>
      </c>
      <c r="P875" s="166">
        <v>2</v>
      </c>
      <c r="R875" s="165" t="s">
        <v>2609</v>
      </c>
      <c r="S875" s="81" t="s">
        <v>113</v>
      </c>
      <c r="T875" s="349">
        <v>43080</v>
      </c>
      <c r="U875" s="349">
        <v>43136</v>
      </c>
      <c r="V875" s="81" t="s">
        <v>155</v>
      </c>
      <c r="W875" s="81" t="s">
        <v>114</v>
      </c>
      <c r="Y875" s="81" t="s">
        <v>115</v>
      </c>
      <c r="Z875" s="81" t="s">
        <v>398</v>
      </c>
      <c r="AA875" s="81" t="s">
        <v>117</v>
      </c>
      <c r="AB875" s="81" t="s">
        <v>220</v>
      </c>
      <c r="AC875" s="166">
        <v>7.0000002160668399E-3</v>
      </c>
      <c r="AG875" s="81" t="s">
        <v>238</v>
      </c>
      <c r="AH875" s="81" t="s">
        <v>118</v>
      </c>
      <c r="AK875" s="166">
        <v>0</v>
      </c>
      <c r="AM875" s="166">
        <v>0</v>
      </c>
      <c r="AO875" s="166">
        <v>1</v>
      </c>
      <c r="AP875" s="166">
        <v>2</v>
      </c>
      <c r="AQ875" s="166">
        <v>0</v>
      </c>
      <c r="AR875" s="166">
        <v>-1</v>
      </c>
      <c r="AS875" s="166">
        <v>0</v>
      </c>
      <c r="AT875" s="166">
        <v>0</v>
      </c>
      <c r="AU875" s="166">
        <v>0</v>
      </c>
      <c r="AV875" s="166">
        <v>1</v>
      </c>
      <c r="AW875" s="166">
        <v>2</v>
      </c>
      <c r="AX875" s="166">
        <v>0</v>
      </c>
      <c r="AY875" s="166">
        <v>-1</v>
      </c>
      <c r="AZ875" s="166">
        <v>0</v>
      </c>
      <c r="BA875" s="166">
        <v>0</v>
      </c>
      <c r="BB875" s="166">
        <v>0</v>
      </c>
      <c r="BC875" s="166">
        <v>0</v>
      </c>
      <c r="BD875" s="166">
        <v>0</v>
      </c>
      <c r="BE875" s="166">
        <v>0</v>
      </c>
      <c r="BF875" s="166">
        <v>0</v>
      </c>
      <c r="BG875" s="166">
        <v>0</v>
      </c>
      <c r="BH875" s="166">
        <v>0</v>
      </c>
      <c r="BI875" s="166">
        <v>0</v>
      </c>
      <c r="BJ875" s="166">
        <v>0</v>
      </c>
      <c r="BK875" s="166">
        <v>0</v>
      </c>
      <c r="BL875" s="166">
        <v>0</v>
      </c>
      <c r="BM875" s="166">
        <v>0</v>
      </c>
      <c r="BN875" s="166">
        <v>0</v>
      </c>
      <c r="BO875" s="166">
        <v>0</v>
      </c>
      <c r="BP875" s="166">
        <v>0</v>
      </c>
      <c r="BQ875" s="81" t="s">
        <v>1757</v>
      </c>
      <c r="BZ875" s="81" t="s">
        <v>155</v>
      </c>
      <c r="CA875" s="81" t="s">
        <v>1937</v>
      </c>
      <c r="CC875" s="167">
        <v>0</v>
      </c>
      <c r="CD875" s="167">
        <f>$N875/4</f>
        <v>0.5</v>
      </c>
      <c r="CE875" s="167">
        <f>$N875/4</f>
        <v>0.5</v>
      </c>
      <c r="CF875" s="167">
        <f>$N875/4</f>
        <v>0.5</v>
      </c>
      <c r="CG875" s="167">
        <f>$N875/4</f>
        <v>0.5</v>
      </c>
      <c r="CH875" s="167">
        <v>0</v>
      </c>
      <c r="CI875" s="167">
        <v>0</v>
      </c>
      <c r="CJ875" s="167">
        <v>0</v>
      </c>
      <c r="CK875" s="167">
        <v>0</v>
      </c>
      <c r="CL875" s="167">
        <v>0</v>
      </c>
      <c r="CM875" s="167">
        <v>0</v>
      </c>
      <c r="CN875" s="167">
        <v>0</v>
      </c>
      <c r="CO875" s="167">
        <v>0</v>
      </c>
      <c r="CP875" s="167">
        <v>0</v>
      </c>
      <c r="CQ875" s="167">
        <v>0</v>
      </c>
      <c r="CR875" s="167">
        <v>0</v>
      </c>
      <c r="CS875" s="167">
        <v>0</v>
      </c>
      <c r="CT875" s="167">
        <v>0</v>
      </c>
      <c r="CU875" s="167">
        <v>0</v>
      </c>
      <c r="CV875" s="167">
        <v>0</v>
      </c>
      <c r="CW875" s="167">
        <v>0</v>
      </c>
      <c r="CX875" s="167">
        <f>SUM(CD875:CH875)</f>
        <v>2</v>
      </c>
      <c r="CY875" s="167">
        <f>SUM(CD875:CM875)</f>
        <v>2</v>
      </c>
    </row>
    <row r="876" spans="1:103" ht="12.75" customHeight="1" x14ac:dyDescent="0.2">
      <c r="A876" s="81">
        <v>5845</v>
      </c>
      <c r="B876" s="165" t="s">
        <v>1930</v>
      </c>
      <c r="C876" s="165" t="s">
        <v>552</v>
      </c>
      <c r="E876" s="165" t="s">
        <v>2610</v>
      </c>
      <c r="G876" s="81">
        <v>529279</v>
      </c>
      <c r="H876" s="81">
        <v>171031</v>
      </c>
      <c r="I876" s="165" t="s">
        <v>252</v>
      </c>
      <c r="L876" s="166">
        <v>1</v>
      </c>
      <c r="M876" s="166">
        <v>2</v>
      </c>
      <c r="N876" s="166">
        <v>1</v>
      </c>
      <c r="O876" s="166">
        <v>2</v>
      </c>
      <c r="P876" s="166">
        <v>1</v>
      </c>
      <c r="R876" s="165" t="s">
        <v>553</v>
      </c>
      <c r="S876" s="81" t="s">
        <v>113</v>
      </c>
      <c r="T876" s="349">
        <v>42135</v>
      </c>
      <c r="U876" s="349">
        <v>42191</v>
      </c>
      <c r="W876" s="81" t="s">
        <v>114</v>
      </c>
      <c r="Y876" s="81" t="s">
        <v>115</v>
      </c>
      <c r="Z876" s="81" t="s">
        <v>119</v>
      </c>
      <c r="AA876" s="81" t="s">
        <v>117</v>
      </c>
      <c r="AB876" s="81" t="s">
        <v>220</v>
      </c>
      <c r="AC876" s="166">
        <v>9.9999997764825804E-3</v>
      </c>
      <c r="AG876" s="81" t="s">
        <v>238</v>
      </c>
      <c r="AH876" s="81" t="s">
        <v>118</v>
      </c>
      <c r="AK876" s="166">
        <v>0</v>
      </c>
      <c r="AM876" s="166">
        <v>0</v>
      </c>
      <c r="AO876" s="166">
        <v>1</v>
      </c>
      <c r="AP876" s="166">
        <v>0</v>
      </c>
      <c r="AQ876" s="166">
        <v>1</v>
      </c>
      <c r="AR876" s="166">
        <v>-1</v>
      </c>
      <c r="AS876" s="166">
        <v>0</v>
      </c>
      <c r="AT876" s="166">
        <v>0</v>
      </c>
      <c r="AU876" s="166">
        <v>0</v>
      </c>
      <c r="AV876" s="166">
        <v>1</v>
      </c>
      <c r="AW876" s="166">
        <v>0</v>
      </c>
      <c r="AX876" s="166">
        <v>1</v>
      </c>
      <c r="AY876" s="166">
        <v>-1</v>
      </c>
      <c r="AZ876" s="166">
        <v>0</v>
      </c>
      <c r="BA876" s="166">
        <v>0</v>
      </c>
      <c r="BB876" s="166">
        <v>0</v>
      </c>
      <c r="BC876" s="166">
        <v>0</v>
      </c>
      <c r="BD876" s="166">
        <v>0</v>
      </c>
      <c r="BE876" s="166">
        <v>0</v>
      </c>
      <c r="BF876" s="166">
        <v>0</v>
      </c>
      <c r="BG876" s="166">
        <v>0</v>
      </c>
      <c r="BH876" s="166">
        <v>0</v>
      </c>
      <c r="BI876" s="166">
        <v>0</v>
      </c>
      <c r="BJ876" s="166">
        <v>0</v>
      </c>
      <c r="BK876" s="166">
        <v>0</v>
      </c>
      <c r="BL876" s="166">
        <v>0</v>
      </c>
      <c r="BM876" s="166">
        <v>0</v>
      </c>
      <c r="BN876" s="166">
        <v>0</v>
      </c>
      <c r="BO876" s="166">
        <v>0</v>
      </c>
      <c r="BP876" s="166">
        <v>0</v>
      </c>
      <c r="BQ876" s="81" t="s">
        <v>1757</v>
      </c>
      <c r="BZ876" s="81" t="s">
        <v>155</v>
      </c>
      <c r="CA876" s="81" t="s">
        <v>1937</v>
      </c>
      <c r="CC876" s="167">
        <v>0</v>
      </c>
      <c r="CD876" s="167">
        <f>$N876/4</f>
        <v>0.25</v>
      </c>
      <c r="CE876" s="167">
        <f>$N876/4</f>
        <v>0.25</v>
      </c>
      <c r="CF876" s="167">
        <f>$N876/4</f>
        <v>0.25</v>
      </c>
      <c r="CG876" s="167">
        <f>$N876/4</f>
        <v>0.25</v>
      </c>
      <c r="CH876" s="167">
        <v>0</v>
      </c>
      <c r="CI876" s="167">
        <v>0</v>
      </c>
      <c r="CJ876" s="167">
        <v>0</v>
      </c>
      <c r="CK876" s="167">
        <v>0</v>
      </c>
      <c r="CL876" s="167">
        <v>0</v>
      </c>
      <c r="CM876" s="167">
        <v>0</v>
      </c>
      <c r="CN876" s="167">
        <v>0</v>
      </c>
      <c r="CO876" s="167">
        <v>0</v>
      </c>
      <c r="CP876" s="167">
        <v>0</v>
      </c>
      <c r="CQ876" s="167">
        <v>0</v>
      </c>
      <c r="CR876" s="167">
        <v>0</v>
      </c>
      <c r="CS876" s="167">
        <v>0</v>
      </c>
      <c r="CT876" s="167">
        <v>0</v>
      </c>
      <c r="CU876" s="167">
        <v>0</v>
      </c>
      <c r="CV876" s="167">
        <v>0</v>
      </c>
      <c r="CW876" s="167">
        <v>0</v>
      </c>
      <c r="CX876" s="167">
        <f>SUM(CD876:CH876)</f>
        <v>1</v>
      </c>
      <c r="CY876" s="167">
        <f>SUM(CD876:CM876)</f>
        <v>1</v>
      </c>
    </row>
    <row r="877" spans="1:103" ht="12.75" customHeight="1" x14ac:dyDescent="0.2">
      <c r="A877" s="81">
        <v>5855</v>
      </c>
      <c r="B877" s="165" t="s">
        <v>1930</v>
      </c>
      <c r="C877" s="165" t="s">
        <v>2611</v>
      </c>
      <c r="E877" s="165" t="s">
        <v>2612</v>
      </c>
      <c r="G877" s="81">
        <v>527771</v>
      </c>
      <c r="H877" s="81">
        <v>171157</v>
      </c>
      <c r="I877" s="165" t="s">
        <v>253</v>
      </c>
      <c r="L877" s="166">
        <v>0</v>
      </c>
      <c r="M877" s="166">
        <v>1</v>
      </c>
      <c r="N877" s="166">
        <v>1</v>
      </c>
      <c r="O877" s="166">
        <v>1</v>
      </c>
      <c r="P877" s="166">
        <v>1</v>
      </c>
      <c r="R877" s="165" t="s">
        <v>2613</v>
      </c>
      <c r="S877" s="81" t="s">
        <v>113</v>
      </c>
      <c r="T877" s="349">
        <v>42836</v>
      </c>
      <c r="U877" s="349">
        <v>42892</v>
      </c>
      <c r="V877" s="81" t="s">
        <v>155</v>
      </c>
      <c r="W877" s="81" t="s">
        <v>114</v>
      </c>
      <c r="Y877" s="81" t="s">
        <v>115</v>
      </c>
      <c r="Z877" s="81" t="s">
        <v>398</v>
      </c>
      <c r="AA877" s="81" t="s">
        <v>117</v>
      </c>
      <c r="AB877" s="81" t="s">
        <v>399</v>
      </c>
      <c r="AC877" s="166">
        <v>8.0000003799796104E-3</v>
      </c>
      <c r="AG877" s="81" t="s">
        <v>238</v>
      </c>
      <c r="AH877" s="81" t="s">
        <v>118</v>
      </c>
      <c r="AK877" s="166">
        <v>0</v>
      </c>
      <c r="AM877" s="166">
        <v>0</v>
      </c>
      <c r="AO877" s="166">
        <v>0</v>
      </c>
      <c r="AP877" s="166">
        <v>1</v>
      </c>
      <c r="AQ877" s="166">
        <v>0</v>
      </c>
      <c r="AR877" s="166">
        <v>0</v>
      </c>
      <c r="AS877" s="166">
        <v>0</v>
      </c>
      <c r="AT877" s="166">
        <v>0</v>
      </c>
      <c r="AU877" s="166">
        <v>0</v>
      </c>
      <c r="AV877" s="166">
        <v>0</v>
      </c>
      <c r="AW877" s="166">
        <v>1</v>
      </c>
      <c r="AX877" s="166">
        <v>0</v>
      </c>
      <c r="AY877" s="166">
        <v>0</v>
      </c>
      <c r="AZ877" s="166">
        <v>0</v>
      </c>
      <c r="BA877" s="166">
        <v>0</v>
      </c>
      <c r="BB877" s="166">
        <v>0</v>
      </c>
      <c r="BC877" s="166">
        <v>0</v>
      </c>
      <c r="BD877" s="166">
        <v>0</v>
      </c>
      <c r="BE877" s="166">
        <v>0</v>
      </c>
      <c r="BF877" s="166">
        <v>0</v>
      </c>
      <c r="BG877" s="166">
        <v>0</v>
      </c>
      <c r="BH877" s="166">
        <v>0</v>
      </c>
      <c r="BI877" s="166">
        <v>0</v>
      </c>
      <c r="BJ877" s="166">
        <v>0</v>
      </c>
      <c r="BK877" s="166">
        <v>0</v>
      </c>
      <c r="BL877" s="166">
        <v>0</v>
      </c>
      <c r="BM877" s="166">
        <v>0</v>
      </c>
      <c r="BN877" s="166">
        <v>0</v>
      </c>
      <c r="BO877" s="166">
        <v>0</v>
      </c>
      <c r="BP877" s="166">
        <v>0</v>
      </c>
      <c r="BQ877" s="81" t="s">
        <v>1757</v>
      </c>
      <c r="BR877" s="81" t="s">
        <v>242</v>
      </c>
      <c r="BZ877" s="81" t="s">
        <v>155</v>
      </c>
      <c r="CA877" s="81" t="s">
        <v>1937</v>
      </c>
      <c r="CC877" s="167">
        <v>0</v>
      </c>
      <c r="CD877" s="167">
        <f>$N877/4</f>
        <v>0.25</v>
      </c>
      <c r="CE877" s="167">
        <f>$N877/4</f>
        <v>0.25</v>
      </c>
      <c r="CF877" s="167">
        <f>$N877/4</f>
        <v>0.25</v>
      </c>
      <c r="CG877" s="167">
        <f>$N877/4</f>
        <v>0.25</v>
      </c>
      <c r="CH877" s="167">
        <v>0</v>
      </c>
      <c r="CI877" s="167">
        <v>0</v>
      </c>
      <c r="CJ877" s="167">
        <v>0</v>
      </c>
      <c r="CK877" s="167">
        <v>0</v>
      </c>
      <c r="CL877" s="167">
        <v>0</v>
      </c>
      <c r="CM877" s="167">
        <v>0</v>
      </c>
      <c r="CN877" s="167">
        <v>0</v>
      </c>
      <c r="CO877" s="167">
        <v>0</v>
      </c>
      <c r="CP877" s="167">
        <v>0</v>
      </c>
      <c r="CQ877" s="167">
        <v>0</v>
      </c>
      <c r="CR877" s="167">
        <v>0</v>
      </c>
      <c r="CS877" s="167">
        <v>0</v>
      </c>
      <c r="CT877" s="167">
        <v>0</v>
      </c>
      <c r="CU877" s="167">
        <v>0</v>
      </c>
      <c r="CV877" s="167">
        <v>0</v>
      </c>
      <c r="CW877" s="167">
        <v>0</v>
      </c>
      <c r="CX877" s="167">
        <f>SUM(CD877:CH877)</f>
        <v>1</v>
      </c>
      <c r="CY877" s="167">
        <f>SUM(CD877:CM877)</f>
        <v>1</v>
      </c>
    </row>
    <row r="878" spans="1:103" ht="12.75" customHeight="1" x14ac:dyDescent="0.2">
      <c r="A878" s="81">
        <v>5864</v>
      </c>
      <c r="B878" s="165" t="s">
        <v>1930</v>
      </c>
      <c r="C878" s="165" t="s">
        <v>643</v>
      </c>
      <c r="E878" s="165" t="s">
        <v>2614</v>
      </c>
      <c r="G878" s="81">
        <v>529134</v>
      </c>
      <c r="H878" s="81">
        <v>173993</v>
      </c>
      <c r="I878" s="165" t="s">
        <v>247</v>
      </c>
      <c r="L878" s="166">
        <v>1</v>
      </c>
      <c r="M878" s="166">
        <v>2</v>
      </c>
      <c r="N878" s="166">
        <v>1</v>
      </c>
      <c r="O878" s="166">
        <v>2</v>
      </c>
      <c r="P878" s="166">
        <v>1</v>
      </c>
      <c r="R878" s="165" t="s">
        <v>644</v>
      </c>
      <c r="S878" s="81" t="s">
        <v>113</v>
      </c>
      <c r="T878" s="349">
        <v>42235</v>
      </c>
      <c r="U878" s="349">
        <v>42291</v>
      </c>
      <c r="W878" s="81" t="s">
        <v>114</v>
      </c>
      <c r="Y878" s="81" t="s">
        <v>115</v>
      </c>
      <c r="Z878" s="81" t="s">
        <v>119</v>
      </c>
      <c r="AA878" s="81" t="s">
        <v>117</v>
      </c>
      <c r="AB878" s="81" t="s">
        <v>120</v>
      </c>
      <c r="AC878" s="166">
        <v>1.30000002682209E-2</v>
      </c>
      <c r="AG878" s="81" t="s">
        <v>238</v>
      </c>
      <c r="AH878" s="81" t="s">
        <v>118</v>
      </c>
      <c r="AK878" s="166">
        <v>0</v>
      </c>
      <c r="AM878" s="166">
        <v>0</v>
      </c>
      <c r="AO878" s="166">
        <v>0</v>
      </c>
      <c r="AP878" s="166">
        <v>0</v>
      </c>
      <c r="AQ878" s="166">
        <v>1</v>
      </c>
      <c r="AR878" s="166">
        <v>1</v>
      </c>
      <c r="AS878" s="166">
        <v>-1</v>
      </c>
      <c r="AT878" s="166">
        <v>0</v>
      </c>
      <c r="AU878" s="166">
        <v>0</v>
      </c>
      <c r="AV878" s="166">
        <v>0</v>
      </c>
      <c r="AW878" s="166">
        <v>0</v>
      </c>
      <c r="AX878" s="166">
        <v>1</v>
      </c>
      <c r="AY878" s="166">
        <v>1</v>
      </c>
      <c r="AZ878" s="166">
        <v>0</v>
      </c>
      <c r="BA878" s="166">
        <v>0</v>
      </c>
      <c r="BB878" s="166">
        <v>0</v>
      </c>
      <c r="BC878" s="166">
        <v>0</v>
      </c>
      <c r="BD878" s="166">
        <v>0</v>
      </c>
      <c r="BE878" s="166">
        <v>0</v>
      </c>
      <c r="BF878" s="166">
        <v>0</v>
      </c>
      <c r="BG878" s="166">
        <v>-1</v>
      </c>
      <c r="BH878" s="166">
        <v>0</v>
      </c>
      <c r="BI878" s="166">
        <v>0</v>
      </c>
      <c r="BJ878" s="166">
        <v>0</v>
      </c>
      <c r="BK878" s="166">
        <v>0</v>
      </c>
      <c r="BL878" s="166">
        <v>0</v>
      </c>
      <c r="BM878" s="166">
        <v>0</v>
      </c>
      <c r="BN878" s="166">
        <v>0</v>
      </c>
      <c r="BO878" s="166">
        <v>0</v>
      </c>
      <c r="BP878" s="166">
        <v>0</v>
      </c>
      <c r="BQ878" s="81" t="s">
        <v>1757</v>
      </c>
      <c r="BZ878" s="81" t="s">
        <v>155</v>
      </c>
      <c r="CA878" s="81" t="s">
        <v>1937</v>
      </c>
      <c r="CC878" s="167">
        <v>0</v>
      </c>
      <c r="CD878" s="167">
        <f>$N878/4</f>
        <v>0.25</v>
      </c>
      <c r="CE878" s="167">
        <f>$N878/4</f>
        <v>0.25</v>
      </c>
      <c r="CF878" s="167">
        <f>$N878/4</f>
        <v>0.25</v>
      </c>
      <c r="CG878" s="167">
        <f>$N878/4</f>
        <v>0.25</v>
      </c>
      <c r="CH878" s="167">
        <v>0</v>
      </c>
      <c r="CI878" s="167">
        <v>0</v>
      </c>
      <c r="CJ878" s="167">
        <v>0</v>
      </c>
      <c r="CK878" s="167">
        <v>0</v>
      </c>
      <c r="CL878" s="167">
        <v>0</v>
      </c>
      <c r="CM878" s="167">
        <v>0</v>
      </c>
      <c r="CN878" s="167">
        <v>0</v>
      </c>
      <c r="CO878" s="167">
        <v>0</v>
      </c>
      <c r="CP878" s="167">
        <v>0</v>
      </c>
      <c r="CQ878" s="167">
        <v>0</v>
      </c>
      <c r="CR878" s="167">
        <v>0</v>
      </c>
      <c r="CS878" s="167">
        <v>0</v>
      </c>
      <c r="CT878" s="167">
        <v>0</v>
      </c>
      <c r="CU878" s="167">
        <v>0</v>
      </c>
      <c r="CV878" s="167">
        <v>0</v>
      </c>
      <c r="CW878" s="167">
        <v>0</v>
      </c>
      <c r="CX878" s="167">
        <f>SUM(CD878:CH878)</f>
        <v>1</v>
      </c>
      <c r="CY878" s="167">
        <f>SUM(CD878:CM878)</f>
        <v>1</v>
      </c>
    </row>
    <row r="879" spans="1:103" ht="12.75" customHeight="1" x14ac:dyDescent="0.2">
      <c r="A879" s="81">
        <v>5870</v>
      </c>
      <c r="B879" s="165" t="s">
        <v>1930</v>
      </c>
      <c r="C879" s="165" t="s">
        <v>587</v>
      </c>
      <c r="E879" s="165" t="s">
        <v>2615</v>
      </c>
      <c r="G879" s="81">
        <v>523693</v>
      </c>
      <c r="H879" s="81">
        <v>175176</v>
      </c>
      <c r="I879" s="165" t="s">
        <v>259</v>
      </c>
      <c r="L879" s="166">
        <v>1</v>
      </c>
      <c r="M879" s="166">
        <v>2</v>
      </c>
      <c r="N879" s="166">
        <v>1</v>
      </c>
      <c r="O879" s="166">
        <v>2</v>
      </c>
      <c r="P879" s="166">
        <v>1</v>
      </c>
      <c r="R879" s="165" t="s">
        <v>588</v>
      </c>
      <c r="S879" s="81" t="s">
        <v>113</v>
      </c>
      <c r="T879" s="349">
        <v>42177</v>
      </c>
      <c r="U879" s="349">
        <v>42264</v>
      </c>
      <c r="W879" s="81" t="s">
        <v>114</v>
      </c>
      <c r="Y879" s="81" t="s">
        <v>115</v>
      </c>
      <c r="Z879" s="81" t="s">
        <v>119</v>
      </c>
      <c r="AA879" s="81" t="s">
        <v>117</v>
      </c>
      <c r="AB879" s="81" t="s">
        <v>220</v>
      </c>
      <c r="AC879" s="166">
        <v>2.19999998807907E-2</v>
      </c>
      <c r="AG879" s="81" t="s">
        <v>238</v>
      </c>
      <c r="AH879" s="81" t="s">
        <v>118</v>
      </c>
      <c r="AK879" s="166">
        <v>0</v>
      </c>
      <c r="AM879" s="166">
        <v>0</v>
      </c>
      <c r="AO879" s="166">
        <v>0</v>
      </c>
      <c r="AP879" s="166">
        <v>2</v>
      </c>
      <c r="AQ879" s="166">
        <v>0</v>
      </c>
      <c r="AR879" s="166">
        <v>0</v>
      </c>
      <c r="AS879" s="166">
        <v>-1</v>
      </c>
      <c r="AT879" s="166">
        <v>0</v>
      </c>
      <c r="AU879" s="166">
        <v>0</v>
      </c>
      <c r="AV879" s="166">
        <v>0</v>
      </c>
      <c r="AW879" s="166">
        <v>2</v>
      </c>
      <c r="AX879" s="166">
        <v>0</v>
      </c>
      <c r="AY879" s="166">
        <v>0</v>
      </c>
      <c r="AZ879" s="166">
        <v>-1</v>
      </c>
      <c r="BA879" s="166">
        <v>0</v>
      </c>
      <c r="BB879" s="166">
        <v>0</v>
      </c>
      <c r="BC879" s="166">
        <v>0</v>
      </c>
      <c r="BD879" s="166">
        <v>0</v>
      </c>
      <c r="BE879" s="166">
        <v>0</v>
      </c>
      <c r="BF879" s="166">
        <v>0</v>
      </c>
      <c r="BG879" s="166">
        <v>0</v>
      </c>
      <c r="BH879" s="166">
        <v>0</v>
      </c>
      <c r="BI879" s="166">
        <v>0</v>
      </c>
      <c r="BJ879" s="166">
        <v>0</v>
      </c>
      <c r="BK879" s="166">
        <v>0</v>
      </c>
      <c r="BL879" s="166">
        <v>0</v>
      </c>
      <c r="BM879" s="166">
        <v>0</v>
      </c>
      <c r="BN879" s="166">
        <v>0</v>
      </c>
      <c r="BO879" s="166">
        <v>0</v>
      </c>
      <c r="BP879" s="166">
        <v>0</v>
      </c>
      <c r="BQ879" s="81" t="s">
        <v>1758</v>
      </c>
      <c r="BR879" s="81" t="s">
        <v>161</v>
      </c>
      <c r="BZ879" s="81" t="s">
        <v>155</v>
      </c>
      <c r="CA879" s="81" t="s">
        <v>1937</v>
      </c>
      <c r="CC879" s="167">
        <v>0</v>
      </c>
      <c r="CD879" s="167">
        <f>$N879/4</f>
        <v>0.25</v>
      </c>
      <c r="CE879" s="167">
        <f>$N879/4</f>
        <v>0.25</v>
      </c>
      <c r="CF879" s="167">
        <f>$N879/4</f>
        <v>0.25</v>
      </c>
      <c r="CG879" s="167">
        <f>$N879/4</f>
        <v>0.25</v>
      </c>
      <c r="CH879" s="167">
        <v>0</v>
      </c>
      <c r="CI879" s="167">
        <v>0</v>
      </c>
      <c r="CJ879" s="167">
        <v>0</v>
      </c>
      <c r="CK879" s="167">
        <v>0</v>
      </c>
      <c r="CL879" s="167">
        <v>0</v>
      </c>
      <c r="CM879" s="167">
        <v>0</v>
      </c>
      <c r="CN879" s="167">
        <v>0</v>
      </c>
      <c r="CO879" s="167">
        <v>0</v>
      </c>
      <c r="CP879" s="167">
        <v>0</v>
      </c>
      <c r="CQ879" s="167">
        <v>0</v>
      </c>
      <c r="CR879" s="167">
        <v>0</v>
      </c>
      <c r="CS879" s="167">
        <v>0</v>
      </c>
      <c r="CT879" s="167">
        <v>0</v>
      </c>
      <c r="CU879" s="167">
        <v>0</v>
      </c>
      <c r="CV879" s="167">
        <v>0</v>
      </c>
      <c r="CW879" s="167">
        <v>0</v>
      </c>
      <c r="CX879" s="167">
        <f>SUM(CD879:CH879)</f>
        <v>1</v>
      </c>
      <c r="CY879" s="167">
        <f>SUM(CD879:CM879)</f>
        <v>1</v>
      </c>
    </row>
    <row r="880" spans="1:103" ht="12.75" customHeight="1" x14ac:dyDescent="0.2">
      <c r="A880" s="81">
        <v>5875</v>
      </c>
      <c r="B880" s="165" t="s">
        <v>1930</v>
      </c>
      <c r="C880" s="165" t="s">
        <v>322</v>
      </c>
      <c r="D880" s="165" t="s">
        <v>323</v>
      </c>
      <c r="E880" s="165" t="s">
        <v>2616</v>
      </c>
      <c r="G880" s="81">
        <v>528631</v>
      </c>
      <c r="H880" s="81">
        <v>177662</v>
      </c>
      <c r="I880" s="165" t="s">
        <v>240</v>
      </c>
      <c r="L880" s="166">
        <v>2</v>
      </c>
      <c r="M880" s="166">
        <v>1</v>
      </c>
      <c r="N880" s="166">
        <v>-1</v>
      </c>
      <c r="O880" s="166">
        <v>1</v>
      </c>
      <c r="P880" s="166">
        <v>-1</v>
      </c>
      <c r="R880" s="165" t="s">
        <v>324</v>
      </c>
      <c r="S880" s="81" t="s">
        <v>113</v>
      </c>
      <c r="T880" s="349">
        <v>42053</v>
      </c>
      <c r="U880" s="349">
        <v>42088</v>
      </c>
      <c r="W880" s="81" t="s">
        <v>114</v>
      </c>
      <c r="Y880" s="81" t="s">
        <v>115</v>
      </c>
      <c r="Z880" s="81" t="s">
        <v>119</v>
      </c>
      <c r="AA880" s="81" t="s">
        <v>117</v>
      </c>
      <c r="AB880" s="81" t="s">
        <v>300</v>
      </c>
      <c r="AC880" s="166">
        <v>1.60000007599592E-2</v>
      </c>
      <c r="AG880" s="81" t="s">
        <v>238</v>
      </c>
      <c r="AH880" s="81" t="s">
        <v>118</v>
      </c>
      <c r="AK880" s="166">
        <v>0</v>
      </c>
      <c r="AM880" s="166">
        <v>0</v>
      </c>
      <c r="AO880" s="166">
        <v>0</v>
      </c>
      <c r="AP880" s="166">
        <v>0</v>
      </c>
      <c r="AQ880" s="166">
        <v>-2</v>
      </c>
      <c r="AR880" s="166">
        <v>1</v>
      </c>
      <c r="AS880" s="166">
        <v>0</v>
      </c>
      <c r="AT880" s="166">
        <v>0</v>
      </c>
      <c r="AU880" s="166">
        <v>0</v>
      </c>
      <c r="AV880" s="166">
        <v>0</v>
      </c>
      <c r="AW880" s="166">
        <v>0</v>
      </c>
      <c r="AX880" s="166">
        <v>-2</v>
      </c>
      <c r="AY880" s="166">
        <v>1</v>
      </c>
      <c r="AZ880" s="166">
        <v>0</v>
      </c>
      <c r="BA880" s="166">
        <v>0</v>
      </c>
      <c r="BB880" s="166">
        <v>0</v>
      </c>
      <c r="BC880" s="166">
        <v>0</v>
      </c>
      <c r="BD880" s="166">
        <v>0</v>
      </c>
      <c r="BE880" s="166">
        <v>0</v>
      </c>
      <c r="BF880" s="166">
        <v>0</v>
      </c>
      <c r="BG880" s="166">
        <v>0</v>
      </c>
      <c r="BH880" s="166">
        <v>0</v>
      </c>
      <c r="BI880" s="166">
        <v>0</v>
      </c>
      <c r="BJ880" s="166">
        <v>0</v>
      </c>
      <c r="BK880" s="166">
        <v>0</v>
      </c>
      <c r="BL880" s="166">
        <v>0</v>
      </c>
      <c r="BM880" s="166">
        <v>0</v>
      </c>
      <c r="BN880" s="166">
        <v>0</v>
      </c>
      <c r="BO880" s="166">
        <v>0</v>
      </c>
      <c r="BP880" s="166">
        <v>0</v>
      </c>
      <c r="BQ880" s="81" t="s">
        <v>1759</v>
      </c>
      <c r="BS880" s="81" t="s">
        <v>155</v>
      </c>
      <c r="BZ880" s="81" t="s">
        <v>155</v>
      </c>
      <c r="CA880" s="81" t="s">
        <v>1937</v>
      </c>
      <c r="CC880" s="167">
        <v>0</v>
      </c>
      <c r="CD880" s="167">
        <f>$N880/4</f>
        <v>-0.25</v>
      </c>
      <c r="CE880" s="167">
        <f>$N880/4</f>
        <v>-0.25</v>
      </c>
      <c r="CF880" s="167">
        <f>$N880/4</f>
        <v>-0.25</v>
      </c>
      <c r="CG880" s="167">
        <f>$N880/4</f>
        <v>-0.25</v>
      </c>
      <c r="CH880" s="167">
        <v>0</v>
      </c>
      <c r="CI880" s="167">
        <v>0</v>
      </c>
      <c r="CJ880" s="167">
        <v>0</v>
      </c>
      <c r="CK880" s="167">
        <v>0</v>
      </c>
      <c r="CL880" s="167">
        <v>0</v>
      </c>
      <c r="CM880" s="167">
        <v>0</v>
      </c>
      <c r="CN880" s="167">
        <v>0</v>
      </c>
      <c r="CO880" s="167">
        <v>0</v>
      </c>
      <c r="CP880" s="167">
        <v>0</v>
      </c>
      <c r="CQ880" s="167">
        <v>0</v>
      </c>
      <c r="CR880" s="167">
        <v>0</v>
      </c>
      <c r="CS880" s="167">
        <v>0</v>
      </c>
      <c r="CT880" s="167">
        <v>0</v>
      </c>
      <c r="CU880" s="167">
        <v>0</v>
      </c>
      <c r="CV880" s="167">
        <v>0</v>
      </c>
      <c r="CW880" s="167">
        <v>0</v>
      </c>
      <c r="CX880" s="167">
        <f>SUM(CD880:CH880)</f>
        <v>-1</v>
      </c>
      <c r="CY880" s="167">
        <f>SUM(CD880:CM880)</f>
        <v>-1</v>
      </c>
    </row>
    <row r="881" spans="1:103" ht="12.75" customHeight="1" x14ac:dyDescent="0.2">
      <c r="A881" s="81">
        <v>5883</v>
      </c>
      <c r="B881" s="165" t="s">
        <v>1930</v>
      </c>
      <c r="C881" s="165" t="s">
        <v>52</v>
      </c>
      <c r="E881" s="165" t="s">
        <v>2617</v>
      </c>
      <c r="G881" s="81">
        <v>521107</v>
      </c>
      <c r="H881" s="81">
        <v>174480</v>
      </c>
      <c r="I881" s="165" t="s">
        <v>877</v>
      </c>
      <c r="L881" s="166">
        <v>1</v>
      </c>
      <c r="M881" s="166">
        <v>1</v>
      </c>
      <c r="N881" s="166">
        <v>0</v>
      </c>
      <c r="O881" s="166">
        <v>1</v>
      </c>
      <c r="P881" s="166">
        <v>0</v>
      </c>
      <c r="R881" s="165" t="s">
        <v>1125</v>
      </c>
      <c r="S881" s="81" t="s">
        <v>113</v>
      </c>
      <c r="T881" s="349">
        <v>42045</v>
      </c>
      <c r="U881" s="349">
        <v>42233</v>
      </c>
      <c r="W881" s="81" t="s">
        <v>114</v>
      </c>
      <c r="Y881" s="81" t="s">
        <v>115</v>
      </c>
      <c r="Z881" s="81" t="s">
        <v>116</v>
      </c>
      <c r="AA881" s="81" t="s">
        <v>117</v>
      </c>
      <c r="AB881" s="81" t="s">
        <v>218</v>
      </c>
      <c r="AC881" s="166">
        <v>0.125</v>
      </c>
      <c r="AG881" s="81" t="s">
        <v>238</v>
      </c>
      <c r="AH881" s="81" t="s">
        <v>118</v>
      </c>
      <c r="AK881" s="166">
        <v>1</v>
      </c>
      <c r="AM881" s="166">
        <v>0</v>
      </c>
      <c r="AO881" s="166">
        <v>0</v>
      </c>
      <c r="AP881" s="166">
        <v>0</v>
      </c>
      <c r="AQ881" s="166">
        <v>0</v>
      </c>
      <c r="AR881" s="166">
        <v>0</v>
      </c>
      <c r="AS881" s="166">
        <v>-1</v>
      </c>
      <c r="AT881" s="166">
        <v>1</v>
      </c>
      <c r="AU881" s="166">
        <v>0</v>
      </c>
      <c r="AV881" s="166">
        <v>0</v>
      </c>
      <c r="AW881" s="166">
        <v>0</v>
      </c>
      <c r="AX881" s="166">
        <v>0</v>
      </c>
      <c r="AY881" s="166">
        <v>0</v>
      </c>
      <c r="AZ881" s="166">
        <v>0</v>
      </c>
      <c r="BA881" s="166">
        <v>0</v>
      </c>
      <c r="BB881" s="166">
        <v>0</v>
      </c>
      <c r="BC881" s="166">
        <v>0</v>
      </c>
      <c r="BD881" s="166">
        <v>0</v>
      </c>
      <c r="BE881" s="166">
        <v>0</v>
      </c>
      <c r="BF881" s="166">
        <v>0</v>
      </c>
      <c r="BG881" s="166">
        <v>-1</v>
      </c>
      <c r="BH881" s="166">
        <v>1</v>
      </c>
      <c r="BI881" s="166">
        <v>0</v>
      </c>
      <c r="BJ881" s="166">
        <v>0</v>
      </c>
      <c r="BK881" s="166">
        <v>0</v>
      </c>
      <c r="BL881" s="166">
        <v>0</v>
      </c>
      <c r="BM881" s="166">
        <v>0</v>
      </c>
      <c r="BN881" s="166">
        <v>0</v>
      </c>
      <c r="BO881" s="166">
        <v>0</v>
      </c>
      <c r="BP881" s="166">
        <v>0</v>
      </c>
      <c r="BQ881" s="81" t="s">
        <v>1758</v>
      </c>
      <c r="BZ881" s="81" t="s">
        <v>155</v>
      </c>
      <c r="CA881" s="81">
        <v>4</v>
      </c>
      <c r="CC881" s="167">
        <v>0</v>
      </c>
      <c r="CD881" s="167">
        <v>0</v>
      </c>
      <c r="CE881" s="167">
        <f>$N881/5</f>
        <v>0</v>
      </c>
      <c r="CF881" s="167">
        <f>$N881/5</f>
        <v>0</v>
      </c>
      <c r="CG881" s="167">
        <f>$N881/5</f>
        <v>0</v>
      </c>
      <c r="CH881" s="167">
        <f>$N881/5</f>
        <v>0</v>
      </c>
      <c r="CI881" s="167">
        <f>$N881/5</f>
        <v>0</v>
      </c>
      <c r="CJ881" s="167">
        <v>0</v>
      </c>
      <c r="CK881" s="167">
        <v>0</v>
      </c>
      <c r="CL881" s="167">
        <v>0</v>
      </c>
      <c r="CM881" s="167">
        <v>0</v>
      </c>
      <c r="CN881" s="167">
        <v>0</v>
      </c>
      <c r="CO881" s="167">
        <v>0</v>
      </c>
      <c r="CP881" s="167">
        <v>0</v>
      </c>
      <c r="CQ881" s="167">
        <v>0</v>
      </c>
      <c r="CR881" s="167">
        <v>0</v>
      </c>
      <c r="CS881" s="167">
        <v>0</v>
      </c>
      <c r="CT881" s="167">
        <v>0</v>
      </c>
      <c r="CU881" s="167">
        <v>0</v>
      </c>
      <c r="CV881" s="167">
        <v>0</v>
      </c>
      <c r="CW881" s="167">
        <v>0</v>
      </c>
      <c r="CX881" s="167">
        <f>SUM(CD881:CH881)</f>
        <v>0</v>
      </c>
      <c r="CY881" s="167">
        <f>SUM(CD881:CM881)</f>
        <v>0</v>
      </c>
    </row>
    <row r="882" spans="1:103" ht="12.75" customHeight="1" x14ac:dyDescent="0.2">
      <c r="A882" s="81">
        <v>5887</v>
      </c>
      <c r="B882" s="165" t="s">
        <v>1930</v>
      </c>
      <c r="C882" s="165" t="s">
        <v>637</v>
      </c>
      <c r="E882" s="165" t="s">
        <v>2618</v>
      </c>
      <c r="G882" s="81">
        <v>528584</v>
      </c>
      <c r="H882" s="81">
        <v>173489</v>
      </c>
      <c r="I882" s="165" t="s">
        <v>247</v>
      </c>
      <c r="L882" s="166">
        <v>0</v>
      </c>
      <c r="M882" s="166">
        <v>1</v>
      </c>
      <c r="N882" s="166">
        <v>1</v>
      </c>
      <c r="O882" s="166">
        <v>1</v>
      </c>
      <c r="P882" s="166">
        <v>1</v>
      </c>
      <c r="R882" s="165" t="s">
        <v>638</v>
      </c>
      <c r="S882" s="81" t="s">
        <v>113</v>
      </c>
      <c r="T882" s="349">
        <v>42219</v>
      </c>
      <c r="U882" s="349">
        <v>42419</v>
      </c>
      <c r="W882" s="81" t="s">
        <v>114</v>
      </c>
      <c r="Y882" s="81" t="s">
        <v>115</v>
      </c>
      <c r="Z882" s="81" t="s">
        <v>116</v>
      </c>
      <c r="AA882" s="81" t="s">
        <v>117</v>
      </c>
      <c r="AB882" s="81" t="s">
        <v>218</v>
      </c>
      <c r="AC882" s="166">
        <v>1.4999999664723899E-2</v>
      </c>
      <c r="AG882" s="81" t="s">
        <v>238</v>
      </c>
      <c r="AH882" s="81" t="s">
        <v>118</v>
      </c>
      <c r="AK882" s="166">
        <v>1</v>
      </c>
      <c r="AM882" s="166">
        <v>0</v>
      </c>
      <c r="AO882" s="166">
        <v>0</v>
      </c>
      <c r="AP882" s="166">
        <v>0</v>
      </c>
      <c r="AQ882" s="166">
        <v>0</v>
      </c>
      <c r="AR882" s="166">
        <v>1</v>
      </c>
      <c r="AS882" s="166">
        <v>0</v>
      </c>
      <c r="AT882" s="166">
        <v>0</v>
      </c>
      <c r="AU882" s="166">
        <v>0</v>
      </c>
      <c r="AV882" s="166">
        <v>0</v>
      </c>
      <c r="AW882" s="166">
        <v>0</v>
      </c>
      <c r="AX882" s="166">
        <v>0</v>
      </c>
      <c r="AY882" s="166">
        <v>0</v>
      </c>
      <c r="AZ882" s="166">
        <v>0</v>
      </c>
      <c r="BA882" s="166">
        <v>0</v>
      </c>
      <c r="BB882" s="166">
        <v>0</v>
      </c>
      <c r="BC882" s="166">
        <v>0</v>
      </c>
      <c r="BD882" s="166">
        <v>0</v>
      </c>
      <c r="BE882" s="166">
        <v>0</v>
      </c>
      <c r="BF882" s="166">
        <v>1</v>
      </c>
      <c r="BG882" s="166">
        <v>0</v>
      </c>
      <c r="BH882" s="166">
        <v>0</v>
      </c>
      <c r="BI882" s="166">
        <v>0</v>
      </c>
      <c r="BJ882" s="166">
        <v>0</v>
      </c>
      <c r="BK882" s="166">
        <v>0</v>
      </c>
      <c r="BL882" s="166">
        <v>0</v>
      </c>
      <c r="BM882" s="166">
        <v>0</v>
      </c>
      <c r="BN882" s="166">
        <v>0</v>
      </c>
      <c r="BO882" s="166">
        <v>0</v>
      </c>
      <c r="BP882" s="166">
        <v>0</v>
      </c>
      <c r="BQ882" s="81" t="s">
        <v>1757</v>
      </c>
      <c r="BZ882" s="81" t="s">
        <v>155</v>
      </c>
      <c r="CA882" s="81">
        <v>4</v>
      </c>
      <c r="CC882" s="167">
        <v>0</v>
      </c>
      <c r="CD882" s="167">
        <v>0</v>
      </c>
      <c r="CE882" s="167">
        <f>$N882/5</f>
        <v>0.2</v>
      </c>
      <c r="CF882" s="167">
        <f>$N882/5</f>
        <v>0.2</v>
      </c>
      <c r="CG882" s="167">
        <f>$N882/5</f>
        <v>0.2</v>
      </c>
      <c r="CH882" s="167">
        <f>$N882/5</f>
        <v>0.2</v>
      </c>
      <c r="CI882" s="167">
        <f>$N882/5</f>
        <v>0.2</v>
      </c>
      <c r="CJ882" s="167">
        <v>0</v>
      </c>
      <c r="CK882" s="167">
        <v>0</v>
      </c>
      <c r="CL882" s="167">
        <v>0</v>
      </c>
      <c r="CM882" s="167">
        <v>0</v>
      </c>
      <c r="CN882" s="167">
        <v>0</v>
      </c>
      <c r="CO882" s="167">
        <v>0</v>
      </c>
      <c r="CP882" s="167">
        <v>0</v>
      </c>
      <c r="CQ882" s="167">
        <v>0</v>
      </c>
      <c r="CR882" s="167">
        <v>0</v>
      </c>
      <c r="CS882" s="167">
        <v>0</v>
      </c>
      <c r="CT882" s="167">
        <v>0</v>
      </c>
      <c r="CU882" s="167">
        <v>0</v>
      </c>
      <c r="CV882" s="167">
        <v>0</v>
      </c>
      <c r="CW882" s="167">
        <v>0</v>
      </c>
      <c r="CX882" s="167">
        <f>SUM(CD882:CH882)</f>
        <v>0.8</v>
      </c>
      <c r="CY882" s="167">
        <f>SUM(CD882:CM882)</f>
        <v>1</v>
      </c>
    </row>
    <row r="883" spans="1:103" ht="12.75" customHeight="1" x14ac:dyDescent="0.2">
      <c r="A883" s="81">
        <v>5890</v>
      </c>
      <c r="B883" s="165" t="s">
        <v>1930</v>
      </c>
      <c r="C883" s="165" t="s">
        <v>279</v>
      </c>
      <c r="E883" s="165" t="s">
        <v>2619</v>
      </c>
      <c r="G883" s="81">
        <v>524758</v>
      </c>
      <c r="H883" s="81">
        <v>174759</v>
      </c>
      <c r="I883" s="165" t="s">
        <v>250</v>
      </c>
      <c r="L883" s="166">
        <v>0</v>
      </c>
      <c r="M883" s="166">
        <v>1</v>
      </c>
      <c r="N883" s="166">
        <v>1</v>
      </c>
      <c r="O883" s="166">
        <v>1</v>
      </c>
      <c r="P883" s="166">
        <v>1</v>
      </c>
      <c r="R883" s="165" t="s">
        <v>280</v>
      </c>
      <c r="S883" s="81" t="s">
        <v>113</v>
      </c>
      <c r="T883" s="349">
        <v>42069</v>
      </c>
      <c r="U883" s="349">
        <v>42125</v>
      </c>
      <c r="W883" s="81" t="s">
        <v>114</v>
      </c>
      <c r="Y883" s="81" t="s">
        <v>115</v>
      </c>
      <c r="Z883" s="81" t="s">
        <v>116</v>
      </c>
      <c r="AA883" s="81" t="s">
        <v>117</v>
      </c>
      <c r="AB883" s="81" t="s">
        <v>218</v>
      </c>
      <c r="AC883" s="166">
        <v>1.8999999389052401E-2</v>
      </c>
      <c r="AG883" s="81" t="s">
        <v>238</v>
      </c>
      <c r="AH883" s="81" t="s">
        <v>118</v>
      </c>
      <c r="AK883" s="166">
        <v>1</v>
      </c>
      <c r="AM883" s="166">
        <v>1</v>
      </c>
      <c r="AO883" s="166">
        <v>0</v>
      </c>
      <c r="AP883" s="166">
        <v>0</v>
      </c>
      <c r="AQ883" s="166">
        <v>0</v>
      </c>
      <c r="AR883" s="166">
        <v>0</v>
      </c>
      <c r="AS883" s="166">
        <v>1</v>
      </c>
      <c r="AT883" s="166">
        <v>0</v>
      </c>
      <c r="AU883" s="166">
        <v>0</v>
      </c>
      <c r="AV883" s="166">
        <v>0</v>
      </c>
      <c r="AW883" s="166">
        <v>0</v>
      </c>
      <c r="AX883" s="166">
        <v>0</v>
      </c>
      <c r="AY883" s="166">
        <v>0</v>
      </c>
      <c r="AZ883" s="166">
        <v>0</v>
      </c>
      <c r="BA883" s="166">
        <v>0</v>
      </c>
      <c r="BB883" s="166">
        <v>0</v>
      </c>
      <c r="BC883" s="166">
        <v>0</v>
      </c>
      <c r="BD883" s="166">
        <v>0</v>
      </c>
      <c r="BE883" s="166">
        <v>0</v>
      </c>
      <c r="BF883" s="166">
        <v>0</v>
      </c>
      <c r="BG883" s="166">
        <v>1</v>
      </c>
      <c r="BH883" s="166">
        <v>0</v>
      </c>
      <c r="BI883" s="166">
        <v>0</v>
      </c>
      <c r="BJ883" s="166">
        <v>0</v>
      </c>
      <c r="BK883" s="166">
        <v>0</v>
      </c>
      <c r="BL883" s="166">
        <v>0</v>
      </c>
      <c r="BM883" s="166">
        <v>0</v>
      </c>
      <c r="BN883" s="166">
        <v>0</v>
      </c>
      <c r="BO883" s="166">
        <v>0</v>
      </c>
      <c r="BP883" s="166">
        <v>0</v>
      </c>
      <c r="BQ883" s="81" t="s">
        <v>1758</v>
      </c>
      <c r="BZ883" s="81" t="s">
        <v>155</v>
      </c>
      <c r="CA883" s="81">
        <v>4</v>
      </c>
      <c r="CC883" s="167">
        <v>0</v>
      </c>
      <c r="CD883" s="167">
        <v>0</v>
      </c>
      <c r="CE883" s="167">
        <f>$N883/5</f>
        <v>0.2</v>
      </c>
      <c r="CF883" s="167">
        <f>$N883/5</f>
        <v>0.2</v>
      </c>
      <c r="CG883" s="167">
        <f>$N883/5</f>
        <v>0.2</v>
      </c>
      <c r="CH883" s="167">
        <f>$N883/5</f>
        <v>0.2</v>
      </c>
      <c r="CI883" s="167">
        <f>$N883/5</f>
        <v>0.2</v>
      </c>
      <c r="CJ883" s="167">
        <v>0</v>
      </c>
      <c r="CK883" s="167">
        <v>0</v>
      </c>
      <c r="CL883" s="167">
        <v>0</v>
      </c>
      <c r="CM883" s="167">
        <v>0</v>
      </c>
      <c r="CN883" s="167">
        <v>0</v>
      </c>
      <c r="CO883" s="167">
        <v>0</v>
      </c>
      <c r="CP883" s="167">
        <v>0</v>
      </c>
      <c r="CQ883" s="167">
        <v>0</v>
      </c>
      <c r="CR883" s="167">
        <v>0</v>
      </c>
      <c r="CS883" s="167">
        <v>0</v>
      </c>
      <c r="CT883" s="167">
        <v>0</v>
      </c>
      <c r="CU883" s="167">
        <v>0</v>
      </c>
      <c r="CV883" s="167">
        <v>0</v>
      </c>
      <c r="CW883" s="167">
        <v>0</v>
      </c>
      <c r="CX883" s="167">
        <f>SUM(CD883:CH883)</f>
        <v>0.8</v>
      </c>
      <c r="CY883" s="167">
        <f>SUM(CD883:CM883)</f>
        <v>1</v>
      </c>
    </row>
    <row r="884" spans="1:103" ht="12.75" customHeight="1" x14ac:dyDescent="0.2">
      <c r="A884" s="81">
        <v>5892</v>
      </c>
      <c r="B884" s="165" t="s">
        <v>1930</v>
      </c>
      <c r="C884" s="165" t="s">
        <v>496</v>
      </c>
      <c r="E884" s="165" t="s">
        <v>2620</v>
      </c>
      <c r="G884" s="81">
        <v>527620</v>
      </c>
      <c r="H884" s="81">
        <v>174551</v>
      </c>
      <c r="I884" s="165" t="s">
        <v>255</v>
      </c>
      <c r="L884" s="166">
        <v>0</v>
      </c>
      <c r="M884" s="166">
        <v>1</v>
      </c>
      <c r="N884" s="166">
        <v>1</v>
      </c>
      <c r="O884" s="166">
        <v>1</v>
      </c>
      <c r="P884" s="166">
        <v>1</v>
      </c>
      <c r="R884" s="165" t="s">
        <v>497</v>
      </c>
      <c r="S884" s="81" t="s">
        <v>113</v>
      </c>
      <c r="T884" s="349">
        <v>42067</v>
      </c>
      <c r="U884" s="349">
        <v>42123</v>
      </c>
      <c r="W884" s="81" t="s">
        <v>114</v>
      </c>
      <c r="Y884" s="81" t="s">
        <v>115</v>
      </c>
      <c r="Z884" s="81" t="s">
        <v>310</v>
      </c>
      <c r="AA884" s="81" t="s">
        <v>117</v>
      </c>
      <c r="AB884" s="81" t="s">
        <v>399</v>
      </c>
      <c r="AC884" s="166">
        <v>1.09999999403954E-2</v>
      </c>
      <c r="AG884" s="81" t="s">
        <v>238</v>
      </c>
      <c r="AH884" s="81" t="s">
        <v>118</v>
      </c>
      <c r="AK884" s="166">
        <v>0</v>
      </c>
      <c r="AM884" s="166">
        <v>0</v>
      </c>
      <c r="AO884" s="166">
        <v>0</v>
      </c>
      <c r="AP884" s="166">
        <v>0</v>
      </c>
      <c r="AQ884" s="166">
        <v>1</v>
      </c>
      <c r="AR884" s="166">
        <v>0</v>
      </c>
      <c r="AS884" s="166">
        <v>0</v>
      </c>
      <c r="AT884" s="166">
        <v>0</v>
      </c>
      <c r="AU884" s="166">
        <v>0</v>
      </c>
      <c r="AV884" s="166">
        <v>0</v>
      </c>
      <c r="AW884" s="166">
        <v>0</v>
      </c>
      <c r="AX884" s="166">
        <v>0</v>
      </c>
      <c r="AY884" s="166">
        <v>0</v>
      </c>
      <c r="AZ884" s="166">
        <v>0</v>
      </c>
      <c r="BA884" s="166">
        <v>0</v>
      </c>
      <c r="BB884" s="166">
        <v>0</v>
      </c>
      <c r="BC884" s="166">
        <v>0</v>
      </c>
      <c r="BD884" s="166">
        <v>0</v>
      </c>
      <c r="BE884" s="166">
        <v>1</v>
      </c>
      <c r="BF884" s="166">
        <v>0</v>
      </c>
      <c r="BG884" s="166">
        <v>0</v>
      </c>
      <c r="BH884" s="166">
        <v>0</v>
      </c>
      <c r="BI884" s="166">
        <v>0</v>
      </c>
      <c r="BJ884" s="166">
        <v>0</v>
      </c>
      <c r="BK884" s="166">
        <v>0</v>
      </c>
      <c r="BL884" s="166">
        <v>0</v>
      </c>
      <c r="BM884" s="166">
        <v>0</v>
      </c>
      <c r="BN884" s="166">
        <v>0</v>
      </c>
      <c r="BO884" s="166">
        <v>0</v>
      </c>
      <c r="BP884" s="166">
        <v>0</v>
      </c>
      <c r="BQ884" s="81" t="s">
        <v>1757</v>
      </c>
      <c r="BZ884" s="81" t="s">
        <v>155</v>
      </c>
      <c r="CA884" s="81" t="s">
        <v>1937</v>
      </c>
      <c r="CC884" s="167">
        <v>0</v>
      </c>
      <c r="CD884" s="167">
        <f>$N884/4</f>
        <v>0.25</v>
      </c>
      <c r="CE884" s="167">
        <f>$N884/4</f>
        <v>0.25</v>
      </c>
      <c r="CF884" s="167">
        <f>$N884/4</f>
        <v>0.25</v>
      </c>
      <c r="CG884" s="167">
        <f>$N884/4</f>
        <v>0.25</v>
      </c>
      <c r="CH884" s="167">
        <v>0</v>
      </c>
      <c r="CI884" s="167">
        <v>0</v>
      </c>
      <c r="CJ884" s="167">
        <v>0</v>
      </c>
      <c r="CK884" s="167">
        <v>0</v>
      </c>
      <c r="CL884" s="167">
        <v>0</v>
      </c>
      <c r="CM884" s="167">
        <v>0</v>
      </c>
      <c r="CN884" s="167">
        <v>0</v>
      </c>
      <c r="CO884" s="167">
        <v>0</v>
      </c>
      <c r="CP884" s="167">
        <v>0</v>
      </c>
      <c r="CQ884" s="167">
        <v>0</v>
      </c>
      <c r="CR884" s="167">
        <v>0</v>
      </c>
      <c r="CS884" s="167">
        <v>0</v>
      </c>
      <c r="CT884" s="167">
        <v>0</v>
      </c>
      <c r="CU884" s="167">
        <v>0</v>
      </c>
      <c r="CV884" s="167">
        <v>0</v>
      </c>
      <c r="CW884" s="167">
        <v>0</v>
      </c>
      <c r="CX884" s="167">
        <f>SUM(CD884:CH884)</f>
        <v>1</v>
      </c>
      <c r="CY884" s="167">
        <f>SUM(CD884:CM884)</f>
        <v>1</v>
      </c>
    </row>
    <row r="885" spans="1:103" ht="12.75" customHeight="1" x14ac:dyDescent="0.2">
      <c r="A885" s="81">
        <v>5894</v>
      </c>
      <c r="B885" s="165" t="s">
        <v>1930</v>
      </c>
      <c r="C885" s="165" t="s">
        <v>659</v>
      </c>
      <c r="D885" s="165" t="s">
        <v>660</v>
      </c>
      <c r="E885" s="165" t="s">
        <v>2621</v>
      </c>
      <c r="G885" s="81">
        <v>526821</v>
      </c>
      <c r="H885" s="81">
        <v>176772</v>
      </c>
      <c r="I885" s="165" t="s">
        <v>257</v>
      </c>
      <c r="L885" s="166">
        <v>0</v>
      </c>
      <c r="M885" s="166">
        <v>1</v>
      </c>
      <c r="N885" s="166">
        <v>1</v>
      </c>
      <c r="O885" s="166">
        <v>1</v>
      </c>
      <c r="P885" s="166">
        <v>1</v>
      </c>
      <c r="R885" s="165" t="s">
        <v>661</v>
      </c>
      <c r="S885" s="81" t="s">
        <v>113</v>
      </c>
      <c r="T885" s="349">
        <v>42265</v>
      </c>
      <c r="U885" s="349">
        <v>42394</v>
      </c>
      <c r="W885" s="81" t="s">
        <v>114</v>
      </c>
      <c r="Y885" s="81" t="s">
        <v>115</v>
      </c>
      <c r="Z885" s="81" t="s">
        <v>219</v>
      </c>
      <c r="AA885" s="81" t="s">
        <v>117</v>
      </c>
      <c r="AB885" s="81" t="s">
        <v>3889</v>
      </c>
      <c r="AC885" s="166">
        <v>9.9999997764825804E-3</v>
      </c>
      <c r="AG885" s="81" t="s">
        <v>238</v>
      </c>
      <c r="AH885" s="81" t="s">
        <v>118</v>
      </c>
      <c r="AK885" s="166">
        <v>0</v>
      </c>
      <c r="AM885" s="166">
        <v>0</v>
      </c>
      <c r="AO885" s="166">
        <v>0</v>
      </c>
      <c r="AP885" s="166">
        <v>0</v>
      </c>
      <c r="AQ885" s="166">
        <v>1</v>
      </c>
      <c r="AR885" s="166">
        <v>0</v>
      </c>
      <c r="AS885" s="166">
        <v>0</v>
      </c>
      <c r="AT885" s="166">
        <v>0</v>
      </c>
      <c r="AU885" s="166">
        <v>0</v>
      </c>
      <c r="AV885" s="166">
        <v>0</v>
      </c>
      <c r="AW885" s="166">
        <v>0</v>
      </c>
      <c r="AX885" s="166">
        <v>1</v>
      </c>
      <c r="AY885" s="166">
        <v>0</v>
      </c>
      <c r="AZ885" s="166">
        <v>0</v>
      </c>
      <c r="BA885" s="166">
        <v>0</v>
      </c>
      <c r="BB885" s="166">
        <v>0</v>
      </c>
      <c r="BC885" s="166">
        <v>0</v>
      </c>
      <c r="BD885" s="166">
        <v>0</v>
      </c>
      <c r="BE885" s="166">
        <v>0</v>
      </c>
      <c r="BF885" s="166">
        <v>0</v>
      </c>
      <c r="BG885" s="166">
        <v>0</v>
      </c>
      <c r="BH885" s="166">
        <v>0</v>
      </c>
      <c r="BI885" s="166">
        <v>0</v>
      </c>
      <c r="BJ885" s="166">
        <v>0</v>
      </c>
      <c r="BK885" s="166">
        <v>0</v>
      </c>
      <c r="BL885" s="166">
        <v>0</v>
      </c>
      <c r="BM885" s="166">
        <v>0</v>
      </c>
      <c r="BN885" s="166">
        <v>0</v>
      </c>
      <c r="BO885" s="166">
        <v>0</v>
      </c>
      <c r="BP885" s="166">
        <v>0</v>
      </c>
      <c r="BQ885" s="81" t="s">
        <v>1757</v>
      </c>
      <c r="BZ885" s="81" t="s">
        <v>155</v>
      </c>
      <c r="CA885" s="81" t="s">
        <v>1937</v>
      </c>
      <c r="CC885" s="167">
        <v>0</v>
      </c>
      <c r="CD885" s="167">
        <f>$N885/4</f>
        <v>0.25</v>
      </c>
      <c r="CE885" s="167">
        <f>$N885/4</f>
        <v>0.25</v>
      </c>
      <c r="CF885" s="167">
        <f>$N885/4</f>
        <v>0.25</v>
      </c>
      <c r="CG885" s="167">
        <f>$N885/4</f>
        <v>0.25</v>
      </c>
      <c r="CH885" s="167">
        <v>0</v>
      </c>
      <c r="CI885" s="167">
        <v>0</v>
      </c>
      <c r="CJ885" s="167">
        <v>0</v>
      </c>
      <c r="CK885" s="167">
        <v>0</v>
      </c>
      <c r="CL885" s="167">
        <v>0</v>
      </c>
      <c r="CM885" s="167">
        <v>0</v>
      </c>
      <c r="CN885" s="167">
        <v>0</v>
      </c>
      <c r="CO885" s="167">
        <v>0</v>
      </c>
      <c r="CP885" s="167">
        <v>0</v>
      </c>
      <c r="CQ885" s="167">
        <v>0</v>
      </c>
      <c r="CR885" s="167">
        <v>0</v>
      </c>
      <c r="CS885" s="167">
        <v>0</v>
      </c>
      <c r="CT885" s="167">
        <v>0</v>
      </c>
      <c r="CU885" s="167">
        <v>0</v>
      </c>
      <c r="CV885" s="167">
        <v>0</v>
      </c>
      <c r="CW885" s="167">
        <v>0</v>
      </c>
      <c r="CX885" s="167">
        <f>SUM(CD885:CH885)</f>
        <v>1</v>
      </c>
      <c r="CY885" s="167">
        <f>SUM(CD885:CM885)</f>
        <v>1</v>
      </c>
    </row>
    <row r="886" spans="1:103" ht="12.75" customHeight="1" x14ac:dyDescent="0.2">
      <c r="A886" s="81">
        <v>5903</v>
      </c>
      <c r="B886" s="165" t="s">
        <v>1930</v>
      </c>
      <c r="C886" s="165" t="s">
        <v>447</v>
      </c>
      <c r="E886" s="165" t="s">
        <v>2622</v>
      </c>
      <c r="G886" s="81">
        <v>525997</v>
      </c>
      <c r="H886" s="81">
        <v>173088</v>
      </c>
      <c r="I886" s="165" t="s">
        <v>249</v>
      </c>
      <c r="L886" s="166">
        <v>1</v>
      </c>
      <c r="M886" s="166">
        <v>2</v>
      </c>
      <c r="N886" s="166">
        <v>1</v>
      </c>
      <c r="O886" s="166">
        <v>2</v>
      </c>
      <c r="P886" s="166">
        <v>1</v>
      </c>
      <c r="R886" s="165" t="s">
        <v>448</v>
      </c>
      <c r="S886" s="81" t="s">
        <v>113</v>
      </c>
      <c r="T886" s="349">
        <v>42034</v>
      </c>
      <c r="U886" s="349">
        <v>42102</v>
      </c>
      <c r="W886" s="81" t="s">
        <v>114</v>
      </c>
      <c r="Y886" s="81" t="s">
        <v>115</v>
      </c>
      <c r="Z886" s="81" t="s">
        <v>398</v>
      </c>
      <c r="AA886" s="81" t="s">
        <v>117</v>
      </c>
      <c r="AB886" s="81" t="s">
        <v>220</v>
      </c>
      <c r="AC886" s="166">
        <v>8.9999996125698107E-3</v>
      </c>
      <c r="AG886" s="81" t="s">
        <v>238</v>
      </c>
      <c r="AH886" s="81" t="s">
        <v>118</v>
      </c>
      <c r="AK886" s="166">
        <v>0</v>
      </c>
      <c r="AM886" s="166">
        <v>0</v>
      </c>
      <c r="AO886" s="166">
        <v>1</v>
      </c>
      <c r="AP886" s="166">
        <v>0</v>
      </c>
      <c r="AQ886" s="166">
        <v>1</v>
      </c>
      <c r="AR886" s="166">
        <v>-1</v>
      </c>
      <c r="AS886" s="166">
        <v>0</v>
      </c>
      <c r="AT886" s="166">
        <v>0</v>
      </c>
      <c r="AU886" s="166">
        <v>0</v>
      </c>
      <c r="AV886" s="166">
        <v>1</v>
      </c>
      <c r="AW886" s="166">
        <v>0</v>
      </c>
      <c r="AX886" s="166">
        <v>1</v>
      </c>
      <c r="AY886" s="166">
        <v>-1</v>
      </c>
      <c r="AZ886" s="166">
        <v>0</v>
      </c>
      <c r="BA886" s="166">
        <v>0</v>
      </c>
      <c r="BB886" s="166">
        <v>0</v>
      </c>
      <c r="BC886" s="166">
        <v>0</v>
      </c>
      <c r="BD886" s="166">
        <v>0</v>
      </c>
      <c r="BE886" s="166">
        <v>0</v>
      </c>
      <c r="BF886" s="166">
        <v>0</v>
      </c>
      <c r="BG886" s="166">
        <v>0</v>
      </c>
      <c r="BH886" s="166">
        <v>0</v>
      </c>
      <c r="BI886" s="166">
        <v>0</v>
      </c>
      <c r="BJ886" s="166">
        <v>0</v>
      </c>
      <c r="BK886" s="166">
        <v>0</v>
      </c>
      <c r="BL886" s="166">
        <v>0</v>
      </c>
      <c r="BM886" s="166">
        <v>0</v>
      </c>
      <c r="BN886" s="166">
        <v>0</v>
      </c>
      <c r="BO886" s="166">
        <v>0</v>
      </c>
      <c r="BP886" s="166">
        <v>0</v>
      </c>
      <c r="BQ886" s="81" t="s">
        <v>1758</v>
      </c>
      <c r="BY886" s="81" t="s">
        <v>155</v>
      </c>
      <c r="BZ886" s="81" t="s">
        <v>155</v>
      </c>
      <c r="CA886" s="81" t="s">
        <v>1937</v>
      </c>
      <c r="CC886" s="167">
        <v>0</v>
      </c>
      <c r="CD886" s="167">
        <f>$N886/4</f>
        <v>0.25</v>
      </c>
      <c r="CE886" s="167">
        <f>$N886/4</f>
        <v>0.25</v>
      </c>
      <c r="CF886" s="167">
        <f>$N886/4</f>
        <v>0.25</v>
      </c>
      <c r="CG886" s="167">
        <f>$N886/4</f>
        <v>0.25</v>
      </c>
      <c r="CH886" s="167">
        <v>0</v>
      </c>
      <c r="CI886" s="167">
        <v>0</v>
      </c>
      <c r="CJ886" s="167">
        <v>0</v>
      </c>
      <c r="CK886" s="167">
        <v>0</v>
      </c>
      <c r="CL886" s="167">
        <v>0</v>
      </c>
      <c r="CM886" s="167">
        <v>0</v>
      </c>
      <c r="CN886" s="167">
        <v>0</v>
      </c>
      <c r="CO886" s="167">
        <v>0</v>
      </c>
      <c r="CP886" s="167">
        <v>0</v>
      </c>
      <c r="CQ886" s="167">
        <v>0</v>
      </c>
      <c r="CR886" s="167">
        <v>0</v>
      </c>
      <c r="CS886" s="167">
        <v>0</v>
      </c>
      <c r="CT886" s="167">
        <v>0</v>
      </c>
      <c r="CU886" s="167">
        <v>0</v>
      </c>
      <c r="CV886" s="167">
        <v>0</v>
      </c>
      <c r="CW886" s="167">
        <v>0</v>
      </c>
      <c r="CX886" s="167">
        <f>SUM(CD886:CH886)</f>
        <v>1</v>
      </c>
      <c r="CY886" s="167">
        <f>SUM(CD886:CM886)</f>
        <v>1</v>
      </c>
    </row>
    <row r="887" spans="1:103" ht="12.75" customHeight="1" x14ac:dyDescent="0.2">
      <c r="A887" s="81">
        <v>5918</v>
      </c>
      <c r="B887" s="165" t="s">
        <v>1930</v>
      </c>
      <c r="C887" s="165" t="s">
        <v>432</v>
      </c>
      <c r="E887" s="165" t="s">
        <v>2623</v>
      </c>
      <c r="G887" s="81">
        <v>523322</v>
      </c>
      <c r="H887" s="81">
        <v>175861</v>
      </c>
      <c r="I887" s="165" t="s">
        <v>259</v>
      </c>
      <c r="L887" s="166">
        <v>1</v>
      </c>
      <c r="M887" s="166">
        <v>1</v>
      </c>
      <c r="N887" s="166">
        <v>0</v>
      </c>
      <c r="O887" s="166">
        <v>1</v>
      </c>
      <c r="P887" s="166">
        <v>0</v>
      </c>
      <c r="R887" s="165" t="s">
        <v>433</v>
      </c>
      <c r="S887" s="81" t="s">
        <v>113</v>
      </c>
      <c r="T887" s="349">
        <v>42086</v>
      </c>
      <c r="U887" s="349">
        <v>42146</v>
      </c>
      <c r="W887" s="81" t="s">
        <v>114</v>
      </c>
      <c r="Y887" s="81" t="s">
        <v>115</v>
      </c>
      <c r="Z887" s="81" t="s">
        <v>398</v>
      </c>
      <c r="AA887" s="81" t="s">
        <v>117</v>
      </c>
      <c r="AB887" s="81" t="s">
        <v>346</v>
      </c>
      <c r="AC887" s="166">
        <v>4.9999998882412902E-3</v>
      </c>
      <c r="AG887" s="81" t="s">
        <v>238</v>
      </c>
      <c r="AH887" s="81" t="s">
        <v>118</v>
      </c>
      <c r="AK887" s="166">
        <v>0</v>
      </c>
      <c r="AM887" s="166">
        <v>0</v>
      </c>
      <c r="AO887" s="166">
        <v>0</v>
      </c>
      <c r="AP887" s="166">
        <v>0</v>
      </c>
      <c r="AQ887" s="166">
        <v>-1</v>
      </c>
      <c r="AR887" s="166">
        <v>0</v>
      </c>
      <c r="AS887" s="166">
        <v>1</v>
      </c>
      <c r="AT887" s="166">
        <v>0</v>
      </c>
      <c r="AU887" s="166">
        <v>0</v>
      </c>
      <c r="AV887" s="166">
        <v>0</v>
      </c>
      <c r="AW887" s="166">
        <v>0</v>
      </c>
      <c r="AX887" s="166">
        <v>-1</v>
      </c>
      <c r="AY887" s="166">
        <v>0</v>
      </c>
      <c r="AZ887" s="166">
        <v>0</v>
      </c>
      <c r="BA887" s="166">
        <v>0</v>
      </c>
      <c r="BB887" s="166">
        <v>0</v>
      </c>
      <c r="BC887" s="166">
        <v>0</v>
      </c>
      <c r="BD887" s="166">
        <v>0</v>
      </c>
      <c r="BE887" s="166">
        <v>0</v>
      </c>
      <c r="BF887" s="166">
        <v>0</v>
      </c>
      <c r="BG887" s="166">
        <v>0</v>
      </c>
      <c r="BH887" s="166">
        <v>0</v>
      </c>
      <c r="BI887" s="166">
        <v>0</v>
      </c>
      <c r="BJ887" s="166">
        <v>0</v>
      </c>
      <c r="BK887" s="166">
        <v>0</v>
      </c>
      <c r="BL887" s="166">
        <v>0</v>
      </c>
      <c r="BM887" s="166">
        <v>0</v>
      </c>
      <c r="BN887" s="166">
        <v>1</v>
      </c>
      <c r="BO887" s="166">
        <v>0</v>
      </c>
      <c r="BP887" s="166">
        <v>0</v>
      </c>
      <c r="BQ887" s="81" t="s">
        <v>1758</v>
      </c>
      <c r="BZ887" s="81" t="s">
        <v>155</v>
      </c>
      <c r="CA887" s="81" t="s">
        <v>1937</v>
      </c>
      <c r="CC887" s="167">
        <v>0</v>
      </c>
      <c r="CD887" s="167">
        <f>$N887/4</f>
        <v>0</v>
      </c>
      <c r="CE887" s="167">
        <f>$N887/4</f>
        <v>0</v>
      </c>
      <c r="CF887" s="167">
        <f>$N887/4</f>
        <v>0</v>
      </c>
      <c r="CG887" s="167">
        <f>$N887/4</f>
        <v>0</v>
      </c>
      <c r="CH887" s="167">
        <v>0</v>
      </c>
      <c r="CI887" s="167">
        <v>0</v>
      </c>
      <c r="CJ887" s="167">
        <v>0</v>
      </c>
      <c r="CK887" s="167">
        <v>0</v>
      </c>
      <c r="CL887" s="167">
        <v>0</v>
      </c>
      <c r="CM887" s="167">
        <v>0</v>
      </c>
      <c r="CN887" s="167">
        <v>0</v>
      </c>
      <c r="CO887" s="167">
        <v>0</v>
      </c>
      <c r="CP887" s="167">
        <v>0</v>
      </c>
      <c r="CQ887" s="167">
        <v>0</v>
      </c>
      <c r="CR887" s="167">
        <v>0</v>
      </c>
      <c r="CS887" s="167">
        <v>0</v>
      </c>
      <c r="CT887" s="167">
        <v>0</v>
      </c>
      <c r="CU887" s="167">
        <v>0</v>
      </c>
      <c r="CV887" s="167">
        <v>0</v>
      </c>
      <c r="CW887" s="167">
        <v>0</v>
      </c>
      <c r="CX887" s="167">
        <f>SUM(CD887:CH887)</f>
        <v>0</v>
      </c>
      <c r="CY887" s="167">
        <f>SUM(CD887:CM887)</f>
        <v>0</v>
      </c>
    </row>
    <row r="888" spans="1:103" ht="12.75" customHeight="1" x14ac:dyDescent="0.2">
      <c r="A888" s="81">
        <v>5920</v>
      </c>
      <c r="B888" s="165" t="s">
        <v>1930</v>
      </c>
      <c r="C888" s="165" t="s">
        <v>545</v>
      </c>
      <c r="E888" s="165" t="s">
        <v>2624</v>
      </c>
      <c r="G888" s="81">
        <v>524021</v>
      </c>
      <c r="H888" s="81">
        <v>175002</v>
      </c>
      <c r="I888" s="165" t="s">
        <v>250</v>
      </c>
      <c r="L888" s="166">
        <v>0</v>
      </c>
      <c r="M888" s="166">
        <v>3</v>
      </c>
      <c r="N888" s="166">
        <v>3</v>
      </c>
      <c r="O888" s="166">
        <v>3</v>
      </c>
      <c r="P888" s="166">
        <v>3</v>
      </c>
      <c r="R888" s="165" t="s">
        <v>546</v>
      </c>
      <c r="S888" s="81" t="s">
        <v>110</v>
      </c>
      <c r="T888" s="349">
        <v>42117</v>
      </c>
      <c r="U888" s="349">
        <v>42177</v>
      </c>
      <c r="W888" s="81" t="s">
        <v>114</v>
      </c>
      <c r="Y888" s="81" t="s">
        <v>115</v>
      </c>
      <c r="Z888" s="81" t="s">
        <v>310</v>
      </c>
      <c r="AA888" s="81" t="s">
        <v>117</v>
      </c>
      <c r="AB888" s="81" t="s">
        <v>399</v>
      </c>
      <c r="AC888" s="166">
        <v>6.0000000521540598E-3</v>
      </c>
      <c r="AG888" s="81" t="s">
        <v>238</v>
      </c>
      <c r="AH888" s="81" t="s">
        <v>118</v>
      </c>
      <c r="AK888" s="166">
        <v>0</v>
      </c>
      <c r="AM888" s="166">
        <v>0</v>
      </c>
      <c r="AO888" s="166">
        <v>0</v>
      </c>
      <c r="AP888" s="166">
        <v>2</v>
      </c>
      <c r="AQ888" s="166">
        <v>1</v>
      </c>
      <c r="AR888" s="166">
        <v>0</v>
      </c>
      <c r="AS888" s="166">
        <v>0</v>
      </c>
      <c r="AT888" s="166">
        <v>0</v>
      </c>
      <c r="AU888" s="166">
        <v>0</v>
      </c>
      <c r="AV888" s="166">
        <v>0</v>
      </c>
      <c r="AW888" s="166">
        <v>2</v>
      </c>
      <c r="AX888" s="166">
        <v>1</v>
      </c>
      <c r="AY888" s="166">
        <v>0</v>
      </c>
      <c r="AZ888" s="166">
        <v>0</v>
      </c>
      <c r="BA888" s="166">
        <v>0</v>
      </c>
      <c r="BB888" s="166">
        <v>0</v>
      </c>
      <c r="BC888" s="166">
        <v>0</v>
      </c>
      <c r="BD888" s="166">
        <v>0</v>
      </c>
      <c r="BE888" s="166">
        <v>0</v>
      </c>
      <c r="BF888" s="166">
        <v>0</v>
      </c>
      <c r="BG888" s="166">
        <v>0</v>
      </c>
      <c r="BH888" s="166">
        <v>0</v>
      </c>
      <c r="BI888" s="166">
        <v>0</v>
      </c>
      <c r="BJ888" s="166">
        <v>0</v>
      </c>
      <c r="BK888" s="166">
        <v>0</v>
      </c>
      <c r="BL888" s="166">
        <v>0</v>
      </c>
      <c r="BM888" s="166">
        <v>0</v>
      </c>
      <c r="BN888" s="166">
        <v>0</v>
      </c>
      <c r="BO888" s="166">
        <v>0</v>
      </c>
      <c r="BP888" s="166">
        <v>0</v>
      </c>
      <c r="BQ888" s="81" t="s">
        <v>1758</v>
      </c>
      <c r="BR888" s="81" t="s">
        <v>161</v>
      </c>
      <c r="BV888" s="81" t="s">
        <v>155</v>
      </c>
      <c r="BZ888" s="81" t="s">
        <v>155</v>
      </c>
      <c r="CA888" s="81" t="s">
        <v>1937</v>
      </c>
      <c r="CC888" s="167">
        <v>0</v>
      </c>
      <c r="CD888" s="167">
        <f>$N888/4</f>
        <v>0.75</v>
      </c>
      <c r="CE888" s="167">
        <f>$N888/4</f>
        <v>0.75</v>
      </c>
      <c r="CF888" s="167">
        <f>$N888/4</f>
        <v>0.75</v>
      </c>
      <c r="CG888" s="167">
        <f>$N888/4</f>
        <v>0.75</v>
      </c>
      <c r="CH888" s="167">
        <v>0</v>
      </c>
      <c r="CI888" s="167">
        <v>0</v>
      </c>
      <c r="CJ888" s="167">
        <v>0</v>
      </c>
      <c r="CK888" s="167">
        <v>0</v>
      </c>
      <c r="CL888" s="167">
        <v>0</v>
      </c>
      <c r="CM888" s="167">
        <v>0</v>
      </c>
      <c r="CN888" s="167">
        <v>0</v>
      </c>
      <c r="CO888" s="167">
        <v>0</v>
      </c>
      <c r="CP888" s="167">
        <v>0</v>
      </c>
      <c r="CQ888" s="167">
        <v>0</v>
      </c>
      <c r="CR888" s="167">
        <v>0</v>
      </c>
      <c r="CS888" s="167">
        <v>0</v>
      </c>
      <c r="CT888" s="167">
        <v>0</v>
      </c>
      <c r="CU888" s="167">
        <v>0</v>
      </c>
      <c r="CV888" s="167">
        <v>0</v>
      </c>
      <c r="CW888" s="167">
        <v>0</v>
      </c>
      <c r="CX888" s="167">
        <f>SUM(CD888:CH888)</f>
        <v>3</v>
      </c>
      <c r="CY888" s="167">
        <f>SUM(CD888:CM888)</f>
        <v>3</v>
      </c>
    </row>
    <row r="889" spans="1:103" ht="12.75" customHeight="1" x14ac:dyDescent="0.2">
      <c r="A889" s="81">
        <v>5935</v>
      </c>
      <c r="B889" s="165" t="s">
        <v>1930</v>
      </c>
      <c r="C889" s="165" t="s">
        <v>561</v>
      </c>
      <c r="E889" s="165" t="s">
        <v>2625</v>
      </c>
      <c r="G889" s="81">
        <v>523208</v>
      </c>
      <c r="H889" s="81">
        <v>175814</v>
      </c>
      <c r="I889" s="165" t="s">
        <v>259</v>
      </c>
      <c r="L889" s="166">
        <v>0</v>
      </c>
      <c r="M889" s="166">
        <v>1</v>
      </c>
      <c r="N889" s="166">
        <v>1</v>
      </c>
      <c r="O889" s="166">
        <v>1</v>
      </c>
      <c r="P889" s="166">
        <v>1</v>
      </c>
      <c r="R889" s="165" t="s">
        <v>562</v>
      </c>
      <c r="S889" s="81" t="s">
        <v>110</v>
      </c>
      <c r="T889" s="349">
        <v>42121</v>
      </c>
      <c r="U889" s="349">
        <v>42177</v>
      </c>
      <c r="W889" s="81" t="s">
        <v>114</v>
      </c>
      <c r="Y889" s="81" t="s">
        <v>115</v>
      </c>
      <c r="Z889" s="81" t="s">
        <v>310</v>
      </c>
      <c r="AA889" s="81" t="s">
        <v>117</v>
      </c>
      <c r="AB889" s="81" t="s">
        <v>399</v>
      </c>
      <c r="AC889" s="166">
        <v>7.0000002160668399E-3</v>
      </c>
      <c r="AG889" s="81" t="s">
        <v>238</v>
      </c>
      <c r="AH889" s="81" t="s">
        <v>118</v>
      </c>
      <c r="AK889" s="166">
        <v>0</v>
      </c>
      <c r="AM889" s="166">
        <v>0</v>
      </c>
      <c r="AO889" s="166">
        <v>0</v>
      </c>
      <c r="AP889" s="166">
        <v>0</v>
      </c>
      <c r="AQ889" s="166">
        <v>1</v>
      </c>
      <c r="AR889" s="166">
        <v>0</v>
      </c>
      <c r="AS889" s="166">
        <v>0</v>
      </c>
      <c r="AT889" s="166">
        <v>0</v>
      </c>
      <c r="AU889" s="166">
        <v>0</v>
      </c>
      <c r="AV889" s="166">
        <v>0</v>
      </c>
      <c r="AW889" s="166">
        <v>0</v>
      </c>
      <c r="AX889" s="166">
        <v>1</v>
      </c>
      <c r="AY889" s="166">
        <v>0</v>
      </c>
      <c r="AZ889" s="166">
        <v>0</v>
      </c>
      <c r="BA889" s="166">
        <v>0</v>
      </c>
      <c r="BB889" s="166">
        <v>0</v>
      </c>
      <c r="BC889" s="166">
        <v>0</v>
      </c>
      <c r="BD889" s="166">
        <v>0</v>
      </c>
      <c r="BE889" s="166">
        <v>0</v>
      </c>
      <c r="BF889" s="166">
        <v>0</v>
      </c>
      <c r="BG889" s="166">
        <v>0</v>
      </c>
      <c r="BH889" s="166">
        <v>0</v>
      </c>
      <c r="BI889" s="166">
        <v>0</v>
      </c>
      <c r="BJ889" s="166">
        <v>0</v>
      </c>
      <c r="BK889" s="166">
        <v>0</v>
      </c>
      <c r="BL889" s="166">
        <v>0</v>
      </c>
      <c r="BM889" s="166">
        <v>0</v>
      </c>
      <c r="BN889" s="166">
        <v>0</v>
      </c>
      <c r="BO889" s="166">
        <v>0</v>
      </c>
      <c r="BP889" s="166">
        <v>0</v>
      </c>
      <c r="BQ889" s="81" t="s">
        <v>1758</v>
      </c>
      <c r="BZ889" s="81" t="s">
        <v>155</v>
      </c>
      <c r="CA889" s="81" t="s">
        <v>1937</v>
      </c>
      <c r="CC889" s="167">
        <v>0</v>
      </c>
      <c r="CD889" s="167">
        <f>$N889/4</f>
        <v>0.25</v>
      </c>
      <c r="CE889" s="167">
        <f>$N889/4</f>
        <v>0.25</v>
      </c>
      <c r="CF889" s="167">
        <f>$N889/4</f>
        <v>0.25</v>
      </c>
      <c r="CG889" s="167">
        <f>$N889/4</f>
        <v>0.25</v>
      </c>
      <c r="CH889" s="167">
        <v>0</v>
      </c>
      <c r="CI889" s="167">
        <v>0</v>
      </c>
      <c r="CJ889" s="167">
        <v>0</v>
      </c>
      <c r="CK889" s="167">
        <v>0</v>
      </c>
      <c r="CL889" s="167">
        <v>0</v>
      </c>
      <c r="CM889" s="167">
        <v>0</v>
      </c>
      <c r="CN889" s="167">
        <v>0</v>
      </c>
      <c r="CO889" s="167">
        <v>0</v>
      </c>
      <c r="CP889" s="167">
        <v>0</v>
      </c>
      <c r="CQ889" s="167">
        <v>0</v>
      </c>
      <c r="CR889" s="167">
        <v>0</v>
      </c>
      <c r="CS889" s="167">
        <v>0</v>
      </c>
      <c r="CT889" s="167">
        <v>0</v>
      </c>
      <c r="CU889" s="167">
        <v>0</v>
      </c>
      <c r="CV889" s="167">
        <v>0</v>
      </c>
      <c r="CW889" s="167">
        <v>0</v>
      </c>
      <c r="CX889" s="167">
        <f>SUM(CD889:CH889)</f>
        <v>1</v>
      </c>
      <c r="CY889" s="167">
        <f>SUM(CD889:CM889)</f>
        <v>1</v>
      </c>
    </row>
    <row r="890" spans="1:103" ht="12.75" customHeight="1" x14ac:dyDescent="0.2">
      <c r="A890" s="81">
        <v>5949</v>
      </c>
      <c r="B890" s="165" t="s">
        <v>1930</v>
      </c>
      <c r="C890" s="165" t="s">
        <v>672</v>
      </c>
      <c r="E890" s="165" t="s">
        <v>2626</v>
      </c>
      <c r="G890" s="81">
        <v>524987</v>
      </c>
      <c r="H890" s="81">
        <v>174835</v>
      </c>
      <c r="I890" s="165" t="s">
        <v>251</v>
      </c>
      <c r="L890" s="166">
        <v>2</v>
      </c>
      <c r="M890" s="166">
        <v>3</v>
      </c>
      <c r="N890" s="166">
        <v>1</v>
      </c>
      <c r="O890" s="166">
        <v>3</v>
      </c>
      <c r="P890" s="166">
        <v>1</v>
      </c>
      <c r="R890" s="165" t="s">
        <v>1148</v>
      </c>
      <c r="S890" s="81" t="s">
        <v>113</v>
      </c>
      <c r="T890" s="349">
        <v>42289</v>
      </c>
      <c r="U890" s="349">
        <v>42345</v>
      </c>
      <c r="W890" s="81" t="s">
        <v>114</v>
      </c>
      <c r="Y890" s="81" t="s">
        <v>115</v>
      </c>
      <c r="Z890" s="81" t="s">
        <v>398</v>
      </c>
      <c r="AA890" s="81" t="s">
        <v>117</v>
      </c>
      <c r="AB890" s="81" t="s">
        <v>220</v>
      </c>
      <c r="AC890" s="166">
        <v>1.8999999389052401E-2</v>
      </c>
      <c r="AG890" s="81" t="s">
        <v>238</v>
      </c>
      <c r="AH890" s="81" t="s">
        <v>118</v>
      </c>
      <c r="AK890" s="166">
        <v>0</v>
      </c>
      <c r="AM890" s="166">
        <v>0</v>
      </c>
      <c r="AO890" s="166">
        <v>0</v>
      </c>
      <c r="AP890" s="166">
        <v>1</v>
      </c>
      <c r="AQ890" s="166">
        <v>-1</v>
      </c>
      <c r="AR890" s="166">
        <v>1</v>
      </c>
      <c r="AS890" s="166">
        <v>0</v>
      </c>
      <c r="AT890" s="166">
        <v>0</v>
      </c>
      <c r="AU890" s="166">
        <v>0</v>
      </c>
      <c r="AV890" s="166">
        <v>0</v>
      </c>
      <c r="AW890" s="166">
        <v>1</v>
      </c>
      <c r="AX890" s="166">
        <v>-1</v>
      </c>
      <c r="AY890" s="166">
        <v>1</v>
      </c>
      <c r="AZ890" s="166">
        <v>0</v>
      </c>
      <c r="BA890" s="166">
        <v>0</v>
      </c>
      <c r="BB890" s="166">
        <v>0</v>
      </c>
      <c r="BC890" s="166">
        <v>0</v>
      </c>
      <c r="BD890" s="166">
        <v>0</v>
      </c>
      <c r="BE890" s="166">
        <v>0</v>
      </c>
      <c r="BF890" s="166">
        <v>0</v>
      </c>
      <c r="BG890" s="166">
        <v>0</v>
      </c>
      <c r="BH890" s="166">
        <v>0</v>
      </c>
      <c r="BI890" s="166">
        <v>0</v>
      </c>
      <c r="BJ890" s="166">
        <v>0</v>
      </c>
      <c r="BK890" s="166">
        <v>0</v>
      </c>
      <c r="BL890" s="166">
        <v>0</v>
      </c>
      <c r="BM890" s="166">
        <v>0</v>
      </c>
      <c r="BN890" s="166">
        <v>0</v>
      </c>
      <c r="BO890" s="166">
        <v>0</v>
      </c>
      <c r="BP890" s="166">
        <v>0</v>
      </c>
      <c r="BQ890" s="81" t="s">
        <v>1758</v>
      </c>
      <c r="BZ890" s="81" t="s">
        <v>155</v>
      </c>
      <c r="CA890" s="81" t="s">
        <v>1937</v>
      </c>
      <c r="CC890" s="167">
        <v>0</v>
      </c>
      <c r="CD890" s="167">
        <f>$N890/4</f>
        <v>0.25</v>
      </c>
      <c r="CE890" s="167">
        <f>$N890/4</f>
        <v>0.25</v>
      </c>
      <c r="CF890" s="167">
        <f>$N890/4</f>
        <v>0.25</v>
      </c>
      <c r="CG890" s="167">
        <f>$N890/4</f>
        <v>0.25</v>
      </c>
      <c r="CH890" s="167">
        <v>0</v>
      </c>
      <c r="CI890" s="167">
        <v>0</v>
      </c>
      <c r="CJ890" s="167">
        <v>0</v>
      </c>
      <c r="CK890" s="167">
        <v>0</v>
      </c>
      <c r="CL890" s="167">
        <v>0</v>
      </c>
      <c r="CM890" s="167">
        <v>0</v>
      </c>
      <c r="CN890" s="167">
        <v>0</v>
      </c>
      <c r="CO890" s="167">
        <v>0</v>
      </c>
      <c r="CP890" s="167">
        <v>0</v>
      </c>
      <c r="CQ890" s="167">
        <v>0</v>
      </c>
      <c r="CR890" s="167">
        <v>0</v>
      </c>
      <c r="CS890" s="167">
        <v>0</v>
      </c>
      <c r="CT890" s="167">
        <v>0</v>
      </c>
      <c r="CU890" s="167">
        <v>0</v>
      </c>
      <c r="CV890" s="167">
        <v>0</v>
      </c>
      <c r="CW890" s="167">
        <v>0</v>
      </c>
      <c r="CX890" s="167">
        <f>SUM(CD890:CH890)</f>
        <v>1</v>
      </c>
      <c r="CY890" s="167">
        <f>SUM(CD890:CM890)</f>
        <v>1</v>
      </c>
    </row>
    <row r="891" spans="1:103" ht="12.75" customHeight="1" x14ac:dyDescent="0.2">
      <c r="A891" s="81">
        <v>5955</v>
      </c>
      <c r="B891" s="165" t="s">
        <v>1930</v>
      </c>
      <c r="C891" s="165" t="s">
        <v>2627</v>
      </c>
      <c r="E891" s="165" t="s">
        <v>2628</v>
      </c>
      <c r="G891" s="81">
        <v>527059</v>
      </c>
      <c r="H891" s="81">
        <v>176166</v>
      </c>
      <c r="I891" s="165" t="s">
        <v>257</v>
      </c>
      <c r="L891" s="166">
        <v>0</v>
      </c>
      <c r="M891" s="166">
        <v>1</v>
      </c>
      <c r="N891" s="166">
        <v>1</v>
      </c>
      <c r="O891" s="166">
        <v>1</v>
      </c>
      <c r="P891" s="166">
        <v>1</v>
      </c>
      <c r="R891" s="165" t="s">
        <v>2629</v>
      </c>
      <c r="S891" s="81" t="s">
        <v>113</v>
      </c>
      <c r="T891" s="349">
        <v>43082</v>
      </c>
      <c r="U891" s="349">
        <v>43138</v>
      </c>
      <c r="V891" s="81" t="s">
        <v>155</v>
      </c>
      <c r="W891" s="81" t="s">
        <v>114</v>
      </c>
      <c r="Y891" s="81" t="s">
        <v>115</v>
      </c>
      <c r="Z891" s="81" t="s">
        <v>219</v>
      </c>
      <c r="AA891" s="81" t="s">
        <v>117</v>
      </c>
      <c r="AB891" s="81" t="s">
        <v>3889</v>
      </c>
      <c r="AC891" s="166">
        <v>3.0000000260770299E-3</v>
      </c>
      <c r="AG891" s="81" t="s">
        <v>238</v>
      </c>
      <c r="AH891" s="81" t="s">
        <v>118</v>
      </c>
      <c r="AK891" s="166">
        <v>0</v>
      </c>
      <c r="AM891" s="166">
        <v>0</v>
      </c>
      <c r="AO891" s="166">
        <v>0</v>
      </c>
      <c r="AP891" s="166">
        <v>0</v>
      </c>
      <c r="AQ891" s="166">
        <v>1</v>
      </c>
      <c r="AR891" s="166">
        <v>0</v>
      </c>
      <c r="AS891" s="166">
        <v>0</v>
      </c>
      <c r="AT891" s="166">
        <v>0</v>
      </c>
      <c r="AU891" s="166">
        <v>0</v>
      </c>
      <c r="AV891" s="166">
        <v>0</v>
      </c>
      <c r="AW891" s="166">
        <v>0</v>
      </c>
      <c r="AX891" s="166">
        <v>1</v>
      </c>
      <c r="AY891" s="166">
        <v>0</v>
      </c>
      <c r="AZ891" s="166">
        <v>0</v>
      </c>
      <c r="BA891" s="166">
        <v>0</v>
      </c>
      <c r="BB891" s="166">
        <v>0</v>
      </c>
      <c r="BC891" s="166">
        <v>0</v>
      </c>
      <c r="BD891" s="166">
        <v>0</v>
      </c>
      <c r="BE891" s="166">
        <v>0</v>
      </c>
      <c r="BF891" s="166">
        <v>0</v>
      </c>
      <c r="BG891" s="166">
        <v>0</v>
      </c>
      <c r="BH891" s="166">
        <v>0</v>
      </c>
      <c r="BI891" s="166">
        <v>0</v>
      </c>
      <c r="BJ891" s="166">
        <v>0</v>
      </c>
      <c r="BK891" s="166">
        <v>0</v>
      </c>
      <c r="BL891" s="166">
        <v>0</v>
      </c>
      <c r="BM891" s="166">
        <v>0</v>
      </c>
      <c r="BN891" s="166">
        <v>0</v>
      </c>
      <c r="BO891" s="166">
        <v>0</v>
      </c>
      <c r="BP891" s="166">
        <v>0</v>
      </c>
      <c r="BQ891" s="81" t="s">
        <v>1757</v>
      </c>
      <c r="BZ891" s="81" t="s">
        <v>155</v>
      </c>
      <c r="CA891" s="81" t="s">
        <v>1937</v>
      </c>
      <c r="CC891" s="167">
        <v>0</v>
      </c>
      <c r="CD891" s="167">
        <f>$N891/4</f>
        <v>0.25</v>
      </c>
      <c r="CE891" s="167">
        <f>$N891/4</f>
        <v>0.25</v>
      </c>
      <c r="CF891" s="167">
        <f>$N891/4</f>
        <v>0.25</v>
      </c>
      <c r="CG891" s="167">
        <f>$N891/4</f>
        <v>0.25</v>
      </c>
      <c r="CH891" s="167">
        <v>0</v>
      </c>
      <c r="CI891" s="167">
        <v>0</v>
      </c>
      <c r="CJ891" s="167">
        <v>0</v>
      </c>
      <c r="CK891" s="167">
        <v>0</v>
      </c>
      <c r="CL891" s="167">
        <v>0</v>
      </c>
      <c r="CM891" s="167">
        <v>0</v>
      </c>
      <c r="CN891" s="167">
        <v>0</v>
      </c>
      <c r="CO891" s="167">
        <v>0</v>
      </c>
      <c r="CP891" s="167">
        <v>0</v>
      </c>
      <c r="CQ891" s="167">
        <v>0</v>
      </c>
      <c r="CR891" s="167">
        <v>0</v>
      </c>
      <c r="CS891" s="167">
        <v>0</v>
      </c>
      <c r="CT891" s="167">
        <v>0</v>
      </c>
      <c r="CU891" s="167">
        <v>0</v>
      </c>
      <c r="CV891" s="167">
        <v>0</v>
      </c>
      <c r="CW891" s="167">
        <v>0</v>
      </c>
      <c r="CX891" s="167">
        <f>SUM(CD891:CH891)</f>
        <v>1</v>
      </c>
      <c r="CY891" s="167">
        <f>SUM(CD891:CM891)</f>
        <v>1</v>
      </c>
    </row>
    <row r="892" spans="1:103" ht="12.75" customHeight="1" x14ac:dyDescent="0.2">
      <c r="A892" s="81">
        <v>5958</v>
      </c>
      <c r="B892" s="165" t="s">
        <v>1930</v>
      </c>
      <c r="C892" s="165" t="s">
        <v>825</v>
      </c>
      <c r="E892" s="165" t="s">
        <v>2630</v>
      </c>
      <c r="G892" s="81">
        <v>527576</v>
      </c>
      <c r="H892" s="81">
        <v>171713</v>
      </c>
      <c r="I892" s="165" t="s">
        <v>242</v>
      </c>
      <c r="L892" s="166">
        <v>2</v>
      </c>
      <c r="M892" s="166">
        <v>2</v>
      </c>
      <c r="N892" s="166">
        <v>0</v>
      </c>
      <c r="O892" s="166">
        <v>4</v>
      </c>
      <c r="P892" s="166">
        <v>2</v>
      </c>
      <c r="R892" s="165" t="s">
        <v>1186</v>
      </c>
      <c r="S892" s="81" t="s">
        <v>113</v>
      </c>
      <c r="T892" s="349">
        <v>42423</v>
      </c>
      <c r="U892" s="349">
        <v>42478</v>
      </c>
      <c r="W892" s="81" t="s">
        <v>114</v>
      </c>
      <c r="Y892" s="81" t="s">
        <v>115</v>
      </c>
      <c r="Z892" s="81" t="s">
        <v>398</v>
      </c>
      <c r="AA892" s="81" t="s">
        <v>117</v>
      </c>
      <c r="AB892" s="81" t="s">
        <v>220</v>
      </c>
      <c r="AC892" s="166">
        <v>4.9999998882412902E-3</v>
      </c>
      <c r="AG892" s="81" t="s">
        <v>238</v>
      </c>
      <c r="AH892" s="81" t="s">
        <v>118</v>
      </c>
      <c r="AK892" s="166">
        <v>0</v>
      </c>
      <c r="AM892" s="166">
        <v>0</v>
      </c>
      <c r="AO892" s="166">
        <v>0</v>
      </c>
      <c r="AP892" s="166">
        <v>1</v>
      </c>
      <c r="AQ892" s="166">
        <v>-2</v>
      </c>
      <c r="AR892" s="166">
        <v>1</v>
      </c>
      <c r="AS892" s="166">
        <v>0</v>
      </c>
      <c r="AT892" s="166">
        <v>0</v>
      </c>
      <c r="AU892" s="166">
        <v>0</v>
      </c>
      <c r="AV892" s="166">
        <v>0</v>
      </c>
      <c r="AW892" s="166">
        <v>1</v>
      </c>
      <c r="AX892" s="166">
        <v>-2</v>
      </c>
      <c r="AY892" s="166">
        <v>1</v>
      </c>
      <c r="AZ892" s="166">
        <v>0</v>
      </c>
      <c r="BA892" s="166">
        <v>0</v>
      </c>
      <c r="BB892" s="166">
        <v>0</v>
      </c>
      <c r="BC892" s="166">
        <v>0</v>
      </c>
      <c r="BD892" s="166">
        <v>0</v>
      </c>
      <c r="BE892" s="166">
        <v>0</v>
      </c>
      <c r="BF892" s="166">
        <v>0</v>
      </c>
      <c r="BG892" s="166">
        <v>0</v>
      </c>
      <c r="BH892" s="166">
        <v>0</v>
      </c>
      <c r="BI892" s="166">
        <v>0</v>
      </c>
      <c r="BJ892" s="166">
        <v>0</v>
      </c>
      <c r="BK892" s="166">
        <v>0</v>
      </c>
      <c r="BL892" s="166">
        <v>0</v>
      </c>
      <c r="BM892" s="166">
        <v>0</v>
      </c>
      <c r="BN892" s="166">
        <v>0</v>
      </c>
      <c r="BO892" s="166">
        <v>0</v>
      </c>
      <c r="BP892" s="166">
        <v>0</v>
      </c>
      <c r="BQ892" s="81" t="s">
        <v>1757</v>
      </c>
      <c r="BR892" s="81" t="s">
        <v>242</v>
      </c>
      <c r="BZ892" s="81" t="s">
        <v>155</v>
      </c>
      <c r="CA892" s="81" t="s">
        <v>1937</v>
      </c>
      <c r="CC892" s="167">
        <v>0</v>
      </c>
      <c r="CD892" s="167">
        <f>$N892/4</f>
        <v>0</v>
      </c>
      <c r="CE892" s="167">
        <f>$N892/4</f>
        <v>0</v>
      </c>
      <c r="CF892" s="167">
        <f>$N892/4</f>
        <v>0</v>
      </c>
      <c r="CG892" s="167">
        <f>$N892/4</f>
        <v>0</v>
      </c>
      <c r="CH892" s="167">
        <v>0</v>
      </c>
      <c r="CI892" s="167">
        <v>0</v>
      </c>
      <c r="CJ892" s="167">
        <v>0</v>
      </c>
      <c r="CK892" s="167">
        <v>0</v>
      </c>
      <c r="CL892" s="167">
        <v>0</v>
      </c>
      <c r="CM892" s="167">
        <v>0</v>
      </c>
      <c r="CN892" s="167">
        <v>0</v>
      </c>
      <c r="CO892" s="167">
        <v>0</v>
      </c>
      <c r="CP892" s="167">
        <v>0</v>
      </c>
      <c r="CQ892" s="167">
        <v>0</v>
      </c>
      <c r="CR892" s="167">
        <v>0</v>
      </c>
      <c r="CS892" s="167">
        <v>0</v>
      </c>
      <c r="CT892" s="167">
        <v>0</v>
      </c>
      <c r="CU892" s="167">
        <v>0</v>
      </c>
      <c r="CV892" s="167">
        <v>0</v>
      </c>
      <c r="CW892" s="167">
        <v>0</v>
      </c>
      <c r="CX892" s="167">
        <f>SUM(CD892:CH892)</f>
        <v>0</v>
      </c>
      <c r="CY892" s="167">
        <f>SUM(CD892:CM892)</f>
        <v>0</v>
      </c>
    </row>
    <row r="893" spans="1:103" ht="12.75" customHeight="1" x14ac:dyDescent="0.2">
      <c r="A893" s="81">
        <v>5958</v>
      </c>
      <c r="B893" s="165" t="s">
        <v>1930</v>
      </c>
      <c r="C893" s="165" t="s">
        <v>825</v>
      </c>
      <c r="E893" s="165" t="s">
        <v>2630</v>
      </c>
      <c r="G893" s="81">
        <v>527576</v>
      </c>
      <c r="H893" s="81">
        <v>171713</v>
      </c>
      <c r="I893" s="165" t="s">
        <v>242</v>
      </c>
      <c r="L893" s="166">
        <v>0</v>
      </c>
      <c r="M893" s="166">
        <v>2</v>
      </c>
      <c r="N893" s="166">
        <v>2</v>
      </c>
      <c r="O893" s="166">
        <v>4</v>
      </c>
      <c r="P893" s="166">
        <v>2</v>
      </c>
      <c r="R893" s="165" t="s">
        <v>1186</v>
      </c>
      <c r="S893" s="81" t="s">
        <v>113</v>
      </c>
      <c r="T893" s="349">
        <v>42423</v>
      </c>
      <c r="U893" s="349">
        <v>42478</v>
      </c>
      <c r="W893" s="81" t="s">
        <v>114</v>
      </c>
      <c r="Y893" s="81" t="s">
        <v>115</v>
      </c>
      <c r="Z893" s="81" t="s">
        <v>398</v>
      </c>
      <c r="AA893" s="81" t="s">
        <v>117</v>
      </c>
      <c r="AB893" s="81" t="s">
        <v>218</v>
      </c>
      <c r="AC893" s="166">
        <v>4.9999998882412902E-3</v>
      </c>
      <c r="AG893" s="81" t="s">
        <v>238</v>
      </c>
      <c r="AH893" s="81" t="s">
        <v>118</v>
      </c>
      <c r="AK893" s="166">
        <v>0</v>
      </c>
      <c r="AM893" s="166">
        <v>0</v>
      </c>
      <c r="AO893" s="166">
        <v>0</v>
      </c>
      <c r="AP893" s="166">
        <v>2</v>
      </c>
      <c r="AQ893" s="166">
        <v>0</v>
      </c>
      <c r="AR893" s="166">
        <v>0</v>
      </c>
      <c r="AS893" s="166">
        <v>0</v>
      </c>
      <c r="AT893" s="166">
        <v>0</v>
      </c>
      <c r="AU893" s="166">
        <v>0</v>
      </c>
      <c r="AV893" s="166">
        <v>0</v>
      </c>
      <c r="AW893" s="166">
        <v>2</v>
      </c>
      <c r="AX893" s="166">
        <v>0</v>
      </c>
      <c r="AY893" s="166">
        <v>0</v>
      </c>
      <c r="AZ893" s="166">
        <v>0</v>
      </c>
      <c r="BA893" s="166">
        <v>0</v>
      </c>
      <c r="BB893" s="166">
        <v>0</v>
      </c>
      <c r="BC893" s="166">
        <v>0</v>
      </c>
      <c r="BD893" s="166">
        <v>0</v>
      </c>
      <c r="BE893" s="166">
        <v>0</v>
      </c>
      <c r="BF893" s="166">
        <v>0</v>
      </c>
      <c r="BG893" s="166">
        <v>0</v>
      </c>
      <c r="BH893" s="166">
        <v>0</v>
      </c>
      <c r="BI893" s="166">
        <v>0</v>
      </c>
      <c r="BJ893" s="166">
        <v>0</v>
      </c>
      <c r="BK893" s="166">
        <v>0</v>
      </c>
      <c r="BL893" s="166">
        <v>0</v>
      </c>
      <c r="BM893" s="166">
        <v>0</v>
      </c>
      <c r="BN893" s="166">
        <v>0</v>
      </c>
      <c r="BO893" s="166">
        <v>0</v>
      </c>
      <c r="BP893" s="166">
        <v>0</v>
      </c>
      <c r="BQ893" s="81" t="s">
        <v>1757</v>
      </c>
      <c r="BR893" s="81" t="s">
        <v>242</v>
      </c>
      <c r="BZ893" s="81" t="s">
        <v>155</v>
      </c>
      <c r="CA893" s="81" t="s">
        <v>1937</v>
      </c>
      <c r="CC893" s="167">
        <v>0</v>
      </c>
      <c r="CD893" s="167">
        <f>$N893/4</f>
        <v>0.5</v>
      </c>
      <c r="CE893" s="167">
        <f>$N893/4</f>
        <v>0.5</v>
      </c>
      <c r="CF893" s="167">
        <f>$N893/4</f>
        <v>0.5</v>
      </c>
      <c r="CG893" s="167">
        <f>$N893/4</f>
        <v>0.5</v>
      </c>
      <c r="CH893" s="167">
        <v>0</v>
      </c>
      <c r="CI893" s="167">
        <v>0</v>
      </c>
      <c r="CJ893" s="167">
        <v>0</v>
      </c>
      <c r="CK893" s="167">
        <v>0</v>
      </c>
      <c r="CL893" s="167">
        <v>0</v>
      </c>
      <c r="CM893" s="167">
        <v>0</v>
      </c>
      <c r="CN893" s="167">
        <v>0</v>
      </c>
      <c r="CO893" s="167">
        <v>0</v>
      </c>
      <c r="CP893" s="167">
        <v>0</v>
      </c>
      <c r="CQ893" s="167">
        <v>0</v>
      </c>
      <c r="CR893" s="167">
        <v>0</v>
      </c>
      <c r="CS893" s="167">
        <v>0</v>
      </c>
      <c r="CT893" s="167">
        <v>0</v>
      </c>
      <c r="CU893" s="167">
        <v>0</v>
      </c>
      <c r="CV893" s="167">
        <v>0</v>
      </c>
      <c r="CW893" s="167">
        <v>0</v>
      </c>
      <c r="CX893" s="167">
        <f>SUM(CD893:CH893)</f>
        <v>2</v>
      </c>
      <c r="CY893" s="167">
        <f>SUM(CD893:CM893)</f>
        <v>2</v>
      </c>
    </row>
    <row r="894" spans="1:103" ht="12.75" customHeight="1" x14ac:dyDescent="0.2">
      <c r="A894" s="81">
        <v>5960</v>
      </c>
      <c r="B894" s="165" t="s">
        <v>1930</v>
      </c>
      <c r="C894" s="165" t="s">
        <v>633</v>
      </c>
      <c r="E894" s="165" t="s">
        <v>2631</v>
      </c>
      <c r="G894" s="81">
        <v>528068</v>
      </c>
      <c r="H894" s="81">
        <v>176644</v>
      </c>
      <c r="I894" s="165" t="s">
        <v>240</v>
      </c>
      <c r="L894" s="166">
        <v>0</v>
      </c>
      <c r="M894" s="166">
        <v>2</v>
      </c>
      <c r="N894" s="166">
        <v>2</v>
      </c>
      <c r="O894" s="166">
        <v>2</v>
      </c>
      <c r="P894" s="166">
        <v>2</v>
      </c>
      <c r="R894" s="165" t="s">
        <v>634</v>
      </c>
      <c r="S894" s="81" t="s">
        <v>270</v>
      </c>
      <c r="T894" s="349">
        <v>42229</v>
      </c>
      <c r="U894" s="349">
        <v>42285</v>
      </c>
      <c r="W894" s="81" t="s">
        <v>114</v>
      </c>
      <c r="Y894" s="81" t="s">
        <v>115</v>
      </c>
      <c r="Z894" s="81" t="s">
        <v>310</v>
      </c>
      <c r="AA894" s="81" t="s">
        <v>117</v>
      </c>
      <c r="AB894" s="81" t="s">
        <v>399</v>
      </c>
      <c r="AC894" s="166">
        <v>5.4999999701976797E-2</v>
      </c>
      <c r="AG894" s="81" t="s">
        <v>238</v>
      </c>
      <c r="AH894" s="81" t="s">
        <v>118</v>
      </c>
      <c r="AK894" s="166">
        <v>0</v>
      </c>
      <c r="AM894" s="166">
        <v>0</v>
      </c>
      <c r="AO894" s="166">
        <v>0</v>
      </c>
      <c r="AP894" s="166">
        <v>0</v>
      </c>
      <c r="AQ894" s="166">
        <v>2</v>
      </c>
      <c r="AR894" s="166">
        <v>0</v>
      </c>
      <c r="AS894" s="166">
        <v>0</v>
      </c>
      <c r="AT894" s="166">
        <v>0</v>
      </c>
      <c r="AU894" s="166">
        <v>0</v>
      </c>
      <c r="AV894" s="166">
        <v>0</v>
      </c>
      <c r="AW894" s="166">
        <v>0</v>
      </c>
      <c r="AX894" s="166">
        <v>2</v>
      </c>
      <c r="AY894" s="166">
        <v>0</v>
      </c>
      <c r="AZ894" s="166">
        <v>0</v>
      </c>
      <c r="BA894" s="166">
        <v>0</v>
      </c>
      <c r="BB894" s="166">
        <v>0</v>
      </c>
      <c r="BC894" s="166">
        <v>0</v>
      </c>
      <c r="BD894" s="166">
        <v>0</v>
      </c>
      <c r="BE894" s="166">
        <v>0</v>
      </c>
      <c r="BF894" s="166">
        <v>0</v>
      </c>
      <c r="BG894" s="166">
        <v>0</v>
      </c>
      <c r="BH894" s="166">
        <v>0</v>
      </c>
      <c r="BI894" s="166">
        <v>0</v>
      </c>
      <c r="BJ894" s="166">
        <v>0</v>
      </c>
      <c r="BK894" s="166">
        <v>0</v>
      </c>
      <c r="BL894" s="166">
        <v>0</v>
      </c>
      <c r="BM894" s="166">
        <v>0</v>
      </c>
      <c r="BN894" s="166">
        <v>0</v>
      </c>
      <c r="BO894" s="166">
        <v>0</v>
      </c>
      <c r="BP894" s="166">
        <v>0</v>
      </c>
      <c r="BQ894" s="81" t="s">
        <v>1757</v>
      </c>
      <c r="BZ894" s="81" t="s">
        <v>155</v>
      </c>
      <c r="CA894" s="81" t="s">
        <v>1937</v>
      </c>
      <c r="CC894" s="167">
        <v>0</v>
      </c>
      <c r="CD894" s="167">
        <f>$N894/4</f>
        <v>0.5</v>
      </c>
      <c r="CE894" s="167">
        <f>$N894/4</f>
        <v>0.5</v>
      </c>
      <c r="CF894" s="167">
        <f>$N894/4</f>
        <v>0.5</v>
      </c>
      <c r="CG894" s="167">
        <f>$N894/4</f>
        <v>0.5</v>
      </c>
      <c r="CH894" s="167">
        <v>0</v>
      </c>
      <c r="CI894" s="167">
        <v>0</v>
      </c>
      <c r="CJ894" s="167">
        <v>0</v>
      </c>
      <c r="CK894" s="167">
        <v>0</v>
      </c>
      <c r="CL894" s="167">
        <v>0</v>
      </c>
      <c r="CM894" s="167">
        <v>0</v>
      </c>
      <c r="CN894" s="167">
        <v>0</v>
      </c>
      <c r="CO894" s="167">
        <v>0</v>
      </c>
      <c r="CP894" s="167">
        <v>0</v>
      </c>
      <c r="CQ894" s="167">
        <v>0</v>
      </c>
      <c r="CR894" s="167">
        <v>0</v>
      </c>
      <c r="CS894" s="167">
        <v>0</v>
      </c>
      <c r="CT894" s="167">
        <v>0</v>
      </c>
      <c r="CU894" s="167">
        <v>0</v>
      </c>
      <c r="CV894" s="167">
        <v>0</v>
      </c>
      <c r="CW894" s="167">
        <v>0</v>
      </c>
      <c r="CX894" s="167">
        <f>SUM(CD894:CH894)</f>
        <v>2</v>
      </c>
      <c r="CY894" s="167">
        <f>SUM(CD894:CM894)</f>
        <v>2</v>
      </c>
    </row>
    <row r="895" spans="1:103" ht="12.75" customHeight="1" x14ac:dyDescent="0.2">
      <c r="A895" s="81">
        <v>5961</v>
      </c>
      <c r="B895" s="165" t="s">
        <v>1930</v>
      </c>
      <c r="C895" s="165" t="s">
        <v>596</v>
      </c>
      <c r="E895" s="165" t="s">
        <v>2632</v>
      </c>
      <c r="G895" s="81">
        <v>523197</v>
      </c>
      <c r="H895" s="81">
        <v>175814</v>
      </c>
      <c r="I895" s="165" t="s">
        <v>259</v>
      </c>
      <c r="L895" s="166">
        <v>0</v>
      </c>
      <c r="M895" s="166">
        <v>1</v>
      </c>
      <c r="N895" s="166">
        <v>1</v>
      </c>
      <c r="O895" s="166">
        <v>1</v>
      </c>
      <c r="P895" s="166">
        <v>1</v>
      </c>
      <c r="R895" s="165" t="s">
        <v>562</v>
      </c>
      <c r="S895" s="81" t="s">
        <v>110</v>
      </c>
      <c r="T895" s="349">
        <v>42186</v>
      </c>
      <c r="U895" s="349">
        <v>42242</v>
      </c>
      <c r="W895" s="81" t="s">
        <v>114</v>
      </c>
      <c r="Y895" s="81" t="s">
        <v>115</v>
      </c>
      <c r="Z895" s="81" t="s">
        <v>310</v>
      </c>
      <c r="AA895" s="81" t="s">
        <v>117</v>
      </c>
      <c r="AB895" s="81" t="s">
        <v>399</v>
      </c>
      <c r="AC895" s="166">
        <v>6.0000000521540598E-3</v>
      </c>
      <c r="AG895" s="81" t="s">
        <v>238</v>
      </c>
      <c r="AH895" s="81" t="s">
        <v>118</v>
      </c>
      <c r="AK895" s="166">
        <v>0</v>
      </c>
      <c r="AM895" s="166">
        <v>0</v>
      </c>
      <c r="AO895" s="166">
        <v>0</v>
      </c>
      <c r="AP895" s="166">
        <v>0</v>
      </c>
      <c r="AQ895" s="166">
        <v>1</v>
      </c>
      <c r="AR895" s="166">
        <v>0</v>
      </c>
      <c r="AS895" s="166">
        <v>0</v>
      </c>
      <c r="AT895" s="166">
        <v>0</v>
      </c>
      <c r="AU895" s="166">
        <v>0</v>
      </c>
      <c r="AV895" s="166">
        <v>0</v>
      </c>
      <c r="AW895" s="166">
        <v>0</v>
      </c>
      <c r="AX895" s="166">
        <v>1</v>
      </c>
      <c r="AY895" s="166">
        <v>0</v>
      </c>
      <c r="AZ895" s="166">
        <v>0</v>
      </c>
      <c r="BA895" s="166">
        <v>0</v>
      </c>
      <c r="BB895" s="166">
        <v>0</v>
      </c>
      <c r="BC895" s="166">
        <v>0</v>
      </c>
      <c r="BD895" s="166">
        <v>0</v>
      </c>
      <c r="BE895" s="166">
        <v>0</v>
      </c>
      <c r="BF895" s="166">
        <v>0</v>
      </c>
      <c r="BG895" s="166">
        <v>0</v>
      </c>
      <c r="BH895" s="166">
        <v>0</v>
      </c>
      <c r="BI895" s="166">
        <v>0</v>
      </c>
      <c r="BJ895" s="166">
        <v>0</v>
      </c>
      <c r="BK895" s="166">
        <v>0</v>
      </c>
      <c r="BL895" s="166">
        <v>0</v>
      </c>
      <c r="BM895" s="166">
        <v>0</v>
      </c>
      <c r="BN895" s="166">
        <v>0</v>
      </c>
      <c r="BO895" s="166">
        <v>0</v>
      </c>
      <c r="BP895" s="166">
        <v>0</v>
      </c>
      <c r="BQ895" s="81" t="s">
        <v>1758</v>
      </c>
      <c r="BZ895" s="81" t="s">
        <v>155</v>
      </c>
      <c r="CA895" s="81" t="s">
        <v>1937</v>
      </c>
      <c r="CC895" s="167">
        <v>0</v>
      </c>
      <c r="CD895" s="167">
        <f>$N895/4</f>
        <v>0.25</v>
      </c>
      <c r="CE895" s="167">
        <f>$N895/4</f>
        <v>0.25</v>
      </c>
      <c r="CF895" s="167">
        <f>$N895/4</f>
        <v>0.25</v>
      </c>
      <c r="CG895" s="167">
        <f>$N895/4</f>
        <v>0.25</v>
      </c>
      <c r="CH895" s="167">
        <v>0</v>
      </c>
      <c r="CI895" s="167">
        <v>0</v>
      </c>
      <c r="CJ895" s="167">
        <v>0</v>
      </c>
      <c r="CK895" s="167">
        <v>0</v>
      </c>
      <c r="CL895" s="167">
        <v>0</v>
      </c>
      <c r="CM895" s="167">
        <v>0</v>
      </c>
      <c r="CN895" s="167">
        <v>0</v>
      </c>
      <c r="CO895" s="167">
        <v>0</v>
      </c>
      <c r="CP895" s="167">
        <v>0</v>
      </c>
      <c r="CQ895" s="167">
        <v>0</v>
      </c>
      <c r="CR895" s="167">
        <v>0</v>
      </c>
      <c r="CS895" s="167">
        <v>0</v>
      </c>
      <c r="CT895" s="167">
        <v>0</v>
      </c>
      <c r="CU895" s="167">
        <v>0</v>
      </c>
      <c r="CV895" s="167">
        <v>0</v>
      </c>
      <c r="CW895" s="167">
        <v>0</v>
      </c>
      <c r="CX895" s="167">
        <f>SUM(CD895:CH895)</f>
        <v>1</v>
      </c>
      <c r="CY895" s="167">
        <f>SUM(CD895:CM895)</f>
        <v>1</v>
      </c>
    </row>
    <row r="896" spans="1:103" ht="12.75" customHeight="1" x14ac:dyDescent="0.2">
      <c r="A896" s="81">
        <v>5963</v>
      </c>
      <c r="B896" s="165" t="s">
        <v>1930</v>
      </c>
      <c r="C896" s="165" t="s">
        <v>628</v>
      </c>
      <c r="E896" s="165" t="s">
        <v>2633</v>
      </c>
      <c r="G896" s="81">
        <v>523225</v>
      </c>
      <c r="H896" s="81">
        <v>175820</v>
      </c>
      <c r="I896" s="165" t="s">
        <v>259</v>
      </c>
      <c r="L896" s="166">
        <v>0</v>
      </c>
      <c r="M896" s="166">
        <v>1</v>
      </c>
      <c r="N896" s="166">
        <v>1</v>
      </c>
      <c r="O896" s="166">
        <v>1</v>
      </c>
      <c r="P896" s="166">
        <v>1</v>
      </c>
      <c r="R896" s="165" t="s">
        <v>562</v>
      </c>
      <c r="S896" s="81" t="s">
        <v>110</v>
      </c>
      <c r="T896" s="349">
        <v>42265</v>
      </c>
      <c r="U896" s="349">
        <v>42321</v>
      </c>
      <c r="W896" s="81" t="s">
        <v>114</v>
      </c>
      <c r="Y896" s="81" t="s">
        <v>115</v>
      </c>
      <c r="Z896" s="81" t="s">
        <v>310</v>
      </c>
      <c r="AA896" s="81" t="s">
        <v>117</v>
      </c>
      <c r="AB896" s="81" t="s">
        <v>399</v>
      </c>
      <c r="AC896" s="166">
        <v>4.6999998390674598E-2</v>
      </c>
      <c r="AG896" s="81" t="s">
        <v>238</v>
      </c>
      <c r="AH896" s="81" t="s">
        <v>118</v>
      </c>
      <c r="AK896" s="166">
        <v>0</v>
      </c>
      <c r="AM896" s="166">
        <v>0</v>
      </c>
      <c r="AO896" s="166">
        <v>0</v>
      </c>
      <c r="AP896" s="166">
        <v>0</v>
      </c>
      <c r="AQ896" s="166">
        <v>1</v>
      </c>
      <c r="AR896" s="166">
        <v>0</v>
      </c>
      <c r="AS896" s="166">
        <v>0</v>
      </c>
      <c r="AT896" s="166">
        <v>0</v>
      </c>
      <c r="AU896" s="166">
        <v>0</v>
      </c>
      <c r="AV896" s="166">
        <v>0</v>
      </c>
      <c r="AW896" s="166">
        <v>0</v>
      </c>
      <c r="AX896" s="166">
        <v>1</v>
      </c>
      <c r="AY896" s="166">
        <v>0</v>
      </c>
      <c r="AZ896" s="166">
        <v>0</v>
      </c>
      <c r="BA896" s="166">
        <v>0</v>
      </c>
      <c r="BB896" s="166">
        <v>0</v>
      </c>
      <c r="BC896" s="166">
        <v>0</v>
      </c>
      <c r="BD896" s="166">
        <v>0</v>
      </c>
      <c r="BE896" s="166">
        <v>0</v>
      </c>
      <c r="BF896" s="166">
        <v>0</v>
      </c>
      <c r="BG896" s="166">
        <v>0</v>
      </c>
      <c r="BH896" s="166">
        <v>0</v>
      </c>
      <c r="BI896" s="166">
        <v>0</v>
      </c>
      <c r="BJ896" s="166">
        <v>0</v>
      </c>
      <c r="BK896" s="166">
        <v>0</v>
      </c>
      <c r="BL896" s="166">
        <v>0</v>
      </c>
      <c r="BM896" s="166">
        <v>0</v>
      </c>
      <c r="BN896" s="166">
        <v>0</v>
      </c>
      <c r="BO896" s="166">
        <v>0</v>
      </c>
      <c r="BP896" s="166">
        <v>0</v>
      </c>
      <c r="BQ896" s="81" t="s">
        <v>1758</v>
      </c>
      <c r="BZ896" s="81" t="s">
        <v>155</v>
      </c>
      <c r="CA896" s="81" t="s">
        <v>1937</v>
      </c>
      <c r="CC896" s="167">
        <v>0</v>
      </c>
      <c r="CD896" s="167">
        <f>$N896/4</f>
        <v>0.25</v>
      </c>
      <c r="CE896" s="167">
        <f>$N896/4</f>
        <v>0.25</v>
      </c>
      <c r="CF896" s="167">
        <f>$N896/4</f>
        <v>0.25</v>
      </c>
      <c r="CG896" s="167">
        <f>$N896/4</f>
        <v>0.25</v>
      </c>
      <c r="CH896" s="167">
        <v>0</v>
      </c>
      <c r="CI896" s="167">
        <v>0</v>
      </c>
      <c r="CJ896" s="167">
        <v>0</v>
      </c>
      <c r="CK896" s="167">
        <v>0</v>
      </c>
      <c r="CL896" s="167">
        <v>0</v>
      </c>
      <c r="CM896" s="167">
        <v>0</v>
      </c>
      <c r="CN896" s="167">
        <v>0</v>
      </c>
      <c r="CO896" s="167">
        <v>0</v>
      </c>
      <c r="CP896" s="167">
        <v>0</v>
      </c>
      <c r="CQ896" s="167">
        <v>0</v>
      </c>
      <c r="CR896" s="167">
        <v>0</v>
      </c>
      <c r="CS896" s="167">
        <v>0</v>
      </c>
      <c r="CT896" s="167">
        <v>0</v>
      </c>
      <c r="CU896" s="167">
        <v>0</v>
      </c>
      <c r="CV896" s="167">
        <v>0</v>
      </c>
      <c r="CW896" s="167">
        <v>0</v>
      </c>
      <c r="CX896" s="167">
        <f>SUM(CD896:CH896)</f>
        <v>1</v>
      </c>
      <c r="CY896" s="167">
        <f>SUM(CD896:CM896)</f>
        <v>1</v>
      </c>
    </row>
    <row r="897" spans="1:103" ht="12.75" customHeight="1" x14ac:dyDescent="0.2">
      <c r="A897" s="81">
        <v>5967</v>
      </c>
      <c r="B897" s="165" t="s">
        <v>1930</v>
      </c>
      <c r="C897" s="165" t="s">
        <v>539</v>
      </c>
      <c r="E897" s="165" t="s">
        <v>2634</v>
      </c>
      <c r="G897" s="81">
        <v>523256</v>
      </c>
      <c r="H897" s="81">
        <v>175751</v>
      </c>
      <c r="I897" s="165" t="s">
        <v>259</v>
      </c>
      <c r="L897" s="166">
        <v>2</v>
      </c>
      <c r="M897" s="166">
        <v>1</v>
      </c>
      <c r="N897" s="166">
        <v>-1</v>
      </c>
      <c r="O897" s="166">
        <v>1</v>
      </c>
      <c r="P897" s="166">
        <v>-1</v>
      </c>
      <c r="R897" s="165" t="s">
        <v>540</v>
      </c>
      <c r="S897" s="81" t="s">
        <v>113</v>
      </c>
      <c r="T897" s="349">
        <v>42107</v>
      </c>
      <c r="U897" s="349">
        <v>42170</v>
      </c>
      <c r="W897" s="81" t="s">
        <v>114</v>
      </c>
      <c r="Y897" s="81" t="s">
        <v>115</v>
      </c>
      <c r="Z897" s="81" t="s">
        <v>119</v>
      </c>
      <c r="AA897" s="81" t="s">
        <v>117</v>
      </c>
      <c r="AB897" s="81" t="s">
        <v>336</v>
      </c>
      <c r="AC897" s="166">
        <v>1.7999999225139601E-2</v>
      </c>
      <c r="AG897" s="81" t="s">
        <v>238</v>
      </c>
      <c r="AH897" s="81" t="s">
        <v>118</v>
      </c>
      <c r="AK897" s="166">
        <v>0</v>
      </c>
      <c r="AM897" s="166">
        <v>0</v>
      </c>
      <c r="AO897" s="166">
        <v>0</v>
      </c>
      <c r="AP897" s="166">
        <v>-1</v>
      </c>
      <c r="AQ897" s="166">
        <v>-1</v>
      </c>
      <c r="AR897" s="166">
        <v>0</v>
      </c>
      <c r="AS897" s="166">
        <v>1</v>
      </c>
      <c r="AT897" s="166">
        <v>0</v>
      </c>
      <c r="AU897" s="166">
        <v>0</v>
      </c>
      <c r="AV897" s="166">
        <v>0</v>
      </c>
      <c r="AW897" s="166">
        <v>-1</v>
      </c>
      <c r="AX897" s="166">
        <v>-1</v>
      </c>
      <c r="AY897" s="166">
        <v>0</v>
      </c>
      <c r="AZ897" s="166">
        <v>0</v>
      </c>
      <c r="BA897" s="166">
        <v>0</v>
      </c>
      <c r="BB897" s="166">
        <v>0</v>
      </c>
      <c r="BC897" s="166">
        <v>0</v>
      </c>
      <c r="BD897" s="166">
        <v>0</v>
      </c>
      <c r="BE897" s="166">
        <v>0</v>
      </c>
      <c r="BF897" s="166">
        <v>0</v>
      </c>
      <c r="BG897" s="166">
        <v>1</v>
      </c>
      <c r="BH897" s="166">
        <v>0</v>
      </c>
      <c r="BI897" s="166">
        <v>0</v>
      </c>
      <c r="BJ897" s="166">
        <v>0</v>
      </c>
      <c r="BK897" s="166">
        <v>0</v>
      </c>
      <c r="BL897" s="166">
        <v>0</v>
      </c>
      <c r="BM897" s="166">
        <v>0</v>
      </c>
      <c r="BN897" s="166">
        <v>0</v>
      </c>
      <c r="BO897" s="166">
        <v>0</v>
      </c>
      <c r="BP897" s="166">
        <v>0</v>
      </c>
      <c r="BQ897" s="81" t="s">
        <v>1758</v>
      </c>
      <c r="BZ897" s="81" t="s">
        <v>155</v>
      </c>
      <c r="CA897" s="81" t="s">
        <v>1937</v>
      </c>
      <c r="CC897" s="167">
        <v>0</v>
      </c>
      <c r="CD897" s="167">
        <f>$N897/4</f>
        <v>-0.25</v>
      </c>
      <c r="CE897" s="167">
        <f>$N897/4</f>
        <v>-0.25</v>
      </c>
      <c r="CF897" s="167">
        <f>$N897/4</f>
        <v>-0.25</v>
      </c>
      <c r="CG897" s="167">
        <f>$N897/4</f>
        <v>-0.25</v>
      </c>
      <c r="CH897" s="167">
        <v>0</v>
      </c>
      <c r="CI897" s="167">
        <v>0</v>
      </c>
      <c r="CJ897" s="167">
        <v>0</v>
      </c>
      <c r="CK897" s="167">
        <v>0</v>
      </c>
      <c r="CL897" s="167">
        <v>0</v>
      </c>
      <c r="CM897" s="167">
        <v>0</v>
      </c>
      <c r="CN897" s="167">
        <v>0</v>
      </c>
      <c r="CO897" s="167">
        <v>0</v>
      </c>
      <c r="CP897" s="167">
        <v>0</v>
      </c>
      <c r="CQ897" s="167">
        <v>0</v>
      </c>
      <c r="CR897" s="167">
        <v>0</v>
      </c>
      <c r="CS897" s="167">
        <v>0</v>
      </c>
      <c r="CT897" s="167">
        <v>0</v>
      </c>
      <c r="CU897" s="167">
        <v>0</v>
      </c>
      <c r="CV897" s="167">
        <v>0</v>
      </c>
      <c r="CW897" s="167">
        <v>0</v>
      </c>
      <c r="CX897" s="167">
        <f>SUM(CD897:CH897)</f>
        <v>-1</v>
      </c>
      <c r="CY897" s="167">
        <f>SUM(CD897:CM897)</f>
        <v>-1</v>
      </c>
    </row>
    <row r="898" spans="1:103" ht="12.75" customHeight="1" x14ac:dyDescent="0.2">
      <c r="A898" s="81">
        <v>5995</v>
      </c>
      <c r="B898" s="165" t="s">
        <v>1930</v>
      </c>
      <c r="C898" s="165" t="s">
        <v>570</v>
      </c>
      <c r="E898" s="165" t="s">
        <v>2635</v>
      </c>
      <c r="G898" s="81">
        <v>521248</v>
      </c>
      <c r="H898" s="81">
        <v>174669</v>
      </c>
      <c r="I898" s="165" t="s">
        <v>877</v>
      </c>
      <c r="L898" s="166">
        <v>1</v>
      </c>
      <c r="M898" s="166">
        <v>1</v>
      </c>
      <c r="N898" s="166">
        <v>0</v>
      </c>
      <c r="O898" s="166">
        <v>1</v>
      </c>
      <c r="P898" s="166">
        <v>0</v>
      </c>
      <c r="R898" s="165" t="s">
        <v>571</v>
      </c>
      <c r="S898" s="81" t="s">
        <v>113</v>
      </c>
      <c r="T898" s="349">
        <v>42159</v>
      </c>
      <c r="U898" s="349">
        <v>42213</v>
      </c>
      <c r="W898" s="81" t="s">
        <v>114</v>
      </c>
      <c r="Y898" s="81" t="s">
        <v>115</v>
      </c>
      <c r="Z898" s="81" t="s">
        <v>116</v>
      </c>
      <c r="AA898" s="81" t="s">
        <v>117</v>
      </c>
      <c r="AB898" s="81" t="s">
        <v>218</v>
      </c>
      <c r="AC898" s="166">
        <v>0.123000003397465</v>
      </c>
      <c r="AG898" s="81" t="s">
        <v>238</v>
      </c>
      <c r="AH898" s="81" t="s">
        <v>118</v>
      </c>
      <c r="AK898" s="166">
        <v>1</v>
      </c>
      <c r="AM898" s="166">
        <v>0</v>
      </c>
      <c r="AO898" s="166">
        <v>0</v>
      </c>
      <c r="AP898" s="166">
        <v>0</v>
      </c>
      <c r="AQ898" s="166">
        <v>0</v>
      </c>
      <c r="AR898" s="166">
        <v>0</v>
      </c>
      <c r="AS898" s="166">
        <v>0</v>
      </c>
      <c r="AT898" s="166">
        <v>0</v>
      </c>
      <c r="AU898" s="166">
        <v>0</v>
      </c>
      <c r="AV898" s="166">
        <v>0</v>
      </c>
      <c r="AW898" s="166">
        <v>0</v>
      </c>
      <c r="AX898" s="166">
        <v>0</v>
      </c>
      <c r="AY898" s="166">
        <v>0</v>
      </c>
      <c r="AZ898" s="166">
        <v>0</v>
      </c>
      <c r="BA898" s="166">
        <v>0</v>
      </c>
      <c r="BB898" s="166">
        <v>0</v>
      </c>
      <c r="BC898" s="166">
        <v>0</v>
      </c>
      <c r="BD898" s="166">
        <v>0</v>
      </c>
      <c r="BE898" s="166">
        <v>0</v>
      </c>
      <c r="BF898" s="166">
        <v>0</v>
      </c>
      <c r="BG898" s="166">
        <v>0</v>
      </c>
      <c r="BH898" s="166">
        <v>0</v>
      </c>
      <c r="BI898" s="166">
        <v>0</v>
      </c>
      <c r="BJ898" s="166">
        <v>0</v>
      </c>
      <c r="BK898" s="166">
        <v>0</v>
      </c>
      <c r="BL898" s="166">
        <v>0</v>
      </c>
      <c r="BM898" s="166">
        <v>0</v>
      </c>
      <c r="BN898" s="166">
        <v>0</v>
      </c>
      <c r="BO898" s="166">
        <v>0</v>
      </c>
      <c r="BP898" s="166">
        <v>0</v>
      </c>
      <c r="BQ898" s="81" t="s">
        <v>1758</v>
      </c>
      <c r="BZ898" s="81" t="s">
        <v>155</v>
      </c>
      <c r="CA898" s="81">
        <v>4</v>
      </c>
      <c r="CC898" s="167">
        <v>0</v>
      </c>
      <c r="CD898" s="167">
        <v>0</v>
      </c>
      <c r="CE898" s="167">
        <f>$N898/5</f>
        <v>0</v>
      </c>
      <c r="CF898" s="167">
        <f>$N898/5</f>
        <v>0</v>
      </c>
      <c r="CG898" s="167">
        <f>$N898/5</f>
        <v>0</v>
      </c>
      <c r="CH898" s="167">
        <f>$N898/5</f>
        <v>0</v>
      </c>
      <c r="CI898" s="167">
        <f>$N898/5</f>
        <v>0</v>
      </c>
      <c r="CJ898" s="167">
        <v>0</v>
      </c>
      <c r="CK898" s="167">
        <v>0</v>
      </c>
      <c r="CL898" s="167">
        <v>0</v>
      </c>
      <c r="CM898" s="167">
        <v>0</v>
      </c>
      <c r="CN898" s="167">
        <v>0</v>
      </c>
      <c r="CO898" s="167">
        <v>0</v>
      </c>
      <c r="CP898" s="167">
        <v>0</v>
      </c>
      <c r="CQ898" s="167">
        <v>0</v>
      </c>
      <c r="CR898" s="167">
        <v>0</v>
      </c>
      <c r="CS898" s="167">
        <v>0</v>
      </c>
      <c r="CT898" s="167">
        <v>0</v>
      </c>
      <c r="CU898" s="167">
        <v>0</v>
      </c>
      <c r="CV898" s="167">
        <v>0</v>
      </c>
      <c r="CW898" s="167">
        <v>0</v>
      </c>
      <c r="CX898" s="167">
        <f>SUM(CD898:CH898)</f>
        <v>0</v>
      </c>
      <c r="CY898" s="167">
        <f>SUM(CD898:CM898)</f>
        <v>0</v>
      </c>
    </row>
    <row r="899" spans="1:103" ht="12.75" customHeight="1" x14ac:dyDescent="0.2">
      <c r="A899" s="81">
        <v>5996</v>
      </c>
      <c r="B899" s="165" t="s">
        <v>1930</v>
      </c>
      <c r="C899" s="165" t="s">
        <v>2636</v>
      </c>
      <c r="E899" s="165" t="s">
        <v>2637</v>
      </c>
      <c r="G899" s="81">
        <v>527571</v>
      </c>
      <c r="H899" s="81">
        <v>171743</v>
      </c>
      <c r="I899" s="165" t="s">
        <v>242</v>
      </c>
      <c r="L899" s="166">
        <v>0</v>
      </c>
      <c r="M899" s="166">
        <v>3</v>
      </c>
      <c r="N899" s="166">
        <v>3</v>
      </c>
      <c r="O899" s="166">
        <v>3</v>
      </c>
      <c r="P899" s="166">
        <v>3</v>
      </c>
      <c r="R899" s="165" t="s">
        <v>2638</v>
      </c>
      <c r="S899" s="81" t="s">
        <v>113</v>
      </c>
      <c r="T899" s="349">
        <v>42873</v>
      </c>
      <c r="U899" s="349">
        <v>43032</v>
      </c>
      <c r="V899" s="81" t="s">
        <v>155</v>
      </c>
      <c r="W899" s="81" t="s">
        <v>114</v>
      </c>
      <c r="Y899" s="81" t="s">
        <v>115</v>
      </c>
      <c r="Z899" s="81" t="s">
        <v>116</v>
      </c>
      <c r="AA899" s="81" t="s">
        <v>117</v>
      </c>
      <c r="AB899" s="81" t="s">
        <v>218</v>
      </c>
      <c r="AC899" s="166">
        <v>1.2000000104308101E-2</v>
      </c>
      <c r="AG899" s="81" t="s">
        <v>238</v>
      </c>
      <c r="AH899" s="81" t="s">
        <v>118</v>
      </c>
      <c r="AK899" s="166">
        <v>3</v>
      </c>
      <c r="AM899" s="166">
        <v>0</v>
      </c>
      <c r="AO899" s="166">
        <v>0</v>
      </c>
      <c r="AP899" s="166">
        <v>2</v>
      </c>
      <c r="AQ899" s="166">
        <v>1</v>
      </c>
      <c r="AR899" s="166">
        <v>0</v>
      </c>
      <c r="AS899" s="166">
        <v>0</v>
      </c>
      <c r="AT899" s="166">
        <v>0</v>
      </c>
      <c r="AU899" s="166">
        <v>0</v>
      </c>
      <c r="AV899" s="166">
        <v>0</v>
      </c>
      <c r="AW899" s="166">
        <v>2</v>
      </c>
      <c r="AX899" s="166">
        <v>1</v>
      </c>
      <c r="AY899" s="166">
        <v>0</v>
      </c>
      <c r="AZ899" s="166">
        <v>0</v>
      </c>
      <c r="BA899" s="166">
        <v>0</v>
      </c>
      <c r="BB899" s="166">
        <v>0</v>
      </c>
      <c r="BC899" s="166">
        <v>0</v>
      </c>
      <c r="BD899" s="166">
        <v>0</v>
      </c>
      <c r="BE899" s="166">
        <v>0</v>
      </c>
      <c r="BF899" s="166">
        <v>0</v>
      </c>
      <c r="BG899" s="166">
        <v>0</v>
      </c>
      <c r="BH899" s="166">
        <v>0</v>
      </c>
      <c r="BI899" s="166">
        <v>0</v>
      </c>
      <c r="BJ899" s="166">
        <v>0</v>
      </c>
      <c r="BK899" s="166">
        <v>0</v>
      </c>
      <c r="BL899" s="166">
        <v>0</v>
      </c>
      <c r="BM899" s="166">
        <v>0</v>
      </c>
      <c r="BN899" s="166">
        <v>0</v>
      </c>
      <c r="BO899" s="166">
        <v>0</v>
      </c>
      <c r="BP899" s="166">
        <v>0</v>
      </c>
      <c r="BQ899" s="81" t="s">
        <v>1757</v>
      </c>
      <c r="BZ899" s="81" t="s">
        <v>155</v>
      </c>
      <c r="CA899" s="81">
        <v>4</v>
      </c>
      <c r="CC899" s="167">
        <v>0</v>
      </c>
      <c r="CD899" s="167">
        <v>0</v>
      </c>
      <c r="CE899" s="167">
        <f>$N899/5</f>
        <v>0.6</v>
      </c>
      <c r="CF899" s="167">
        <f>$N899/5</f>
        <v>0.6</v>
      </c>
      <c r="CG899" s="167">
        <f>$N899/5</f>
        <v>0.6</v>
      </c>
      <c r="CH899" s="167">
        <f>$N899/5</f>
        <v>0.6</v>
      </c>
      <c r="CI899" s="167">
        <f>$N899/5</f>
        <v>0.6</v>
      </c>
      <c r="CJ899" s="167">
        <v>0</v>
      </c>
      <c r="CK899" s="167">
        <v>0</v>
      </c>
      <c r="CL899" s="167">
        <v>0</v>
      </c>
      <c r="CM899" s="167">
        <v>0</v>
      </c>
      <c r="CN899" s="167">
        <v>0</v>
      </c>
      <c r="CO899" s="167">
        <v>0</v>
      </c>
      <c r="CP899" s="167">
        <v>0</v>
      </c>
      <c r="CQ899" s="167">
        <v>0</v>
      </c>
      <c r="CR899" s="167">
        <v>0</v>
      </c>
      <c r="CS899" s="167">
        <v>0</v>
      </c>
      <c r="CT899" s="167">
        <v>0</v>
      </c>
      <c r="CU899" s="167">
        <v>0</v>
      </c>
      <c r="CV899" s="167">
        <v>0</v>
      </c>
      <c r="CW899" s="167">
        <v>0</v>
      </c>
      <c r="CX899" s="167">
        <f>SUM(CD899:CH899)</f>
        <v>2.4</v>
      </c>
      <c r="CY899" s="167">
        <f>SUM(CD899:CM899)</f>
        <v>3</v>
      </c>
    </row>
    <row r="900" spans="1:103" ht="12.75" customHeight="1" x14ac:dyDescent="0.2">
      <c r="A900" s="81">
        <v>5999</v>
      </c>
      <c r="B900" s="165" t="s">
        <v>1930</v>
      </c>
      <c r="C900" s="165" t="s">
        <v>582</v>
      </c>
      <c r="E900" s="165" t="s">
        <v>2639</v>
      </c>
      <c r="G900" s="81">
        <v>526961</v>
      </c>
      <c r="H900" s="81">
        <v>174225</v>
      </c>
      <c r="I900" s="165" t="s">
        <v>260</v>
      </c>
      <c r="L900" s="166">
        <v>0</v>
      </c>
      <c r="M900" s="166">
        <v>1</v>
      </c>
      <c r="N900" s="166">
        <v>1</v>
      </c>
      <c r="O900" s="166">
        <v>1</v>
      </c>
      <c r="P900" s="166">
        <v>1</v>
      </c>
      <c r="R900" s="165" t="s">
        <v>583</v>
      </c>
      <c r="S900" s="81" t="s">
        <v>113</v>
      </c>
      <c r="T900" s="349">
        <v>42177</v>
      </c>
      <c r="U900" s="349">
        <v>42296</v>
      </c>
      <c r="W900" s="81" t="s">
        <v>114</v>
      </c>
      <c r="Y900" s="81" t="s">
        <v>115</v>
      </c>
      <c r="Z900" s="81" t="s">
        <v>116</v>
      </c>
      <c r="AA900" s="81" t="s">
        <v>117</v>
      </c>
      <c r="AB900" s="81" t="s">
        <v>218</v>
      </c>
      <c r="AC900" s="166">
        <v>8.9999996125698107E-3</v>
      </c>
      <c r="AG900" s="81" t="s">
        <v>238</v>
      </c>
      <c r="AH900" s="81" t="s">
        <v>118</v>
      </c>
      <c r="AK900" s="166">
        <v>1</v>
      </c>
      <c r="AM900" s="166">
        <v>0</v>
      </c>
      <c r="AO900" s="166">
        <v>0</v>
      </c>
      <c r="AP900" s="166">
        <v>0</v>
      </c>
      <c r="AQ900" s="166">
        <v>1</v>
      </c>
      <c r="AR900" s="166">
        <v>0</v>
      </c>
      <c r="AS900" s="166">
        <v>0</v>
      </c>
      <c r="AT900" s="166">
        <v>0</v>
      </c>
      <c r="AU900" s="166">
        <v>0</v>
      </c>
      <c r="AV900" s="166">
        <v>0</v>
      </c>
      <c r="AW900" s="166">
        <v>0</v>
      </c>
      <c r="AX900" s="166">
        <v>0</v>
      </c>
      <c r="AY900" s="166">
        <v>0</v>
      </c>
      <c r="AZ900" s="166">
        <v>0</v>
      </c>
      <c r="BA900" s="166">
        <v>0</v>
      </c>
      <c r="BB900" s="166">
        <v>0</v>
      </c>
      <c r="BC900" s="166">
        <v>0</v>
      </c>
      <c r="BD900" s="166">
        <v>0</v>
      </c>
      <c r="BE900" s="166">
        <v>1</v>
      </c>
      <c r="BF900" s="166">
        <v>0</v>
      </c>
      <c r="BG900" s="166">
        <v>0</v>
      </c>
      <c r="BH900" s="166">
        <v>0</v>
      </c>
      <c r="BI900" s="166">
        <v>0</v>
      </c>
      <c r="BJ900" s="166">
        <v>0</v>
      </c>
      <c r="BK900" s="166">
        <v>0</v>
      </c>
      <c r="BL900" s="166">
        <v>0</v>
      </c>
      <c r="BM900" s="166">
        <v>0</v>
      </c>
      <c r="BN900" s="166">
        <v>0</v>
      </c>
      <c r="BO900" s="166">
        <v>0</v>
      </c>
      <c r="BP900" s="166">
        <v>0</v>
      </c>
      <c r="BQ900" s="81" t="s">
        <v>1758</v>
      </c>
      <c r="BZ900" s="81" t="s">
        <v>155</v>
      </c>
      <c r="CA900" s="81">
        <v>4</v>
      </c>
      <c r="CC900" s="167">
        <v>0</v>
      </c>
      <c r="CD900" s="167">
        <v>0</v>
      </c>
      <c r="CE900" s="167">
        <f>$N900/5</f>
        <v>0.2</v>
      </c>
      <c r="CF900" s="167">
        <f>$N900/5</f>
        <v>0.2</v>
      </c>
      <c r="CG900" s="167">
        <f>$N900/5</f>
        <v>0.2</v>
      </c>
      <c r="CH900" s="167">
        <f>$N900/5</f>
        <v>0.2</v>
      </c>
      <c r="CI900" s="167">
        <f>$N900/5</f>
        <v>0.2</v>
      </c>
      <c r="CJ900" s="167">
        <v>0</v>
      </c>
      <c r="CK900" s="167">
        <v>0</v>
      </c>
      <c r="CL900" s="167">
        <v>0</v>
      </c>
      <c r="CM900" s="167">
        <v>0</v>
      </c>
      <c r="CN900" s="167">
        <v>0</v>
      </c>
      <c r="CO900" s="167">
        <v>0</v>
      </c>
      <c r="CP900" s="167">
        <v>0</v>
      </c>
      <c r="CQ900" s="167">
        <v>0</v>
      </c>
      <c r="CR900" s="167">
        <v>0</v>
      </c>
      <c r="CS900" s="167">
        <v>0</v>
      </c>
      <c r="CT900" s="167">
        <v>0</v>
      </c>
      <c r="CU900" s="167">
        <v>0</v>
      </c>
      <c r="CV900" s="167">
        <v>0</v>
      </c>
      <c r="CW900" s="167">
        <v>0</v>
      </c>
      <c r="CX900" s="167">
        <f>SUM(CD900:CH900)</f>
        <v>0.8</v>
      </c>
      <c r="CY900" s="167">
        <f>SUM(CD900:CM900)</f>
        <v>1</v>
      </c>
    </row>
    <row r="901" spans="1:103" ht="12.75" customHeight="1" x14ac:dyDescent="0.2">
      <c r="A901" s="81">
        <v>6003</v>
      </c>
      <c r="B901" s="165" t="s">
        <v>1930</v>
      </c>
      <c r="C901" s="165" t="s">
        <v>566</v>
      </c>
      <c r="E901" s="165" t="s">
        <v>2640</v>
      </c>
      <c r="G901" s="81">
        <v>527825</v>
      </c>
      <c r="H901" s="81">
        <v>170600</v>
      </c>
      <c r="I901" s="165" t="s">
        <v>253</v>
      </c>
      <c r="L901" s="166">
        <v>0</v>
      </c>
      <c r="M901" s="166">
        <v>4</v>
      </c>
      <c r="N901" s="166">
        <v>4</v>
      </c>
      <c r="O901" s="166">
        <v>4</v>
      </c>
      <c r="P901" s="166">
        <v>4</v>
      </c>
      <c r="R901" s="165" t="s">
        <v>567</v>
      </c>
      <c r="S901" s="81" t="s">
        <v>113</v>
      </c>
      <c r="T901" s="349">
        <v>42135</v>
      </c>
      <c r="U901" s="349">
        <v>42276</v>
      </c>
      <c r="W901" s="81" t="s">
        <v>114</v>
      </c>
      <c r="Y901" s="81" t="s">
        <v>115</v>
      </c>
      <c r="Z901" s="81" t="s">
        <v>219</v>
      </c>
      <c r="AA901" s="81" t="s">
        <v>117</v>
      </c>
      <c r="AB901" s="81" t="s">
        <v>3889</v>
      </c>
      <c r="AC901" s="166">
        <v>2.3000000044703501E-2</v>
      </c>
      <c r="AG901" s="81" t="s">
        <v>154</v>
      </c>
      <c r="AH901" s="81" t="s">
        <v>312</v>
      </c>
      <c r="AK901" s="166">
        <v>0</v>
      </c>
      <c r="AM901" s="166">
        <v>0</v>
      </c>
      <c r="AO901" s="166">
        <v>0</v>
      </c>
      <c r="AP901" s="166">
        <v>4</v>
      </c>
      <c r="AQ901" s="166">
        <v>0</v>
      </c>
      <c r="AR901" s="166">
        <v>0</v>
      </c>
      <c r="AS901" s="166">
        <v>0</v>
      </c>
      <c r="AT901" s="166">
        <v>0</v>
      </c>
      <c r="AU901" s="166">
        <v>0</v>
      </c>
      <c r="AV901" s="166">
        <v>0</v>
      </c>
      <c r="AW901" s="166">
        <v>4</v>
      </c>
      <c r="AX901" s="166">
        <v>0</v>
      </c>
      <c r="AY901" s="166">
        <v>0</v>
      </c>
      <c r="AZ901" s="166">
        <v>0</v>
      </c>
      <c r="BA901" s="166">
        <v>0</v>
      </c>
      <c r="BB901" s="166">
        <v>0</v>
      </c>
      <c r="BC901" s="166">
        <v>0</v>
      </c>
      <c r="BD901" s="166">
        <v>0</v>
      </c>
      <c r="BE901" s="166">
        <v>0</v>
      </c>
      <c r="BF901" s="166">
        <v>0</v>
      </c>
      <c r="BG901" s="166">
        <v>0</v>
      </c>
      <c r="BH901" s="166">
        <v>0</v>
      </c>
      <c r="BI901" s="166">
        <v>0</v>
      </c>
      <c r="BJ901" s="166">
        <v>0</v>
      </c>
      <c r="BK901" s="166">
        <v>0</v>
      </c>
      <c r="BL901" s="166">
        <v>0</v>
      </c>
      <c r="BM901" s="166">
        <v>0</v>
      </c>
      <c r="BN901" s="166">
        <v>0</v>
      </c>
      <c r="BO901" s="166">
        <v>0</v>
      </c>
      <c r="BP901" s="166">
        <v>0</v>
      </c>
      <c r="BQ901" s="81" t="s">
        <v>1757</v>
      </c>
      <c r="BZ901" s="81" t="s">
        <v>155</v>
      </c>
      <c r="CA901" s="81" t="s">
        <v>1937</v>
      </c>
      <c r="CC901" s="167">
        <v>0</v>
      </c>
      <c r="CD901" s="167">
        <f>$N901/4</f>
        <v>1</v>
      </c>
      <c r="CE901" s="167">
        <f>$N901/4</f>
        <v>1</v>
      </c>
      <c r="CF901" s="167">
        <f>$N901/4</f>
        <v>1</v>
      </c>
      <c r="CG901" s="167">
        <f>$N901/4</f>
        <v>1</v>
      </c>
      <c r="CH901" s="167">
        <v>0</v>
      </c>
      <c r="CI901" s="167">
        <v>0</v>
      </c>
      <c r="CJ901" s="167">
        <v>0</v>
      </c>
      <c r="CK901" s="167">
        <v>0</v>
      </c>
      <c r="CL901" s="167">
        <v>0</v>
      </c>
      <c r="CM901" s="167">
        <v>0</v>
      </c>
      <c r="CN901" s="167">
        <v>0</v>
      </c>
      <c r="CO901" s="167">
        <v>0</v>
      </c>
      <c r="CP901" s="167">
        <v>0</v>
      </c>
      <c r="CQ901" s="167">
        <v>0</v>
      </c>
      <c r="CR901" s="167">
        <v>0</v>
      </c>
      <c r="CS901" s="167">
        <v>0</v>
      </c>
      <c r="CT901" s="167">
        <v>0</v>
      </c>
      <c r="CU901" s="167">
        <v>0</v>
      </c>
      <c r="CV901" s="167">
        <v>0</v>
      </c>
      <c r="CW901" s="167">
        <v>0</v>
      </c>
      <c r="CX901" s="167">
        <f>SUM(CD901:CH901)</f>
        <v>4</v>
      </c>
      <c r="CY901" s="167">
        <f>SUM(CD901:CM901)</f>
        <v>4</v>
      </c>
    </row>
    <row r="902" spans="1:103" ht="12.75" customHeight="1" x14ac:dyDescent="0.2">
      <c r="A902" s="81">
        <v>6008</v>
      </c>
      <c r="B902" s="165" t="s">
        <v>1930</v>
      </c>
      <c r="C902" s="165" t="s">
        <v>779</v>
      </c>
      <c r="E902" s="165" t="s">
        <v>2641</v>
      </c>
      <c r="G902" s="81">
        <v>527696</v>
      </c>
      <c r="H902" s="81">
        <v>175547</v>
      </c>
      <c r="I902" s="165" t="s">
        <v>256</v>
      </c>
      <c r="L902" s="166">
        <v>1</v>
      </c>
      <c r="M902" s="166">
        <v>3</v>
      </c>
      <c r="N902" s="166">
        <v>2</v>
      </c>
      <c r="O902" s="166">
        <v>3</v>
      </c>
      <c r="P902" s="166">
        <v>2</v>
      </c>
      <c r="R902" s="165" t="s">
        <v>1136</v>
      </c>
      <c r="S902" s="81" t="s">
        <v>113</v>
      </c>
      <c r="T902" s="349">
        <v>42177</v>
      </c>
      <c r="U902" s="349">
        <v>42355</v>
      </c>
      <c r="W902" s="81" t="s">
        <v>114</v>
      </c>
      <c r="Y902" s="81" t="s">
        <v>115</v>
      </c>
      <c r="Z902" s="81" t="s">
        <v>398</v>
      </c>
      <c r="AA902" s="81" t="s">
        <v>117</v>
      </c>
      <c r="AB902" s="81" t="s">
        <v>220</v>
      </c>
      <c r="AC902" s="166">
        <v>8.9999996125698107E-3</v>
      </c>
      <c r="AG902" s="81" t="s">
        <v>238</v>
      </c>
      <c r="AH902" s="81" t="s">
        <v>118</v>
      </c>
      <c r="AK902" s="166">
        <v>0</v>
      </c>
      <c r="AM902" s="166">
        <v>0</v>
      </c>
      <c r="AO902" s="166">
        <v>1</v>
      </c>
      <c r="AP902" s="166">
        <v>1</v>
      </c>
      <c r="AQ902" s="166">
        <v>1</v>
      </c>
      <c r="AR902" s="166">
        <v>0</v>
      </c>
      <c r="AS902" s="166">
        <v>-1</v>
      </c>
      <c r="AT902" s="166">
        <v>0</v>
      </c>
      <c r="AU902" s="166">
        <v>0</v>
      </c>
      <c r="AV902" s="166">
        <v>1</v>
      </c>
      <c r="AW902" s="166">
        <v>1</v>
      </c>
      <c r="AX902" s="166">
        <v>1</v>
      </c>
      <c r="AY902" s="166">
        <v>0</v>
      </c>
      <c r="AZ902" s="166">
        <v>-1</v>
      </c>
      <c r="BA902" s="166">
        <v>0</v>
      </c>
      <c r="BB902" s="166">
        <v>0</v>
      </c>
      <c r="BC902" s="166">
        <v>0</v>
      </c>
      <c r="BD902" s="166">
        <v>0</v>
      </c>
      <c r="BE902" s="166">
        <v>0</v>
      </c>
      <c r="BF902" s="166">
        <v>0</v>
      </c>
      <c r="BG902" s="166">
        <v>0</v>
      </c>
      <c r="BH902" s="166">
        <v>0</v>
      </c>
      <c r="BI902" s="166">
        <v>0</v>
      </c>
      <c r="BJ902" s="166">
        <v>0</v>
      </c>
      <c r="BK902" s="166">
        <v>0</v>
      </c>
      <c r="BL902" s="166">
        <v>0</v>
      </c>
      <c r="BM902" s="166">
        <v>0</v>
      </c>
      <c r="BN902" s="166">
        <v>0</v>
      </c>
      <c r="BO902" s="166">
        <v>0</v>
      </c>
      <c r="BP902" s="166">
        <v>0</v>
      </c>
      <c r="BQ902" s="81" t="s">
        <v>1757</v>
      </c>
      <c r="BR902" s="81" t="s">
        <v>160</v>
      </c>
      <c r="BZ902" s="81" t="s">
        <v>155</v>
      </c>
      <c r="CA902" s="81" t="s">
        <v>1937</v>
      </c>
      <c r="CC902" s="167">
        <v>0</v>
      </c>
      <c r="CD902" s="167">
        <f>$N902/4</f>
        <v>0.5</v>
      </c>
      <c r="CE902" s="167">
        <f>$N902/4</f>
        <v>0.5</v>
      </c>
      <c r="CF902" s="167">
        <f>$N902/4</f>
        <v>0.5</v>
      </c>
      <c r="CG902" s="167">
        <f>$N902/4</f>
        <v>0.5</v>
      </c>
      <c r="CH902" s="167">
        <v>0</v>
      </c>
      <c r="CI902" s="167">
        <v>0</v>
      </c>
      <c r="CJ902" s="167">
        <v>0</v>
      </c>
      <c r="CK902" s="167">
        <v>0</v>
      </c>
      <c r="CL902" s="167">
        <v>0</v>
      </c>
      <c r="CM902" s="167">
        <v>0</v>
      </c>
      <c r="CN902" s="167">
        <v>0</v>
      </c>
      <c r="CO902" s="167">
        <v>0</v>
      </c>
      <c r="CP902" s="167">
        <v>0</v>
      </c>
      <c r="CQ902" s="167">
        <v>0</v>
      </c>
      <c r="CR902" s="167">
        <v>0</v>
      </c>
      <c r="CS902" s="167">
        <v>0</v>
      </c>
      <c r="CT902" s="167">
        <v>0</v>
      </c>
      <c r="CU902" s="167">
        <v>0</v>
      </c>
      <c r="CV902" s="167">
        <v>0</v>
      </c>
      <c r="CW902" s="167">
        <v>0</v>
      </c>
      <c r="CX902" s="167">
        <f>SUM(CD902:CH902)</f>
        <v>2</v>
      </c>
      <c r="CY902" s="167">
        <f>SUM(CD902:CM902)</f>
        <v>2</v>
      </c>
    </row>
    <row r="903" spans="1:103" ht="12.75" customHeight="1" x14ac:dyDescent="0.2">
      <c r="A903" s="81">
        <v>6010</v>
      </c>
      <c r="B903" s="165" t="s">
        <v>1930</v>
      </c>
      <c r="C903" s="165" t="s">
        <v>730</v>
      </c>
      <c r="D903" s="165" t="s">
        <v>731</v>
      </c>
      <c r="E903" s="165" t="s">
        <v>2642</v>
      </c>
      <c r="G903" s="81">
        <v>526682</v>
      </c>
      <c r="H903" s="81">
        <v>173711</v>
      </c>
      <c r="I903" s="165" t="s">
        <v>260</v>
      </c>
      <c r="L903" s="166">
        <v>0</v>
      </c>
      <c r="M903" s="166">
        <v>2</v>
      </c>
      <c r="N903" s="166">
        <v>2</v>
      </c>
      <c r="O903" s="166">
        <v>2</v>
      </c>
      <c r="P903" s="166">
        <v>2</v>
      </c>
      <c r="R903" s="165" t="s">
        <v>1178</v>
      </c>
      <c r="S903" s="81" t="s">
        <v>113</v>
      </c>
      <c r="T903" s="349">
        <v>42389</v>
      </c>
      <c r="U903" s="349">
        <v>42453</v>
      </c>
      <c r="W903" s="81" t="s">
        <v>114</v>
      </c>
      <c r="Y903" s="81" t="s">
        <v>115</v>
      </c>
      <c r="Z903" s="81" t="s">
        <v>398</v>
      </c>
      <c r="AA903" s="81" t="s">
        <v>117</v>
      </c>
      <c r="AB903" s="81" t="s">
        <v>218</v>
      </c>
      <c r="AC903" s="166">
        <v>3.7999998778104803E-2</v>
      </c>
      <c r="AG903" s="81" t="s">
        <v>238</v>
      </c>
      <c r="AH903" s="81" t="s">
        <v>118</v>
      </c>
      <c r="AK903" s="166">
        <v>2</v>
      </c>
      <c r="AM903" s="166">
        <v>0</v>
      </c>
      <c r="AO903" s="166">
        <v>0</v>
      </c>
      <c r="AP903" s="166">
        <v>0</v>
      </c>
      <c r="AQ903" s="166">
        <v>0</v>
      </c>
      <c r="AR903" s="166">
        <v>0</v>
      </c>
      <c r="AS903" s="166">
        <v>2</v>
      </c>
      <c r="AT903" s="166">
        <v>0</v>
      </c>
      <c r="AU903" s="166">
        <v>0</v>
      </c>
      <c r="AV903" s="166">
        <v>0</v>
      </c>
      <c r="AW903" s="166">
        <v>0</v>
      </c>
      <c r="AX903" s="166">
        <v>0</v>
      </c>
      <c r="AY903" s="166">
        <v>0</v>
      </c>
      <c r="AZ903" s="166">
        <v>0</v>
      </c>
      <c r="BA903" s="166">
        <v>0</v>
      </c>
      <c r="BB903" s="166">
        <v>0</v>
      </c>
      <c r="BC903" s="166">
        <v>0</v>
      </c>
      <c r="BD903" s="166">
        <v>0</v>
      </c>
      <c r="BE903" s="166">
        <v>0</v>
      </c>
      <c r="BF903" s="166">
        <v>0</v>
      </c>
      <c r="BG903" s="166">
        <v>2</v>
      </c>
      <c r="BH903" s="166">
        <v>0</v>
      </c>
      <c r="BI903" s="166">
        <v>0</v>
      </c>
      <c r="BJ903" s="166">
        <v>0</v>
      </c>
      <c r="BK903" s="166">
        <v>0</v>
      </c>
      <c r="BL903" s="166">
        <v>0</v>
      </c>
      <c r="BM903" s="166">
        <v>0</v>
      </c>
      <c r="BN903" s="166">
        <v>0</v>
      </c>
      <c r="BO903" s="166">
        <v>0</v>
      </c>
      <c r="BP903" s="166">
        <v>0</v>
      </c>
      <c r="BQ903" s="81" t="s">
        <v>1758</v>
      </c>
      <c r="BZ903" s="81" t="s">
        <v>155</v>
      </c>
      <c r="CA903" s="81" t="s">
        <v>1937</v>
      </c>
      <c r="CC903" s="167">
        <v>0</v>
      </c>
      <c r="CD903" s="167">
        <f>$N903/4</f>
        <v>0.5</v>
      </c>
      <c r="CE903" s="167">
        <f>$N903/4</f>
        <v>0.5</v>
      </c>
      <c r="CF903" s="167">
        <f>$N903/4</f>
        <v>0.5</v>
      </c>
      <c r="CG903" s="167">
        <f>$N903/4</f>
        <v>0.5</v>
      </c>
      <c r="CH903" s="167">
        <v>0</v>
      </c>
      <c r="CI903" s="167">
        <v>0</v>
      </c>
      <c r="CJ903" s="167">
        <v>0</v>
      </c>
      <c r="CK903" s="167">
        <v>0</v>
      </c>
      <c r="CL903" s="167">
        <v>0</v>
      </c>
      <c r="CM903" s="167">
        <v>0</v>
      </c>
      <c r="CN903" s="167">
        <v>0</v>
      </c>
      <c r="CO903" s="167">
        <v>0</v>
      </c>
      <c r="CP903" s="167">
        <v>0</v>
      </c>
      <c r="CQ903" s="167">
        <v>0</v>
      </c>
      <c r="CR903" s="167">
        <v>0</v>
      </c>
      <c r="CS903" s="167">
        <v>0</v>
      </c>
      <c r="CT903" s="167">
        <v>0</v>
      </c>
      <c r="CU903" s="167">
        <v>0</v>
      </c>
      <c r="CV903" s="167">
        <v>0</v>
      </c>
      <c r="CW903" s="167">
        <v>0</v>
      </c>
      <c r="CX903" s="167">
        <f>SUM(CD903:CH903)</f>
        <v>2</v>
      </c>
      <c r="CY903" s="167">
        <f>SUM(CD903:CM903)</f>
        <v>2</v>
      </c>
    </row>
    <row r="904" spans="1:103" ht="12.75" customHeight="1" x14ac:dyDescent="0.2">
      <c r="A904" s="81">
        <v>6016</v>
      </c>
      <c r="B904" s="165" t="s">
        <v>1930</v>
      </c>
      <c r="C904" s="165" t="s">
        <v>1515</v>
      </c>
      <c r="E904" s="165" t="s">
        <v>2643</v>
      </c>
      <c r="G904" s="81">
        <v>525206</v>
      </c>
      <c r="H904" s="81">
        <v>173428</v>
      </c>
      <c r="I904" s="165" t="s">
        <v>258</v>
      </c>
      <c r="L904" s="166">
        <v>0</v>
      </c>
      <c r="M904" s="166">
        <v>2</v>
      </c>
      <c r="N904" s="166">
        <v>2</v>
      </c>
      <c r="O904" s="166">
        <v>2</v>
      </c>
      <c r="P904" s="166">
        <v>2</v>
      </c>
      <c r="R904" s="165" t="s">
        <v>1516</v>
      </c>
      <c r="S904" s="81" t="s">
        <v>110</v>
      </c>
      <c r="T904" s="349">
        <v>42746</v>
      </c>
      <c r="U904" s="349">
        <v>42802</v>
      </c>
      <c r="W904" s="81" t="s">
        <v>114</v>
      </c>
      <c r="Y904" s="81" t="s">
        <v>115</v>
      </c>
      <c r="Z904" s="81" t="s">
        <v>310</v>
      </c>
      <c r="AA904" s="81" t="s">
        <v>117</v>
      </c>
      <c r="AB904" s="81" t="s">
        <v>102</v>
      </c>
      <c r="AC904" s="166">
        <v>3.0000000260770299E-3</v>
      </c>
      <c r="AG904" s="81" t="s">
        <v>238</v>
      </c>
      <c r="AH904" s="81" t="s">
        <v>118</v>
      </c>
      <c r="AK904" s="166">
        <v>0</v>
      </c>
      <c r="AM904" s="166">
        <v>0</v>
      </c>
      <c r="AO904" s="166">
        <v>0</v>
      </c>
      <c r="AP904" s="166">
        <v>2</v>
      </c>
      <c r="AQ904" s="166">
        <v>0</v>
      </c>
      <c r="AR904" s="166">
        <v>0</v>
      </c>
      <c r="AS904" s="166">
        <v>0</v>
      </c>
      <c r="AT904" s="166">
        <v>0</v>
      </c>
      <c r="AU904" s="166">
        <v>0</v>
      </c>
      <c r="AV904" s="166">
        <v>0</v>
      </c>
      <c r="AW904" s="166">
        <v>2</v>
      </c>
      <c r="AX904" s="166">
        <v>0</v>
      </c>
      <c r="AY904" s="166">
        <v>0</v>
      </c>
      <c r="AZ904" s="166">
        <v>0</v>
      </c>
      <c r="BA904" s="166">
        <v>0</v>
      </c>
      <c r="BB904" s="166">
        <v>0</v>
      </c>
      <c r="BC904" s="166">
        <v>0</v>
      </c>
      <c r="BD904" s="166">
        <v>0</v>
      </c>
      <c r="BE904" s="166">
        <v>0</v>
      </c>
      <c r="BF904" s="166">
        <v>0</v>
      </c>
      <c r="BG904" s="166">
        <v>0</v>
      </c>
      <c r="BH904" s="166">
        <v>0</v>
      </c>
      <c r="BI904" s="166">
        <v>0</v>
      </c>
      <c r="BJ904" s="166">
        <v>0</v>
      </c>
      <c r="BK904" s="166">
        <v>0</v>
      </c>
      <c r="BL904" s="166">
        <v>0</v>
      </c>
      <c r="BM904" s="166">
        <v>0</v>
      </c>
      <c r="BN904" s="166">
        <v>0</v>
      </c>
      <c r="BO904" s="166">
        <v>0</v>
      </c>
      <c r="BP904" s="166">
        <v>0</v>
      </c>
      <c r="BQ904" s="81" t="s">
        <v>1758</v>
      </c>
      <c r="BZ904" s="81" t="s">
        <v>155</v>
      </c>
      <c r="CA904" s="81" t="s">
        <v>1937</v>
      </c>
      <c r="CC904" s="167">
        <v>0</v>
      </c>
      <c r="CD904" s="167">
        <f>$N904/4</f>
        <v>0.5</v>
      </c>
      <c r="CE904" s="167">
        <f>$N904/4</f>
        <v>0.5</v>
      </c>
      <c r="CF904" s="167">
        <f>$N904/4</f>
        <v>0.5</v>
      </c>
      <c r="CG904" s="167">
        <f>$N904/4</f>
        <v>0.5</v>
      </c>
      <c r="CH904" s="167">
        <v>0</v>
      </c>
      <c r="CI904" s="167">
        <v>0</v>
      </c>
      <c r="CJ904" s="167">
        <v>0</v>
      </c>
      <c r="CK904" s="167">
        <v>0</v>
      </c>
      <c r="CL904" s="167">
        <v>0</v>
      </c>
      <c r="CM904" s="167">
        <v>0</v>
      </c>
      <c r="CN904" s="167">
        <v>0</v>
      </c>
      <c r="CO904" s="167">
        <v>0</v>
      </c>
      <c r="CP904" s="167">
        <v>0</v>
      </c>
      <c r="CQ904" s="167">
        <v>0</v>
      </c>
      <c r="CR904" s="167">
        <v>0</v>
      </c>
      <c r="CS904" s="167">
        <v>0</v>
      </c>
      <c r="CT904" s="167">
        <v>0</v>
      </c>
      <c r="CU904" s="167">
        <v>0</v>
      </c>
      <c r="CV904" s="167">
        <v>0</v>
      </c>
      <c r="CW904" s="167">
        <v>0</v>
      </c>
      <c r="CX904" s="167">
        <f>SUM(CD904:CH904)</f>
        <v>2</v>
      </c>
      <c r="CY904" s="167">
        <f>SUM(CD904:CM904)</f>
        <v>2</v>
      </c>
    </row>
    <row r="905" spans="1:103" ht="12.75" customHeight="1" x14ac:dyDescent="0.2">
      <c r="A905" s="81">
        <v>6017</v>
      </c>
      <c r="B905" s="165" t="s">
        <v>1930</v>
      </c>
      <c r="C905" s="165" t="s">
        <v>1400</v>
      </c>
      <c r="E905" s="165" t="s">
        <v>2644</v>
      </c>
      <c r="G905" s="81">
        <v>527837</v>
      </c>
      <c r="H905" s="81">
        <v>172151</v>
      </c>
      <c r="I905" s="165" t="s">
        <v>242</v>
      </c>
      <c r="L905" s="166">
        <v>0</v>
      </c>
      <c r="M905" s="166">
        <v>1</v>
      </c>
      <c r="N905" s="166">
        <v>1</v>
      </c>
      <c r="O905" s="166">
        <v>1</v>
      </c>
      <c r="P905" s="166">
        <v>1</v>
      </c>
      <c r="R905" s="165" t="s">
        <v>1401</v>
      </c>
      <c r="S905" s="81" t="s">
        <v>113</v>
      </c>
      <c r="T905" s="349">
        <v>42615</v>
      </c>
      <c r="U905" s="349">
        <v>42702</v>
      </c>
      <c r="W905" s="81" t="s">
        <v>114</v>
      </c>
      <c r="Y905" s="81" t="s">
        <v>115</v>
      </c>
      <c r="Z905" s="81" t="s">
        <v>116</v>
      </c>
      <c r="AA905" s="81" t="s">
        <v>117</v>
      </c>
      <c r="AB905" s="81" t="s">
        <v>218</v>
      </c>
      <c r="AC905" s="166">
        <v>3.5999998450279201E-2</v>
      </c>
      <c r="AG905" s="81" t="s">
        <v>238</v>
      </c>
      <c r="AH905" s="81" t="s">
        <v>118</v>
      </c>
      <c r="AK905" s="166">
        <v>0</v>
      </c>
      <c r="AM905" s="166">
        <v>0</v>
      </c>
      <c r="AO905" s="166">
        <v>0</v>
      </c>
      <c r="AP905" s="166">
        <v>1</v>
      </c>
      <c r="AQ905" s="166">
        <v>0</v>
      </c>
      <c r="AR905" s="166">
        <v>0</v>
      </c>
      <c r="AS905" s="166">
        <v>0</v>
      </c>
      <c r="AT905" s="166">
        <v>0</v>
      </c>
      <c r="AU905" s="166">
        <v>0</v>
      </c>
      <c r="AV905" s="166">
        <v>0</v>
      </c>
      <c r="AW905" s="166">
        <v>0</v>
      </c>
      <c r="AX905" s="166">
        <v>0</v>
      </c>
      <c r="AY905" s="166">
        <v>0</v>
      </c>
      <c r="AZ905" s="166">
        <v>0</v>
      </c>
      <c r="BA905" s="166">
        <v>0</v>
      </c>
      <c r="BB905" s="166">
        <v>0</v>
      </c>
      <c r="BC905" s="166">
        <v>0</v>
      </c>
      <c r="BD905" s="166">
        <v>1</v>
      </c>
      <c r="BE905" s="166">
        <v>0</v>
      </c>
      <c r="BF905" s="166">
        <v>0</v>
      </c>
      <c r="BG905" s="166">
        <v>0</v>
      </c>
      <c r="BH905" s="166">
        <v>0</v>
      </c>
      <c r="BI905" s="166">
        <v>0</v>
      </c>
      <c r="BJ905" s="166">
        <v>0</v>
      </c>
      <c r="BK905" s="166">
        <v>0</v>
      </c>
      <c r="BL905" s="166">
        <v>0</v>
      </c>
      <c r="BM905" s="166">
        <v>0</v>
      </c>
      <c r="BN905" s="166">
        <v>0</v>
      </c>
      <c r="BO905" s="166">
        <v>0</v>
      </c>
      <c r="BP905" s="166">
        <v>0</v>
      </c>
      <c r="BQ905" s="81" t="s">
        <v>1757</v>
      </c>
      <c r="BZ905" s="81" t="s">
        <v>155</v>
      </c>
      <c r="CA905" s="81">
        <v>4</v>
      </c>
      <c r="CC905" s="167">
        <v>0</v>
      </c>
      <c r="CD905" s="167">
        <v>0</v>
      </c>
      <c r="CE905" s="167">
        <f>$N905/5</f>
        <v>0.2</v>
      </c>
      <c r="CF905" s="167">
        <f>$N905/5</f>
        <v>0.2</v>
      </c>
      <c r="CG905" s="167">
        <f>$N905/5</f>
        <v>0.2</v>
      </c>
      <c r="CH905" s="167">
        <f>$N905/5</f>
        <v>0.2</v>
      </c>
      <c r="CI905" s="167">
        <f>$N905/5</f>
        <v>0.2</v>
      </c>
      <c r="CJ905" s="167">
        <v>0</v>
      </c>
      <c r="CK905" s="167">
        <v>0</v>
      </c>
      <c r="CL905" s="167">
        <v>0</v>
      </c>
      <c r="CM905" s="167">
        <v>0</v>
      </c>
      <c r="CN905" s="167">
        <v>0</v>
      </c>
      <c r="CO905" s="167">
        <v>0</v>
      </c>
      <c r="CP905" s="167">
        <v>0</v>
      </c>
      <c r="CQ905" s="167">
        <v>0</v>
      </c>
      <c r="CR905" s="167">
        <v>0</v>
      </c>
      <c r="CS905" s="167">
        <v>0</v>
      </c>
      <c r="CT905" s="167">
        <v>0</v>
      </c>
      <c r="CU905" s="167">
        <v>0</v>
      </c>
      <c r="CV905" s="167">
        <v>0</v>
      </c>
      <c r="CW905" s="167">
        <v>0</v>
      </c>
      <c r="CX905" s="167">
        <f>SUM(CD905:CH905)</f>
        <v>0.8</v>
      </c>
      <c r="CY905" s="167">
        <f>SUM(CD905:CM905)</f>
        <v>1</v>
      </c>
    </row>
    <row r="906" spans="1:103" ht="12.75" customHeight="1" x14ac:dyDescent="0.2">
      <c r="A906" s="81">
        <v>6030</v>
      </c>
      <c r="B906" s="165" t="s">
        <v>1930</v>
      </c>
      <c r="C906" s="165" t="s">
        <v>635</v>
      </c>
      <c r="E906" s="165" t="s">
        <v>2133</v>
      </c>
      <c r="G906" s="81">
        <v>522262</v>
      </c>
      <c r="H906" s="81">
        <v>173980</v>
      </c>
      <c r="I906" s="165" t="s">
        <v>877</v>
      </c>
      <c r="L906" s="166">
        <v>0</v>
      </c>
      <c r="M906" s="166">
        <v>2</v>
      </c>
      <c r="N906" s="166">
        <v>2</v>
      </c>
      <c r="O906" s="166">
        <v>2</v>
      </c>
      <c r="P906" s="166">
        <v>2</v>
      </c>
      <c r="R906" s="165" t="s">
        <v>636</v>
      </c>
      <c r="S906" s="81" t="s">
        <v>113</v>
      </c>
      <c r="T906" s="349">
        <v>42215</v>
      </c>
      <c r="U906" s="349">
        <v>42320</v>
      </c>
      <c r="W906" s="81" t="s">
        <v>114</v>
      </c>
      <c r="Y906" s="81" t="s">
        <v>115</v>
      </c>
      <c r="Z906" s="81" t="s">
        <v>116</v>
      </c>
      <c r="AA906" s="81" t="s">
        <v>117</v>
      </c>
      <c r="AB906" s="81" t="s">
        <v>218</v>
      </c>
      <c r="AC906" s="166">
        <v>0.108999997377396</v>
      </c>
      <c r="AG906" s="81" t="s">
        <v>238</v>
      </c>
      <c r="AH906" s="81" t="s">
        <v>118</v>
      </c>
      <c r="AK906" s="166">
        <v>2</v>
      </c>
      <c r="AM906" s="166">
        <v>0</v>
      </c>
      <c r="AO906" s="166">
        <v>0</v>
      </c>
      <c r="AP906" s="166">
        <v>0</v>
      </c>
      <c r="AQ906" s="166">
        <v>0</v>
      </c>
      <c r="AR906" s="166">
        <v>0</v>
      </c>
      <c r="AS906" s="166">
        <v>0</v>
      </c>
      <c r="AT906" s="166">
        <v>2</v>
      </c>
      <c r="AU906" s="166">
        <v>0</v>
      </c>
      <c r="AV906" s="166">
        <v>0</v>
      </c>
      <c r="AW906" s="166">
        <v>0</v>
      </c>
      <c r="AX906" s="166">
        <v>0</v>
      </c>
      <c r="AY906" s="166">
        <v>0</v>
      </c>
      <c r="AZ906" s="166">
        <v>0</v>
      </c>
      <c r="BA906" s="166">
        <v>0</v>
      </c>
      <c r="BB906" s="166">
        <v>0</v>
      </c>
      <c r="BC906" s="166">
        <v>0</v>
      </c>
      <c r="BD906" s="166">
        <v>0</v>
      </c>
      <c r="BE906" s="166">
        <v>0</v>
      </c>
      <c r="BF906" s="166">
        <v>0</v>
      </c>
      <c r="BG906" s="166">
        <v>0</v>
      </c>
      <c r="BH906" s="166">
        <v>2</v>
      </c>
      <c r="BI906" s="166">
        <v>0</v>
      </c>
      <c r="BJ906" s="166">
        <v>0</v>
      </c>
      <c r="BK906" s="166">
        <v>0</v>
      </c>
      <c r="BL906" s="166">
        <v>0</v>
      </c>
      <c r="BM906" s="166">
        <v>0</v>
      </c>
      <c r="BN906" s="166">
        <v>0</v>
      </c>
      <c r="BO906" s="166">
        <v>0</v>
      </c>
      <c r="BP906" s="166">
        <v>0</v>
      </c>
      <c r="BQ906" s="81" t="s">
        <v>1758</v>
      </c>
      <c r="BZ906" s="81" t="s">
        <v>155</v>
      </c>
      <c r="CA906" s="81">
        <v>4</v>
      </c>
      <c r="CC906" s="167">
        <v>0</v>
      </c>
      <c r="CD906" s="167">
        <v>0</v>
      </c>
      <c r="CE906" s="167">
        <f>$N906/5</f>
        <v>0.4</v>
      </c>
      <c r="CF906" s="167">
        <f>$N906/5</f>
        <v>0.4</v>
      </c>
      <c r="CG906" s="167">
        <f>$N906/5</f>
        <v>0.4</v>
      </c>
      <c r="CH906" s="167">
        <f>$N906/5</f>
        <v>0.4</v>
      </c>
      <c r="CI906" s="167">
        <f>$N906/5</f>
        <v>0.4</v>
      </c>
      <c r="CJ906" s="167">
        <v>0</v>
      </c>
      <c r="CK906" s="167">
        <v>0</v>
      </c>
      <c r="CL906" s="167">
        <v>0</v>
      </c>
      <c r="CM906" s="167">
        <v>0</v>
      </c>
      <c r="CN906" s="167">
        <v>0</v>
      </c>
      <c r="CO906" s="167">
        <v>0</v>
      </c>
      <c r="CP906" s="167">
        <v>0</v>
      </c>
      <c r="CQ906" s="167">
        <v>0</v>
      </c>
      <c r="CR906" s="167">
        <v>0</v>
      </c>
      <c r="CS906" s="167">
        <v>0</v>
      </c>
      <c r="CT906" s="167">
        <v>0</v>
      </c>
      <c r="CU906" s="167">
        <v>0</v>
      </c>
      <c r="CV906" s="167">
        <v>0</v>
      </c>
      <c r="CW906" s="167">
        <v>0</v>
      </c>
      <c r="CX906" s="167">
        <f>SUM(CD906:CH906)</f>
        <v>1.6</v>
      </c>
      <c r="CY906" s="167">
        <f>SUM(CD906:CM906)</f>
        <v>2</v>
      </c>
    </row>
    <row r="907" spans="1:103" ht="12.75" customHeight="1" x14ac:dyDescent="0.2">
      <c r="A907" s="81">
        <v>6031</v>
      </c>
      <c r="B907" s="165" t="s">
        <v>1930</v>
      </c>
      <c r="C907" s="165" t="s">
        <v>668</v>
      </c>
      <c r="E907" s="165" t="s">
        <v>2645</v>
      </c>
      <c r="G907" s="81">
        <v>523225</v>
      </c>
      <c r="H907" s="81">
        <v>175820</v>
      </c>
      <c r="I907" s="165" t="s">
        <v>259</v>
      </c>
      <c r="L907" s="166">
        <v>0</v>
      </c>
      <c r="M907" s="166">
        <v>1</v>
      </c>
      <c r="N907" s="166">
        <v>1</v>
      </c>
      <c r="O907" s="166">
        <v>1</v>
      </c>
      <c r="P907" s="166">
        <v>1</v>
      </c>
      <c r="R907" s="165" t="s">
        <v>562</v>
      </c>
      <c r="S907" s="81" t="s">
        <v>110</v>
      </c>
      <c r="T907" s="349">
        <v>42307</v>
      </c>
      <c r="U907" s="349">
        <v>42360</v>
      </c>
      <c r="W907" s="81" t="s">
        <v>114</v>
      </c>
      <c r="Y907" s="81" t="s">
        <v>115</v>
      </c>
      <c r="Z907" s="81" t="s">
        <v>310</v>
      </c>
      <c r="AA907" s="81" t="s">
        <v>117</v>
      </c>
      <c r="AB907" s="81" t="s">
        <v>399</v>
      </c>
      <c r="AC907" s="166">
        <v>9.9999997764825804E-3</v>
      </c>
      <c r="AG907" s="81" t="s">
        <v>238</v>
      </c>
      <c r="AH907" s="81" t="s">
        <v>118</v>
      </c>
      <c r="AK907" s="166">
        <v>0</v>
      </c>
      <c r="AM907" s="166">
        <v>0</v>
      </c>
      <c r="AO907" s="166">
        <v>0</v>
      </c>
      <c r="AP907" s="166">
        <v>0</v>
      </c>
      <c r="AQ907" s="166">
        <v>1</v>
      </c>
      <c r="AR907" s="166">
        <v>0</v>
      </c>
      <c r="AS907" s="166">
        <v>0</v>
      </c>
      <c r="AT907" s="166">
        <v>0</v>
      </c>
      <c r="AU907" s="166">
        <v>0</v>
      </c>
      <c r="AV907" s="166">
        <v>0</v>
      </c>
      <c r="AW907" s="166">
        <v>0</v>
      </c>
      <c r="AX907" s="166">
        <v>1</v>
      </c>
      <c r="AY907" s="166">
        <v>0</v>
      </c>
      <c r="AZ907" s="166">
        <v>0</v>
      </c>
      <c r="BA907" s="166">
        <v>0</v>
      </c>
      <c r="BB907" s="166">
        <v>0</v>
      </c>
      <c r="BC907" s="166">
        <v>0</v>
      </c>
      <c r="BD907" s="166">
        <v>0</v>
      </c>
      <c r="BE907" s="166">
        <v>0</v>
      </c>
      <c r="BF907" s="166">
        <v>0</v>
      </c>
      <c r="BG907" s="166">
        <v>0</v>
      </c>
      <c r="BH907" s="166">
        <v>0</v>
      </c>
      <c r="BI907" s="166">
        <v>0</v>
      </c>
      <c r="BJ907" s="166">
        <v>0</v>
      </c>
      <c r="BK907" s="166">
        <v>0</v>
      </c>
      <c r="BL907" s="166">
        <v>0</v>
      </c>
      <c r="BM907" s="166">
        <v>0</v>
      </c>
      <c r="BN907" s="166">
        <v>0</v>
      </c>
      <c r="BO907" s="166">
        <v>0</v>
      </c>
      <c r="BP907" s="166">
        <v>0</v>
      </c>
      <c r="BQ907" s="81" t="s">
        <v>1758</v>
      </c>
      <c r="BZ907" s="81" t="s">
        <v>155</v>
      </c>
      <c r="CA907" s="81" t="s">
        <v>1937</v>
      </c>
      <c r="CC907" s="167">
        <v>0</v>
      </c>
      <c r="CD907" s="167">
        <f>$N907/4</f>
        <v>0.25</v>
      </c>
      <c r="CE907" s="167">
        <f>$N907/4</f>
        <v>0.25</v>
      </c>
      <c r="CF907" s="167">
        <f>$N907/4</f>
        <v>0.25</v>
      </c>
      <c r="CG907" s="167">
        <f>$N907/4</f>
        <v>0.25</v>
      </c>
      <c r="CH907" s="167">
        <v>0</v>
      </c>
      <c r="CI907" s="167">
        <v>0</v>
      </c>
      <c r="CJ907" s="167">
        <v>0</v>
      </c>
      <c r="CK907" s="167">
        <v>0</v>
      </c>
      <c r="CL907" s="167">
        <v>0</v>
      </c>
      <c r="CM907" s="167">
        <v>0</v>
      </c>
      <c r="CN907" s="167">
        <v>0</v>
      </c>
      <c r="CO907" s="167">
        <v>0</v>
      </c>
      <c r="CP907" s="167">
        <v>0</v>
      </c>
      <c r="CQ907" s="167">
        <v>0</v>
      </c>
      <c r="CR907" s="167">
        <v>0</v>
      </c>
      <c r="CS907" s="167">
        <v>0</v>
      </c>
      <c r="CT907" s="167">
        <v>0</v>
      </c>
      <c r="CU907" s="167">
        <v>0</v>
      </c>
      <c r="CV907" s="167">
        <v>0</v>
      </c>
      <c r="CW907" s="167">
        <v>0</v>
      </c>
      <c r="CX907" s="167">
        <f>SUM(CD907:CH907)</f>
        <v>1</v>
      </c>
      <c r="CY907" s="167">
        <f>SUM(CD907:CM907)</f>
        <v>1</v>
      </c>
    </row>
    <row r="908" spans="1:103" ht="12.75" customHeight="1" x14ac:dyDescent="0.2">
      <c r="A908" s="81">
        <v>6032</v>
      </c>
      <c r="B908" s="165" t="s">
        <v>1930</v>
      </c>
      <c r="C908" s="165" t="s">
        <v>1208</v>
      </c>
      <c r="E908" s="165" t="s">
        <v>2646</v>
      </c>
      <c r="G908" s="81">
        <v>524386</v>
      </c>
      <c r="H908" s="81">
        <v>175298</v>
      </c>
      <c r="I908" s="165" t="s">
        <v>259</v>
      </c>
      <c r="L908" s="166">
        <v>0</v>
      </c>
      <c r="M908" s="166">
        <v>1</v>
      </c>
      <c r="N908" s="166">
        <v>1</v>
      </c>
      <c r="O908" s="166">
        <v>1</v>
      </c>
      <c r="P908" s="166">
        <v>1</v>
      </c>
      <c r="R908" s="165" t="s">
        <v>1209</v>
      </c>
      <c r="S908" s="81" t="s">
        <v>270</v>
      </c>
      <c r="T908" s="349">
        <v>42461</v>
      </c>
      <c r="U908" s="349">
        <v>42517</v>
      </c>
      <c r="W908" s="81" t="s">
        <v>114</v>
      </c>
      <c r="Y908" s="81" t="s">
        <v>115</v>
      </c>
      <c r="Z908" s="81" t="s">
        <v>310</v>
      </c>
      <c r="AA908" s="81" t="s">
        <v>117</v>
      </c>
      <c r="AB908" s="81" t="s">
        <v>102</v>
      </c>
      <c r="AC908" s="166">
        <v>6.0000000521540598E-3</v>
      </c>
      <c r="AG908" s="81" t="s">
        <v>238</v>
      </c>
      <c r="AH908" s="81" t="s">
        <v>118</v>
      </c>
      <c r="AK908" s="166">
        <v>0</v>
      </c>
      <c r="AM908" s="166">
        <v>0</v>
      </c>
      <c r="AO908" s="166">
        <v>0</v>
      </c>
      <c r="AP908" s="166">
        <v>1</v>
      </c>
      <c r="AQ908" s="166">
        <v>0</v>
      </c>
      <c r="AR908" s="166">
        <v>0</v>
      </c>
      <c r="AS908" s="166">
        <v>0</v>
      </c>
      <c r="AT908" s="166">
        <v>0</v>
      </c>
      <c r="AU908" s="166">
        <v>0</v>
      </c>
      <c r="AV908" s="166">
        <v>0</v>
      </c>
      <c r="AW908" s="166">
        <v>1</v>
      </c>
      <c r="AX908" s="166">
        <v>0</v>
      </c>
      <c r="AY908" s="166">
        <v>0</v>
      </c>
      <c r="AZ908" s="166">
        <v>0</v>
      </c>
      <c r="BA908" s="166">
        <v>0</v>
      </c>
      <c r="BB908" s="166">
        <v>0</v>
      </c>
      <c r="BC908" s="166">
        <v>0</v>
      </c>
      <c r="BD908" s="166">
        <v>0</v>
      </c>
      <c r="BE908" s="166">
        <v>0</v>
      </c>
      <c r="BF908" s="166">
        <v>0</v>
      </c>
      <c r="BG908" s="166">
        <v>0</v>
      </c>
      <c r="BH908" s="166">
        <v>0</v>
      </c>
      <c r="BI908" s="166">
        <v>0</v>
      </c>
      <c r="BJ908" s="166">
        <v>0</v>
      </c>
      <c r="BK908" s="166">
        <v>0</v>
      </c>
      <c r="BL908" s="166">
        <v>0</v>
      </c>
      <c r="BM908" s="166">
        <v>0</v>
      </c>
      <c r="BN908" s="166">
        <v>0</v>
      </c>
      <c r="BO908" s="166">
        <v>0</v>
      </c>
      <c r="BP908" s="166">
        <v>0</v>
      </c>
      <c r="BQ908" s="81" t="s">
        <v>1758</v>
      </c>
      <c r="BZ908" s="81" t="s">
        <v>155</v>
      </c>
      <c r="CA908" s="81" t="s">
        <v>1937</v>
      </c>
      <c r="CC908" s="167">
        <v>0</v>
      </c>
      <c r="CD908" s="167">
        <f>$N908/4</f>
        <v>0.25</v>
      </c>
      <c r="CE908" s="167">
        <f>$N908/4</f>
        <v>0.25</v>
      </c>
      <c r="CF908" s="167">
        <f>$N908/4</f>
        <v>0.25</v>
      </c>
      <c r="CG908" s="167">
        <f>$N908/4</f>
        <v>0.25</v>
      </c>
      <c r="CH908" s="167">
        <v>0</v>
      </c>
      <c r="CI908" s="167">
        <v>0</v>
      </c>
      <c r="CJ908" s="167">
        <v>0</v>
      </c>
      <c r="CK908" s="167">
        <v>0</v>
      </c>
      <c r="CL908" s="167">
        <v>0</v>
      </c>
      <c r="CM908" s="167">
        <v>0</v>
      </c>
      <c r="CN908" s="167">
        <v>0</v>
      </c>
      <c r="CO908" s="167">
        <v>0</v>
      </c>
      <c r="CP908" s="167">
        <v>0</v>
      </c>
      <c r="CQ908" s="167">
        <v>0</v>
      </c>
      <c r="CR908" s="167">
        <v>0</v>
      </c>
      <c r="CS908" s="167">
        <v>0</v>
      </c>
      <c r="CT908" s="167">
        <v>0</v>
      </c>
      <c r="CU908" s="167">
        <v>0</v>
      </c>
      <c r="CV908" s="167">
        <v>0</v>
      </c>
      <c r="CW908" s="167">
        <v>0</v>
      </c>
      <c r="CX908" s="167">
        <f>SUM(CD908:CH908)</f>
        <v>1</v>
      </c>
      <c r="CY908" s="167">
        <f>SUM(CD908:CM908)</f>
        <v>1</v>
      </c>
    </row>
    <row r="909" spans="1:103" ht="12.75" customHeight="1" x14ac:dyDescent="0.2">
      <c r="A909" s="81">
        <v>6034</v>
      </c>
      <c r="B909" s="165" t="s">
        <v>1930</v>
      </c>
      <c r="C909" s="165" t="s">
        <v>1449</v>
      </c>
      <c r="E909" s="165" t="s">
        <v>2647</v>
      </c>
      <c r="G909" s="81">
        <v>523955</v>
      </c>
      <c r="H909" s="81">
        <v>175134</v>
      </c>
      <c r="I909" s="165" t="s">
        <v>259</v>
      </c>
      <c r="L909" s="166">
        <v>1</v>
      </c>
      <c r="M909" s="166">
        <v>1</v>
      </c>
      <c r="N909" s="166">
        <v>0</v>
      </c>
      <c r="O909" s="166">
        <v>2</v>
      </c>
      <c r="P909" s="166">
        <v>1</v>
      </c>
      <c r="R909" s="165" t="s">
        <v>1450</v>
      </c>
      <c r="S909" s="81" t="s">
        <v>113</v>
      </c>
      <c r="T909" s="349">
        <v>42662</v>
      </c>
      <c r="U909" s="349">
        <v>42718</v>
      </c>
      <c r="W909" s="81" t="s">
        <v>114</v>
      </c>
      <c r="Y909" s="81" t="s">
        <v>115</v>
      </c>
      <c r="Z909" s="81" t="s">
        <v>398</v>
      </c>
      <c r="AA909" s="81" t="s">
        <v>117</v>
      </c>
      <c r="AB909" s="81" t="s">
        <v>220</v>
      </c>
      <c r="AC909" s="166">
        <v>3.0000000260770299E-3</v>
      </c>
      <c r="AG909" s="81" t="s">
        <v>238</v>
      </c>
      <c r="AH909" s="81" t="s">
        <v>118</v>
      </c>
      <c r="AK909" s="166">
        <v>0</v>
      </c>
      <c r="AM909" s="166">
        <v>0</v>
      </c>
      <c r="AO909" s="166">
        <v>0</v>
      </c>
      <c r="AP909" s="166">
        <v>1</v>
      </c>
      <c r="AQ909" s="166">
        <v>-1</v>
      </c>
      <c r="AR909" s="166">
        <v>0</v>
      </c>
      <c r="AS909" s="166">
        <v>0</v>
      </c>
      <c r="AT909" s="166">
        <v>0</v>
      </c>
      <c r="AU909" s="166">
        <v>0</v>
      </c>
      <c r="AV909" s="166">
        <v>0</v>
      </c>
      <c r="AW909" s="166">
        <v>1</v>
      </c>
      <c r="AX909" s="166">
        <v>-1</v>
      </c>
      <c r="AY909" s="166">
        <v>0</v>
      </c>
      <c r="AZ909" s="166">
        <v>0</v>
      </c>
      <c r="BA909" s="166">
        <v>0</v>
      </c>
      <c r="BB909" s="166">
        <v>0</v>
      </c>
      <c r="BC909" s="166">
        <v>0</v>
      </c>
      <c r="BD909" s="166">
        <v>0</v>
      </c>
      <c r="BE909" s="166">
        <v>0</v>
      </c>
      <c r="BF909" s="166">
        <v>0</v>
      </c>
      <c r="BG909" s="166">
        <v>0</v>
      </c>
      <c r="BH909" s="166">
        <v>0</v>
      </c>
      <c r="BI909" s="166">
        <v>0</v>
      </c>
      <c r="BJ909" s="166">
        <v>0</v>
      </c>
      <c r="BK909" s="166">
        <v>0</v>
      </c>
      <c r="BL909" s="166">
        <v>0</v>
      </c>
      <c r="BM909" s="166">
        <v>0</v>
      </c>
      <c r="BN909" s="166">
        <v>0</v>
      </c>
      <c r="BO909" s="166">
        <v>0</v>
      </c>
      <c r="BP909" s="166">
        <v>0</v>
      </c>
      <c r="BQ909" s="81" t="s">
        <v>1758</v>
      </c>
      <c r="BR909" s="81" t="s">
        <v>161</v>
      </c>
      <c r="BZ909" s="81" t="s">
        <v>155</v>
      </c>
      <c r="CA909" s="81" t="s">
        <v>1937</v>
      </c>
      <c r="CC909" s="167">
        <v>0</v>
      </c>
      <c r="CD909" s="167">
        <f>$N909/4</f>
        <v>0</v>
      </c>
      <c r="CE909" s="167">
        <f>$N909/4</f>
        <v>0</v>
      </c>
      <c r="CF909" s="167">
        <f>$N909/4</f>
        <v>0</v>
      </c>
      <c r="CG909" s="167">
        <f>$N909/4</f>
        <v>0</v>
      </c>
      <c r="CH909" s="167">
        <v>0</v>
      </c>
      <c r="CI909" s="167">
        <v>0</v>
      </c>
      <c r="CJ909" s="167">
        <v>0</v>
      </c>
      <c r="CK909" s="167">
        <v>0</v>
      </c>
      <c r="CL909" s="167">
        <v>0</v>
      </c>
      <c r="CM909" s="167">
        <v>0</v>
      </c>
      <c r="CN909" s="167">
        <v>0</v>
      </c>
      <c r="CO909" s="167">
        <v>0</v>
      </c>
      <c r="CP909" s="167">
        <v>0</v>
      </c>
      <c r="CQ909" s="167">
        <v>0</v>
      </c>
      <c r="CR909" s="167">
        <v>0</v>
      </c>
      <c r="CS909" s="167">
        <v>0</v>
      </c>
      <c r="CT909" s="167">
        <v>0</v>
      </c>
      <c r="CU909" s="167">
        <v>0</v>
      </c>
      <c r="CV909" s="167">
        <v>0</v>
      </c>
      <c r="CW909" s="167">
        <v>0</v>
      </c>
      <c r="CX909" s="167">
        <f>SUM(CD909:CH909)</f>
        <v>0</v>
      </c>
      <c r="CY909" s="167">
        <f>SUM(CD909:CM909)</f>
        <v>0</v>
      </c>
    </row>
    <row r="910" spans="1:103" ht="12.75" customHeight="1" x14ac:dyDescent="0.2">
      <c r="A910" s="81">
        <v>6034</v>
      </c>
      <c r="B910" s="165" t="s">
        <v>1930</v>
      </c>
      <c r="C910" s="165" t="s">
        <v>1449</v>
      </c>
      <c r="E910" s="165" t="s">
        <v>2647</v>
      </c>
      <c r="G910" s="81">
        <v>523955</v>
      </c>
      <c r="H910" s="81">
        <v>175134</v>
      </c>
      <c r="I910" s="165" t="s">
        <v>259</v>
      </c>
      <c r="L910" s="166">
        <v>0</v>
      </c>
      <c r="M910" s="166">
        <v>1</v>
      </c>
      <c r="N910" s="166">
        <v>1</v>
      </c>
      <c r="O910" s="166">
        <v>2</v>
      </c>
      <c r="P910" s="166">
        <v>1</v>
      </c>
      <c r="R910" s="165" t="s">
        <v>1450</v>
      </c>
      <c r="S910" s="81" t="s">
        <v>113</v>
      </c>
      <c r="T910" s="349">
        <v>42662</v>
      </c>
      <c r="U910" s="349">
        <v>42718</v>
      </c>
      <c r="W910" s="81" t="s">
        <v>114</v>
      </c>
      <c r="Y910" s="81" t="s">
        <v>115</v>
      </c>
      <c r="Z910" s="81" t="s">
        <v>398</v>
      </c>
      <c r="AA910" s="81" t="s">
        <v>117</v>
      </c>
      <c r="AB910" s="81" t="s">
        <v>220</v>
      </c>
      <c r="AC910" s="166">
        <v>4.9999998882412902E-3</v>
      </c>
      <c r="AG910" s="81" t="s">
        <v>238</v>
      </c>
      <c r="AH910" s="81" t="s">
        <v>118</v>
      </c>
      <c r="AK910" s="166">
        <v>0</v>
      </c>
      <c r="AM910" s="166">
        <v>0</v>
      </c>
      <c r="AO910" s="166">
        <v>0</v>
      </c>
      <c r="AP910" s="166">
        <v>0</v>
      </c>
      <c r="AQ910" s="166">
        <v>1</v>
      </c>
      <c r="AR910" s="166">
        <v>0</v>
      </c>
      <c r="AS910" s="166">
        <v>0</v>
      </c>
      <c r="AT910" s="166">
        <v>0</v>
      </c>
      <c r="AU910" s="166">
        <v>0</v>
      </c>
      <c r="AV910" s="166">
        <v>0</v>
      </c>
      <c r="AW910" s="166">
        <v>0</v>
      </c>
      <c r="AX910" s="166">
        <v>1</v>
      </c>
      <c r="AY910" s="166">
        <v>0</v>
      </c>
      <c r="AZ910" s="166">
        <v>0</v>
      </c>
      <c r="BA910" s="166">
        <v>0</v>
      </c>
      <c r="BB910" s="166">
        <v>0</v>
      </c>
      <c r="BC910" s="166">
        <v>0</v>
      </c>
      <c r="BD910" s="166">
        <v>0</v>
      </c>
      <c r="BE910" s="166">
        <v>0</v>
      </c>
      <c r="BF910" s="166">
        <v>0</v>
      </c>
      <c r="BG910" s="166">
        <v>0</v>
      </c>
      <c r="BH910" s="166">
        <v>0</v>
      </c>
      <c r="BI910" s="166">
        <v>0</v>
      </c>
      <c r="BJ910" s="166">
        <v>0</v>
      </c>
      <c r="BK910" s="166">
        <v>0</v>
      </c>
      <c r="BL910" s="166">
        <v>0</v>
      </c>
      <c r="BM910" s="166">
        <v>0</v>
      </c>
      <c r="BN910" s="166">
        <v>0</v>
      </c>
      <c r="BO910" s="166">
        <v>0</v>
      </c>
      <c r="BP910" s="166">
        <v>0</v>
      </c>
      <c r="BQ910" s="81" t="s">
        <v>1758</v>
      </c>
      <c r="BR910" s="81" t="s">
        <v>161</v>
      </c>
      <c r="BZ910" s="81" t="s">
        <v>155</v>
      </c>
      <c r="CA910" s="81" t="s">
        <v>1937</v>
      </c>
      <c r="CC910" s="167">
        <v>0</v>
      </c>
      <c r="CD910" s="167">
        <f>$N910/4</f>
        <v>0.25</v>
      </c>
      <c r="CE910" s="167">
        <f>$N910/4</f>
        <v>0.25</v>
      </c>
      <c r="CF910" s="167">
        <f>$N910/4</f>
        <v>0.25</v>
      </c>
      <c r="CG910" s="167">
        <f>$N910/4</f>
        <v>0.25</v>
      </c>
      <c r="CH910" s="167">
        <v>0</v>
      </c>
      <c r="CI910" s="167">
        <v>0</v>
      </c>
      <c r="CJ910" s="167">
        <v>0</v>
      </c>
      <c r="CK910" s="167">
        <v>0</v>
      </c>
      <c r="CL910" s="167">
        <v>0</v>
      </c>
      <c r="CM910" s="167">
        <v>0</v>
      </c>
      <c r="CN910" s="167">
        <v>0</v>
      </c>
      <c r="CO910" s="167">
        <v>0</v>
      </c>
      <c r="CP910" s="167">
        <v>0</v>
      </c>
      <c r="CQ910" s="167">
        <v>0</v>
      </c>
      <c r="CR910" s="167">
        <v>0</v>
      </c>
      <c r="CS910" s="167">
        <v>0</v>
      </c>
      <c r="CT910" s="167">
        <v>0</v>
      </c>
      <c r="CU910" s="167">
        <v>0</v>
      </c>
      <c r="CV910" s="167">
        <v>0</v>
      </c>
      <c r="CW910" s="167">
        <v>0</v>
      </c>
      <c r="CX910" s="167">
        <f>SUM(CD910:CH910)</f>
        <v>1</v>
      </c>
      <c r="CY910" s="167">
        <f>SUM(CD910:CM910)</f>
        <v>1</v>
      </c>
    </row>
    <row r="911" spans="1:103" ht="12.75" customHeight="1" x14ac:dyDescent="0.2">
      <c r="A911" s="81">
        <v>6035</v>
      </c>
      <c r="B911" s="165" t="s">
        <v>1930</v>
      </c>
      <c r="C911" s="165" t="s">
        <v>1250</v>
      </c>
      <c r="E911" s="165" t="s">
        <v>2648</v>
      </c>
      <c r="G911" s="81">
        <v>524786</v>
      </c>
      <c r="H911" s="81">
        <v>175120</v>
      </c>
      <c r="I911" s="165" t="s">
        <v>259</v>
      </c>
      <c r="L911" s="166">
        <v>0</v>
      </c>
      <c r="M911" s="166">
        <v>1</v>
      </c>
      <c r="N911" s="166">
        <v>1</v>
      </c>
      <c r="O911" s="166">
        <v>1</v>
      </c>
      <c r="P911" s="166">
        <v>1</v>
      </c>
      <c r="R911" s="165" t="s">
        <v>2649</v>
      </c>
      <c r="S911" s="81" t="s">
        <v>113</v>
      </c>
      <c r="T911" s="349">
        <v>42488</v>
      </c>
      <c r="U911" s="349">
        <v>42543</v>
      </c>
      <c r="W911" s="81" t="s">
        <v>114</v>
      </c>
      <c r="Y911" s="81" t="s">
        <v>115</v>
      </c>
      <c r="Z911" s="81" t="s">
        <v>310</v>
      </c>
      <c r="AA911" s="81" t="s">
        <v>117</v>
      </c>
      <c r="AB911" s="81" t="s">
        <v>399</v>
      </c>
      <c r="AC911" s="166">
        <v>4.0000001899898104E-3</v>
      </c>
      <c r="AG911" s="81" t="s">
        <v>238</v>
      </c>
      <c r="AH911" s="81" t="s">
        <v>118</v>
      </c>
      <c r="AK911" s="166">
        <v>0</v>
      </c>
      <c r="AM911" s="166">
        <v>0</v>
      </c>
      <c r="AO911" s="166">
        <v>0</v>
      </c>
      <c r="AP911" s="166">
        <v>1</v>
      </c>
      <c r="AQ911" s="166">
        <v>0</v>
      </c>
      <c r="AR911" s="166">
        <v>0</v>
      </c>
      <c r="AS911" s="166">
        <v>0</v>
      </c>
      <c r="AT911" s="166">
        <v>0</v>
      </c>
      <c r="AU911" s="166">
        <v>0</v>
      </c>
      <c r="AV911" s="166">
        <v>0</v>
      </c>
      <c r="AW911" s="166">
        <v>1</v>
      </c>
      <c r="AX911" s="166">
        <v>0</v>
      </c>
      <c r="AY911" s="166">
        <v>0</v>
      </c>
      <c r="AZ911" s="166">
        <v>0</v>
      </c>
      <c r="BA911" s="166">
        <v>0</v>
      </c>
      <c r="BB911" s="166">
        <v>0</v>
      </c>
      <c r="BC911" s="166">
        <v>0</v>
      </c>
      <c r="BD911" s="166">
        <v>0</v>
      </c>
      <c r="BE911" s="166">
        <v>0</v>
      </c>
      <c r="BF911" s="166">
        <v>0</v>
      </c>
      <c r="BG911" s="166">
        <v>0</v>
      </c>
      <c r="BH911" s="166">
        <v>0</v>
      </c>
      <c r="BI911" s="166">
        <v>0</v>
      </c>
      <c r="BJ911" s="166">
        <v>0</v>
      </c>
      <c r="BK911" s="166">
        <v>0</v>
      </c>
      <c r="BL911" s="166">
        <v>0</v>
      </c>
      <c r="BM911" s="166">
        <v>0</v>
      </c>
      <c r="BN911" s="166">
        <v>0</v>
      </c>
      <c r="BO911" s="166">
        <v>0</v>
      </c>
      <c r="BP911" s="166">
        <v>0</v>
      </c>
      <c r="BQ911" s="81" t="s">
        <v>1758</v>
      </c>
      <c r="BZ911" s="81" t="s">
        <v>155</v>
      </c>
      <c r="CA911" s="81" t="s">
        <v>1937</v>
      </c>
      <c r="CC911" s="167">
        <v>0</v>
      </c>
      <c r="CD911" s="167">
        <f>$N911/4</f>
        <v>0.25</v>
      </c>
      <c r="CE911" s="167">
        <f>$N911/4</f>
        <v>0.25</v>
      </c>
      <c r="CF911" s="167">
        <f>$N911/4</f>
        <v>0.25</v>
      </c>
      <c r="CG911" s="167">
        <f>$N911/4</f>
        <v>0.25</v>
      </c>
      <c r="CH911" s="167">
        <v>0</v>
      </c>
      <c r="CI911" s="167">
        <v>0</v>
      </c>
      <c r="CJ911" s="167">
        <v>0</v>
      </c>
      <c r="CK911" s="167">
        <v>0</v>
      </c>
      <c r="CL911" s="167">
        <v>0</v>
      </c>
      <c r="CM911" s="167">
        <v>0</v>
      </c>
      <c r="CN911" s="167">
        <v>0</v>
      </c>
      <c r="CO911" s="167">
        <v>0</v>
      </c>
      <c r="CP911" s="167">
        <v>0</v>
      </c>
      <c r="CQ911" s="167">
        <v>0</v>
      </c>
      <c r="CR911" s="167">
        <v>0</v>
      </c>
      <c r="CS911" s="167">
        <v>0</v>
      </c>
      <c r="CT911" s="167">
        <v>0</v>
      </c>
      <c r="CU911" s="167">
        <v>0</v>
      </c>
      <c r="CV911" s="167">
        <v>0</v>
      </c>
      <c r="CW911" s="167">
        <v>0</v>
      </c>
      <c r="CX911" s="167">
        <f>SUM(CD911:CH911)</f>
        <v>1</v>
      </c>
      <c r="CY911" s="167">
        <f>SUM(CD911:CM911)</f>
        <v>1</v>
      </c>
    </row>
    <row r="912" spans="1:103" ht="12.75" customHeight="1" x14ac:dyDescent="0.2">
      <c r="A912" s="81">
        <v>6035</v>
      </c>
      <c r="B912" s="165" t="s">
        <v>1930</v>
      </c>
      <c r="C912" s="165" t="s">
        <v>1527</v>
      </c>
      <c r="E912" s="165" t="s">
        <v>2648</v>
      </c>
      <c r="G912" s="81">
        <v>524786</v>
      </c>
      <c r="H912" s="81">
        <v>175120</v>
      </c>
      <c r="I912" s="165" t="s">
        <v>259</v>
      </c>
      <c r="L912" s="166">
        <v>0</v>
      </c>
      <c r="M912" s="166">
        <v>1</v>
      </c>
      <c r="N912" s="166">
        <v>1</v>
      </c>
      <c r="O912" s="166">
        <v>1</v>
      </c>
      <c r="P912" s="166">
        <v>1</v>
      </c>
      <c r="R912" s="165" t="s">
        <v>562</v>
      </c>
      <c r="S912" s="81" t="s">
        <v>270</v>
      </c>
      <c r="T912" s="349">
        <v>42752</v>
      </c>
      <c r="U912" s="349">
        <v>42808</v>
      </c>
      <c r="W912" s="81" t="s">
        <v>114</v>
      </c>
      <c r="Y912" s="81" t="s">
        <v>115</v>
      </c>
      <c r="Z912" s="81" t="s">
        <v>310</v>
      </c>
      <c r="AA912" s="81" t="s">
        <v>117</v>
      </c>
      <c r="AB912" s="81" t="s">
        <v>399</v>
      </c>
      <c r="AC912" s="166">
        <v>4.0000001899898104E-3</v>
      </c>
      <c r="AG912" s="81" t="s">
        <v>238</v>
      </c>
      <c r="AH912" s="81" t="s">
        <v>118</v>
      </c>
      <c r="AK912" s="166">
        <v>0</v>
      </c>
      <c r="AM912" s="166">
        <v>0</v>
      </c>
      <c r="AO912" s="166">
        <v>0</v>
      </c>
      <c r="AP912" s="166">
        <v>1</v>
      </c>
      <c r="AQ912" s="166">
        <v>0</v>
      </c>
      <c r="AR912" s="166">
        <v>0</v>
      </c>
      <c r="AS912" s="166">
        <v>0</v>
      </c>
      <c r="AT912" s="166">
        <v>0</v>
      </c>
      <c r="AU912" s="166">
        <v>0</v>
      </c>
      <c r="AV912" s="166">
        <v>0</v>
      </c>
      <c r="AW912" s="166">
        <v>1</v>
      </c>
      <c r="AX912" s="166">
        <v>0</v>
      </c>
      <c r="AY912" s="166">
        <v>0</v>
      </c>
      <c r="AZ912" s="166">
        <v>0</v>
      </c>
      <c r="BA912" s="166">
        <v>0</v>
      </c>
      <c r="BB912" s="166">
        <v>0</v>
      </c>
      <c r="BC912" s="166">
        <v>0</v>
      </c>
      <c r="BD912" s="166">
        <v>0</v>
      </c>
      <c r="BE912" s="166">
        <v>0</v>
      </c>
      <c r="BF912" s="166">
        <v>0</v>
      </c>
      <c r="BG912" s="166">
        <v>0</v>
      </c>
      <c r="BH912" s="166">
        <v>0</v>
      </c>
      <c r="BI912" s="166">
        <v>0</v>
      </c>
      <c r="BJ912" s="166">
        <v>0</v>
      </c>
      <c r="BK912" s="166">
        <v>0</v>
      </c>
      <c r="BL912" s="166">
        <v>0</v>
      </c>
      <c r="BM912" s="166">
        <v>0</v>
      </c>
      <c r="BN912" s="166">
        <v>0</v>
      </c>
      <c r="BO912" s="166">
        <v>0</v>
      </c>
      <c r="BP912" s="166">
        <v>0</v>
      </c>
      <c r="BQ912" s="81" t="s">
        <v>1758</v>
      </c>
      <c r="BZ912" s="81" t="s">
        <v>155</v>
      </c>
      <c r="CA912" s="81" t="s">
        <v>1937</v>
      </c>
      <c r="CC912" s="167">
        <v>0</v>
      </c>
      <c r="CD912" s="167">
        <f>$N912/4</f>
        <v>0.25</v>
      </c>
      <c r="CE912" s="167">
        <f>$N912/4</f>
        <v>0.25</v>
      </c>
      <c r="CF912" s="167">
        <f>$N912/4</f>
        <v>0.25</v>
      </c>
      <c r="CG912" s="167">
        <f>$N912/4</f>
        <v>0.25</v>
      </c>
      <c r="CH912" s="167">
        <v>0</v>
      </c>
      <c r="CI912" s="167">
        <v>0</v>
      </c>
      <c r="CJ912" s="167">
        <v>0</v>
      </c>
      <c r="CK912" s="167">
        <v>0</v>
      </c>
      <c r="CL912" s="167">
        <v>0</v>
      </c>
      <c r="CM912" s="167">
        <v>0</v>
      </c>
      <c r="CN912" s="167">
        <v>0</v>
      </c>
      <c r="CO912" s="167">
        <v>0</v>
      </c>
      <c r="CP912" s="167">
        <v>0</v>
      </c>
      <c r="CQ912" s="167">
        <v>0</v>
      </c>
      <c r="CR912" s="167">
        <v>0</v>
      </c>
      <c r="CS912" s="167">
        <v>0</v>
      </c>
      <c r="CT912" s="167">
        <v>0</v>
      </c>
      <c r="CU912" s="167">
        <v>0</v>
      </c>
      <c r="CV912" s="167">
        <v>0</v>
      </c>
      <c r="CW912" s="167">
        <v>0</v>
      </c>
      <c r="CX912" s="167">
        <f>SUM(CD912:CH912)</f>
        <v>1</v>
      </c>
      <c r="CY912" s="167">
        <f>SUM(CD912:CM912)</f>
        <v>1</v>
      </c>
    </row>
    <row r="913" spans="1:103" ht="12.75" customHeight="1" x14ac:dyDescent="0.2">
      <c r="A913" s="81">
        <v>6044</v>
      </c>
      <c r="B913" s="165" t="s">
        <v>1930</v>
      </c>
      <c r="C913" s="165" t="s">
        <v>1187</v>
      </c>
      <c r="E913" s="165" t="s">
        <v>2650</v>
      </c>
      <c r="G913" s="81">
        <v>526143</v>
      </c>
      <c r="H913" s="81">
        <v>172628</v>
      </c>
      <c r="I913" s="165" t="s">
        <v>249</v>
      </c>
      <c r="L913" s="166">
        <v>0</v>
      </c>
      <c r="M913" s="166">
        <v>2</v>
      </c>
      <c r="N913" s="166">
        <v>2</v>
      </c>
      <c r="O913" s="166">
        <v>2</v>
      </c>
      <c r="P913" s="166">
        <v>2</v>
      </c>
      <c r="R913" s="165" t="s">
        <v>1188</v>
      </c>
      <c r="S913" s="81" t="s">
        <v>113</v>
      </c>
      <c r="T913" s="349">
        <v>42472</v>
      </c>
      <c r="U913" s="349">
        <v>42528</v>
      </c>
      <c r="W913" s="81" t="s">
        <v>114</v>
      </c>
      <c r="Y913" s="81" t="s">
        <v>115</v>
      </c>
      <c r="Z913" s="81" t="s">
        <v>398</v>
      </c>
      <c r="AA913" s="81" t="s">
        <v>117</v>
      </c>
      <c r="AB913" s="81" t="s">
        <v>102</v>
      </c>
      <c r="AC913" s="166">
        <v>4.9999998882412902E-3</v>
      </c>
      <c r="AG913" s="81" t="s">
        <v>238</v>
      </c>
      <c r="AH913" s="81" t="s">
        <v>118</v>
      </c>
      <c r="AK913" s="166">
        <v>0</v>
      </c>
      <c r="AM913" s="166">
        <v>0</v>
      </c>
      <c r="AO913" s="166">
        <v>0</v>
      </c>
      <c r="AP913" s="166">
        <v>1</v>
      </c>
      <c r="AQ913" s="166">
        <v>1</v>
      </c>
      <c r="AR913" s="166">
        <v>0</v>
      </c>
      <c r="AS913" s="166">
        <v>0</v>
      </c>
      <c r="AT913" s="166">
        <v>0</v>
      </c>
      <c r="AU913" s="166">
        <v>0</v>
      </c>
      <c r="AV913" s="166">
        <v>0</v>
      </c>
      <c r="AW913" s="166">
        <v>1</v>
      </c>
      <c r="AX913" s="166">
        <v>1</v>
      </c>
      <c r="AY913" s="166">
        <v>0</v>
      </c>
      <c r="AZ913" s="166">
        <v>0</v>
      </c>
      <c r="BA913" s="166">
        <v>0</v>
      </c>
      <c r="BB913" s="166">
        <v>0</v>
      </c>
      <c r="BC913" s="166">
        <v>0</v>
      </c>
      <c r="BD913" s="166">
        <v>0</v>
      </c>
      <c r="BE913" s="166">
        <v>0</v>
      </c>
      <c r="BF913" s="166">
        <v>0</v>
      </c>
      <c r="BG913" s="166">
        <v>0</v>
      </c>
      <c r="BH913" s="166">
        <v>0</v>
      </c>
      <c r="BI913" s="166">
        <v>0</v>
      </c>
      <c r="BJ913" s="166">
        <v>0</v>
      </c>
      <c r="BK913" s="166">
        <v>0</v>
      </c>
      <c r="BL913" s="166">
        <v>0</v>
      </c>
      <c r="BM913" s="166">
        <v>0</v>
      </c>
      <c r="BN913" s="166">
        <v>0</v>
      </c>
      <c r="BO913" s="166">
        <v>0</v>
      </c>
      <c r="BP913" s="166">
        <v>0</v>
      </c>
      <c r="BQ913" s="81" t="s">
        <v>1758</v>
      </c>
      <c r="BZ913" s="81" t="s">
        <v>155</v>
      </c>
      <c r="CA913" s="81" t="s">
        <v>1937</v>
      </c>
      <c r="CC913" s="167">
        <v>0</v>
      </c>
      <c r="CD913" s="167">
        <f>$N913/4</f>
        <v>0.5</v>
      </c>
      <c r="CE913" s="167">
        <f>$N913/4</f>
        <v>0.5</v>
      </c>
      <c r="CF913" s="167">
        <f>$N913/4</f>
        <v>0.5</v>
      </c>
      <c r="CG913" s="167">
        <f>$N913/4</f>
        <v>0.5</v>
      </c>
      <c r="CH913" s="167">
        <v>0</v>
      </c>
      <c r="CI913" s="167">
        <v>0</v>
      </c>
      <c r="CJ913" s="167">
        <v>0</v>
      </c>
      <c r="CK913" s="167">
        <v>0</v>
      </c>
      <c r="CL913" s="167">
        <v>0</v>
      </c>
      <c r="CM913" s="167">
        <v>0</v>
      </c>
      <c r="CN913" s="167">
        <v>0</v>
      </c>
      <c r="CO913" s="167">
        <v>0</v>
      </c>
      <c r="CP913" s="167">
        <v>0</v>
      </c>
      <c r="CQ913" s="167">
        <v>0</v>
      </c>
      <c r="CR913" s="167">
        <v>0</v>
      </c>
      <c r="CS913" s="167">
        <v>0</v>
      </c>
      <c r="CT913" s="167">
        <v>0</v>
      </c>
      <c r="CU913" s="167">
        <v>0</v>
      </c>
      <c r="CV913" s="167">
        <v>0</v>
      </c>
      <c r="CW913" s="167">
        <v>0</v>
      </c>
      <c r="CX913" s="167">
        <f>SUM(CD913:CH913)</f>
        <v>2</v>
      </c>
      <c r="CY913" s="167">
        <f>SUM(CD913:CM913)</f>
        <v>2</v>
      </c>
    </row>
    <row r="914" spans="1:103" ht="12.75" customHeight="1" x14ac:dyDescent="0.2">
      <c r="A914" s="81">
        <v>6058</v>
      </c>
      <c r="B914" s="165" t="s">
        <v>1930</v>
      </c>
      <c r="C914" s="165" t="s">
        <v>653</v>
      </c>
      <c r="E914" s="165" t="s">
        <v>2651</v>
      </c>
      <c r="G914" s="81">
        <v>523963</v>
      </c>
      <c r="H914" s="81">
        <v>175629</v>
      </c>
      <c r="I914" s="165" t="s">
        <v>259</v>
      </c>
      <c r="L914" s="166">
        <v>0</v>
      </c>
      <c r="M914" s="166">
        <v>2</v>
      </c>
      <c r="N914" s="166">
        <v>2</v>
      </c>
      <c r="O914" s="166">
        <v>2</v>
      </c>
      <c r="P914" s="166">
        <v>2</v>
      </c>
      <c r="R914" s="165" t="s">
        <v>1143</v>
      </c>
      <c r="S914" s="81" t="s">
        <v>113</v>
      </c>
      <c r="T914" s="349">
        <v>42264</v>
      </c>
      <c r="U914" s="349">
        <v>42459</v>
      </c>
      <c r="W914" s="81" t="s">
        <v>114</v>
      </c>
      <c r="Y914" s="81" t="s">
        <v>115</v>
      </c>
      <c r="Z914" s="81" t="s">
        <v>116</v>
      </c>
      <c r="AA914" s="81" t="s">
        <v>117</v>
      </c>
      <c r="AB914" s="81" t="s">
        <v>218</v>
      </c>
      <c r="AC914" s="166">
        <v>2.19999998807907E-2</v>
      </c>
      <c r="AG914" s="81" t="s">
        <v>238</v>
      </c>
      <c r="AH914" s="81" t="s">
        <v>118</v>
      </c>
      <c r="AK914" s="166">
        <v>2</v>
      </c>
      <c r="AM914" s="166">
        <v>0</v>
      </c>
      <c r="AO914" s="166">
        <v>0</v>
      </c>
      <c r="AP914" s="166">
        <v>1</v>
      </c>
      <c r="AQ914" s="166">
        <v>1</v>
      </c>
      <c r="AR914" s="166">
        <v>0</v>
      </c>
      <c r="AS914" s="166">
        <v>0</v>
      </c>
      <c r="AT914" s="166">
        <v>0</v>
      </c>
      <c r="AU914" s="166">
        <v>0</v>
      </c>
      <c r="AV914" s="166">
        <v>0</v>
      </c>
      <c r="AW914" s="166">
        <v>1</v>
      </c>
      <c r="AX914" s="166">
        <v>1</v>
      </c>
      <c r="AY914" s="166">
        <v>0</v>
      </c>
      <c r="AZ914" s="166">
        <v>0</v>
      </c>
      <c r="BA914" s="166">
        <v>0</v>
      </c>
      <c r="BB914" s="166">
        <v>0</v>
      </c>
      <c r="BC914" s="166">
        <v>0</v>
      </c>
      <c r="BD914" s="166">
        <v>0</v>
      </c>
      <c r="BE914" s="166">
        <v>0</v>
      </c>
      <c r="BF914" s="166">
        <v>0</v>
      </c>
      <c r="BG914" s="166">
        <v>0</v>
      </c>
      <c r="BH914" s="166">
        <v>0</v>
      </c>
      <c r="BI914" s="166">
        <v>0</v>
      </c>
      <c r="BJ914" s="166">
        <v>0</v>
      </c>
      <c r="BK914" s="166">
        <v>0</v>
      </c>
      <c r="BL914" s="166">
        <v>0</v>
      </c>
      <c r="BM914" s="166">
        <v>0</v>
      </c>
      <c r="BN914" s="166">
        <v>0</v>
      </c>
      <c r="BO914" s="166">
        <v>0</v>
      </c>
      <c r="BP914" s="166">
        <v>0</v>
      </c>
      <c r="BQ914" s="81" t="s">
        <v>1758</v>
      </c>
      <c r="BZ914" s="81" t="s">
        <v>155</v>
      </c>
      <c r="CA914" s="81">
        <v>4</v>
      </c>
      <c r="CC914" s="167">
        <v>0</v>
      </c>
      <c r="CD914" s="167">
        <v>0</v>
      </c>
      <c r="CE914" s="167">
        <f>$N914/5</f>
        <v>0.4</v>
      </c>
      <c r="CF914" s="167">
        <f>$N914/5</f>
        <v>0.4</v>
      </c>
      <c r="CG914" s="167">
        <f>$N914/5</f>
        <v>0.4</v>
      </c>
      <c r="CH914" s="167">
        <f>$N914/5</f>
        <v>0.4</v>
      </c>
      <c r="CI914" s="167">
        <f>$N914/5</f>
        <v>0.4</v>
      </c>
      <c r="CJ914" s="167">
        <v>0</v>
      </c>
      <c r="CK914" s="167">
        <v>0</v>
      </c>
      <c r="CL914" s="167">
        <v>0</v>
      </c>
      <c r="CM914" s="167">
        <v>0</v>
      </c>
      <c r="CN914" s="167">
        <v>0</v>
      </c>
      <c r="CO914" s="167">
        <v>0</v>
      </c>
      <c r="CP914" s="167">
        <v>0</v>
      </c>
      <c r="CQ914" s="167">
        <v>0</v>
      </c>
      <c r="CR914" s="167">
        <v>0</v>
      </c>
      <c r="CS914" s="167">
        <v>0</v>
      </c>
      <c r="CT914" s="167">
        <v>0</v>
      </c>
      <c r="CU914" s="167">
        <v>0</v>
      </c>
      <c r="CV914" s="167">
        <v>0</v>
      </c>
      <c r="CW914" s="167">
        <v>0</v>
      </c>
      <c r="CX914" s="167">
        <f>SUM(CD914:CH914)</f>
        <v>1.6</v>
      </c>
      <c r="CY914" s="167">
        <f>SUM(CD914:CM914)</f>
        <v>2</v>
      </c>
    </row>
    <row r="915" spans="1:103" ht="12.75" customHeight="1" x14ac:dyDescent="0.2">
      <c r="A915" s="81">
        <v>6063</v>
      </c>
      <c r="B915" s="165" t="s">
        <v>1930</v>
      </c>
      <c r="C915" s="165" t="s">
        <v>784</v>
      </c>
      <c r="E915" s="165" t="s">
        <v>2652</v>
      </c>
      <c r="G915" s="81">
        <v>527408</v>
      </c>
      <c r="H915" s="81">
        <v>176440</v>
      </c>
      <c r="I915" s="165" t="s">
        <v>257</v>
      </c>
      <c r="L915" s="166">
        <v>0</v>
      </c>
      <c r="M915" s="166">
        <v>1</v>
      </c>
      <c r="N915" s="166">
        <v>1</v>
      </c>
      <c r="O915" s="166">
        <v>1</v>
      </c>
      <c r="P915" s="166">
        <v>1</v>
      </c>
      <c r="R915" s="165" t="s">
        <v>1145</v>
      </c>
      <c r="S915" s="81" t="s">
        <v>113</v>
      </c>
      <c r="T915" s="349">
        <v>42257</v>
      </c>
      <c r="U915" s="349">
        <v>42580</v>
      </c>
      <c r="W915" s="81" t="s">
        <v>114</v>
      </c>
      <c r="Y915" s="81" t="s">
        <v>115</v>
      </c>
      <c r="Z915" s="81" t="s">
        <v>116</v>
      </c>
      <c r="AA915" s="81" t="s">
        <v>117</v>
      </c>
      <c r="AB915" s="81" t="s">
        <v>218</v>
      </c>
      <c r="AC915" s="166">
        <v>1.7999999225139601E-2</v>
      </c>
      <c r="AG915" s="81" t="s">
        <v>238</v>
      </c>
      <c r="AH915" s="81" t="s">
        <v>118</v>
      </c>
      <c r="AK915" s="166">
        <v>1</v>
      </c>
      <c r="AM915" s="166">
        <v>0</v>
      </c>
      <c r="AO915" s="166">
        <v>0</v>
      </c>
      <c r="AP915" s="166">
        <v>0</v>
      </c>
      <c r="AQ915" s="166">
        <v>1</v>
      </c>
      <c r="AR915" s="166">
        <v>0</v>
      </c>
      <c r="AS915" s="166">
        <v>0</v>
      </c>
      <c r="AT915" s="166">
        <v>0</v>
      </c>
      <c r="AU915" s="166">
        <v>0</v>
      </c>
      <c r="AV915" s="166">
        <v>0</v>
      </c>
      <c r="AW915" s="166">
        <v>0</v>
      </c>
      <c r="AX915" s="166">
        <v>0</v>
      </c>
      <c r="AY915" s="166">
        <v>0</v>
      </c>
      <c r="AZ915" s="166">
        <v>0</v>
      </c>
      <c r="BA915" s="166">
        <v>0</v>
      </c>
      <c r="BB915" s="166">
        <v>0</v>
      </c>
      <c r="BC915" s="166">
        <v>0</v>
      </c>
      <c r="BD915" s="166">
        <v>0</v>
      </c>
      <c r="BE915" s="166">
        <v>1</v>
      </c>
      <c r="BF915" s="166">
        <v>0</v>
      </c>
      <c r="BG915" s="166">
        <v>0</v>
      </c>
      <c r="BH915" s="166">
        <v>0</v>
      </c>
      <c r="BI915" s="166">
        <v>0</v>
      </c>
      <c r="BJ915" s="166">
        <v>0</v>
      </c>
      <c r="BK915" s="166">
        <v>0</v>
      </c>
      <c r="BL915" s="166">
        <v>0</v>
      </c>
      <c r="BM915" s="166">
        <v>0</v>
      </c>
      <c r="BN915" s="166">
        <v>0</v>
      </c>
      <c r="BO915" s="166">
        <v>0</v>
      </c>
      <c r="BP915" s="166">
        <v>0</v>
      </c>
      <c r="BQ915" s="81" t="s">
        <v>1757</v>
      </c>
      <c r="BZ915" s="81" t="s">
        <v>155</v>
      </c>
      <c r="CA915" s="81">
        <v>4</v>
      </c>
      <c r="CC915" s="167">
        <v>0</v>
      </c>
      <c r="CD915" s="167">
        <v>0</v>
      </c>
      <c r="CE915" s="167">
        <f>$N915/5</f>
        <v>0.2</v>
      </c>
      <c r="CF915" s="167">
        <f>$N915/5</f>
        <v>0.2</v>
      </c>
      <c r="CG915" s="167">
        <f>$N915/5</f>
        <v>0.2</v>
      </c>
      <c r="CH915" s="167">
        <f>$N915/5</f>
        <v>0.2</v>
      </c>
      <c r="CI915" s="167">
        <f>$N915/5</f>
        <v>0.2</v>
      </c>
      <c r="CJ915" s="167">
        <v>0</v>
      </c>
      <c r="CK915" s="167">
        <v>0</v>
      </c>
      <c r="CL915" s="167">
        <v>0</v>
      </c>
      <c r="CM915" s="167">
        <v>0</v>
      </c>
      <c r="CN915" s="167">
        <v>0</v>
      </c>
      <c r="CO915" s="167">
        <v>0</v>
      </c>
      <c r="CP915" s="167">
        <v>0</v>
      </c>
      <c r="CQ915" s="167">
        <v>0</v>
      </c>
      <c r="CR915" s="167">
        <v>0</v>
      </c>
      <c r="CS915" s="167">
        <v>0</v>
      </c>
      <c r="CT915" s="167">
        <v>0</v>
      </c>
      <c r="CU915" s="167">
        <v>0</v>
      </c>
      <c r="CV915" s="167">
        <v>0</v>
      </c>
      <c r="CW915" s="167">
        <v>0</v>
      </c>
      <c r="CX915" s="167">
        <f>SUM(CD915:CH915)</f>
        <v>0.8</v>
      </c>
      <c r="CY915" s="167">
        <f>SUM(CD915:CM915)</f>
        <v>1</v>
      </c>
    </row>
    <row r="916" spans="1:103" ht="12.75" customHeight="1" x14ac:dyDescent="0.2">
      <c r="A916" s="81">
        <v>6072</v>
      </c>
      <c r="B916" s="165" t="s">
        <v>1930</v>
      </c>
      <c r="C916" s="165" t="s">
        <v>664</v>
      </c>
      <c r="E916" s="165" t="s">
        <v>2653</v>
      </c>
      <c r="G916" s="81">
        <v>528353</v>
      </c>
      <c r="H916" s="81">
        <v>172928</v>
      </c>
      <c r="I916" s="165" t="s">
        <v>248</v>
      </c>
      <c r="L916" s="166">
        <v>0</v>
      </c>
      <c r="M916" s="166">
        <v>1</v>
      </c>
      <c r="N916" s="166">
        <v>1</v>
      </c>
      <c r="O916" s="166">
        <v>1</v>
      </c>
      <c r="P916" s="166">
        <v>1</v>
      </c>
      <c r="R916" s="165" t="s">
        <v>665</v>
      </c>
      <c r="S916" s="81" t="s">
        <v>113</v>
      </c>
      <c r="T916" s="349">
        <v>42327</v>
      </c>
      <c r="U916" s="349">
        <v>42381</v>
      </c>
      <c r="W916" s="81" t="s">
        <v>114</v>
      </c>
      <c r="Y916" s="81" t="s">
        <v>115</v>
      </c>
      <c r="Z916" s="81" t="s">
        <v>398</v>
      </c>
      <c r="AA916" s="81" t="s">
        <v>117</v>
      </c>
      <c r="AB916" s="81" t="s">
        <v>311</v>
      </c>
      <c r="AC916" s="166">
        <v>4.0000001899898104E-3</v>
      </c>
      <c r="AG916" s="81" t="s">
        <v>238</v>
      </c>
      <c r="AH916" s="81" t="s">
        <v>118</v>
      </c>
      <c r="AK916" s="166">
        <v>0</v>
      </c>
      <c r="AM916" s="166">
        <v>0</v>
      </c>
      <c r="AO916" s="166">
        <v>0</v>
      </c>
      <c r="AP916" s="166">
        <v>1</v>
      </c>
      <c r="AQ916" s="166">
        <v>0</v>
      </c>
      <c r="AR916" s="166">
        <v>0</v>
      </c>
      <c r="AS916" s="166">
        <v>0</v>
      </c>
      <c r="AT916" s="166">
        <v>0</v>
      </c>
      <c r="AU916" s="166">
        <v>0</v>
      </c>
      <c r="AV916" s="166">
        <v>0</v>
      </c>
      <c r="AW916" s="166">
        <v>1</v>
      </c>
      <c r="AX916" s="166">
        <v>0</v>
      </c>
      <c r="AY916" s="166">
        <v>0</v>
      </c>
      <c r="AZ916" s="166">
        <v>0</v>
      </c>
      <c r="BA916" s="166">
        <v>0</v>
      </c>
      <c r="BB916" s="166">
        <v>0</v>
      </c>
      <c r="BC916" s="166">
        <v>0</v>
      </c>
      <c r="BD916" s="166">
        <v>0</v>
      </c>
      <c r="BE916" s="166">
        <v>0</v>
      </c>
      <c r="BF916" s="166">
        <v>0</v>
      </c>
      <c r="BG916" s="166">
        <v>0</v>
      </c>
      <c r="BH916" s="166">
        <v>0</v>
      </c>
      <c r="BI916" s="166">
        <v>0</v>
      </c>
      <c r="BJ916" s="166">
        <v>0</v>
      </c>
      <c r="BK916" s="166">
        <v>0</v>
      </c>
      <c r="BL916" s="166">
        <v>0</v>
      </c>
      <c r="BM916" s="166">
        <v>0</v>
      </c>
      <c r="BN916" s="166">
        <v>0</v>
      </c>
      <c r="BO916" s="166">
        <v>0</v>
      </c>
      <c r="BP916" s="166">
        <v>0</v>
      </c>
      <c r="BQ916" s="81" t="s">
        <v>1757</v>
      </c>
      <c r="BZ916" s="81" t="s">
        <v>155</v>
      </c>
      <c r="CA916" s="81" t="s">
        <v>1937</v>
      </c>
      <c r="CC916" s="167">
        <v>0</v>
      </c>
      <c r="CD916" s="167">
        <f>$N916/4</f>
        <v>0.25</v>
      </c>
      <c r="CE916" s="167">
        <f>$N916/4</f>
        <v>0.25</v>
      </c>
      <c r="CF916" s="167">
        <f>$N916/4</f>
        <v>0.25</v>
      </c>
      <c r="CG916" s="167">
        <f>$N916/4</f>
        <v>0.25</v>
      </c>
      <c r="CH916" s="167">
        <v>0</v>
      </c>
      <c r="CI916" s="167">
        <v>0</v>
      </c>
      <c r="CJ916" s="167">
        <v>0</v>
      </c>
      <c r="CK916" s="167">
        <v>0</v>
      </c>
      <c r="CL916" s="167">
        <v>0</v>
      </c>
      <c r="CM916" s="167">
        <v>0</v>
      </c>
      <c r="CN916" s="167">
        <v>0</v>
      </c>
      <c r="CO916" s="167">
        <v>0</v>
      </c>
      <c r="CP916" s="167">
        <v>0</v>
      </c>
      <c r="CQ916" s="167">
        <v>0</v>
      </c>
      <c r="CR916" s="167">
        <v>0</v>
      </c>
      <c r="CS916" s="167">
        <v>0</v>
      </c>
      <c r="CT916" s="167">
        <v>0</v>
      </c>
      <c r="CU916" s="167">
        <v>0</v>
      </c>
      <c r="CV916" s="167">
        <v>0</v>
      </c>
      <c r="CW916" s="167">
        <v>0</v>
      </c>
      <c r="CX916" s="167">
        <f>SUM(CD916:CH916)</f>
        <v>1</v>
      </c>
      <c r="CY916" s="167">
        <f>SUM(CD916:CM916)</f>
        <v>1</v>
      </c>
    </row>
    <row r="917" spans="1:103" ht="12.75" customHeight="1" x14ac:dyDescent="0.2">
      <c r="A917" s="81">
        <v>6078</v>
      </c>
      <c r="B917" s="165" t="s">
        <v>1930</v>
      </c>
      <c r="C917" s="165" t="s">
        <v>713</v>
      </c>
      <c r="E917" s="165" t="s">
        <v>2654</v>
      </c>
      <c r="G917" s="81">
        <v>528173</v>
      </c>
      <c r="H917" s="81">
        <v>172946</v>
      </c>
      <c r="I917" s="165" t="s">
        <v>254</v>
      </c>
      <c r="L917" s="166">
        <v>1</v>
      </c>
      <c r="M917" s="166">
        <v>2</v>
      </c>
      <c r="N917" s="166">
        <v>1</v>
      </c>
      <c r="O917" s="166">
        <v>2</v>
      </c>
      <c r="P917" s="166">
        <v>1</v>
      </c>
      <c r="R917" s="165" t="s">
        <v>1172</v>
      </c>
      <c r="S917" s="81" t="s">
        <v>113</v>
      </c>
      <c r="T917" s="349">
        <v>42359</v>
      </c>
      <c r="U917" s="349">
        <v>42415</v>
      </c>
      <c r="W917" s="81" t="s">
        <v>114</v>
      </c>
      <c r="Y917" s="81" t="s">
        <v>115</v>
      </c>
      <c r="Z917" s="81" t="s">
        <v>398</v>
      </c>
      <c r="AA917" s="81" t="s">
        <v>117</v>
      </c>
      <c r="AB917" s="81" t="s">
        <v>120</v>
      </c>
      <c r="AC917" s="166">
        <v>1.4000000432133701E-2</v>
      </c>
      <c r="AG917" s="81" t="s">
        <v>238</v>
      </c>
      <c r="AH917" s="81" t="s">
        <v>118</v>
      </c>
      <c r="AK917" s="166">
        <v>0</v>
      </c>
      <c r="AM917" s="166">
        <v>0</v>
      </c>
      <c r="AO917" s="166">
        <v>0</v>
      </c>
      <c r="AP917" s="166">
        <v>0</v>
      </c>
      <c r="AQ917" s="166">
        <v>1</v>
      </c>
      <c r="AR917" s="166">
        <v>0</v>
      </c>
      <c r="AS917" s="166">
        <v>0</v>
      </c>
      <c r="AT917" s="166">
        <v>0</v>
      </c>
      <c r="AU917" s="166">
        <v>0</v>
      </c>
      <c r="AV917" s="166">
        <v>0</v>
      </c>
      <c r="AW917" s="166">
        <v>0</v>
      </c>
      <c r="AX917" s="166">
        <v>1</v>
      </c>
      <c r="AY917" s="166">
        <v>0</v>
      </c>
      <c r="AZ917" s="166">
        <v>1</v>
      </c>
      <c r="BA917" s="166">
        <v>0</v>
      </c>
      <c r="BB917" s="166">
        <v>0</v>
      </c>
      <c r="BC917" s="166">
        <v>0</v>
      </c>
      <c r="BD917" s="166">
        <v>0</v>
      </c>
      <c r="BE917" s="166">
        <v>0</v>
      </c>
      <c r="BF917" s="166">
        <v>0</v>
      </c>
      <c r="BG917" s="166">
        <v>-1</v>
      </c>
      <c r="BH917" s="166">
        <v>0</v>
      </c>
      <c r="BI917" s="166">
        <v>0</v>
      </c>
      <c r="BJ917" s="166">
        <v>0</v>
      </c>
      <c r="BK917" s="166">
        <v>0</v>
      </c>
      <c r="BL917" s="166">
        <v>0</v>
      </c>
      <c r="BM917" s="166">
        <v>0</v>
      </c>
      <c r="BN917" s="166">
        <v>0</v>
      </c>
      <c r="BO917" s="166">
        <v>0</v>
      </c>
      <c r="BP917" s="166">
        <v>0</v>
      </c>
      <c r="BQ917" s="81" t="s">
        <v>1757</v>
      </c>
      <c r="BZ917" s="81" t="s">
        <v>155</v>
      </c>
      <c r="CA917" s="81" t="s">
        <v>1937</v>
      </c>
      <c r="CC917" s="167">
        <v>0</v>
      </c>
      <c r="CD917" s="167">
        <f>$N917/4</f>
        <v>0.25</v>
      </c>
      <c r="CE917" s="167">
        <f>$N917/4</f>
        <v>0.25</v>
      </c>
      <c r="CF917" s="167">
        <f>$N917/4</f>
        <v>0.25</v>
      </c>
      <c r="CG917" s="167">
        <f>$N917/4</f>
        <v>0.25</v>
      </c>
      <c r="CH917" s="167">
        <v>0</v>
      </c>
      <c r="CI917" s="167">
        <v>0</v>
      </c>
      <c r="CJ917" s="167">
        <v>0</v>
      </c>
      <c r="CK917" s="167">
        <v>0</v>
      </c>
      <c r="CL917" s="167">
        <v>0</v>
      </c>
      <c r="CM917" s="167">
        <v>0</v>
      </c>
      <c r="CN917" s="167">
        <v>0</v>
      </c>
      <c r="CO917" s="167">
        <v>0</v>
      </c>
      <c r="CP917" s="167">
        <v>0</v>
      </c>
      <c r="CQ917" s="167">
        <v>0</v>
      </c>
      <c r="CR917" s="167">
        <v>0</v>
      </c>
      <c r="CS917" s="167">
        <v>0</v>
      </c>
      <c r="CT917" s="167">
        <v>0</v>
      </c>
      <c r="CU917" s="167">
        <v>0</v>
      </c>
      <c r="CV917" s="167">
        <v>0</v>
      </c>
      <c r="CW917" s="167">
        <v>0</v>
      </c>
      <c r="CX917" s="167">
        <f>SUM(CD917:CH917)</f>
        <v>1</v>
      </c>
      <c r="CY917" s="167">
        <f>SUM(CD917:CM917)</f>
        <v>1</v>
      </c>
    </row>
    <row r="918" spans="1:103" ht="12.75" customHeight="1" x14ac:dyDescent="0.2">
      <c r="A918" s="81">
        <v>6084</v>
      </c>
      <c r="B918" s="165" t="s">
        <v>1930</v>
      </c>
      <c r="C918" s="165" t="s">
        <v>675</v>
      </c>
      <c r="E918" s="165" t="s">
        <v>2655</v>
      </c>
      <c r="G918" s="81">
        <v>527366</v>
      </c>
      <c r="H918" s="81">
        <v>175230</v>
      </c>
      <c r="I918" s="165" t="s">
        <v>255</v>
      </c>
      <c r="L918" s="166">
        <v>0</v>
      </c>
      <c r="M918" s="166">
        <v>4</v>
      </c>
      <c r="N918" s="166">
        <v>4</v>
      </c>
      <c r="O918" s="166">
        <v>4</v>
      </c>
      <c r="P918" s="166">
        <v>4</v>
      </c>
      <c r="R918" s="165" t="s">
        <v>676</v>
      </c>
      <c r="S918" s="81" t="s">
        <v>113</v>
      </c>
      <c r="T918" s="349">
        <v>42298</v>
      </c>
      <c r="U918" s="349">
        <v>42439</v>
      </c>
      <c r="W918" s="81" t="s">
        <v>114</v>
      </c>
      <c r="Y918" s="81" t="s">
        <v>115</v>
      </c>
      <c r="Z918" s="81" t="s">
        <v>219</v>
      </c>
      <c r="AA918" s="81" t="s">
        <v>117</v>
      </c>
      <c r="AB918" s="81" t="s">
        <v>3889</v>
      </c>
      <c r="AC918" s="166">
        <v>2.60000005364418E-2</v>
      </c>
      <c r="AG918" s="81" t="s">
        <v>238</v>
      </c>
      <c r="AH918" s="81" t="s">
        <v>118</v>
      </c>
      <c r="AK918" s="166">
        <v>0</v>
      </c>
      <c r="AM918" s="166">
        <v>0</v>
      </c>
      <c r="AO918" s="166">
        <v>0</v>
      </c>
      <c r="AP918" s="166">
        <v>2</v>
      </c>
      <c r="AQ918" s="166">
        <v>2</v>
      </c>
      <c r="AR918" s="166">
        <v>0</v>
      </c>
      <c r="AS918" s="166">
        <v>0</v>
      </c>
      <c r="AT918" s="166">
        <v>0</v>
      </c>
      <c r="AU918" s="166">
        <v>0</v>
      </c>
      <c r="AV918" s="166">
        <v>0</v>
      </c>
      <c r="AW918" s="166">
        <v>2</v>
      </c>
      <c r="AX918" s="166">
        <v>2</v>
      </c>
      <c r="AY918" s="166">
        <v>0</v>
      </c>
      <c r="AZ918" s="166">
        <v>0</v>
      </c>
      <c r="BA918" s="166">
        <v>0</v>
      </c>
      <c r="BB918" s="166">
        <v>0</v>
      </c>
      <c r="BC918" s="166">
        <v>0</v>
      </c>
      <c r="BD918" s="166">
        <v>0</v>
      </c>
      <c r="BE918" s="166">
        <v>0</v>
      </c>
      <c r="BF918" s="166">
        <v>0</v>
      </c>
      <c r="BG918" s="166">
        <v>0</v>
      </c>
      <c r="BH918" s="166">
        <v>0</v>
      </c>
      <c r="BI918" s="166">
        <v>0</v>
      </c>
      <c r="BJ918" s="166">
        <v>0</v>
      </c>
      <c r="BK918" s="166">
        <v>0</v>
      </c>
      <c r="BL918" s="166">
        <v>0</v>
      </c>
      <c r="BM918" s="166">
        <v>0</v>
      </c>
      <c r="BN918" s="166">
        <v>0</v>
      </c>
      <c r="BO918" s="166">
        <v>0</v>
      </c>
      <c r="BP918" s="166">
        <v>0</v>
      </c>
      <c r="BQ918" s="81" t="s">
        <v>1757</v>
      </c>
      <c r="BR918" s="81" t="s">
        <v>160</v>
      </c>
      <c r="BZ918" s="81" t="s">
        <v>155</v>
      </c>
      <c r="CA918" s="81" t="s">
        <v>1937</v>
      </c>
      <c r="CC918" s="167">
        <v>0</v>
      </c>
      <c r="CD918" s="167">
        <f>$N918/4</f>
        <v>1</v>
      </c>
      <c r="CE918" s="167">
        <f>$N918/4</f>
        <v>1</v>
      </c>
      <c r="CF918" s="167">
        <f>$N918/4</f>
        <v>1</v>
      </c>
      <c r="CG918" s="167">
        <f>$N918/4</f>
        <v>1</v>
      </c>
      <c r="CH918" s="167">
        <v>0</v>
      </c>
      <c r="CI918" s="167">
        <v>0</v>
      </c>
      <c r="CJ918" s="167">
        <v>0</v>
      </c>
      <c r="CK918" s="167">
        <v>0</v>
      </c>
      <c r="CL918" s="167">
        <v>0</v>
      </c>
      <c r="CM918" s="167">
        <v>0</v>
      </c>
      <c r="CN918" s="167">
        <v>0</v>
      </c>
      <c r="CO918" s="167">
        <v>0</v>
      </c>
      <c r="CP918" s="167">
        <v>0</v>
      </c>
      <c r="CQ918" s="167">
        <v>0</v>
      </c>
      <c r="CR918" s="167">
        <v>0</v>
      </c>
      <c r="CS918" s="167">
        <v>0</v>
      </c>
      <c r="CT918" s="167">
        <v>0</v>
      </c>
      <c r="CU918" s="167">
        <v>0</v>
      </c>
      <c r="CV918" s="167">
        <v>0</v>
      </c>
      <c r="CW918" s="167">
        <v>0</v>
      </c>
      <c r="CX918" s="167">
        <f>SUM(CD918:CH918)</f>
        <v>4</v>
      </c>
      <c r="CY918" s="167">
        <f>SUM(CD918:CM918)</f>
        <v>4</v>
      </c>
    </row>
    <row r="919" spans="1:103" ht="12.75" customHeight="1" x14ac:dyDescent="0.2">
      <c r="A919" s="81">
        <v>6090</v>
      </c>
      <c r="B919" s="165" t="s">
        <v>1930</v>
      </c>
      <c r="C919" s="165" t="s">
        <v>674</v>
      </c>
      <c r="E919" s="165" t="s">
        <v>2656</v>
      </c>
      <c r="G919" s="81">
        <v>526934</v>
      </c>
      <c r="H919" s="81">
        <v>171768</v>
      </c>
      <c r="I919" s="165" t="s">
        <v>242</v>
      </c>
      <c r="L919" s="166">
        <v>1</v>
      </c>
      <c r="M919" s="166">
        <v>3</v>
      </c>
      <c r="N919" s="166">
        <v>2</v>
      </c>
      <c r="O919" s="166">
        <v>3</v>
      </c>
      <c r="P919" s="166">
        <v>2</v>
      </c>
      <c r="R919" s="165" t="s">
        <v>1149</v>
      </c>
      <c r="S919" s="81" t="s">
        <v>113</v>
      </c>
      <c r="T919" s="349">
        <v>42304</v>
      </c>
      <c r="U919" s="349">
        <v>42360</v>
      </c>
      <c r="W919" s="81" t="s">
        <v>114</v>
      </c>
      <c r="Y919" s="81" t="s">
        <v>115</v>
      </c>
      <c r="Z919" s="81" t="s">
        <v>398</v>
      </c>
      <c r="AA919" s="81" t="s">
        <v>117</v>
      </c>
      <c r="AB919" s="81" t="s">
        <v>220</v>
      </c>
      <c r="AC919" s="166">
        <v>7.0000002160668399E-3</v>
      </c>
      <c r="AG919" s="81" t="s">
        <v>238</v>
      </c>
      <c r="AH919" s="81" t="s">
        <v>118</v>
      </c>
      <c r="AK919" s="166">
        <v>0</v>
      </c>
      <c r="AM919" s="166">
        <v>0</v>
      </c>
      <c r="AO919" s="166">
        <v>0</v>
      </c>
      <c r="AP919" s="166">
        <v>3</v>
      </c>
      <c r="AQ919" s="166">
        <v>-1</v>
      </c>
      <c r="AR919" s="166">
        <v>0</v>
      </c>
      <c r="AS919" s="166">
        <v>0</v>
      </c>
      <c r="AT919" s="166">
        <v>0</v>
      </c>
      <c r="AU919" s="166">
        <v>0</v>
      </c>
      <c r="AV919" s="166">
        <v>0</v>
      </c>
      <c r="AW919" s="166">
        <v>3</v>
      </c>
      <c r="AX919" s="166">
        <v>-1</v>
      </c>
      <c r="AY919" s="166">
        <v>0</v>
      </c>
      <c r="AZ919" s="166">
        <v>0</v>
      </c>
      <c r="BA919" s="166">
        <v>0</v>
      </c>
      <c r="BB919" s="166">
        <v>0</v>
      </c>
      <c r="BC919" s="166">
        <v>0</v>
      </c>
      <c r="BD919" s="166">
        <v>0</v>
      </c>
      <c r="BE919" s="166">
        <v>0</v>
      </c>
      <c r="BF919" s="166">
        <v>0</v>
      </c>
      <c r="BG919" s="166">
        <v>0</v>
      </c>
      <c r="BH919" s="166">
        <v>0</v>
      </c>
      <c r="BI919" s="166">
        <v>0</v>
      </c>
      <c r="BJ919" s="166">
        <v>0</v>
      </c>
      <c r="BK919" s="166">
        <v>0</v>
      </c>
      <c r="BL919" s="166">
        <v>0</v>
      </c>
      <c r="BM919" s="166">
        <v>0</v>
      </c>
      <c r="BN919" s="166">
        <v>0</v>
      </c>
      <c r="BO919" s="166">
        <v>0</v>
      </c>
      <c r="BP919" s="166">
        <v>0</v>
      </c>
      <c r="BQ919" s="81" t="s">
        <v>1757</v>
      </c>
      <c r="BZ919" s="81" t="s">
        <v>155</v>
      </c>
      <c r="CA919" s="81" t="s">
        <v>1937</v>
      </c>
      <c r="CC919" s="167">
        <v>0</v>
      </c>
      <c r="CD919" s="167">
        <f>$N919/4</f>
        <v>0.5</v>
      </c>
      <c r="CE919" s="167">
        <f>$N919/4</f>
        <v>0.5</v>
      </c>
      <c r="CF919" s="167">
        <f>$N919/4</f>
        <v>0.5</v>
      </c>
      <c r="CG919" s="167">
        <f>$N919/4</f>
        <v>0.5</v>
      </c>
      <c r="CH919" s="167">
        <v>0</v>
      </c>
      <c r="CI919" s="167">
        <v>0</v>
      </c>
      <c r="CJ919" s="167">
        <v>0</v>
      </c>
      <c r="CK919" s="167">
        <v>0</v>
      </c>
      <c r="CL919" s="167">
        <v>0</v>
      </c>
      <c r="CM919" s="167">
        <v>0</v>
      </c>
      <c r="CN919" s="167">
        <v>0</v>
      </c>
      <c r="CO919" s="167">
        <v>0</v>
      </c>
      <c r="CP919" s="167">
        <v>0</v>
      </c>
      <c r="CQ919" s="167">
        <v>0</v>
      </c>
      <c r="CR919" s="167">
        <v>0</v>
      </c>
      <c r="CS919" s="167">
        <v>0</v>
      </c>
      <c r="CT919" s="167">
        <v>0</v>
      </c>
      <c r="CU919" s="167">
        <v>0</v>
      </c>
      <c r="CV919" s="167">
        <v>0</v>
      </c>
      <c r="CW919" s="167">
        <v>0</v>
      </c>
      <c r="CX919" s="167">
        <f>SUM(CD919:CH919)</f>
        <v>2</v>
      </c>
      <c r="CY919" s="167">
        <f>SUM(CD919:CM919)</f>
        <v>2</v>
      </c>
    </row>
    <row r="920" spans="1:103" ht="12.75" customHeight="1" x14ac:dyDescent="0.2">
      <c r="A920" s="81">
        <v>6097</v>
      </c>
      <c r="B920" s="165" t="s">
        <v>1930</v>
      </c>
      <c r="C920" s="165" t="s">
        <v>685</v>
      </c>
      <c r="E920" s="165" t="s">
        <v>2657</v>
      </c>
      <c r="G920" s="81">
        <v>527473</v>
      </c>
      <c r="H920" s="81">
        <v>175071</v>
      </c>
      <c r="I920" s="165" t="s">
        <v>255</v>
      </c>
      <c r="L920" s="166">
        <v>1</v>
      </c>
      <c r="M920" s="166">
        <v>2</v>
      </c>
      <c r="N920" s="166">
        <v>1</v>
      </c>
      <c r="O920" s="166">
        <v>2</v>
      </c>
      <c r="P920" s="166">
        <v>1</v>
      </c>
      <c r="R920" s="165" t="s">
        <v>1152</v>
      </c>
      <c r="S920" s="81" t="s">
        <v>296</v>
      </c>
      <c r="T920" s="349">
        <v>42311</v>
      </c>
      <c r="U920" s="349">
        <v>42362</v>
      </c>
      <c r="W920" s="81" t="s">
        <v>297</v>
      </c>
      <c r="X920" s="349">
        <v>42517</v>
      </c>
      <c r="Y920" s="81" t="s">
        <v>115</v>
      </c>
      <c r="Z920" s="81" t="s">
        <v>398</v>
      </c>
      <c r="AA920" s="81" t="s">
        <v>117</v>
      </c>
      <c r="AB920" s="81" t="s">
        <v>220</v>
      </c>
      <c r="AC920" s="166">
        <v>7.0000002160668399E-3</v>
      </c>
      <c r="AG920" s="81" t="s">
        <v>238</v>
      </c>
      <c r="AH920" s="81" t="s">
        <v>118</v>
      </c>
      <c r="AK920" s="166">
        <v>0</v>
      </c>
      <c r="AM920" s="166">
        <v>0</v>
      </c>
      <c r="AO920" s="166">
        <v>0</v>
      </c>
      <c r="AP920" s="166">
        <v>1</v>
      </c>
      <c r="AQ920" s="166">
        <v>0</v>
      </c>
      <c r="AR920" s="166">
        <v>1</v>
      </c>
      <c r="AS920" s="166">
        <v>-1</v>
      </c>
      <c r="AT920" s="166">
        <v>0</v>
      </c>
      <c r="AU920" s="166">
        <v>0</v>
      </c>
      <c r="AV920" s="166">
        <v>0</v>
      </c>
      <c r="AW920" s="166">
        <v>1</v>
      </c>
      <c r="AX920" s="166">
        <v>0</v>
      </c>
      <c r="AY920" s="166">
        <v>1</v>
      </c>
      <c r="AZ920" s="166">
        <v>-1</v>
      </c>
      <c r="BA920" s="166">
        <v>0</v>
      </c>
      <c r="BB920" s="166">
        <v>0</v>
      </c>
      <c r="BC920" s="166">
        <v>0</v>
      </c>
      <c r="BD920" s="166">
        <v>0</v>
      </c>
      <c r="BE920" s="166">
        <v>0</v>
      </c>
      <c r="BF920" s="166">
        <v>0</v>
      </c>
      <c r="BG920" s="166">
        <v>0</v>
      </c>
      <c r="BH920" s="166">
        <v>0</v>
      </c>
      <c r="BI920" s="166">
        <v>0</v>
      </c>
      <c r="BJ920" s="166">
        <v>0</v>
      </c>
      <c r="BK920" s="166">
        <v>0</v>
      </c>
      <c r="BL920" s="166">
        <v>0</v>
      </c>
      <c r="BM920" s="166">
        <v>0</v>
      </c>
      <c r="BN920" s="166">
        <v>0</v>
      </c>
      <c r="BO920" s="166">
        <v>0</v>
      </c>
      <c r="BP920" s="166">
        <v>0</v>
      </c>
      <c r="BQ920" s="81" t="s">
        <v>1757</v>
      </c>
      <c r="BR920" s="81" t="s">
        <v>160</v>
      </c>
      <c r="BZ920" s="81" t="s">
        <v>155</v>
      </c>
      <c r="CA920" s="81" t="s">
        <v>1937</v>
      </c>
      <c r="CC920" s="167">
        <v>0</v>
      </c>
      <c r="CD920" s="167">
        <f>$N920/4</f>
        <v>0.25</v>
      </c>
      <c r="CE920" s="167">
        <f>$N920/4</f>
        <v>0.25</v>
      </c>
      <c r="CF920" s="167">
        <f>$N920/4</f>
        <v>0.25</v>
      </c>
      <c r="CG920" s="167">
        <f>$N920/4</f>
        <v>0.25</v>
      </c>
      <c r="CH920" s="167">
        <v>0</v>
      </c>
      <c r="CI920" s="167">
        <v>0</v>
      </c>
      <c r="CJ920" s="167">
        <v>0</v>
      </c>
      <c r="CK920" s="167">
        <v>0</v>
      </c>
      <c r="CL920" s="167">
        <v>0</v>
      </c>
      <c r="CM920" s="167">
        <v>0</v>
      </c>
      <c r="CN920" s="167">
        <v>0</v>
      </c>
      <c r="CO920" s="167">
        <v>0</v>
      </c>
      <c r="CP920" s="167">
        <v>0</v>
      </c>
      <c r="CQ920" s="167">
        <v>0</v>
      </c>
      <c r="CR920" s="167">
        <v>0</v>
      </c>
      <c r="CS920" s="167">
        <v>0</v>
      </c>
      <c r="CT920" s="167">
        <v>0</v>
      </c>
      <c r="CU920" s="167">
        <v>0</v>
      </c>
      <c r="CV920" s="167">
        <v>0</v>
      </c>
      <c r="CW920" s="167">
        <v>0</v>
      </c>
      <c r="CX920" s="167">
        <f>SUM(CD920:CH920)</f>
        <v>1</v>
      </c>
      <c r="CY920" s="167">
        <f>SUM(CD920:CM920)</f>
        <v>1</v>
      </c>
    </row>
    <row r="921" spans="1:103" ht="12.75" customHeight="1" x14ac:dyDescent="0.2">
      <c r="A921" s="81">
        <v>6105</v>
      </c>
      <c r="B921" s="165" t="s">
        <v>1930</v>
      </c>
      <c r="C921" s="165" t="s">
        <v>1156</v>
      </c>
      <c r="E921" s="165" t="s">
        <v>2658</v>
      </c>
      <c r="G921" s="81">
        <v>527424</v>
      </c>
      <c r="H921" s="81">
        <v>176731</v>
      </c>
      <c r="I921" s="165" t="s">
        <v>257</v>
      </c>
      <c r="L921" s="166">
        <v>1</v>
      </c>
      <c r="M921" s="166">
        <v>2</v>
      </c>
      <c r="N921" s="166">
        <v>1</v>
      </c>
      <c r="O921" s="166">
        <v>2</v>
      </c>
      <c r="P921" s="166">
        <v>1</v>
      </c>
      <c r="R921" s="165" t="s">
        <v>1157</v>
      </c>
      <c r="S921" s="81" t="s">
        <v>296</v>
      </c>
      <c r="T921" s="349">
        <v>42327</v>
      </c>
      <c r="U921" s="349">
        <v>42383</v>
      </c>
      <c r="W921" s="81" t="s">
        <v>297</v>
      </c>
      <c r="X921" s="349">
        <v>42579</v>
      </c>
      <c r="Y921" s="81" t="s">
        <v>115</v>
      </c>
      <c r="Z921" s="81" t="s">
        <v>119</v>
      </c>
      <c r="AA921" s="81" t="s">
        <v>117</v>
      </c>
      <c r="AB921" s="81" t="s">
        <v>220</v>
      </c>
      <c r="AC921" s="166">
        <v>8.9999996125698107E-3</v>
      </c>
      <c r="AG921" s="81" t="s">
        <v>238</v>
      </c>
      <c r="AH921" s="81" t="s">
        <v>118</v>
      </c>
      <c r="AK921" s="166">
        <v>0</v>
      </c>
      <c r="AM921" s="166">
        <v>0</v>
      </c>
      <c r="AO921" s="166">
        <v>0</v>
      </c>
      <c r="AP921" s="166">
        <v>2</v>
      </c>
      <c r="AQ921" s="166">
        <v>0</v>
      </c>
      <c r="AR921" s="166">
        <v>0</v>
      </c>
      <c r="AS921" s="166">
        <v>-1</v>
      </c>
      <c r="AT921" s="166">
        <v>0</v>
      </c>
      <c r="AU921" s="166">
        <v>0</v>
      </c>
      <c r="AV921" s="166">
        <v>0</v>
      </c>
      <c r="AW921" s="166">
        <v>2</v>
      </c>
      <c r="AX921" s="166">
        <v>0</v>
      </c>
      <c r="AY921" s="166">
        <v>0</v>
      </c>
      <c r="AZ921" s="166">
        <v>-1</v>
      </c>
      <c r="BA921" s="166">
        <v>0</v>
      </c>
      <c r="BB921" s="166">
        <v>0</v>
      </c>
      <c r="BC921" s="166">
        <v>0</v>
      </c>
      <c r="BD921" s="166">
        <v>0</v>
      </c>
      <c r="BE921" s="166">
        <v>0</v>
      </c>
      <c r="BF921" s="166">
        <v>0</v>
      </c>
      <c r="BG921" s="166">
        <v>0</v>
      </c>
      <c r="BH921" s="166">
        <v>0</v>
      </c>
      <c r="BI921" s="166">
        <v>0</v>
      </c>
      <c r="BJ921" s="166">
        <v>0</v>
      </c>
      <c r="BK921" s="166">
        <v>0</v>
      </c>
      <c r="BL921" s="166">
        <v>0</v>
      </c>
      <c r="BM921" s="166">
        <v>0</v>
      </c>
      <c r="BN921" s="166">
        <v>0</v>
      </c>
      <c r="BO921" s="166">
        <v>0</v>
      </c>
      <c r="BP921" s="166">
        <v>0</v>
      </c>
      <c r="BQ921" s="81" t="s">
        <v>1757</v>
      </c>
      <c r="BZ921" s="81" t="s">
        <v>155</v>
      </c>
      <c r="CA921" s="81" t="s">
        <v>1937</v>
      </c>
      <c r="CC921" s="167">
        <v>0</v>
      </c>
      <c r="CD921" s="167">
        <f>$N921/4</f>
        <v>0.25</v>
      </c>
      <c r="CE921" s="167">
        <f>$N921/4</f>
        <v>0.25</v>
      </c>
      <c r="CF921" s="167">
        <f>$N921/4</f>
        <v>0.25</v>
      </c>
      <c r="CG921" s="167">
        <f>$N921/4</f>
        <v>0.25</v>
      </c>
      <c r="CH921" s="167">
        <v>0</v>
      </c>
      <c r="CI921" s="167">
        <v>0</v>
      </c>
      <c r="CJ921" s="167">
        <v>0</v>
      </c>
      <c r="CK921" s="167">
        <v>0</v>
      </c>
      <c r="CL921" s="167">
        <v>0</v>
      </c>
      <c r="CM921" s="167">
        <v>0</v>
      </c>
      <c r="CN921" s="167">
        <v>0</v>
      </c>
      <c r="CO921" s="167">
        <v>0</v>
      </c>
      <c r="CP921" s="167">
        <v>0</v>
      </c>
      <c r="CQ921" s="167">
        <v>0</v>
      </c>
      <c r="CR921" s="167">
        <v>0</v>
      </c>
      <c r="CS921" s="167">
        <v>0</v>
      </c>
      <c r="CT921" s="167">
        <v>0</v>
      </c>
      <c r="CU921" s="167">
        <v>0</v>
      </c>
      <c r="CV921" s="167">
        <v>0</v>
      </c>
      <c r="CW921" s="167">
        <v>0</v>
      </c>
      <c r="CX921" s="167">
        <f>SUM(CD921:CH921)</f>
        <v>1</v>
      </c>
      <c r="CY921" s="167">
        <f>SUM(CD921:CM921)</f>
        <v>1</v>
      </c>
    </row>
    <row r="922" spans="1:103" ht="12.75" customHeight="1" x14ac:dyDescent="0.2">
      <c r="A922" s="81">
        <v>6117</v>
      </c>
      <c r="B922" s="165" t="s">
        <v>1930</v>
      </c>
      <c r="C922" s="165" t="s">
        <v>711</v>
      </c>
      <c r="E922" s="165" t="s">
        <v>2659</v>
      </c>
      <c r="G922" s="81">
        <v>523702</v>
      </c>
      <c r="H922" s="81">
        <v>175127</v>
      </c>
      <c r="I922" s="165" t="s">
        <v>250</v>
      </c>
      <c r="L922" s="166">
        <v>0</v>
      </c>
      <c r="M922" s="166">
        <v>1</v>
      </c>
      <c r="N922" s="166">
        <v>1</v>
      </c>
      <c r="O922" s="166">
        <v>1</v>
      </c>
      <c r="P922" s="166">
        <v>1</v>
      </c>
      <c r="R922" s="165" t="s">
        <v>712</v>
      </c>
      <c r="S922" s="81" t="s">
        <v>113</v>
      </c>
      <c r="T922" s="349">
        <v>42355</v>
      </c>
      <c r="U922" s="349">
        <v>42412</v>
      </c>
      <c r="W922" s="81" t="s">
        <v>114</v>
      </c>
      <c r="Y922" s="81" t="s">
        <v>115</v>
      </c>
      <c r="Z922" s="81" t="s">
        <v>398</v>
      </c>
      <c r="AA922" s="81" t="s">
        <v>117</v>
      </c>
      <c r="AB922" s="81" t="s">
        <v>311</v>
      </c>
      <c r="AC922" s="166">
        <v>3.0000000260770299E-3</v>
      </c>
      <c r="AG922" s="81" t="s">
        <v>238</v>
      </c>
      <c r="AH922" s="81" t="s">
        <v>118</v>
      </c>
      <c r="AK922" s="166">
        <v>0</v>
      </c>
      <c r="AM922" s="166">
        <v>0</v>
      </c>
      <c r="AO922" s="166">
        <v>0</v>
      </c>
      <c r="AP922" s="166">
        <v>1</v>
      </c>
      <c r="AQ922" s="166">
        <v>0</v>
      </c>
      <c r="AR922" s="166">
        <v>0</v>
      </c>
      <c r="AS922" s="166">
        <v>0</v>
      </c>
      <c r="AT922" s="166">
        <v>0</v>
      </c>
      <c r="AU922" s="166">
        <v>0</v>
      </c>
      <c r="AV922" s="166">
        <v>0</v>
      </c>
      <c r="AW922" s="166">
        <v>1</v>
      </c>
      <c r="AX922" s="166">
        <v>0</v>
      </c>
      <c r="AY922" s="166">
        <v>0</v>
      </c>
      <c r="AZ922" s="166">
        <v>0</v>
      </c>
      <c r="BA922" s="166">
        <v>0</v>
      </c>
      <c r="BB922" s="166">
        <v>0</v>
      </c>
      <c r="BC922" s="166">
        <v>0</v>
      </c>
      <c r="BD922" s="166">
        <v>0</v>
      </c>
      <c r="BE922" s="166">
        <v>0</v>
      </c>
      <c r="BF922" s="166">
        <v>0</v>
      </c>
      <c r="BG922" s="166">
        <v>0</v>
      </c>
      <c r="BH922" s="166">
        <v>0</v>
      </c>
      <c r="BI922" s="166">
        <v>0</v>
      </c>
      <c r="BJ922" s="166">
        <v>0</v>
      </c>
      <c r="BK922" s="166">
        <v>0</v>
      </c>
      <c r="BL922" s="166">
        <v>0</v>
      </c>
      <c r="BM922" s="166">
        <v>0</v>
      </c>
      <c r="BN922" s="166">
        <v>0</v>
      </c>
      <c r="BO922" s="166">
        <v>0</v>
      </c>
      <c r="BP922" s="166">
        <v>0</v>
      </c>
      <c r="BQ922" s="81" t="s">
        <v>1758</v>
      </c>
      <c r="BR922" s="81" t="s">
        <v>161</v>
      </c>
      <c r="BZ922" s="81" t="s">
        <v>155</v>
      </c>
      <c r="CA922" s="81" t="s">
        <v>1937</v>
      </c>
      <c r="CC922" s="167">
        <v>0</v>
      </c>
      <c r="CD922" s="167">
        <f>$N922/4</f>
        <v>0.25</v>
      </c>
      <c r="CE922" s="167">
        <f>$N922/4</f>
        <v>0.25</v>
      </c>
      <c r="CF922" s="167">
        <f>$N922/4</f>
        <v>0.25</v>
      </c>
      <c r="CG922" s="167">
        <f>$N922/4</f>
        <v>0.25</v>
      </c>
      <c r="CH922" s="167">
        <v>0</v>
      </c>
      <c r="CI922" s="167">
        <v>0</v>
      </c>
      <c r="CJ922" s="167">
        <v>0</v>
      </c>
      <c r="CK922" s="167">
        <v>0</v>
      </c>
      <c r="CL922" s="167">
        <v>0</v>
      </c>
      <c r="CM922" s="167">
        <v>0</v>
      </c>
      <c r="CN922" s="167">
        <v>0</v>
      </c>
      <c r="CO922" s="167">
        <v>0</v>
      </c>
      <c r="CP922" s="167">
        <v>0</v>
      </c>
      <c r="CQ922" s="167">
        <v>0</v>
      </c>
      <c r="CR922" s="167">
        <v>0</v>
      </c>
      <c r="CS922" s="167">
        <v>0</v>
      </c>
      <c r="CT922" s="167">
        <v>0</v>
      </c>
      <c r="CU922" s="167">
        <v>0</v>
      </c>
      <c r="CV922" s="167">
        <v>0</v>
      </c>
      <c r="CW922" s="167">
        <v>0</v>
      </c>
      <c r="CX922" s="167">
        <f>SUM(CD922:CH922)</f>
        <v>1</v>
      </c>
      <c r="CY922" s="167">
        <f>SUM(CD922:CM922)</f>
        <v>1</v>
      </c>
    </row>
    <row r="923" spans="1:103" ht="12.75" customHeight="1" x14ac:dyDescent="0.2">
      <c r="A923" s="81">
        <v>6122</v>
      </c>
      <c r="B923" s="165" t="s">
        <v>1930</v>
      </c>
      <c r="C923" s="165" t="s">
        <v>2660</v>
      </c>
      <c r="E923" s="165" t="s">
        <v>2661</v>
      </c>
      <c r="G923" s="81">
        <v>526012</v>
      </c>
      <c r="H923" s="81">
        <v>173064</v>
      </c>
      <c r="I923" s="165" t="s">
        <v>249</v>
      </c>
      <c r="L923" s="166">
        <v>1</v>
      </c>
      <c r="M923" s="166">
        <v>3</v>
      </c>
      <c r="N923" s="166">
        <v>2</v>
      </c>
      <c r="O923" s="166">
        <v>3</v>
      </c>
      <c r="P923" s="166">
        <v>2</v>
      </c>
      <c r="R923" s="165" t="s">
        <v>2662</v>
      </c>
      <c r="S923" s="81" t="s">
        <v>113</v>
      </c>
      <c r="T923" s="349">
        <v>43070</v>
      </c>
      <c r="U923" s="349">
        <v>43140</v>
      </c>
      <c r="V923" s="81" t="s">
        <v>155</v>
      </c>
      <c r="W923" s="81" t="s">
        <v>114</v>
      </c>
      <c r="Y923" s="81" t="s">
        <v>115</v>
      </c>
      <c r="Z923" s="81" t="s">
        <v>398</v>
      </c>
      <c r="AA923" s="81" t="s">
        <v>117</v>
      </c>
      <c r="AB923" s="81" t="s">
        <v>220</v>
      </c>
      <c r="AC923" s="166">
        <v>1.09999999403954E-2</v>
      </c>
      <c r="AG923" s="81" t="s">
        <v>238</v>
      </c>
      <c r="AH923" s="81" t="s">
        <v>118</v>
      </c>
      <c r="AK923" s="166">
        <v>0</v>
      </c>
      <c r="AM923" s="166">
        <v>0</v>
      </c>
      <c r="AO923" s="166">
        <v>0</v>
      </c>
      <c r="AP923" s="166">
        <v>2</v>
      </c>
      <c r="AQ923" s="166">
        <v>1</v>
      </c>
      <c r="AR923" s="166">
        <v>-1</v>
      </c>
      <c r="AS923" s="166">
        <v>0</v>
      </c>
      <c r="AT923" s="166">
        <v>0</v>
      </c>
      <c r="AU923" s="166">
        <v>0</v>
      </c>
      <c r="AV923" s="166">
        <v>0</v>
      </c>
      <c r="AW923" s="166">
        <v>2</v>
      </c>
      <c r="AX923" s="166">
        <v>1</v>
      </c>
      <c r="AY923" s="166">
        <v>-1</v>
      </c>
      <c r="AZ923" s="166">
        <v>0</v>
      </c>
      <c r="BA923" s="166">
        <v>0</v>
      </c>
      <c r="BB923" s="166">
        <v>0</v>
      </c>
      <c r="BC923" s="166">
        <v>0</v>
      </c>
      <c r="BD923" s="166">
        <v>0</v>
      </c>
      <c r="BE923" s="166">
        <v>0</v>
      </c>
      <c r="BF923" s="166">
        <v>0</v>
      </c>
      <c r="BG923" s="166">
        <v>0</v>
      </c>
      <c r="BH923" s="166">
        <v>0</v>
      </c>
      <c r="BI923" s="166">
        <v>0</v>
      </c>
      <c r="BJ923" s="166">
        <v>0</v>
      </c>
      <c r="BK923" s="166">
        <v>0</v>
      </c>
      <c r="BL923" s="166">
        <v>0</v>
      </c>
      <c r="BM923" s="166">
        <v>0</v>
      </c>
      <c r="BN923" s="166">
        <v>0</v>
      </c>
      <c r="BO923" s="166">
        <v>0</v>
      </c>
      <c r="BP923" s="166">
        <v>0</v>
      </c>
      <c r="BQ923" s="81" t="s">
        <v>1758</v>
      </c>
      <c r="BY923" s="81" t="s">
        <v>155</v>
      </c>
      <c r="BZ923" s="81" t="s">
        <v>155</v>
      </c>
      <c r="CA923" s="81" t="s">
        <v>1937</v>
      </c>
      <c r="CC923" s="167">
        <v>0</v>
      </c>
      <c r="CD923" s="167">
        <f>$N923/4</f>
        <v>0.5</v>
      </c>
      <c r="CE923" s="167">
        <f>$N923/4</f>
        <v>0.5</v>
      </c>
      <c r="CF923" s="167">
        <f>$N923/4</f>
        <v>0.5</v>
      </c>
      <c r="CG923" s="167">
        <f>$N923/4</f>
        <v>0.5</v>
      </c>
      <c r="CH923" s="167">
        <v>0</v>
      </c>
      <c r="CI923" s="167">
        <v>0</v>
      </c>
      <c r="CJ923" s="167">
        <v>0</v>
      </c>
      <c r="CK923" s="167">
        <v>0</v>
      </c>
      <c r="CL923" s="167">
        <v>0</v>
      </c>
      <c r="CM923" s="167">
        <v>0</v>
      </c>
      <c r="CN923" s="167">
        <v>0</v>
      </c>
      <c r="CO923" s="167">
        <v>0</v>
      </c>
      <c r="CP923" s="167">
        <v>0</v>
      </c>
      <c r="CQ923" s="167">
        <v>0</v>
      </c>
      <c r="CR923" s="167">
        <v>0</v>
      </c>
      <c r="CS923" s="167">
        <v>0</v>
      </c>
      <c r="CT923" s="167">
        <v>0</v>
      </c>
      <c r="CU923" s="167">
        <v>0</v>
      </c>
      <c r="CV923" s="167">
        <v>0</v>
      </c>
      <c r="CW923" s="167">
        <v>0</v>
      </c>
      <c r="CX923" s="167">
        <f>SUM(CD923:CH923)</f>
        <v>2</v>
      </c>
      <c r="CY923" s="167">
        <f>SUM(CD923:CM923)</f>
        <v>2</v>
      </c>
    </row>
    <row r="924" spans="1:103" ht="12.75" customHeight="1" x14ac:dyDescent="0.2">
      <c r="A924" s="81">
        <v>6125</v>
      </c>
      <c r="B924" s="165" t="s">
        <v>1930</v>
      </c>
      <c r="C924" s="165" t="s">
        <v>703</v>
      </c>
      <c r="E924" s="165" t="s">
        <v>2663</v>
      </c>
      <c r="G924" s="81">
        <v>521283</v>
      </c>
      <c r="H924" s="81">
        <v>174446</v>
      </c>
      <c r="I924" s="165" t="s">
        <v>877</v>
      </c>
      <c r="L924" s="166">
        <v>1</v>
      </c>
      <c r="M924" s="166">
        <v>1</v>
      </c>
      <c r="N924" s="166">
        <v>0</v>
      </c>
      <c r="O924" s="166">
        <v>1</v>
      </c>
      <c r="P924" s="166">
        <v>0</v>
      </c>
      <c r="R924" s="165" t="s">
        <v>704</v>
      </c>
      <c r="S924" s="81" t="s">
        <v>113</v>
      </c>
      <c r="T924" s="349">
        <v>42320</v>
      </c>
      <c r="U924" s="349">
        <v>42429</v>
      </c>
      <c r="W924" s="81" t="s">
        <v>114</v>
      </c>
      <c r="Y924" s="81" t="s">
        <v>115</v>
      </c>
      <c r="Z924" s="81" t="s">
        <v>116</v>
      </c>
      <c r="AA924" s="81" t="s">
        <v>117</v>
      </c>
      <c r="AB924" s="81" t="s">
        <v>218</v>
      </c>
      <c r="AC924" s="166">
        <v>7.1999996900558499E-2</v>
      </c>
      <c r="AG924" s="81" t="s">
        <v>238</v>
      </c>
      <c r="AH924" s="81" t="s">
        <v>118</v>
      </c>
      <c r="AK924" s="166">
        <v>1</v>
      </c>
      <c r="AM924" s="166">
        <v>0</v>
      </c>
      <c r="AO924" s="166">
        <v>0</v>
      </c>
      <c r="AP924" s="166">
        <v>0</v>
      </c>
      <c r="AQ924" s="166">
        <v>0</v>
      </c>
      <c r="AR924" s="166">
        <v>-1</v>
      </c>
      <c r="AS924" s="166">
        <v>1</v>
      </c>
      <c r="AT924" s="166">
        <v>0</v>
      </c>
      <c r="AU924" s="166">
        <v>0</v>
      </c>
      <c r="AV924" s="166">
        <v>0</v>
      </c>
      <c r="AW924" s="166">
        <v>0</v>
      </c>
      <c r="AX924" s="166">
        <v>0</v>
      </c>
      <c r="AY924" s="166">
        <v>0</v>
      </c>
      <c r="AZ924" s="166">
        <v>0</v>
      </c>
      <c r="BA924" s="166">
        <v>0</v>
      </c>
      <c r="BB924" s="166">
        <v>0</v>
      </c>
      <c r="BC924" s="166">
        <v>0</v>
      </c>
      <c r="BD924" s="166">
        <v>0</v>
      </c>
      <c r="BE924" s="166">
        <v>0</v>
      </c>
      <c r="BF924" s="166">
        <v>-1</v>
      </c>
      <c r="BG924" s="166">
        <v>1</v>
      </c>
      <c r="BH924" s="166">
        <v>0</v>
      </c>
      <c r="BI924" s="166">
        <v>0</v>
      </c>
      <c r="BJ924" s="166">
        <v>0</v>
      </c>
      <c r="BK924" s="166">
        <v>0</v>
      </c>
      <c r="BL924" s="166">
        <v>0</v>
      </c>
      <c r="BM924" s="166">
        <v>0</v>
      </c>
      <c r="BN924" s="166">
        <v>0</v>
      </c>
      <c r="BO924" s="166">
        <v>0</v>
      </c>
      <c r="BP924" s="166">
        <v>0</v>
      </c>
      <c r="BQ924" s="81" t="s">
        <v>1758</v>
      </c>
      <c r="BZ924" s="81" t="s">
        <v>155</v>
      </c>
      <c r="CA924" s="81">
        <v>4</v>
      </c>
      <c r="CC924" s="167">
        <v>0</v>
      </c>
      <c r="CD924" s="167">
        <v>0</v>
      </c>
      <c r="CE924" s="167">
        <f>$N924/5</f>
        <v>0</v>
      </c>
      <c r="CF924" s="167">
        <f>$N924/5</f>
        <v>0</v>
      </c>
      <c r="CG924" s="167">
        <f>$N924/5</f>
        <v>0</v>
      </c>
      <c r="CH924" s="167">
        <f>$N924/5</f>
        <v>0</v>
      </c>
      <c r="CI924" s="167">
        <f>$N924/5</f>
        <v>0</v>
      </c>
      <c r="CJ924" s="167">
        <v>0</v>
      </c>
      <c r="CK924" s="167">
        <v>0</v>
      </c>
      <c r="CL924" s="167">
        <v>0</v>
      </c>
      <c r="CM924" s="167">
        <v>0</v>
      </c>
      <c r="CN924" s="167">
        <v>0</v>
      </c>
      <c r="CO924" s="167">
        <v>0</v>
      </c>
      <c r="CP924" s="167">
        <v>0</v>
      </c>
      <c r="CQ924" s="167">
        <v>0</v>
      </c>
      <c r="CR924" s="167">
        <v>0</v>
      </c>
      <c r="CS924" s="167">
        <v>0</v>
      </c>
      <c r="CT924" s="167">
        <v>0</v>
      </c>
      <c r="CU924" s="167">
        <v>0</v>
      </c>
      <c r="CV924" s="167">
        <v>0</v>
      </c>
      <c r="CW924" s="167">
        <v>0</v>
      </c>
      <c r="CX924" s="167">
        <f>SUM(CD924:CH924)</f>
        <v>0</v>
      </c>
      <c r="CY924" s="167">
        <f>SUM(CD924:CM924)</f>
        <v>0</v>
      </c>
    </row>
    <row r="925" spans="1:103" ht="12.75" customHeight="1" x14ac:dyDescent="0.2">
      <c r="A925" s="81">
        <v>6130</v>
      </c>
      <c r="B925" s="165" t="s">
        <v>1930</v>
      </c>
      <c r="C925" s="165" t="s">
        <v>641</v>
      </c>
      <c r="E925" s="165" t="s">
        <v>2664</v>
      </c>
      <c r="G925" s="81">
        <v>522154</v>
      </c>
      <c r="H925" s="81">
        <v>175135</v>
      </c>
      <c r="I925" s="165" t="s">
        <v>59</v>
      </c>
      <c r="L925" s="166">
        <v>1</v>
      </c>
      <c r="M925" s="166">
        <v>1</v>
      </c>
      <c r="N925" s="166">
        <v>0</v>
      </c>
      <c r="O925" s="166">
        <v>1</v>
      </c>
      <c r="P925" s="166">
        <v>0</v>
      </c>
      <c r="R925" s="165" t="s">
        <v>1140</v>
      </c>
      <c r="S925" s="81" t="s">
        <v>113</v>
      </c>
      <c r="T925" s="349">
        <v>42290</v>
      </c>
      <c r="U925" s="349">
        <v>42429</v>
      </c>
      <c r="W925" s="81" t="s">
        <v>114</v>
      </c>
      <c r="Y925" s="81" t="s">
        <v>115</v>
      </c>
      <c r="Z925" s="81" t="s">
        <v>116</v>
      </c>
      <c r="AA925" s="81" t="s">
        <v>117</v>
      </c>
      <c r="AB925" s="81" t="s">
        <v>218</v>
      </c>
      <c r="AC925" s="166">
        <v>0.13099999725818601</v>
      </c>
      <c r="AG925" s="81" t="s">
        <v>238</v>
      </c>
      <c r="AH925" s="81" t="s">
        <v>118</v>
      </c>
      <c r="AK925" s="166">
        <v>1</v>
      </c>
      <c r="AM925" s="166">
        <v>0</v>
      </c>
      <c r="AO925" s="166">
        <v>0</v>
      </c>
      <c r="AP925" s="166">
        <v>0</v>
      </c>
      <c r="AQ925" s="166">
        <v>0</v>
      </c>
      <c r="AR925" s="166">
        <v>0</v>
      </c>
      <c r="AS925" s="166">
        <v>-1</v>
      </c>
      <c r="AT925" s="166">
        <v>1</v>
      </c>
      <c r="AU925" s="166">
        <v>0</v>
      </c>
      <c r="AV925" s="166">
        <v>0</v>
      </c>
      <c r="AW925" s="166">
        <v>0</v>
      </c>
      <c r="AX925" s="166">
        <v>0</v>
      </c>
      <c r="AY925" s="166">
        <v>0</v>
      </c>
      <c r="AZ925" s="166">
        <v>0</v>
      </c>
      <c r="BA925" s="166">
        <v>0</v>
      </c>
      <c r="BB925" s="166">
        <v>0</v>
      </c>
      <c r="BC925" s="166">
        <v>0</v>
      </c>
      <c r="BD925" s="166">
        <v>0</v>
      </c>
      <c r="BE925" s="166">
        <v>0</v>
      </c>
      <c r="BF925" s="166">
        <v>0</v>
      </c>
      <c r="BG925" s="166">
        <v>-1</v>
      </c>
      <c r="BH925" s="166">
        <v>1</v>
      </c>
      <c r="BI925" s="166">
        <v>0</v>
      </c>
      <c r="BJ925" s="166">
        <v>0</v>
      </c>
      <c r="BK925" s="166">
        <v>0</v>
      </c>
      <c r="BL925" s="166">
        <v>0</v>
      </c>
      <c r="BM925" s="166">
        <v>0</v>
      </c>
      <c r="BN925" s="166">
        <v>0</v>
      </c>
      <c r="BO925" s="166">
        <v>0</v>
      </c>
      <c r="BP925" s="166">
        <v>0</v>
      </c>
      <c r="BQ925" s="81" t="s">
        <v>1758</v>
      </c>
      <c r="BZ925" s="81" t="s">
        <v>155</v>
      </c>
      <c r="CA925" s="81">
        <v>4</v>
      </c>
      <c r="CC925" s="167">
        <v>0</v>
      </c>
      <c r="CD925" s="167">
        <v>0</v>
      </c>
      <c r="CE925" s="167">
        <f>$N925/5</f>
        <v>0</v>
      </c>
      <c r="CF925" s="167">
        <f>$N925/5</f>
        <v>0</v>
      </c>
      <c r="CG925" s="167">
        <f>$N925/5</f>
        <v>0</v>
      </c>
      <c r="CH925" s="167">
        <f>$N925/5</f>
        <v>0</v>
      </c>
      <c r="CI925" s="167">
        <f>$N925/5</f>
        <v>0</v>
      </c>
      <c r="CJ925" s="167">
        <v>0</v>
      </c>
      <c r="CK925" s="167">
        <v>0</v>
      </c>
      <c r="CL925" s="167">
        <v>0</v>
      </c>
      <c r="CM925" s="167">
        <v>0</v>
      </c>
      <c r="CN925" s="167">
        <v>0</v>
      </c>
      <c r="CO925" s="167">
        <v>0</v>
      </c>
      <c r="CP925" s="167">
        <v>0</v>
      </c>
      <c r="CQ925" s="167">
        <v>0</v>
      </c>
      <c r="CR925" s="167">
        <v>0</v>
      </c>
      <c r="CS925" s="167">
        <v>0</v>
      </c>
      <c r="CT925" s="167">
        <v>0</v>
      </c>
      <c r="CU925" s="167">
        <v>0</v>
      </c>
      <c r="CV925" s="167">
        <v>0</v>
      </c>
      <c r="CW925" s="167">
        <v>0</v>
      </c>
      <c r="CX925" s="167">
        <f>SUM(CD925:CH925)</f>
        <v>0</v>
      </c>
      <c r="CY925" s="167">
        <f>SUM(CD925:CM925)</f>
        <v>0</v>
      </c>
    </row>
    <row r="926" spans="1:103" ht="12.75" customHeight="1" x14ac:dyDescent="0.2">
      <c r="A926" s="81">
        <v>6135</v>
      </c>
      <c r="B926" s="165" t="s">
        <v>1930</v>
      </c>
      <c r="C926" s="165" t="s">
        <v>721</v>
      </c>
      <c r="E926" s="165" t="s">
        <v>2665</v>
      </c>
      <c r="G926" s="81">
        <v>527630</v>
      </c>
      <c r="H926" s="81">
        <v>171231</v>
      </c>
      <c r="I926" s="165" t="s">
        <v>253</v>
      </c>
      <c r="L926" s="166">
        <v>1</v>
      </c>
      <c r="M926" s="166">
        <v>2</v>
      </c>
      <c r="N926" s="166">
        <v>1</v>
      </c>
      <c r="O926" s="166">
        <v>2</v>
      </c>
      <c r="P926" s="166">
        <v>1</v>
      </c>
      <c r="R926" s="165" t="s">
        <v>1177</v>
      </c>
      <c r="S926" s="81" t="s">
        <v>113</v>
      </c>
      <c r="T926" s="349">
        <v>42387</v>
      </c>
      <c r="U926" s="349">
        <v>42443</v>
      </c>
      <c r="W926" s="81" t="s">
        <v>114</v>
      </c>
      <c r="Y926" s="81" t="s">
        <v>115</v>
      </c>
      <c r="Z926" s="81" t="s">
        <v>398</v>
      </c>
      <c r="AA926" s="81" t="s">
        <v>117</v>
      </c>
      <c r="AB926" s="81" t="s">
        <v>220</v>
      </c>
      <c r="AC926" s="166">
        <v>1.09999999403954E-2</v>
      </c>
      <c r="AG926" s="81" t="s">
        <v>238</v>
      </c>
      <c r="AH926" s="81" t="s">
        <v>118</v>
      </c>
      <c r="AK926" s="166">
        <v>0</v>
      </c>
      <c r="AM926" s="166">
        <v>0</v>
      </c>
      <c r="AO926" s="166">
        <v>0</v>
      </c>
      <c r="AP926" s="166">
        <v>2</v>
      </c>
      <c r="AQ926" s="166">
        <v>0</v>
      </c>
      <c r="AR926" s="166">
        <v>-1</v>
      </c>
      <c r="AS926" s="166">
        <v>0</v>
      </c>
      <c r="AT926" s="166">
        <v>0</v>
      </c>
      <c r="AU926" s="166">
        <v>0</v>
      </c>
      <c r="AV926" s="166">
        <v>0</v>
      </c>
      <c r="AW926" s="166">
        <v>2</v>
      </c>
      <c r="AX926" s="166">
        <v>0</v>
      </c>
      <c r="AY926" s="166">
        <v>-1</v>
      </c>
      <c r="AZ926" s="166">
        <v>0</v>
      </c>
      <c r="BA926" s="166">
        <v>0</v>
      </c>
      <c r="BB926" s="166">
        <v>0</v>
      </c>
      <c r="BC926" s="166">
        <v>0</v>
      </c>
      <c r="BD926" s="166">
        <v>0</v>
      </c>
      <c r="BE926" s="166">
        <v>0</v>
      </c>
      <c r="BF926" s="166">
        <v>0</v>
      </c>
      <c r="BG926" s="166">
        <v>0</v>
      </c>
      <c r="BH926" s="166">
        <v>0</v>
      </c>
      <c r="BI926" s="166">
        <v>0</v>
      </c>
      <c r="BJ926" s="166">
        <v>0</v>
      </c>
      <c r="BK926" s="166">
        <v>0</v>
      </c>
      <c r="BL926" s="166">
        <v>0</v>
      </c>
      <c r="BM926" s="166">
        <v>0</v>
      </c>
      <c r="BN926" s="166">
        <v>0</v>
      </c>
      <c r="BO926" s="166">
        <v>0</v>
      </c>
      <c r="BP926" s="166">
        <v>0</v>
      </c>
      <c r="BQ926" s="81" t="s">
        <v>1757</v>
      </c>
      <c r="BR926" s="81" t="s">
        <v>242</v>
      </c>
      <c r="BZ926" s="81" t="s">
        <v>155</v>
      </c>
      <c r="CA926" s="81" t="s">
        <v>1937</v>
      </c>
      <c r="CC926" s="167">
        <v>0</v>
      </c>
      <c r="CD926" s="167">
        <f>$N926/4</f>
        <v>0.25</v>
      </c>
      <c r="CE926" s="167">
        <f>$N926/4</f>
        <v>0.25</v>
      </c>
      <c r="CF926" s="167">
        <f>$N926/4</f>
        <v>0.25</v>
      </c>
      <c r="CG926" s="167">
        <f>$N926/4</f>
        <v>0.25</v>
      </c>
      <c r="CH926" s="167">
        <v>0</v>
      </c>
      <c r="CI926" s="167">
        <v>0</v>
      </c>
      <c r="CJ926" s="167">
        <v>0</v>
      </c>
      <c r="CK926" s="167">
        <v>0</v>
      </c>
      <c r="CL926" s="167">
        <v>0</v>
      </c>
      <c r="CM926" s="167">
        <v>0</v>
      </c>
      <c r="CN926" s="167">
        <v>0</v>
      </c>
      <c r="CO926" s="167">
        <v>0</v>
      </c>
      <c r="CP926" s="167">
        <v>0</v>
      </c>
      <c r="CQ926" s="167">
        <v>0</v>
      </c>
      <c r="CR926" s="167">
        <v>0</v>
      </c>
      <c r="CS926" s="167">
        <v>0</v>
      </c>
      <c r="CT926" s="167">
        <v>0</v>
      </c>
      <c r="CU926" s="167">
        <v>0</v>
      </c>
      <c r="CV926" s="167">
        <v>0</v>
      </c>
      <c r="CW926" s="167">
        <v>0</v>
      </c>
      <c r="CX926" s="167">
        <f>SUM(CD926:CH926)</f>
        <v>1</v>
      </c>
      <c r="CY926" s="167">
        <f>SUM(CD926:CM926)</f>
        <v>1</v>
      </c>
    </row>
    <row r="927" spans="1:103" ht="12.75" customHeight="1" x14ac:dyDescent="0.2">
      <c r="A927" s="81">
        <v>6142</v>
      </c>
      <c r="B927" s="165" t="s">
        <v>1930</v>
      </c>
      <c r="C927" s="165" t="s">
        <v>732</v>
      </c>
      <c r="E927" s="165" t="s">
        <v>2666</v>
      </c>
      <c r="G927" s="81">
        <v>525109</v>
      </c>
      <c r="H927" s="81">
        <v>175279</v>
      </c>
      <c r="I927" s="165" t="s">
        <v>259</v>
      </c>
      <c r="L927" s="166">
        <v>0</v>
      </c>
      <c r="M927" s="166">
        <v>1</v>
      </c>
      <c r="N927" s="166">
        <v>1</v>
      </c>
      <c r="O927" s="166">
        <v>1</v>
      </c>
      <c r="P927" s="166">
        <v>1</v>
      </c>
      <c r="R927" s="165" t="s">
        <v>562</v>
      </c>
      <c r="S927" s="81" t="s">
        <v>110</v>
      </c>
      <c r="T927" s="349">
        <v>42394</v>
      </c>
      <c r="U927" s="349">
        <v>42450</v>
      </c>
      <c r="W927" s="81" t="s">
        <v>114</v>
      </c>
      <c r="Y927" s="81" t="s">
        <v>115</v>
      </c>
      <c r="Z927" s="81" t="s">
        <v>310</v>
      </c>
      <c r="AA927" s="81" t="s">
        <v>117</v>
      </c>
      <c r="AB927" s="81" t="s">
        <v>399</v>
      </c>
      <c r="AC927" s="166">
        <v>2.0999999716877899E-2</v>
      </c>
      <c r="AG927" s="81" t="s">
        <v>238</v>
      </c>
      <c r="AH927" s="81" t="s">
        <v>118</v>
      </c>
      <c r="AK927" s="166">
        <v>0</v>
      </c>
      <c r="AM927" s="166">
        <v>0</v>
      </c>
      <c r="AO927" s="166">
        <v>0</v>
      </c>
      <c r="AP927" s="166">
        <v>0</v>
      </c>
      <c r="AQ927" s="166">
        <v>1</v>
      </c>
      <c r="AR927" s="166">
        <v>0</v>
      </c>
      <c r="AS927" s="166">
        <v>0</v>
      </c>
      <c r="AT927" s="166">
        <v>0</v>
      </c>
      <c r="AU927" s="166">
        <v>0</v>
      </c>
      <c r="AV927" s="166">
        <v>0</v>
      </c>
      <c r="AW927" s="166">
        <v>0</v>
      </c>
      <c r="AX927" s="166">
        <v>1</v>
      </c>
      <c r="AY927" s="166">
        <v>0</v>
      </c>
      <c r="AZ927" s="166">
        <v>0</v>
      </c>
      <c r="BA927" s="166">
        <v>0</v>
      </c>
      <c r="BB927" s="166">
        <v>0</v>
      </c>
      <c r="BC927" s="166">
        <v>0</v>
      </c>
      <c r="BD927" s="166">
        <v>0</v>
      </c>
      <c r="BE927" s="166">
        <v>0</v>
      </c>
      <c r="BF927" s="166">
        <v>0</v>
      </c>
      <c r="BG927" s="166">
        <v>0</v>
      </c>
      <c r="BH927" s="166">
        <v>0</v>
      </c>
      <c r="BI927" s="166">
        <v>0</v>
      </c>
      <c r="BJ927" s="166">
        <v>0</v>
      </c>
      <c r="BK927" s="166">
        <v>0</v>
      </c>
      <c r="BL927" s="166">
        <v>0</v>
      </c>
      <c r="BM927" s="166">
        <v>0</v>
      </c>
      <c r="BN927" s="166">
        <v>0</v>
      </c>
      <c r="BO927" s="166">
        <v>0</v>
      </c>
      <c r="BP927" s="166">
        <v>0</v>
      </c>
      <c r="BQ927" s="81" t="s">
        <v>1758</v>
      </c>
      <c r="BT927" s="81" t="s">
        <v>155</v>
      </c>
      <c r="BZ927" s="81" t="s">
        <v>155</v>
      </c>
      <c r="CA927" s="81" t="s">
        <v>1937</v>
      </c>
      <c r="CC927" s="167">
        <v>0</v>
      </c>
      <c r="CD927" s="167">
        <f>$N927/4</f>
        <v>0.25</v>
      </c>
      <c r="CE927" s="167">
        <f>$N927/4</f>
        <v>0.25</v>
      </c>
      <c r="CF927" s="167">
        <f>$N927/4</f>
        <v>0.25</v>
      </c>
      <c r="CG927" s="167">
        <f>$N927/4</f>
        <v>0.25</v>
      </c>
      <c r="CH927" s="167">
        <v>0</v>
      </c>
      <c r="CI927" s="167">
        <v>0</v>
      </c>
      <c r="CJ927" s="167">
        <v>0</v>
      </c>
      <c r="CK927" s="167">
        <v>0</v>
      </c>
      <c r="CL927" s="167">
        <v>0</v>
      </c>
      <c r="CM927" s="167">
        <v>0</v>
      </c>
      <c r="CN927" s="167">
        <v>0</v>
      </c>
      <c r="CO927" s="167">
        <v>0</v>
      </c>
      <c r="CP927" s="167">
        <v>0</v>
      </c>
      <c r="CQ927" s="167">
        <v>0</v>
      </c>
      <c r="CR927" s="167">
        <v>0</v>
      </c>
      <c r="CS927" s="167">
        <v>0</v>
      </c>
      <c r="CT927" s="167">
        <v>0</v>
      </c>
      <c r="CU927" s="167">
        <v>0</v>
      </c>
      <c r="CV927" s="167">
        <v>0</v>
      </c>
      <c r="CW927" s="167">
        <v>0</v>
      </c>
      <c r="CX927" s="167">
        <f>SUM(CD927:CH927)</f>
        <v>1</v>
      </c>
      <c r="CY927" s="167">
        <f>SUM(CD927:CM927)</f>
        <v>1</v>
      </c>
    </row>
    <row r="928" spans="1:103" ht="12.75" customHeight="1" x14ac:dyDescent="0.2">
      <c r="A928" s="81">
        <v>6151</v>
      </c>
      <c r="B928" s="165" t="s">
        <v>1930</v>
      </c>
      <c r="C928" s="165" t="s">
        <v>790</v>
      </c>
      <c r="E928" s="165" t="s">
        <v>2667</v>
      </c>
      <c r="G928" s="81">
        <v>523227</v>
      </c>
      <c r="H928" s="81">
        <v>175844</v>
      </c>
      <c r="I928" s="165" t="s">
        <v>259</v>
      </c>
      <c r="L928" s="166">
        <v>0</v>
      </c>
      <c r="M928" s="166">
        <v>1</v>
      </c>
      <c r="N928" s="166">
        <v>1</v>
      </c>
      <c r="O928" s="166">
        <v>1</v>
      </c>
      <c r="P928" s="166">
        <v>1</v>
      </c>
      <c r="R928" s="165" t="s">
        <v>791</v>
      </c>
      <c r="S928" s="81" t="s">
        <v>113</v>
      </c>
      <c r="T928" s="349">
        <v>42497</v>
      </c>
      <c r="U928" s="349">
        <v>42685</v>
      </c>
      <c r="W928" s="81" t="s">
        <v>114</v>
      </c>
      <c r="Y928" s="81" t="s">
        <v>115</v>
      </c>
      <c r="Z928" s="81" t="s">
        <v>310</v>
      </c>
      <c r="AA928" s="81" t="s">
        <v>117</v>
      </c>
      <c r="AB928" s="81" t="s">
        <v>311</v>
      </c>
      <c r="AC928" s="166">
        <v>1.7999999225139601E-2</v>
      </c>
      <c r="AG928" s="81" t="s">
        <v>238</v>
      </c>
      <c r="AH928" s="81" t="s">
        <v>118</v>
      </c>
      <c r="AK928" s="166">
        <v>0</v>
      </c>
      <c r="AM928" s="166">
        <v>0</v>
      </c>
      <c r="AO928" s="166">
        <v>0</v>
      </c>
      <c r="AP928" s="166">
        <v>0</v>
      </c>
      <c r="AQ928" s="166">
        <v>0</v>
      </c>
      <c r="AR928" s="166">
        <v>1</v>
      </c>
      <c r="AS928" s="166">
        <v>0</v>
      </c>
      <c r="AT928" s="166">
        <v>0</v>
      </c>
      <c r="AU928" s="166">
        <v>0</v>
      </c>
      <c r="AV928" s="166">
        <v>0</v>
      </c>
      <c r="AW928" s="166">
        <v>0</v>
      </c>
      <c r="AX928" s="166">
        <v>0</v>
      </c>
      <c r="AY928" s="166">
        <v>1</v>
      </c>
      <c r="AZ928" s="166">
        <v>0</v>
      </c>
      <c r="BA928" s="166">
        <v>0</v>
      </c>
      <c r="BB928" s="166">
        <v>0</v>
      </c>
      <c r="BC928" s="166">
        <v>0</v>
      </c>
      <c r="BD928" s="166">
        <v>0</v>
      </c>
      <c r="BE928" s="166">
        <v>0</v>
      </c>
      <c r="BF928" s="166">
        <v>0</v>
      </c>
      <c r="BG928" s="166">
        <v>0</v>
      </c>
      <c r="BH928" s="166">
        <v>0</v>
      </c>
      <c r="BI928" s="166">
        <v>0</v>
      </c>
      <c r="BJ928" s="166">
        <v>0</v>
      </c>
      <c r="BK928" s="166">
        <v>0</v>
      </c>
      <c r="BL928" s="166">
        <v>0</v>
      </c>
      <c r="BM928" s="166">
        <v>0</v>
      </c>
      <c r="BN928" s="166">
        <v>0</v>
      </c>
      <c r="BO928" s="166">
        <v>0</v>
      </c>
      <c r="BP928" s="166">
        <v>0</v>
      </c>
      <c r="BQ928" s="81" t="s">
        <v>1758</v>
      </c>
      <c r="BZ928" s="81" t="s">
        <v>155</v>
      </c>
      <c r="CA928" s="81" t="s">
        <v>1937</v>
      </c>
      <c r="CC928" s="167">
        <v>0</v>
      </c>
      <c r="CD928" s="167">
        <f>$N928/4</f>
        <v>0.25</v>
      </c>
      <c r="CE928" s="167">
        <f>$N928/4</f>
        <v>0.25</v>
      </c>
      <c r="CF928" s="167">
        <f>$N928/4</f>
        <v>0.25</v>
      </c>
      <c r="CG928" s="167">
        <f>$N928/4</f>
        <v>0.25</v>
      </c>
      <c r="CH928" s="167">
        <v>0</v>
      </c>
      <c r="CI928" s="167">
        <v>0</v>
      </c>
      <c r="CJ928" s="167">
        <v>0</v>
      </c>
      <c r="CK928" s="167">
        <v>0</v>
      </c>
      <c r="CL928" s="167">
        <v>0</v>
      </c>
      <c r="CM928" s="167">
        <v>0</v>
      </c>
      <c r="CN928" s="167">
        <v>0</v>
      </c>
      <c r="CO928" s="167">
        <v>0</v>
      </c>
      <c r="CP928" s="167">
        <v>0</v>
      </c>
      <c r="CQ928" s="167">
        <v>0</v>
      </c>
      <c r="CR928" s="167">
        <v>0</v>
      </c>
      <c r="CS928" s="167">
        <v>0</v>
      </c>
      <c r="CT928" s="167">
        <v>0</v>
      </c>
      <c r="CU928" s="167">
        <v>0</v>
      </c>
      <c r="CV928" s="167">
        <v>0</v>
      </c>
      <c r="CW928" s="167">
        <v>0</v>
      </c>
      <c r="CX928" s="167">
        <f>SUM(CD928:CH928)</f>
        <v>1</v>
      </c>
      <c r="CY928" s="167">
        <f>SUM(CD928:CM928)</f>
        <v>1</v>
      </c>
    </row>
    <row r="929" spans="1:103" ht="12.75" customHeight="1" x14ac:dyDescent="0.2">
      <c r="A929" s="81">
        <v>6159</v>
      </c>
      <c r="B929" s="165" t="s">
        <v>1930</v>
      </c>
      <c r="C929" s="165" t="s">
        <v>1164</v>
      </c>
      <c r="E929" s="165" t="s">
        <v>3427</v>
      </c>
      <c r="F929" s="165" t="s">
        <v>148</v>
      </c>
      <c r="G929" s="81">
        <v>526827</v>
      </c>
      <c r="H929" s="81">
        <v>176609</v>
      </c>
      <c r="I929" s="165" t="s">
        <v>257</v>
      </c>
      <c r="L929" s="166">
        <v>0</v>
      </c>
      <c r="M929" s="166">
        <v>8</v>
      </c>
      <c r="N929" s="166">
        <v>8</v>
      </c>
      <c r="O929" s="166">
        <v>39</v>
      </c>
      <c r="P929" s="166">
        <v>39</v>
      </c>
      <c r="Q929" s="81" t="s">
        <v>155</v>
      </c>
      <c r="R929" s="165" t="s">
        <v>1165</v>
      </c>
      <c r="S929" s="81" t="s">
        <v>104</v>
      </c>
      <c r="T929" s="349">
        <v>42375</v>
      </c>
      <c r="U929" s="349">
        <v>42699</v>
      </c>
      <c r="W929" s="81" t="s">
        <v>114</v>
      </c>
      <c r="Y929" s="81" t="s">
        <v>115</v>
      </c>
      <c r="Z929" s="81" t="s">
        <v>398</v>
      </c>
      <c r="AA929" s="81" t="s">
        <v>116</v>
      </c>
      <c r="AB929" s="81" t="s">
        <v>117</v>
      </c>
      <c r="AC929" s="166">
        <v>3.70000004768372E-2</v>
      </c>
      <c r="AG929" s="81" t="s">
        <v>238</v>
      </c>
      <c r="AH929" s="81" t="s">
        <v>118</v>
      </c>
      <c r="AK929" s="166">
        <v>8</v>
      </c>
      <c r="AM929" s="166">
        <v>1</v>
      </c>
      <c r="AO929" s="166">
        <v>0</v>
      </c>
      <c r="AP929" s="166">
        <v>2</v>
      </c>
      <c r="AQ929" s="166">
        <v>5</v>
      </c>
      <c r="AR929" s="166">
        <v>1</v>
      </c>
      <c r="AS929" s="166">
        <v>0</v>
      </c>
      <c r="AT929" s="166">
        <v>0</v>
      </c>
      <c r="AU929" s="166">
        <v>0</v>
      </c>
      <c r="AV929" s="166">
        <v>0</v>
      </c>
      <c r="AW929" s="166">
        <v>2</v>
      </c>
      <c r="AX929" s="166">
        <v>5</v>
      </c>
      <c r="AY929" s="166">
        <v>1</v>
      </c>
      <c r="AZ929" s="166">
        <v>0</v>
      </c>
      <c r="BA929" s="166">
        <v>0</v>
      </c>
      <c r="BB929" s="166">
        <v>0</v>
      </c>
      <c r="BC929" s="166">
        <v>0</v>
      </c>
      <c r="BD929" s="166">
        <v>0</v>
      </c>
      <c r="BE929" s="166">
        <v>0</v>
      </c>
      <c r="BF929" s="166">
        <v>0</v>
      </c>
      <c r="BG929" s="166">
        <v>0</v>
      </c>
      <c r="BH929" s="166">
        <v>0</v>
      </c>
      <c r="BI929" s="166">
        <v>0</v>
      </c>
      <c r="BJ929" s="166">
        <v>0</v>
      </c>
      <c r="BK929" s="166">
        <v>0</v>
      </c>
      <c r="BL929" s="166">
        <v>0</v>
      </c>
      <c r="BM929" s="166">
        <v>0</v>
      </c>
      <c r="BN929" s="166">
        <v>0</v>
      </c>
      <c r="BO929" s="166">
        <v>0</v>
      </c>
      <c r="BP929" s="166">
        <v>0</v>
      </c>
      <c r="BQ929" s="81" t="s">
        <v>1757</v>
      </c>
      <c r="BZ929" s="81" t="s">
        <v>155</v>
      </c>
      <c r="CA929" s="81" t="s">
        <v>3936</v>
      </c>
      <c r="CC929" s="167">
        <v>0</v>
      </c>
      <c r="CD929" s="167">
        <v>0</v>
      </c>
      <c r="CE929" s="167">
        <v>0</v>
      </c>
      <c r="CF929" s="167">
        <v>0</v>
      </c>
      <c r="CG929" s="167">
        <v>0</v>
      </c>
      <c r="CH929" s="167">
        <f>N929</f>
        <v>8</v>
      </c>
      <c r="CI929" s="167">
        <v>0</v>
      </c>
      <c r="CJ929" s="167">
        <v>0</v>
      </c>
      <c r="CK929" s="167">
        <v>0</v>
      </c>
      <c r="CL929" s="167">
        <v>0</v>
      </c>
      <c r="CM929" s="167">
        <v>0</v>
      </c>
      <c r="CN929" s="167">
        <v>0</v>
      </c>
      <c r="CO929" s="167">
        <v>0</v>
      </c>
      <c r="CP929" s="167">
        <v>0</v>
      </c>
      <c r="CQ929" s="167">
        <v>0</v>
      </c>
      <c r="CR929" s="167">
        <v>0</v>
      </c>
      <c r="CS929" s="167">
        <v>0</v>
      </c>
      <c r="CT929" s="167">
        <v>0</v>
      </c>
      <c r="CU929" s="167">
        <v>0</v>
      </c>
      <c r="CV929" s="167">
        <v>0</v>
      </c>
      <c r="CW929" s="167">
        <v>0</v>
      </c>
      <c r="CX929" s="167">
        <f>SUM(CD929:CH929)</f>
        <v>8</v>
      </c>
      <c r="CY929" s="167">
        <f>SUM(CD929:CM929)</f>
        <v>8</v>
      </c>
    </row>
    <row r="930" spans="1:103" ht="12.75" customHeight="1" x14ac:dyDescent="0.2">
      <c r="A930" s="81">
        <v>6159</v>
      </c>
      <c r="B930" s="165" t="s">
        <v>1930</v>
      </c>
      <c r="C930" s="165" t="s">
        <v>1164</v>
      </c>
      <c r="E930" s="165" t="s">
        <v>3427</v>
      </c>
      <c r="F930" s="165" t="s">
        <v>1166</v>
      </c>
      <c r="G930" s="81">
        <v>526827</v>
      </c>
      <c r="H930" s="81">
        <v>176609</v>
      </c>
      <c r="I930" s="165" t="s">
        <v>257</v>
      </c>
      <c r="L930" s="166">
        <v>0</v>
      </c>
      <c r="M930" s="166">
        <v>3</v>
      </c>
      <c r="N930" s="166">
        <v>3</v>
      </c>
      <c r="O930" s="166">
        <v>39</v>
      </c>
      <c r="P930" s="166">
        <v>39</v>
      </c>
      <c r="Q930" s="81" t="s">
        <v>155</v>
      </c>
      <c r="R930" s="165" t="s">
        <v>1165</v>
      </c>
      <c r="S930" s="81" t="s">
        <v>104</v>
      </c>
      <c r="T930" s="349">
        <v>42375</v>
      </c>
      <c r="U930" s="349">
        <v>42699</v>
      </c>
      <c r="W930" s="81" t="s">
        <v>114</v>
      </c>
      <c r="Y930" s="81" t="s">
        <v>115</v>
      </c>
      <c r="Z930" s="81" t="s">
        <v>398</v>
      </c>
      <c r="AA930" s="81" t="s">
        <v>116</v>
      </c>
      <c r="AB930" s="81" t="s">
        <v>117</v>
      </c>
      <c r="AC930" s="166">
        <v>1.9999999552965199E-2</v>
      </c>
      <c r="AG930" s="81" t="s">
        <v>238</v>
      </c>
      <c r="AH930" s="81" t="s">
        <v>118</v>
      </c>
      <c r="AK930" s="166">
        <v>3</v>
      </c>
      <c r="AM930" s="166">
        <v>0</v>
      </c>
      <c r="AO930" s="166">
        <v>0</v>
      </c>
      <c r="AP930" s="166">
        <v>0</v>
      </c>
      <c r="AQ930" s="166">
        <v>0</v>
      </c>
      <c r="AR930" s="166">
        <v>3</v>
      </c>
      <c r="AS930" s="166">
        <v>0</v>
      </c>
      <c r="AT930" s="166">
        <v>0</v>
      </c>
      <c r="AU930" s="166">
        <v>0</v>
      </c>
      <c r="AV930" s="166">
        <v>0</v>
      </c>
      <c r="AW930" s="166">
        <v>0</v>
      </c>
      <c r="AX930" s="166">
        <v>0</v>
      </c>
      <c r="AY930" s="166">
        <v>3</v>
      </c>
      <c r="AZ930" s="166">
        <v>0</v>
      </c>
      <c r="BA930" s="166">
        <v>0</v>
      </c>
      <c r="BB930" s="166">
        <v>0</v>
      </c>
      <c r="BC930" s="166">
        <v>0</v>
      </c>
      <c r="BD930" s="166">
        <v>0</v>
      </c>
      <c r="BE930" s="166">
        <v>0</v>
      </c>
      <c r="BF930" s="166">
        <v>0</v>
      </c>
      <c r="BG930" s="166">
        <v>0</v>
      </c>
      <c r="BH930" s="166">
        <v>0</v>
      </c>
      <c r="BI930" s="166">
        <v>0</v>
      </c>
      <c r="BJ930" s="166">
        <v>0</v>
      </c>
      <c r="BK930" s="166">
        <v>0</v>
      </c>
      <c r="BL930" s="166">
        <v>0</v>
      </c>
      <c r="BM930" s="166">
        <v>0</v>
      </c>
      <c r="BN930" s="166">
        <v>0</v>
      </c>
      <c r="BO930" s="166">
        <v>0</v>
      </c>
      <c r="BP930" s="166">
        <v>0</v>
      </c>
      <c r="BQ930" s="81" t="s">
        <v>1757</v>
      </c>
      <c r="BZ930" s="81" t="s">
        <v>155</v>
      </c>
      <c r="CA930" s="81" t="s">
        <v>3936</v>
      </c>
      <c r="CC930" s="167">
        <v>0</v>
      </c>
      <c r="CD930" s="167">
        <v>0</v>
      </c>
      <c r="CE930" s="167">
        <v>0</v>
      </c>
      <c r="CF930" s="167">
        <v>0</v>
      </c>
      <c r="CG930" s="167">
        <v>0</v>
      </c>
      <c r="CH930" s="167">
        <f>N930</f>
        <v>3</v>
      </c>
      <c r="CI930" s="167">
        <v>0</v>
      </c>
      <c r="CJ930" s="167">
        <v>0</v>
      </c>
      <c r="CK930" s="167">
        <v>0</v>
      </c>
      <c r="CL930" s="167">
        <v>0</v>
      </c>
      <c r="CM930" s="167">
        <v>0</v>
      </c>
      <c r="CN930" s="167">
        <v>0</v>
      </c>
      <c r="CO930" s="167">
        <v>0</v>
      </c>
      <c r="CP930" s="167">
        <v>0</v>
      </c>
      <c r="CQ930" s="167">
        <v>0</v>
      </c>
      <c r="CR930" s="167">
        <v>0</v>
      </c>
      <c r="CS930" s="167">
        <v>0</v>
      </c>
      <c r="CT930" s="167">
        <v>0</v>
      </c>
      <c r="CU930" s="167">
        <v>0</v>
      </c>
      <c r="CV930" s="167">
        <v>0</v>
      </c>
      <c r="CW930" s="167">
        <v>0</v>
      </c>
      <c r="CX930" s="167">
        <f>SUM(CD930:CH930)</f>
        <v>3</v>
      </c>
      <c r="CY930" s="167">
        <f>SUM(CD930:CM930)</f>
        <v>3</v>
      </c>
    </row>
    <row r="931" spans="1:103" ht="12.75" customHeight="1" x14ac:dyDescent="0.2">
      <c r="A931" s="81">
        <v>6159</v>
      </c>
      <c r="B931" s="165" t="s">
        <v>1930</v>
      </c>
      <c r="C931" s="165" t="s">
        <v>1164</v>
      </c>
      <c r="E931" s="165" t="s">
        <v>3427</v>
      </c>
      <c r="F931" s="165" t="s">
        <v>84</v>
      </c>
      <c r="G931" s="81">
        <v>526827</v>
      </c>
      <c r="H931" s="81">
        <v>176609</v>
      </c>
      <c r="I931" s="165" t="s">
        <v>257</v>
      </c>
      <c r="L931" s="166">
        <v>0</v>
      </c>
      <c r="M931" s="166">
        <v>7</v>
      </c>
      <c r="N931" s="166">
        <v>7</v>
      </c>
      <c r="O931" s="166">
        <v>39</v>
      </c>
      <c r="P931" s="166">
        <v>39</v>
      </c>
      <c r="Q931" s="81" t="s">
        <v>155</v>
      </c>
      <c r="R931" s="165" t="s">
        <v>1165</v>
      </c>
      <c r="S931" s="81" t="s">
        <v>104</v>
      </c>
      <c r="T931" s="349">
        <v>42375</v>
      </c>
      <c r="U931" s="349">
        <v>42699</v>
      </c>
      <c r="W931" s="81" t="s">
        <v>114</v>
      </c>
      <c r="Y931" s="81" t="s">
        <v>115</v>
      </c>
      <c r="Z931" s="81" t="s">
        <v>398</v>
      </c>
      <c r="AA931" s="81" t="s">
        <v>116</v>
      </c>
      <c r="AB931" s="81" t="s">
        <v>117</v>
      </c>
      <c r="AC931" s="166">
        <v>1.0099999606609299E-2</v>
      </c>
      <c r="AG931" s="81" t="s">
        <v>238</v>
      </c>
      <c r="AH931" s="81" t="s">
        <v>118</v>
      </c>
      <c r="AK931" s="166">
        <v>7</v>
      </c>
      <c r="AM931" s="166">
        <v>1</v>
      </c>
      <c r="AO931" s="166">
        <v>0</v>
      </c>
      <c r="AP931" s="166">
        <v>3</v>
      </c>
      <c r="AQ931" s="166">
        <v>3</v>
      </c>
      <c r="AR931" s="166">
        <v>1</v>
      </c>
      <c r="AS931" s="166">
        <v>0</v>
      </c>
      <c r="AT931" s="166">
        <v>0</v>
      </c>
      <c r="AU931" s="166">
        <v>0</v>
      </c>
      <c r="AV931" s="166">
        <v>0</v>
      </c>
      <c r="AW931" s="166">
        <v>3</v>
      </c>
      <c r="AX931" s="166">
        <v>3</v>
      </c>
      <c r="AY931" s="166">
        <v>1</v>
      </c>
      <c r="AZ931" s="166">
        <v>0</v>
      </c>
      <c r="BA931" s="166">
        <v>0</v>
      </c>
      <c r="BB931" s="166">
        <v>0</v>
      </c>
      <c r="BC931" s="166">
        <v>0</v>
      </c>
      <c r="BD931" s="166">
        <v>0</v>
      </c>
      <c r="BE931" s="166">
        <v>0</v>
      </c>
      <c r="BF931" s="166">
        <v>0</v>
      </c>
      <c r="BG931" s="166">
        <v>0</v>
      </c>
      <c r="BH931" s="166">
        <v>0</v>
      </c>
      <c r="BI931" s="166">
        <v>0</v>
      </c>
      <c r="BJ931" s="166">
        <v>0</v>
      </c>
      <c r="BK931" s="166">
        <v>0</v>
      </c>
      <c r="BL931" s="166">
        <v>0</v>
      </c>
      <c r="BM931" s="166">
        <v>0</v>
      </c>
      <c r="BN931" s="166">
        <v>0</v>
      </c>
      <c r="BO931" s="166">
        <v>0</v>
      </c>
      <c r="BP931" s="166">
        <v>0</v>
      </c>
      <c r="BQ931" s="81" t="s">
        <v>1757</v>
      </c>
      <c r="BZ931" s="81" t="s">
        <v>155</v>
      </c>
      <c r="CA931" s="81" t="s">
        <v>3936</v>
      </c>
      <c r="CC931" s="167">
        <v>0</v>
      </c>
      <c r="CD931" s="167">
        <v>0</v>
      </c>
      <c r="CE931" s="167">
        <v>0</v>
      </c>
      <c r="CF931" s="167">
        <v>0</v>
      </c>
      <c r="CG931" s="167">
        <v>0</v>
      </c>
      <c r="CH931" s="167">
        <f>N931</f>
        <v>7</v>
      </c>
      <c r="CI931" s="167">
        <v>0</v>
      </c>
      <c r="CJ931" s="167">
        <v>0</v>
      </c>
      <c r="CK931" s="167">
        <v>0</v>
      </c>
      <c r="CL931" s="167">
        <v>0</v>
      </c>
      <c r="CM931" s="167">
        <v>0</v>
      </c>
      <c r="CN931" s="167">
        <v>0</v>
      </c>
      <c r="CO931" s="167">
        <v>0</v>
      </c>
      <c r="CP931" s="167">
        <v>0</v>
      </c>
      <c r="CQ931" s="167">
        <v>0</v>
      </c>
      <c r="CR931" s="167">
        <v>0</v>
      </c>
      <c r="CS931" s="167">
        <v>0</v>
      </c>
      <c r="CT931" s="167">
        <v>0</v>
      </c>
      <c r="CU931" s="167">
        <v>0</v>
      </c>
      <c r="CV931" s="167">
        <v>0</v>
      </c>
      <c r="CW931" s="167">
        <v>0</v>
      </c>
      <c r="CX931" s="167">
        <f>SUM(CD931:CH931)</f>
        <v>7</v>
      </c>
      <c r="CY931" s="167">
        <f>SUM(CD931:CM931)</f>
        <v>7</v>
      </c>
    </row>
    <row r="932" spans="1:103" ht="12.75" customHeight="1" x14ac:dyDescent="0.2">
      <c r="A932" s="81">
        <v>6159</v>
      </c>
      <c r="B932" s="165" t="s">
        <v>1930</v>
      </c>
      <c r="C932" s="165" t="s">
        <v>1164</v>
      </c>
      <c r="E932" s="165" t="s">
        <v>3427</v>
      </c>
      <c r="F932" s="165" t="s">
        <v>1167</v>
      </c>
      <c r="G932" s="81">
        <v>526827</v>
      </c>
      <c r="H932" s="81">
        <v>176609</v>
      </c>
      <c r="I932" s="165" t="s">
        <v>257</v>
      </c>
      <c r="L932" s="166">
        <v>0</v>
      </c>
      <c r="M932" s="166">
        <v>5</v>
      </c>
      <c r="N932" s="166">
        <v>5</v>
      </c>
      <c r="O932" s="166">
        <v>39</v>
      </c>
      <c r="P932" s="166">
        <v>39</v>
      </c>
      <c r="Q932" s="81" t="s">
        <v>155</v>
      </c>
      <c r="R932" s="165" t="s">
        <v>1165</v>
      </c>
      <c r="S932" s="81" t="s">
        <v>104</v>
      </c>
      <c r="T932" s="349">
        <v>42375</v>
      </c>
      <c r="U932" s="349">
        <v>42699</v>
      </c>
      <c r="W932" s="81" t="s">
        <v>114</v>
      </c>
      <c r="Y932" s="81" t="s">
        <v>115</v>
      </c>
      <c r="Z932" s="81" t="s">
        <v>398</v>
      </c>
      <c r="AA932" s="81" t="s">
        <v>116</v>
      </c>
      <c r="AB932" s="81" t="s">
        <v>218</v>
      </c>
      <c r="AC932" s="166">
        <v>2.19999998807907E-2</v>
      </c>
      <c r="AG932" s="81" t="s">
        <v>238</v>
      </c>
      <c r="AH932" s="81" t="s">
        <v>118</v>
      </c>
      <c r="AK932" s="166">
        <v>5</v>
      </c>
      <c r="AM932" s="166">
        <v>1</v>
      </c>
      <c r="AO932" s="166">
        <v>0</v>
      </c>
      <c r="AP932" s="166">
        <v>0</v>
      </c>
      <c r="AQ932" s="166">
        <v>0</v>
      </c>
      <c r="AR932" s="166">
        <v>0</v>
      </c>
      <c r="AS932" s="166">
        <v>5</v>
      </c>
      <c r="AT932" s="166">
        <v>0</v>
      </c>
      <c r="AU932" s="166">
        <v>0</v>
      </c>
      <c r="AV932" s="166">
        <v>0</v>
      </c>
      <c r="AW932" s="166">
        <v>0</v>
      </c>
      <c r="AX932" s="166">
        <v>0</v>
      </c>
      <c r="AY932" s="166">
        <v>0</v>
      </c>
      <c r="AZ932" s="166">
        <v>0</v>
      </c>
      <c r="BA932" s="166">
        <v>0</v>
      </c>
      <c r="BB932" s="166">
        <v>0</v>
      </c>
      <c r="BC932" s="166">
        <v>0</v>
      </c>
      <c r="BD932" s="166">
        <v>0</v>
      </c>
      <c r="BE932" s="166">
        <v>0</v>
      </c>
      <c r="BF932" s="166">
        <v>0</v>
      </c>
      <c r="BG932" s="166">
        <v>5</v>
      </c>
      <c r="BH932" s="166">
        <v>0</v>
      </c>
      <c r="BI932" s="166">
        <v>0</v>
      </c>
      <c r="BJ932" s="166">
        <v>0</v>
      </c>
      <c r="BK932" s="166">
        <v>0</v>
      </c>
      <c r="BL932" s="166">
        <v>0</v>
      </c>
      <c r="BM932" s="166">
        <v>0</v>
      </c>
      <c r="BN932" s="166">
        <v>0</v>
      </c>
      <c r="BO932" s="166">
        <v>0</v>
      </c>
      <c r="BP932" s="166">
        <v>0</v>
      </c>
      <c r="BQ932" s="81" t="s">
        <v>1757</v>
      </c>
      <c r="BZ932" s="81" t="s">
        <v>155</v>
      </c>
      <c r="CA932" s="81" t="s">
        <v>3936</v>
      </c>
      <c r="CC932" s="167">
        <v>0</v>
      </c>
      <c r="CD932" s="167">
        <v>0</v>
      </c>
      <c r="CE932" s="167">
        <v>0</v>
      </c>
      <c r="CF932" s="167">
        <v>0</v>
      </c>
      <c r="CG932" s="167">
        <v>0</v>
      </c>
      <c r="CH932" s="167">
        <f>N932</f>
        <v>5</v>
      </c>
      <c r="CI932" s="167">
        <v>0</v>
      </c>
      <c r="CJ932" s="167">
        <v>0</v>
      </c>
      <c r="CK932" s="167">
        <v>0</v>
      </c>
      <c r="CL932" s="167">
        <v>0</v>
      </c>
      <c r="CM932" s="167">
        <v>0</v>
      </c>
      <c r="CN932" s="167">
        <v>0</v>
      </c>
      <c r="CO932" s="167">
        <v>0</v>
      </c>
      <c r="CP932" s="167">
        <v>0</v>
      </c>
      <c r="CQ932" s="167">
        <v>0</v>
      </c>
      <c r="CR932" s="167">
        <v>0</v>
      </c>
      <c r="CS932" s="167">
        <v>0</v>
      </c>
      <c r="CT932" s="167">
        <v>0</v>
      </c>
      <c r="CU932" s="167">
        <v>0</v>
      </c>
      <c r="CV932" s="167">
        <v>0</v>
      </c>
      <c r="CW932" s="167">
        <v>0</v>
      </c>
      <c r="CX932" s="167">
        <f>SUM(CD932:CH932)</f>
        <v>5</v>
      </c>
      <c r="CY932" s="167">
        <f>SUM(CD932:CM932)</f>
        <v>5</v>
      </c>
    </row>
    <row r="933" spans="1:103" ht="12.75" customHeight="1" x14ac:dyDescent="0.2">
      <c r="A933" s="81">
        <v>6159</v>
      </c>
      <c r="B933" s="165" t="s">
        <v>1930</v>
      </c>
      <c r="C933" s="165" t="s">
        <v>1164</v>
      </c>
      <c r="E933" s="165" t="s">
        <v>3427</v>
      </c>
      <c r="F933" s="165" t="s">
        <v>1168</v>
      </c>
      <c r="G933" s="81">
        <v>526827</v>
      </c>
      <c r="H933" s="81">
        <v>176609</v>
      </c>
      <c r="I933" s="165" t="s">
        <v>257</v>
      </c>
      <c r="L933" s="166">
        <v>0</v>
      </c>
      <c r="M933" s="166">
        <v>8</v>
      </c>
      <c r="N933" s="166">
        <v>8</v>
      </c>
      <c r="O933" s="166">
        <v>39</v>
      </c>
      <c r="P933" s="166">
        <v>39</v>
      </c>
      <c r="Q933" s="81" t="s">
        <v>155</v>
      </c>
      <c r="R933" s="165" t="s">
        <v>1165</v>
      </c>
      <c r="S933" s="81" t="s">
        <v>104</v>
      </c>
      <c r="T933" s="349">
        <v>42375</v>
      </c>
      <c r="U933" s="349">
        <v>42699</v>
      </c>
      <c r="W933" s="81" t="s">
        <v>114</v>
      </c>
      <c r="Y933" s="81" t="s">
        <v>115</v>
      </c>
      <c r="Z933" s="81" t="s">
        <v>398</v>
      </c>
      <c r="AA933" s="81" t="s">
        <v>116</v>
      </c>
      <c r="AB933" s="81" t="s">
        <v>117</v>
      </c>
      <c r="AC933" s="166">
        <v>3.7999998778104803E-2</v>
      </c>
      <c r="AG933" s="81" t="s">
        <v>238</v>
      </c>
      <c r="AH933" s="81" t="s">
        <v>118</v>
      </c>
      <c r="AK933" s="166">
        <v>0</v>
      </c>
      <c r="AM933" s="166">
        <v>0</v>
      </c>
      <c r="AO933" s="166">
        <v>0</v>
      </c>
      <c r="AP933" s="166">
        <v>2</v>
      </c>
      <c r="AQ933" s="166">
        <v>5</v>
      </c>
      <c r="AR933" s="166">
        <v>1</v>
      </c>
      <c r="AS933" s="166">
        <v>0</v>
      </c>
      <c r="AT933" s="166">
        <v>0</v>
      </c>
      <c r="AU933" s="166">
        <v>0</v>
      </c>
      <c r="AV933" s="166">
        <v>0</v>
      </c>
      <c r="AW933" s="166">
        <v>2</v>
      </c>
      <c r="AX933" s="166">
        <v>5</v>
      </c>
      <c r="AY933" s="166">
        <v>1</v>
      </c>
      <c r="AZ933" s="166">
        <v>0</v>
      </c>
      <c r="BA933" s="166">
        <v>0</v>
      </c>
      <c r="BB933" s="166">
        <v>0</v>
      </c>
      <c r="BC933" s="166">
        <v>0</v>
      </c>
      <c r="BD933" s="166">
        <v>0</v>
      </c>
      <c r="BE933" s="166">
        <v>0</v>
      </c>
      <c r="BF933" s="166">
        <v>0</v>
      </c>
      <c r="BG933" s="166">
        <v>0</v>
      </c>
      <c r="BH933" s="166">
        <v>0</v>
      </c>
      <c r="BI933" s="166">
        <v>0</v>
      </c>
      <c r="BJ933" s="166">
        <v>0</v>
      </c>
      <c r="BK933" s="166">
        <v>0</v>
      </c>
      <c r="BL933" s="166">
        <v>0</v>
      </c>
      <c r="BM933" s="166">
        <v>0</v>
      </c>
      <c r="BN933" s="166">
        <v>0</v>
      </c>
      <c r="BO933" s="166">
        <v>0</v>
      </c>
      <c r="BP933" s="166">
        <v>0</v>
      </c>
      <c r="BQ933" s="81" t="s">
        <v>1757</v>
      </c>
      <c r="BZ933" s="81" t="s">
        <v>155</v>
      </c>
      <c r="CA933" s="81" t="s">
        <v>3936</v>
      </c>
      <c r="CC933" s="167">
        <v>0</v>
      </c>
      <c r="CD933" s="167">
        <v>0</v>
      </c>
      <c r="CE933" s="167">
        <v>0</v>
      </c>
      <c r="CF933" s="167">
        <v>0</v>
      </c>
      <c r="CG933" s="167">
        <v>0</v>
      </c>
      <c r="CH933" s="167">
        <f>N933</f>
        <v>8</v>
      </c>
      <c r="CI933" s="167">
        <v>0</v>
      </c>
      <c r="CJ933" s="167">
        <v>0</v>
      </c>
      <c r="CK933" s="167">
        <v>0</v>
      </c>
      <c r="CL933" s="167">
        <v>0</v>
      </c>
      <c r="CM933" s="167">
        <v>0</v>
      </c>
      <c r="CN933" s="167">
        <v>0</v>
      </c>
      <c r="CO933" s="167">
        <v>0</v>
      </c>
      <c r="CP933" s="167">
        <v>0</v>
      </c>
      <c r="CQ933" s="167">
        <v>0</v>
      </c>
      <c r="CR933" s="167">
        <v>0</v>
      </c>
      <c r="CS933" s="167">
        <v>0</v>
      </c>
      <c r="CT933" s="167">
        <v>0</v>
      </c>
      <c r="CU933" s="167">
        <v>0</v>
      </c>
      <c r="CV933" s="167">
        <v>0</v>
      </c>
      <c r="CW933" s="167">
        <v>0</v>
      </c>
      <c r="CX933" s="167">
        <f>SUM(CD933:CH933)</f>
        <v>8</v>
      </c>
      <c r="CY933" s="167">
        <f>SUM(CD933:CM933)</f>
        <v>8</v>
      </c>
    </row>
    <row r="934" spans="1:103" ht="12.75" customHeight="1" x14ac:dyDescent="0.2">
      <c r="A934" s="81">
        <v>6159</v>
      </c>
      <c r="B934" s="165" t="s">
        <v>1930</v>
      </c>
      <c r="C934" s="165" t="s">
        <v>1164</v>
      </c>
      <c r="E934" s="165" t="s">
        <v>3427</v>
      </c>
      <c r="F934" s="165" t="s">
        <v>1169</v>
      </c>
      <c r="G934" s="81">
        <v>526827</v>
      </c>
      <c r="H934" s="81">
        <v>176609</v>
      </c>
      <c r="I934" s="165" t="s">
        <v>257</v>
      </c>
      <c r="L934" s="166">
        <v>0</v>
      </c>
      <c r="M934" s="166">
        <v>8</v>
      </c>
      <c r="N934" s="166">
        <v>8</v>
      </c>
      <c r="O934" s="166">
        <v>39</v>
      </c>
      <c r="P934" s="166">
        <v>39</v>
      </c>
      <c r="Q934" s="81" t="s">
        <v>155</v>
      </c>
      <c r="R934" s="165" t="s">
        <v>1165</v>
      </c>
      <c r="S934" s="81" t="s">
        <v>104</v>
      </c>
      <c r="T934" s="349">
        <v>42375</v>
      </c>
      <c r="U934" s="349">
        <v>42699</v>
      </c>
      <c r="W934" s="81" t="s">
        <v>114</v>
      </c>
      <c r="Y934" s="81" t="s">
        <v>115</v>
      </c>
      <c r="Z934" s="81" t="s">
        <v>398</v>
      </c>
      <c r="AA934" s="81" t="s">
        <v>116</v>
      </c>
      <c r="AB934" s="81" t="s">
        <v>117</v>
      </c>
      <c r="AC934" s="166">
        <v>3.9000000804662698E-2</v>
      </c>
      <c r="AG934" s="81" t="s">
        <v>238</v>
      </c>
      <c r="AH934" s="81" t="s">
        <v>118</v>
      </c>
      <c r="AK934" s="166">
        <v>8</v>
      </c>
      <c r="AM934" s="166">
        <v>0</v>
      </c>
      <c r="AO934" s="166">
        <v>0</v>
      </c>
      <c r="AP934" s="166">
        <v>2</v>
      </c>
      <c r="AQ934" s="166">
        <v>4</v>
      </c>
      <c r="AR934" s="166">
        <v>2</v>
      </c>
      <c r="AS934" s="166">
        <v>0</v>
      </c>
      <c r="AT934" s="166">
        <v>0</v>
      </c>
      <c r="AU934" s="166">
        <v>0</v>
      </c>
      <c r="AV934" s="166">
        <v>0</v>
      </c>
      <c r="AW934" s="166">
        <v>2</v>
      </c>
      <c r="AX934" s="166">
        <v>4</v>
      </c>
      <c r="AY934" s="166">
        <v>2</v>
      </c>
      <c r="AZ934" s="166">
        <v>0</v>
      </c>
      <c r="BA934" s="166">
        <v>0</v>
      </c>
      <c r="BB934" s="166">
        <v>0</v>
      </c>
      <c r="BC934" s="166">
        <v>0</v>
      </c>
      <c r="BD934" s="166">
        <v>0</v>
      </c>
      <c r="BE934" s="166">
        <v>0</v>
      </c>
      <c r="BF934" s="166">
        <v>0</v>
      </c>
      <c r="BG934" s="166">
        <v>0</v>
      </c>
      <c r="BH934" s="166">
        <v>0</v>
      </c>
      <c r="BI934" s="166">
        <v>0</v>
      </c>
      <c r="BJ934" s="166">
        <v>0</v>
      </c>
      <c r="BK934" s="166">
        <v>0</v>
      </c>
      <c r="BL934" s="166">
        <v>0</v>
      </c>
      <c r="BM934" s="166">
        <v>0</v>
      </c>
      <c r="BN934" s="166">
        <v>0</v>
      </c>
      <c r="BO934" s="166">
        <v>0</v>
      </c>
      <c r="BP934" s="166">
        <v>0</v>
      </c>
      <c r="BQ934" s="81" t="s">
        <v>1757</v>
      </c>
      <c r="BZ934" s="81" t="s">
        <v>155</v>
      </c>
      <c r="CA934" s="81" t="s">
        <v>3936</v>
      </c>
      <c r="CC934" s="167">
        <v>0</v>
      </c>
      <c r="CD934" s="167">
        <v>0</v>
      </c>
      <c r="CE934" s="167">
        <v>0</v>
      </c>
      <c r="CF934" s="167">
        <v>0</v>
      </c>
      <c r="CG934" s="167">
        <v>0</v>
      </c>
      <c r="CH934" s="167">
        <f>N934</f>
        <v>8</v>
      </c>
      <c r="CI934" s="167">
        <v>0</v>
      </c>
      <c r="CJ934" s="167">
        <v>0</v>
      </c>
      <c r="CK934" s="167">
        <v>0</v>
      </c>
      <c r="CL934" s="167">
        <v>0</v>
      </c>
      <c r="CM934" s="167">
        <v>0</v>
      </c>
      <c r="CN934" s="167">
        <v>0</v>
      </c>
      <c r="CO934" s="167">
        <v>0</v>
      </c>
      <c r="CP934" s="167">
        <v>0</v>
      </c>
      <c r="CQ934" s="167">
        <v>0</v>
      </c>
      <c r="CR934" s="167">
        <v>0</v>
      </c>
      <c r="CS934" s="167">
        <v>0</v>
      </c>
      <c r="CT934" s="167">
        <v>0</v>
      </c>
      <c r="CU934" s="167">
        <v>0</v>
      </c>
      <c r="CV934" s="167">
        <v>0</v>
      </c>
      <c r="CW934" s="167">
        <v>0</v>
      </c>
      <c r="CX934" s="167">
        <f>SUM(CD934:CH934)</f>
        <v>8</v>
      </c>
      <c r="CY934" s="167">
        <f>SUM(CD934:CM934)</f>
        <v>8</v>
      </c>
    </row>
    <row r="935" spans="1:103" ht="12.75" customHeight="1" x14ac:dyDescent="0.2">
      <c r="A935" s="81">
        <v>6161</v>
      </c>
      <c r="B935" s="165" t="s">
        <v>1930</v>
      </c>
      <c r="C935" s="165" t="s">
        <v>792</v>
      </c>
      <c r="E935" s="165" t="s">
        <v>2672</v>
      </c>
      <c r="G935" s="81">
        <v>524221</v>
      </c>
      <c r="H935" s="81">
        <v>173791</v>
      </c>
      <c r="I935" s="165" t="s">
        <v>111</v>
      </c>
      <c r="L935" s="166">
        <v>1</v>
      </c>
      <c r="M935" s="166">
        <v>2</v>
      </c>
      <c r="N935" s="166">
        <v>1</v>
      </c>
      <c r="O935" s="166">
        <v>2</v>
      </c>
      <c r="P935" s="166">
        <v>1</v>
      </c>
      <c r="R935" s="165" t="s">
        <v>793</v>
      </c>
      <c r="S935" s="81" t="s">
        <v>113</v>
      </c>
      <c r="T935" s="349">
        <v>42375</v>
      </c>
      <c r="U935" s="349">
        <v>42600</v>
      </c>
      <c r="W935" s="81" t="s">
        <v>114</v>
      </c>
      <c r="Y935" s="81" t="s">
        <v>115</v>
      </c>
      <c r="Z935" s="81" t="s">
        <v>119</v>
      </c>
      <c r="AA935" s="81" t="s">
        <v>117</v>
      </c>
      <c r="AB935" s="81" t="s">
        <v>120</v>
      </c>
      <c r="AC935" s="166">
        <v>4.6999998390674598E-2</v>
      </c>
      <c r="AG935" s="81" t="s">
        <v>238</v>
      </c>
      <c r="AH935" s="81" t="s">
        <v>118</v>
      </c>
      <c r="AK935" s="166">
        <v>0</v>
      </c>
      <c r="AM935" s="166">
        <v>0</v>
      </c>
      <c r="AO935" s="166">
        <v>0</v>
      </c>
      <c r="AP935" s="166">
        <v>1</v>
      </c>
      <c r="AQ935" s="166">
        <v>0</v>
      </c>
      <c r="AR935" s="166">
        <v>0</v>
      </c>
      <c r="AS935" s="166">
        <v>0</v>
      </c>
      <c r="AT935" s="166">
        <v>0</v>
      </c>
      <c r="AU935" s="166">
        <v>0</v>
      </c>
      <c r="AV935" s="166">
        <v>0</v>
      </c>
      <c r="AW935" s="166">
        <v>1</v>
      </c>
      <c r="AX935" s="166">
        <v>0</v>
      </c>
      <c r="AY935" s="166">
        <v>0</v>
      </c>
      <c r="AZ935" s="166">
        <v>0</v>
      </c>
      <c r="BA935" s="166">
        <v>1</v>
      </c>
      <c r="BB935" s="166">
        <v>0</v>
      </c>
      <c r="BC935" s="166">
        <v>0</v>
      </c>
      <c r="BD935" s="166">
        <v>0</v>
      </c>
      <c r="BE935" s="166">
        <v>0</v>
      </c>
      <c r="BF935" s="166">
        <v>0</v>
      </c>
      <c r="BG935" s="166">
        <v>0</v>
      </c>
      <c r="BH935" s="166">
        <v>-1</v>
      </c>
      <c r="BI935" s="166">
        <v>0</v>
      </c>
      <c r="BJ935" s="166">
        <v>0</v>
      </c>
      <c r="BK935" s="166">
        <v>0</v>
      </c>
      <c r="BL935" s="166">
        <v>0</v>
      </c>
      <c r="BM935" s="166">
        <v>0</v>
      </c>
      <c r="BN935" s="166">
        <v>0</v>
      </c>
      <c r="BO935" s="166">
        <v>0</v>
      </c>
      <c r="BP935" s="166">
        <v>0</v>
      </c>
      <c r="BQ935" s="81" t="s">
        <v>1758</v>
      </c>
      <c r="BZ935" s="81" t="s">
        <v>155</v>
      </c>
      <c r="CA935" s="81" t="s">
        <v>1937</v>
      </c>
      <c r="CC935" s="167">
        <v>0</v>
      </c>
      <c r="CD935" s="167">
        <f>$N935/4</f>
        <v>0.25</v>
      </c>
      <c r="CE935" s="167">
        <f>$N935/4</f>
        <v>0.25</v>
      </c>
      <c r="CF935" s="167">
        <f>$N935/4</f>
        <v>0.25</v>
      </c>
      <c r="CG935" s="167">
        <f>$N935/4</f>
        <v>0.25</v>
      </c>
      <c r="CH935" s="167">
        <v>0</v>
      </c>
      <c r="CI935" s="167">
        <v>0</v>
      </c>
      <c r="CJ935" s="167">
        <v>0</v>
      </c>
      <c r="CK935" s="167">
        <v>0</v>
      </c>
      <c r="CL935" s="167">
        <v>0</v>
      </c>
      <c r="CM935" s="167">
        <v>0</v>
      </c>
      <c r="CN935" s="167">
        <v>0</v>
      </c>
      <c r="CO935" s="167">
        <v>0</v>
      </c>
      <c r="CP935" s="167">
        <v>0</v>
      </c>
      <c r="CQ935" s="167">
        <v>0</v>
      </c>
      <c r="CR935" s="167">
        <v>0</v>
      </c>
      <c r="CS935" s="167">
        <v>0</v>
      </c>
      <c r="CT935" s="167">
        <v>0</v>
      </c>
      <c r="CU935" s="167">
        <v>0</v>
      </c>
      <c r="CV935" s="167">
        <v>0</v>
      </c>
      <c r="CW935" s="167">
        <v>0</v>
      </c>
      <c r="CX935" s="167">
        <f>SUM(CD935:CH935)</f>
        <v>1</v>
      </c>
      <c r="CY935" s="167">
        <f>SUM(CD935:CM935)</f>
        <v>1</v>
      </c>
    </row>
    <row r="936" spans="1:103" ht="12.75" customHeight="1" x14ac:dyDescent="0.2">
      <c r="A936" s="81">
        <v>6168</v>
      </c>
      <c r="B936" s="165" t="s">
        <v>1930</v>
      </c>
      <c r="C936" s="165" t="s">
        <v>1276</v>
      </c>
      <c r="E936" s="165" t="s">
        <v>2673</v>
      </c>
      <c r="G936" s="81">
        <v>524806</v>
      </c>
      <c r="H936" s="81">
        <v>174483</v>
      </c>
      <c r="I936" s="165" t="s">
        <v>250</v>
      </c>
      <c r="L936" s="166">
        <v>1</v>
      </c>
      <c r="M936" s="166">
        <v>2</v>
      </c>
      <c r="N936" s="166">
        <v>1</v>
      </c>
      <c r="O936" s="166">
        <v>2</v>
      </c>
      <c r="P936" s="166">
        <v>1</v>
      </c>
      <c r="R936" s="165" t="s">
        <v>1277</v>
      </c>
      <c r="S936" s="81" t="s">
        <v>113</v>
      </c>
      <c r="T936" s="349">
        <v>42534</v>
      </c>
      <c r="U936" s="349">
        <v>42607</v>
      </c>
      <c r="W936" s="81" t="s">
        <v>114</v>
      </c>
      <c r="Y936" s="81" t="s">
        <v>115</v>
      </c>
      <c r="Z936" s="81" t="s">
        <v>116</v>
      </c>
      <c r="AA936" s="81" t="s">
        <v>117</v>
      </c>
      <c r="AB936" s="81" t="s">
        <v>218</v>
      </c>
      <c r="AC936" s="166">
        <v>4.1000001132488299E-2</v>
      </c>
      <c r="AG936" s="81" t="s">
        <v>238</v>
      </c>
      <c r="AH936" s="81" t="s">
        <v>118</v>
      </c>
      <c r="AK936" s="166">
        <v>0</v>
      </c>
      <c r="AM936" s="166">
        <v>0</v>
      </c>
      <c r="AO936" s="166">
        <v>0</v>
      </c>
      <c r="AP936" s="166">
        <v>0</v>
      </c>
      <c r="AQ936" s="166">
        <v>0</v>
      </c>
      <c r="AR936" s="166">
        <v>0</v>
      </c>
      <c r="AS936" s="166">
        <v>1</v>
      </c>
      <c r="AT936" s="166">
        <v>0</v>
      </c>
      <c r="AU936" s="166">
        <v>0</v>
      </c>
      <c r="AV936" s="166">
        <v>0</v>
      </c>
      <c r="AW936" s="166">
        <v>0</v>
      </c>
      <c r="AX936" s="166">
        <v>0</v>
      </c>
      <c r="AY936" s="166">
        <v>0</v>
      </c>
      <c r="AZ936" s="166">
        <v>0</v>
      </c>
      <c r="BA936" s="166">
        <v>0</v>
      </c>
      <c r="BB936" s="166">
        <v>0</v>
      </c>
      <c r="BC936" s="166">
        <v>0</v>
      </c>
      <c r="BD936" s="166">
        <v>0</v>
      </c>
      <c r="BE936" s="166">
        <v>0</v>
      </c>
      <c r="BF936" s="166">
        <v>0</v>
      </c>
      <c r="BG936" s="166">
        <v>1</v>
      </c>
      <c r="BH936" s="166">
        <v>0</v>
      </c>
      <c r="BI936" s="166">
        <v>0</v>
      </c>
      <c r="BJ936" s="166">
        <v>0</v>
      </c>
      <c r="BK936" s="166">
        <v>0</v>
      </c>
      <c r="BL936" s="166">
        <v>0</v>
      </c>
      <c r="BM936" s="166">
        <v>0</v>
      </c>
      <c r="BN936" s="166">
        <v>0</v>
      </c>
      <c r="BO936" s="166">
        <v>0</v>
      </c>
      <c r="BP936" s="166">
        <v>0</v>
      </c>
      <c r="BQ936" s="81" t="s">
        <v>1758</v>
      </c>
      <c r="BZ936" s="81" t="s">
        <v>155</v>
      </c>
      <c r="CA936" s="81">
        <v>4</v>
      </c>
      <c r="CC936" s="167">
        <v>0</v>
      </c>
      <c r="CD936" s="167">
        <v>0</v>
      </c>
      <c r="CE936" s="167">
        <f>$N936/5</f>
        <v>0.2</v>
      </c>
      <c r="CF936" s="167">
        <f>$N936/5</f>
        <v>0.2</v>
      </c>
      <c r="CG936" s="167">
        <f>$N936/5</f>
        <v>0.2</v>
      </c>
      <c r="CH936" s="167">
        <f>$N936/5</f>
        <v>0.2</v>
      </c>
      <c r="CI936" s="167">
        <f>$N936/5</f>
        <v>0.2</v>
      </c>
      <c r="CJ936" s="167">
        <v>0</v>
      </c>
      <c r="CK936" s="167">
        <v>0</v>
      </c>
      <c r="CL936" s="167">
        <v>0</v>
      </c>
      <c r="CM936" s="167">
        <v>0</v>
      </c>
      <c r="CN936" s="167">
        <v>0</v>
      </c>
      <c r="CO936" s="167">
        <v>0</v>
      </c>
      <c r="CP936" s="167">
        <v>0</v>
      </c>
      <c r="CQ936" s="167">
        <v>0</v>
      </c>
      <c r="CR936" s="167">
        <v>0</v>
      </c>
      <c r="CS936" s="167">
        <v>0</v>
      </c>
      <c r="CT936" s="167">
        <v>0</v>
      </c>
      <c r="CU936" s="167">
        <v>0</v>
      </c>
      <c r="CV936" s="167">
        <v>0</v>
      </c>
      <c r="CW936" s="167">
        <v>0</v>
      </c>
      <c r="CX936" s="167">
        <f>SUM(CD936:CH936)</f>
        <v>0.8</v>
      </c>
      <c r="CY936" s="167">
        <f>SUM(CD936:CM936)</f>
        <v>1</v>
      </c>
    </row>
    <row r="937" spans="1:103" ht="12.75" customHeight="1" x14ac:dyDescent="0.2">
      <c r="A937" s="81">
        <v>6171</v>
      </c>
      <c r="B937" s="165" t="s">
        <v>1930</v>
      </c>
      <c r="C937" s="165" t="s">
        <v>1627</v>
      </c>
      <c r="E937" s="165" t="s">
        <v>2674</v>
      </c>
      <c r="G937" s="81">
        <v>529103</v>
      </c>
      <c r="H937" s="81">
        <v>171425</v>
      </c>
      <c r="I937" s="165" t="s">
        <v>252</v>
      </c>
      <c r="L937" s="166">
        <v>2</v>
      </c>
      <c r="M937" s="166">
        <v>3</v>
      </c>
      <c r="N937" s="166">
        <v>1</v>
      </c>
      <c r="O937" s="166">
        <v>3</v>
      </c>
      <c r="P937" s="166">
        <v>1</v>
      </c>
      <c r="R937" s="165" t="s">
        <v>1628</v>
      </c>
      <c r="S937" s="81" t="s">
        <v>113</v>
      </c>
      <c r="T937" s="349">
        <v>42790</v>
      </c>
      <c r="U937" s="349">
        <v>42846</v>
      </c>
      <c r="V937" s="81" t="s">
        <v>155</v>
      </c>
      <c r="W937" s="81" t="s">
        <v>114</v>
      </c>
      <c r="Y937" s="81" t="s">
        <v>115</v>
      </c>
      <c r="Z937" s="81" t="s">
        <v>398</v>
      </c>
      <c r="AA937" s="81" t="s">
        <v>117</v>
      </c>
      <c r="AB937" s="81" t="s">
        <v>220</v>
      </c>
      <c r="AC937" s="166">
        <v>2.5000000372528999E-2</v>
      </c>
      <c r="AG937" s="81" t="s">
        <v>238</v>
      </c>
      <c r="AH937" s="81" t="s">
        <v>118</v>
      </c>
      <c r="AK937" s="166">
        <v>0</v>
      </c>
      <c r="AM937" s="166">
        <v>0</v>
      </c>
      <c r="AO937" s="166">
        <v>1</v>
      </c>
      <c r="AP937" s="166">
        <v>0</v>
      </c>
      <c r="AQ937" s="166">
        <v>0</v>
      </c>
      <c r="AR937" s="166">
        <v>0</v>
      </c>
      <c r="AS937" s="166">
        <v>0</v>
      </c>
      <c r="AT937" s="166">
        <v>0</v>
      </c>
      <c r="AU937" s="166">
        <v>0</v>
      </c>
      <c r="AV937" s="166">
        <v>1</v>
      </c>
      <c r="AW937" s="166">
        <v>0</v>
      </c>
      <c r="AX937" s="166">
        <v>0</v>
      </c>
      <c r="AY937" s="166">
        <v>0</v>
      </c>
      <c r="AZ937" s="166">
        <v>0</v>
      </c>
      <c r="BA937" s="166">
        <v>0</v>
      </c>
      <c r="BB937" s="166">
        <v>0</v>
      </c>
      <c r="BC937" s="166">
        <v>0</v>
      </c>
      <c r="BD937" s="166">
        <v>0</v>
      </c>
      <c r="BE937" s="166">
        <v>0</v>
      </c>
      <c r="BF937" s="166">
        <v>0</v>
      </c>
      <c r="BG937" s="166">
        <v>0</v>
      </c>
      <c r="BH937" s="166">
        <v>0</v>
      </c>
      <c r="BI937" s="166">
        <v>0</v>
      </c>
      <c r="BJ937" s="166">
        <v>0</v>
      </c>
      <c r="BK937" s="166">
        <v>0</v>
      </c>
      <c r="BL937" s="166">
        <v>0</v>
      </c>
      <c r="BM937" s="166">
        <v>0</v>
      </c>
      <c r="BN937" s="166">
        <v>0</v>
      </c>
      <c r="BO937" s="166">
        <v>0</v>
      </c>
      <c r="BP937" s="166">
        <v>0</v>
      </c>
      <c r="BQ937" s="81" t="s">
        <v>1757</v>
      </c>
      <c r="BZ937" s="81" t="s">
        <v>155</v>
      </c>
      <c r="CA937" s="81" t="s">
        <v>1937</v>
      </c>
      <c r="CC937" s="167">
        <v>0</v>
      </c>
      <c r="CD937" s="167">
        <f>$N937/4</f>
        <v>0.25</v>
      </c>
      <c r="CE937" s="167">
        <f>$N937/4</f>
        <v>0.25</v>
      </c>
      <c r="CF937" s="167">
        <f>$N937/4</f>
        <v>0.25</v>
      </c>
      <c r="CG937" s="167">
        <f>$N937/4</f>
        <v>0.25</v>
      </c>
      <c r="CH937" s="167">
        <v>0</v>
      </c>
      <c r="CI937" s="167">
        <v>0</v>
      </c>
      <c r="CJ937" s="167">
        <v>0</v>
      </c>
      <c r="CK937" s="167">
        <v>0</v>
      </c>
      <c r="CL937" s="167">
        <v>0</v>
      </c>
      <c r="CM937" s="167">
        <v>0</v>
      </c>
      <c r="CN937" s="167">
        <v>0</v>
      </c>
      <c r="CO937" s="167">
        <v>0</v>
      </c>
      <c r="CP937" s="167">
        <v>0</v>
      </c>
      <c r="CQ937" s="167">
        <v>0</v>
      </c>
      <c r="CR937" s="167">
        <v>0</v>
      </c>
      <c r="CS937" s="167">
        <v>0</v>
      </c>
      <c r="CT937" s="167">
        <v>0</v>
      </c>
      <c r="CU937" s="167">
        <v>0</v>
      </c>
      <c r="CV937" s="167">
        <v>0</v>
      </c>
      <c r="CW937" s="167">
        <v>0</v>
      </c>
      <c r="CX937" s="167">
        <f>SUM(CD937:CH937)</f>
        <v>1</v>
      </c>
      <c r="CY937" s="167">
        <f>SUM(CD937:CM937)</f>
        <v>1</v>
      </c>
    </row>
    <row r="938" spans="1:103" ht="12.75" customHeight="1" x14ac:dyDescent="0.2">
      <c r="A938" s="81">
        <v>6176</v>
      </c>
      <c r="B938" s="165" t="s">
        <v>1930</v>
      </c>
      <c r="C938" s="165" t="s">
        <v>803</v>
      </c>
      <c r="E938" s="165" t="s">
        <v>2675</v>
      </c>
      <c r="G938" s="81">
        <v>527289</v>
      </c>
      <c r="H938" s="81">
        <v>175257</v>
      </c>
      <c r="I938" s="165" t="s">
        <v>255</v>
      </c>
      <c r="L938" s="166">
        <v>1</v>
      </c>
      <c r="M938" s="166">
        <v>3</v>
      </c>
      <c r="N938" s="166">
        <v>2</v>
      </c>
      <c r="O938" s="166">
        <v>3</v>
      </c>
      <c r="P938" s="166">
        <v>2</v>
      </c>
      <c r="R938" s="165" t="s">
        <v>1173</v>
      </c>
      <c r="S938" s="81" t="s">
        <v>113</v>
      </c>
      <c r="T938" s="349">
        <v>42395</v>
      </c>
      <c r="U938" s="349">
        <v>42570</v>
      </c>
      <c r="W938" s="81" t="s">
        <v>114</v>
      </c>
      <c r="Y938" s="81" t="s">
        <v>115</v>
      </c>
      <c r="Z938" s="81" t="s">
        <v>398</v>
      </c>
      <c r="AA938" s="81" t="s">
        <v>117</v>
      </c>
      <c r="AB938" s="81" t="s">
        <v>120</v>
      </c>
      <c r="AC938" s="166">
        <v>1.30000002682209E-2</v>
      </c>
      <c r="AG938" s="81" t="s">
        <v>238</v>
      </c>
      <c r="AH938" s="81" t="s">
        <v>118</v>
      </c>
      <c r="AK938" s="166">
        <v>0</v>
      </c>
      <c r="AM938" s="166">
        <v>0</v>
      </c>
      <c r="AO938" s="166">
        <v>0</v>
      </c>
      <c r="AP938" s="166">
        <v>1</v>
      </c>
      <c r="AQ938" s="166">
        <v>0</v>
      </c>
      <c r="AR938" s="166">
        <v>2</v>
      </c>
      <c r="AS938" s="166">
        <v>0</v>
      </c>
      <c r="AT938" s="166">
        <v>-1</v>
      </c>
      <c r="AU938" s="166">
        <v>0</v>
      </c>
      <c r="AV938" s="166">
        <v>0</v>
      </c>
      <c r="AW938" s="166">
        <v>1</v>
      </c>
      <c r="AX938" s="166">
        <v>0</v>
      </c>
      <c r="AY938" s="166">
        <v>2</v>
      </c>
      <c r="AZ938" s="166">
        <v>0</v>
      </c>
      <c r="BA938" s="166">
        <v>0</v>
      </c>
      <c r="BB938" s="166">
        <v>0</v>
      </c>
      <c r="BC938" s="166">
        <v>0</v>
      </c>
      <c r="BD938" s="166">
        <v>0</v>
      </c>
      <c r="BE938" s="166">
        <v>0</v>
      </c>
      <c r="BF938" s="166">
        <v>0</v>
      </c>
      <c r="BG938" s="166">
        <v>0</v>
      </c>
      <c r="BH938" s="166">
        <v>-1</v>
      </c>
      <c r="BI938" s="166">
        <v>0</v>
      </c>
      <c r="BJ938" s="166">
        <v>0</v>
      </c>
      <c r="BK938" s="166">
        <v>0</v>
      </c>
      <c r="BL938" s="166">
        <v>0</v>
      </c>
      <c r="BM938" s="166">
        <v>0</v>
      </c>
      <c r="BN938" s="166">
        <v>0</v>
      </c>
      <c r="BO938" s="166">
        <v>0</v>
      </c>
      <c r="BP938" s="166">
        <v>0</v>
      </c>
      <c r="BQ938" s="81" t="s">
        <v>1757</v>
      </c>
      <c r="BZ938" s="81" t="s">
        <v>155</v>
      </c>
      <c r="CA938" s="81" t="s">
        <v>1937</v>
      </c>
      <c r="CC938" s="167">
        <v>0</v>
      </c>
      <c r="CD938" s="167">
        <f>$N938/4</f>
        <v>0.5</v>
      </c>
      <c r="CE938" s="167">
        <f>$N938/4</f>
        <v>0.5</v>
      </c>
      <c r="CF938" s="167">
        <f>$N938/4</f>
        <v>0.5</v>
      </c>
      <c r="CG938" s="167">
        <f>$N938/4</f>
        <v>0.5</v>
      </c>
      <c r="CH938" s="167">
        <v>0</v>
      </c>
      <c r="CI938" s="167">
        <v>0</v>
      </c>
      <c r="CJ938" s="167">
        <v>0</v>
      </c>
      <c r="CK938" s="167">
        <v>0</v>
      </c>
      <c r="CL938" s="167">
        <v>0</v>
      </c>
      <c r="CM938" s="167">
        <v>0</v>
      </c>
      <c r="CN938" s="167">
        <v>0</v>
      </c>
      <c r="CO938" s="167">
        <v>0</v>
      </c>
      <c r="CP938" s="167">
        <v>0</v>
      </c>
      <c r="CQ938" s="167">
        <v>0</v>
      </c>
      <c r="CR938" s="167">
        <v>0</v>
      </c>
      <c r="CS938" s="167">
        <v>0</v>
      </c>
      <c r="CT938" s="167">
        <v>0</v>
      </c>
      <c r="CU938" s="167">
        <v>0</v>
      </c>
      <c r="CV938" s="167">
        <v>0</v>
      </c>
      <c r="CW938" s="167">
        <v>0</v>
      </c>
      <c r="CX938" s="167">
        <f>SUM(CD938:CH938)</f>
        <v>2</v>
      </c>
      <c r="CY938" s="167">
        <f>SUM(CD938:CM938)</f>
        <v>2</v>
      </c>
    </row>
    <row r="939" spans="1:103" ht="12.75" customHeight="1" x14ac:dyDescent="0.2">
      <c r="A939" s="81">
        <v>6177</v>
      </c>
      <c r="B939" s="165" t="s">
        <v>1930</v>
      </c>
      <c r="C939" s="165" t="s">
        <v>2676</v>
      </c>
      <c r="E939" s="165" t="s">
        <v>2677</v>
      </c>
      <c r="G939" s="81">
        <v>528158</v>
      </c>
      <c r="H939" s="81">
        <v>176681</v>
      </c>
      <c r="I939" s="165" t="s">
        <v>240</v>
      </c>
      <c r="L939" s="166">
        <v>1</v>
      </c>
      <c r="M939" s="166">
        <v>2</v>
      </c>
      <c r="N939" s="166">
        <v>1</v>
      </c>
      <c r="O939" s="166">
        <v>2</v>
      </c>
      <c r="P939" s="166">
        <v>1</v>
      </c>
      <c r="R939" s="165" t="s">
        <v>2678</v>
      </c>
      <c r="S939" s="81" t="s">
        <v>113</v>
      </c>
      <c r="T939" s="349">
        <v>43126</v>
      </c>
      <c r="U939" s="349">
        <v>43182</v>
      </c>
      <c r="V939" s="81" t="s">
        <v>155</v>
      </c>
      <c r="W939" s="81" t="s">
        <v>114</v>
      </c>
      <c r="Y939" s="81" t="s">
        <v>115</v>
      </c>
      <c r="Z939" s="81" t="s">
        <v>119</v>
      </c>
      <c r="AA939" s="81" t="s">
        <v>117</v>
      </c>
      <c r="AB939" s="81" t="s">
        <v>220</v>
      </c>
      <c r="AC939" s="166">
        <v>1.30000002682209E-2</v>
      </c>
      <c r="AG939" s="81" t="s">
        <v>238</v>
      </c>
      <c r="AH939" s="81" t="s">
        <v>118</v>
      </c>
      <c r="AK939" s="166">
        <v>0</v>
      </c>
      <c r="AM939" s="166">
        <v>0</v>
      </c>
      <c r="AO939" s="166">
        <v>0</v>
      </c>
      <c r="AP939" s="166">
        <v>0</v>
      </c>
      <c r="AQ939" s="166">
        <v>1</v>
      </c>
      <c r="AR939" s="166">
        <v>0</v>
      </c>
      <c r="AS939" s="166">
        <v>0</v>
      </c>
      <c r="AT939" s="166">
        <v>0</v>
      </c>
      <c r="AU939" s="166">
        <v>0</v>
      </c>
      <c r="AV939" s="166">
        <v>0</v>
      </c>
      <c r="AW939" s="166">
        <v>0</v>
      </c>
      <c r="AX939" s="166">
        <v>1</v>
      </c>
      <c r="AY939" s="166">
        <v>0</v>
      </c>
      <c r="AZ939" s="166">
        <v>0</v>
      </c>
      <c r="BA939" s="166">
        <v>0</v>
      </c>
      <c r="BB939" s="166">
        <v>0</v>
      </c>
      <c r="BC939" s="166">
        <v>0</v>
      </c>
      <c r="BD939" s="166">
        <v>0</v>
      </c>
      <c r="BE939" s="166">
        <v>0</v>
      </c>
      <c r="BF939" s="166">
        <v>0</v>
      </c>
      <c r="BG939" s="166">
        <v>0</v>
      </c>
      <c r="BH939" s="166">
        <v>0</v>
      </c>
      <c r="BI939" s="166">
        <v>0</v>
      </c>
      <c r="BJ939" s="166">
        <v>0</v>
      </c>
      <c r="BK939" s="166">
        <v>0</v>
      </c>
      <c r="BL939" s="166">
        <v>0</v>
      </c>
      <c r="BM939" s="166">
        <v>0</v>
      </c>
      <c r="BN939" s="166">
        <v>0</v>
      </c>
      <c r="BO939" s="166">
        <v>0</v>
      </c>
      <c r="BP939" s="166">
        <v>0</v>
      </c>
      <c r="BQ939" s="81" t="s">
        <v>1757</v>
      </c>
      <c r="BZ939" s="81" t="s">
        <v>155</v>
      </c>
      <c r="CA939" s="81" t="s">
        <v>1937</v>
      </c>
      <c r="CC939" s="167">
        <v>0</v>
      </c>
      <c r="CD939" s="167">
        <f>$N939/4</f>
        <v>0.25</v>
      </c>
      <c r="CE939" s="167">
        <f>$N939/4</f>
        <v>0.25</v>
      </c>
      <c r="CF939" s="167">
        <f>$N939/4</f>
        <v>0.25</v>
      </c>
      <c r="CG939" s="167">
        <f>$N939/4</f>
        <v>0.25</v>
      </c>
      <c r="CH939" s="167">
        <v>0</v>
      </c>
      <c r="CI939" s="167">
        <v>0</v>
      </c>
      <c r="CJ939" s="167">
        <v>0</v>
      </c>
      <c r="CK939" s="167">
        <v>0</v>
      </c>
      <c r="CL939" s="167">
        <v>0</v>
      </c>
      <c r="CM939" s="167">
        <v>0</v>
      </c>
      <c r="CN939" s="167">
        <v>0</v>
      </c>
      <c r="CO939" s="167">
        <v>0</v>
      </c>
      <c r="CP939" s="167">
        <v>0</v>
      </c>
      <c r="CQ939" s="167">
        <v>0</v>
      </c>
      <c r="CR939" s="167">
        <v>0</v>
      </c>
      <c r="CS939" s="167">
        <v>0</v>
      </c>
      <c r="CT939" s="167">
        <v>0</v>
      </c>
      <c r="CU939" s="167">
        <v>0</v>
      </c>
      <c r="CV939" s="167">
        <v>0</v>
      </c>
      <c r="CW939" s="167">
        <v>0</v>
      </c>
      <c r="CX939" s="167">
        <f>SUM(CD939:CH939)</f>
        <v>1</v>
      </c>
      <c r="CY939" s="167">
        <f>SUM(CD939:CM939)</f>
        <v>1</v>
      </c>
    </row>
    <row r="940" spans="1:103" ht="12.75" customHeight="1" x14ac:dyDescent="0.2">
      <c r="A940" s="81">
        <v>6180</v>
      </c>
      <c r="B940" s="165" t="s">
        <v>1930</v>
      </c>
      <c r="C940" s="165" t="s">
        <v>798</v>
      </c>
      <c r="E940" s="165" t="s">
        <v>2679</v>
      </c>
      <c r="G940" s="81">
        <v>527804</v>
      </c>
      <c r="H940" s="81">
        <v>172172</v>
      </c>
      <c r="I940" s="165" t="s">
        <v>242</v>
      </c>
      <c r="L940" s="166">
        <v>0</v>
      </c>
      <c r="M940" s="166">
        <v>1</v>
      </c>
      <c r="N940" s="166">
        <v>1</v>
      </c>
      <c r="O940" s="166">
        <v>1</v>
      </c>
      <c r="P940" s="166">
        <v>1</v>
      </c>
      <c r="R940" s="165" t="s">
        <v>799</v>
      </c>
      <c r="S940" s="81" t="s">
        <v>113</v>
      </c>
      <c r="T940" s="349">
        <v>42409</v>
      </c>
      <c r="U940" s="349">
        <v>42535</v>
      </c>
      <c r="W940" s="81" t="s">
        <v>114</v>
      </c>
      <c r="Y940" s="81" t="s">
        <v>115</v>
      </c>
      <c r="Z940" s="81" t="s">
        <v>398</v>
      </c>
      <c r="AA940" s="81" t="s">
        <v>117</v>
      </c>
      <c r="AB940" s="81" t="s">
        <v>102</v>
      </c>
      <c r="AC940" s="166">
        <v>6.0000000521540598E-3</v>
      </c>
      <c r="AG940" s="81" t="s">
        <v>238</v>
      </c>
      <c r="AH940" s="81" t="s">
        <v>118</v>
      </c>
      <c r="AK940" s="166">
        <v>0</v>
      </c>
      <c r="AM940" s="166">
        <v>0</v>
      </c>
      <c r="AO940" s="166">
        <v>0</v>
      </c>
      <c r="AP940" s="166">
        <v>0</v>
      </c>
      <c r="AQ940" s="166">
        <v>1</v>
      </c>
      <c r="AR940" s="166">
        <v>0</v>
      </c>
      <c r="AS940" s="166">
        <v>0</v>
      </c>
      <c r="AT940" s="166">
        <v>0</v>
      </c>
      <c r="AU940" s="166">
        <v>0</v>
      </c>
      <c r="AV940" s="166">
        <v>0</v>
      </c>
      <c r="AW940" s="166">
        <v>0</v>
      </c>
      <c r="AX940" s="166">
        <v>1</v>
      </c>
      <c r="AY940" s="166">
        <v>0</v>
      </c>
      <c r="AZ940" s="166">
        <v>0</v>
      </c>
      <c r="BA940" s="166">
        <v>0</v>
      </c>
      <c r="BB940" s="166">
        <v>0</v>
      </c>
      <c r="BC940" s="166">
        <v>0</v>
      </c>
      <c r="BD940" s="166">
        <v>0</v>
      </c>
      <c r="BE940" s="166">
        <v>0</v>
      </c>
      <c r="BF940" s="166">
        <v>0</v>
      </c>
      <c r="BG940" s="166">
        <v>0</v>
      </c>
      <c r="BH940" s="166">
        <v>0</v>
      </c>
      <c r="BI940" s="166">
        <v>0</v>
      </c>
      <c r="BJ940" s="166">
        <v>0</v>
      </c>
      <c r="BK940" s="166">
        <v>0</v>
      </c>
      <c r="BL940" s="166">
        <v>0</v>
      </c>
      <c r="BM940" s="166">
        <v>0</v>
      </c>
      <c r="BN940" s="166">
        <v>0</v>
      </c>
      <c r="BO940" s="166">
        <v>0</v>
      </c>
      <c r="BP940" s="166">
        <v>0</v>
      </c>
      <c r="BQ940" s="81" t="s">
        <v>1757</v>
      </c>
      <c r="BZ940" s="81" t="s">
        <v>155</v>
      </c>
      <c r="CA940" s="81" t="s">
        <v>1937</v>
      </c>
      <c r="CC940" s="167">
        <v>0</v>
      </c>
      <c r="CD940" s="167">
        <f>$N940/4</f>
        <v>0.25</v>
      </c>
      <c r="CE940" s="167">
        <f>$N940/4</f>
        <v>0.25</v>
      </c>
      <c r="CF940" s="167">
        <f>$N940/4</f>
        <v>0.25</v>
      </c>
      <c r="CG940" s="167">
        <f>$N940/4</f>
        <v>0.25</v>
      </c>
      <c r="CH940" s="167">
        <v>0</v>
      </c>
      <c r="CI940" s="167">
        <v>0</v>
      </c>
      <c r="CJ940" s="167">
        <v>0</v>
      </c>
      <c r="CK940" s="167">
        <v>0</v>
      </c>
      <c r="CL940" s="167">
        <v>0</v>
      </c>
      <c r="CM940" s="167">
        <v>0</v>
      </c>
      <c r="CN940" s="167">
        <v>0</v>
      </c>
      <c r="CO940" s="167">
        <v>0</v>
      </c>
      <c r="CP940" s="167">
        <v>0</v>
      </c>
      <c r="CQ940" s="167">
        <v>0</v>
      </c>
      <c r="CR940" s="167">
        <v>0</v>
      </c>
      <c r="CS940" s="167">
        <v>0</v>
      </c>
      <c r="CT940" s="167">
        <v>0</v>
      </c>
      <c r="CU940" s="167">
        <v>0</v>
      </c>
      <c r="CV940" s="167">
        <v>0</v>
      </c>
      <c r="CW940" s="167">
        <v>0</v>
      </c>
      <c r="CX940" s="167">
        <f>SUM(CD940:CH940)</f>
        <v>1</v>
      </c>
      <c r="CY940" s="167">
        <f>SUM(CD940:CM940)</f>
        <v>1</v>
      </c>
    </row>
    <row r="941" spans="1:103" ht="12.75" customHeight="1" x14ac:dyDescent="0.2">
      <c r="A941" s="81">
        <v>6181</v>
      </c>
      <c r="B941" s="165" t="s">
        <v>1930</v>
      </c>
      <c r="C941" s="165" t="s">
        <v>805</v>
      </c>
      <c r="E941" s="165" t="s">
        <v>2680</v>
      </c>
      <c r="G941" s="81">
        <v>525098</v>
      </c>
      <c r="H941" s="81">
        <v>174605</v>
      </c>
      <c r="I941" s="165" t="s">
        <v>250</v>
      </c>
      <c r="L941" s="166">
        <v>0</v>
      </c>
      <c r="M941" s="166">
        <v>1</v>
      </c>
      <c r="N941" s="166">
        <v>1</v>
      </c>
      <c r="O941" s="166">
        <v>1</v>
      </c>
      <c r="P941" s="166">
        <v>1</v>
      </c>
      <c r="R941" s="165" t="s">
        <v>806</v>
      </c>
      <c r="S941" s="81" t="s">
        <v>113</v>
      </c>
      <c r="T941" s="349">
        <v>42410</v>
      </c>
      <c r="U941" s="349">
        <v>42542</v>
      </c>
      <c r="W941" s="81" t="s">
        <v>114</v>
      </c>
      <c r="Y941" s="81" t="s">
        <v>115</v>
      </c>
      <c r="Z941" s="81" t="s">
        <v>398</v>
      </c>
      <c r="AA941" s="81" t="s">
        <v>117</v>
      </c>
      <c r="AB941" s="81" t="s">
        <v>102</v>
      </c>
      <c r="AC941" s="166">
        <v>4.0000001899898104E-3</v>
      </c>
      <c r="AG941" s="81" t="s">
        <v>238</v>
      </c>
      <c r="AH941" s="81" t="s">
        <v>118</v>
      </c>
      <c r="AK941" s="166">
        <v>0</v>
      </c>
      <c r="AM941" s="166">
        <v>0</v>
      </c>
      <c r="AO941" s="166">
        <v>0</v>
      </c>
      <c r="AP941" s="166">
        <v>0</v>
      </c>
      <c r="AQ941" s="166">
        <v>1</v>
      </c>
      <c r="AR941" s="166">
        <v>0</v>
      </c>
      <c r="AS941" s="166">
        <v>0</v>
      </c>
      <c r="AT941" s="166">
        <v>0</v>
      </c>
      <c r="AU941" s="166">
        <v>0</v>
      </c>
      <c r="AV941" s="166">
        <v>0</v>
      </c>
      <c r="AW941" s="166">
        <v>0</v>
      </c>
      <c r="AX941" s="166">
        <v>1</v>
      </c>
      <c r="AY941" s="166">
        <v>0</v>
      </c>
      <c r="AZ941" s="166">
        <v>0</v>
      </c>
      <c r="BA941" s="166">
        <v>0</v>
      </c>
      <c r="BB941" s="166">
        <v>0</v>
      </c>
      <c r="BC941" s="166">
        <v>0</v>
      </c>
      <c r="BD941" s="166">
        <v>0</v>
      </c>
      <c r="BE941" s="166">
        <v>0</v>
      </c>
      <c r="BF941" s="166">
        <v>0</v>
      </c>
      <c r="BG941" s="166">
        <v>0</v>
      </c>
      <c r="BH941" s="166">
        <v>0</v>
      </c>
      <c r="BI941" s="166">
        <v>0</v>
      </c>
      <c r="BJ941" s="166">
        <v>0</v>
      </c>
      <c r="BK941" s="166">
        <v>0</v>
      </c>
      <c r="BL941" s="166">
        <v>0</v>
      </c>
      <c r="BM941" s="166">
        <v>0</v>
      </c>
      <c r="BN941" s="166">
        <v>0</v>
      </c>
      <c r="BO941" s="166">
        <v>0</v>
      </c>
      <c r="BP941" s="166">
        <v>0</v>
      </c>
      <c r="BQ941" s="81" t="s">
        <v>1758</v>
      </c>
      <c r="BZ941" s="81" t="s">
        <v>155</v>
      </c>
      <c r="CA941" s="81" t="s">
        <v>1937</v>
      </c>
      <c r="CC941" s="167">
        <v>0</v>
      </c>
      <c r="CD941" s="167">
        <f>$N941/4</f>
        <v>0.25</v>
      </c>
      <c r="CE941" s="167">
        <f>$N941/4</f>
        <v>0.25</v>
      </c>
      <c r="CF941" s="167">
        <f>$N941/4</f>
        <v>0.25</v>
      </c>
      <c r="CG941" s="167">
        <f>$N941/4</f>
        <v>0.25</v>
      </c>
      <c r="CH941" s="167">
        <v>0</v>
      </c>
      <c r="CI941" s="167">
        <v>0</v>
      </c>
      <c r="CJ941" s="167">
        <v>0</v>
      </c>
      <c r="CK941" s="167">
        <v>0</v>
      </c>
      <c r="CL941" s="167">
        <v>0</v>
      </c>
      <c r="CM941" s="167">
        <v>0</v>
      </c>
      <c r="CN941" s="167">
        <v>0</v>
      </c>
      <c r="CO941" s="167">
        <v>0</v>
      </c>
      <c r="CP941" s="167">
        <v>0</v>
      </c>
      <c r="CQ941" s="167">
        <v>0</v>
      </c>
      <c r="CR941" s="167">
        <v>0</v>
      </c>
      <c r="CS941" s="167">
        <v>0</v>
      </c>
      <c r="CT941" s="167">
        <v>0</v>
      </c>
      <c r="CU941" s="167">
        <v>0</v>
      </c>
      <c r="CV941" s="167">
        <v>0</v>
      </c>
      <c r="CW941" s="167">
        <v>0</v>
      </c>
      <c r="CX941" s="167">
        <f>SUM(CD941:CH941)</f>
        <v>1</v>
      </c>
      <c r="CY941" s="167">
        <f>SUM(CD941:CM941)</f>
        <v>1</v>
      </c>
    </row>
    <row r="942" spans="1:103" ht="12.75" customHeight="1" x14ac:dyDescent="0.2">
      <c r="A942" s="81">
        <v>6182</v>
      </c>
      <c r="B942" s="165" t="s">
        <v>1930</v>
      </c>
      <c r="C942" s="165" t="s">
        <v>807</v>
      </c>
      <c r="E942" s="165" t="s">
        <v>2681</v>
      </c>
      <c r="G942" s="81">
        <v>525093</v>
      </c>
      <c r="H942" s="81">
        <v>174604</v>
      </c>
      <c r="I942" s="165" t="s">
        <v>250</v>
      </c>
      <c r="L942" s="166">
        <v>0</v>
      </c>
      <c r="M942" s="166">
        <v>1</v>
      </c>
      <c r="N942" s="166">
        <v>1</v>
      </c>
      <c r="O942" s="166">
        <v>1</v>
      </c>
      <c r="P942" s="166">
        <v>1</v>
      </c>
      <c r="R942" s="165" t="s">
        <v>808</v>
      </c>
      <c r="S942" s="81" t="s">
        <v>113</v>
      </c>
      <c r="T942" s="349">
        <v>42410</v>
      </c>
      <c r="U942" s="349">
        <v>42466</v>
      </c>
      <c r="W942" s="81" t="s">
        <v>114</v>
      </c>
      <c r="Y942" s="81" t="s">
        <v>115</v>
      </c>
      <c r="Z942" s="81" t="s">
        <v>398</v>
      </c>
      <c r="AA942" s="81" t="s">
        <v>117</v>
      </c>
      <c r="AB942" s="81" t="s">
        <v>102</v>
      </c>
      <c r="AC942" s="166">
        <v>4.0000001899898104E-3</v>
      </c>
      <c r="AG942" s="81" t="s">
        <v>238</v>
      </c>
      <c r="AH942" s="81" t="s">
        <v>118</v>
      </c>
      <c r="AK942" s="166">
        <v>0</v>
      </c>
      <c r="AM942" s="166">
        <v>0</v>
      </c>
      <c r="AO942" s="166">
        <v>0</v>
      </c>
      <c r="AP942" s="166">
        <v>1</v>
      </c>
      <c r="AQ942" s="166">
        <v>0</v>
      </c>
      <c r="AR942" s="166">
        <v>0</v>
      </c>
      <c r="AS942" s="166">
        <v>0</v>
      </c>
      <c r="AT942" s="166">
        <v>0</v>
      </c>
      <c r="AU942" s="166">
        <v>0</v>
      </c>
      <c r="AV942" s="166">
        <v>0</v>
      </c>
      <c r="AW942" s="166">
        <v>1</v>
      </c>
      <c r="AX942" s="166">
        <v>0</v>
      </c>
      <c r="AY942" s="166">
        <v>0</v>
      </c>
      <c r="AZ942" s="166">
        <v>0</v>
      </c>
      <c r="BA942" s="166">
        <v>0</v>
      </c>
      <c r="BB942" s="166">
        <v>0</v>
      </c>
      <c r="BC942" s="166">
        <v>0</v>
      </c>
      <c r="BD942" s="166">
        <v>0</v>
      </c>
      <c r="BE942" s="166">
        <v>0</v>
      </c>
      <c r="BF942" s="166">
        <v>0</v>
      </c>
      <c r="BG942" s="166">
        <v>0</v>
      </c>
      <c r="BH942" s="166">
        <v>0</v>
      </c>
      <c r="BI942" s="166">
        <v>0</v>
      </c>
      <c r="BJ942" s="166">
        <v>0</v>
      </c>
      <c r="BK942" s="166">
        <v>0</v>
      </c>
      <c r="BL942" s="166">
        <v>0</v>
      </c>
      <c r="BM942" s="166">
        <v>0</v>
      </c>
      <c r="BN942" s="166">
        <v>0</v>
      </c>
      <c r="BO942" s="166">
        <v>0</v>
      </c>
      <c r="BP942" s="166">
        <v>0</v>
      </c>
      <c r="BQ942" s="81" t="s">
        <v>1758</v>
      </c>
      <c r="BZ942" s="81" t="s">
        <v>155</v>
      </c>
      <c r="CA942" s="81" t="s">
        <v>1937</v>
      </c>
      <c r="CC942" s="167">
        <v>0</v>
      </c>
      <c r="CD942" s="167">
        <f>$N942/4</f>
        <v>0.25</v>
      </c>
      <c r="CE942" s="167">
        <f>$N942/4</f>
        <v>0.25</v>
      </c>
      <c r="CF942" s="167">
        <f>$N942/4</f>
        <v>0.25</v>
      </c>
      <c r="CG942" s="167">
        <f>$N942/4</f>
        <v>0.25</v>
      </c>
      <c r="CH942" s="167">
        <v>0</v>
      </c>
      <c r="CI942" s="167">
        <v>0</v>
      </c>
      <c r="CJ942" s="167">
        <v>0</v>
      </c>
      <c r="CK942" s="167">
        <v>0</v>
      </c>
      <c r="CL942" s="167">
        <v>0</v>
      </c>
      <c r="CM942" s="167">
        <v>0</v>
      </c>
      <c r="CN942" s="167">
        <v>0</v>
      </c>
      <c r="CO942" s="167">
        <v>0</v>
      </c>
      <c r="CP942" s="167">
        <v>0</v>
      </c>
      <c r="CQ942" s="167">
        <v>0</v>
      </c>
      <c r="CR942" s="167">
        <v>0</v>
      </c>
      <c r="CS942" s="167">
        <v>0</v>
      </c>
      <c r="CT942" s="167">
        <v>0</v>
      </c>
      <c r="CU942" s="167">
        <v>0</v>
      </c>
      <c r="CV942" s="167">
        <v>0</v>
      </c>
      <c r="CW942" s="167">
        <v>0</v>
      </c>
      <c r="CX942" s="167">
        <f>SUM(CD942:CH942)</f>
        <v>1</v>
      </c>
      <c r="CY942" s="167">
        <f>SUM(CD942:CM942)</f>
        <v>1</v>
      </c>
    </row>
    <row r="943" spans="1:103" ht="12.75" customHeight="1" x14ac:dyDescent="0.2">
      <c r="A943" s="81">
        <v>6183</v>
      </c>
      <c r="B943" s="165" t="s">
        <v>1930</v>
      </c>
      <c r="C943" s="165" t="s">
        <v>809</v>
      </c>
      <c r="E943" s="165" t="s">
        <v>2682</v>
      </c>
      <c r="G943" s="81">
        <v>525104</v>
      </c>
      <c r="H943" s="81">
        <v>174606</v>
      </c>
      <c r="I943" s="165" t="s">
        <v>250</v>
      </c>
      <c r="L943" s="166">
        <v>0</v>
      </c>
      <c r="M943" s="166">
        <v>1</v>
      </c>
      <c r="N943" s="166">
        <v>1</v>
      </c>
      <c r="O943" s="166">
        <v>1</v>
      </c>
      <c r="P943" s="166">
        <v>1</v>
      </c>
      <c r="R943" s="165" t="s">
        <v>810</v>
      </c>
      <c r="S943" s="81" t="s">
        <v>113</v>
      </c>
      <c r="T943" s="349">
        <v>42401</v>
      </c>
      <c r="U943" s="349">
        <v>42542</v>
      </c>
      <c r="W943" s="81" t="s">
        <v>114</v>
      </c>
      <c r="Y943" s="81" t="s">
        <v>115</v>
      </c>
      <c r="Z943" s="81" t="s">
        <v>398</v>
      </c>
      <c r="AA943" s="81" t="s">
        <v>117</v>
      </c>
      <c r="AB943" s="81" t="s">
        <v>102</v>
      </c>
      <c r="AC943" s="166">
        <v>4.0000001899898104E-3</v>
      </c>
      <c r="AG943" s="81" t="s">
        <v>238</v>
      </c>
      <c r="AH943" s="81" t="s">
        <v>118</v>
      </c>
      <c r="AK943" s="166">
        <v>0</v>
      </c>
      <c r="AM943" s="166">
        <v>0</v>
      </c>
      <c r="AO943" s="166">
        <v>0</v>
      </c>
      <c r="AP943" s="166">
        <v>1</v>
      </c>
      <c r="AQ943" s="166">
        <v>0</v>
      </c>
      <c r="AR943" s="166">
        <v>0</v>
      </c>
      <c r="AS943" s="166">
        <v>0</v>
      </c>
      <c r="AT943" s="166">
        <v>0</v>
      </c>
      <c r="AU943" s="166">
        <v>0</v>
      </c>
      <c r="AV943" s="166">
        <v>0</v>
      </c>
      <c r="AW943" s="166">
        <v>1</v>
      </c>
      <c r="AX943" s="166">
        <v>0</v>
      </c>
      <c r="AY943" s="166">
        <v>0</v>
      </c>
      <c r="AZ943" s="166">
        <v>0</v>
      </c>
      <c r="BA943" s="166">
        <v>0</v>
      </c>
      <c r="BB943" s="166">
        <v>0</v>
      </c>
      <c r="BC943" s="166">
        <v>0</v>
      </c>
      <c r="BD943" s="166">
        <v>0</v>
      </c>
      <c r="BE943" s="166">
        <v>0</v>
      </c>
      <c r="BF943" s="166">
        <v>0</v>
      </c>
      <c r="BG943" s="166">
        <v>0</v>
      </c>
      <c r="BH943" s="166">
        <v>0</v>
      </c>
      <c r="BI943" s="166">
        <v>0</v>
      </c>
      <c r="BJ943" s="166">
        <v>0</v>
      </c>
      <c r="BK943" s="166">
        <v>0</v>
      </c>
      <c r="BL943" s="166">
        <v>0</v>
      </c>
      <c r="BM943" s="166">
        <v>0</v>
      </c>
      <c r="BN943" s="166">
        <v>0</v>
      </c>
      <c r="BO943" s="166">
        <v>0</v>
      </c>
      <c r="BP943" s="166">
        <v>0</v>
      </c>
      <c r="BQ943" s="81" t="s">
        <v>1758</v>
      </c>
      <c r="BZ943" s="81" t="s">
        <v>155</v>
      </c>
      <c r="CA943" s="81" t="s">
        <v>1937</v>
      </c>
      <c r="CC943" s="167">
        <v>0</v>
      </c>
      <c r="CD943" s="167">
        <f>$N943/4</f>
        <v>0.25</v>
      </c>
      <c r="CE943" s="167">
        <f>$N943/4</f>
        <v>0.25</v>
      </c>
      <c r="CF943" s="167">
        <f>$N943/4</f>
        <v>0.25</v>
      </c>
      <c r="CG943" s="167">
        <f>$N943/4</f>
        <v>0.25</v>
      </c>
      <c r="CH943" s="167">
        <v>0</v>
      </c>
      <c r="CI943" s="167">
        <v>0</v>
      </c>
      <c r="CJ943" s="167">
        <v>0</v>
      </c>
      <c r="CK943" s="167">
        <v>0</v>
      </c>
      <c r="CL943" s="167">
        <v>0</v>
      </c>
      <c r="CM943" s="167">
        <v>0</v>
      </c>
      <c r="CN943" s="167">
        <v>0</v>
      </c>
      <c r="CO943" s="167">
        <v>0</v>
      </c>
      <c r="CP943" s="167">
        <v>0</v>
      </c>
      <c r="CQ943" s="167">
        <v>0</v>
      </c>
      <c r="CR943" s="167">
        <v>0</v>
      </c>
      <c r="CS943" s="167">
        <v>0</v>
      </c>
      <c r="CT943" s="167">
        <v>0</v>
      </c>
      <c r="CU943" s="167">
        <v>0</v>
      </c>
      <c r="CV943" s="167">
        <v>0</v>
      </c>
      <c r="CW943" s="167">
        <v>0</v>
      </c>
      <c r="CX943" s="167">
        <f>SUM(CD943:CH943)</f>
        <v>1</v>
      </c>
      <c r="CY943" s="167">
        <f>SUM(CD943:CM943)</f>
        <v>1</v>
      </c>
    </row>
    <row r="944" spans="1:103" ht="12.75" customHeight="1" x14ac:dyDescent="0.2">
      <c r="A944" s="81">
        <v>6184</v>
      </c>
      <c r="B944" s="165" t="s">
        <v>1930</v>
      </c>
      <c r="C944" s="165" t="s">
        <v>819</v>
      </c>
      <c r="E944" s="165" t="s">
        <v>2683</v>
      </c>
      <c r="G944" s="81">
        <v>524026</v>
      </c>
      <c r="H944" s="81">
        <v>174714</v>
      </c>
      <c r="I944" s="165" t="s">
        <v>250</v>
      </c>
      <c r="L944" s="166">
        <v>0</v>
      </c>
      <c r="M944" s="166">
        <v>1</v>
      </c>
      <c r="N944" s="166">
        <v>1</v>
      </c>
      <c r="O944" s="166">
        <v>1</v>
      </c>
      <c r="P944" s="166">
        <v>1</v>
      </c>
      <c r="R944" s="165" t="s">
        <v>820</v>
      </c>
      <c r="S944" s="81" t="s">
        <v>113</v>
      </c>
      <c r="T944" s="349">
        <v>42418</v>
      </c>
      <c r="U944" s="349">
        <v>42537</v>
      </c>
      <c r="W944" s="81" t="s">
        <v>114</v>
      </c>
      <c r="Y944" s="81" t="s">
        <v>115</v>
      </c>
      <c r="Z944" s="81" t="s">
        <v>310</v>
      </c>
      <c r="AA944" s="81" t="s">
        <v>117</v>
      </c>
      <c r="AB944" s="81" t="s">
        <v>311</v>
      </c>
      <c r="AC944" s="166">
        <v>3.0000000260770299E-3</v>
      </c>
      <c r="AG944" s="81" t="s">
        <v>154</v>
      </c>
      <c r="AH944" s="81" t="s">
        <v>38</v>
      </c>
      <c r="AK944" s="166">
        <v>0</v>
      </c>
      <c r="AM944" s="166">
        <v>0</v>
      </c>
      <c r="AO944" s="166">
        <v>0</v>
      </c>
      <c r="AP944" s="166">
        <v>0</v>
      </c>
      <c r="AQ944" s="166">
        <v>1</v>
      </c>
      <c r="AR944" s="166">
        <v>0</v>
      </c>
      <c r="AS944" s="166">
        <v>0</v>
      </c>
      <c r="AT944" s="166">
        <v>0</v>
      </c>
      <c r="AU944" s="166">
        <v>0</v>
      </c>
      <c r="AV944" s="166">
        <v>0</v>
      </c>
      <c r="AW944" s="166">
        <v>0</v>
      </c>
      <c r="AX944" s="166">
        <v>1</v>
      </c>
      <c r="AY944" s="166">
        <v>0</v>
      </c>
      <c r="AZ944" s="166">
        <v>0</v>
      </c>
      <c r="BA944" s="166">
        <v>0</v>
      </c>
      <c r="BB944" s="166">
        <v>0</v>
      </c>
      <c r="BC944" s="166">
        <v>0</v>
      </c>
      <c r="BD944" s="166">
        <v>0</v>
      </c>
      <c r="BE944" s="166">
        <v>0</v>
      </c>
      <c r="BF944" s="166">
        <v>0</v>
      </c>
      <c r="BG944" s="166">
        <v>0</v>
      </c>
      <c r="BH944" s="166">
        <v>0</v>
      </c>
      <c r="BI944" s="166">
        <v>0</v>
      </c>
      <c r="BJ944" s="166">
        <v>0</v>
      </c>
      <c r="BK944" s="166">
        <v>0</v>
      </c>
      <c r="BL944" s="166">
        <v>0</v>
      </c>
      <c r="BM944" s="166">
        <v>0</v>
      </c>
      <c r="BN944" s="166">
        <v>0</v>
      </c>
      <c r="BO944" s="166">
        <v>0</v>
      </c>
      <c r="BP944" s="166">
        <v>0</v>
      </c>
      <c r="BQ944" s="81" t="s">
        <v>1758</v>
      </c>
      <c r="BZ944" s="81" t="s">
        <v>155</v>
      </c>
      <c r="CA944" s="81" t="s">
        <v>1937</v>
      </c>
      <c r="CC944" s="167">
        <v>0</v>
      </c>
      <c r="CD944" s="167">
        <f>$N944/4</f>
        <v>0.25</v>
      </c>
      <c r="CE944" s="167">
        <f>$N944/4</f>
        <v>0.25</v>
      </c>
      <c r="CF944" s="167">
        <f>$N944/4</f>
        <v>0.25</v>
      </c>
      <c r="CG944" s="167">
        <f>$N944/4</f>
        <v>0.25</v>
      </c>
      <c r="CH944" s="167">
        <v>0</v>
      </c>
      <c r="CI944" s="167">
        <v>0</v>
      </c>
      <c r="CJ944" s="167">
        <v>0</v>
      </c>
      <c r="CK944" s="167">
        <v>0</v>
      </c>
      <c r="CL944" s="167">
        <v>0</v>
      </c>
      <c r="CM944" s="167">
        <v>0</v>
      </c>
      <c r="CN944" s="167">
        <v>0</v>
      </c>
      <c r="CO944" s="167">
        <v>0</v>
      </c>
      <c r="CP944" s="167">
        <v>0</v>
      </c>
      <c r="CQ944" s="167">
        <v>0</v>
      </c>
      <c r="CR944" s="167">
        <v>0</v>
      </c>
      <c r="CS944" s="167">
        <v>0</v>
      </c>
      <c r="CT944" s="167">
        <v>0</v>
      </c>
      <c r="CU944" s="167">
        <v>0</v>
      </c>
      <c r="CV944" s="167">
        <v>0</v>
      </c>
      <c r="CW944" s="167">
        <v>0</v>
      </c>
      <c r="CX944" s="167">
        <f>SUM(CD944:CH944)</f>
        <v>1</v>
      </c>
      <c r="CY944" s="167">
        <f>SUM(CD944:CM944)</f>
        <v>1</v>
      </c>
    </row>
    <row r="945" spans="1:103" ht="12.75" customHeight="1" x14ac:dyDescent="0.2">
      <c r="A945" s="81">
        <v>6188</v>
      </c>
      <c r="B945" s="165" t="s">
        <v>1930</v>
      </c>
      <c r="C945" s="165" t="s">
        <v>2684</v>
      </c>
      <c r="E945" s="165" t="s">
        <v>2685</v>
      </c>
      <c r="G945" s="81">
        <v>525924</v>
      </c>
      <c r="H945" s="81">
        <v>173800</v>
      </c>
      <c r="I945" s="165" t="s">
        <v>249</v>
      </c>
      <c r="L945" s="166">
        <v>0</v>
      </c>
      <c r="M945" s="166">
        <v>4</v>
      </c>
      <c r="N945" s="166">
        <v>4</v>
      </c>
      <c r="O945" s="166">
        <v>5</v>
      </c>
      <c r="P945" s="166">
        <v>5</v>
      </c>
      <c r="R945" s="165" t="s">
        <v>2686</v>
      </c>
      <c r="S945" s="81" t="s">
        <v>113</v>
      </c>
      <c r="T945" s="349">
        <v>42961</v>
      </c>
      <c r="U945" s="349">
        <v>43027</v>
      </c>
      <c r="V945" s="81" t="s">
        <v>155</v>
      </c>
      <c r="W945" s="81" t="s">
        <v>114</v>
      </c>
      <c r="Y945" s="81" t="s">
        <v>115</v>
      </c>
      <c r="Z945" s="81" t="s">
        <v>398</v>
      </c>
      <c r="AA945" s="81" t="s">
        <v>117</v>
      </c>
      <c r="AB945" s="81" t="s">
        <v>399</v>
      </c>
      <c r="AC945" s="166">
        <v>2.60000005364418E-2</v>
      </c>
      <c r="AG945" s="81" t="s">
        <v>238</v>
      </c>
      <c r="AH945" s="81" t="s">
        <v>118</v>
      </c>
      <c r="AK945" s="166">
        <v>0</v>
      </c>
      <c r="AM945" s="166">
        <v>0</v>
      </c>
      <c r="AO945" s="166">
        <v>0</v>
      </c>
      <c r="AP945" s="166">
        <v>0</v>
      </c>
      <c r="AQ945" s="166">
        <v>4</v>
      </c>
      <c r="AR945" s="166">
        <v>0</v>
      </c>
      <c r="AS945" s="166">
        <v>0</v>
      </c>
      <c r="AT945" s="166">
        <v>0</v>
      </c>
      <c r="AU945" s="166">
        <v>0</v>
      </c>
      <c r="AV945" s="166">
        <v>0</v>
      </c>
      <c r="AW945" s="166">
        <v>0</v>
      </c>
      <c r="AX945" s="166">
        <v>4</v>
      </c>
      <c r="AY945" s="166">
        <v>0</v>
      </c>
      <c r="AZ945" s="166">
        <v>0</v>
      </c>
      <c r="BA945" s="166">
        <v>0</v>
      </c>
      <c r="BB945" s="166">
        <v>0</v>
      </c>
      <c r="BC945" s="166">
        <v>0</v>
      </c>
      <c r="BD945" s="166">
        <v>0</v>
      </c>
      <c r="BE945" s="166">
        <v>0</v>
      </c>
      <c r="BF945" s="166">
        <v>0</v>
      </c>
      <c r="BG945" s="166">
        <v>0</v>
      </c>
      <c r="BH945" s="166">
        <v>0</v>
      </c>
      <c r="BI945" s="166">
        <v>0</v>
      </c>
      <c r="BJ945" s="166">
        <v>0</v>
      </c>
      <c r="BK945" s="166">
        <v>0</v>
      </c>
      <c r="BL945" s="166">
        <v>0</v>
      </c>
      <c r="BM945" s="166">
        <v>0</v>
      </c>
      <c r="BN945" s="166">
        <v>0</v>
      </c>
      <c r="BO945" s="166">
        <v>0</v>
      </c>
      <c r="BP945" s="166">
        <v>0</v>
      </c>
      <c r="BQ945" s="81" t="s">
        <v>1758</v>
      </c>
      <c r="BY945" s="81" t="s">
        <v>155</v>
      </c>
      <c r="BZ945" s="81" t="s">
        <v>155</v>
      </c>
      <c r="CA945" s="81" t="s">
        <v>1937</v>
      </c>
      <c r="CC945" s="167">
        <v>0</v>
      </c>
      <c r="CD945" s="167">
        <f>$N945/4</f>
        <v>1</v>
      </c>
      <c r="CE945" s="167">
        <f>$N945/4</f>
        <v>1</v>
      </c>
      <c r="CF945" s="167">
        <f>$N945/4</f>
        <v>1</v>
      </c>
      <c r="CG945" s="167">
        <f>$N945/4</f>
        <v>1</v>
      </c>
      <c r="CH945" s="167">
        <v>0</v>
      </c>
      <c r="CI945" s="167">
        <v>0</v>
      </c>
      <c r="CJ945" s="167">
        <v>0</v>
      </c>
      <c r="CK945" s="167">
        <v>0</v>
      </c>
      <c r="CL945" s="167">
        <v>0</v>
      </c>
      <c r="CM945" s="167">
        <v>0</v>
      </c>
      <c r="CN945" s="167">
        <v>0</v>
      </c>
      <c r="CO945" s="167">
        <v>0</v>
      </c>
      <c r="CP945" s="167">
        <v>0</v>
      </c>
      <c r="CQ945" s="167">
        <v>0</v>
      </c>
      <c r="CR945" s="167">
        <v>0</v>
      </c>
      <c r="CS945" s="167">
        <v>0</v>
      </c>
      <c r="CT945" s="167">
        <v>0</v>
      </c>
      <c r="CU945" s="167">
        <v>0</v>
      </c>
      <c r="CV945" s="167">
        <v>0</v>
      </c>
      <c r="CW945" s="167">
        <v>0</v>
      </c>
      <c r="CX945" s="167">
        <f>SUM(CD945:CH945)</f>
        <v>4</v>
      </c>
      <c r="CY945" s="167">
        <f>SUM(CD945:CM945)</f>
        <v>4</v>
      </c>
    </row>
    <row r="946" spans="1:103" ht="12.75" customHeight="1" x14ac:dyDescent="0.2">
      <c r="A946" s="81">
        <v>6188</v>
      </c>
      <c r="B946" s="165" t="s">
        <v>1930</v>
      </c>
      <c r="C946" s="165" t="s">
        <v>2684</v>
      </c>
      <c r="E946" s="165" t="s">
        <v>2685</v>
      </c>
      <c r="G946" s="81">
        <v>525924</v>
      </c>
      <c r="H946" s="81">
        <v>173800</v>
      </c>
      <c r="I946" s="165" t="s">
        <v>249</v>
      </c>
      <c r="L946" s="166">
        <v>0</v>
      </c>
      <c r="M946" s="166">
        <v>1</v>
      </c>
      <c r="N946" s="166">
        <v>1</v>
      </c>
      <c r="O946" s="166">
        <v>5</v>
      </c>
      <c r="P946" s="166">
        <v>5</v>
      </c>
      <c r="R946" s="165" t="s">
        <v>2686</v>
      </c>
      <c r="S946" s="81" t="s">
        <v>113</v>
      </c>
      <c r="T946" s="349">
        <v>42961</v>
      </c>
      <c r="U946" s="349">
        <v>43027</v>
      </c>
      <c r="V946" s="81" t="s">
        <v>155</v>
      </c>
      <c r="W946" s="81" t="s">
        <v>114</v>
      </c>
      <c r="Y946" s="81" t="s">
        <v>115</v>
      </c>
      <c r="Z946" s="81" t="s">
        <v>398</v>
      </c>
      <c r="AA946" s="81" t="s">
        <v>117</v>
      </c>
      <c r="AB946" s="81" t="s">
        <v>218</v>
      </c>
      <c r="AC946" s="166">
        <v>1.2000000104308101E-2</v>
      </c>
      <c r="AG946" s="81" t="s">
        <v>238</v>
      </c>
      <c r="AH946" s="81" t="s">
        <v>118</v>
      </c>
      <c r="AK946" s="166">
        <v>0</v>
      </c>
      <c r="AM946" s="166">
        <v>0</v>
      </c>
      <c r="AO946" s="166">
        <v>0</v>
      </c>
      <c r="AP946" s="166">
        <v>0</v>
      </c>
      <c r="AQ946" s="166">
        <v>0</v>
      </c>
      <c r="AR946" s="166">
        <v>1</v>
      </c>
      <c r="AS946" s="166">
        <v>0</v>
      </c>
      <c r="AT946" s="166">
        <v>0</v>
      </c>
      <c r="AU946" s="166">
        <v>0</v>
      </c>
      <c r="AV946" s="166">
        <v>0</v>
      </c>
      <c r="AW946" s="166">
        <v>0</v>
      </c>
      <c r="AX946" s="166">
        <v>0</v>
      </c>
      <c r="AY946" s="166">
        <v>0</v>
      </c>
      <c r="AZ946" s="166">
        <v>0</v>
      </c>
      <c r="BA946" s="166">
        <v>0</v>
      </c>
      <c r="BB946" s="166">
        <v>0</v>
      </c>
      <c r="BC946" s="166">
        <v>0</v>
      </c>
      <c r="BD946" s="166">
        <v>0</v>
      </c>
      <c r="BE946" s="166">
        <v>0</v>
      </c>
      <c r="BF946" s="166">
        <v>1</v>
      </c>
      <c r="BG946" s="166">
        <v>0</v>
      </c>
      <c r="BH946" s="166">
        <v>0</v>
      </c>
      <c r="BI946" s="166">
        <v>0</v>
      </c>
      <c r="BJ946" s="166">
        <v>0</v>
      </c>
      <c r="BK946" s="166">
        <v>0</v>
      </c>
      <c r="BL946" s="166">
        <v>0</v>
      </c>
      <c r="BM946" s="166">
        <v>0</v>
      </c>
      <c r="BN946" s="166">
        <v>0</v>
      </c>
      <c r="BO946" s="166">
        <v>0</v>
      </c>
      <c r="BP946" s="166">
        <v>0</v>
      </c>
      <c r="BQ946" s="81" t="s">
        <v>1758</v>
      </c>
      <c r="BY946" s="81" t="s">
        <v>155</v>
      </c>
      <c r="BZ946" s="81" t="s">
        <v>155</v>
      </c>
      <c r="CA946" s="81" t="s">
        <v>1937</v>
      </c>
      <c r="CC946" s="167">
        <v>0</v>
      </c>
      <c r="CD946" s="167">
        <f>$N946/4</f>
        <v>0.25</v>
      </c>
      <c r="CE946" s="167">
        <f>$N946/4</f>
        <v>0.25</v>
      </c>
      <c r="CF946" s="167">
        <f>$N946/4</f>
        <v>0.25</v>
      </c>
      <c r="CG946" s="167">
        <f>$N946/4</f>
        <v>0.25</v>
      </c>
      <c r="CH946" s="167">
        <v>0</v>
      </c>
      <c r="CI946" s="167">
        <v>0</v>
      </c>
      <c r="CJ946" s="167">
        <v>0</v>
      </c>
      <c r="CK946" s="167">
        <v>0</v>
      </c>
      <c r="CL946" s="167">
        <v>0</v>
      </c>
      <c r="CM946" s="167">
        <v>0</v>
      </c>
      <c r="CN946" s="167">
        <v>0</v>
      </c>
      <c r="CO946" s="167">
        <v>0</v>
      </c>
      <c r="CP946" s="167">
        <v>0</v>
      </c>
      <c r="CQ946" s="167">
        <v>0</v>
      </c>
      <c r="CR946" s="167">
        <v>0</v>
      </c>
      <c r="CS946" s="167">
        <v>0</v>
      </c>
      <c r="CT946" s="167">
        <v>0</v>
      </c>
      <c r="CU946" s="167">
        <v>0</v>
      </c>
      <c r="CV946" s="167">
        <v>0</v>
      </c>
      <c r="CW946" s="167">
        <v>0</v>
      </c>
      <c r="CX946" s="167">
        <f>SUM(CD946:CH946)</f>
        <v>1</v>
      </c>
      <c r="CY946" s="167">
        <f>SUM(CD946:CM946)</f>
        <v>1</v>
      </c>
    </row>
    <row r="947" spans="1:103" ht="12.75" customHeight="1" x14ac:dyDescent="0.2">
      <c r="A947" s="81">
        <v>6191</v>
      </c>
      <c r="B947" s="165" t="s">
        <v>1930</v>
      </c>
      <c r="C947" s="165" t="s">
        <v>814</v>
      </c>
      <c r="E947" s="165" t="s">
        <v>2687</v>
      </c>
      <c r="G947" s="81">
        <v>527606</v>
      </c>
      <c r="H947" s="81">
        <v>174610</v>
      </c>
      <c r="I947" s="165" t="s">
        <v>255</v>
      </c>
      <c r="L947" s="166">
        <v>0</v>
      </c>
      <c r="M947" s="166">
        <v>1</v>
      </c>
      <c r="N947" s="166">
        <v>1</v>
      </c>
      <c r="O947" s="166">
        <v>1</v>
      </c>
      <c r="P947" s="166">
        <v>1</v>
      </c>
      <c r="R947" s="165" t="s">
        <v>815</v>
      </c>
      <c r="S947" s="81" t="s">
        <v>113</v>
      </c>
      <c r="T947" s="349">
        <v>42415</v>
      </c>
      <c r="U947" s="349">
        <v>42527</v>
      </c>
      <c r="W947" s="81" t="s">
        <v>114</v>
      </c>
      <c r="Y947" s="81" t="s">
        <v>115</v>
      </c>
      <c r="Z947" s="81" t="s">
        <v>398</v>
      </c>
      <c r="AA947" s="81" t="s">
        <v>117</v>
      </c>
      <c r="AB947" s="81" t="s">
        <v>399</v>
      </c>
      <c r="AC947" s="166">
        <v>4.0000001899898104E-3</v>
      </c>
      <c r="AG947" s="81" t="s">
        <v>238</v>
      </c>
      <c r="AH947" s="81" t="s">
        <v>118</v>
      </c>
      <c r="AK947" s="166">
        <v>0</v>
      </c>
      <c r="AM947" s="166">
        <v>0</v>
      </c>
      <c r="AO947" s="166">
        <v>0</v>
      </c>
      <c r="AP947" s="166">
        <v>1</v>
      </c>
      <c r="AQ947" s="166">
        <v>0</v>
      </c>
      <c r="AR947" s="166">
        <v>0</v>
      </c>
      <c r="AS947" s="166">
        <v>0</v>
      </c>
      <c r="AT947" s="166">
        <v>0</v>
      </c>
      <c r="AU947" s="166">
        <v>0</v>
      </c>
      <c r="AV947" s="166">
        <v>0</v>
      </c>
      <c r="AW947" s="166">
        <v>0</v>
      </c>
      <c r="AX947" s="166">
        <v>0</v>
      </c>
      <c r="AY947" s="166">
        <v>0</v>
      </c>
      <c r="AZ947" s="166">
        <v>0</v>
      </c>
      <c r="BA947" s="166">
        <v>0</v>
      </c>
      <c r="BB947" s="166">
        <v>0</v>
      </c>
      <c r="BC947" s="166">
        <v>0</v>
      </c>
      <c r="BD947" s="166">
        <v>1</v>
      </c>
      <c r="BE947" s="166">
        <v>0</v>
      </c>
      <c r="BF947" s="166">
        <v>0</v>
      </c>
      <c r="BG947" s="166">
        <v>0</v>
      </c>
      <c r="BH947" s="166">
        <v>0</v>
      </c>
      <c r="BI947" s="166">
        <v>0</v>
      </c>
      <c r="BJ947" s="166">
        <v>0</v>
      </c>
      <c r="BK947" s="166">
        <v>0</v>
      </c>
      <c r="BL947" s="166">
        <v>0</v>
      </c>
      <c r="BM947" s="166">
        <v>0</v>
      </c>
      <c r="BN947" s="166">
        <v>0</v>
      </c>
      <c r="BO947" s="166">
        <v>0</v>
      </c>
      <c r="BP947" s="166">
        <v>0</v>
      </c>
      <c r="BQ947" s="81" t="s">
        <v>1757</v>
      </c>
      <c r="BZ947" s="81" t="s">
        <v>155</v>
      </c>
      <c r="CA947" s="81" t="s">
        <v>1937</v>
      </c>
      <c r="CC947" s="167">
        <v>0</v>
      </c>
      <c r="CD947" s="167">
        <f>$N947/4</f>
        <v>0.25</v>
      </c>
      <c r="CE947" s="167">
        <f>$N947/4</f>
        <v>0.25</v>
      </c>
      <c r="CF947" s="167">
        <f>$N947/4</f>
        <v>0.25</v>
      </c>
      <c r="CG947" s="167">
        <f>$N947/4</f>
        <v>0.25</v>
      </c>
      <c r="CH947" s="167">
        <v>0</v>
      </c>
      <c r="CI947" s="167">
        <v>0</v>
      </c>
      <c r="CJ947" s="167">
        <v>0</v>
      </c>
      <c r="CK947" s="167">
        <v>0</v>
      </c>
      <c r="CL947" s="167">
        <v>0</v>
      </c>
      <c r="CM947" s="167">
        <v>0</v>
      </c>
      <c r="CN947" s="167">
        <v>0</v>
      </c>
      <c r="CO947" s="167">
        <v>0</v>
      </c>
      <c r="CP947" s="167">
        <v>0</v>
      </c>
      <c r="CQ947" s="167">
        <v>0</v>
      </c>
      <c r="CR947" s="167">
        <v>0</v>
      </c>
      <c r="CS947" s="167">
        <v>0</v>
      </c>
      <c r="CT947" s="167">
        <v>0</v>
      </c>
      <c r="CU947" s="167">
        <v>0</v>
      </c>
      <c r="CV947" s="167">
        <v>0</v>
      </c>
      <c r="CW947" s="167">
        <v>0</v>
      </c>
      <c r="CX947" s="167">
        <f>SUM(CD947:CH947)</f>
        <v>1</v>
      </c>
      <c r="CY947" s="167">
        <f>SUM(CD947:CM947)</f>
        <v>1</v>
      </c>
    </row>
    <row r="948" spans="1:103" ht="12.75" customHeight="1" x14ac:dyDescent="0.2">
      <c r="A948" s="81">
        <v>6196</v>
      </c>
      <c r="B948" s="165" t="s">
        <v>1930</v>
      </c>
      <c r="C948" s="165" t="s">
        <v>1410</v>
      </c>
      <c r="E948" s="165" t="s">
        <v>2141</v>
      </c>
      <c r="G948" s="81">
        <v>528701</v>
      </c>
      <c r="H948" s="81">
        <v>172342</v>
      </c>
      <c r="I948" s="165" t="s">
        <v>248</v>
      </c>
      <c r="L948" s="166">
        <v>0</v>
      </c>
      <c r="M948" s="166">
        <v>1</v>
      </c>
      <c r="N948" s="166">
        <v>1</v>
      </c>
      <c r="O948" s="166">
        <v>1</v>
      </c>
      <c r="P948" s="166">
        <v>1</v>
      </c>
      <c r="R948" s="165" t="s">
        <v>1411</v>
      </c>
      <c r="S948" s="81" t="s">
        <v>113</v>
      </c>
      <c r="T948" s="349">
        <v>42625</v>
      </c>
      <c r="U948" s="349">
        <v>42723</v>
      </c>
      <c r="W948" s="81" t="s">
        <v>114</v>
      </c>
      <c r="Y948" s="81" t="s">
        <v>115</v>
      </c>
      <c r="Z948" s="81" t="s">
        <v>116</v>
      </c>
      <c r="AA948" s="81" t="s">
        <v>117</v>
      </c>
      <c r="AB948" s="81" t="s">
        <v>218</v>
      </c>
      <c r="AC948" s="166">
        <v>8.9999996125698107E-3</v>
      </c>
      <c r="AG948" s="81" t="s">
        <v>238</v>
      </c>
      <c r="AH948" s="81" t="s">
        <v>118</v>
      </c>
      <c r="AK948" s="166">
        <v>1</v>
      </c>
      <c r="AM948" s="166">
        <v>0</v>
      </c>
      <c r="AO948" s="166">
        <v>0</v>
      </c>
      <c r="AP948" s="166">
        <v>1</v>
      </c>
      <c r="AQ948" s="166">
        <v>0</v>
      </c>
      <c r="AR948" s="166">
        <v>0</v>
      </c>
      <c r="AS948" s="166">
        <v>0</v>
      </c>
      <c r="AT948" s="166">
        <v>0</v>
      </c>
      <c r="AU948" s="166">
        <v>0</v>
      </c>
      <c r="AV948" s="166">
        <v>0</v>
      </c>
      <c r="AW948" s="166">
        <v>0</v>
      </c>
      <c r="AX948" s="166">
        <v>0</v>
      </c>
      <c r="AY948" s="166">
        <v>0</v>
      </c>
      <c r="AZ948" s="166">
        <v>0</v>
      </c>
      <c r="BA948" s="166">
        <v>0</v>
      </c>
      <c r="BB948" s="166">
        <v>0</v>
      </c>
      <c r="BC948" s="166">
        <v>0</v>
      </c>
      <c r="BD948" s="166">
        <v>1</v>
      </c>
      <c r="BE948" s="166">
        <v>0</v>
      </c>
      <c r="BF948" s="166">
        <v>0</v>
      </c>
      <c r="BG948" s="166">
        <v>0</v>
      </c>
      <c r="BH948" s="166">
        <v>0</v>
      </c>
      <c r="BI948" s="166">
        <v>0</v>
      </c>
      <c r="BJ948" s="166">
        <v>0</v>
      </c>
      <c r="BK948" s="166">
        <v>0</v>
      </c>
      <c r="BL948" s="166">
        <v>0</v>
      </c>
      <c r="BM948" s="166">
        <v>0</v>
      </c>
      <c r="BN948" s="166">
        <v>0</v>
      </c>
      <c r="BO948" s="166">
        <v>0</v>
      </c>
      <c r="BP948" s="166">
        <v>0</v>
      </c>
      <c r="BQ948" s="81" t="s">
        <v>1757</v>
      </c>
      <c r="BZ948" s="81" t="s">
        <v>155</v>
      </c>
      <c r="CA948" s="81">
        <v>4</v>
      </c>
      <c r="CC948" s="167">
        <v>0</v>
      </c>
      <c r="CD948" s="167">
        <v>0</v>
      </c>
      <c r="CE948" s="167">
        <f>$N948/5</f>
        <v>0.2</v>
      </c>
      <c r="CF948" s="167">
        <f>$N948/5</f>
        <v>0.2</v>
      </c>
      <c r="CG948" s="167">
        <f>$N948/5</f>
        <v>0.2</v>
      </c>
      <c r="CH948" s="167">
        <f>$N948/5</f>
        <v>0.2</v>
      </c>
      <c r="CI948" s="167">
        <f>$N948/5</f>
        <v>0.2</v>
      </c>
      <c r="CJ948" s="167">
        <v>0</v>
      </c>
      <c r="CK948" s="167">
        <v>0</v>
      </c>
      <c r="CL948" s="167">
        <v>0</v>
      </c>
      <c r="CM948" s="167">
        <v>0</v>
      </c>
      <c r="CN948" s="167">
        <v>0</v>
      </c>
      <c r="CO948" s="167">
        <v>0</v>
      </c>
      <c r="CP948" s="167">
        <v>0</v>
      </c>
      <c r="CQ948" s="167">
        <v>0</v>
      </c>
      <c r="CR948" s="167">
        <v>0</v>
      </c>
      <c r="CS948" s="167">
        <v>0</v>
      </c>
      <c r="CT948" s="167">
        <v>0</v>
      </c>
      <c r="CU948" s="167">
        <v>0</v>
      </c>
      <c r="CV948" s="167">
        <v>0</v>
      </c>
      <c r="CW948" s="167">
        <v>0</v>
      </c>
      <c r="CX948" s="167">
        <f>SUM(CD948:CH948)</f>
        <v>0.8</v>
      </c>
      <c r="CY948" s="167">
        <f>SUM(CD948:CM948)</f>
        <v>1</v>
      </c>
    </row>
    <row r="949" spans="1:103" ht="12.75" customHeight="1" x14ac:dyDescent="0.2">
      <c r="A949" s="81">
        <v>6198</v>
      </c>
      <c r="B949" s="165" t="s">
        <v>1930</v>
      </c>
      <c r="C949" s="165" t="s">
        <v>811</v>
      </c>
      <c r="E949" s="165" t="s">
        <v>2688</v>
      </c>
      <c r="G949" s="81">
        <v>521202</v>
      </c>
      <c r="H949" s="81">
        <v>174373</v>
      </c>
      <c r="I949" s="165" t="s">
        <v>877</v>
      </c>
      <c r="L949" s="166">
        <v>1</v>
      </c>
      <c r="M949" s="166">
        <v>1</v>
      </c>
      <c r="N949" s="166">
        <v>0</v>
      </c>
      <c r="O949" s="166">
        <v>1</v>
      </c>
      <c r="P949" s="166">
        <v>0</v>
      </c>
      <c r="R949" s="165" t="s">
        <v>812</v>
      </c>
      <c r="S949" s="81" t="s">
        <v>113</v>
      </c>
      <c r="T949" s="349">
        <v>42433</v>
      </c>
      <c r="U949" s="349">
        <v>42488</v>
      </c>
      <c r="W949" s="81" t="s">
        <v>114</v>
      </c>
      <c r="Y949" s="81" t="s">
        <v>115</v>
      </c>
      <c r="Z949" s="81" t="s">
        <v>116</v>
      </c>
      <c r="AA949" s="81" t="s">
        <v>117</v>
      </c>
      <c r="AB949" s="81" t="s">
        <v>218</v>
      </c>
      <c r="AC949" s="166">
        <v>6.4999997615814195E-2</v>
      </c>
      <c r="AG949" s="81" t="s">
        <v>238</v>
      </c>
      <c r="AH949" s="81" t="s">
        <v>118</v>
      </c>
      <c r="AK949" s="166">
        <v>1</v>
      </c>
      <c r="AM949" s="166">
        <v>0</v>
      </c>
      <c r="AO949" s="166">
        <v>0</v>
      </c>
      <c r="AP949" s="166">
        <v>0</v>
      </c>
      <c r="AQ949" s="166">
        <v>0</v>
      </c>
      <c r="AR949" s="166">
        <v>0</v>
      </c>
      <c r="AS949" s="166">
        <v>-1</v>
      </c>
      <c r="AT949" s="166">
        <v>1</v>
      </c>
      <c r="AU949" s="166">
        <v>0</v>
      </c>
      <c r="AV949" s="166">
        <v>0</v>
      </c>
      <c r="AW949" s="166">
        <v>0</v>
      </c>
      <c r="AX949" s="166">
        <v>0</v>
      </c>
      <c r="AY949" s="166">
        <v>0</v>
      </c>
      <c r="AZ949" s="166">
        <v>0</v>
      </c>
      <c r="BA949" s="166">
        <v>0</v>
      </c>
      <c r="BB949" s="166">
        <v>0</v>
      </c>
      <c r="BC949" s="166">
        <v>0</v>
      </c>
      <c r="BD949" s="166">
        <v>0</v>
      </c>
      <c r="BE949" s="166">
        <v>0</v>
      </c>
      <c r="BF949" s="166">
        <v>0</v>
      </c>
      <c r="BG949" s="166">
        <v>-1</v>
      </c>
      <c r="BH949" s="166">
        <v>1</v>
      </c>
      <c r="BI949" s="166">
        <v>0</v>
      </c>
      <c r="BJ949" s="166">
        <v>0</v>
      </c>
      <c r="BK949" s="166">
        <v>0</v>
      </c>
      <c r="BL949" s="166">
        <v>0</v>
      </c>
      <c r="BM949" s="166">
        <v>0</v>
      </c>
      <c r="BN949" s="166">
        <v>0</v>
      </c>
      <c r="BO949" s="166">
        <v>0</v>
      </c>
      <c r="BP949" s="166">
        <v>0</v>
      </c>
      <c r="BQ949" s="81" t="s">
        <v>1758</v>
      </c>
      <c r="BZ949" s="81" t="s">
        <v>155</v>
      </c>
      <c r="CA949" s="81">
        <v>4</v>
      </c>
      <c r="CC949" s="167">
        <v>0</v>
      </c>
      <c r="CD949" s="167">
        <v>0</v>
      </c>
      <c r="CE949" s="167">
        <f>$N949/5</f>
        <v>0</v>
      </c>
      <c r="CF949" s="167">
        <f>$N949/5</f>
        <v>0</v>
      </c>
      <c r="CG949" s="167">
        <f>$N949/5</f>
        <v>0</v>
      </c>
      <c r="CH949" s="167">
        <f>$N949/5</f>
        <v>0</v>
      </c>
      <c r="CI949" s="167">
        <f>$N949/5</f>
        <v>0</v>
      </c>
      <c r="CJ949" s="167">
        <v>0</v>
      </c>
      <c r="CK949" s="167">
        <v>0</v>
      </c>
      <c r="CL949" s="167">
        <v>0</v>
      </c>
      <c r="CM949" s="167">
        <v>0</v>
      </c>
      <c r="CN949" s="167">
        <v>0</v>
      </c>
      <c r="CO949" s="167">
        <v>0</v>
      </c>
      <c r="CP949" s="167">
        <v>0</v>
      </c>
      <c r="CQ949" s="167">
        <v>0</v>
      </c>
      <c r="CR949" s="167">
        <v>0</v>
      </c>
      <c r="CS949" s="167">
        <v>0</v>
      </c>
      <c r="CT949" s="167">
        <v>0</v>
      </c>
      <c r="CU949" s="167">
        <v>0</v>
      </c>
      <c r="CV949" s="167">
        <v>0</v>
      </c>
      <c r="CW949" s="167">
        <v>0</v>
      </c>
      <c r="CX949" s="167">
        <f>SUM(CD949:CH949)</f>
        <v>0</v>
      </c>
      <c r="CY949" s="167">
        <f>SUM(CD949:CM949)</f>
        <v>0</v>
      </c>
    </row>
    <row r="950" spans="1:103" ht="12.75" customHeight="1" x14ac:dyDescent="0.2">
      <c r="A950" s="81">
        <v>6207</v>
      </c>
      <c r="B950" s="165" t="s">
        <v>1930</v>
      </c>
      <c r="C950" s="165" t="s">
        <v>796</v>
      </c>
      <c r="D950" s="165" t="s">
        <v>797</v>
      </c>
      <c r="E950" s="165" t="s">
        <v>2689</v>
      </c>
      <c r="G950" s="81">
        <v>524680</v>
      </c>
      <c r="H950" s="81">
        <v>173245</v>
      </c>
      <c r="I950" s="165" t="s">
        <v>111</v>
      </c>
      <c r="L950" s="166">
        <v>0</v>
      </c>
      <c r="M950" s="166">
        <v>6</v>
      </c>
      <c r="N950" s="166">
        <v>6</v>
      </c>
      <c r="O950" s="166">
        <v>6</v>
      </c>
      <c r="P950" s="166">
        <v>6</v>
      </c>
      <c r="R950" s="165" t="s">
        <v>1163</v>
      </c>
      <c r="S950" s="81" t="s">
        <v>113</v>
      </c>
      <c r="T950" s="349">
        <v>42341</v>
      </c>
      <c r="U950" s="349">
        <v>42501</v>
      </c>
      <c r="W950" s="81" t="s">
        <v>114</v>
      </c>
      <c r="Y950" s="81" t="s">
        <v>115</v>
      </c>
      <c r="Z950" s="81" t="s">
        <v>116</v>
      </c>
      <c r="AA950" s="81" t="s">
        <v>117</v>
      </c>
      <c r="AB950" s="81" t="s">
        <v>218</v>
      </c>
      <c r="AC950" s="166">
        <v>9.7999997437000302E-2</v>
      </c>
      <c r="AG950" s="81" t="s">
        <v>238</v>
      </c>
      <c r="AH950" s="81" t="s">
        <v>118</v>
      </c>
      <c r="AK950" s="166">
        <v>6</v>
      </c>
      <c r="AM950" s="166">
        <v>0</v>
      </c>
      <c r="AO950" s="166">
        <v>0</v>
      </c>
      <c r="AP950" s="166">
        <v>0</v>
      </c>
      <c r="AQ950" s="166">
        <v>6</v>
      </c>
      <c r="AR950" s="166">
        <v>0</v>
      </c>
      <c r="AS950" s="166">
        <v>0</v>
      </c>
      <c r="AT950" s="166">
        <v>0</v>
      </c>
      <c r="AU950" s="166">
        <v>0</v>
      </c>
      <c r="AV950" s="166">
        <v>0</v>
      </c>
      <c r="AW950" s="166">
        <v>0</v>
      </c>
      <c r="AX950" s="166">
        <v>6</v>
      </c>
      <c r="AY950" s="166">
        <v>0</v>
      </c>
      <c r="AZ950" s="166">
        <v>0</v>
      </c>
      <c r="BA950" s="166">
        <v>0</v>
      </c>
      <c r="BB950" s="166">
        <v>0</v>
      </c>
      <c r="BC950" s="166">
        <v>0</v>
      </c>
      <c r="BD950" s="166">
        <v>0</v>
      </c>
      <c r="BE950" s="166">
        <v>0</v>
      </c>
      <c r="BF950" s="166">
        <v>0</v>
      </c>
      <c r="BG950" s="166">
        <v>0</v>
      </c>
      <c r="BH950" s="166">
        <v>0</v>
      </c>
      <c r="BI950" s="166">
        <v>0</v>
      </c>
      <c r="BJ950" s="166">
        <v>0</v>
      </c>
      <c r="BK950" s="166">
        <v>0</v>
      </c>
      <c r="BL950" s="166">
        <v>0</v>
      </c>
      <c r="BM950" s="166">
        <v>0</v>
      </c>
      <c r="BN950" s="166">
        <v>0</v>
      </c>
      <c r="BO950" s="166">
        <v>0</v>
      </c>
      <c r="BP950" s="166">
        <v>0</v>
      </c>
      <c r="BQ950" s="81" t="s">
        <v>1758</v>
      </c>
      <c r="BZ950" s="81" t="s">
        <v>155</v>
      </c>
      <c r="CA950" s="81" t="s">
        <v>3968</v>
      </c>
      <c r="CC950" s="167">
        <v>0</v>
      </c>
      <c r="CD950" s="167">
        <v>0</v>
      </c>
      <c r="CE950" s="167">
        <v>0</v>
      </c>
      <c r="CF950" s="167">
        <v>0</v>
      </c>
      <c r="CG950" s="167">
        <v>0</v>
      </c>
      <c r="CH950" s="167">
        <f>$N950/3</f>
        <v>2</v>
      </c>
      <c r="CI950" s="167">
        <f>$N950/3</f>
        <v>2</v>
      </c>
      <c r="CJ950" s="167">
        <f>$N950/3</f>
        <v>2</v>
      </c>
      <c r="CK950" s="167">
        <v>0</v>
      </c>
      <c r="CL950" s="167">
        <v>0</v>
      </c>
      <c r="CM950" s="167">
        <v>0</v>
      </c>
      <c r="CN950" s="167">
        <v>0</v>
      </c>
      <c r="CO950" s="167">
        <v>0</v>
      </c>
      <c r="CP950" s="167">
        <v>0</v>
      </c>
      <c r="CQ950" s="167">
        <v>0</v>
      </c>
      <c r="CR950" s="167">
        <v>0</v>
      </c>
      <c r="CS950" s="167">
        <v>0</v>
      </c>
      <c r="CT950" s="167">
        <v>0</v>
      </c>
      <c r="CU950" s="167">
        <v>0</v>
      </c>
      <c r="CV950" s="167">
        <v>0</v>
      </c>
      <c r="CW950" s="167">
        <v>0</v>
      </c>
      <c r="CX950" s="167">
        <f>SUM(CD950:CH950)</f>
        <v>2</v>
      </c>
      <c r="CY950" s="167">
        <f>SUM(CD950:CM950)</f>
        <v>6</v>
      </c>
    </row>
    <row r="951" spans="1:103" ht="12.75" customHeight="1" x14ac:dyDescent="0.2">
      <c r="A951" s="81">
        <v>6208</v>
      </c>
      <c r="B951" s="165" t="s">
        <v>1930</v>
      </c>
      <c r="C951" s="165" t="s">
        <v>1722</v>
      </c>
      <c r="E951" s="165" t="s">
        <v>3428</v>
      </c>
      <c r="F951" s="165" t="s">
        <v>3429</v>
      </c>
      <c r="G951" s="81">
        <v>526352</v>
      </c>
      <c r="H951" s="81">
        <v>175489</v>
      </c>
      <c r="I951" s="165" t="s">
        <v>257</v>
      </c>
      <c r="L951" s="166">
        <v>0</v>
      </c>
      <c r="M951" s="166">
        <v>18</v>
      </c>
      <c r="N951" s="166">
        <v>18</v>
      </c>
      <c r="O951" s="166">
        <v>89</v>
      </c>
      <c r="P951" s="166">
        <v>89</v>
      </c>
      <c r="Q951" s="81" t="s">
        <v>155</v>
      </c>
      <c r="R951" s="165" t="s">
        <v>1723</v>
      </c>
      <c r="S951" s="81" t="s">
        <v>104</v>
      </c>
      <c r="T951" s="349">
        <v>42627</v>
      </c>
      <c r="U951" s="349">
        <v>42955</v>
      </c>
      <c r="V951" s="81" t="s">
        <v>155</v>
      </c>
      <c r="W951" s="81" t="s">
        <v>114</v>
      </c>
      <c r="Y951" s="81" t="s">
        <v>115</v>
      </c>
      <c r="Z951" s="81" t="s">
        <v>116</v>
      </c>
      <c r="AA951" s="81" t="s">
        <v>116</v>
      </c>
      <c r="AB951" s="81" t="s">
        <v>117</v>
      </c>
      <c r="AC951" s="166">
        <v>2.19999998807907E-2</v>
      </c>
      <c r="AG951" s="81" t="s">
        <v>238</v>
      </c>
      <c r="AH951" s="81" t="s">
        <v>1815</v>
      </c>
      <c r="AK951" s="166">
        <v>0</v>
      </c>
      <c r="AL951" s="166">
        <v>16</v>
      </c>
      <c r="AM951" s="166">
        <v>9</v>
      </c>
      <c r="AN951" s="166">
        <v>2</v>
      </c>
      <c r="AO951" s="166">
        <v>0</v>
      </c>
      <c r="AP951" s="166">
        <v>12</v>
      </c>
      <c r="AQ951" s="166">
        <v>6</v>
      </c>
      <c r="AR951" s="166">
        <v>0</v>
      </c>
      <c r="AS951" s="166">
        <v>0</v>
      </c>
      <c r="AT951" s="166">
        <v>0</v>
      </c>
      <c r="AU951" s="166">
        <v>0</v>
      </c>
      <c r="AV951" s="166">
        <v>0</v>
      </c>
      <c r="AW951" s="166">
        <v>12</v>
      </c>
      <c r="AX951" s="166">
        <v>6</v>
      </c>
      <c r="AY951" s="166">
        <v>0</v>
      </c>
      <c r="AZ951" s="166">
        <v>0</v>
      </c>
      <c r="BA951" s="166">
        <v>0</v>
      </c>
      <c r="BB951" s="166">
        <v>0</v>
      </c>
      <c r="BC951" s="166">
        <v>0</v>
      </c>
      <c r="BD951" s="166">
        <v>0</v>
      </c>
      <c r="BE951" s="166">
        <v>0</v>
      </c>
      <c r="BF951" s="166">
        <v>0</v>
      </c>
      <c r="BG951" s="166">
        <v>0</v>
      </c>
      <c r="BH951" s="166">
        <v>0</v>
      </c>
      <c r="BI951" s="166">
        <v>0</v>
      </c>
      <c r="BJ951" s="166">
        <v>0</v>
      </c>
      <c r="BK951" s="166">
        <v>0</v>
      </c>
      <c r="BL951" s="166">
        <v>0</v>
      </c>
      <c r="BM951" s="166">
        <v>0</v>
      </c>
      <c r="BN951" s="166">
        <v>0</v>
      </c>
      <c r="BO951" s="166">
        <v>0</v>
      </c>
      <c r="BP951" s="166">
        <v>0</v>
      </c>
      <c r="BQ951" s="81" t="s">
        <v>1757</v>
      </c>
      <c r="BX951" s="81" t="s">
        <v>155</v>
      </c>
      <c r="BZ951" s="81" t="s">
        <v>155</v>
      </c>
      <c r="CA951" s="81" t="s">
        <v>3936</v>
      </c>
      <c r="CC951" s="167">
        <v>0</v>
      </c>
      <c r="CD951" s="167">
        <v>0</v>
      </c>
      <c r="CE951" s="167">
        <v>0</v>
      </c>
      <c r="CF951" s="167">
        <v>0</v>
      </c>
      <c r="CG951" s="167">
        <v>0</v>
      </c>
      <c r="CH951" s="167">
        <v>0</v>
      </c>
      <c r="CI951" s="167">
        <f>$N951/5</f>
        <v>3.6</v>
      </c>
      <c r="CJ951" s="167">
        <f>$N951/5</f>
        <v>3.6</v>
      </c>
      <c r="CK951" s="167">
        <f>$N951/5</f>
        <v>3.6</v>
      </c>
      <c r="CL951" s="167">
        <f>$N951/5</f>
        <v>3.6</v>
      </c>
      <c r="CM951" s="167">
        <f>$N951/5</f>
        <v>3.6</v>
      </c>
      <c r="CN951" s="167">
        <v>0</v>
      </c>
      <c r="CO951" s="167">
        <v>0</v>
      </c>
      <c r="CP951" s="167">
        <v>0</v>
      </c>
      <c r="CQ951" s="167">
        <v>0</v>
      </c>
      <c r="CR951" s="167">
        <v>0</v>
      </c>
      <c r="CS951" s="167">
        <v>0</v>
      </c>
      <c r="CT951" s="167">
        <v>0</v>
      </c>
      <c r="CU951" s="167">
        <v>0</v>
      </c>
      <c r="CV951" s="167">
        <v>0</v>
      </c>
      <c r="CW951" s="167">
        <v>0</v>
      </c>
      <c r="CX951" s="167">
        <f>SUM(CD951:CH951)</f>
        <v>0</v>
      </c>
      <c r="CY951" s="167">
        <f>SUM(CD951:CM951)</f>
        <v>18</v>
      </c>
    </row>
    <row r="952" spans="1:103" ht="12.75" customHeight="1" x14ac:dyDescent="0.2">
      <c r="A952" s="81">
        <v>6208</v>
      </c>
      <c r="B952" s="165" t="s">
        <v>1930</v>
      </c>
      <c r="C952" s="165" t="s">
        <v>1722</v>
      </c>
      <c r="E952" s="165" t="s">
        <v>3428</v>
      </c>
      <c r="G952" s="81">
        <v>526352</v>
      </c>
      <c r="H952" s="81">
        <v>175489</v>
      </c>
      <c r="I952" s="165" t="s">
        <v>257</v>
      </c>
      <c r="L952" s="166">
        <v>0</v>
      </c>
      <c r="M952" s="166">
        <v>71</v>
      </c>
      <c r="N952" s="166">
        <v>71</v>
      </c>
      <c r="O952" s="166">
        <v>89</v>
      </c>
      <c r="P952" s="166">
        <v>89</v>
      </c>
      <c r="Q952" s="81" t="s">
        <v>155</v>
      </c>
      <c r="R952" s="165" t="s">
        <v>1723</v>
      </c>
      <c r="S952" s="81" t="s">
        <v>104</v>
      </c>
      <c r="T952" s="349">
        <v>42627</v>
      </c>
      <c r="U952" s="349">
        <v>42955</v>
      </c>
      <c r="V952" s="81" t="s">
        <v>155</v>
      </c>
      <c r="W952" s="81" t="s">
        <v>114</v>
      </c>
      <c r="Y952" s="81" t="s">
        <v>115</v>
      </c>
      <c r="Z952" s="81" t="s">
        <v>116</v>
      </c>
      <c r="AA952" s="81" t="s">
        <v>116</v>
      </c>
      <c r="AB952" s="81" t="s">
        <v>117</v>
      </c>
      <c r="AC952" s="166">
        <v>0.104999996721745</v>
      </c>
      <c r="AG952" s="81" t="s">
        <v>238</v>
      </c>
      <c r="AH952" s="81" t="s">
        <v>118</v>
      </c>
      <c r="AK952" s="166">
        <v>0</v>
      </c>
      <c r="AL952" s="166">
        <v>64</v>
      </c>
      <c r="AM952" s="166">
        <v>0</v>
      </c>
      <c r="AN952" s="166">
        <v>7</v>
      </c>
      <c r="AO952" s="166">
        <v>0</v>
      </c>
      <c r="AP952" s="166">
        <v>24</v>
      </c>
      <c r="AQ952" s="166">
        <v>42</v>
      </c>
      <c r="AR952" s="166">
        <v>5</v>
      </c>
      <c r="AS952" s="166">
        <v>0</v>
      </c>
      <c r="AT952" s="166">
        <v>0</v>
      </c>
      <c r="AU952" s="166">
        <v>0</v>
      </c>
      <c r="AV952" s="166">
        <v>0</v>
      </c>
      <c r="AW952" s="166">
        <v>24</v>
      </c>
      <c r="AX952" s="166">
        <v>42</v>
      </c>
      <c r="AY952" s="166">
        <v>5</v>
      </c>
      <c r="AZ952" s="166">
        <v>0</v>
      </c>
      <c r="BA952" s="166">
        <v>0</v>
      </c>
      <c r="BB952" s="166">
        <v>0</v>
      </c>
      <c r="BC952" s="166">
        <v>0</v>
      </c>
      <c r="BD952" s="166">
        <v>0</v>
      </c>
      <c r="BE952" s="166">
        <v>0</v>
      </c>
      <c r="BF952" s="166">
        <v>0</v>
      </c>
      <c r="BG952" s="166">
        <v>0</v>
      </c>
      <c r="BH952" s="166">
        <v>0</v>
      </c>
      <c r="BI952" s="166">
        <v>0</v>
      </c>
      <c r="BJ952" s="166">
        <v>0</v>
      </c>
      <c r="BK952" s="166">
        <v>0</v>
      </c>
      <c r="BL952" s="166">
        <v>0</v>
      </c>
      <c r="BM952" s="166">
        <v>0</v>
      </c>
      <c r="BN952" s="166">
        <v>0</v>
      </c>
      <c r="BO952" s="166">
        <v>0</v>
      </c>
      <c r="BP952" s="166">
        <v>0</v>
      </c>
      <c r="BQ952" s="81" t="s">
        <v>1757</v>
      </c>
      <c r="BX952" s="81" t="s">
        <v>155</v>
      </c>
      <c r="BZ952" s="81" t="s">
        <v>155</v>
      </c>
      <c r="CA952" s="81" t="s">
        <v>3936</v>
      </c>
      <c r="CC952" s="167">
        <v>0</v>
      </c>
      <c r="CD952" s="167">
        <v>0</v>
      </c>
      <c r="CE952" s="167">
        <v>0</v>
      </c>
      <c r="CF952" s="167">
        <v>0</v>
      </c>
      <c r="CG952" s="167">
        <v>0</v>
      </c>
      <c r="CH952" s="167">
        <v>0</v>
      </c>
      <c r="CI952" s="167">
        <f>$N952/5</f>
        <v>14.2</v>
      </c>
      <c r="CJ952" s="167">
        <f>$N952/5</f>
        <v>14.2</v>
      </c>
      <c r="CK952" s="167">
        <f>$N952/5</f>
        <v>14.2</v>
      </c>
      <c r="CL952" s="167">
        <f>$N952/5</f>
        <v>14.2</v>
      </c>
      <c r="CM952" s="167">
        <f>$N952/5</f>
        <v>14.2</v>
      </c>
      <c r="CN952" s="167">
        <v>0</v>
      </c>
      <c r="CO952" s="167">
        <v>0</v>
      </c>
      <c r="CP952" s="167">
        <v>0</v>
      </c>
      <c r="CQ952" s="167">
        <v>0</v>
      </c>
      <c r="CR952" s="167">
        <v>0</v>
      </c>
      <c r="CS952" s="167">
        <v>0</v>
      </c>
      <c r="CT952" s="167">
        <v>0</v>
      </c>
      <c r="CU952" s="167">
        <v>0</v>
      </c>
      <c r="CV952" s="167">
        <v>0</v>
      </c>
      <c r="CW952" s="167">
        <v>0</v>
      </c>
      <c r="CX952" s="167">
        <f>SUM(CD952:CH952)</f>
        <v>0</v>
      </c>
      <c r="CY952" s="167">
        <f>SUM(CD952:CM952)</f>
        <v>71</v>
      </c>
    </row>
    <row r="953" spans="1:103" ht="12.75" customHeight="1" x14ac:dyDescent="0.2">
      <c r="A953" s="81">
        <v>6211</v>
      </c>
      <c r="B953" s="165" t="s">
        <v>1930</v>
      </c>
      <c r="C953" s="165" t="s">
        <v>1199</v>
      </c>
      <c r="E953" s="165" t="s">
        <v>2690</v>
      </c>
      <c r="G953" s="81">
        <v>528429</v>
      </c>
      <c r="H953" s="81">
        <v>172911</v>
      </c>
      <c r="I953" s="165" t="s">
        <v>248</v>
      </c>
      <c r="L953" s="166">
        <v>0</v>
      </c>
      <c r="M953" s="166">
        <v>2</v>
      </c>
      <c r="N953" s="166">
        <v>2</v>
      </c>
      <c r="O953" s="166">
        <v>2</v>
      </c>
      <c r="P953" s="166">
        <v>2</v>
      </c>
      <c r="R953" s="165" t="s">
        <v>1200</v>
      </c>
      <c r="S953" s="81" t="s">
        <v>113</v>
      </c>
      <c r="T953" s="349">
        <v>42501</v>
      </c>
      <c r="U953" s="349">
        <v>42541</v>
      </c>
      <c r="W953" s="81" t="s">
        <v>114</v>
      </c>
      <c r="Y953" s="81" t="s">
        <v>115</v>
      </c>
      <c r="Z953" s="81" t="s">
        <v>219</v>
      </c>
      <c r="AA953" s="81" t="s">
        <v>117</v>
      </c>
      <c r="AB953" s="81" t="s">
        <v>3889</v>
      </c>
      <c r="AC953" s="166">
        <v>1.2000000104308101E-2</v>
      </c>
      <c r="AG953" s="81" t="s">
        <v>238</v>
      </c>
      <c r="AH953" s="81" t="s">
        <v>118</v>
      </c>
      <c r="AK953" s="166">
        <v>0</v>
      </c>
      <c r="AM953" s="166">
        <v>0</v>
      </c>
      <c r="AO953" s="166">
        <v>0</v>
      </c>
      <c r="AP953" s="166">
        <v>2</v>
      </c>
      <c r="AQ953" s="166">
        <v>0</v>
      </c>
      <c r="AR953" s="166">
        <v>0</v>
      </c>
      <c r="AS953" s="166">
        <v>0</v>
      </c>
      <c r="AT953" s="166">
        <v>0</v>
      </c>
      <c r="AU953" s="166">
        <v>0</v>
      </c>
      <c r="AV953" s="166">
        <v>0</v>
      </c>
      <c r="AW953" s="166">
        <v>2</v>
      </c>
      <c r="AX953" s="166">
        <v>0</v>
      </c>
      <c r="AY953" s="166">
        <v>0</v>
      </c>
      <c r="AZ953" s="166">
        <v>0</v>
      </c>
      <c r="BA953" s="166">
        <v>0</v>
      </c>
      <c r="BB953" s="166">
        <v>0</v>
      </c>
      <c r="BC953" s="166">
        <v>0</v>
      </c>
      <c r="BD953" s="166">
        <v>0</v>
      </c>
      <c r="BE953" s="166">
        <v>0</v>
      </c>
      <c r="BF953" s="166">
        <v>0</v>
      </c>
      <c r="BG953" s="166">
        <v>0</v>
      </c>
      <c r="BH953" s="166">
        <v>0</v>
      </c>
      <c r="BI953" s="166">
        <v>0</v>
      </c>
      <c r="BJ953" s="166">
        <v>0</v>
      </c>
      <c r="BK953" s="166">
        <v>0</v>
      </c>
      <c r="BL953" s="166">
        <v>0</v>
      </c>
      <c r="BM953" s="166">
        <v>0</v>
      </c>
      <c r="BN953" s="166">
        <v>0</v>
      </c>
      <c r="BO953" s="166">
        <v>0</v>
      </c>
      <c r="BP953" s="166">
        <v>0</v>
      </c>
      <c r="BQ953" s="81" t="s">
        <v>1757</v>
      </c>
      <c r="BZ953" s="81" t="s">
        <v>155</v>
      </c>
      <c r="CA953" s="81" t="s">
        <v>1937</v>
      </c>
      <c r="CC953" s="167">
        <v>0</v>
      </c>
      <c r="CD953" s="167">
        <f>$N953/4</f>
        <v>0.5</v>
      </c>
      <c r="CE953" s="167">
        <f>$N953/4</f>
        <v>0.5</v>
      </c>
      <c r="CF953" s="167">
        <f>$N953/4</f>
        <v>0.5</v>
      </c>
      <c r="CG953" s="167">
        <f>$N953/4</f>
        <v>0.5</v>
      </c>
      <c r="CH953" s="167">
        <v>0</v>
      </c>
      <c r="CI953" s="167">
        <v>0</v>
      </c>
      <c r="CJ953" s="167">
        <v>0</v>
      </c>
      <c r="CK953" s="167">
        <v>0</v>
      </c>
      <c r="CL953" s="167">
        <v>0</v>
      </c>
      <c r="CM953" s="167">
        <v>0</v>
      </c>
      <c r="CN953" s="167">
        <v>0</v>
      </c>
      <c r="CO953" s="167">
        <v>0</v>
      </c>
      <c r="CP953" s="167">
        <v>0</v>
      </c>
      <c r="CQ953" s="167">
        <v>0</v>
      </c>
      <c r="CR953" s="167">
        <v>0</v>
      </c>
      <c r="CS953" s="167">
        <v>0</v>
      </c>
      <c r="CT953" s="167">
        <v>0</v>
      </c>
      <c r="CU953" s="167">
        <v>0</v>
      </c>
      <c r="CV953" s="167">
        <v>0</v>
      </c>
      <c r="CW953" s="167">
        <v>0</v>
      </c>
      <c r="CX953" s="167">
        <f>SUM(CD953:CH953)</f>
        <v>2</v>
      </c>
      <c r="CY953" s="167">
        <f>SUM(CD953:CM953)</f>
        <v>2</v>
      </c>
    </row>
    <row r="954" spans="1:103" ht="12.75" customHeight="1" x14ac:dyDescent="0.2">
      <c r="A954" s="81">
        <v>6212</v>
      </c>
      <c r="B954" s="165" t="s">
        <v>1930</v>
      </c>
      <c r="C954" s="165" t="s">
        <v>1244</v>
      </c>
      <c r="E954" s="165" t="s">
        <v>2147</v>
      </c>
      <c r="G954" s="81">
        <v>529084</v>
      </c>
      <c r="H954" s="81">
        <v>173102</v>
      </c>
      <c r="I954" s="165" t="s">
        <v>247</v>
      </c>
      <c r="L954" s="166">
        <v>1</v>
      </c>
      <c r="M954" s="166">
        <v>3</v>
      </c>
      <c r="N954" s="166">
        <v>2</v>
      </c>
      <c r="O954" s="166">
        <v>3</v>
      </c>
      <c r="P954" s="166">
        <v>2</v>
      </c>
      <c r="R954" s="165" t="s">
        <v>1245</v>
      </c>
      <c r="S954" s="81" t="s">
        <v>113</v>
      </c>
      <c r="T954" s="349">
        <v>42486</v>
      </c>
      <c r="U954" s="349">
        <v>42542</v>
      </c>
      <c r="W954" s="81" t="s">
        <v>114</v>
      </c>
      <c r="Y954" s="81" t="s">
        <v>115</v>
      </c>
      <c r="Z954" s="81" t="s">
        <v>398</v>
      </c>
      <c r="AA954" s="81" t="s">
        <v>117</v>
      </c>
      <c r="AB954" s="81" t="s">
        <v>120</v>
      </c>
      <c r="AC954" s="166">
        <v>2.5000000372528999E-2</v>
      </c>
      <c r="AG954" s="81" t="s">
        <v>238</v>
      </c>
      <c r="AH954" s="81" t="s">
        <v>118</v>
      </c>
      <c r="AK954" s="166">
        <v>0</v>
      </c>
      <c r="AM954" s="166">
        <v>0</v>
      </c>
      <c r="AO954" s="166">
        <v>0</v>
      </c>
      <c r="AP954" s="166">
        <v>1</v>
      </c>
      <c r="AQ954" s="166">
        <v>1</v>
      </c>
      <c r="AR954" s="166">
        <v>1</v>
      </c>
      <c r="AS954" s="166">
        <v>-1</v>
      </c>
      <c r="AT954" s="166">
        <v>0</v>
      </c>
      <c r="AU954" s="166">
        <v>0</v>
      </c>
      <c r="AV954" s="166">
        <v>0</v>
      </c>
      <c r="AW954" s="166">
        <v>1</v>
      </c>
      <c r="AX954" s="166">
        <v>1</v>
      </c>
      <c r="AY954" s="166">
        <v>1</v>
      </c>
      <c r="AZ954" s="166">
        <v>0</v>
      </c>
      <c r="BA954" s="166">
        <v>0</v>
      </c>
      <c r="BB954" s="166">
        <v>0</v>
      </c>
      <c r="BC954" s="166">
        <v>0</v>
      </c>
      <c r="BD954" s="166">
        <v>0</v>
      </c>
      <c r="BE954" s="166">
        <v>0</v>
      </c>
      <c r="BF954" s="166">
        <v>0</v>
      </c>
      <c r="BG954" s="166">
        <v>-1</v>
      </c>
      <c r="BH954" s="166">
        <v>0</v>
      </c>
      <c r="BI954" s="166">
        <v>0</v>
      </c>
      <c r="BJ954" s="166">
        <v>0</v>
      </c>
      <c r="BK954" s="166">
        <v>0</v>
      </c>
      <c r="BL954" s="166">
        <v>0</v>
      </c>
      <c r="BM954" s="166">
        <v>0</v>
      </c>
      <c r="BN954" s="166">
        <v>0</v>
      </c>
      <c r="BO954" s="166">
        <v>0</v>
      </c>
      <c r="BP954" s="166">
        <v>0</v>
      </c>
      <c r="BQ954" s="81" t="s">
        <v>1757</v>
      </c>
      <c r="BZ954" s="81" t="s">
        <v>155</v>
      </c>
      <c r="CA954" s="81" t="s">
        <v>1937</v>
      </c>
      <c r="CC954" s="167">
        <v>0</v>
      </c>
      <c r="CD954" s="167">
        <f>$N954/4</f>
        <v>0.5</v>
      </c>
      <c r="CE954" s="167">
        <f>$N954/4</f>
        <v>0.5</v>
      </c>
      <c r="CF954" s="167">
        <f>$N954/4</f>
        <v>0.5</v>
      </c>
      <c r="CG954" s="167">
        <f>$N954/4</f>
        <v>0.5</v>
      </c>
      <c r="CH954" s="167">
        <v>0</v>
      </c>
      <c r="CI954" s="167">
        <v>0</v>
      </c>
      <c r="CJ954" s="167">
        <v>0</v>
      </c>
      <c r="CK954" s="167">
        <v>0</v>
      </c>
      <c r="CL954" s="167">
        <v>0</v>
      </c>
      <c r="CM954" s="167">
        <v>0</v>
      </c>
      <c r="CN954" s="167">
        <v>0</v>
      </c>
      <c r="CO954" s="167">
        <v>0</v>
      </c>
      <c r="CP954" s="167">
        <v>0</v>
      </c>
      <c r="CQ954" s="167">
        <v>0</v>
      </c>
      <c r="CR954" s="167">
        <v>0</v>
      </c>
      <c r="CS954" s="167">
        <v>0</v>
      </c>
      <c r="CT954" s="167">
        <v>0</v>
      </c>
      <c r="CU954" s="167">
        <v>0</v>
      </c>
      <c r="CV954" s="167">
        <v>0</v>
      </c>
      <c r="CW954" s="167">
        <v>0</v>
      </c>
      <c r="CX954" s="167">
        <f>SUM(CD954:CH954)</f>
        <v>2</v>
      </c>
      <c r="CY954" s="167">
        <f>SUM(CD954:CM954)</f>
        <v>2</v>
      </c>
    </row>
    <row r="955" spans="1:103" ht="12.75" customHeight="1" x14ac:dyDescent="0.2">
      <c r="A955" s="81">
        <v>6214</v>
      </c>
      <c r="B955" s="165" t="s">
        <v>1930</v>
      </c>
      <c r="C955" s="165" t="s">
        <v>1195</v>
      </c>
      <c r="E955" s="165" t="s">
        <v>2691</v>
      </c>
      <c r="G955" s="81">
        <v>521143</v>
      </c>
      <c r="H955" s="81">
        <v>174601</v>
      </c>
      <c r="I955" s="165" t="s">
        <v>877</v>
      </c>
      <c r="L955" s="166">
        <v>1</v>
      </c>
      <c r="M955" s="166">
        <v>1</v>
      </c>
      <c r="N955" s="166">
        <v>0</v>
      </c>
      <c r="O955" s="166">
        <v>1</v>
      </c>
      <c r="P955" s="166">
        <v>0</v>
      </c>
      <c r="R955" s="165" t="s">
        <v>1196</v>
      </c>
      <c r="S955" s="81" t="s">
        <v>113</v>
      </c>
      <c r="T955" s="349">
        <v>42488</v>
      </c>
      <c r="U955" s="349">
        <v>42544</v>
      </c>
      <c r="W955" s="81" t="s">
        <v>114</v>
      </c>
      <c r="Y955" s="81" t="s">
        <v>115</v>
      </c>
      <c r="Z955" s="81" t="s">
        <v>116</v>
      </c>
      <c r="AA955" s="81" t="s">
        <v>117</v>
      </c>
      <c r="AB955" s="81" t="s">
        <v>218</v>
      </c>
      <c r="AC955" s="166">
        <v>0.125</v>
      </c>
      <c r="AG955" s="81" t="s">
        <v>238</v>
      </c>
      <c r="AH955" s="81" t="s">
        <v>118</v>
      </c>
      <c r="AK955" s="166">
        <v>1</v>
      </c>
      <c r="AM955" s="166">
        <v>0</v>
      </c>
      <c r="AO955" s="166">
        <v>0</v>
      </c>
      <c r="AP955" s="166">
        <v>0</v>
      </c>
      <c r="AQ955" s="166">
        <v>0</v>
      </c>
      <c r="AR955" s="166">
        <v>0</v>
      </c>
      <c r="AS955" s="166">
        <v>0</v>
      </c>
      <c r="AT955" s="166">
        <v>0</v>
      </c>
      <c r="AU955" s="166">
        <v>0</v>
      </c>
      <c r="AV955" s="166">
        <v>0</v>
      </c>
      <c r="AW955" s="166">
        <v>0</v>
      </c>
      <c r="AX955" s="166">
        <v>0</v>
      </c>
      <c r="AY955" s="166">
        <v>0</v>
      </c>
      <c r="AZ955" s="166">
        <v>0</v>
      </c>
      <c r="BA955" s="166">
        <v>0</v>
      </c>
      <c r="BB955" s="166">
        <v>0</v>
      </c>
      <c r="BC955" s="166">
        <v>0</v>
      </c>
      <c r="BD955" s="166">
        <v>0</v>
      </c>
      <c r="BE955" s="166">
        <v>0</v>
      </c>
      <c r="BF955" s="166">
        <v>0</v>
      </c>
      <c r="BG955" s="166">
        <v>0</v>
      </c>
      <c r="BH955" s="166">
        <v>0</v>
      </c>
      <c r="BI955" s="166">
        <v>0</v>
      </c>
      <c r="BJ955" s="166">
        <v>0</v>
      </c>
      <c r="BK955" s="166">
        <v>0</v>
      </c>
      <c r="BL955" s="166">
        <v>0</v>
      </c>
      <c r="BM955" s="166">
        <v>0</v>
      </c>
      <c r="BN955" s="166">
        <v>0</v>
      </c>
      <c r="BO955" s="166">
        <v>0</v>
      </c>
      <c r="BP955" s="166">
        <v>0</v>
      </c>
      <c r="BQ955" s="81" t="s">
        <v>1758</v>
      </c>
      <c r="BZ955" s="81" t="s">
        <v>155</v>
      </c>
      <c r="CA955" s="81">
        <v>4</v>
      </c>
      <c r="CC955" s="167">
        <v>0</v>
      </c>
      <c r="CD955" s="167">
        <v>0</v>
      </c>
      <c r="CE955" s="167">
        <f>$N955/5</f>
        <v>0</v>
      </c>
      <c r="CF955" s="167">
        <f>$N955/5</f>
        <v>0</v>
      </c>
      <c r="CG955" s="167">
        <f>$N955/5</f>
        <v>0</v>
      </c>
      <c r="CH955" s="167">
        <f>$N955/5</f>
        <v>0</v>
      </c>
      <c r="CI955" s="167">
        <f>$N955/5</f>
        <v>0</v>
      </c>
      <c r="CJ955" s="167">
        <v>0</v>
      </c>
      <c r="CK955" s="167">
        <v>0</v>
      </c>
      <c r="CL955" s="167">
        <v>0</v>
      </c>
      <c r="CM955" s="167">
        <v>0</v>
      </c>
      <c r="CN955" s="167">
        <v>0</v>
      </c>
      <c r="CO955" s="167">
        <v>0</v>
      </c>
      <c r="CP955" s="167">
        <v>0</v>
      </c>
      <c r="CQ955" s="167">
        <v>0</v>
      </c>
      <c r="CR955" s="167">
        <v>0</v>
      </c>
      <c r="CS955" s="167">
        <v>0</v>
      </c>
      <c r="CT955" s="167">
        <v>0</v>
      </c>
      <c r="CU955" s="167">
        <v>0</v>
      </c>
      <c r="CV955" s="167">
        <v>0</v>
      </c>
      <c r="CW955" s="167">
        <v>0</v>
      </c>
      <c r="CX955" s="167">
        <f>SUM(CD955:CH955)</f>
        <v>0</v>
      </c>
      <c r="CY955" s="167">
        <f>SUM(CD955:CM955)</f>
        <v>0</v>
      </c>
    </row>
    <row r="956" spans="1:103" ht="12.75" customHeight="1" x14ac:dyDescent="0.2">
      <c r="A956" s="81">
        <v>6221</v>
      </c>
      <c r="B956" s="165" t="s">
        <v>1930</v>
      </c>
      <c r="C956" s="165" t="s">
        <v>1197</v>
      </c>
      <c r="E956" s="165" t="s">
        <v>3430</v>
      </c>
      <c r="G956" s="81">
        <v>526099</v>
      </c>
      <c r="H956" s="81">
        <v>173957</v>
      </c>
      <c r="I956" s="165" t="s">
        <v>260</v>
      </c>
      <c r="L956" s="166">
        <v>24</v>
      </c>
      <c r="M956" s="166">
        <v>24</v>
      </c>
      <c r="N956" s="166">
        <v>0</v>
      </c>
      <c r="O956" s="166">
        <v>31</v>
      </c>
      <c r="P956" s="166">
        <v>7</v>
      </c>
      <c r="Q956" s="81" t="s">
        <v>155</v>
      </c>
      <c r="R956" s="165" t="s">
        <v>1198</v>
      </c>
      <c r="S956" s="81" t="s">
        <v>113</v>
      </c>
      <c r="T956" s="349">
        <v>42467</v>
      </c>
      <c r="U956" s="349">
        <v>42691</v>
      </c>
      <c r="W956" s="81" t="s">
        <v>114</v>
      </c>
      <c r="Y956" s="81" t="s">
        <v>115</v>
      </c>
      <c r="Z956" s="81" t="s">
        <v>398</v>
      </c>
      <c r="AA956" s="81" t="s">
        <v>117</v>
      </c>
      <c r="AB956" s="81" t="s">
        <v>300</v>
      </c>
      <c r="AC956" s="166">
        <v>9.2000000178813907E-2</v>
      </c>
      <c r="AG956" s="81" t="s">
        <v>238</v>
      </c>
      <c r="AH956" s="81" t="s">
        <v>118</v>
      </c>
      <c r="AK956" s="166">
        <v>0</v>
      </c>
      <c r="AM956" s="166">
        <v>0</v>
      </c>
      <c r="AO956" s="166">
        <v>4</v>
      </c>
      <c r="AP956" s="166">
        <v>-4</v>
      </c>
      <c r="AQ956" s="166">
        <v>0</v>
      </c>
      <c r="AR956" s="166">
        <v>0</v>
      </c>
      <c r="AS956" s="166">
        <v>0</v>
      </c>
      <c r="AT956" s="166">
        <v>0</v>
      </c>
      <c r="AU956" s="166">
        <v>0</v>
      </c>
      <c r="AV956" s="166">
        <v>4</v>
      </c>
      <c r="AW956" s="166">
        <v>-4</v>
      </c>
      <c r="AX956" s="166">
        <v>0</v>
      </c>
      <c r="AY956" s="166">
        <v>0</v>
      </c>
      <c r="AZ956" s="166">
        <v>0</v>
      </c>
      <c r="BA956" s="166">
        <v>0</v>
      </c>
      <c r="BB956" s="166">
        <v>0</v>
      </c>
      <c r="BC956" s="166">
        <v>0</v>
      </c>
      <c r="BD956" s="166">
        <v>0</v>
      </c>
      <c r="BE956" s="166">
        <v>0</v>
      </c>
      <c r="BF956" s="166">
        <v>0</v>
      </c>
      <c r="BG956" s="166">
        <v>0</v>
      </c>
      <c r="BH956" s="166">
        <v>0</v>
      </c>
      <c r="BI956" s="166">
        <v>0</v>
      </c>
      <c r="BJ956" s="166">
        <v>0</v>
      </c>
      <c r="BK956" s="166">
        <v>0</v>
      </c>
      <c r="BL956" s="166">
        <v>0</v>
      </c>
      <c r="BM956" s="166">
        <v>0</v>
      </c>
      <c r="BN956" s="166">
        <v>0</v>
      </c>
      <c r="BO956" s="166">
        <v>0</v>
      </c>
      <c r="BP956" s="166">
        <v>0</v>
      </c>
      <c r="BQ956" s="81" t="s">
        <v>1758</v>
      </c>
      <c r="BZ956" s="81" t="s">
        <v>155</v>
      </c>
      <c r="CA956" s="81" t="s">
        <v>3936</v>
      </c>
      <c r="CC956" s="167">
        <v>0</v>
      </c>
      <c r="CD956" s="167">
        <v>0</v>
      </c>
      <c r="CE956" s="167">
        <v>0</v>
      </c>
      <c r="CF956" s="167">
        <v>0</v>
      </c>
      <c r="CG956" s="167">
        <v>0</v>
      </c>
      <c r="CH956" s="167">
        <v>0</v>
      </c>
      <c r="CI956" s="167">
        <f>$N956/3</f>
        <v>0</v>
      </c>
      <c r="CJ956" s="167">
        <f>$N956/3</f>
        <v>0</v>
      </c>
      <c r="CK956" s="167">
        <f>$N956/3</f>
        <v>0</v>
      </c>
      <c r="CL956" s="167">
        <v>0</v>
      </c>
      <c r="CM956" s="167">
        <v>0</v>
      </c>
      <c r="CN956" s="167">
        <v>0</v>
      </c>
      <c r="CO956" s="167">
        <v>0</v>
      </c>
      <c r="CP956" s="167">
        <v>0</v>
      </c>
      <c r="CQ956" s="167">
        <v>0</v>
      </c>
      <c r="CR956" s="167">
        <v>0</v>
      </c>
      <c r="CS956" s="167">
        <v>0</v>
      </c>
      <c r="CT956" s="167">
        <v>0</v>
      </c>
      <c r="CU956" s="167">
        <v>0</v>
      </c>
      <c r="CV956" s="167">
        <v>0</v>
      </c>
      <c r="CW956" s="167">
        <v>0</v>
      </c>
      <c r="CX956" s="167">
        <f>SUM(CD956:CH956)</f>
        <v>0</v>
      </c>
      <c r="CY956" s="167">
        <f>SUM(CD956:CM956)</f>
        <v>0</v>
      </c>
    </row>
    <row r="957" spans="1:103" ht="12.75" customHeight="1" x14ac:dyDescent="0.2">
      <c r="A957" s="81">
        <v>6221</v>
      </c>
      <c r="B957" s="165" t="s">
        <v>1930</v>
      </c>
      <c r="C957" s="165" t="s">
        <v>1197</v>
      </c>
      <c r="E957" s="165" t="s">
        <v>3430</v>
      </c>
      <c r="G957" s="81">
        <v>526099</v>
      </c>
      <c r="H957" s="81">
        <v>173957</v>
      </c>
      <c r="I957" s="165" t="s">
        <v>260</v>
      </c>
      <c r="L957" s="166">
        <v>0</v>
      </c>
      <c r="M957" s="166">
        <v>7</v>
      </c>
      <c r="N957" s="166">
        <v>7</v>
      </c>
      <c r="O957" s="166">
        <v>31</v>
      </c>
      <c r="P957" s="166">
        <v>7</v>
      </c>
      <c r="Q957" s="81" t="s">
        <v>155</v>
      </c>
      <c r="R957" s="165" t="s">
        <v>1198</v>
      </c>
      <c r="S957" s="81" t="s">
        <v>113</v>
      </c>
      <c r="T957" s="349">
        <v>42467</v>
      </c>
      <c r="U957" s="349">
        <v>42691</v>
      </c>
      <c r="W957" s="81" t="s">
        <v>114</v>
      </c>
      <c r="Y957" s="81" t="s">
        <v>115</v>
      </c>
      <c r="Z957" s="81" t="s">
        <v>398</v>
      </c>
      <c r="AA957" s="81" t="s">
        <v>117</v>
      </c>
      <c r="AB957" s="81" t="s">
        <v>218</v>
      </c>
      <c r="AC957" s="166">
        <v>5.2000001072883599E-2</v>
      </c>
      <c r="AG957" s="81" t="s">
        <v>238</v>
      </c>
      <c r="AH957" s="81" t="s">
        <v>118</v>
      </c>
      <c r="AK957" s="166">
        <v>0</v>
      </c>
      <c r="AM957" s="166">
        <v>0</v>
      </c>
      <c r="AO957" s="166">
        <v>0</v>
      </c>
      <c r="AP957" s="166">
        <v>0</v>
      </c>
      <c r="AQ957" s="166">
        <v>7</v>
      </c>
      <c r="AR957" s="166">
        <v>0</v>
      </c>
      <c r="AS957" s="166">
        <v>0</v>
      </c>
      <c r="AT957" s="166">
        <v>0</v>
      </c>
      <c r="AU957" s="166">
        <v>0</v>
      </c>
      <c r="AV957" s="166">
        <v>0</v>
      </c>
      <c r="AW957" s="166">
        <v>0</v>
      </c>
      <c r="AX957" s="166">
        <v>7</v>
      </c>
      <c r="AY957" s="166">
        <v>0</v>
      </c>
      <c r="AZ957" s="166">
        <v>0</v>
      </c>
      <c r="BA957" s="166">
        <v>0</v>
      </c>
      <c r="BB957" s="166">
        <v>0</v>
      </c>
      <c r="BC957" s="166">
        <v>0</v>
      </c>
      <c r="BD957" s="166">
        <v>0</v>
      </c>
      <c r="BE957" s="166">
        <v>0</v>
      </c>
      <c r="BF957" s="166">
        <v>0</v>
      </c>
      <c r="BG957" s="166">
        <v>0</v>
      </c>
      <c r="BH957" s="166">
        <v>0</v>
      </c>
      <c r="BI957" s="166">
        <v>0</v>
      </c>
      <c r="BJ957" s="166">
        <v>0</v>
      </c>
      <c r="BK957" s="166">
        <v>0</v>
      </c>
      <c r="BL957" s="166">
        <v>0</v>
      </c>
      <c r="BM957" s="166">
        <v>0</v>
      </c>
      <c r="BN957" s="166">
        <v>0</v>
      </c>
      <c r="BO957" s="166">
        <v>0</v>
      </c>
      <c r="BP957" s="166">
        <v>0</v>
      </c>
      <c r="BQ957" s="81" t="s">
        <v>1758</v>
      </c>
      <c r="BZ957" s="81" t="s">
        <v>155</v>
      </c>
      <c r="CA957" s="81" t="s">
        <v>3936</v>
      </c>
      <c r="CC957" s="167">
        <v>0</v>
      </c>
      <c r="CD957" s="167">
        <v>0</v>
      </c>
      <c r="CE957" s="167">
        <v>0</v>
      </c>
      <c r="CF957" s="167">
        <v>0</v>
      </c>
      <c r="CG957" s="167">
        <v>0</v>
      </c>
      <c r="CH957" s="167">
        <v>0</v>
      </c>
      <c r="CI957" s="167">
        <f>$N957/3</f>
        <v>2.3333333333333335</v>
      </c>
      <c r="CJ957" s="167">
        <f>$N957/3</f>
        <v>2.3333333333333335</v>
      </c>
      <c r="CK957" s="167">
        <f>$N957/3</f>
        <v>2.3333333333333335</v>
      </c>
      <c r="CL957" s="167">
        <v>0</v>
      </c>
      <c r="CM957" s="167">
        <v>0</v>
      </c>
      <c r="CN957" s="167">
        <v>0</v>
      </c>
      <c r="CO957" s="167">
        <v>0</v>
      </c>
      <c r="CP957" s="167">
        <v>0</v>
      </c>
      <c r="CQ957" s="167">
        <v>0</v>
      </c>
      <c r="CR957" s="167">
        <v>0</v>
      </c>
      <c r="CS957" s="167">
        <v>0</v>
      </c>
      <c r="CT957" s="167">
        <v>0</v>
      </c>
      <c r="CU957" s="167">
        <v>0</v>
      </c>
      <c r="CV957" s="167">
        <v>0</v>
      </c>
      <c r="CW957" s="167">
        <v>0</v>
      </c>
      <c r="CX957" s="167">
        <f>SUM(CD957:CH957)</f>
        <v>0</v>
      </c>
      <c r="CY957" s="167">
        <f>SUM(CD957:CM957)</f>
        <v>7</v>
      </c>
    </row>
    <row r="958" spans="1:103" ht="12.75" customHeight="1" x14ac:dyDescent="0.2">
      <c r="A958" s="81">
        <v>6223</v>
      </c>
      <c r="B958" s="165" t="s">
        <v>1930</v>
      </c>
      <c r="C958" s="165" t="s">
        <v>1384</v>
      </c>
      <c r="D958" s="165" t="s">
        <v>2107</v>
      </c>
      <c r="E958" s="165" t="s">
        <v>2694</v>
      </c>
      <c r="G958" s="81">
        <v>527302</v>
      </c>
      <c r="H958" s="81">
        <v>177164</v>
      </c>
      <c r="I958" s="165" t="s">
        <v>257</v>
      </c>
      <c r="L958" s="166">
        <v>0</v>
      </c>
      <c r="M958" s="166">
        <v>4</v>
      </c>
      <c r="N958" s="166">
        <v>4</v>
      </c>
      <c r="O958" s="166">
        <v>4</v>
      </c>
      <c r="P958" s="166">
        <v>4</v>
      </c>
      <c r="R958" s="165" t="s">
        <v>1385</v>
      </c>
      <c r="S958" s="81" t="s">
        <v>110</v>
      </c>
      <c r="T958" s="349">
        <v>42600</v>
      </c>
      <c r="U958" s="349">
        <v>42656</v>
      </c>
      <c r="W958" s="81" t="s">
        <v>114</v>
      </c>
      <c r="Y958" s="81" t="s">
        <v>115</v>
      </c>
      <c r="Z958" s="81" t="s">
        <v>310</v>
      </c>
      <c r="AA958" s="81" t="s">
        <v>117</v>
      </c>
      <c r="AB958" s="81" t="s">
        <v>399</v>
      </c>
      <c r="AC958" s="166">
        <v>2.19999998807907E-2</v>
      </c>
      <c r="AG958" s="81" t="s">
        <v>238</v>
      </c>
      <c r="AH958" s="81" t="s">
        <v>118</v>
      </c>
      <c r="AK958" s="166">
        <v>0</v>
      </c>
      <c r="AM958" s="166">
        <v>0</v>
      </c>
      <c r="AO958" s="166">
        <v>0</v>
      </c>
      <c r="AP958" s="166">
        <v>2</v>
      </c>
      <c r="AQ958" s="166">
        <v>2</v>
      </c>
      <c r="AR958" s="166">
        <v>0</v>
      </c>
      <c r="AS958" s="166">
        <v>0</v>
      </c>
      <c r="AT958" s="166">
        <v>0</v>
      </c>
      <c r="AU958" s="166">
        <v>0</v>
      </c>
      <c r="AV958" s="166">
        <v>0</v>
      </c>
      <c r="AW958" s="166">
        <v>2</v>
      </c>
      <c r="AX958" s="166">
        <v>2</v>
      </c>
      <c r="AY958" s="166">
        <v>0</v>
      </c>
      <c r="AZ958" s="166">
        <v>0</v>
      </c>
      <c r="BA958" s="166">
        <v>0</v>
      </c>
      <c r="BB958" s="166">
        <v>0</v>
      </c>
      <c r="BC958" s="166">
        <v>0</v>
      </c>
      <c r="BD958" s="166">
        <v>0</v>
      </c>
      <c r="BE958" s="166">
        <v>0</v>
      </c>
      <c r="BF958" s="166">
        <v>0</v>
      </c>
      <c r="BG958" s="166">
        <v>0</v>
      </c>
      <c r="BH958" s="166">
        <v>0</v>
      </c>
      <c r="BI958" s="166">
        <v>0</v>
      </c>
      <c r="BJ958" s="166">
        <v>0</v>
      </c>
      <c r="BK958" s="166">
        <v>0</v>
      </c>
      <c r="BL958" s="166">
        <v>0</v>
      </c>
      <c r="BM958" s="166">
        <v>0</v>
      </c>
      <c r="BN958" s="166">
        <v>0</v>
      </c>
      <c r="BO958" s="166">
        <v>0</v>
      </c>
      <c r="BP958" s="166">
        <v>0</v>
      </c>
      <c r="BQ958" s="81" t="s">
        <v>1757</v>
      </c>
      <c r="BX958" s="81" t="s">
        <v>155</v>
      </c>
      <c r="BZ958" s="81" t="s">
        <v>155</v>
      </c>
      <c r="CA958" s="81" t="s">
        <v>3972</v>
      </c>
      <c r="CC958" s="167">
        <v>0</v>
      </c>
      <c r="CD958" s="167">
        <f>$N958/4</f>
        <v>1</v>
      </c>
      <c r="CE958" s="167">
        <f>$N958/4</f>
        <v>1</v>
      </c>
      <c r="CF958" s="167">
        <f>$N958/4</f>
        <v>1</v>
      </c>
      <c r="CG958" s="167">
        <f>$N958/4</f>
        <v>1</v>
      </c>
      <c r="CH958" s="167">
        <v>0</v>
      </c>
      <c r="CI958" s="167">
        <v>0</v>
      </c>
      <c r="CJ958" s="167">
        <v>0</v>
      </c>
      <c r="CK958" s="167">
        <v>0</v>
      </c>
      <c r="CL958" s="167">
        <v>0</v>
      </c>
      <c r="CM958" s="167">
        <v>0</v>
      </c>
      <c r="CN958" s="167">
        <v>0</v>
      </c>
      <c r="CO958" s="167">
        <v>0</v>
      </c>
      <c r="CP958" s="167">
        <v>0</v>
      </c>
      <c r="CQ958" s="167">
        <v>0</v>
      </c>
      <c r="CR958" s="167">
        <v>0</v>
      </c>
      <c r="CS958" s="167">
        <v>0</v>
      </c>
      <c r="CT958" s="167">
        <v>0</v>
      </c>
      <c r="CU958" s="167">
        <v>0</v>
      </c>
      <c r="CV958" s="167">
        <v>0</v>
      </c>
      <c r="CW958" s="167">
        <v>0</v>
      </c>
      <c r="CX958" s="167">
        <f>SUM(CD958:CH958)</f>
        <v>4</v>
      </c>
      <c r="CY958" s="167">
        <f>SUM(CD958:CM958)</f>
        <v>4</v>
      </c>
    </row>
    <row r="959" spans="1:103" ht="12.75" customHeight="1" x14ac:dyDescent="0.2">
      <c r="A959" s="81">
        <v>6225</v>
      </c>
      <c r="B959" s="165" t="s">
        <v>1930</v>
      </c>
      <c r="C959" s="165" t="s">
        <v>1235</v>
      </c>
      <c r="E959" s="165" t="s">
        <v>2695</v>
      </c>
      <c r="G959" s="81">
        <v>525212</v>
      </c>
      <c r="H959" s="81">
        <v>174623</v>
      </c>
      <c r="I959" s="165" t="s">
        <v>250</v>
      </c>
      <c r="L959" s="166">
        <v>0</v>
      </c>
      <c r="M959" s="166">
        <v>3</v>
      </c>
      <c r="N959" s="166">
        <v>3</v>
      </c>
      <c r="O959" s="166">
        <v>3</v>
      </c>
      <c r="P959" s="166">
        <v>3</v>
      </c>
      <c r="R959" s="165" t="s">
        <v>1236</v>
      </c>
      <c r="S959" s="81" t="s">
        <v>113</v>
      </c>
      <c r="T959" s="349">
        <v>42495</v>
      </c>
      <c r="U959" s="349">
        <v>42641</v>
      </c>
      <c r="W959" s="81" t="s">
        <v>114</v>
      </c>
      <c r="Y959" s="81" t="s">
        <v>115</v>
      </c>
      <c r="Z959" s="81" t="s">
        <v>398</v>
      </c>
      <c r="AA959" s="81" t="s">
        <v>117</v>
      </c>
      <c r="AB959" s="81" t="s">
        <v>399</v>
      </c>
      <c r="AC959" s="166">
        <v>9.9999997764825804E-3</v>
      </c>
      <c r="AG959" s="81" t="s">
        <v>238</v>
      </c>
      <c r="AH959" s="81" t="s">
        <v>118</v>
      </c>
      <c r="AK959" s="166">
        <v>0</v>
      </c>
      <c r="AM959" s="166">
        <v>0</v>
      </c>
      <c r="AO959" s="166">
        <v>0</v>
      </c>
      <c r="AP959" s="166">
        <v>2</v>
      </c>
      <c r="AQ959" s="166">
        <v>0</v>
      </c>
      <c r="AR959" s="166">
        <v>1</v>
      </c>
      <c r="AS959" s="166">
        <v>0</v>
      </c>
      <c r="AT959" s="166">
        <v>0</v>
      </c>
      <c r="AU959" s="166">
        <v>0</v>
      </c>
      <c r="AV959" s="166">
        <v>0</v>
      </c>
      <c r="AW959" s="166">
        <v>2</v>
      </c>
      <c r="AX959" s="166">
        <v>0</v>
      </c>
      <c r="AY959" s="166">
        <v>1</v>
      </c>
      <c r="AZ959" s="166">
        <v>0</v>
      </c>
      <c r="BA959" s="166">
        <v>0</v>
      </c>
      <c r="BB959" s="166">
        <v>0</v>
      </c>
      <c r="BC959" s="166">
        <v>0</v>
      </c>
      <c r="BD959" s="166">
        <v>0</v>
      </c>
      <c r="BE959" s="166">
        <v>0</v>
      </c>
      <c r="BF959" s="166">
        <v>0</v>
      </c>
      <c r="BG959" s="166">
        <v>0</v>
      </c>
      <c r="BH959" s="166">
        <v>0</v>
      </c>
      <c r="BI959" s="166">
        <v>0</v>
      </c>
      <c r="BJ959" s="166">
        <v>0</v>
      </c>
      <c r="BK959" s="166">
        <v>0</v>
      </c>
      <c r="BL959" s="166">
        <v>0</v>
      </c>
      <c r="BM959" s="166">
        <v>0</v>
      </c>
      <c r="BN959" s="166">
        <v>0</v>
      </c>
      <c r="BO959" s="166">
        <v>0</v>
      </c>
      <c r="BP959" s="166">
        <v>0</v>
      </c>
      <c r="BQ959" s="81" t="s">
        <v>1758</v>
      </c>
      <c r="BZ959" s="81" t="s">
        <v>155</v>
      </c>
      <c r="CA959" s="81" t="s">
        <v>1937</v>
      </c>
      <c r="CC959" s="167">
        <v>0</v>
      </c>
      <c r="CD959" s="167">
        <f>$N959/4</f>
        <v>0.75</v>
      </c>
      <c r="CE959" s="167">
        <f>$N959/4</f>
        <v>0.75</v>
      </c>
      <c r="CF959" s="167">
        <f>$N959/4</f>
        <v>0.75</v>
      </c>
      <c r="CG959" s="167">
        <f>$N959/4</f>
        <v>0.75</v>
      </c>
      <c r="CH959" s="167">
        <v>0</v>
      </c>
      <c r="CI959" s="167">
        <v>0</v>
      </c>
      <c r="CJ959" s="167">
        <v>0</v>
      </c>
      <c r="CK959" s="167">
        <v>0</v>
      </c>
      <c r="CL959" s="167">
        <v>0</v>
      </c>
      <c r="CM959" s="167">
        <v>0</v>
      </c>
      <c r="CN959" s="167">
        <v>0</v>
      </c>
      <c r="CO959" s="167">
        <v>0</v>
      </c>
      <c r="CP959" s="167">
        <v>0</v>
      </c>
      <c r="CQ959" s="167">
        <v>0</v>
      </c>
      <c r="CR959" s="167">
        <v>0</v>
      </c>
      <c r="CS959" s="167">
        <v>0</v>
      </c>
      <c r="CT959" s="167">
        <v>0</v>
      </c>
      <c r="CU959" s="167">
        <v>0</v>
      </c>
      <c r="CV959" s="167">
        <v>0</v>
      </c>
      <c r="CW959" s="167">
        <v>0</v>
      </c>
      <c r="CX959" s="167">
        <f>SUM(CD959:CH959)</f>
        <v>3</v>
      </c>
      <c r="CY959" s="167">
        <f>SUM(CD959:CM959)</f>
        <v>3</v>
      </c>
    </row>
    <row r="960" spans="1:103" ht="12.75" customHeight="1" x14ac:dyDescent="0.2">
      <c r="A960" s="81">
        <v>6227</v>
      </c>
      <c r="B960" s="165" t="s">
        <v>1930</v>
      </c>
      <c r="C960" s="165" t="s">
        <v>1424</v>
      </c>
      <c r="E960" s="165" t="s">
        <v>2696</v>
      </c>
      <c r="G960" s="81">
        <v>526996</v>
      </c>
      <c r="H960" s="81">
        <v>172953</v>
      </c>
      <c r="I960" s="165" t="s">
        <v>260</v>
      </c>
      <c r="L960" s="166">
        <v>0</v>
      </c>
      <c r="M960" s="166">
        <v>1</v>
      </c>
      <c r="N960" s="166">
        <v>1</v>
      </c>
      <c r="O960" s="166">
        <v>1</v>
      </c>
      <c r="P960" s="166">
        <v>1</v>
      </c>
      <c r="R960" s="165" t="s">
        <v>1425</v>
      </c>
      <c r="S960" s="81" t="s">
        <v>113</v>
      </c>
      <c r="T960" s="349">
        <v>42640</v>
      </c>
      <c r="U960" s="349">
        <v>42753</v>
      </c>
      <c r="W960" s="81" t="s">
        <v>114</v>
      </c>
      <c r="Y960" s="81" t="s">
        <v>115</v>
      </c>
      <c r="Z960" s="81" t="s">
        <v>116</v>
      </c>
      <c r="AA960" s="81" t="s">
        <v>117</v>
      </c>
      <c r="AB960" s="81" t="s">
        <v>218</v>
      </c>
      <c r="AC960" s="166">
        <v>8.9999996125698107E-3</v>
      </c>
      <c r="AG960" s="81" t="s">
        <v>238</v>
      </c>
      <c r="AH960" s="81" t="s">
        <v>118</v>
      </c>
      <c r="AK960" s="166">
        <v>1</v>
      </c>
      <c r="AM960" s="166">
        <v>0</v>
      </c>
      <c r="AO960" s="166">
        <v>0</v>
      </c>
      <c r="AP960" s="166">
        <v>0</v>
      </c>
      <c r="AQ960" s="166">
        <v>0</v>
      </c>
      <c r="AR960" s="166">
        <v>1</v>
      </c>
      <c r="AS960" s="166">
        <v>0</v>
      </c>
      <c r="AT960" s="166">
        <v>0</v>
      </c>
      <c r="AU960" s="166">
        <v>0</v>
      </c>
      <c r="AV960" s="166">
        <v>0</v>
      </c>
      <c r="AW960" s="166">
        <v>0</v>
      </c>
      <c r="AX960" s="166">
        <v>0</v>
      </c>
      <c r="AY960" s="166">
        <v>0</v>
      </c>
      <c r="AZ960" s="166">
        <v>0</v>
      </c>
      <c r="BA960" s="166">
        <v>0</v>
      </c>
      <c r="BB960" s="166">
        <v>0</v>
      </c>
      <c r="BC960" s="166">
        <v>0</v>
      </c>
      <c r="BD960" s="166">
        <v>0</v>
      </c>
      <c r="BE960" s="166">
        <v>0</v>
      </c>
      <c r="BF960" s="166">
        <v>1</v>
      </c>
      <c r="BG960" s="166">
        <v>0</v>
      </c>
      <c r="BH960" s="166">
        <v>0</v>
      </c>
      <c r="BI960" s="166">
        <v>0</v>
      </c>
      <c r="BJ960" s="166">
        <v>0</v>
      </c>
      <c r="BK960" s="166">
        <v>0</v>
      </c>
      <c r="BL960" s="166">
        <v>0</v>
      </c>
      <c r="BM960" s="166">
        <v>0</v>
      </c>
      <c r="BN960" s="166">
        <v>0</v>
      </c>
      <c r="BO960" s="166">
        <v>0</v>
      </c>
      <c r="BP960" s="166">
        <v>0</v>
      </c>
      <c r="BQ960" s="81" t="s">
        <v>1758</v>
      </c>
      <c r="BZ960" s="81" t="s">
        <v>155</v>
      </c>
      <c r="CA960" s="81">
        <v>4</v>
      </c>
      <c r="CC960" s="167">
        <v>0</v>
      </c>
      <c r="CD960" s="167">
        <v>0</v>
      </c>
      <c r="CE960" s="167">
        <f>$N960/5</f>
        <v>0.2</v>
      </c>
      <c r="CF960" s="167">
        <f>$N960/5</f>
        <v>0.2</v>
      </c>
      <c r="CG960" s="167">
        <f>$N960/5</f>
        <v>0.2</v>
      </c>
      <c r="CH960" s="167">
        <f>$N960/5</f>
        <v>0.2</v>
      </c>
      <c r="CI960" s="167">
        <f>$N960/5</f>
        <v>0.2</v>
      </c>
      <c r="CJ960" s="167">
        <v>0</v>
      </c>
      <c r="CK960" s="167">
        <v>0</v>
      </c>
      <c r="CL960" s="167">
        <v>0</v>
      </c>
      <c r="CM960" s="167">
        <v>0</v>
      </c>
      <c r="CN960" s="167">
        <v>0</v>
      </c>
      <c r="CO960" s="167">
        <v>0</v>
      </c>
      <c r="CP960" s="167">
        <v>0</v>
      </c>
      <c r="CQ960" s="167">
        <v>0</v>
      </c>
      <c r="CR960" s="167">
        <v>0</v>
      </c>
      <c r="CS960" s="167">
        <v>0</v>
      </c>
      <c r="CT960" s="167">
        <v>0</v>
      </c>
      <c r="CU960" s="167">
        <v>0</v>
      </c>
      <c r="CV960" s="167">
        <v>0</v>
      </c>
      <c r="CW960" s="167">
        <v>0</v>
      </c>
      <c r="CX960" s="167">
        <f>SUM(CD960:CH960)</f>
        <v>0.8</v>
      </c>
      <c r="CY960" s="167">
        <f>SUM(CD960:CM960)</f>
        <v>1</v>
      </c>
    </row>
    <row r="961" spans="1:103" ht="12.75" customHeight="1" x14ac:dyDescent="0.2">
      <c r="A961" s="81">
        <v>6231</v>
      </c>
      <c r="B961" s="165" t="s">
        <v>1930</v>
      </c>
      <c r="C961" s="165" t="s">
        <v>1253</v>
      </c>
      <c r="E961" s="165" t="s">
        <v>2697</v>
      </c>
      <c r="G961" s="81">
        <v>528546</v>
      </c>
      <c r="H961" s="81">
        <v>173121</v>
      </c>
      <c r="I961" s="165" t="s">
        <v>254</v>
      </c>
      <c r="L961" s="166">
        <v>0</v>
      </c>
      <c r="M961" s="166">
        <v>1</v>
      </c>
      <c r="N961" s="166">
        <v>1</v>
      </c>
      <c r="O961" s="166">
        <v>1</v>
      </c>
      <c r="P961" s="166">
        <v>1</v>
      </c>
      <c r="R961" s="165" t="s">
        <v>1254</v>
      </c>
      <c r="S961" s="81" t="s">
        <v>113</v>
      </c>
      <c r="T961" s="349">
        <v>42501</v>
      </c>
      <c r="U961" s="349">
        <v>42557</v>
      </c>
      <c r="W961" s="81" t="s">
        <v>114</v>
      </c>
      <c r="Y961" s="81" t="s">
        <v>115</v>
      </c>
      <c r="Z961" s="81" t="s">
        <v>116</v>
      </c>
      <c r="AA961" s="81" t="s">
        <v>117</v>
      </c>
      <c r="AB961" s="81" t="s">
        <v>218</v>
      </c>
      <c r="AC961" s="166">
        <v>4.9999998882412902E-3</v>
      </c>
      <c r="AG961" s="81" t="s">
        <v>238</v>
      </c>
      <c r="AH961" s="81" t="s">
        <v>118</v>
      </c>
      <c r="AK961" s="166">
        <v>0</v>
      </c>
      <c r="AM961" s="166">
        <v>0</v>
      </c>
      <c r="AO961" s="166">
        <v>0</v>
      </c>
      <c r="AP961" s="166">
        <v>1</v>
      </c>
      <c r="AQ961" s="166">
        <v>0</v>
      </c>
      <c r="AR961" s="166">
        <v>0</v>
      </c>
      <c r="AS961" s="166">
        <v>0</v>
      </c>
      <c r="AT961" s="166">
        <v>0</v>
      </c>
      <c r="AU961" s="166">
        <v>0</v>
      </c>
      <c r="AV961" s="166">
        <v>0</v>
      </c>
      <c r="AW961" s="166">
        <v>1</v>
      </c>
      <c r="AX961" s="166">
        <v>0</v>
      </c>
      <c r="AY961" s="166">
        <v>0</v>
      </c>
      <c r="AZ961" s="166">
        <v>0</v>
      </c>
      <c r="BA961" s="166">
        <v>0</v>
      </c>
      <c r="BB961" s="166">
        <v>0</v>
      </c>
      <c r="BC961" s="166">
        <v>0</v>
      </c>
      <c r="BD961" s="166">
        <v>0</v>
      </c>
      <c r="BE961" s="166">
        <v>0</v>
      </c>
      <c r="BF961" s="166">
        <v>0</v>
      </c>
      <c r="BG961" s="166">
        <v>0</v>
      </c>
      <c r="BH961" s="166">
        <v>0</v>
      </c>
      <c r="BI961" s="166">
        <v>0</v>
      </c>
      <c r="BJ961" s="166">
        <v>0</v>
      </c>
      <c r="BK961" s="166">
        <v>0</v>
      </c>
      <c r="BL961" s="166">
        <v>0</v>
      </c>
      <c r="BM961" s="166">
        <v>0</v>
      </c>
      <c r="BN961" s="166">
        <v>0</v>
      </c>
      <c r="BO961" s="166">
        <v>0</v>
      </c>
      <c r="BP961" s="166">
        <v>0</v>
      </c>
      <c r="BQ961" s="81" t="s">
        <v>1757</v>
      </c>
      <c r="BZ961" s="81" t="s">
        <v>155</v>
      </c>
      <c r="CA961" s="81">
        <v>4</v>
      </c>
      <c r="CC961" s="167">
        <v>0</v>
      </c>
      <c r="CD961" s="167">
        <v>0</v>
      </c>
      <c r="CE961" s="167">
        <f>$N961/5</f>
        <v>0.2</v>
      </c>
      <c r="CF961" s="167">
        <f>$N961/5</f>
        <v>0.2</v>
      </c>
      <c r="CG961" s="167">
        <f>$N961/5</f>
        <v>0.2</v>
      </c>
      <c r="CH961" s="167">
        <f>$N961/5</f>
        <v>0.2</v>
      </c>
      <c r="CI961" s="167">
        <f>$N961/5</f>
        <v>0.2</v>
      </c>
      <c r="CJ961" s="167">
        <v>0</v>
      </c>
      <c r="CK961" s="167">
        <v>0</v>
      </c>
      <c r="CL961" s="167">
        <v>0</v>
      </c>
      <c r="CM961" s="167">
        <v>0</v>
      </c>
      <c r="CN961" s="167">
        <v>0</v>
      </c>
      <c r="CO961" s="167">
        <v>0</v>
      </c>
      <c r="CP961" s="167">
        <v>0</v>
      </c>
      <c r="CQ961" s="167">
        <v>0</v>
      </c>
      <c r="CR961" s="167">
        <v>0</v>
      </c>
      <c r="CS961" s="167">
        <v>0</v>
      </c>
      <c r="CT961" s="167">
        <v>0</v>
      </c>
      <c r="CU961" s="167">
        <v>0</v>
      </c>
      <c r="CV961" s="167">
        <v>0</v>
      </c>
      <c r="CW961" s="167">
        <v>0</v>
      </c>
      <c r="CX961" s="167">
        <f>SUM(CD961:CH961)</f>
        <v>0.8</v>
      </c>
      <c r="CY961" s="167">
        <f>SUM(CD961:CM961)</f>
        <v>1</v>
      </c>
    </row>
    <row r="962" spans="1:103" ht="12.75" customHeight="1" x14ac:dyDescent="0.2">
      <c r="A962" s="81">
        <v>6236</v>
      </c>
      <c r="B962" s="165" t="s">
        <v>1930</v>
      </c>
      <c r="C962" s="165" t="s">
        <v>1256</v>
      </c>
      <c r="E962" s="165" t="s">
        <v>2698</v>
      </c>
      <c r="G962" s="81">
        <v>524331</v>
      </c>
      <c r="H962" s="81">
        <v>174652</v>
      </c>
      <c r="I962" s="165" t="s">
        <v>250</v>
      </c>
      <c r="L962" s="166">
        <v>0</v>
      </c>
      <c r="M962" s="166">
        <v>4</v>
      </c>
      <c r="N962" s="166">
        <v>4</v>
      </c>
      <c r="O962" s="166">
        <v>4</v>
      </c>
      <c r="P962" s="166">
        <v>4</v>
      </c>
      <c r="R962" s="165" t="s">
        <v>1257</v>
      </c>
      <c r="S962" s="81" t="s">
        <v>113</v>
      </c>
      <c r="T962" s="349">
        <v>42513</v>
      </c>
      <c r="U962" s="349">
        <v>42628</v>
      </c>
      <c r="W962" s="81" t="s">
        <v>114</v>
      </c>
      <c r="Y962" s="81" t="s">
        <v>115</v>
      </c>
      <c r="Z962" s="81" t="s">
        <v>116</v>
      </c>
      <c r="AA962" s="81" t="s">
        <v>117</v>
      </c>
      <c r="AB962" s="81" t="s">
        <v>218</v>
      </c>
      <c r="AC962" s="166">
        <v>2.60000005364418E-2</v>
      </c>
      <c r="AG962" s="81" t="s">
        <v>238</v>
      </c>
      <c r="AH962" s="81" t="s">
        <v>118</v>
      </c>
      <c r="AK962" s="166">
        <v>0</v>
      </c>
      <c r="AM962" s="166">
        <v>0</v>
      </c>
      <c r="AO962" s="166">
        <v>0</v>
      </c>
      <c r="AP962" s="166">
        <v>3</v>
      </c>
      <c r="AQ962" s="166">
        <v>1</v>
      </c>
      <c r="AR962" s="166">
        <v>0</v>
      </c>
      <c r="AS962" s="166">
        <v>0</v>
      </c>
      <c r="AT962" s="166">
        <v>0</v>
      </c>
      <c r="AU962" s="166">
        <v>0</v>
      </c>
      <c r="AV962" s="166">
        <v>0</v>
      </c>
      <c r="AW962" s="166">
        <v>3</v>
      </c>
      <c r="AX962" s="166">
        <v>1</v>
      </c>
      <c r="AY962" s="166">
        <v>0</v>
      </c>
      <c r="AZ962" s="166">
        <v>0</v>
      </c>
      <c r="BA962" s="166">
        <v>0</v>
      </c>
      <c r="BB962" s="166">
        <v>0</v>
      </c>
      <c r="BC962" s="166">
        <v>0</v>
      </c>
      <c r="BD962" s="166">
        <v>0</v>
      </c>
      <c r="BE962" s="166">
        <v>0</v>
      </c>
      <c r="BF962" s="166">
        <v>0</v>
      </c>
      <c r="BG962" s="166">
        <v>0</v>
      </c>
      <c r="BH962" s="166">
        <v>0</v>
      </c>
      <c r="BI962" s="166">
        <v>0</v>
      </c>
      <c r="BJ962" s="166">
        <v>0</v>
      </c>
      <c r="BK962" s="166">
        <v>0</v>
      </c>
      <c r="BL962" s="166">
        <v>0</v>
      </c>
      <c r="BM962" s="166">
        <v>0</v>
      </c>
      <c r="BN962" s="166">
        <v>0</v>
      </c>
      <c r="BO962" s="166">
        <v>0</v>
      </c>
      <c r="BP962" s="166">
        <v>0</v>
      </c>
      <c r="BQ962" s="81" t="s">
        <v>1758</v>
      </c>
      <c r="BZ962" s="81" t="s">
        <v>155</v>
      </c>
      <c r="CA962" s="81">
        <v>4</v>
      </c>
      <c r="CC962" s="167">
        <v>0</v>
      </c>
      <c r="CD962" s="167">
        <v>0</v>
      </c>
      <c r="CE962" s="167">
        <f>$N962/5</f>
        <v>0.8</v>
      </c>
      <c r="CF962" s="167">
        <f>$N962/5</f>
        <v>0.8</v>
      </c>
      <c r="CG962" s="167">
        <f>$N962/5</f>
        <v>0.8</v>
      </c>
      <c r="CH962" s="167">
        <f>$N962/5</f>
        <v>0.8</v>
      </c>
      <c r="CI962" s="167">
        <f>$N962/5</f>
        <v>0.8</v>
      </c>
      <c r="CJ962" s="167">
        <v>0</v>
      </c>
      <c r="CK962" s="167">
        <v>0</v>
      </c>
      <c r="CL962" s="167">
        <v>0</v>
      </c>
      <c r="CM962" s="167">
        <v>0</v>
      </c>
      <c r="CN962" s="167">
        <v>0</v>
      </c>
      <c r="CO962" s="167">
        <v>0</v>
      </c>
      <c r="CP962" s="167">
        <v>0</v>
      </c>
      <c r="CQ962" s="167">
        <v>0</v>
      </c>
      <c r="CR962" s="167">
        <v>0</v>
      </c>
      <c r="CS962" s="167">
        <v>0</v>
      </c>
      <c r="CT962" s="167">
        <v>0</v>
      </c>
      <c r="CU962" s="167">
        <v>0</v>
      </c>
      <c r="CV962" s="167">
        <v>0</v>
      </c>
      <c r="CW962" s="167">
        <v>0</v>
      </c>
      <c r="CX962" s="167">
        <f>SUM(CD962:CH962)</f>
        <v>3.2</v>
      </c>
      <c r="CY962" s="167">
        <f>SUM(CD962:CM962)</f>
        <v>4</v>
      </c>
    </row>
    <row r="963" spans="1:103" ht="12.75" customHeight="1" x14ac:dyDescent="0.2">
      <c r="A963" s="81">
        <v>6237</v>
      </c>
      <c r="B963" s="165" t="s">
        <v>1930</v>
      </c>
      <c r="C963" s="165" t="s">
        <v>1255</v>
      </c>
      <c r="E963" s="165" t="s">
        <v>2699</v>
      </c>
      <c r="G963" s="81">
        <v>527817</v>
      </c>
      <c r="H963" s="81">
        <v>174580</v>
      </c>
      <c r="I963" s="165" t="s">
        <v>255</v>
      </c>
      <c r="L963" s="166">
        <v>0</v>
      </c>
      <c r="M963" s="166">
        <v>1</v>
      </c>
      <c r="N963" s="166">
        <v>1</v>
      </c>
      <c r="O963" s="166">
        <v>1</v>
      </c>
      <c r="P963" s="166">
        <v>1</v>
      </c>
      <c r="R963" s="165" t="s">
        <v>562</v>
      </c>
      <c r="S963" s="81" t="s">
        <v>110</v>
      </c>
      <c r="T963" s="349">
        <v>42506</v>
      </c>
      <c r="U963" s="349">
        <v>42562</v>
      </c>
      <c r="W963" s="81" t="s">
        <v>114</v>
      </c>
      <c r="Y963" s="81" t="s">
        <v>115</v>
      </c>
      <c r="Z963" s="81" t="s">
        <v>310</v>
      </c>
      <c r="AA963" s="81" t="s">
        <v>117</v>
      </c>
      <c r="AB963" s="81" t="s">
        <v>399</v>
      </c>
      <c r="AC963" s="166">
        <v>9.9999997764825804E-3</v>
      </c>
      <c r="AG963" s="81" t="s">
        <v>238</v>
      </c>
      <c r="AH963" s="81" t="s">
        <v>118</v>
      </c>
      <c r="AK963" s="166">
        <v>0</v>
      </c>
      <c r="AM963" s="166">
        <v>0</v>
      </c>
      <c r="AO963" s="166">
        <v>0</v>
      </c>
      <c r="AP963" s="166">
        <v>1</v>
      </c>
      <c r="AQ963" s="166">
        <v>0</v>
      </c>
      <c r="AR963" s="166">
        <v>0</v>
      </c>
      <c r="AS963" s="166">
        <v>0</v>
      </c>
      <c r="AT963" s="166">
        <v>0</v>
      </c>
      <c r="AU963" s="166">
        <v>0</v>
      </c>
      <c r="AV963" s="166">
        <v>0</v>
      </c>
      <c r="AW963" s="166">
        <v>1</v>
      </c>
      <c r="AX963" s="166">
        <v>0</v>
      </c>
      <c r="AY963" s="166">
        <v>0</v>
      </c>
      <c r="AZ963" s="166">
        <v>0</v>
      </c>
      <c r="BA963" s="166">
        <v>0</v>
      </c>
      <c r="BB963" s="166">
        <v>0</v>
      </c>
      <c r="BC963" s="166">
        <v>0</v>
      </c>
      <c r="BD963" s="166">
        <v>0</v>
      </c>
      <c r="BE963" s="166">
        <v>0</v>
      </c>
      <c r="BF963" s="166">
        <v>0</v>
      </c>
      <c r="BG963" s="166">
        <v>0</v>
      </c>
      <c r="BH963" s="166">
        <v>0</v>
      </c>
      <c r="BI963" s="166">
        <v>0</v>
      </c>
      <c r="BJ963" s="166">
        <v>0</v>
      </c>
      <c r="BK963" s="166">
        <v>0</v>
      </c>
      <c r="BL963" s="166">
        <v>0</v>
      </c>
      <c r="BM963" s="166">
        <v>0</v>
      </c>
      <c r="BN963" s="166">
        <v>0</v>
      </c>
      <c r="BO963" s="166">
        <v>0</v>
      </c>
      <c r="BP963" s="166">
        <v>0</v>
      </c>
      <c r="BQ963" s="81" t="s">
        <v>1757</v>
      </c>
      <c r="BZ963" s="81" t="s">
        <v>155</v>
      </c>
      <c r="CA963" s="81" t="s">
        <v>1937</v>
      </c>
      <c r="CC963" s="167">
        <v>0</v>
      </c>
      <c r="CD963" s="167">
        <f>$N963/4</f>
        <v>0.25</v>
      </c>
      <c r="CE963" s="167">
        <f>$N963/4</f>
        <v>0.25</v>
      </c>
      <c r="CF963" s="167">
        <f>$N963/4</f>
        <v>0.25</v>
      </c>
      <c r="CG963" s="167">
        <f>$N963/4</f>
        <v>0.25</v>
      </c>
      <c r="CH963" s="167">
        <v>0</v>
      </c>
      <c r="CI963" s="167">
        <v>0</v>
      </c>
      <c r="CJ963" s="167">
        <v>0</v>
      </c>
      <c r="CK963" s="167">
        <v>0</v>
      </c>
      <c r="CL963" s="167">
        <v>0</v>
      </c>
      <c r="CM963" s="167">
        <v>0</v>
      </c>
      <c r="CN963" s="167">
        <v>0</v>
      </c>
      <c r="CO963" s="167">
        <v>0</v>
      </c>
      <c r="CP963" s="167">
        <v>0</v>
      </c>
      <c r="CQ963" s="167">
        <v>0</v>
      </c>
      <c r="CR963" s="167">
        <v>0</v>
      </c>
      <c r="CS963" s="167">
        <v>0</v>
      </c>
      <c r="CT963" s="167">
        <v>0</v>
      </c>
      <c r="CU963" s="167">
        <v>0</v>
      </c>
      <c r="CV963" s="167">
        <v>0</v>
      </c>
      <c r="CW963" s="167">
        <v>0</v>
      </c>
      <c r="CX963" s="167">
        <f>SUM(CD963:CH963)</f>
        <v>1</v>
      </c>
      <c r="CY963" s="167">
        <f>SUM(CD963:CM963)</f>
        <v>1</v>
      </c>
    </row>
    <row r="964" spans="1:103" ht="12.75" customHeight="1" x14ac:dyDescent="0.2">
      <c r="A964" s="81">
        <v>6251</v>
      </c>
      <c r="B964" s="165" t="s">
        <v>1930</v>
      </c>
      <c r="C964" s="165" t="s">
        <v>1191</v>
      </c>
      <c r="E964" s="165" t="s">
        <v>2700</v>
      </c>
      <c r="G964" s="81">
        <v>522836</v>
      </c>
      <c r="H964" s="81">
        <v>174659</v>
      </c>
      <c r="I964" s="165" t="s">
        <v>59</v>
      </c>
      <c r="L964" s="166">
        <v>1</v>
      </c>
      <c r="M964" s="166">
        <v>1</v>
      </c>
      <c r="N964" s="166">
        <v>0</v>
      </c>
      <c r="O964" s="166">
        <v>1</v>
      </c>
      <c r="P964" s="166">
        <v>0</v>
      </c>
      <c r="R964" s="165" t="s">
        <v>1192</v>
      </c>
      <c r="S964" s="81" t="s">
        <v>113</v>
      </c>
      <c r="T964" s="349">
        <v>42506</v>
      </c>
      <c r="U964" s="349">
        <v>42562</v>
      </c>
      <c r="W964" s="81" t="s">
        <v>114</v>
      </c>
      <c r="Y964" s="81" t="s">
        <v>115</v>
      </c>
      <c r="Z964" s="81" t="s">
        <v>116</v>
      </c>
      <c r="AA964" s="81" t="s">
        <v>117</v>
      </c>
      <c r="AB964" s="81" t="s">
        <v>218</v>
      </c>
      <c r="AC964" s="166">
        <v>5.0999999046325697E-2</v>
      </c>
      <c r="AG964" s="81" t="s">
        <v>238</v>
      </c>
      <c r="AH964" s="81" t="s">
        <v>118</v>
      </c>
      <c r="AK964" s="166">
        <v>0</v>
      </c>
      <c r="AM964" s="166">
        <v>1</v>
      </c>
      <c r="AO964" s="166">
        <v>0</v>
      </c>
      <c r="AP964" s="166">
        <v>0</v>
      </c>
      <c r="AQ964" s="166">
        <v>0</v>
      </c>
      <c r="AR964" s="166">
        <v>-1</v>
      </c>
      <c r="AS964" s="166">
        <v>0</v>
      </c>
      <c r="AT964" s="166">
        <v>1</v>
      </c>
      <c r="AU964" s="166">
        <v>0</v>
      </c>
      <c r="AV964" s="166">
        <v>0</v>
      </c>
      <c r="AW964" s="166">
        <v>0</v>
      </c>
      <c r="AX964" s="166">
        <v>0</v>
      </c>
      <c r="AY964" s="166">
        <v>0</v>
      </c>
      <c r="AZ964" s="166">
        <v>0</v>
      </c>
      <c r="BA964" s="166">
        <v>0</v>
      </c>
      <c r="BB964" s="166">
        <v>0</v>
      </c>
      <c r="BC964" s="166">
        <v>0</v>
      </c>
      <c r="BD964" s="166">
        <v>0</v>
      </c>
      <c r="BE964" s="166">
        <v>0</v>
      </c>
      <c r="BF964" s="166">
        <v>-1</v>
      </c>
      <c r="BG964" s="166">
        <v>0</v>
      </c>
      <c r="BH964" s="166">
        <v>1</v>
      </c>
      <c r="BI964" s="166">
        <v>0</v>
      </c>
      <c r="BJ964" s="166">
        <v>0</v>
      </c>
      <c r="BK964" s="166">
        <v>0</v>
      </c>
      <c r="BL964" s="166">
        <v>0</v>
      </c>
      <c r="BM964" s="166">
        <v>0</v>
      </c>
      <c r="BN964" s="166">
        <v>0</v>
      </c>
      <c r="BO964" s="166">
        <v>0</v>
      </c>
      <c r="BP964" s="166">
        <v>0</v>
      </c>
      <c r="BQ964" s="81" t="s">
        <v>1758</v>
      </c>
      <c r="BZ964" s="81" t="s">
        <v>155</v>
      </c>
      <c r="CA964" s="81">
        <v>4</v>
      </c>
      <c r="CC964" s="167">
        <v>0</v>
      </c>
      <c r="CD964" s="167">
        <v>0</v>
      </c>
      <c r="CE964" s="167">
        <f>$N964/5</f>
        <v>0</v>
      </c>
      <c r="CF964" s="167">
        <f>$N964/5</f>
        <v>0</v>
      </c>
      <c r="CG964" s="167">
        <f>$N964/5</f>
        <v>0</v>
      </c>
      <c r="CH964" s="167">
        <f>$N964/5</f>
        <v>0</v>
      </c>
      <c r="CI964" s="167">
        <f>$N964/5</f>
        <v>0</v>
      </c>
      <c r="CJ964" s="167">
        <v>0</v>
      </c>
      <c r="CK964" s="167">
        <v>0</v>
      </c>
      <c r="CL964" s="167">
        <v>0</v>
      </c>
      <c r="CM964" s="167">
        <v>0</v>
      </c>
      <c r="CN964" s="167">
        <v>0</v>
      </c>
      <c r="CO964" s="167">
        <v>0</v>
      </c>
      <c r="CP964" s="167">
        <v>0</v>
      </c>
      <c r="CQ964" s="167">
        <v>0</v>
      </c>
      <c r="CR964" s="167">
        <v>0</v>
      </c>
      <c r="CS964" s="167">
        <v>0</v>
      </c>
      <c r="CT964" s="167">
        <v>0</v>
      </c>
      <c r="CU964" s="167">
        <v>0</v>
      </c>
      <c r="CV964" s="167">
        <v>0</v>
      </c>
      <c r="CW964" s="167">
        <v>0</v>
      </c>
      <c r="CX964" s="167">
        <f>SUM(CD964:CH964)</f>
        <v>0</v>
      </c>
      <c r="CY964" s="167">
        <f>SUM(CD964:CM964)</f>
        <v>0</v>
      </c>
    </row>
    <row r="965" spans="1:103" ht="12.75" customHeight="1" x14ac:dyDescent="0.2">
      <c r="A965" s="81">
        <v>6256</v>
      </c>
      <c r="B965" s="165" t="s">
        <v>1930</v>
      </c>
      <c r="C965" s="165" t="s">
        <v>1266</v>
      </c>
      <c r="E965" s="165" t="s">
        <v>2701</v>
      </c>
      <c r="G965" s="81">
        <v>528092</v>
      </c>
      <c r="H965" s="81">
        <v>176612</v>
      </c>
      <c r="I965" s="165" t="s">
        <v>241</v>
      </c>
      <c r="L965" s="166">
        <v>0</v>
      </c>
      <c r="M965" s="166">
        <v>3</v>
      </c>
      <c r="N965" s="166">
        <v>3</v>
      </c>
      <c r="O965" s="166">
        <v>5</v>
      </c>
      <c r="P965" s="166">
        <v>5</v>
      </c>
      <c r="R965" s="165" t="s">
        <v>1267</v>
      </c>
      <c r="S965" s="81" t="s">
        <v>113</v>
      </c>
      <c r="T965" s="349">
        <v>42515</v>
      </c>
      <c r="U965" s="349">
        <v>42605</v>
      </c>
      <c r="W965" s="81" t="s">
        <v>114</v>
      </c>
      <c r="Y965" s="81" t="s">
        <v>115</v>
      </c>
      <c r="Z965" s="81" t="s">
        <v>398</v>
      </c>
      <c r="AA965" s="81" t="s">
        <v>117</v>
      </c>
      <c r="AB965" s="81" t="s">
        <v>218</v>
      </c>
      <c r="AC965" s="166">
        <v>1.2000000104308101E-2</v>
      </c>
      <c r="AG965" s="81" t="s">
        <v>238</v>
      </c>
      <c r="AH965" s="81" t="s">
        <v>118</v>
      </c>
      <c r="AK965" s="166">
        <v>3</v>
      </c>
      <c r="AM965" s="166">
        <v>0</v>
      </c>
      <c r="AO965" s="166">
        <v>0</v>
      </c>
      <c r="AP965" s="166">
        <v>0</v>
      </c>
      <c r="AQ965" s="166">
        <v>3</v>
      </c>
      <c r="AR965" s="166">
        <v>0</v>
      </c>
      <c r="AS965" s="166">
        <v>0</v>
      </c>
      <c r="AT965" s="166">
        <v>0</v>
      </c>
      <c r="AU965" s="166">
        <v>0</v>
      </c>
      <c r="AV965" s="166">
        <v>0</v>
      </c>
      <c r="AW965" s="166">
        <v>0</v>
      </c>
      <c r="AX965" s="166">
        <v>3</v>
      </c>
      <c r="AY965" s="166">
        <v>0</v>
      </c>
      <c r="AZ965" s="166">
        <v>0</v>
      </c>
      <c r="BA965" s="166">
        <v>0</v>
      </c>
      <c r="BB965" s="166">
        <v>0</v>
      </c>
      <c r="BC965" s="166">
        <v>0</v>
      </c>
      <c r="BD965" s="166">
        <v>0</v>
      </c>
      <c r="BE965" s="166">
        <v>0</v>
      </c>
      <c r="BF965" s="166">
        <v>0</v>
      </c>
      <c r="BG965" s="166">
        <v>0</v>
      </c>
      <c r="BH965" s="166">
        <v>0</v>
      </c>
      <c r="BI965" s="166">
        <v>0</v>
      </c>
      <c r="BJ965" s="166">
        <v>0</v>
      </c>
      <c r="BK965" s="166">
        <v>0</v>
      </c>
      <c r="BL965" s="166">
        <v>0</v>
      </c>
      <c r="BM965" s="166">
        <v>0</v>
      </c>
      <c r="BN965" s="166">
        <v>0</v>
      </c>
      <c r="BO965" s="166">
        <v>0</v>
      </c>
      <c r="BP965" s="166">
        <v>0</v>
      </c>
      <c r="BQ965" s="81" t="s">
        <v>1757</v>
      </c>
      <c r="BZ965" s="81" t="s">
        <v>155</v>
      </c>
      <c r="CA965" s="81" t="s">
        <v>1937</v>
      </c>
      <c r="CC965" s="167">
        <v>0</v>
      </c>
      <c r="CD965" s="167">
        <f>$N965/4</f>
        <v>0.75</v>
      </c>
      <c r="CE965" s="167">
        <f>$N965/4</f>
        <v>0.75</v>
      </c>
      <c r="CF965" s="167">
        <f>$N965/4</f>
        <v>0.75</v>
      </c>
      <c r="CG965" s="167">
        <f>$N965/4</f>
        <v>0.75</v>
      </c>
      <c r="CH965" s="167">
        <v>0</v>
      </c>
      <c r="CI965" s="167">
        <v>0</v>
      </c>
      <c r="CJ965" s="167">
        <v>0</v>
      </c>
      <c r="CK965" s="167">
        <v>0</v>
      </c>
      <c r="CL965" s="167">
        <v>0</v>
      </c>
      <c r="CM965" s="167">
        <v>0</v>
      </c>
      <c r="CN965" s="167">
        <v>0</v>
      </c>
      <c r="CO965" s="167">
        <v>0</v>
      </c>
      <c r="CP965" s="167">
        <v>0</v>
      </c>
      <c r="CQ965" s="167">
        <v>0</v>
      </c>
      <c r="CR965" s="167">
        <v>0</v>
      </c>
      <c r="CS965" s="167">
        <v>0</v>
      </c>
      <c r="CT965" s="167">
        <v>0</v>
      </c>
      <c r="CU965" s="167">
        <v>0</v>
      </c>
      <c r="CV965" s="167">
        <v>0</v>
      </c>
      <c r="CW965" s="167">
        <v>0</v>
      </c>
      <c r="CX965" s="167">
        <f>SUM(CD965:CH965)</f>
        <v>3</v>
      </c>
      <c r="CY965" s="167">
        <f>SUM(CD965:CM965)</f>
        <v>3</v>
      </c>
    </row>
    <row r="966" spans="1:103" ht="12.75" customHeight="1" x14ac:dyDescent="0.2">
      <c r="A966" s="81">
        <v>6256</v>
      </c>
      <c r="B966" s="165" t="s">
        <v>1930</v>
      </c>
      <c r="C966" s="165" t="s">
        <v>1266</v>
      </c>
      <c r="E966" s="165" t="s">
        <v>2701</v>
      </c>
      <c r="G966" s="81">
        <v>528092</v>
      </c>
      <c r="H966" s="81">
        <v>176612</v>
      </c>
      <c r="I966" s="165" t="s">
        <v>241</v>
      </c>
      <c r="L966" s="166">
        <v>0</v>
      </c>
      <c r="M966" s="166">
        <v>2</v>
      </c>
      <c r="N966" s="166">
        <v>2</v>
      </c>
      <c r="O966" s="166">
        <v>5</v>
      </c>
      <c r="P966" s="166">
        <v>5</v>
      </c>
      <c r="R966" s="165" t="s">
        <v>1267</v>
      </c>
      <c r="S966" s="81" t="s">
        <v>113</v>
      </c>
      <c r="T966" s="349">
        <v>42515</v>
      </c>
      <c r="U966" s="349">
        <v>42605</v>
      </c>
      <c r="W966" s="81" t="s">
        <v>114</v>
      </c>
      <c r="Y966" s="81" t="s">
        <v>115</v>
      </c>
      <c r="Z966" s="81" t="s">
        <v>398</v>
      </c>
      <c r="AA966" s="81" t="s">
        <v>117</v>
      </c>
      <c r="AB966" s="81" t="s">
        <v>311</v>
      </c>
      <c r="AC966" s="166">
        <v>1.09999999403954E-2</v>
      </c>
      <c r="AG966" s="81" t="s">
        <v>238</v>
      </c>
      <c r="AH966" s="81" t="s">
        <v>118</v>
      </c>
      <c r="AK966" s="166">
        <v>2</v>
      </c>
      <c r="AM966" s="166">
        <v>0</v>
      </c>
      <c r="AO966" s="166">
        <v>1</v>
      </c>
      <c r="AP966" s="166">
        <v>1</v>
      </c>
      <c r="AQ966" s="166">
        <v>0</v>
      </c>
      <c r="AR966" s="166">
        <v>0</v>
      </c>
      <c r="AS966" s="166">
        <v>0</v>
      </c>
      <c r="AT966" s="166">
        <v>0</v>
      </c>
      <c r="AU966" s="166">
        <v>0</v>
      </c>
      <c r="AV966" s="166">
        <v>1</v>
      </c>
      <c r="AW966" s="166">
        <v>1</v>
      </c>
      <c r="AX966" s="166">
        <v>0</v>
      </c>
      <c r="AY966" s="166">
        <v>0</v>
      </c>
      <c r="AZ966" s="166">
        <v>0</v>
      </c>
      <c r="BA966" s="166">
        <v>0</v>
      </c>
      <c r="BB966" s="166">
        <v>0</v>
      </c>
      <c r="BC966" s="166">
        <v>0</v>
      </c>
      <c r="BD966" s="166">
        <v>0</v>
      </c>
      <c r="BE966" s="166">
        <v>0</v>
      </c>
      <c r="BF966" s="166">
        <v>0</v>
      </c>
      <c r="BG966" s="166">
        <v>0</v>
      </c>
      <c r="BH966" s="166">
        <v>0</v>
      </c>
      <c r="BI966" s="166">
        <v>0</v>
      </c>
      <c r="BJ966" s="166">
        <v>0</v>
      </c>
      <c r="BK966" s="166">
        <v>0</v>
      </c>
      <c r="BL966" s="166">
        <v>0</v>
      </c>
      <c r="BM966" s="166">
        <v>0</v>
      </c>
      <c r="BN966" s="166">
        <v>0</v>
      </c>
      <c r="BO966" s="166">
        <v>0</v>
      </c>
      <c r="BP966" s="166">
        <v>0</v>
      </c>
      <c r="BQ966" s="81" t="s">
        <v>1757</v>
      </c>
      <c r="BZ966" s="81" t="s">
        <v>155</v>
      </c>
      <c r="CA966" s="81" t="s">
        <v>1937</v>
      </c>
      <c r="CC966" s="167">
        <v>0</v>
      </c>
      <c r="CD966" s="167">
        <f>$N966/4</f>
        <v>0.5</v>
      </c>
      <c r="CE966" s="167">
        <f>$N966/4</f>
        <v>0.5</v>
      </c>
      <c r="CF966" s="167">
        <f>$N966/4</f>
        <v>0.5</v>
      </c>
      <c r="CG966" s="167">
        <f>$N966/4</f>
        <v>0.5</v>
      </c>
      <c r="CH966" s="167">
        <v>0</v>
      </c>
      <c r="CI966" s="167">
        <v>0</v>
      </c>
      <c r="CJ966" s="167">
        <v>0</v>
      </c>
      <c r="CK966" s="167">
        <v>0</v>
      </c>
      <c r="CL966" s="167">
        <v>0</v>
      </c>
      <c r="CM966" s="167">
        <v>0</v>
      </c>
      <c r="CN966" s="167">
        <v>0</v>
      </c>
      <c r="CO966" s="167">
        <v>0</v>
      </c>
      <c r="CP966" s="167">
        <v>0</v>
      </c>
      <c r="CQ966" s="167">
        <v>0</v>
      </c>
      <c r="CR966" s="167">
        <v>0</v>
      </c>
      <c r="CS966" s="167">
        <v>0</v>
      </c>
      <c r="CT966" s="167">
        <v>0</v>
      </c>
      <c r="CU966" s="167">
        <v>0</v>
      </c>
      <c r="CV966" s="167">
        <v>0</v>
      </c>
      <c r="CW966" s="167">
        <v>0</v>
      </c>
      <c r="CX966" s="167">
        <f>SUM(CD966:CH966)</f>
        <v>2</v>
      </c>
      <c r="CY966" s="167">
        <f>SUM(CD966:CM966)</f>
        <v>2</v>
      </c>
    </row>
    <row r="967" spans="1:103" ht="12.75" customHeight="1" x14ac:dyDescent="0.2">
      <c r="A967" s="81">
        <v>6256</v>
      </c>
      <c r="B967" s="165" t="s">
        <v>1930</v>
      </c>
      <c r="C967" s="165" t="s">
        <v>1525</v>
      </c>
      <c r="E967" s="165" t="s">
        <v>2701</v>
      </c>
      <c r="G967" s="81">
        <v>528092</v>
      </c>
      <c r="H967" s="81">
        <v>176612</v>
      </c>
      <c r="I967" s="165" t="s">
        <v>241</v>
      </c>
      <c r="L967" s="166">
        <v>0</v>
      </c>
      <c r="M967" s="166">
        <v>3</v>
      </c>
      <c r="N967" s="166">
        <v>3</v>
      </c>
      <c r="O967" s="166">
        <v>3</v>
      </c>
      <c r="P967" s="166">
        <v>3</v>
      </c>
      <c r="R967" s="165" t="s">
        <v>1526</v>
      </c>
      <c r="S967" s="81" t="s">
        <v>113</v>
      </c>
      <c r="T967" s="349">
        <v>42752</v>
      </c>
      <c r="U967" s="349">
        <v>42793</v>
      </c>
      <c r="W967" s="81" t="s">
        <v>114</v>
      </c>
      <c r="Y967" s="81" t="s">
        <v>115</v>
      </c>
      <c r="Z967" s="81" t="s">
        <v>116</v>
      </c>
      <c r="AA967" s="81" t="s">
        <v>117</v>
      </c>
      <c r="AB967" s="81" t="s">
        <v>218</v>
      </c>
      <c r="AC967" s="166">
        <v>1.4000000432133701E-2</v>
      </c>
      <c r="AG967" s="81" t="s">
        <v>238</v>
      </c>
      <c r="AH967" s="81" t="s">
        <v>118</v>
      </c>
      <c r="AK967" s="166">
        <v>0</v>
      </c>
      <c r="AM967" s="166">
        <v>0</v>
      </c>
      <c r="AO967" s="166">
        <v>0</v>
      </c>
      <c r="AP967" s="166">
        <v>0</v>
      </c>
      <c r="AQ967" s="166">
        <v>3</v>
      </c>
      <c r="AR967" s="166">
        <v>0</v>
      </c>
      <c r="AS967" s="166">
        <v>0</v>
      </c>
      <c r="AT967" s="166">
        <v>0</v>
      </c>
      <c r="AU967" s="166">
        <v>0</v>
      </c>
      <c r="AV967" s="166">
        <v>0</v>
      </c>
      <c r="AW967" s="166">
        <v>0</v>
      </c>
      <c r="AX967" s="166">
        <v>3</v>
      </c>
      <c r="AY967" s="166">
        <v>0</v>
      </c>
      <c r="AZ967" s="166">
        <v>0</v>
      </c>
      <c r="BA967" s="166">
        <v>0</v>
      </c>
      <c r="BB967" s="166">
        <v>0</v>
      </c>
      <c r="BC967" s="166">
        <v>0</v>
      </c>
      <c r="BD967" s="166">
        <v>0</v>
      </c>
      <c r="BE967" s="166">
        <v>0</v>
      </c>
      <c r="BF967" s="166">
        <v>0</v>
      </c>
      <c r="BG967" s="166">
        <v>0</v>
      </c>
      <c r="BH967" s="166">
        <v>0</v>
      </c>
      <c r="BI967" s="166">
        <v>0</v>
      </c>
      <c r="BJ967" s="166">
        <v>0</v>
      </c>
      <c r="BK967" s="166">
        <v>0</v>
      </c>
      <c r="BL967" s="166">
        <v>0</v>
      </c>
      <c r="BM967" s="166">
        <v>0</v>
      </c>
      <c r="BN967" s="166">
        <v>0</v>
      </c>
      <c r="BO967" s="166">
        <v>0</v>
      </c>
      <c r="BP967" s="166">
        <v>0</v>
      </c>
      <c r="BQ967" s="81" t="s">
        <v>1757</v>
      </c>
      <c r="BZ967" s="81" t="s">
        <v>155</v>
      </c>
      <c r="CA967" s="81">
        <v>4</v>
      </c>
      <c r="CC967" s="167">
        <v>0</v>
      </c>
      <c r="CD967" s="167">
        <v>0</v>
      </c>
      <c r="CE967" s="167">
        <f>$N967/5</f>
        <v>0.6</v>
      </c>
      <c r="CF967" s="167">
        <f>$N967/5</f>
        <v>0.6</v>
      </c>
      <c r="CG967" s="167">
        <f>$N967/5</f>
        <v>0.6</v>
      </c>
      <c r="CH967" s="167">
        <f>$N967/5</f>
        <v>0.6</v>
      </c>
      <c r="CI967" s="167">
        <f>$N967/5</f>
        <v>0.6</v>
      </c>
      <c r="CJ967" s="167">
        <v>0</v>
      </c>
      <c r="CK967" s="167">
        <v>0</v>
      </c>
      <c r="CL967" s="167">
        <v>0</v>
      </c>
      <c r="CM967" s="167">
        <v>0</v>
      </c>
      <c r="CN967" s="167">
        <v>0</v>
      </c>
      <c r="CO967" s="167">
        <v>0</v>
      </c>
      <c r="CP967" s="167">
        <v>0</v>
      </c>
      <c r="CQ967" s="167">
        <v>0</v>
      </c>
      <c r="CR967" s="167">
        <v>0</v>
      </c>
      <c r="CS967" s="167">
        <v>0</v>
      </c>
      <c r="CT967" s="167">
        <v>0</v>
      </c>
      <c r="CU967" s="167">
        <v>0</v>
      </c>
      <c r="CV967" s="167">
        <v>0</v>
      </c>
      <c r="CW967" s="167">
        <v>0</v>
      </c>
      <c r="CX967" s="167">
        <f>SUM(CD967:CH967)</f>
        <v>2.4</v>
      </c>
      <c r="CY967" s="167">
        <f>SUM(CD967:CM967)</f>
        <v>3</v>
      </c>
    </row>
    <row r="968" spans="1:103" ht="12.75" customHeight="1" x14ac:dyDescent="0.2">
      <c r="A968" s="81">
        <v>6259</v>
      </c>
      <c r="B968" s="165" t="s">
        <v>1930</v>
      </c>
      <c r="C968" s="165" t="s">
        <v>1270</v>
      </c>
      <c r="D968" s="165" t="s">
        <v>876</v>
      </c>
      <c r="E968" s="165" t="s">
        <v>2702</v>
      </c>
      <c r="G968" s="81">
        <v>526526</v>
      </c>
      <c r="H968" s="81">
        <v>175804</v>
      </c>
      <c r="I968" s="165" t="s">
        <v>257</v>
      </c>
      <c r="L968" s="166">
        <v>0</v>
      </c>
      <c r="M968" s="166">
        <v>6</v>
      </c>
      <c r="N968" s="166">
        <v>6</v>
      </c>
      <c r="O968" s="166">
        <v>6</v>
      </c>
      <c r="P968" s="166">
        <v>6</v>
      </c>
      <c r="R968" s="165" t="s">
        <v>1271</v>
      </c>
      <c r="S968" s="81" t="s">
        <v>270</v>
      </c>
      <c r="T968" s="349">
        <v>42527</v>
      </c>
      <c r="U968" s="349">
        <v>42583</v>
      </c>
      <c r="W968" s="81" t="s">
        <v>114</v>
      </c>
      <c r="Y968" s="81" t="s">
        <v>115</v>
      </c>
      <c r="Z968" s="81" t="s">
        <v>310</v>
      </c>
      <c r="AA968" s="81" t="s">
        <v>117</v>
      </c>
      <c r="AB968" s="81" t="s">
        <v>399</v>
      </c>
      <c r="AC968" s="166">
        <v>1.60000007599592E-2</v>
      </c>
      <c r="AG968" s="81" t="s">
        <v>238</v>
      </c>
      <c r="AH968" s="81" t="s">
        <v>118</v>
      </c>
      <c r="AI968" s="81" t="s">
        <v>1939</v>
      </c>
      <c r="AK968" s="166">
        <v>0</v>
      </c>
      <c r="AM968" s="166">
        <v>0</v>
      </c>
      <c r="AO968" s="166">
        <v>3</v>
      </c>
      <c r="AP968" s="166">
        <v>3</v>
      </c>
      <c r="AQ968" s="166">
        <v>0</v>
      </c>
      <c r="AR968" s="166">
        <v>0</v>
      </c>
      <c r="AS968" s="166">
        <v>0</v>
      </c>
      <c r="AT968" s="166">
        <v>0</v>
      </c>
      <c r="AU968" s="166">
        <v>0</v>
      </c>
      <c r="AV968" s="166">
        <v>3</v>
      </c>
      <c r="AW968" s="166">
        <v>3</v>
      </c>
      <c r="AX968" s="166">
        <v>0</v>
      </c>
      <c r="AY968" s="166">
        <v>0</v>
      </c>
      <c r="AZ968" s="166">
        <v>0</v>
      </c>
      <c r="BA968" s="166">
        <v>0</v>
      </c>
      <c r="BB968" s="166">
        <v>0</v>
      </c>
      <c r="BC968" s="166">
        <v>0</v>
      </c>
      <c r="BD968" s="166">
        <v>0</v>
      </c>
      <c r="BE968" s="166">
        <v>0</v>
      </c>
      <c r="BF968" s="166">
        <v>0</v>
      </c>
      <c r="BG968" s="166">
        <v>0</v>
      </c>
      <c r="BH968" s="166">
        <v>0</v>
      </c>
      <c r="BI968" s="166">
        <v>0</v>
      </c>
      <c r="BJ968" s="166">
        <v>0</v>
      </c>
      <c r="BK968" s="166">
        <v>0</v>
      </c>
      <c r="BL968" s="166">
        <v>0</v>
      </c>
      <c r="BM968" s="166">
        <v>0</v>
      </c>
      <c r="BN968" s="166">
        <v>0</v>
      </c>
      <c r="BO968" s="166">
        <v>0</v>
      </c>
      <c r="BP968" s="166">
        <v>0</v>
      </c>
      <c r="BQ968" s="81" t="s">
        <v>1757</v>
      </c>
      <c r="BX968" s="81" t="s">
        <v>155</v>
      </c>
      <c r="BZ968" s="81" t="s">
        <v>155</v>
      </c>
      <c r="CA968" s="81" t="s">
        <v>3972</v>
      </c>
      <c r="CC968" s="167">
        <v>0</v>
      </c>
      <c r="CD968" s="167">
        <f>$N968/4</f>
        <v>1.5</v>
      </c>
      <c r="CE968" s="167">
        <f>$N968/4</f>
        <v>1.5</v>
      </c>
      <c r="CF968" s="167">
        <f>$N968/4</f>
        <v>1.5</v>
      </c>
      <c r="CG968" s="167">
        <f>$N968/4</f>
        <v>1.5</v>
      </c>
      <c r="CH968" s="167">
        <v>0</v>
      </c>
      <c r="CI968" s="167">
        <v>0</v>
      </c>
      <c r="CJ968" s="167">
        <v>0</v>
      </c>
      <c r="CK968" s="167">
        <v>0</v>
      </c>
      <c r="CL968" s="167">
        <v>0</v>
      </c>
      <c r="CM968" s="167">
        <v>0</v>
      </c>
      <c r="CN968" s="167">
        <v>0</v>
      </c>
      <c r="CO968" s="167">
        <v>0</v>
      </c>
      <c r="CP968" s="167">
        <v>0</v>
      </c>
      <c r="CQ968" s="167">
        <v>0</v>
      </c>
      <c r="CR968" s="167">
        <v>0</v>
      </c>
      <c r="CS968" s="167">
        <v>0</v>
      </c>
      <c r="CT968" s="167">
        <v>0</v>
      </c>
      <c r="CU968" s="167">
        <v>0</v>
      </c>
      <c r="CV968" s="167">
        <v>0</v>
      </c>
      <c r="CW968" s="167">
        <v>0</v>
      </c>
      <c r="CX968" s="167">
        <f>SUM(CD968:CH968)</f>
        <v>6</v>
      </c>
      <c r="CY968" s="167">
        <f>SUM(CD968:CM968)</f>
        <v>6</v>
      </c>
    </row>
    <row r="969" spans="1:103" ht="12.75" customHeight="1" x14ac:dyDescent="0.2">
      <c r="A969" s="81">
        <v>6262</v>
      </c>
      <c r="B969" s="165" t="s">
        <v>1930</v>
      </c>
      <c r="C969" s="165" t="s">
        <v>1223</v>
      </c>
      <c r="E969" s="165" t="s">
        <v>2703</v>
      </c>
      <c r="G969" s="81">
        <v>528646</v>
      </c>
      <c r="H969" s="81">
        <v>173547</v>
      </c>
      <c r="I969" s="165" t="s">
        <v>247</v>
      </c>
      <c r="L969" s="166">
        <v>0</v>
      </c>
      <c r="M969" s="166">
        <v>0</v>
      </c>
      <c r="N969" s="166">
        <v>0</v>
      </c>
      <c r="O969" s="166">
        <v>0</v>
      </c>
      <c r="P969" s="166">
        <v>0</v>
      </c>
      <c r="R969" s="165" t="s">
        <v>1224</v>
      </c>
      <c r="S969" s="81" t="s">
        <v>113</v>
      </c>
      <c r="T969" s="349">
        <v>42529</v>
      </c>
      <c r="U969" s="349">
        <v>42754</v>
      </c>
      <c r="W969" s="81" t="s">
        <v>114</v>
      </c>
      <c r="Y969" s="81" t="s">
        <v>115</v>
      </c>
      <c r="Z969" s="81" t="s">
        <v>398</v>
      </c>
      <c r="AA969" s="81" t="s">
        <v>117</v>
      </c>
      <c r="AB969" s="81" t="s">
        <v>117</v>
      </c>
      <c r="AC969" s="166">
        <v>0</v>
      </c>
      <c r="AG969" s="81" t="s">
        <v>238</v>
      </c>
      <c r="AH969" s="81" t="s">
        <v>118</v>
      </c>
      <c r="AK969" s="166">
        <v>0</v>
      </c>
      <c r="AM969" s="166">
        <v>0</v>
      </c>
      <c r="AO969" s="166">
        <v>0</v>
      </c>
      <c r="AP969" s="166">
        <v>0</v>
      </c>
      <c r="AQ969" s="166">
        <v>0</v>
      </c>
      <c r="AR969" s="166">
        <v>0</v>
      </c>
      <c r="AS969" s="166">
        <v>0</v>
      </c>
      <c r="AT969" s="166">
        <v>0</v>
      </c>
      <c r="AU969" s="166">
        <v>0</v>
      </c>
      <c r="AV969" s="166">
        <v>0</v>
      </c>
      <c r="AW969" s="166">
        <v>0</v>
      </c>
      <c r="AX969" s="166">
        <v>0</v>
      </c>
      <c r="AY969" s="166">
        <v>0</v>
      </c>
      <c r="AZ969" s="166">
        <v>0</v>
      </c>
      <c r="BA969" s="166">
        <v>0</v>
      </c>
      <c r="BB969" s="166">
        <v>0</v>
      </c>
      <c r="BC969" s="166">
        <v>0</v>
      </c>
      <c r="BD969" s="166">
        <v>0</v>
      </c>
      <c r="BE969" s="166">
        <v>0</v>
      </c>
      <c r="BF969" s="166">
        <v>0</v>
      </c>
      <c r="BG969" s="166">
        <v>0</v>
      </c>
      <c r="BH969" s="166">
        <v>0</v>
      </c>
      <c r="BI969" s="166">
        <v>0</v>
      </c>
      <c r="BJ969" s="166">
        <v>0</v>
      </c>
      <c r="BK969" s="166">
        <v>0</v>
      </c>
      <c r="BL969" s="166">
        <v>0</v>
      </c>
      <c r="BM969" s="166">
        <v>0</v>
      </c>
      <c r="BN969" s="166">
        <v>0</v>
      </c>
      <c r="BO969" s="166">
        <v>0</v>
      </c>
      <c r="BP969" s="166">
        <v>0</v>
      </c>
      <c r="BQ969" s="81" t="s">
        <v>1757</v>
      </c>
      <c r="BR969" s="81" t="s">
        <v>247</v>
      </c>
      <c r="BZ969" s="81" t="s">
        <v>155</v>
      </c>
      <c r="CA969" s="81" t="s">
        <v>1937</v>
      </c>
      <c r="CC969" s="167">
        <v>0</v>
      </c>
      <c r="CD969" s="167">
        <f>$N969/4</f>
        <v>0</v>
      </c>
      <c r="CE969" s="167">
        <f>$N969/4</f>
        <v>0</v>
      </c>
      <c r="CF969" s="167">
        <f>$N969/4</f>
        <v>0</v>
      </c>
      <c r="CG969" s="167">
        <f>$N969/4</f>
        <v>0</v>
      </c>
      <c r="CH969" s="167">
        <v>0</v>
      </c>
      <c r="CI969" s="167">
        <v>0</v>
      </c>
      <c r="CJ969" s="167">
        <v>0</v>
      </c>
      <c r="CK969" s="167">
        <v>0</v>
      </c>
      <c r="CL969" s="167">
        <v>0</v>
      </c>
      <c r="CM969" s="167">
        <v>0</v>
      </c>
      <c r="CN969" s="167">
        <v>0</v>
      </c>
      <c r="CO969" s="167">
        <v>0</v>
      </c>
      <c r="CP969" s="167">
        <v>0</v>
      </c>
      <c r="CQ969" s="167">
        <v>0</v>
      </c>
      <c r="CR969" s="167">
        <v>0</v>
      </c>
      <c r="CS969" s="167">
        <v>0</v>
      </c>
      <c r="CT969" s="167">
        <v>0</v>
      </c>
      <c r="CU969" s="167">
        <v>0</v>
      </c>
      <c r="CV969" s="167">
        <v>0</v>
      </c>
      <c r="CW969" s="167">
        <v>0</v>
      </c>
      <c r="CX969" s="167">
        <f>SUM(CD969:CH969)</f>
        <v>0</v>
      </c>
      <c r="CY969" s="167">
        <f>SUM(CD969:CM969)</f>
        <v>0</v>
      </c>
    </row>
    <row r="970" spans="1:103" ht="12.75" customHeight="1" x14ac:dyDescent="0.2">
      <c r="A970" s="81">
        <v>6263</v>
      </c>
      <c r="B970" s="165" t="s">
        <v>1930</v>
      </c>
      <c r="C970" s="165" t="s">
        <v>1268</v>
      </c>
      <c r="E970" s="165" t="s">
        <v>2704</v>
      </c>
      <c r="G970" s="81">
        <v>526852</v>
      </c>
      <c r="H970" s="81">
        <v>175075</v>
      </c>
      <c r="I970" s="165" t="s">
        <v>251</v>
      </c>
      <c r="L970" s="166">
        <v>1</v>
      </c>
      <c r="M970" s="166">
        <v>2</v>
      </c>
      <c r="N970" s="166">
        <v>1</v>
      </c>
      <c r="O970" s="166">
        <v>2</v>
      </c>
      <c r="P970" s="166">
        <v>1</v>
      </c>
      <c r="R970" s="165" t="s">
        <v>1269</v>
      </c>
      <c r="S970" s="81" t="s">
        <v>113</v>
      </c>
      <c r="T970" s="349">
        <v>42524</v>
      </c>
      <c r="U970" s="349">
        <v>42579</v>
      </c>
      <c r="W970" s="81" t="s">
        <v>114</v>
      </c>
      <c r="Y970" s="81" t="s">
        <v>115</v>
      </c>
      <c r="Z970" s="81" t="s">
        <v>119</v>
      </c>
      <c r="AA970" s="81" t="s">
        <v>117</v>
      </c>
      <c r="AB970" s="81" t="s">
        <v>220</v>
      </c>
      <c r="AC970" s="166">
        <v>4.0000001899898104E-3</v>
      </c>
      <c r="AG970" s="81" t="s">
        <v>238</v>
      </c>
      <c r="AH970" s="81" t="s">
        <v>118</v>
      </c>
      <c r="AK970" s="166">
        <v>0</v>
      </c>
      <c r="AM970" s="166">
        <v>0</v>
      </c>
      <c r="AO970" s="166">
        <v>1</v>
      </c>
      <c r="AP970" s="166">
        <v>1</v>
      </c>
      <c r="AQ970" s="166">
        <v>0</v>
      </c>
      <c r="AR970" s="166">
        <v>0</v>
      </c>
      <c r="AS970" s="166">
        <v>-1</v>
      </c>
      <c r="AT970" s="166">
        <v>0</v>
      </c>
      <c r="AU970" s="166">
        <v>0</v>
      </c>
      <c r="AV970" s="166">
        <v>1</v>
      </c>
      <c r="AW970" s="166">
        <v>1</v>
      </c>
      <c r="AX970" s="166">
        <v>0</v>
      </c>
      <c r="AY970" s="166">
        <v>0</v>
      </c>
      <c r="AZ970" s="166">
        <v>-1</v>
      </c>
      <c r="BA970" s="166">
        <v>0</v>
      </c>
      <c r="BB970" s="166">
        <v>0</v>
      </c>
      <c r="BC970" s="166">
        <v>0</v>
      </c>
      <c r="BD970" s="166">
        <v>0</v>
      </c>
      <c r="BE970" s="166">
        <v>0</v>
      </c>
      <c r="BF970" s="166">
        <v>0</v>
      </c>
      <c r="BG970" s="166">
        <v>0</v>
      </c>
      <c r="BH970" s="166">
        <v>0</v>
      </c>
      <c r="BI970" s="166">
        <v>0</v>
      </c>
      <c r="BJ970" s="166">
        <v>0</v>
      </c>
      <c r="BK970" s="166">
        <v>0</v>
      </c>
      <c r="BL970" s="166">
        <v>0</v>
      </c>
      <c r="BM970" s="166">
        <v>0</v>
      </c>
      <c r="BN970" s="166">
        <v>0</v>
      </c>
      <c r="BO970" s="166">
        <v>0</v>
      </c>
      <c r="BP970" s="166">
        <v>0</v>
      </c>
      <c r="BQ970" s="81" t="s">
        <v>1758</v>
      </c>
      <c r="BZ970" s="81" t="s">
        <v>155</v>
      </c>
      <c r="CA970" s="81" t="s">
        <v>1937</v>
      </c>
      <c r="CC970" s="167">
        <v>0</v>
      </c>
      <c r="CD970" s="167">
        <f>$N970/4</f>
        <v>0.25</v>
      </c>
      <c r="CE970" s="167">
        <f>$N970/4</f>
        <v>0.25</v>
      </c>
      <c r="CF970" s="167">
        <f>$N970/4</f>
        <v>0.25</v>
      </c>
      <c r="CG970" s="167">
        <f>$N970/4</f>
        <v>0.25</v>
      </c>
      <c r="CH970" s="167">
        <v>0</v>
      </c>
      <c r="CI970" s="167">
        <v>0</v>
      </c>
      <c r="CJ970" s="167">
        <v>0</v>
      </c>
      <c r="CK970" s="167">
        <v>0</v>
      </c>
      <c r="CL970" s="167">
        <v>0</v>
      </c>
      <c r="CM970" s="167">
        <v>0</v>
      </c>
      <c r="CN970" s="167">
        <v>0</v>
      </c>
      <c r="CO970" s="167">
        <v>0</v>
      </c>
      <c r="CP970" s="167">
        <v>0</v>
      </c>
      <c r="CQ970" s="167">
        <v>0</v>
      </c>
      <c r="CR970" s="167">
        <v>0</v>
      </c>
      <c r="CS970" s="167">
        <v>0</v>
      </c>
      <c r="CT970" s="167">
        <v>0</v>
      </c>
      <c r="CU970" s="167">
        <v>0</v>
      </c>
      <c r="CV970" s="167">
        <v>0</v>
      </c>
      <c r="CW970" s="167">
        <v>0</v>
      </c>
      <c r="CX970" s="167">
        <f>SUM(CD970:CH970)</f>
        <v>1</v>
      </c>
      <c r="CY970" s="167">
        <f>SUM(CD970:CM970)</f>
        <v>1</v>
      </c>
    </row>
    <row r="971" spans="1:103" ht="12.75" customHeight="1" x14ac:dyDescent="0.2">
      <c r="A971" s="81">
        <v>6272</v>
      </c>
      <c r="B971" s="165" t="s">
        <v>1930</v>
      </c>
      <c r="C971" s="165" t="s">
        <v>2705</v>
      </c>
      <c r="E971" s="165" t="s">
        <v>2706</v>
      </c>
      <c r="G971" s="81">
        <v>522345</v>
      </c>
      <c r="H971" s="81">
        <v>174051</v>
      </c>
      <c r="I971" s="165" t="s">
        <v>877</v>
      </c>
      <c r="L971" s="166">
        <v>0</v>
      </c>
      <c r="M971" s="166">
        <v>1</v>
      </c>
      <c r="N971" s="166">
        <v>1</v>
      </c>
      <c r="O971" s="166">
        <v>1</v>
      </c>
      <c r="P971" s="166">
        <v>1</v>
      </c>
      <c r="R971" s="165" t="s">
        <v>2707</v>
      </c>
      <c r="S971" s="81" t="s">
        <v>113</v>
      </c>
      <c r="T971" s="349">
        <v>43013</v>
      </c>
      <c r="U971" s="349">
        <v>43068</v>
      </c>
      <c r="V971" s="81" t="s">
        <v>155</v>
      </c>
      <c r="W971" s="81" t="s">
        <v>114</v>
      </c>
      <c r="Y971" s="81" t="s">
        <v>115</v>
      </c>
      <c r="Z971" s="81" t="s">
        <v>398</v>
      </c>
      <c r="AA971" s="81" t="s">
        <v>117</v>
      </c>
      <c r="AB971" s="81" t="s">
        <v>298</v>
      </c>
      <c r="AC971" s="166">
        <v>4.6000000089407002E-2</v>
      </c>
      <c r="AG971" s="81" t="s">
        <v>238</v>
      </c>
      <c r="AH971" s="81" t="s">
        <v>118</v>
      </c>
      <c r="AK971" s="166">
        <v>0</v>
      </c>
      <c r="AM971" s="166">
        <v>0</v>
      </c>
      <c r="AO971" s="166">
        <v>0</v>
      </c>
      <c r="AP971" s="166">
        <v>0</v>
      </c>
      <c r="AQ971" s="166">
        <v>0</v>
      </c>
      <c r="AR971" s="166">
        <v>1</v>
      </c>
      <c r="AS971" s="166">
        <v>0</v>
      </c>
      <c r="AT971" s="166">
        <v>0</v>
      </c>
      <c r="AU971" s="166">
        <v>0</v>
      </c>
      <c r="AV971" s="166">
        <v>0</v>
      </c>
      <c r="AW971" s="166">
        <v>0</v>
      </c>
      <c r="AX971" s="166">
        <v>0</v>
      </c>
      <c r="AY971" s="166">
        <v>0</v>
      </c>
      <c r="AZ971" s="166">
        <v>0</v>
      </c>
      <c r="BA971" s="166">
        <v>0</v>
      </c>
      <c r="BB971" s="166">
        <v>0</v>
      </c>
      <c r="BC971" s="166">
        <v>0</v>
      </c>
      <c r="BD971" s="166">
        <v>0</v>
      </c>
      <c r="BE971" s="166">
        <v>0</v>
      </c>
      <c r="BF971" s="166">
        <v>1</v>
      </c>
      <c r="BG971" s="166">
        <v>0</v>
      </c>
      <c r="BH971" s="166">
        <v>0</v>
      </c>
      <c r="BI971" s="166">
        <v>0</v>
      </c>
      <c r="BJ971" s="166">
        <v>0</v>
      </c>
      <c r="BK971" s="166">
        <v>0</v>
      </c>
      <c r="BL971" s="166">
        <v>0</v>
      </c>
      <c r="BM971" s="166">
        <v>0</v>
      </c>
      <c r="BN971" s="166">
        <v>0</v>
      </c>
      <c r="BO971" s="166">
        <v>0</v>
      </c>
      <c r="BP971" s="166">
        <v>0</v>
      </c>
      <c r="BQ971" s="81" t="s">
        <v>1758</v>
      </c>
      <c r="BZ971" s="81" t="s">
        <v>155</v>
      </c>
      <c r="CA971" s="81">
        <v>4</v>
      </c>
      <c r="CC971" s="167">
        <v>0</v>
      </c>
      <c r="CD971" s="167">
        <v>0</v>
      </c>
      <c r="CE971" s="167">
        <f>$N971/5</f>
        <v>0.2</v>
      </c>
      <c r="CF971" s="167">
        <f>$N971/5</f>
        <v>0.2</v>
      </c>
      <c r="CG971" s="167">
        <f>$N971/5</f>
        <v>0.2</v>
      </c>
      <c r="CH971" s="167">
        <f>$N971/5</f>
        <v>0.2</v>
      </c>
      <c r="CI971" s="167">
        <f>$N971/5</f>
        <v>0.2</v>
      </c>
      <c r="CJ971" s="167">
        <v>0</v>
      </c>
      <c r="CK971" s="167">
        <v>0</v>
      </c>
      <c r="CL971" s="167">
        <v>0</v>
      </c>
      <c r="CM971" s="167">
        <v>0</v>
      </c>
      <c r="CN971" s="167">
        <v>0</v>
      </c>
      <c r="CO971" s="167">
        <v>0</v>
      </c>
      <c r="CP971" s="167">
        <v>0</v>
      </c>
      <c r="CQ971" s="167">
        <v>0</v>
      </c>
      <c r="CR971" s="167">
        <v>0</v>
      </c>
      <c r="CS971" s="167">
        <v>0</v>
      </c>
      <c r="CT971" s="167">
        <v>0</v>
      </c>
      <c r="CU971" s="167">
        <v>0</v>
      </c>
      <c r="CV971" s="167">
        <v>0</v>
      </c>
      <c r="CW971" s="167">
        <v>0</v>
      </c>
      <c r="CX971" s="167">
        <f>SUM(CD971:CH971)</f>
        <v>0.8</v>
      </c>
      <c r="CY971" s="167">
        <f>SUM(CD971:CM971)</f>
        <v>1</v>
      </c>
    </row>
    <row r="972" spans="1:103" ht="12.75" customHeight="1" x14ac:dyDescent="0.2">
      <c r="A972" s="81">
        <v>6273</v>
      </c>
      <c r="B972" s="165" t="s">
        <v>1930</v>
      </c>
      <c r="C972" s="165" t="s">
        <v>1204</v>
      </c>
      <c r="E972" s="165" t="s">
        <v>2708</v>
      </c>
      <c r="G972" s="81">
        <v>527811</v>
      </c>
      <c r="H972" s="81">
        <v>171019</v>
      </c>
      <c r="I972" s="165" t="s">
        <v>253</v>
      </c>
      <c r="L972" s="166">
        <v>0</v>
      </c>
      <c r="M972" s="166">
        <v>1</v>
      </c>
      <c r="N972" s="166">
        <v>1</v>
      </c>
      <c r="O972" s="166">
        <v>2</v>
      </c>
      <c r="P972" s="166">
        <v>1</v>
      </c>
      <c r="R972" s="165" t="s">
        <v>1205</v>
      </c>
      <c r="S972" s="81" t="s">
        <v>113</v>
      </c>
      <c r="T972" s="349">
        <v>42474</v>
      </c>
      <c r="U972" s="349">
        <v>42530</v>
      </c>
      <c r="W972" s="81" t="s">
        <v>114</v>
      </c>
      <c r="Y972" s="81" t="s">
        <v>115</v>
      </c>
      <c r="Z972" s="81" t="s">
        <v>398</v>
      </c>
      <c r="AA972" s="81" t="s">
        <v>117</v>
      </c>
      <c r="AB972" s="81" t="s">
        <v>218</v>
      </c>
      <c r="AC972" s="166">
        <v>6.0000000521540598E-3</v>
      </c>
      <c r="AG972" s="81" t="s">
        <v>238</v>
      </c>
      <c r="AH972" s="81" t="s">
        <v>118</v>
      </c>
      <c r="AK972" s="166">
        <v>1</v>
      </c>
      <c r="AM972" s="166">
        <v>0</v>
      </c>
      <c r="AO972" s="166">
        <v>0</v>
      </c>
      <c r="AP972" s="166">
        <v>0</v>
      </c>
      <c r="AQ972" s="166">
        <v>1</v>
      </c>
      <c r="AR972" s="166">
        <v>0</v>
      </c>
      <c r="AS972" s="166">
        <v>0</v>
      </c>
      <c r="AT972" s="166">
        <v>0</v>
      </c>
      <c r="AU972" s="166">
        <v>0</v>
      </c>
      <c r="AV972" s="166">
        <v>0</v>
      </c>
      <c r="AW972" s="166">
        <v>0</v>
      </c>
      <c r="AX972" s="166">
        <v>1</v>
      </c>
      <c r="AY972" s="166">
        <v>0</v>
      </c>
      <c r="AZ972" s="166">
        <v>0</v>
      </c>
      <c r="BA972" s="166">
        <v>0</v>
      </c>
      <c r="BB972" s="166">
        <v>0</v>
      </c>
      <c r="BC972" s="166">
        <v>0</v>
      </c>
      <c r="BD972" s="166">
        <v>0</v>
      </c>
      <c r="BE972" s="166">
        <v>0</v>
      </c>
      <c r="BF972" s="166">
        <v>0</v>
      </c>
      <c r="BG972" s="166">
        <v>0</v>
      </c>
      <c r="BH972" s="166">
        <v>0</v>
      </c>
      <c r="BI972" s="166">
        <v>0</v>
      </c>
      <c r="BJ972" s="166">
        <v>0</v>
      </c>
      <c r="BK972" s="166">
        <v>0</v>
      </c>
      <c r="BL972" s="166">
        <v>0</v>
      </c>
      <c r="BM972" s="166">
        <v>0</v>
      </c>
      <c r="BN972" s="166">
        <v>0</v>
      </c>
      <c r="BO972" s="166">
        <v>0</v>
      </c>
      <c r="BP972" s="166">
        <v>0</v>
      </c>
      <c r="BQ972" s="81" t="s">
        <v>1757</v>
      </c>
      <c r="BZ972" s="81" t="s">
        <v>155</v>
      </c>
      <c r="CA972" s="81" t="s">
        <v>1937</v>
      </c>
      <c r="CC972" s="167">
        <v>0</v>
      </c>
      <c r="CD972" s="167">
        <f>$N972/4</f>
        <v>0.25</v>
      </c>
      <c r="CE972" s="167">
        <f>$N972/4</f>
        <v>0.25</v>
      </c>
      <c r="CF972" s="167">
        <f>$N972/4</f>
        <v>0.25</v>
      </c>
      <c r="CG972" s="167">
        <f>$N972/4</f>
        <v>0.25</v>
      </c>
      <c r="CH972" s="167">
        <v>0</v>
      </c>
      <c r="CI972" s="167">
        <v>0</v>
      </c>
      <c r="CJ972" s="167">
        <v>0</v>
      </c>
      <c r="CK972" s="167">
        <v>0</v>
      </c>
      <c r="CL972" s="167">
        <v>0</v>
      </c>
      <c r="CM972" s="167">
        <v>0</v>
      </c>
      <c r="CN972" s="167">
        <v>0</v>
      </c>
      <c r="CO972" s="167">
        <v>0</v>
      </c>
      <c r="CP972" s="167">
        <v>0</v>
      </c>
      <c r="CQ972" s="167">
        <v>0</v>
      </c>
      <c r="CR972" s="167">
        <v>0</v>
      </c>
      <c r="CS972" s="167">
        <v>0</v>
      </c>
      <c r="CT972" s="167">
        <v>0</v>
      </c>
      <c r="CU972" s="167">
        <v>0</v>
      </c>
      <c r="CV972" s="167">
        <v>0</v>
      </c>
      <c r="CW972" s="167">
        <v>0</v>
      </c>
      <c r="CX972" s="167">
        <f>SUM(CD972:CH972)</f>
        <v>1</v>
      </c>
      <c r="CY972" s="167">
        <f>SUM(CD972:CM972)</f>
        <v>1</v>
      </c>
    </row>
    <row r="973" spans="1:103" ht="12.75" customHeight="1" x14ac:dyDescent="0.2">
      <c r="A973" s="81">
        <v>6273</v>
      </c>
      <c r="B973" s="165" t="s">
        <v>1930</v>
      </c>
      <c r="C973" s="165" t="s">
        <v>1204</v>
      </c>
      <c r="E973" s="165" t="s">
        <v>2708</v>
      </c>
      <c r="G973" s="81">
        <v>527811</v>
      </c>
      <c r="H973" s="81">
        <v>171019</v>
      </c>
      <c r="I973" s="165" t="s">
        <v>253</v>
      </c>
      <c r="L973" s="166">
        <v>1</v>
      </c>
      <c r="M973" s="166">
        <v>1</v>
      </c>
      <c r="N973" s="166">
        <v>0</v>
      </c>
      <c r="O973" s="166">
        <v>2</v>
      </c>
      <c r="P973" s="166">
        <v>1</v>
      </c>
      <c r="R973" s="165" t="s">
        <v>1205</v>
      </c>
      <c r="S973" s="81" t="s">
        <v>113</v>
      </c>
      <c r="T973" s="349">
        <v>42474</v>
      </c>
      <c r="U973" s="349">
        <v>42530</v>
      </c>
      <c r="W973" s="81" t="s">
        <v>114</v>
      </c>
      <c r="Y973" s="81" t="s">
        <v>115</v>
      </c>
      <c r="Z973" s="81" t="s">
        <v>398</v>
      </c>
      <c r="AA973" s="81" t="s">
        <v>117</v>
      </c>
      <c r="AB973" s="81" t="s">
        <v>220</v>
      </c>
      <c r="AC973" s="166">
        <v>4.9999998882412902E-3</v>
      </c>
      <c r="AG973" s="81" t="s">
        <v>238</v>
      </c>
      <c r="AH973" s="81" t="s">
        <v>118</v>
      </c>
      <c r="AK973" s="166">
        <v>0</v>
      </c>
      <c r="AM973" s="166">
        <v>0</v>
      </c>
      <c r="AO973" s="166">
        <v>0</v>
      </c>
      <c r="AP973" s="166">
        <v>-1</v>
      </c>
      <c r="AQ973" s="166">
        <v>1</v>
      </c>
      <c r="AR973" s="166">
        <v>0</v>
      </c>
      <c r="AS973" s="166">
        <v>0</v>
      </c>
      <c r="AT973" s="166">
        <v>0</v>
      </c>
      <c r="AU973" s="166">
        <v>0</v>
      </c>
      <c r="AV973" s="166">
        <v>0</v>
      </c>
      <c r="AW973" s="166">
        <v>-1</v>
      </c>
      <c r="AX973" s="166">
        <v>1</v>
      </c>
      <c r="AY973" s="166">
        <v>0</v>
      </c>
      <c r="AZ973" s="166">
        <v>0</v>
      </c>
      <c r="BA973" s="166">
        <v>0</v>
      </c>
      <c r="BB973" s="166">
        <v>0</v>
      </c>
      <c r="BC973" s="166">
        <v>0</v>
      </c>
      <c r="BD973" s="166">
        <v>0</v>
      </c>
      <c r="BE973" s="166">
        <v>0</v>
      </c>
      <c r="BF973" s="166">
        <v>0</v>
      </c>
      <c r="BG973" s="166">
        <v>0</v>
      </c>
      <c r="BH973" s="166">
        <v>0</v>
      </c>
      <c r="BI973" s="166">
        <v>0</v>
      </c>
      <c r="BJ973" s="166">
        <v>0</v>
      </c>
      <c r="BK973" s="166">
        <v>0</v>
      </c>
      <c r="BL973" s="166">
        <v>0</v>
      </c>
      <c r="BM973" s="166">
        <v>0</v>
      </c>
      <c r="BN973" s="166">
        <v>0</v>
      </c>
      <c r="BO973" s="166">
        <v>0</v>
      </c>
      <c r="BP973" s="166">
        <v>0</v>
      </c>
      <c r="BQ973" s="81" t="s">
        <v>1757</v>
      </c>
      <c r="BZ973" s="81" t="s">
        <v>155</v>
      </c>
      <c r="CA973" s="81" t="s">
        <v>1937</v>
      </c>
      <c r="CC973" s="167">
        <v>0</v>
      </c>
      <c r="CD973" s="167">
        <f>$N973/4</f>
        <v>0</v>
      </c>
      <c r="CE973" s="167">
        <f>$N973/4</f>
        <v>0</v>
      </c>
      <c r="CF973" s="167">
        <f>$N973/4</f>
        <v>0</v>
      </c>
      <c r="CG973" s="167">
        <f>$N973/4</f>
        <v>0</v>
      </c>
      <c r="CH973" s="167">
        <v>0</v>
      </c>
      <c r="CI973" s="167">
        <v>0</v>
      </c>
      <c r="CJ973" s="167">
        <v>0</v>
      </c>
      <c r="CK973" s="167">
        <v>0</v>
      </c>
      <c r="CL973" s="167">
        <v>0</v>
      </c>
      <c r="CM973" s="167">
        <v>0</v>
      </c>
      <c r="CN973" s="167">
        <v>0</v>
      </c>
      <c r="CO973" s="167">
        <v>0</v>
      </c>
      <c r="CP973" s="167">
        <v>0</v>
      </c>
      <c r="CQ973" s="167">
        <v>0</v>
      </c>
      <c r="CR973" s="167">
        <v>0</v>
      </c>
      <c r="CS973" s="167">
        <v>0</v>
      </c>
      <c r="CT973" s="167">
        <v>0</v>
      </c>
      <c r="CU973" s="167">
        <v>0</v>
      </c>
      <c r="CV973" s="167">
        <v>0</v>
      </c>
      <c r="CW973" s="167">
        <v>0</v>
      </c>
      <c r="CX973" s="167">
        <f>SUM(CD973:CH973)</f>
        <v>0</v>
      </c>
      <c r="CY973" s="167">
        <f>SUM(CD973:CM973)</f>
        <v>0</v>
      </c>
    </row>
    <row r="974" spans="1:103" ht="12.75" customHeight="1" x14ac:dyDescent="0.2">
      <c r="A974" s="81">
        <v>6276</v>
      </c>
      <c r="B974" s="165" t="s">
        <v>1930</v>
      </c>
      <c r="C974" s="165" t="s">
        <v>1282</v>
      </c>
      <c r="E974" s="165" t="s">
        <v>2709</v>
      </c>
      <c r="G974" s="81">
        <v>527521</v>
      </c>
      <c r="H974" s="81">
        <v>171508</v>
      </c>
      <c r="I974" s="165" t="s">
        <v>253</v>
      </c>
      <c r="L974" s="166">
        <v>0</v>
      </c>
      <c r="M974" s="166">
        <v>2</v>
      </c>
      <c r="N974" s="166">
        <v>2</v>
      </c>
      <c r="O974" s="166">
        <v>2</v>
      </c>
      <c r="P974" s="166">
        <v>2</v>
      </c>
      <c r="R974" s="165" t="s">
        <v>1283</v>
      </c>
      <c r="S974" s="81" t="s">
        <v>113</v>
      </c>
      <c r="T974" s="349">
        <v>42542</v>
      </c>
      <c r="U974" s="349">
        <v>42598</v>
      </c>
      <c r="W974" s="81" t="s">
        <v>114</v>
      </c>
      <c r="Y974" s="81" t="s">
        <v>115</v>
      </c>
      <c r="Z974" s="81" t="s">
        <v>310</v>
      </c>
      <c r="AA974" s="81" t="s">
        <v>117</v>
      </c>
      <c r="AB974" s="81" t="s">
        <v>399</v>
      </c>
      <c r="AC974" s="166">
        <v>1.60000007599592E-2</v>
      </c>
      <c r="AG974" s="81" t="s">
        <v>238</v>
      </c>
      <c r="AH974" s="81" t="s">
        <v>118</v>
      </c>
      <c r="AI974" s="81" t="s">
        <v>2448</v>
      </c>
      <c r="AK974" s="166">
        <v>0</v>
      </c>
      <c r="AM974" s="166">
        <v>0</v>
      </c>
      <c r="AO974" s="166">
        <v>0</v>
      </c>
      <c r="AP974" s="166">
        <v>2</v>
      </c>
      <c r="AQ974" s="166">
        <v>0</v>
      </c>
      <c r="AR974" s="166">
        <v>0</v>
      </c>
      <c r="AS974" s="166">
        <v>0</v>
      </c>
      <c r="AT974" s="166">
        <v>0</v>
      </c>
      <c r="AU974" s="166">
        <v>0</v>
      </c>
      <c r="AV974" s="166">
        <v>0</v>
      </c>
      <c r="AW974" s="166">
        <v>2</v>
      </c>
      <c r="AX974" s="166">
        <v>0</v>
      </c>
      <c r="AY974" s="166">
        <v>0</v>
      </c>
      <c r="AZ974" s="166">
        <v>0</v>
      </c>
      <c r="BA974" s="166">
        <v>0</v>
      </c>
      <c r="BB974" s="166">
        <v>0</v>
      </c>
      <c r="BC974" s="166">
        <v>0</v>
      </c>
      <c r="BD974" s="166">
        <v>0</v>
      </c>
      <c r="BE974" s="166">
        <v>0</v>
      </c>
      <c r="BF974" s="166">
        <v>0</v>
      </c>
      <c r="BG974" s="166">
        <v>0</v>
      </c>
      <c r="BH974" s="166">
        <v>0</v>
      </c>
      <c r="BI974" s="166">
        <v>0</v>
      </c>
      <c r="BJ974" s="166">
        <v>0</v>
      </c>
      <c r="BK974" s="166">
        <v>0</v>
      </c>
      <c r="BL974" s="166">
        <v>0</v>
      </c>
      <c r="BM974" s="166">
        <v>0</v>
      </c>
      <c r="BN974" s="166">
        <v>0</v>
      </c>
      <c r="BO974" s="166">
        <v>0</v>
      </c>
      <c r="BP974" s="166">
        <v>0</v>
      </c>
      <c r="BQ974" s="81" t="s">
        <v>1757</v>
      </c>
      <c r="BR974" s="81" t="s">
        <v>242</v>
      </c>
      <c r="BZ974" s="81" t="s">
        <v>155</v>
      </c>
      <c r="CA974" s="81" t="s">
        <v>1937</v>
      </c>
      <c r="CC974" s="167">
        <v>0</v>
      </c>
      <c r="CD974" s="167">
        <f>$N974/4</f>
        <v>0.5</v>
      </c>
      <c r="CE974" s="167">
        <f>$N974/4</f>
        <v>0.5</v>
      </c>
      <c r="CF974" s="167">
        <f>$N974/4</f>
        <v>0.5</v>
      </c>
      <c r="CG974" s="167">
        <f>$N974/4</f>
        <v>0.5</v>
      </c>
      <c r="CH974" s="167">
        <v>0</v>
      </c>
      <c r="CI974" s="167">
        <v>0</v>
      </c>
      <c r="CJ974" s="167">
        <v>0</v>
      </c>
      <c r="CK974" s="167">
        <v>0</v>
      </c>
      <c r="CL974" s="167">
        <v>0</v>
      </c>
      <c r="CM974" s="167">
        <v>0</v>
      </c>
      <c r="CN974" s="167">
        <v>0</v>
      </c>
      <c r="CO974" s="167">
        <v>0</v>
      </c>
      <c r="CP974" s="167">
        <v>0</v>
      </c>
      <c r="CQ974" s="167">
        <v>0</v>
      </c>
      <c r="CR974" s="167">
        <v>0</v>
      </c>
      <c r="CS974" s="167">
        <v>0</v>
      </c>
      <c r="CT974" s="167">
        <v>0</v>
      </c>
      <c r="CU974" s="167">
        <v>0</v>
      </c>
      <c r="CV974" s="167">
        <v>0</v>
      </c>
      <c r="CW974" s="167">
        <v>0</v>
      </c>
      <c r="CX974" s="167">
        <f>SUM(CD974:CH974)</f>
        <v>2</v>
      </c>
      <c r="CY974" s="167">
        <f>SUM(CD974:CM974)</f>
        <v>2</v>
      </c>
    </row>
    <row r="975" spans="1:103" ht="12.75" customHeight="1" x14ac:dyDescent="0.2">
      <c r="A975" s="81">
        <v>6279</v>
      </c>
      <c r="B975" s="165" t="s">
        <v>1930</v>
      </c>
      <c r="C975" s="165" t="s">
        <v>1382</v>
      </c>
      <c r="E975" s="165" t="s">
        <v>2710</v>
      </c>
      <c r="G975" s="81">
        <v>523783</v>
      </c>
      <c r="H975" s="81">
        <v>173677</v>
      </c>
      <c r="I975" s="165" t="s">
        <v>111</v>
      </c>
      <c r="L975" s="166">
        <v>0</v>
      </c>
      <c r="M975" s="166">
        <v>1</v>
      </c>
      <c r="N975" s="166">
        <v>1</v>
      </c>
      <c r="O975" s="166">
        <v>1</v>
      </c>
      <c r="P975" s="166">
        <v>1</v>
      </c>
      <c r="R975" s="165" t="s">
        <v>1383</v>
      </c>
      <c r="S975" s="81" t="s">
        <v>113</v>
      </c>
      <c r="T975" s="349">
        <v>42646</v>
      </c>
      <c r="U975" s="349">
        <v>42719</v>
      </c>
      <c r="W975" s="81" t="s">
        <v>114</v>
      </c>
      <c r="Y975" s="81" t="s">
        <v>115</v>
      </c>
      <c r="Z975" s="81" t="s">
        <v>219</v>
      </c>
      <c r="AA975" s="81" t="s">
        <v>117</v>
      </c>
      <c r="AB975" s="81" t="s">
        <v>3889</v>
      </c>
      <c r="AC975" s="166">
        <v>7.0000002160668399E-3</v>
      </c>
      <c r="AG975" s="81" t="s">
        <v>238</v>
      </c>
      <c r="AH975" s="81" t="s">
        <v>118</v>
      </c>
      <c r="AK975" s="166">
        <v>0</v>
      </c>
      <c r="AM975" s="166">
        <v>0</v>
      </c>
      <c r="AO975" s="166">
        <v>0</v>
      </c>
      <c r="AP975" s="166">
        <v>1</v>
      </c>
      <c r="AQ975" s="166">
        <v>0</v>
      </c>
      <c r="AR975" s="166">
        <v>0</v>
      </c>
      <c r="AS975" s="166">
        <v>0</v>
      </c>
      <c r="AT975" s="166">
        <v>0</v>
      </c>
      <c r="AU975" s="166">
        <v>0</v>
      </c>
      <c r="AV975" s="166">
        <v>0</v>
      </c>
      <c r="AW975" s="166">
        <v>1</v>
      </c>
      <c r="AX975" s="166">
        <v>0</v>
      </c>
      <c r="AY975" s="166">
        <v>0</v>
      </c>
      <c r="AZ975" s="166">
        <v>0</v>
      </c>
      <c r="BA975" s="166">
        <v>0</v>
      </c>
      <c r="BB975" s="166">
        <v>0</v>
      </c>
      <c r="BC975" s="166">
        <v>0</v>
      </c>
      <c r="BD975" s="166">
        <v>0</v>
      </c>
      <c r="BE975" s="166">
        <v>0</v>
      </c>
      <c r="BF975" s="166">
        <v>0</v>
      </c>
      <c r="BG975" s="166">
        <v>0</v>
      </c>
      <c r="BH975" s="166">
        <v>0</v>
      </c>
      <c r="BI975" s="166">
        <v>0</v>
      </c>
      <c r="BJ975" s="166">
        <v>0</v>
      </c>
      <c r="BK975" s="166">
        <v>0</v>
      </c>
      <c r="BL975" s="166">
        <v>0</v>
      </c>
      <c r="BM975" s="166">
        <v>0</v>
      </c>
      <c r="BN975" s="166">
        <v>0</v>
      </c>
      <c r="BO975" s="166">
        <v>0</v>
      </c>
      <c r="BP975" s="166">
        <v>0</v>
      </c>
      <c r="BQ975" s="81" t="s">
        <v>1758</v>
      </c>
      <c r="BZ975" s="81" t="s">
        <v>155</v>
      </c>
      <c r="CA975" s="81" t="s">
        <v>1937</v>
      </c>
      <c r="CC975" s="167">
        <v>0</v>
      </c>
      <c r="CD975" s="167">
        <f>$N975/4</f>
        <v>0.25</v>
      </c>
      <c r="CE975" s="167">
        <f>$N975/4</f>
        <v>0.25</v>
      </c>
      <c r="CF975" s="167">
        <f>$N975/4</f>
        <v>0.25</v>
      </c>
      <c r="CG975" s="167">
        <f>$N975/4</f>
        <v>0.25</v>
      </c>
      <c r="CH975" s="167">
        <v>0</v>
      </c>
      <c r="CI975" s="167">
        <v>0</v>
      </c>
      <c r="CJ975" s="167">
        <v>0</v>
      </c>
      <c r="CK975" s="167">
        <v>0</v>
      </c>
      <c r="CL975" s="167">
        <v>0</v>
      </c>
      <c r="CM975" s="167">
        <v>0</v>
      </c>
      <c r="CN975" s="167">
        <v>0</v>
      </c>
      <c r="CO975" s="167">
        <v>0</v>
      </c>
      <c r="CP975" s="167">
        <v>0</v>
      </c>
      <c r="CQ975" s="167">
        <v>0</v>
      </c>
      <c r="CR975" s="167">
        <v>0</v>
      </c>
      <c r="CS975" s="167">
        <v>0</v>
      </c>
      <c r="CT975" s="167">
        <v>0</v>
      </c>
      <c r="CU975" s="167">
        <v>0</v>
      </c>
      <c r="CV975" s="167">
        <v>0</v>
      </c>
      <c r="CW975" s="167">
        <v>0</v>
      </c>
      <c r="CX975" s="167">
        <f>SUM(CD975:CH975)</f>
        <v>1</v>
      </c>
      <c r="CY975" s="167">
        <f>SUM(CD975:CM975)</f>
        <v>1</v>
      </c>
    </row>
    <row r="976" spans="1:103" ht="12.75" customHeight="1" x14ac:dyDescent="0.2">
      <c r="A976" s="81">
        <v>6280</v>
      </c>
      <c r="B976" s="165" t="s">
        <v>1930</v>
      </c>
      <c r="C976" s="165" t="s">
        <v>1184</v>
      </c>
      <c r="E976" s="165" t="s">
        <v>2711</v>
      </c>
      <c r="G976" s="81">
        <v>523210</v>
      </c>
      <c r="H976" s="81">
        <v>175380</v>
      </c>
      <c r="I976" s="165" t="s">
        <v>59</v>
      </c>
      <c r="L976" s="166">
        <v>0</v>
      </c>
      <c r="M976" s="166">
        <v>9</v>
      </c>
      <c r="N976" s="166">
        <v>9</v>
      </c>
      <c r="O976" s="166">
        <v>9</v>
      </c>
      <c r="P976" s="166">
        <v>9</v>
      </c>
      <c r="R976" s="165" t="s">
        <v>1185</v>
      </c>
      <c r="S976" s="81" t="s">
        <v>113</v>
      </c>
      <c r="T976" s="349">
        <v>42620</v>
      </c>
      <c r="U976" s="349">
        <v>42669</v>
      </c>
      <c r="W976" s="81" t="s">
        <v>114</v>
      </c>
      <c r="Y976" s="81" t="s">
        <v>115</v>
      </c>
      <c r="Z976" s="81" t="s">
        <v>116</v>
      </c>
      <c r="AA976" s="81" t="s">
        <v>117</v>
      </c>
      <c r="AB976" s="81" t="s">
        <v>218</v>
      </c>
      <c r="AC976" s="166">
        <v>6.4999997615814195E-2</v>
      </c>
      <c r="AG976" s="81" t="s">
        <v>238</v>
      </c>
      <c r="AH976" s="81" t="s">
        <v>118</v>
      </c>
      <c r="AK976" s="166">
        <v>9</v>
      </c>
      <c r="AM976" s="166">
        <v>1</v>
      </c>
      <c r="AO976" s="166">
        <v>0</v>
      </c>
      <c r="AP976" s="166">
        <v>2</v>
      </c>
      <c r="AQ976" s="166">
        <v>6</v>
      </c>
      <c r="AR976" s="166">
        <v>1</v>
      </c>
      <c r="AS976" s="166">
        <v>0</v>
      </c>
      <c r="AT976" s="166">
        <v>0</v>
      </c>
      <c r="AU976" s="166">
        <v>0</v>
      </c>
      <c r="AV976" s="166">
        <v>0</v>
      </c>
      <c r="AW976" s="166">
        <v>2</v>
      </c>
      <c r="AX976" s="166">
        <v>6</v>
      </c>
      <c r="AY976" s="166">
        <v>1</v>
      </c>
      <c r="AZ976" s="166">
        <v>0</v>
      </c>
      <c r="BA976" s="166">
        <v>0</v>
      </c>
      <c r="BB976" s="166">
        <v>0</v>
      </c>
      <c r="BC976" s="166">
        <v>0</v>
      </c>
      <c r="BD976" s="166">
        <v>0</v>
      </c>
      <c r="BE976" s="166">
        <v>0</v>
      </c>
      <c r="BF976" s="166">
        <v>0</v>
      </c>
      <c r="BG976" s="166">
        <v>0</v>
      </c>
      <c r="BH976" s="166">
        <v>0</v>
      </c>
      <c r="BI976" s="166">
        <v>0</v>
      </c>
      <c r="BJ976" s="166">
        <v>0</v>
      </c>
      <c r="BK976" s="166">
        <v>0</v>
      </c>
      <c r="BL976" s="166">
        <v>0</v>
      </c>
      <c r="BM976" s="166">
        <v>0</v>
      </c>
      <c r="BN976" s="166">
        <v>0</v>
      </c>
      <c r="BO976" s="166">
        <v>0</v>
      </c>
      <c r="BP976" s="166">
        <v>0</v>
      </c>
      <c r="BQ976" s="81" t="s">
        <v>1758</v>
      </c>
      <c r="BZ976" s="81" t="s">
        <v>155</v>
      </c>
      <c r="CA976" s="81" t="s">
        <v>3968</v>
      </c>
      <c r="CC976" s="167">
        <v>0</v>
      </c>
      <c r="CD976" s="167">
        <v>0</v>
      </c>
      <c r="CE976" s="167">
        <v>0</v>
      </c>
      <c r="CF976" s="167">
        <v>0</v>
      </c>
      <c r="CG976" s="167">
        <v>0</v>
      </c>
      <c r="CH976" s="167">
        <f>$N976/3</f>
        <v>3</v>
      </c>
      <c r="CI976" s="167">
        <f>$N976/3</f>
        <v>3</v>
      </c>
      <c r="CJ976" s="167">
        <f>$N976/3</f>
        <v>3</v>
      </c>
      <c r="CK976" s="167">
        <v>0</v>
      </c>
      <c r="CL976" s="167">
        <v>0</v>
      </c>
      <c r="CM976" s="167">
        <v>0</v>
      </c>
      <c r="CN976" s="167">
        <v>0</v>
      </c>
      <c r="CO976" s="167">
        <v>0</v>
      </c>
      <c r="CP976" s="167">
        <v>0</v>
      </c>
      <c r="CQ976" s="167">
        <v>0</v>
      </c>
      <c r="CR976" s="167">
        <v>0</v>
      </c>
      <c r="CS976" s="167">
        <v>0</v>
      </c>
      <c r="CT976" s="167">
        <v>0</v>
      </c>
      <c r="CU976" s="167">
        <v>0</v>
      </c>
      <c r="CV976" s="167">
        <v>0</v>
      </c>
      <c r="CW976" s="167">
        <v>0</v>
      </c>
      <c r="CX976" s="167">
        <f>SUM(CD976:CH976)</f>
        <v>3</v>
      </c>
      <c r="CY976" s="167">
        <f>SUM(CD976:CM976)</f>
        <v>9</v>
      </c>
    </row>
    <row r="977" spans="1:103" ht="12.75" customHeight="1" x14ac:dyDescent="0.2">
      <c r="A977" s="81">
        <v>6282</v>
      </c>
      <c r="B977" s="165" t="s">
        <v>1930</v>
      </c>
      <c r="C977" s="165" t="s">
        <v>1605</v>
      </c>
      <c r="E977" s="165" t="s">
        <v>2712</v>
      </c>
      <c r="G977" s="81">
        <v>524759</v>
      </c>
      <c r="H977" s="81">
        <v>174251</v>
      </c>
      <c r="I977" s="165" t="s">
        <v>250</v>
      </c>
      <c r="L977" s="166">
        <v>1</v>
      </c>
      <c r="M977" s="166">
        <v>4</v>
      </c>
      <c r="N977" s="166">
        <v>3</v>
      </c>
      <c r="O977" s="166">
        <v>4</v>
      </c>
      <c r="P977" s="166">
        <v>3</v>
      </c>
      <c r="R977" s="165" t="s">
        <v>1606</v>
      </c>
      <c r="S977" s="81" t="s">
        <v>113</v>
      </c>
      <c r="T977" s="349">
        <v>42796</v>
      </c>
      <c r="U977" s="349">
        <v>42873</v>
      </c>
      <c r="V977" s="81" t="s">
        <v>155</v>
      </c>
      <c r="W977" s="81" t="s">
        <v>114</v>
      </c>
      <c r="Y977" s="81" t="s">
        <v>115</v>
      </c>
      <c r="Z977" s="81" t="s">
        <v>116</v>
      </c>
      <c r="AA977" s="81" t="s">
        <v>117</v>
      </c>
      <c r="AB977" s="81" t="s">
        <v>218</v>
      </c>
      <c r="AC977" s="166">
        <v>0.193000003695488</v>
      </c>
      <c r="AG977" s="81" t="s">
        <v>238</v>
      </c>
      <c r="AH977" s="81" t="s">
        <v>118</v>
      </c>
      <c r="AK977" s="166">
        <v>0</v>
      </c>
      <c r="AM977" s="166">
        <v>0</v>
      </c>
      <c r="AO977" s="166">
        <v>0</v>
      </c>
      <c r="AP977" s="166">
        <v>0</v>
      </c>
      <c r="AQ977" s="166">
        <v>0</v>
      </c>
      <c r="AR977" s="166">
        <v>0</v>
      </c>
      <c r="AS977" s="166">
        <v>0</v>
      </c>
      <c r="AT977" s="166">
        <v>3</v>
      </c>
      <c r="AU977" s="166">
        <v>0</v>
      </c>
      <c r="AV977" s="166">
        <v>0</v>
      </c>
      <c r="AW977" s="166">
        <v>0</v>
      </c>
      <c r="AX977" s="166">
        <v>0</v>
      </c>
      <c r="AY977" s="166">
        <v>0</v>
      </c>
      <c r="AZ977" s="166">
        <v>0</v>
      </c>
      <c r="BA977" s="166">
        <v>0</v>
      </c>
      <c r="BB977" s="166">
        <v>0</v>
      </c>
      <c r="BC977" s="166">
        <v>0</v>
      </c>
      <c r="BD977" s="166">
        <v>0</v>
      </c>
      <c r="BE977" s="166">
        <v>0</v>
      </c>
      <c r="BF977" s="166">
        <v>0</v>
      </c>
      <c r="BG977" s="166">
        <v>0</v>
      </c>
      <c r="BH977" s="166">
        <v>3</v>
      </c>
      <c r="BI977" s="166">
        <v>0</v>
      </c>
      <c r="BJ977" s="166">
        <v>0</v>
      </c>
      <c r="BK977" s="166">
        <v>0</v>
      </c>
      <c r="BL977" s="166">
        <v>0</v>
      </c>
      <c r="BM977" s="166">
        <v>0</v>
      </c>
      <c r="BN977" s="166">
        <v>0</v>
      </c>
      <c r="BO977" s="166">
        <v>0</v>
      </c>
      <c r="BP977" s="166">
        <v>0</v>
      </c>
      <c r="BQ977" s="81" t="s">
        <v>1758</v>
      </c>
      <c r="BZ977" s="81" t="s">
        <v>155</v>
      </c>
      <c r="CA977" s="81">
        <v>4</v>
      </c>
      <c r="CC977" s="167">
        <v>0</v>
      </c>
      <c r="CD977" s="167">
        <v>0</v>
      </c>
      <c r="CE977" s="167">
        <f>$N977/5</f>
        <v>0.6</v>
      </c>
      <c r="CF977" s="167">
        <f>$N977/5</f>
        <v>0.6</v>
      </c>
      <c r="CG977" s="167">
        <f>$N977/5</f>
        <v>0.6</v>
      </c>
      <c r="CH977" s="167">
        <f>$N977/5</f>
        <v>0.6</v>
      </c>
      <c r="CI977" s="167">
        <f>$N977/5</f>
        <v>0.6</v>
      </c>
      <c r="CJ977" s="167">
        <v>0</v>
      </c>
      <c r="CK977" s="167">
        <v>0</v>
      </c>
      <c r="CL977" s="167">
        <v>0</v>
      </c>
      <c r="CM977" s="167">
        <v>0</v>
      </c>
      <c r="CN977" s="167">
        <v>0</v>
      </c>
      <c r="CO977" s="167">
        <v>0</v>
      </c>
      <c r="CP977" s="167">
        <v>0</v>
      </c>
      <c r="CQ977" s="167">
        <v>0</v>
      </c>
      <c r="CR977" s="167">
        <v>0</v>
      </c>
      <c r="CS977" s="167">
        <v>0</v>
      </c>
      <c r="CT977" s="167">
        <v>0</v>
      </c>
      <c r="CU977" s="167">
        <v>0</v>
      </c>
      <c r="CV977" s="167">
        <v>0</v>
      </c>
      <c r="CW977" s="167">
        <v>0</v>
      </c>
      <c r="CX977" s="167">
        <f>SUM(CD977:CH977)</f>
        <v>2.4</v>
      </c>
      <c r="CY977" s="167">
        <f>SUM(CD977:CM977)</f>
        <v>3</v>
      </c>
    </row>
    <row r="978" spans="1:103" ht="12.75" customHeight="1" x14ac:dyDescent="0.2">
      <c r="A978" s="81">
        <v>6284</v>
      </c>
      <c r="B978" s="165" t="s">
        <v>1930</v>
      </c>
      <c r="C978" s="165" t="s">
        <v>1668</v>
      </c>
      <c r="E978" s="165" t="s">
        <v>3431</v>
      </c>
      <c r="G978" s="81">
        <v>525537</v>
      </c>
      <c r="H978" s="81">
        <v>174739</v>
      </c>
      <c r="I978" s="165" t="s">
        <v>251</v>
      </c>
      <c r="L978" s="166">
        <v>0</v>
      </c>
      <c r="M978" s="166">
        <v>34</v>
      </c>
      <c r="N978" s="166">
        <v>34</v>
      </c>
      <c r="O978" s="166">
        <v>50</v>
      </c>
      <c r="P978" s="166">
        <v>50</v>
      </c>
      <c r="Q978" s="81" t="s">
        <v>155</v>
      </c>
      <c r="R978" s="165" t="s">
        <v>1669</v>
      </c>
      <c r="S978" s="81" t="s">
        <v>104</v>
      </c>
      <c r="T978" s="349">
        <v>42804</v>
      </c>
      <c r="U978" s="349">
        <v>43069</v>
      </c>
      <c r="V978" s="81" t="s">
        <v>155</v>
      </c>
      <c r="W978" s="81" t="s">
        <v>114</v>
      </c>
      <c r="Y978" s="81" t="s">
        <v>115</v>
      </c>
      <c r="Z978" s="81" t="s">
        <v>398</v>
      </c>
      <c r="AA978" s="81" t="s">
        <v>116</v>
      </c>
      <c r="AB978" s="81" t="s">
        <v>117</v>
      </c>
      <c r="AC978" s="166">
        <v>0.17499999701976801</v>
      </c>
      <c r="AG978" s="81" t="s">
        <v>238</v>
      </c>
      <c r="AH978" s="81" t="s">
        <v>118</v>
      </c>
      <c r="AI978" s="81" t="s">
        <v>2693</v>
      </c>
      <c r="AK978" s="166">
        <v>50</v>
      </c>
      <c r="AL978" s="166">
        <v>27</v>
      </c>
      <c r="AM978" s="166">
        <v>5</v>
      </c>
      <c r="AN978" s="166">
        <v>5</v>
      </c>
      <c r="AO978" s="166">
        <v>8</v>
      </c>
      <c r="AP978" s="166">
        <v>26</v>
      </c>
      <c r="AQ978" s="166">
        <v>0</v>
      </c>
      <c r="AR978" s="166">
        <v>0</v>
      </c>
      <c r="AS978" s="166">
        <v>0</v>
      </c>
      <c r="AT978" s="166">
        <v>0</v>
      </c>
      <c r="AU978" s="166">
        <v>0</v>
      </c>
      <c r="AV978" s="166">
        <v>6</v>
      </c>
      <c r="AW978" s="166">
        <v>26</v>
      </c>
      <c r="AX978" s="166">
        <v>0</v>
      </c>
      <c r="AY978" s="166">
        <v>0</v>
      </c>
      <c r="AZ978" s="166">
        <v>0</v>
      </c>
      <c r="BA978" s="166">
        <v>0</v>
      </c>
      <c r="BB978" s="166">
        <v>0</v>
      </c>
      <c r="BC978" s="166">
        <v>0</v>
      </c>
      <c r="BD978" s="166">
        <v>0</v>
      </c>
      <c r="BE978" s="166">
        <v>0</v>
      </c>
      <c r="BF978" s="166">
        <v>0</v>
      </c>
      <c r="BG978" s="166">
        <v>0</v>
      </c>
      <c r="BH978" s="166">
        <v>0</v>
      </c>
      <c r="BI978" s="166">
        <v>0</v>
      </c>
      <c r="BJ978" s="166">
        <v>2</v>
      </c>
      <c r="BK978" s="166">
        <v>0</v>
      </c>
      <c r="BL978" s="166">
        <v>0</v>
      </c>
      <c r="BM978" s="166">
        <v>0</v>
      </c>
      <c r="BN978" s="166">
        <v>0</v>
      </c>
      <c r="BO978" s="166">
        <v>0</v>
      </c>
      <c r="BP978" s="166">
        <v>0</v>
      </c>
      <c r="BQ978" s="81" t="s">
        <v>1758</v>
      </c>
      <c r="BR978" s="81" t="s">
        <v>202</v>
      </c>
      <c r="BT978" s="81" t="s">
        <v>155</v>
      </c>
      <c r="BZ978" s="81" t="s">
        <v>155</v>
      </c>
      <c r="CA978" s="81" t="s">
        <v>3936</v>
      </c>
      <c r="CC978" s="167">
        <v>0</v>
      </c>
      <c r="CD978" s="167">
        <f>$N978/10</f>
        <v>3.4</v>
      </c>
      <c r="CE978" s="167">
        <f>$N978/10</f>
        <v>3.4</v>
      </c>
      <c r="CF978" s="167">
        <f>$N978/10</f>
        <v>3.4</v>
      </c>
      <c r="CG978" s="167">
        <f>$N978/10</f>
        <v>3.4</v>
      </c>
      <c r="CH978" s="167">
        <f>$N978/10</f>
        <v>3.4</v>
      </c>
      <c r="CI978" s="167">
        <f>$N978/10</f>
        <v>3.4</v>
      </c>
      <c r="CJ978" s="167">
        <f>$N978/10</f>
        <v>3.4</v>
      </c>
      <c r="CK978" s="167">
        <f>$N978/10</f>
        <v>3.4</v>
      </c>
      <c r="CL978" s="167">
        <f>$N978/10</f>
        <v>3.4</v>
      </c>
      <c r="CM978" s="167">
        <f>$N978/10</f>
        <v>3.4</v>
      </c>
      <c r="CN978" s="167">
        <v>0</v>
      </c>
      <c r="CO978" s="167">
        <v>0</v>
      </c>
      <c r="CP978" s="167">
        <v>0</v>
      </c>
      <c r="CQ978" s="167">
        <v>0</v>
      </c>
      <c r="CR978" s="167">
        <v>0</v>
      </c>
      <c r="CS978" s="167">
        <v>0</v>
      </c>
      <c r="CT978" s="167">
        <v>0</v>
      </c>
      <c r="CU978" s="167">
        <v>0</v>
      </c>
      <c r="CV978" s="167">
        <v>0</v>
      </c>
      <c r="CW978" s="167">
        <v>0</v>
      </c>
      <c r="CX978" s="167">
        <f>SUM(CD978:CH978)</f>
        <v>17</v>
      </c>
      <c r="CY978" s="167">
        <f>SUM(CD978:CM978)</f>
        <v>33.999999999999993</v>
      </c>
    </row>
    <row r="979" spans="1:103" ht="12.75" customHeight="1" x14ac:dyDescent="0.2">
      <c r="A979" s="81">
        <v>6284</v>
      </c>
      <c r="B979" s="165" t="s">
        <v>1930</v>
      </c>
      <c r="C979" s="165" t="s">
        <v>1668</v>
      </c>
      <c r="E979" s="165" t="s">
        <v>3431</v>
      </c>
      <c r="G979" s="81">
        <v>525537</v>
      </c>
      <c r="H979" s="81">
        <v>174739</v>
      </c>
      <c r="I979" s="165" t="s">
        <v>251</v>
      </c>
      <c r="L979" s="166">
        <v>0</v>
      </c>
      <c r="M979" s="166">
        <v>16</v>
      </c>
      <c r="N979" s="166">
        <v>16</v>
      </c>
      <c r="O979" s="166">
        <v>50</v>
      </c>
      <c r="P979" s="166">
        <v>50</v>
      </c>
      <c r="Q979" s="81" t="s">
        <v>155</v>
      </c>
      <c r="R979" s="165" t="s">
        <v>1669</v>
      </c>
      <c r="S979" s="81" t="s">
        <v>104</v>
      </c>
      <c r="T979" s="349">
        <v>42804</v>
      </c>
      <c r="U979" s="349">
        <v>43069</v>
      </c>
      <c r="V979" s="81" t="s">
        <v>155</v>
      </c>
      <c r="W979" s="81" t="s">
        <v>114</v>
      </c>
      <c r="Y979" s="81" t="s">
        <v>115</v>
      </c>
      <c r="Z979" s="81" t="s">
        <v>398</v>
      </c>
      <c r="AA979" s="81" t="s">
        <v>1764</v>
      </c>
      <c r="AB979" s="81" t="s">
        <v>117</v>
      </c>
      <c r="AC979" s="166">
        <v>8.2999996840953799E-2</v>
      </c>
      <c r="AG979" s="81" t="s">
        <v>238</v>
      </c>
      <c r="AH979" s="81" t="s">
        <v>118</v>
      </c>
      <c r="AI979" s="81" t="s">
        <v>2693</v>
      </c>
      <c r="AK979" s="166">
        <v>0</v>
      </c>
      <c r="AL979" s="166">
        <v>16</v>
      </c>
      <c r="AM979" s="166">
        <v>0</v>
      </c>
      <c r="AO979" s="166">
        <v>0</v>
      </c>
      <c r="AP979" s="166">
        <v>0</v>
      </c>
      <c r="AQ979" s="166">
        <v>12</v>
      </c>
      <c r="AR979" s="166">
        <v>4</v>
      </c>
      <c r="AS979" s="166">
        <v>0</v>
      </c>
      <c r="AT979" s="166">
        <v>0</v>
      </c>
      <c r="AU979" s="166">
        <v>0</v>
      </c>
      <c r="AV979" s="166">
        <v>0</v>
      </c>
      <c r="AW979" s="166">
        <v>0</v>
      </c>
      <c r="AX979" s="166">
        <v>12</v>
      </c>
      <c r="AY979" s="166">
        <v>3</v>
      </c>
      <c r="AZ979" s="166">
        <v>0</v>
      </c>
      <c r="BA979" s="166">
        <v>0</v>
      </c>
      <c r="BB979" s="166">
        <v>0</v>
      </c>
      <c r="BC979" s="166">
        <v>0</v>
      </c>
      <c r="BD979" s="166">
        <v>0</v>
      </c>
      <c r="BE979" s="166">
        <v>0</v>
      </c>
      <c r="BF979" s="166">
        <v>1</v>
      </c>
      <c r="BG979" s="166">
        <v>0</v>
      </c>
      <c r="BH979" s="166">
        <v>0</v>
      </c>
      <c r="BI979" s="166">
        <v>0</v>
      </c>
      <c r="BJ979" s="166">
        <v>0</v>
      </c>
      <c r="BK979" s="166">
        <v>0</v>
      </c>
      <c r="BL979" s="166">
        <v>0</v>
      </c>
      <c r="BM979" s="166">
        <v>0</v>
      </c>
      <c r="BN979" s="166">
        <v>0</v>
      </c>
      <c r="BO979" s="166">
        <v>0</v>
      </c>
      <c r="BP979" s="166">
        <v>0</v>
      </c>
      <c r="BQ979" s="81" t="s">
        <v>1758</v>
      </c>
      <c r="BR979" s="81" t="s">
        <v>202</v>
      </c>
      <c r="BT979" s="81" t="s">
        <v>155</v>
      </c>
      <c r="BZ979" s="81" t="s">
        <v>155</v>
      </c>
      <c r="CA979" s="81" t="s">
        <v>3936</v>
      </c>
      <c r="CC979" s="167">
        <v>0</v>
      </c>
      <c r="CD979" s="167">
        <f>$N979/10</f>
        <v>1.6</v>
      </c>
      <c r="CE979" s="167">
        <f>$N979/10</f>
        <v>1.6</v>
      </c>
      <c r="CF979" s="167">
        <f>$N979/10</f>
        <v>1.6</v>
      </c>
      <c r="CG979" s="167">
        <f>$N979/10</f>
        <v>1.6</v>
      </c>
      <c r="CH979" s="167">
        <f>$N979/10</f>
        <v>1.6</v>
      </c>
      <c r="CI979" s="167">
        <f>$N979/10</f>
        <v>1.6</v>
      </c>
      <c r="CJ979" s="167">
        <f>$N979/10</f>
        <v>1.6</v>
      </c>
      <c r="CK979" s="167">
        <f>$N979/10</f>
        <v>1.6</v>
      </c>
      <c r="CL979" s="167">
        <f>$N979/10</f>
        <v>1.6</v>
      </c>
      <c r="CM979" s="167">
        <f>$N979/10</f>
        <v>1.6</v>
      </c>
      <c r="CN979" s="167">
        <v>0</v>
      </c>
      <c r="CO979" s="167">
        <v>0</v>
      </c>
      <c r="CP979" s="167">
        <v>0</v>
      </c>
      <c r="CQ979" s="167">
        <v>0</v>
      </c>
      <c r="CR979" s="167">
        <v>0</v>
      </c>
      <c r="CS979" s="167">
        <v>0</v>
      </c>
      <c r="CT979" s="167">
        <v>0</v>
      </c>
      <c r="CU979" s="167">
        <v>0</v>
      </c>
      <c r="CV979" s="167">
        <v>0</v>
      </c>
      <c r="CW979" s="167">
        <v>0</v>
      </c>
      <c r="CX979" s="167">
        <f>SUM(CD979:CH979)</f>
        <v>8</v>
      </c>
      <c r="CY979" s="167">
        <f>SUM(CD979:CM979)</f>
        <v>15.999999999999998</v>
      </c>
    </row>
    <row r="980" spans="1:103" ht="12.75" customHeight="1" x14ac:dyDescent="0.2">
      <c r="A980" s="81">
        <v>6287</v>
      </c>
      <c r="B980" s="165" t="s">
        <v>1930</v>
      </c>
      <c r="C980" s="165" t="s">
        <v>1274</v>
      </c>
      <c r="E980" s="165" t="s">
        <v>2713</v>
      </c>
      <c r="G980" s="81">
        <v>527271</v>
      </c>
      <c r="H980" s="81">
        <v>176566</v>
      </c>
      <c r="I980" s="165" t="s">
        <v>257</v>
      </c>
      <c r="L980" s="166">
        <v>1</v>
      </c>
      <c r="M980" s="166">
        <v>1</v>
      </c>
      <c r="N980" s="166">
        <v>0</v>
      </c>
      <c r="O980" s="166">
        <v>1</v>
      </c>
      <c r="P980" s="166">
        <v>0</v>
      </c>
      <c r="R980" s="165" t="s">
        <v>1275</v>
      </c>
      <c r="S980" s="81" t="s">
        <v>113</v>
      </c>
      <c r="T980" s="349">
        <v>42544</v>
      </c>
      <c r="U980" s="349">
        <v>42723</v>
      </c>
      <c r="W980" s="81" t="s">
        <v>114</v>
      </c>
      <c r="Y980" s="81" t="s">
        <v>115</v>
      </c>
      <c r="Z980" s="81" t="s">
        <v>398</v>
      </c>
      <c r="AA980" s="81" t="s">
        <v>117</v>
      </c>
      <c r="AB980" s="81" t="s">
        <v>218</v>
      </c>
      <c r="AC980" s="166">
        <v>2.8000000864267301E-2</v>
      </c>
      <c r="AG980" s="81" t="s">
        <v>238</v>
      </c>
      <c r="AH980" s="81" t="s">
        <v>118</v>
      </c>
      <c r="AK980" s="166">
        <v>1</v>
      </c>
      <c r="AM980" s="166">
        <v>0</v>
      </c>
      <c r="AO980" s="166">
        <v>0</v>
      </c>
      <c r="AP980" s="166">
        <v>0</v>
      </c>
      <c r="AQ980" s="166">
        <v>0</v>
      </c>
      <c r="AR980" s="166">
        <v>0</v>
      </c>
      <c r="AS980" s="166">
        <v>0</v>
      </c>
      <c r="AT980" s="166">
        <v>0</v>
      </c>
      <c r="AU980" s="166">
        <v>0</v>
      </c>
      <c r="AV980" s="166">
        <v>0</v>
      </c>
      <c r="AW980" s="166">
        <v>0</v>
      </c>
      <c r="AX980" s="166">
        <v>0</v>
      </c>
      <c r="AY980" s="166">
        <v>0</v>
      </c>
      <c r="AZ980" s="166">
        <v>0</v>
      </c>
      <c r="BA980" s="166">
        <v>0</v>
      </c>
      <c r="BB980" s="166">
        <v>0</v>
      </c>
      <c r="BC980" s="166">
        <v>0</v>
      </c>
      <c r="BD980" s="166">
        <v>0</v>
      </c>
      <c r="BE980" s="166">
        <v>0</v>
      </c>
      <c r="BF980" s="166">
        <v>0</v>
      </c>
      <c r="BG980" s="166">
        <v>0</v>
      </c>
      <c r="BH980" s="166">
        <v>0</v>
      </c>
      <c r="BI980" s="166">
        <v>0</v>
      </c>
      <c r="BJ980" s="166">
        <v>0</v>
      </c>
      <c r="BK980" s="166">
        <v>0</v>
      </c>
      <c r="BL980" s="166">
        <v>0</v>
      </c>
      <c r="BM980" s="166">
        <v>0</v>
      </c>
      <c r="BN980" s="166">
        <v>0</v>
      </c>
      <c r="BO980" s="166">
        <v>0</v>
      </c>
      <c r="BP980" s="166">
        <v>0</v>
      </c>
      <c r="BQ980" s="81" t="s">
        <v>1757</v>
      </c>
      <c r="BZ980" s="81" t="s">
        <v>155</v>
      </c>
      <c r="CA980" s="81" t="s">
        <v>1937</v>
      </c>
      <c r="CC980" s="167">
        <v>0</v>
      </c>
      <c r="CD980" s="167">
        <f>$N980/4</f>
        <v>0</v>
      </c>
      <c r="CE980" s="167">
        <f>$N980/4</f>
        <v>0</v>
      </c>
      <c r="CF980" s="167">
        <f>$N980/4</f>
        <v>0</v>
      </c>
      <c r="CG980" s="167">
        <f>$N980/4</f>
        <v>0</v>
      </c>
      <c r="CH980" s="167">
        <v>0</v>
      </c>
      <c r="CI980" s="167">
        <v>0</v>
      </c>
      <c r="CJ980" s="167">
        <v>0</v>
      </c>
      <c r="CK980" s="167">
        <v>0</v>
      </c>
      <c r="CL980" s="167">
        <v>0</v>
      </c>
      <c r="CM980" s="167">
        <v>0</v>
      </c>
      <c r="CN980" s="167">
        <v>0</v>
      </c>
      <c r="CO980" s="167">
        <v>0</v>
      </c>
      <c r="CP980" s="167">
        <v>0</v>
      </c>
      <c r="CQ980" s="167">
        <v>0</v>
      </c>
      <c r="CR980" s="167">
        <v>0</v>
      </c>
      <c r="CS980" s="167">
        <v>0</v>
      </c>
      <c r="CT980" s="167">
        <v>0</v>
      </c>
      <c r="CU980" s="167">
        <v>0</v>
      </c>
      <c r="CV980" s="167">
        <v>0</v>
      </c>
      <c r="CW980" s="167">
        <v>0</v>
      </c>
      <c r="CX980" s="167">
        <f>SUM(CD980:CH980)</f>
        <v>0</v>
      </c>
      <c r="CY980" s="167">
        <f>SUM(CD980:CM980)</f>
        <v>0</v>
      </c>
    </row>
    <row r="981" spans="1:103" ht="12.75" customHeight="1" x14ac:dyDescent="0.2">
      <c r="A981" s="81">
        <v>6291</v>
      </c>
      <c r="B981" s="165" t="s">
        <v>1930</v>
      </c>
      <c r="C981" s="165" t="s">
        <v>1320</v>
      </c>
      <c r="E981" s="165" t="s">
        <v>2714</v>
      </c>
      <c r="G981" s="81">
        <v>525235</v>
      </c>
      <c r="H981" s="81">
        <v>173834</v>
      </c>
      <c r="I981" s="165" t="s">
        <v>258</v>
      </c>
      <c r="L981" s="166">
        <v>0</v>
      </c>
      <c r="M981" s="166">
        <v>2</v>
      </c>
      <c r="N981" s="166">
        <v>2</v>
      </c>
      <c r="O981" s="166">
        <v>2</v>
      </c>
      <c r="P981" s="166">
        <v>2</v>
      </c>
      <c r="R981" s="165" t="s">
        <v>1321</v>
      </c>
      <c r="S981" s="81" t="s">
        <v>113</v>
      </c>
      <c r="T981" s="349">
        <v>42548</v>
      </c>
      <c r="U981" s="349">
        <v>42604</v>
      </c>
      <c r="W981" s="81" t="s">
        <v>114</v>
      </c>
      <c r="Y981" s="81" t="s">
        <v>115</v>
      </c>
      <c r="Z981" s="81" t="s">
        <v>116</v>
      </c>
      <c r="AA981" s="81" t="s">
        <v>117</v>
      </c>
      <c r="AB981" s="81" t="s">
        <v>218</v>
      </c>
      <c r="AC981" s="166">
        <v>1.4000000432133701E-2</v>
      </c>
      <c r="AG981" s="81" t="s">
        <v>238</v>
      </c>
      <c r="AH981" s="81" t="s">
        <v>118</v>
      </c>
      <c r="AK981" s="166">
        <v>2</v>
      </c>
      <c r="AM981" s="166">
        <v>0</v>
      </c>
      <c r="AO981" s="166">
        <v>0</v>
      </c>
      <c r="AP981" s="166">
        <v>0</v>
      </c>
      <c r="AQ981" s="166">
        <v>2</v>
      </c>
      <c r="AR981" s="166">
        <v>0</v>
      </c>
      <c r="AS981" s="166">
        <v>0</v>
      </c>
      <c r="AT981" s="166">
        <v>0</v>
      </c>
      <c r="AU981" s="166">
        <v>0</v>
      </c>
      <c r="AV981" s="166">
        <v>0</v>
      </c>
      <c r="AW981" s="166">
        <v>0</v>
      </c>
      <c r="AX981" s="166">
        <v>2</v>
      </c>
      <c r="AY981" s="166">
        <v>0</v>
      </c>
      <c r="AZ981" s="166">
        <v>0</v>
      </c>
      <c r="BA981" s="166">
        <v>0</v>
      </c>
      <c r="BB981" s="166">
        <v>0</v>
      </c>
      <c r="BC981" s="166">
        <v>0</v>
      </c>
      <c r="BD981" s="166">
        <v>0</v>
      </c>
      <c r="BE981" s="166">
        <v>0</v>
      </c>
      <c r="BF981" s="166">
        <v>0</v>
      </c>
      <c r="BG981" s="166">
        <v>0</v>
      </c>
      <c r="BH981" s="166">
        <v>0</v>
      </c>
      <c r="BI981" s="166">
        <v>0</v>
      </c>
      <c r="BJ981" s="166">
        <v>0</v>
      </c>
      <c r="BK981" s="166">
        <v>0</v>
      </c>
      <c r="BL981" s="166">
        <v>0</v>
      </c>
      <c r="BM981" s="166">
        <v>0</v>
      </c>
      <c r="BN981" s="166">
        <v>0</v>
      </c>
      <c r="BO981" s="166">
        <v>0</v>
      </c>
      <c r="BP981" s="166">
        <v>0</v>
      </c>
      <c r="BQ981" s="81" t="s">
        <v>1758</v>
      </c>
      <c r="BZ981" s="81" t="s">
        <v>155</v>
      </c>
      <c r="CA981" s="81">
        <v>4</v>
      </c>
      <c r="CC981" s="167">
        <v>0</v>
      </c>
      <c r="CD981" s="167">
        <v>0</v>
      </c>
      <c r="CE981" s="167">
        <f>$N981/5</f>
        <v>0.4</v>
      </c>
      <c r="CF981" s="167">
        <f>$N981/5</f>
        <v>0.4</v>
      </c>
      <c r="CG981" s="167">
        <f>$N981/5</f>
        <v>0.4</v>
      </c>
      <c r="CH981" s="167">
        <f>$N981/5</f>
        <v>0.4</v>
      </c>
      <c r="CI981" s="167">
        <f>$N981/5</f>
        <v>0.4</v>
      </c>
      <c r="CJ981" s="167">
        <v>0</v>
      </c>
      <c r="CK981" s="167">
        <v>0</v>
      </c>
      <c r="CL981" s="167">
        <v>0</v>
      </c>
      <c r="CM981" s="167">
        <v>0</v>
      </c>
      <c r="CN981" s="167">
        <v>0</v>
      </c>
      <c r="CO981" s="167">
        <v>0</v>
      </c>
      <c r="CP981" s="167">
        <v>0</v>
      </c>
      <c r="CQ981" s="167">
        <v>0</v>
      </c>
      <c r="CR981" s="167">
        <v>0</v>
      </c>
      <c r="CS981" s="167">
        <v>0</v>
      </c>
      <c r="CT981" s="167">
        <v>0</v>
      </c>
      <c r="CU981" s="167">
        <v>0</v>
      </c>
      <c r="CV981" s="167">
        <v>0</v>
      </c>
      <c r="CW981" s="167">
        <v>0</v>
      </c>
      <c r="CX981" s="167">
        <f>SUM(CD981:CH981)</f>
        <v>1.6</v>
      </c>
      <c r="CY981" s="167">
        <f>SUM(CD981:CM981)</f>
        <v>2</v>
      </c>
    </row>
    <row r="982" spans="1:103" ht="12.75" customHeight="1" x14ac:dyDescent="0.2">
      <c r="A982" s="81">
        <v>6293</v>
      </c>
      <c r="B982" s="165" t="s">
        <v>1930</v>
      </c>
      <c r="C982" s="165" t="s">
        <v>1334</v>
      </c>
      <c r="E982" s="165" t="s">
        <v>2715</v>
      </c>
      <c r="G982" s="81">
        <v>529372</v>
      </c>
      <c r="H982" s="81">
        <v>171169</v>
      </c>
      <c r="I982" s="165" t="s">
        <v>252</v>
      </c>
      <c r="L982" s="166">
        <v>0</v>
      </c>
      <c r="M982" s="166">
        <v>1</v>
      </c>
      <c r="N982" s="166">
        <v>1</v>
      </c>
      <c r="O982" s="166">
        <v>1</v>
      </c>
      <c r="P982" s="166">
        <v>1</v>
      </c>
      <c r="R982" s="165" t="s">
        <v>1335</v>
      </c>
      <c r="S982" s="81" t="s">
        <v>113</v>
      </c>
      <c r="T982" s="349">
        <v>42550</v>
      </c>
      <c r="U982" s="349">
        <v>42606</v>
      </c>
      <c r="W982" s="81" t="s">
        <v>114</v>
      </c>
      <c r="Y982" s="81" t="s">
        <v>115</v>
      </c>
      <c r="Z982" s="81" t="s">
        <v>310</v>
      </c>
      <c r="AA982" s="81" t="s">
        <v>117</v>
      </c>
      <c r="AB982" s="81" t="s">
        <v>102</v>
      </c>
      <c r="AC982" s="166">
        <v>8.9999996125698107E-3</v>
      </c>
      <c r="AG982" s="81" t="s">
        <v>238</v>
      </c>
      <c r="AH982" s="81" t="s">
        <v>118</v>
      </c>
      <c r="AK982" s="166">
        <v>0</v>
      </c>
      <c r="AM982" s="166">
        <v>0</v>
      </c>
      <c r="AO982" s="166">
        <v>0</v>
      </c>
      <c r="AP982" s="166">
        <v>1</v>
      </c>
      <c r="AQ982" s="166">
        <v>0</v>
      </c>
      <c r="AR982" s="166">
        <v>0</v>
      </c>
      <c r="AS982" s="166">
        <v>0</v>
      </c>
      <c r="AT982" s="166">
        <v>0</v>
      </c>
      <c r="AU982" s="166">
        <v>0</v>
      </c>
      <c r="AV982" s="166">
        <v>0</v>
      </c>
      <c r="AW982" s="166">
        <v>1</v>
      </c>
      <c r="AX982" s="166">
        <v>0</v>
      </c>
      <c r="AY982" s="166">
        <v>0</v>
      </c>
      <c r="AZ982" s="166">
        <v>0</v>
      </c>
      <c r="BA982" s="166">
        <v>0</v>
      </c>
      <c r="BB982" s="166">
        <v>0</v>
      </c>
      <c r="BC982" s="166">
        <v>0</v>
      </c>
      <c r="BD982" s="166">
        <v>0</v>
      </c>
      <c r="BE982" s="166">
        <v>0</v>
      </c>
      <c r="BF982" s="166">
        <v>0</v>
      </c>
      <c r="BG982" s="166">
        <v>0</v>
      </c>
      <c r="BH982" s="166">
        <v>0</v>
      </c>
      <c r="BI982" s="166">
        <v>0</v>
      </c>
      <c r="BJ982" s="166">
        <v>0</v>
      </c>
      <c r="BK982" s="166">
        <v>0</v>
      </c>
      <c r="BL982" s="166">
        <v>0</v>
      </c>
      <c r="BM982" s="166">
        <v>0</v>
      </c>
      <c r="BN982" s="166">
        <v>0</v>
      </c>
      <c r="BO982" s="166">
        <v>0</v>
      </c>
      <c r="BP982" s="166">
        <v>0</v>
      </c>
      <c r="BQ982" s="81" t="s">
        <v>1757</v>
      </c>
      <c r="BZ982" s="81" t="s">
        <v>155</v>
      </c>
      <c r="CA982" s="81" t="s">
        <v>1937</v>
      </c>
      <c r="CC982" s="167">
        <v>0</v>
      </c>
      <c r="CD982" s="167">
        <f>$N982/4</f>
        <v>0.25</v>
      </c>
      <c r="CE982" s="167">
        <f>$N982/4</f>
        <v>0.25</v>
      </c>
      <c r="CF982" s="167">
        <f>$N982/4</f>
        <v>0.25</v>
      </c>
      <c r="CG982" s="167">
        <f>$N982/4</f>
        <v>0.25</v>
      </c>
      <c r="CH982" s="167">
        <v>0</v>
      </c>
      <c r="CI982" s="167">
        <v>0</v>
      </c>
      <c r="CJ982" s="167">
        <v>0</v>
      </c>
      <c r="CK982" s="167">
        <v>0</v>
      </c>
      <c r="CL982" s="167">
        <v>0</v>
      </c>
      <c r="CM982" s="167">
        <v>0</v>
      </c>
      <c r="CN982" s="167">
        <v>0</v>
      </c>
      <c r="CO982" s="167">
        <v>0</v>
      </c>
      <c r="CP982" s="167">
        <v>0</v>
      </c>
      <c r="CQ982" s="167">
        <v>0</v>
      </c>
      <c r="CR982" s="167">
        <v>0</v>
      </c>
      <c r="CS982" s="167">
        <v>0</v>
      </c>
      <c r="CT982" s="167">
        <v>0</v>
      </c>
      <c r="CU982" s="167">
        <v>0</v>
      </c>
      <c r="CV982" s="167">
        <v>0</v>
      </c>
      <c r="CW982" s="167">
        <v>0</v>
      </c>
      <c r="CX982" s="167">
        <f>SUM(CD982:CH982)</f>
        <v>1</v>
      </c>
      <c r="CY982" s="167">
        <f>SUM(CD982:CM982)</f>
        <v>1</v>
      </c>
    </row>
    <row r="983" spans="1:103" ht="12.75" customHeight="1" x14ac:dyDescent="0.2">
      <c r="A983" s="81">
        <v>6303</v>
      </c>
      <c r="B983" s="165" t="s">
        <v>1930</v>
      </c>
      <c r="C983" s="165" t="s">
        <v>1348</v>
      </c>
      <c r="E983" s="165" t="s">
        <v>2716</v>
      </c>
      <c r="G983" s="81">
        <v>527362</v>
      </c>
      <c r="H983" s="81">
        <v>176577</v>
      </c>
      <c r="I983" s="165" t="s">
        <v>257</v>
      </c>
      <c r="L983" s="166">
        <v>0</v>
      </c>
      <c r="M983" s="166">
        <v>1</v>
      </c>
      <c r="N983" s="166">
        <v>1</v>
      </c>
      <c r="O983" s="166">
        <v>1</v>
      </c>
      <c r="P983" s="166">
        <v>1</v>
      </c>
      <c r="R983" s="165" t="s">
        <v>1349</v>
      </c>
      <c r="S983" s="81" t="s">
        <v>270</v>
      </c>
      <c r="T983" s="349">
        <v>42562</v>
      </c>
      <c r="U983" s="349">
        <v>42618</v>
      </c>
      <c r="W983" s="81" t="s">
        <v>114</v>
      </c>
      <c r="Y983" s="81" t="s">
        <v>115</v>
      </c>
      <c r="Z983" s="81" t="s">
        <v>310</v>
      </c>
      <c r="AA983" s="81" t="s">
        <v>117</v>
      </c>
      <c r="AB983" s="81" t="s">
        <v>399</v>
      </c>
      <c r="AC983" s="166">
        <v>6.0000000521540598E-3</v>
      </c>
      <c r="AG983" s="81" t="s">
        <v>238</v>
      </c>
      <c r="AH983" s="81" t="s">
        <v>118</v>
      </c>
      <c r="AK983" s="166">
        <v>0</v>
      </c>
      <c r="AM983" s="166">
        <v>0</v>
      </c>
      <c r="AO983" s="166">
        <v>0</v>
      </c>
      <c r="AP983" s="166">
        <v>1</v>
      </c>
      <c r="AQ983" s="166">
        <v>0</v>
      </c>
      <c r="AR983" s="166">
        <v>0</v>
      </c>
      <c r="AS983" s="166">
        <v>0</v>
      </c>
      <c r="AT983" s="166">
        <v>0</v>
      </c>
      <c r="AU983" s="166">
        <v>0</v>
      </c>
      <c r="AV983" s="166">
        <v>0</v>
      </c>
      <c r="AW983" s="166">
        <v>0</v>
      </c>
      <c r="AX983" s="166">
        <v>0</v>
      </c>
      <c r="AY983" s="166">
        <v>0</v>
      </c>
      <c r="AZ983" s="166">
        <v>0</v>
      </c>
      <c r="BA983" s="166">
        <v>0</v>
      </c>
      <c r="BB983" s="166">
        <v>0</v>
      </c>
      <c r="BC983" s="166">
        <v>0</v>
      </c>
      <c r="BD983" s="166">
        <v>1</v>
      </c>
      <c r="BE983" s="166">
        <v>0</v>
      </c>
      <c r="BF983" s="166">
        <v>0</v>
      </c>
      <c r="BG983" s="166">
        <v>0</v>
      </c>
      <c r="BH983" s="166">
        <v>0</v>
      </c>
      <c r="BI983" s="166">
        <v>0</v>
      </c>
      <c r="BJ983" s="166">
        <v>0</v>
      </c>
      <c r="BK983" s="166">
        <v>0</v>
      </c>
      <c r="BL983" s="166">
        <v>0</v>
      </c>
      <c r="BM983" s="166">
        <v>0</v>
      </c>
      <c r="BN983" s="166">
        <v>0</v>
      </c>
      <c r="BO983" s="166">
        <v>0</v>
      </c>
      <c r="BP983" s="166">
        <v>0</v>
      </c>
      <c r="BQ983" s="81" t="s">
        <v>1757</v>
      </c>
      <c r="BZ983" s="81" t="s">
        <v>155</v>
      </c>
      <c r="CA983" s="81" t="s">
        <v>1937</v>
      </c>
      <c r="CC983" s="167">
        <v>0</v>
      </c>
      <c r="CD983" s="167">
        <f>$N983/4</f>
        <v>0.25</v>
      </c>
      <c r="CE983" s="167">
        <f>$N983/4</f>
        <v>0.25</v>
      </c>
      <c r="CF983" s="167">
        <f>$N983/4</f>
        <v>0.25</v>
      </c>
      <c r="CG983" s="167">
        <f>$N983/4</f>
        <v>0.25</v>
      </c>
      <c r="CH983" s="167">
        <v>0</v>
      </c>
      <c r="CI983" s="167">
        <v>0</v>
      </c>
      <c r="CJ983" s="167">
        <v>0</v>
      </c>
      <c r="CK983" s="167">
        <v>0</v>
      </c>
      <c r="CL983" s="167">
        <v>0</v>
      </c>
      <c r="CM983" s="167">
        <v>0</v>
      </c>
      <c r="CN983" s="167">
        <v>0</v>
      </c>
      <c r="CO983" s="167">
        <v>0</v>
      </c>
      <c r="CP983" s="167">
        <v>0</v>
      </c>
      <c r="CQ983" s="167">
        <v>0</v>
      </c>
      <c r="CR983" s="167">
        <v>0</v>
      </c>
      <c r="CS983" s="167">
        <v>0</v>
      </c>
      <c r="CT983" s="167">
        <v>0</v>
      </c>
      <c r="CU983" s="167">
        <v>0</v>
      </c>
      <c r="CV983" s="167">
        <v>0</v>
      </c>
      <c r="CW983" s="167">
        <v>0</v>
      </c>
      <c r="CX983" s="167">
        <f>SUM(CD983:CH983)</f>
        <v>1</v>
      </c>
      <c r="CY983" s="167">
        <f>SUM(CD983:CM983)</f>
        <v>1</v>
      </c>
    </row>
    <row r="984" spans="1:103" ht="12.75" customHeight="1" x14ac:dyDescent="0.2">
      <c r="A984" s="81">
        <v>6304</v>
      </c>
      <c r="B984" s="165" t="s">
        <v>1930</v>
      </c>
      <c r="C984" s="165" t="s">
        <v>2717</v>
      </c>
      <c r="E984" s="165" t="s">
        <v>2718</v>
      </c>
      <c r="G984" s="81">
        <v>526579</v>
      </c>
      <c r="H984" s="81">
        <v>173879</v>
      </c>
      <c r="I984" s="165" t="s">
        <v>260</v>
      </c>
      <c r="L984" s="166">
        <v>0</v>
      </c>
      <c r="M984" s="166">
        <v>1</v>
      </c>
      <c r="N984" s="166">
        <v>1</v>
      </c>
      <c r="O984" s="166">
        <v>1</v>
      </c>
      <c r="P984" s="166">
        <v>1</v>
      </c>
      <c r="R984" s="165" t="s">
        <v>2719</v>
      </c>
      <c r="S984" s="81" t="s">
        <v>296</v>
      </c>
      <c r="T984" s="349">
        <v>42569</v>
      </c>
      <c r="U984" s="349">
        <v>42795</v>
      </c>
      <c r="V984" s="81" t="s">
        <v>155</v>
      </c>
      <c r="W984" s="81" t="s">
        <v>297</v>
      </c>
      <c r="X984" s="349">
        <v>43048</v>
      </c>
      <c r="Y984" s="81" t="s">
        <v>397</v>
      </c>
      <c r="Z984" s="81" t="s">
        <v>116</v>
      </c>
      <c r="AA984" s="81" t="s">
        <v>117</v>
      </c>
      <c r="AB984" s="81" t="s">
        <v>218</v>
      </c>
      <c r="AC984" s="166">
        <v>1.7999999225139601E-2</v>
      </c>
      <c r="AG984" s="81" t="s">
        <v>238</v>
      </c>
      <c r="AH984" s="81" t="s">
        <v>118</v>
      </c>
      <c r="AK984" s="166">
        <v>1</v>
      </c>
      <c r="AM984" s="166">
        <v>0</v>
      </c>
      <c r="AO984" s="166">
        <v>0</v>
      </c>
      <c r="AP984" s="166">
        <v>0</v>
      </c>
      <c r="AQ984" s="166">
        <v>0</v>
      </c>
      <c r="AR984" s="166">
        <v>0</v>
      </c>
      <c r="AS984" s="166">
        <v>0</v>
      </c>
      <c r="AT984" s="166">
        <v>1</v>
      </c>
      <c r="AU984" s="166">
        <v>0</v>
      </c>
      <c r="AV984" s="166">
        <v>0</v>
      </c>
      <c r="AW984" s="166">
        <v>0</v>
      </c>
      <c r="AX984" s="166">
        <v>0</v>
      </c>
      <c r="AY984" s="166">
        <v>0</v>
      </c>
      <c r="AZ984" s="166">
        <v>0</v>
      </c>
      <c r="BA984" s="166">
        <v>0</v>
      </c>
      <c r="BB984" s="166">
        <v>0</v>
      </c>
      <c r="BC984" s="166">
        <v>0</v>
      </c>
      <c r="BD984" s="166">
        <v>0</v>
      </c>
      <c r="BE984" s="166">
        <v>0</v>
      </c>
      <c r="BF984" s="166">
        <v>0</v>
      </c>
      <c r="BG984" s="166">
        <v>0</v>
      </c>
      <c r="BH984" s="166">
        <v>1</v>
      </c>
      <c r="BI984" s="166">
        <v>0</v>
      </c>
      <c r="BJ984" s="166">
        <v>0</v>
      </c>
      <c r="BK984" s="166">
        <v>0</v>
      </c>
      <c r="BL984" s="166">
        <v>0</v>
      </c>
      <c r="BM984" s="166">
        <v>0</v>
      </c>
      <c r="BN984" s="166">
        <v>0</v>
      </c>
      <c r="BO984" s="166">
        <v>0</v>
      </c>
      <c r="BP984" s="166">
        <v>0</v>
      </c>
      <c r="BQ984" s="81" t="s">
        <v>1758</v>
      </c>
      <c r="BZ984" s="81" t="s">
        <v>155</v>
      </c>
      <c r="CA984" s="81">
        <v>4</v>
      </c>
      <c r="CC984" s="167">
        <v>0</v>
      </c>
      <c r="CD984" s="167">
        <v>0</v>
      </c>
      <c r="CE984" s="167">
        <f>$N984/5</f>
        <v>0.2</v>
      </c>
      <c r="CF984" s="167">
        <f>$N984/5</f>
        <v>0.2</v>
      </c>
      <c r="CG984" s="167">
        <f>$N984/5</f>
        <v>0.2</v>
      </c>
      <c r="CH984" s="167">
        <f>$N984/5</f>
        <v>0.2</v>
      </c>
      <c r="CI984" s="167">
        <f>$N984/5</f>
        <v>0.2</v>
      </c>
      <c r="CJ984" s="167">
        <v>0</v>
      </c>
      <c r="CK984" s="167">
        <v>0</v>
      </c>
      <c r="CL984" s="167">
        <v>0</v>
      </c>
      <c r="CM984" s="167">
        <v>0</v>
      </c>
      <c r="CN984" s="167">
        <v>0</v>
      </c>
      <c r="CO984" s="167">
        <v>0</v>
      </c>
      <c r="CP984" s="167">
        <v>0</v>
      </c>
      <c r="CQ984" s="167">
        <v>0</v>
      </c>
      <c r="CR984" s="167">
        <v>0</v>
      </c>
      <c r="CS984" s="167">
        <v>0</v>
      </c>
      <c r="CT984" s="167">
        <v>0</v>
      </c>
      <c r="CU984" s="167">
        <v>0</v>
      </c>
      <c r="CV984" s="167">
        <v>0</v>
      </c>
      <c r="CW984" s="167">
        <v>0</v>
      </c>
      <c r="CX984" s="167">
        <f>SUM(CD984:CH984)</f>
        <v>0.8</v>
      </c>
      <c r="CY984" s="167">
        <f>SUM(CD984:CM984)</f>
        <v>1</v>
      </c>
    </row>
    <row r="985" spans="1:103" ht="12.75" customHeight="1" x14ac:dyDescent="0.2">
      <c r="A985" s="81">
        <v>6305</v>
      </c>
      <c r="B985" s="165" t="s">
        <v>1930</v>
      </c>
      <c r="C985" s="165" t="s">
        <v>1286</v>
      </c>
      <c r="E985" s="165" t="s">
        <v>2720</v>
      </c>
      <c r="G985" s="81">
        <v>522122</v>
      </c>
      <c r="H985" s="81">
        <v>175335</v>
      </c>
      <c r="I985" s="165" t="s">
        <v>59</v>
      </c>
      <c r="L985" s="166">
        <v>0</v>
      </c>
      <c r="M985" s="166">
        <v>4</v>
      </c>
      <c r="N985" s="166">
        <v>4</v>
      </c>
      <c r="O985" s="166">
        <v>4</v>
      </c>
      <c r="P985" s="166">
        <v>4</v>
      </c>
      <c r="R985" s="165" t="s">
        <v>1287</v>
      </c>
      <c r="S985" s="81" t="s">
        <v>113</v>
      </c>
      <c r="T985" s="349">
        <v>42556</v>
      </c>
      <c r="U985" s="349">
        <v>42626</v>
      </c>
      <c r="W985" s="81" t="s">
        <v>114</v>
      </c>
      <c r="Y985" s="81" t="s">
        <v>115</v>
      </c>
      <c r="Z985" s="81" t="s">
        <v>398</v>
      </c>
      <c r="AA985" s="81" t="s">
        <v>117</v>
      </c>
      <c r="AB985" s="81" t="s">
        <v>120</v>
      </c>
      <c r="AC985" s="166">
        <v>4.39999997615814E-2</v>
      </c>
      <c r="AG985" s="81" t="s">
        <v>238</v>
      </c>
      <c r="AH985" s="81" t="s">
        <v>118</v>
      </c>
      <c r="AK985" s="166">
        <v>0</v>
      </c>
      <c r="AM985" s="166">
        <v>0</v>
      </c>
      <c r="AO985" s="166">
        <v>0</v>
      </c>
      <c r="AP985" s="166">
        <v>1</v>
      </c>
      <c r="AQ985" s="166">
        <v>1</v>
      </c>
      <c r="AR985" s="166">
        <v>2</v>
      </c>
      <c r="AS985" s="166">
        <v>0</v>
      </c>
      <c r="AT985" s="166">
        <v>0</v>
      </c>
      <c r="AU985" s="166">
        <v>0</v>
      </c>
      <c r="AV985" s="166">
        <v>0</v>
      </c>
      <c r="AW985" s="166">
        <v>1</v>
      </c>
      <c r="AX985" s="166">
        <v>1</v>
      </c>
      <c r="AY985" s="166">
        <v>2</v>
      </c>
      <c r="AZ985" s="166">
        <v>0</v>
      </c>
      <c r="BA985" s="166">
        <v>0</v>
      </c>
      <c r="BB985" s="166">
        <v>0</v>
      </c>
      <c r="BC985" s="166">
        <v>0</v>
      </c>
      <c r="BD985" s="166">
        <v>0</v>
      </c>
      <c r="BE985" s="166">
        <v>0</v>
      </c>
      <c r="BF985" s="166">
        <v>0</v>
      </c>
      <c r="BG985" s="166">
        <v>0</v>
      </c>
      <c r="BH985" s="166">
        <v>0</v>
      </c>
      <c r="BI985" s="166">
        <v>0</v>
      </c>
      <c r="BJ985" s="166">
        <v>0</v>
      </c>
      <c r="BK985" s="166">
        <v>0</v>
      </c>
      <c r="BL985" s="166">
        <v>0</v>
      </c>
      <c r="BM985" s="166">
        <v>0</v>
      </c>
      <c r="BN985" s="166">
        <v>0</v>
      </c>
      <c r="BO985" s="166">
        <v>0</v>
      </c>
      <c r="BP985" s="166">
        <v>0</v>
      </c>
      <c r="BQ985" s="81" t="s">
        <v>1758</v>
      </c>
      <c r="BZ985" s="81" t="s">
        <v>155</v>
      </c>
      <c r="CA985" s="81" t="s">
        <v>1937</v>
      </c>
      <c r="CC985" s="167">
        <v>0</v>
      </c>
      <c r="CD985" s="167">
        <f>$N985/4</f>
        <v>1</v>
      </c>
      <c r="CE985" s="167">
        <f>$N985/4</f>
        <v>1</v>
      </c>
      <c r="CF985" s="167">
        <f>$N985/4</f>
        <v>1</v>
      </c>
      <c r="CG985" s="167">
        <f>$N985/4</f>
        <v>1</v>
      </c>
      <c r="CH985" s="167">
        <v>0</v>
      </c>
      <c r="CI985" s="167">
        <v>0</v>
      </c>
      <c r="CJ985" s="167">
        <v>0</v>
      </c>
      <c r="CK985" s="167">
        <v>0</v>
      </c>
      <c r="CL985" s="167">
        <v>0</v>
      </c>
      <c r="CM985" s="167">
        <v>0</v>
      </c>
      <c r="CN985" s="167">
        <v>0</v>
      </c>
      <c r="CO985" s="167">
        <v>0</v>
      </c>
      <c r="CP985" s="167">
        <v>0</v>
      </c>
      <c r="CQ985" s="167">
        <v>0</v>
      </c>
      <c r="CR985" s="167">
        <v>0</v>
      </c>
      <c r="CS985" s="167">
        <v>0</v>
      </c>
      <c r="CT985" s="167">
        <v>0</v>
      </c>
      <c r="CU985" s="167">
        <v>0</v>
      </c>
      <c r="CV985" s="167">
        <v>0</v>
      </c>
      <c r="CW985" s="167">
        <v>0</v>
      </c>
      <c r="CX985" s="167">
        <f>SUM(CD985:CH985)</f>
        <v>4</v>
      </c>
      <c r="CY985" s="167">
        <f>SUM(CD985:CM985)</f>
        <v>4</v>
      </c>
    </row>
    <row r="986" spans="1:103" ht="12.75" customHeight="1" x14ac:dyDescent="0.2">
      <c r="A986" s="81">
        <v>6315</v>
      </c>
      <c r="B986" s="165" t="s">
        <v>1930</v>
      </c>
      <c r="C986" s="165" t="s">
        <v>1322</v>
      </c>
      <c r="E986" s="165" t="s">
        <v>2721</v>
      </c>
      <c r="G986" s="81">
        <v>527754</v>
      </c>
      <c r="H986" s="81">
        <v>172112</v>
      </c>
      <c r="I986" s="165" t="s">
        <v>242</v>
      </c>
      <c r="L986" s="166">
        <v>0</v>
      </c>
      <c r="M986" s="166">
        <v>1</v>
      </c>
      <c r="N986" s="166">
        <v>1</v>
      </c>
      <c r="O986" s="166">
        <v>1</v>
      </c>
      <c r="P986" s="166">
        <v>1</v>
      </c>
      <c r="R986" s="165" t="s">
        <v>1323</v>
      </c>
      <c r="S986" s="81" t="s">
        <v>113</v>
      </c>
      <c r="T986" s="349">
        <v>42566</v>
      </c>
      <c r="U986" s="349">
        <v>42719</v>
      </c>
      <c r="W986" s="81" t="s">
        <v>114</v>
      </c>
      <c r="Y986" s="81" t="s">
        <v>115</v>
      </c>
      <c r="Z986" s="81" t="s">
        <v>116</v>
      </c>
      <c r="AA986" s="81" t="s">
        <v>117</v>
      </c>
      <c r="AB986" s="81" t="s">
        <v>218</v>
      </c>
      <c r="AC986" s="166">
        <v>8.0000003799796104E-3</v>
      </c>
      <c r="AG986" s="81" t="s">
        <v>238</v>
      </c>
      <c r="AH986" s="81" t="s">
        <v>118</v>
      </c>
      <c r="AK986" s="166">
        <v>0</v>
      </c>
      <c r="AM986" s="166">
        <v>0</v>
      </c>
      <c r="AO986" s="166">
        <v>0</v>
      </c>
      <c r="AP986" s="166">
        <v>0</v>
      </c>
      <c r="AQ986" s="166">
        <v>1</v>
      </c>
      <c r="AR986" s="166">
        <v>0</v>
      </c>
      <c r="AS986" s="166">
        <v>0</v>
      </c>
      <c r="AT986" s="166">
        <v>0</v>
      </c>
      <c r="AU986" s="166">
        <v>0</v>
      </c>
      <c r="AV986" s="166">
        <v>0</v>
      </c>
      <c r="AW986" s="166">
        <v>0</v>
      </c>
      <c r="AX986" s="166">
        <v>1</v>
      </c>
      <c r="AY986" s="166">
        <v>0</v>
      </c>
      <c r="AZ986" s="166">
        <v>0</v>
      </c>
      <c r="BA986" s="166">
        <v>0</v>
      </c>
      <c r="BB986" s="166">
        <v>0</v>
      </c>
      <c r="BC986" s="166">
        <v>0</v>
      </c>
      <c r="BD986" s="166">
        <v>0</v>
      </c>
      <c r="BE986" s="166">
        <v>0</v>
      </c>
      <c r="BF986" s="166">
        <v>0</v>
      </c>
      <c r="BG986" s="166">
        <v>0</v>
      </c>
      <c r="BH986" s="166">
        <v>0</v>
      </c>
      <c r="BI986" s="166">
        <v>0</v>
      </c>
      <c r="BJ986" s="166">
        <v>0</v>
      </c>
      <c r="BK986" s="166">
        <v>0</v>
      </c>
      <c r="BL986" s="166">
        <v>0</v>
      </c>
      <c r="BM986" s="166">
        <v>0</v>
      </c>
      <c r="BN986" s="166">
        <v>0</v>
      </c>
      <c r="BO986" s="166">
        <v>0</v>
      </c>
      <c r="BP986" s="166">
        <v>0</v>
      </c>
      <c r="BQ986" s="81" t="s">
        <v>1757</v>
      </c>
      <c r="BZ986" s="81" t="s">
        <v>155</v>
      </c>
      <c r="CA986" s="81">
        <v>4</v>
      </c>
      <c r="CC986" s="167">
        <v>0</v>
      </c>
      <c r="CD986" s="167">
        <v>0</v>
      </c>
      <c r="CE986" s="167">
        <f>$N986/5</f>
        <v>0.2</v>
      </c>
      <c r="CF986" s="167">
        <f>$N986/5</f>
        <v>0.2</v>
      </c>
      <c r="CG986" s="167">
        <f>$N986/5</f>
        <v>0.2</v>
      </c>
      <c r="CH986" s="167">
        <f>$N986/5</f>
        <v>0.2</v>
      </c>
      <c r="CI986" s="167">
        <f>$N986/5</f>
        <v>0.2</v>
      </c>
      <c r="CJ986" s="167">
        <v>0</v>
      </c>
      <c r="CK986" s="167">
        <v>0</v>
      </c>
      <c r="CL986" s="167">
        <v>0</v>
      </c>
      <c r="CM986" s="167">
        <v>0</v>
      </c>
      <c r="CN986" s="167">
        <v>0</v>
      </c>
      <c r="CO986" s="167">
        <v>0</v>
      </c>
      <c r="CP986" s="167">
        <v>0</v>
      </c>
      <c r="CQ986" s="167">
        <v>0</v>
      </c>
      <c r="CR986" s="167">
        <v>0</v>
      </c>
      <c r="CS986" s="167">
        <v>0</v>
      </c>
      <c r="CT986" s="167">
        <v>0</v>
      </c>
      <c r="CU986" s="167">
        <v>0</v>
      </c>
      <c r="CV986" s="167">
        <v>0</v>
      </c>
      <c r="CW986" s="167">
        <v>0</v>
      </c>
      <c r="CX986" s="167">
        <f>SUM(CD986:CH986)</f>
        <v>0.8</v>
      </c>
      <c r="CY986" s="167">
        <f>SUM(CD986:CM986)</f>
        <v>1</v>
      </c>
    </row>
    <row r="987" spans="1:103" ht="12.75" customHeight="1" x14ac:dyDescent="0.2">
      <c r="A987" s="81">
        <v>6317</v>
      </c>
      <c r="B987" s="165" t="s">
        <v>1930</v>
      </c>
      <c r="C987" s="165" t="s">
        <v>1473</v>
      </c>
      <c r="E987" s="165" t="s">
        <v>2722</v>
      </c>
      <c r="G987" s="81">
        <v>522879</v>
      </c>
      <c r="H987" s="81">
        <v>174549</v>
      </c>
      <c r="I987" s="165" t="s">
        <v>59</v>
      </c>
      <c r="L987" s="166">
        <v>0</v>
      </c>
      <c r="M987" s="166">
        <v>1</v>
      </c>
      <c r="N987" s="166">
        <v>1</v>
      </c>
      <c r="O987" s="166">
        <v>1</v>
      </c>
      <c r="P987" s="166">
        <v>1</v>
      </c>
      <c r="R987" s="165" t="s">
        <v>1474</v>
      </c>
      <c r="S987" s="81" t="s">
        <v>113</v>
      </c>
      <c r="T987" s="349">
        <v>42681</v>
      </c>
      <c r="U987" s="349">
        <v>42790</v>
      </c>
      <c r="W987" s="81" t="s">
        <v>114</v>
      </c>
      <c r="Y987" s="81" t="s">
        <v>115</v>
      </c>
      <c r="Z987" s="81" t="s">
        <v>116</v>
      </c>
      <c r="AA987" s="81" t="s">
        <v>117</v>
      </c>
      <c r="AB987" s="81" t="s">
        <v>218</v>
      </c>
      <c r="AC987" s="166">
        <v>5.6000001728534698E-2</v>
      </c>
      <c r="AG987" s="81" t="s">
        <v>238</v>
      </c>
      <c r="AH987" s="81" t="s">
        <v>118</v>
      </c>
      <c r="AK987" s="166">
        <v>0</v>
      </c>
      <c r="AM987" s="166">
        <v>0</v>
      </c>
      <c r="AO987" s="166">
        <v>0</v>
      </c>
      <c r="AP987" s="166">
        <v>0</v>
      </c>
      <c r="AQ987" s="166">
        <v>0</v>
      </c>
      <c r="AR987" s="166">
        <v>0</v>
      </c>
      <c r="AS987" s="166">
        <v>0</v>
      </c>
      <c r="AT987" s="166">
        <v>1</v>
      </c>
      <c r="AU987" s="166">
        <v>0</v>
      </c>
      <c r="AV987" s="166">
        <v>0</v>
      </c>
      <c r="AW987" s="166">
        <v>0</v>
      </c>
      <c r="AX987" s="166">
        <v>0</v>
      </c>
      <c r="AY987" s="166">
        <v>0</v>
      </c>
      <c r="AZ987" s="166">
        <v>0</v>
      </c>
      <c r="BA987" s="166">
        <v>0</v>
      </c>
      <c r="BB987" s="166">
        <v>0</v>
      </c>
      <c r="BC987" s="166">
        <v>0</v>
      </c>
      <c r="BD987" s="166">
        <v>0</v>
      </c>
      <c r="BE987" s="166">
        <v>0</v>
      </c>
      <c r="BF987" s="166">
        <v>0</v>
      </c>
      <c r="BG987" s="166">
        <v>0</v>
      </c>
      <c r="BH987" s="166">
        <v>1</v>
      </c>
      <c r="BI987" s="166">
        <v>0</v>
      </c>
      <c r="BJ987" s="166">
        <v>0</v>
      </c>
      <c r="BK987" s="166">
        <v>0</v>
      </c>
      <c r="BL987" s="166">
        <v>0</v>
      </c>
      <c r="BM987" s="166">
        <v>0</v>
      </c>
      <c r="BN987" s="166">
        <v>0</v>
      </c>
      <c r="BO987" s="166">
        <v>0</v>
      </c>
      <c r="BP987" s="166">
        <v>0</v>
      </c>
      <c r="BQ987" s="81" t="s">
        <v>1758</v>
      </c>
      <c r="BZ987" s="81" t="s">
        <v>155</v>
      </c>
      <c r="CA987" s="81">
        <v>4</v>
      </c>
      <c r="CC987" s="167">
        <v>0</v>
      </c>
      <c r="CD987" s="167">
        <v>0</v>
      </c>
      <c r="CE987" s="167">
        <f>$N987/5</f>
        <v>0.2</v>
      </c>
      <c r="CF987" s="167">
        <f>$N987/5</f>
        <v>0.2</v>
      </c>
      <c r="CG987" s="167">
        <f>$N987/5</f>
        <v>0.2</v>
      </c>
      <c r="CH987" s="167">
        <f>$N987/5</f>
        <v>0.2</v>
      </c>
      <c r="CI987" s="167">
        <f>$N987/5</f>
        <v>0.2</v>
      </c>
      <c r="CJ987" s="167">
        <v>0</v>
      </c>
      <c r="CK987" s="167">
        <v>0</v>
      </c>
      <c r="CL987" s="167">
        <v>0</v>
      </c>
      <c r="CM987" s="167">
        <v>0</v>
      </c>
      <c r="CN987" s="167">
        <v>0</v>
      </c>
      <c r="CO987" s="167">
        <v>0</v>
      </c>
      <c r="CP987" s="167">
        <v>0</v>
      </c>
      <c r="CQ987" s="167">
        <v>0</v>
      </c>
      <c r="CR987" s="167">
        <v>0</v>
      </c>
      <c r="CS987" s="167">
        <v>0</v>
      </c>
      <c r="CT987" s="167">
        <v>0</v>
      </c>
      <c r="CU987" s="167">
        <v>0</v>
      </c>
      <c r="CV987" s="167">
        <v>0</v>
      </c>
      <c r="CW987" s="167">
        <v>0</v>
      </c>
      <c r="CX987" s="167">
        <f>SUM(CD987:CH987)</f>
        <v>0.8</v>
      </c>
      <c r="CY987" s="167">
        <f>SUM(CD987:CM987)</f>
        <v>1</v>
      </c>
    </row>
    <row r="988" spans="1:103" ht="12.75" customHeight="1" x14ac:dyDescent="0.2">
      <c r="A988" s="81">
        <v>6318</v>
      </c>
      <c r="B988" s="165" t="s">
        <v>1930</v>
      </c>
      <c r="C988" s="165" t="s">
        <v>2723</v>
      </c>
      <c r="E988" s="165" t="s">
        <v>2724</v>
      </c>
      <c r="G988" s="81">
        <v>528567</v>
      </c>
      <c r="H988" s="81">
        <v>173770</v>
      </c>
      <c r="I988" s="165" t="s">
        <v>247</v>
      </c>
      <c r="L988" s="166">
        <v>1</v>
      </c>
      <c r="M988" s="166">
        <v>5</v>
      </c>
      <c r="N988" s="166">
        <v>4</v>
      </c>
      <c r="O988" s="166">
        <v>5</v>
      </c>
      <c r="P988" s="166">
        <v>4</v>
      </c>
      <c r="R988" s="165" t="s">
        <v>2725</v>
      </c>
      <c r="S988" s="81" t="s">
        <v>113</v>
      </c>
      <c r="T988" s="349">
        <v>42891</v>
      </c>
      <c r="U988" s="349">
        <v>43032</v>
      </c>
      <c r="V988" s="81" t="s">
        <v>155</v>
      </c>
      <c r="W988" s="81" t="s">
        <v>114</v>
      </c>
      <c r="Y988" s="81" t="s">
        <v>115</v>
      </c>
      <c r="Z988" s="81" t="s">
        <v>116</v>
      </c>
      <c r="AA988" s="81" t="s">
        <v>117</v>
      </c>
      <c r="AB988" s="81" t="s">
        <v>218</v>
      </c>
      <c r="AC988" s="166">
        <v>9.9999997764825804E-3</v>
      </c>
      <c r="AG988" s="81" t="s">
        <v>238</v>
      </c>
      <c r="AH988" s="81" t="s">
        <v>118</v>
      </c>
      <c r="AK988" s="166">
        <v>0</v>
      </c>
      <c r="AM988" s="166">
        <v>0</v>
      </c>
      <c r="AO988" s="166">
        <v>1</v>
      </c>
      <c r="AP988" s="166">
        <v>2</v>
      </c>
      <c r="AQ988" s="166">
        <v>1</v>
      </c>
      <c r="AR988" s="166">
        <v>0</v>
      </c>
      <c r="AS988" s="166">
        <v>0</v>
      </c>
      <c r="AT988" s="166">
        <v>0</v>
      </c>
      <c r="AU988" s="166">
        <v>0</v>
      </c>
      <c r="AV988" s="166">
        <v>1</v>
      </c>
      <c r="AW988" s="166">
        <v>1</v>
      </c>
      <c r="AX988" s="166">
        <v>2</v>
      </c>
      <c r="AY988" s="166">
        <v>0</v>
      </c>
      <c r="AZ988" s="166">
        <v>0</v>
      </c>
      <c r="BA988" s="166">
        <v>0</v>
      </c>
      <c r="BB988" s="166">
        <v>0</v>
      </c>
      <c r="BC988" s="166">
        <v>0</v>
      </c>
      <c r="BD988" s="166">
        <v>1</v>
      </c>
      <c r="BE988" s="166">
        <v>-1</v>
      </c>
      <c r="BF988" s="166">
        <v>0</v>
      </c>
      <c r="BG988" s="166">
        <v>0</v>
      </c>
      <c r="BH988" s="166">
        <v>0</v>
      </c>
      <c r="BI988" s="166">
        <v>0</v>
      </c>
      <c r="BJ988" s="166">
        <v>0</v>
      </c>
      <c r="BK988" s="166">
        <v>0</v>
      </c>
      <c r="BL988" s="166">
        <v>0</v>
      </c>
      <c r="BM988" s="166">
        <v>0</v>
      </c>
      <c r="BN988" s="166">
        <v>0</v>
      </c>
      <c r="BO988" s="166">
        <v>0</v>
      </c>
      <c r="BP988" s="166">
        <v>0</v>
      </c>
      <c r="BQ988" s="81" t="s">
        <v>1757</v>
      </c>
      <c r="BZ988" s="81" t="s">
        <v>155</v>
      </c>
      <c r="CA988" s="81">
        <v>4</v>
      </c>
      <c r="CC988" s="167">
        <v>0</v>
      </c>
      <c r="CD988" s="167">
        <v>0</v>
      </c>
      <c r="CE988" s="167">
        <f>$N988/5</f>
        <v>0.8</v>
      </c>
      <c r="CF988" s="167">
        <f>$N988/5</f>
        <v>0.8</v>
      </c>
      <c r="CG988" s="167">
        <f>$N988/5</f>
        <v>0.8</v>
      </c>
      <c r="CH988" s="167">
        <f>$N988/5</f>
        <v>0.8</v>
      </c>
      <c r="CI988" s="167">
        <f>$N988/5</f>
        <v>0.8</v>
      </c>
      <c r="CJ988" s="167">
        <v>0</v>
      </c>
      <c r="CK988" s="167">
        <v>0</v>
      </c>
      <c r="CL988" s="167">
        <v>0</v>
      </c>
      <c r="CM988" s="167">
        <v>0</v>
      </c>
      <c r="CN988" s="167">
        <v>0</v>
      </c>
      <c r="CO988" s="167">
        <v>0</v>
      </c>
      <c r="CP988" s="167">
        <v>0</v>
      </c>
      <c r="CQ988" s="167">
        <v>0</v>
      </c>
      <c r="CR988" s="167">
        <v>0</v>
      </c>
      <c r="CS988" s="167">
        <v>0</v>
      </c>
      <c r="CT988" s="167">
        <v>0</v>
      </c>
      <c r="CU988" s="167">
        <v>0</v>
      </c>
      <c r="CV988" s="167">
        <v>0</v>
      </c>
      <c r="CW988" s="167">
        <v>0</v>
      </c>
      <c r="CX988" s="167">
        <f>SUM(CD988:CH988)</f>
        <v>3.2</v>
      </c>
      <c r="CY988" s="167">
        <f>SUM(CD988:CM988)</f>
        <v>4</v>
      </c>
    </row>
    <row r="989" spans="1:103" ht="12.75" customHeight="1" x14ac:dyDescent="0.2">
      <c r="A989" s="81">
        <v>6321</v>
      </c>
      <c r="B989" s="165" t="s">
        <v>1930</v>
      </c>
      <c r="C989" s="165" t="s">
        <v>1418</v>
      </c>
      <c r="E989" s="165" t="s">
        <v>2726</v>
      </c>
      <c r="G989" s="81">
        <v>529156</v>
      </c>
      <c r="H989" s="81">
        <v>171226</v>
      </c>
      <c r="I989" s="165" t="s">
        <v>252</v>
      </c>
      <c r="L989" s="166">
        <v>1</v>
      </c>
      <c r="M989" s="166">
        <v>3</v>
      </c>
      <c r="N989" s="166">
        <v>2</v>
      </c>
      <c r="O989" s="166">
        <v>3</v>
      </c>
      <c r="P989" s="166">
        <v>2</v>
      </c>
      <c r="R989" s="165" t="s">
        <v>1419</v>
      </c>
      <c r="S989" s="81" t="s">
        <v>113</v>
      </c>
      <c r="T989" s="349">
        <v>42633</v>
      </c>
      <c r="U989" s="349">
        <v>42689</v>
      </c>
      <c r="W989" s="81" t="s">
        <v>114</v>
      </c>
      <c r="Y989" s="81" t="s">
        <v>115</v>
      </c>
      <c r="Z989" s="81" t="s">
        <v>398</v>
      </c>
      <c r="AA989" s="81" t="s">
        <v>117</v>
      </c>
      <c r="AB989" s="81" t="s">
        <v>120</v>
      </c>
      <c r="AC989" s="166">
        <v>1.60000007599592E-2</v>
      </c>
      <c r="AG989" s="81" t="s">
        <v>238</v>
      </c>
      <c r="AH989" s="81" t="s">
        <v>118</v>
      </c>
      <c r="AK989" s="166">
        <v>0</v>
      </c>
      <c r="AM989" s="166">
        <v>0</v>
      </c>
      <c r="AO989" s="166">
        <v>1</v>
      </c>
      <c r="AP989" s="166">
        <v>1</v>
      </c>
      <c r="AQ989" s="166">
        <v>0</v>
      </c>
      <c r="AR989" s="166">
        <v>1</v>
      </c>
      <c r="AS989" s="166">
        <v>0</v>
      </c>
      <c r="AT989" s="166">
        <v>-1</v>
      </c>
      <c r="AU989" s="166">
        <v>0</v>
      </c>
      <c r="AV989" s="166">
        <v>1</v>
      </c>
      <c r="AW989" s="166">
        <v>1</v>
      </c>
      <c r="AX989" s="166">
        <v>0</v>
      </c>
      <c r="AY989" s="166">
        <v>1</v>
      </c>
      <c r="AZ989" s="166">
        <v>0</v>
      </c>
      <c r="BA989" s="166">
        <v>0</v>
      </c>
      <c r="BB989" s="166">
        <v>0</v>
      </c>
      <c r="BC989" s="166">
        <v>0</v>
      </c>
      <c r="BD989" s="166">
        <v>0</v>
      </c>
      <c r="BE989" s="166">
        <v>0</v>
      </c>
      <c r="BF989" s="166">
        <v>0</v>
      </c>
      <c r="BG989" s="166">
        <v>0</v>
      </c>
      <c r="BH989" s="166">
        <v>-1</v>
      </c>
      <c r="BI989" s="166">
        <v>0</v>
      </c>
      <c r="BJ989" s="166">
        <v>0</v>
      </c>
      <c r="BK989" s="166">
        <v>0</v>
      </c>
      <c r="BL989" s="166">
        <v>0</v>
      </c>
      <c r="BM989" s="166">
        <v>0</v>
      </c>
      <c r="BN989" s="166">
        <v>0</v>
      </c>
      <c r="BO989" s="166">
        <v>0</v>
      </c>
      <c r="BP989" s="166">
        <v>0</v>
      </c>
      <c r="BQ989" s="81" t="s">
        <v>1757</v>
      </c>
      <c r="BZ989" s="81" t="s">
        <v>155</v>
      </c>
      <c r="CA989" s="81" t="s">
        <v>1937</v>
      </c>
      <c r="CC989" s="167">
        <v>0</v>
      </c>
      <c r="CD989" s="167">
        <f>$N989/4</f>
        <v>0.5</v>
      </c>
      <c r="CE989" s="167">
        <f>$N989/4</f>
        <v>0.5</v>
      </c>
      <c r="CF989" s="167">
        <f>$N989/4</f>
        <v>0.5</v>
      </c>
      <c r="CG989" s="167">
        <f>$N989/4</f>
        <v>0.5</v>
      </c>
      <c r="CH989" s="167">
        <v>0</v>
      </c>
      <c r="CI989" s="167">
        <v>0</v>
      </c>
      <c r="CJ989" s="167">
        <v>0</v>
      </c>
      <c r="CK989" s="167">
        <v>0</v>
      </c>
      <c r="CL989" s="167">
        <v>0</v>
      </c>
      <c r="CM989" s="167">
        <v>0</v>
      </c>
      <c r="CN989" s="167">
        <v>0</v>
      </c>
      <c r="CO989" s="167">
        <v>0</v>
      </c>
      <c r="CP989" s="167">
        <v>0</v>
      </c>
      <c r="CQ989" s="167">
        <v>0</v>
      </c>
      <c r="CR989" s="167">
        <v>0</v>
      </c>
      <c r="CS989" s="167">
        <v>0</v>
      </c>
      <c r="CT989" s="167">
        <v>0</v>
      </c>
      <c r="CU989" s="167">
        <v>0</v>
      </c>
      <c r="CV989" s="167">
        <v>0</v>
      </c>
      <c r="CW989" s="167">
        <v>0</v>
      </c>
      <c r="CX989" s="167">
        <f>SUM(CD989:CH989)</f>
        <v>2</v>
      </c>
      <c r="CY989" s="167">
        <f>SUM(CD989:CM989)</f>
        <v>2</v>
      </c>
    </row>
    <row r="990" spans="1:103" ht="12.75" customHeight="1" x14ac:dyDescent="0.2">
      <c r="A990" s="81">
        <v>6326</v>
      </c>
      <c r="B990" s="165" t="s">
        <v>1930</v>
      </c>
      <c r="C990" s="165" t="s">
        <v>1350</v>
      </c>
      <c r="E990" s="165" t="s">
        <v>2727</v>
      </c>
      <c r="G990" s="81">
        <v>522791</v>
      </c>
      <c r="H990" s="81">
        <v>175064</v>
      </c>
      <c r="I990" s="165" t="s">
        <v>59</v>
      </c>
      <c r="L990" s="166">
        <v>4</v>
      </c>
      <c r="M990" s="166">
        <v>4</v>
      </c>
      <c r="N990" s="166">
        <v>0</v>
      </c>
      <c r="O990" s="166">
        <v>4</v>
      </c>
      <c r="P990" s="166">
        <v>0</v>
      </c>
      <c r="R990" s="165" t="s">
        <v>1351</v>
      </c>
      <c r="S990" s="81" t="s">
        <v>113</v>
      </c>
      <c r="T990" s="349">
        <v>42564</v>
      </c>
      <c r="U990" s="349">
        <v>42689</v>
      </c>
      <c r="W990" s="81" t="s">
        <v>114</v>
      </c>
      <c r="Y990" s="81" t="s">
        <v>115</v>
      </c>
      <c r="Z990" s="81" t="s">
        <v>398</v>
      </c>
      <c r="AA990" s="81" t="s">
        <v>117</v>
      </c>
      <c r="AB990" s="81" t="s">
        <v>300</v>
      </c>
      <c r="AC990" s="166">
        <v>6.1000000685453401E-2</v>
      </c>
      <c r="AG990" s="81" t="s">
        <v>238</v>
      </c>
      <c r="AH990" s="81" t="s">
        <v>118</v>
      </c>
      <c r="AK990" s="166">
        <v>0</v>
      </c>
      <c r="AM990" s="166">
        <v>0</v>
      </c>
      <c r="AO990" s="166">
        <v>0</v>
      </c>
      <c r="AP990" s="166">
        <v>1</v>
      </c>
      <c r="AQ990" s="166">
        <v>-2</v>
      </c>
      <c r="AR990" s="166">
        <v>2</v>
      </c>
      <c r="AS990" s="166">
        <v>-1</v>
      </c>
      <c r="AT990" s="166">
        <v>0</v>
      </c>
      <c r="AU990" s="166">
        <v>0</v>
      </c>
      <c r="AV990" s="166">
        <v>0</v>
      </c>
      <c r="AW990" s="166">
        <v>1</v>
      </c>
      <c r="AX990" s="166">
        <v>-2</v>
      </c>
      <c r="AY990" s="166">
        <v>2</v>
      </c>
      <c r="AZ990" s="166">
        <v>-1</v>
      </c>
      <c r="BA990" s="166">
        <v>0</v>
      </c>
      <c r="BB990" s="166">
        <v>0</v>
      </c>
      <c r="BC990" s="166">
        <v>0</v>
      </c>
      <c r="BD990" s="166">
        <v>0</v>
      </c>
      <c r="BE990" s="166">
        <v>0</v>
      </c>
      <c r="BF990" s="166">
        <v>0</v>
      </c>
      <c r="BG990" s="166">
        <v>0</v>
      </c>
      <c r="BH990" s="166">
        <v>0</v>
      </c>
      <c r="BI990" s="166">
        <v>0</v>
      </c>
      <c r="BJ990" s="166">
        <v>0</v>
      </c>
      <c r="BK990" s="166">
        <v>0</v>
      </c>
      <c r="BL990" s="166">
        <v>0</v>
      </c>
      <c r="BM990" s="166">
        <v>0</v>
      </c>
      <c r="BN990" s="166">
        <v>0</v>
      </c>
      <c r="BO990" s="166">
        <v>0</v>
      </c>
      <c r="BP990" s="166">
        <v>0</v>
      </c>
      <c r="BQ990" s="81" t="s">
        <v>1758</v>
      </c>
      <c r="BZ990" s="81" t="s">
        <v>155</v>
      </c>
      <c r="CA990" s="81" t="s">
        <v>1937</v>
      </c>
      <c r="CC990" s="167">
        <v>0</v>
      </c>
      <c r="CD990" s="167">
        <f>$N990/4</f>
        <v>0</v>
      </c>
      <c r="CE990" s="167">
        <f>$N990/4</f>
        <v>0</v>
      </c>
      <c r="CF990" s="167">
        <f>$N990/4</f>
        <v>0</v>
      </c>
      <c r="CG990" s="167">
        <f>$N990/4</f>
        <v>0</v>
      </c>
      <c r="CH990" s="167">
        <v>0</v>
      </c>
      <c r="CI990" s="167">
        <v>0</v>
      </c>
      <c r="CJ990" s="167">
        <v>0</v>
      </c>
      <c r="CK990" s="167">
        <v>0</v>
      </c>
      <c r="CL990" s="167">
        <v>0</v>
      </c>
      <c r="CM990" s="167">
        <v>0</v>
      </c>
      <c r="CN990" s="167">
        <v>0</v>
      </c>
      <c r="CO990" s="167">
        <v>0</v>
      </c>
      <c r="CP990" s="167">
        <v>0</v>
      </c>
      <c r="CQ990" s="167">
        <v>0</v>
      </c>
      <c r="CR990" s="167">
        <v>0</v>
      </c>
      <c r="CS990" s="167">
        <v>0</v>
      </c>
      <c r="CT990" s="167">
        <v>0</v>
      </c>
      <c r="CU990" s="167">
        <v>0</v>
      </c>
      <c r="CV990" s="167">
        <v>0</v>
      </c>
      <c r="CW990" s="167">
        <v>0</v>
      </c>
      <c r="CX990" s="167">
        <f>SUM(CD990:CH990)</f>
        <v>0</v>
      </c>
      <c r="CY990" s="167">
        <f>SUM(CD990:CM990)</f>
        <v>0</v>
      </c>
    </row>
    <row r="991" spans="1:103" ht="12.75" customHeight="1" x14ac:dyDescent="0.2">
      <c r="A991" s="81">
        <v>6332</v>
      </c>
      <c r="B991" s="165" t="s">
        <v>1930</v>
      </c>
      <c r="C991" s="165" t="s">
        <v>1354</v>
      </c>
      <c r="E991" s="165" t="s">
        <v>2728</v>
      </c>
      <c r="G991" s="81">
        <v>524599</v>
      </c>
      <c r="H991" s="81">
        <v>175302</v>
      </c>
      <c r="I991" s="165" t="s">
        <v>259</v>
      </c>
      <c r="L991" s="166">
        <v>0</v>
      </c>
      <c r="M991" s="166">
        <v>6</v>
      </c>
      <c r="N991" s="166">
        <v>6</v>
      </c>
      <c r="O991" s="166">
        <v>6</v>
      </c>
      <c r="P991" s="166">
        <v>6</v>
      </c>
      <c r="R991" s="165" t="s">
        <v>1355</v>
      </c>
      <c r="S991" s="81" t="s">
        <v>270</v>
      </c>
      <c r="T991" s="349">
        <v>42573</v>
      </c>
      <c r="U991" s="349">
        <v>42629</v>
      </c>
      <c r="W991" s="81" t="s">
        <v>114</v>
      </c>
      <c r="Y991" s="81" t="s">
        <v>115</v>
      </c>
      <c r="Z991" s="81" t="s">
        <v>310</v>
      </c>
      <c r="AA991" s="81" t="s">
        <v>117</v>
      </c>
      <c r="AB991" s="81" t="s">
        <v>399</v>
      </c>
      <c r="AC991" s="166">
        <v>2.0999999716877899E-2</v>
      </c>
      <c r="AG991" s="81" t="s">
        <v>238</v>
      </c>
      <c r="AH991" s="81" t="s">
        <v>118</v>
      </c>
      <c r="AK991" s="166">
        <v>0</v>
      </c>
      <c r="AM991" s="166">
        <v>0</v>
      </c>
      <c r="AO991" s="166">
        <v>0</v>
      </c>
      <c r="AP991" s="166">
        <v>0</v>
      </c>
      <c r="AQ991" s="166">
        <v>6</v>
      </c>
      <c r="AR991" s="166">
        <v>0</v>
      </c>
      <c r="AS991" s="166">
        <v>0</v>
      </c>
      <c r="AT991" s="166">
        <v>0</v>
      </c>
      <c r="AU991" s="166">
        <v>0</v>
      </c>
      <c r="AV991" s="166">
        <v>0</v>
      </c>
      <c r="AW991" s="166">
        <v>0</v>
      </c>
      <c r="AX991" s="166">
        <v>6</v>
      </c>
      <c r="AY991" s="166">
        <v>0</v>
      </c>
      <c r="AZ991" s="166">
        <v>0</v>
      </c>
      <c r="BA991" s="166">
        <v>0</v>
      </c>
      <c r="BB991" s="166">
        <v>0</v>
      </c>
      <c r="BC991" s="166">
        <v>0</v>
      </c>
      <c r="BD991" s="166">
        <v>0</v>
      </c>
      <c r="BE991" s="166">
        <v>0</v>
      </c>
      <c r="BF991" s="166">
        <v>0</v>
      </c>
      <c r="BG991" s="166">
        <v>0</v>
      </c>
      <c r="BH991" s="166">
        <v>0</v>
      </c>
      <c r="BI991" s="166">
        <v>0</v>
      </c>
      <c r="BJ991" s="166">
        <v>0</v>
      </c>
      <c r="BK991" s="166">
        <v>0</v>
      </c>
      <c r="BL991" s="166">
        <v>0</v>
      </c>
      <c r="BM991" s="166">
        <v>0</v>
      </c>
      <c r="BN991" s="166">
        <v>0</v>
      </c>
      <c r="BO991" s="166">
        <v>0</v>
      </c>
      <c r="BP991" s="166">
        <v>0</v>
      </c>
      <c r="BQ991" s="81" t="s">
        <v>1758</v>
      </c>
      <c r="BX991" s="81" t="s">
        <v>155</v>
      </c>
      <c r="BZ991" s="81" t="s">
        <v>155</v>
      </c>
      <c r="CA991" s="81" t="s">
        <v>3972</v>
      </c>
      <c r="CC991" s="167">
        <v>0</v>
      </c>
      <c r="CD991" s="167">
        <f>$N991/4</f>
        <v>1.5</v>
      </c>
      <c r="CE991" s="167">
        <f>$N991/4</f>
        <v>1.5</v>
      </c>
      <c r="CF991" s="167">
        <f>$N991/4</f>
        <v>1.5</v>
      </c>
      <c r="CG991" s="167">
        <f>$N991/4</f>
        <v>1.5</v>
      </c>
      <c r="CH991" s="167">
        <v>0</v>
      </c>
      <c r="CI991" s="167">
        <v>0</v>
      </c>
      <c r="CJ991" s="167">
        <v>0</v>
      </c>
      <c r="CK991" s="167">
        <v>0</v>
      </c>
      <c r="CL991" s="167">
        <v>0</v>
      </c>
      <c r="CM991" s="167">
        <v>0</v>
      </c>
      <c r="CN991" s="167">
        <v>0</v>
      </c>
      <c r="CO991" s="167">
        <v>0</v>
      </c>
      <c r="CP991" s="167">
        <v>0</v>
      </c>
      <c r="CQ991" s="167">
        <v>0</v>
      </c>
      <c r="CR991" s="167">
        <v>0</v>
      </c>
      <c r="CS991" s="167">
        <v>0</v>
      </c>
      <c r="CT991" s="167">
        <v>0</v>
      </c>
      <c r="CU991" s="167">
        <v>0</v>
      </c>
      <c r="CV991" s="167">
        <v>0</v>
      </c>
      <c r="CW991" s="167">
        <v>0</v>
      </c>
      <c r="CX991" s="167">
        <f>SUM(CD991:CH991)</f>
        <v>6</v>
      </c>
      <c r="CY991" s="167">
        <f>SUM(CD991:CM991)</f>
        <v>6</v>
      </c>
    </row>
    <row r="992" spans="1:103" ht="12.75" customHeight="1" x14ac:dyDescent="0.2">
      <c r="A992" s="81">
        <v>6335</v>
      </c>
      <c r="B992" s="165" t="s">
        <v>1930</v>
      </c>
      <c r="C992" s="165" t="s">
        <v>1394</v>
      </c>
      <c r="D992" s="165" t="s">
        <v>2107</v>
      </c>
      <c r="E992" s="165" t="s">
        <v>2156</v>
      </c>
      <c r="G992" s="81">
        <v>527310</v>
      </c>
      <c r="H992" s="81">
        <v>177196</v>
      </c>
      <c r="I992" s="165" t="s">
        <v>257</v>
      </c>
      <c r="L992" s="166">
        <v>0</v>
      </c>
      <c r="M992" s="166">
        <v>1</v>
      </c>
      <c r="N992" s="166">
        <v>1</v>
      </c>
      <c r="O992" s="166">
        <v>1</v>
      </c>
      <c r="P992" s="166">
        <v>1</v>
      </c>
      <c r="R992" s="165" t="s">
        <v>1395</v>
      </c>
      <c r="S992" s="81" t="s">
        <v>110</v>
      </c>
      <c r="T992" s="349">
        <v>42606</v>
      </c>
      <c r="U992" s="349">
        <v>42661</v>
      </c>
      <c r="W992" s="81" t="s">
        <v>114</v>
      </c>
      <c r="Y992" s="81" t="s">
        <v>115</v>
      </c>
      <c r="Z992" s="81" t="s">
        <v>310</v>
      </c>
      <c r="AA992" s="81" t="s">
        <v>117</v>
      </c>
      <c r="AB992" s="81" t="s">
        <v>399</v>
      </c>
      <c r="AC992" s="166">
        <v>1.60000007599592E-2</v>
      </c>
      <c r="AG992" s="81" t="s">
        <v>238</v>
      </c>
      <c r="AH992" s="81" t="s">
        <v>118</v>
      </c>
      <c r="AI992" s="81" t="s">
        <v>1996</v>
      </c>
      <c r="AK992" s="166">
        <v>0</v>
      </c>
      <c r="AM992" s="166">
        <v>0</v>
      </c>
      <c r="AO992" s="166">
        <v>0</v>
      </c>
      <c r="AP992" s="166">
        <v>0</v>
      </c>
      <c r="AQ992" s="166">
        <v>0</v>
      </c>
      <c r="AR992" s="166">
        <v>0</v>
      </c>
      <c r="AS992" s="166">
        <v>1</v>
      </c>
      <c r="AT992" s="166">
        <v>0</v>
      </c>
      <c r="AU992" s="166">
        <v>0</v>
      </c>
      <c r="AV992" s="166">
        <v>0</v>
      </c>
      <c r="AW992" s="166">
        <v>0</v>
      </c>
      <c r="AX992" s="166">
        <v>0</v>
      </c>
      <c r="AY992" s="166">
        <v>0</v>
      </c>
      <c r="AZ992" s="166">
        <v>1</v>
      </c>
      <c r="BA992" s="166">
        <v>0</v>
      </c>
      <c r="BB992" s="166">
        <v>0</v>
      </c>
      <c r="BC992" s="166">
        <v>0</v>
      </c>
      <c r="BD992" s="166">
        <v>0</v>
      </c>
      <c r="BE992" s="166">
        <v>0</v>
      </c>
      <c r="BF992" s="166">
        <v>0</v>
      </c>
      <c r="BG992" s="166">
        <v>0</v>
      </c>
      <c r="BH992" s="166">
        <v>0</v>
      </c>
      <c r="BI992" s="166">
        <v>0</v>
      </c>
      <c r="BJ992" s="166">
        <v>0</v>
      </c>
      <c r="BK992" s="166">
        <v>0</v>
      </c>
      <c r="BL992" s="166">
        <v>0</v>
      </c>
      <c r="BM992" s="166">
        <v>0</v>
      </c>
      <c r="BN992" s="166">
        <v>0</v>
      </c>
      <c r="BO992" s="166">
        <v>0</v>
      </c>
      <c r="BP992" s="166">
        <v>0</v>
      </c>
      <c r="BQ992" s="81" t="s">
        <v>1757</v>
      </c>
      <c r="BX992" s="81" t="s">
        <v>155</v>
      </c>
      <c r="BZ992" s="81" t="s">
        <v>155</v>
      </c>
      <c r="CA992" s="81" t="s">
        <v>3972</v>
      </c>
      <c r="CC992" s="167">
        <v>0</v>
      </c>
      <c r="CD992" s="167">
        <f>$N992/4</f>
        <v>0.25</v>
      </c>
      <c r="CE992" s="167">
        <f>$N992/4</f>
        <v>0.25</v>
      </c>
      <c r="CF992" s="167">
        <f>$N992/4</f>
        <v>0.25</v>
      </c>
      <c r="CG992" s="167">
        <f>$N992/4</f>
        <v>0.25</v>
      </c>
      <c r="CH992" s="167">
        <v>0</v>
      </c>
      <c r="CI992" s="167">
        <v>0</v>
      </c>
      <c r="CJ992" s="167">
        <v>0</v>
      </c>
      <c r="CK992" s="167">
        <v>0</v>
      </c>
      <c r="CL992" s="167">
        <v>0</v>
      </c>
      <c r="CM992" s="167">
        <v>0</v>
      </c>
      <c r="CN992" s="167">
        <v>0</v>
      </c>
      <c r="CO992" s="167">
        <v>0</v>
      </c>
      <c r="CP992" s="167">
        <v>0</v>
      </c>
      <c r="CQ992" s="167">
        <v>0</v>
      </c>
      <c r="CR992" s="167">
        <v>0</v>
      </c>
      <c r="CS992" s="167">
        <v>0</v>
      </c>
      <c r="CT992" s="167">
        <v>0</v>
      </c>
      <c r="CU992" s="167">
        <v>0</v>
      </c>
      <c r="CV992" s="167">
        <v>0</v>
      </c>
      <c r="CW992" s="167">
        <v>0</v>
      </c>
      <c r="CX992" s="167">
        <f>SUM(CD992:CH992)</f>
        <v>1</v>
      </c>
      <c r="CY992" s="167">
        <f>SUM(CD992:CM992)</f>
        <v>1</v>
      </c>
    </row>
    <row r="993" spans="1:103" ht="12.75" customHeight="1" x14ac:dyDescent="0.2">
      <c r="A993" s="81">
        <v>6336</v>
      </c>
      <c r="B993" s="165" t="s">
        <v>1930</v>
      </c>
      <c r="C993" s="165" t="s">
        <v>1402</v>
      </c>
      <c r="E993" s="165" t="s">
        <v>2729</v>
      </c>
      <c r="G993" s="81">
        <v>527649</v>
      </c>
      <c r="H993" s="81">
        <v>176406</v>
      </c>
      <c r="I993" s="165" t="s">
        <v>241</v>
      </c>
      <c r="L993" s="166">
        <v>0</v>
      </c>
      <c r="M993" s="166">
        <v>1</v>
      </c>
      <c r="N993" s="166">
        <v>1</v>
      </c>
      <c r="O993" s="166">
        <v>1</v>
      </c>
      <c r="P993" s="166">
        <v>1</v>
      </c>
      <c r="R993" s="165" t="s">
        <v>1403</v>
      </c>
      <c r="S993" s="81" t="s">
        <v>270</v>
      </c>
      <c r="T993" s="349">
        <v>42627</v>
      </c>
      <c r="U993" s="349">
        <v>42682</v>
      </c>
      <c r="W993" s="81" t="s">
        <v>114</v>
      </c>
      <c r="Y993" s="81" t="s">
        <v>115</v>
      </c>
      <c r="Z993" s="81" t="s">
        <v>310</v>
      </c>
      <c r="AA993" s="81" t="s">
        <v>117</v>
      </c>
      <c r="AB993" s="81" t="s">
        <v>399</v>
      </c>
      <c r="AC993" s="166">
        <v>8.0000003799796104E-3</v>
      </c>
      <c r="AG993" s="81" t="s">
        <v>238</v>
      </c>
      <c r="AH993" s="81" t="s">
        <v>118</v>
      </c>
      <c r="AK993" s="166">
        <v>0</v>
      </c>
      <c r="AM993" s="166">
        <v>0</v>
      </c>
      <c r="AO993" s="166">
        <v>0</v>
      </c>
      <c r="AP993" s="166">
        <v>0</v>
      </c>
      <c r="AQ993" s="166">
        <v>1</v>
      </c>
      <c r="AR993" s="166">
        <v>0</v>
      </c>
      <c r="AS993" s="166">
        <v>0</v>
      </c>
      <c r="AT993" s="166">
        <v>0</v>
      </c>
      <c r="AU993" s="166">
        <v>0</v>
      </c>
      <c r="AV993" s="166">
        <v>0</v>
      </c>
      <c r="AW993" s="166">
        <v>0</v>
      </c>
      <c r="AX993" s="166">
        <v>1</v>
      </c>
      <c r="AY993" s="166">
        <v>0</v>
      </c>
      <c r="AZ993" s="166">
        <v>0</v>
      </c>
      <c r="BA993" s="166">
        <v>0</v>
      </c>
      <c r="BB993" s="166">
        <v>0</v>
      </c>
      <c r="BC993" s="166">
        <v>0</v>
      </c>
      <c r="BD993" s="166">
        <v>0</v>
      </c>
      <c r="BE993" s="166">
        <v>0</v>
      </c>
      <c r="BF993" s="166">
        <v>0</v>
      </c>
      <c r="BG993" s="166">
        <v>0</v>
      </c>
      <c r="BH993" s="166">
        <v>0</v>
      </c>
      <c r="BI993" s="166">
        <v>0</v>
      </c>
      <c r="BJ993" s="166">
        <v>0</v>
      </c>
      <c r="BK993" s="166">
        <v>0</v>
      </c>
      <c r="BL993" s="166">
        <v>0</v>
      </c>
      <c r="BM993" s="166">
        <v>0</v>
      </c>
      <c r="BN993" s="166">
        <v>0</v>
      </c>
      <c r="BO993" s="166">
        <v>0</v>
      </c>
      <c r="BP993" s="166">
        <v>0</v>
      </c>
      <c r="BQ993" s="81" t="s">
        <v>1757</v>
      </c>
      <c r="BZ993" s="81" t="s">
        <v>155</v>
      </c>
      <c r="CA993" s="81" t="s">
        <v>1937</v>
      </c>
      <c r="CC993" s="167">
        <v>0</v>
      </c>
      <c r="CD993" s="167">
        <f>$N993/4</f>
        <v>0.25</v>
      </c>
      <c r="CE993" s="167">
        <f>$N993/4</f>
        <v>0.25</v>
      </c>
      <c r="CF993" s="167">
        <f>$N993/4</f>
        <v>0.25</v>
      </c>
      <c r="CG993" s="167">
        <f>$N993/4</f>
        <v>0.25</v>
      </c>
      <c r="CH993" s="167">
        <v>0</v>
      </c>
      <c r="CI993" s="167">
        <v>0</v>
      </c>
      <c r="CJ993" s="167">
        <v>0</v>
      </c>
      <c r="CK993" s="167">
        <v>0</v>
      </c>
      <c r="CL993" s="167">
        <v>0</v>
      </c>
      <c r="CM993" s="167">
        <v>0</v>
      </c>
      <c r="CN993" s="167">
        <v>0</v>
      </c>
      <c r="CO993" s="167">
        <v>0</v>
      </c>
      <c r="CP993" s="167">
        <v>0</v>
      </c>
      <c r="CQ993" s="167">
        <v>0</v>
      </c>
      <c r="CR993" s="167">
        <v>0</v>
      </c>
      <c r="CS993" s="167">
        <v>0</v>
      </c>
      <c r="CT993" s="167">
        <v>0</v>
      </c>
      <c r="CU993" s="167">
        <v>0</v>
      </c>
      <c r="CV993" s="167">
        <v>0</v>
      </c>
      <c r="CW993" s="167">
        <v>0</v>
      </c>
      <c r="CX993" s="167">
        <f>SUM(CD993:CH993)</f>
        <v>1</v>
      </c>
      <c r="CY993" s="167">
        <f>SUM(CD993:CM993)</f>
        <v>1</v>
      </c>
    </row>
    <row r="994" spans="1:103" ht="12.75" customHeight="1" x14ac:dyDescent="0.2">
      <c r="A994" s="81">
        <v>6337</v>
      </c>
      <c r="B994" s="165" t="s">
        <v>1930</v>
      </c>
      <c r="C994" s="165" t="s">
        <v>1404</v>
      </c>
      <c r="E994" s="165" t="s">
        <v>2730</v>
      </c>
      <c r="G994" s="81">
        <v>527649</v>
      </c>
      <c r="H994" s="81">
        <v>176406</v>
      </c>
      <c r="I994" s="165" t="s">
        <v>241</v>
      </c>
      <c r="L994" s="166">
        <v>0</v>
      </c>
      <c r="M994" s="166">
        <v>1</v>
      </c>
      <c r="N994" s="166">
        <v>1</v>
      </c>
      <c r="O994" s="166">
        <v>1</v>
      </c>
      <c r="P994" s="166">
        <v>1</v>
      </c>
      <c r="R994" s="165" t="s">
        <v>1405</v>
      </c>
      <c r="S994" s="81" t="s">
        <v>270</v>
      </c>
      <c r="T994" s="349">
        <v>42627</v>
      </c>
      <c r="U994" s="349">
        <v>42683</v>
      </c>
      <c r="W994" s="81" t="s">
        <v>114</v>
      </c>
      <c r="Y994" s="81" t="s">
        <v>115</v>
      </c>
      <c r="Z994" s="81" t="s">
        <v>310</v>
      </c>
      <c r="AA994" s="81" t="s">
        <v>117</v>
      </c>
      <c r="AB994" s="81" t="s">
        <v>399</v>
      </c>
      <c r="AC994" s="166">
        <v>9.9999997764825804E-3</v>
      </c>
      <c r="AG994" s="81" t="s">
        <v>238</v>
      </c>
      <c r="AH994" s="81" t="s">
        <v>118</v>
      </c>
      <c r="AK994" s="166">
        <v>0</v>
      </c>
      <c r="AM994" s="166">
        <v>0</v>
      </c>
      <c r="AO994" s="166">
        <v>0</v>
      </c>
      <c r="AP994" s="166">
        <v>0</v>
      </c>
      <c r="AQ994" s="166">
        <v>0</v>
      </c>
      <c r="AR994" s="166">
        <v>1</v>
      </c>
      <c r="AS994" s="166">
        <v>0</v>
      </c>
      <c r="AT994" s="166">
        <v>0</v>
      </c>
      <c r="AU994" s="166">
        <v>0</v>
      </c>
      <c r="AV994" s="166">
        <v>0</v>
      </c>
      <c r="AW994" s="166">
        <v>0</v>
      </c>
      <c r="AX994" s="166">
        <v>0</v>
      </c>
      <c r="AY994" s="166">
        <v>1</v>
      </c>
      <c r="AZ994" s="166">
        <v>0</v>
      </c>
      <c r="BA994" s="166">
        <v>0</v>
      </c>
      <c r="BB994" s="166">
        <v>0</v>
      </c>
      <c r="BC994" s="166">
        <v>0</v>
      </c>
      <c r="BD994" s="166">
        <v>0</v>
      </c>
      <c r="BE994" s="166">
        <v>0</v>
      </c>
      <c r="BF994" s="166">
        <v>0</v>
      </c>
      <c r="BG994" s="166">
        <v>0</v>
      </c>
      <c r="BH994" s="166">
        <v>0</v>
      </c>
      <c r="BI994" s="166">
        <v>0</v>
      </c>
      <c r="BJ994" s="166">
        <v>0</v>
      </c>
      <c r="BK994" s="166">
        <v>0</v>
      </c>
      <c r="BL994" s="166">
        <v>0</v>
      </c>
      <c r="BM994" s="166">
        <v>0</v>
      </c>
      <c r="BN994" s="166">
        <v>0</v>
      </c>
      <c r="BO994" s="166">
        <v>0</v>
      </c>
      <c r="BP994" s="166">
        <v>0</v>
      </c>
      <c r="BQ994" s="81" t="s">
        <v>1757</v>
      </c>
      <c r="BZ994" s="81" t="s">
        <v>155</v>
      </c>
      <c r="CA994" s="81" t="s">
        <v>1937</v>
      </c>
      <c r="CC994" s="167">
        <v>0</v>
      </c>
      <c r="CD994" s="167">
        <f>$N994/4</f>
        <v>0.25</v>
      </c>
      <c r="CE994" s="167">
        <f>$N994/4</f>
        <v>0.25</v>
      </c>
      <c r="CF994" s="167">
        <f>$N994/4</f>
        <v>0.25</v>
      </c>
      <c r="CG994" s="167">
        <f>$N994/4</f>
        <v>0.25</v>
      </c>
      <c r="CH994" s="167">
        <v>0</v>
      </c>
      <c r="CI994" s="167">
        <v>0</v>
      </c>
      <c r="CJ994" s="167">
        <v>0</v>
      </c>
      <c r="CK994" s="167">
        <v>0</v>
      </c>
      <c r="CL994" s="167">
        <v>0</v>
      </c>
      <c r="CM994" s="167">
        <v>0</v>
      </c>
      <c r="CN994" s="167">
        <v>0</v>
      </c>
      <c r="CO994" s="167">
        <v>0</v>
      </c>
      <c r="CP994" s="167">
        <v>0</v>
      </c>
      <c r="CQ994" s="167">
        <v>0</v>
      </c>
      <c r="CR994" s="167">
        <v>0</v>
      </c>
      <c r="CS994" s="167">
        <v>0</v>
      </c>
      <c r="CT994" s="167">
        <v>0</v>
      </c>
      <c r="CU994" s="167">
        <v>0</v>
      </c>
      <c r="CV994" s="167">
        <v>0</v>
      </c>
      <c r="CW994" s="167">
        <v>0</v>
      </c>
      <c r="CX994" s="167">
        <f>SUM(CD994:CH994)</f>
        <v>1</v>
      </c>
      <c r="CY994" s="167">
        <f>SUM(CD994:CM994)</f>
        <v>1</v>
      </c>
    </row>
    <row r="995" spans="1:103" ht="12.75" customHeight="1" x14ac:dyDescent="0.2">
      <c r="A995" s="81">
        <v>6338</v>
      </c>
      <c r="B995" s="165" t="s">
        <v>1930</v>
      </c>
      <c r="C995" s="165" t="s">
        <v>1406</v>
      </c>
      <c r="E995" s="165" t="s">
        <v>2731</v>
      </c>
      <c r="G995" s="81">
        <v>527649</v>
      </c>
      <c r="H995" s="81">
        <v>176406</v>
      </c>
      <c r="I995" s="165" t="s">
        <v>241</v>
      </c>
      <c r="L995" s="166">
        <v>0</v>
      </c>
      <c r="M995" s="166">
        <v>1</v>
      </c>
      <c r="N995" s="166">
        <v>1</v>
      </c>
      <c r="O995" s="166">
        <v>1</v>
      </c>
      <c r="P995" s="166">
        <v>1</v>
      </c>
      <c r="R995" s="165" t="s">
        <v>1403</v>
      </c>
      <c r="S995" s="81" t="s">
        <v>270</v>
      </c>
      <c r="T995" s="349">
        <v>42627</v>
      </c>
      <c r="U995" s="349">
        <v>42683</v>
      </c>
      <c r="W995" s="81" t="s">
        <v>114</v>
      </c>
      <c r="Y995" s="81" t="s">
        <v>115</v>
      </c>
      <c r="Z995" s="81" t="s">
        <v>310</v>
      </c>
      <c r="AA995" s="81" t="s">
        <v>117</v>
      </c>
      <c r="AB995" s="81" t="s">
        <v>399</v>
      </c>
      <c r="AC995" s="166">
        <v>6.0000000521540598E-3</v>
      </c>
      <c r="AG995" s="81" t="s">
        <v>238</v>
      </c>
      <c r="AH995" s="81" t="s">
        <v>118</v>
      </c>
      <c r="AK995" s="166">
        <v>0</v>
      </c>
      <c r="AM995" s="166">
        <v>0</v>
      </c>
      <c r="AO995" s="166">
        <v>0</v>
      </c>
      <c r="AP995" s="166">
        <v>0</v>
      </c>
      <c r="AQ995" s="166">
        <v>1</v>
      </c>
      <c r="AR995" s="166">
        <v>0</v>
      </c>
      <c r="AS995" s="166">
        <v>0</v>
      </c>
      <c r="AT995" s="166">
        <v>0</v>
      </c>
      <c r="AU995" s="166">
        <v>0</v>
      </c>
      <c r="AV995" s="166">
        <v>0</v>
      </c>
      <c r="AW995" s="166">
        <v>0</v>
      </c>
      <c r="AX995" s="166">
        <v>1</v>
      </c>
      <c r="AY995" s="166">
        <v>0</v>
      </c>
      <c r="AZ995" s="166">
        <v>0</v>
      </c>
      <c r="BA995" s="166">
        <v>0</v>
      </c>
      <c r="BB995" s="166">
        <v>0</v>
      </c>
      <c r="BC995" s="166">
        <v>0</v>
      </c>
      <c r="BD995" s="166">
        <v>0</v>
      </c>
      <c r="BE995" s="166">
        <v>0</v>
      </c>
      <c r="BF995" s="166">
        <v>0</v>
      </c>
      <c r="BG995" s="166">
        <v>0</v>
      </c>
      <c r="BH995" s="166">
        <v>0</v>
      </c>
      <c r="BI995" s="166">
        <v>0</v>
      </c>
      <c r="BJ995" s="166">
        <v>0</v>
      </c>
      <c r="BK995" s="166">
        <v>0</v>
      </c>
      <c r="BL995" s="166">
        <v>0</v>
      </c>
      <c r="BM995" s="166">
        <v>0</v>
      </c>
      <c r="BN995" s="166">
        <v>0</v>
      </c>
      <c r="BO995" s="166">
        <v>0</v>
      </c>
      <c r="BP995" s="166">
        <v>0</v>
      </c>
      <c r="BQ995" s="81" t="s">
        <v>1757</v>
      </c>
      <c r="BZ995" s="81" t="s">
        <v>155</v>
      </c>
      <c r="CA995" s="81" t="s">
        <v>1937</v>
      </c>
      <c r="CC995" s="167">
        <v>0</v>
      </c>
      <c r="CD995" s="167">
        <f>$N995/4</f>
        <v>0.25</v>
      </c>
      <c r="CE995" s="167">
        <f>$N995/4</f>
        <v>0.25</v>
      </c>
      <c r="CF995" s="167">
        <f>$N995/4</f>
        <v>0.25</v>
      </c>
      <c r="CG995" s="167">
        <f>$N995/4</f>
        <v>0.25</v>
      </c>
      <c r="CH995" s="167">
        <v>0</v>
      </c>
      <c r="CI995" s="167">
        <v>0</v>
      </c>
      <c r="CJ995" s="167">
        <v>0</v>
      </c>
      <c r="CK995" s="167">
        <v>0</v>
      </c>
      <c r="CL995" s="167">
        <v>0</v>
      </c>
      <c r="CM995" s="167">
        <v>0</v>
      </c>
      <c r="CN995" s="167">
        <v>0</v>
      </c>
      <c r="CO995" s="167">
        <v>0</v>
      </c>
      <c r="CP995" s="167">
        <v>0</v>
      </c>
      <c r="CQ995" s="167">
        <v>0</v>
      </c>
      <c r="CR995" s="167">
        <v>0</v>
      </c>
      <c r="CS995" s="167">
        <v>0</v>
      </c>
      <c r="CT995" s="167">
        <v>0</v>
      </c>
      <c r="CU995" s="167">
        <v>0</v>
      </c>
      <c r="CV995" s="167">
        <v>0</v>
      </c>
      <c r="CW995" s="167">
        <v>0</v>
      </c>
      <c r="CX995" s="167">
        <f>SUM(CD995:CH995)</f>
        <v>1</v>
      </c>
      <c r="CY995" s="167">
        <f>SUM(CD995:CM995)</f>
        <v>1</v>
      </c>
    </row>
    <row r="996" spans="1:103" ht="12.75" customHeight="1" x14ac:dyDescent="0.2">
      <c r="A996" s="81">
        <v>6339</v>
      </c>
      <c r="B996" s="165" t="s">
        <v>1930</v>
      </c>
      <c r="C996" s="165" t="s">
        <v>1407</v>
      </c>
      <c r="E996" s="165" t="s">
        <v>2732</v>
      </c>
      <c r="G996" s="81">
        <v>527649</v>
      </c>
      <c r="H996" s="81">
        <v>176406</v>
      </c>
      <c r="I996" s="165" t="s">
        <v>241</v>
      </c>
      <c r="L996" s="166">
        <v>0</v>
      </c>
      <c r="M996" s="166">
        <v>1</v>
      </c>
      <c r="N996" s="166">
        <v>1</v>
      </c>
      <c r="O996" s="166">
        <v>1</v>
      </c>
      <c r="P996" s="166">
        <v>1</v>
      </c>
      <c r="R996" s="165" t="s">
        <v>1403</v>
      </c>
      <c r="S996" s="81" t="s">
        <v>270</v>
      </c>
      <c r="T996" s="349">
        <v>42627</v>
      </c>
      <c r="U996" s="349">
        <v>42683</v>
      </c>
      <c r="W996" s="81" t="s">
        <v>114</v>
      </c>
      <c r="Y996" s="81" t="s">
        <v>115</v>
      </c>
      <c r="Z996" s="81" t="s">
        <v>310</v>
      </c>
      <c r="AA996" s="81" t="s">
        <v>117</v>
      </c>
      <c r="AB996" s="81" t="s">
        <v>399</v>
      </c>
      <c r="AC996" s="166">
        <v>6.0000000521540598E-3</v>
      </c>
      <c r="AG996" s="81" t="s">
        <v>238</v>
      </c>
      <c r="AH996" s="81" t="s">
        <v>118</v>
      </c>
      <c r="AK996" s="166">
        <v>0</v>
      </c>
      <c r="AM996" s="166">
        <v>0</v>
      </c>
      <c r="AO996" s="166">
        <v>0</v>
      </c>
      <c r="AP996" s="166">
        <v>0</v>
      </c>
      <c r="AQ996" s="166">
        <v>1</v>
      </c>
      <c r="AR996" s="166">
        <v>0</v>
      </c>
      <c r="AS996" s="166">
        <v>0</v>
      </c>
      <c r="AT996" s="166">
        <v>0</v>
      </c>
      <c r="AU996" s="166">
        <v>0</v>
      </c>
      <c r="AV996" s="166">
        <v>0</v>
      </c>
      <c r="AW996" s="166">
        <v>0</v>
      </c>
      <c r="AX996" s="166">
        <v>1</v>
      </c>
      <c r="AY996" s="166">
        <v>0</v>
      </c>
      <c r="AZ996" s="166">
        <v>0</v>
      </c>
      <c r="BA996" s="166">
        <v>0</v>
      </c>
      <c r="BB996" s="166">
        <v>0</v>
      </c>
      <c r="BC996" s="166">
        <v>0</v>
      </c>
      <c r="BD996" s="166">
        <v>0</v>
      </c>
      <c r="BE996" s="166">
        <v>0</v>
      </c>
      <c r="BF996" s="166">
        <v>0</v>
      </c>
      <c r="BG996" s="166">
        <v>0</v>
      </c>
      <c r="BH996" s="166">
        <v>0</v>
      </c>
      <c r="BI996" s="166">
        <v>0</v>
      </c>
      <c r="BJ996" s="166">
        <v>0</v>
      </c>
      <c r="BK996" s="166">
        <v>0</v>
      </c>
      <c r="BL996" s="166">
        <v>0</v>
      </c>
      <c r="BM996" s="166">
        <v>0</v>
      </c>
      <c r="BN996" s="166">
        <v>0</v>
      </c>
      <c r="BO996" s="166">
        <v>0</v>
      </c>
      <c r="BP996" s="166">
        <v>0</v>
      </c>
      <c r="BQ996" s="81" t="s">
        <v>1757</v>
      </c>
      <c r="BZ996" s="81" t="s">
        <v>155</v>
      </c>
      <c r="CA996" s="81" t="s">
        <v>1937</v>
      </c>
      <c r="CC996" s="167">
        <v>0</v>
      </c>
      <c r="CD996" s="167">
        <f>$N996/4</f>
        <v>0.25</v>
      </c>
      <c r="CE996" s="167">
        <f>$N996/4</f>
        <v>0.25</v>
      </c>
      <c r="CF996" s="167">
        <f>$N996/4</f>
        <v>0.25</v>
      </c>
      <c r="CG996" s="167">
        <f>$N996/4</f>
        <v>0.25</v>
      </c>
      <c r="CH996" s="167">
        <v>0</v>
      </c>
      <c r="CI996" s="167">
        <v>0</v>
      </c>
      <c r="CJ996" s="167">
        <v>0</v>
      </c>
      <c r="CK996" s="167">
        <v>0</v>
      </c>
      <c r="CL996" s="167">
        <v>0</v>
      </c>
      <c r="CM996" s="167">
        <v>0</v>
      </c>
      <c r="CN996" s="167">
        <v>0</v>
      </c>
      <c r="CO996" s="167">
        <v>0</v>
      </c>
      <c r="CP996" s="167">
        <v>0</v>
      </c>
      <c r="CQ996" s="167">
        <v>0</v>
      </c>
      <c r="CR996" s="167">
        <v>0</v>
      </c>
      <c r="CS996" s="167">
        <v>0</v>
      </c>
      <c r="CT996" s="167">
        <v>0</v>
      </c>
      <c r="CU996" s="167">
        <v>0</v>
      </c>
      <c r="CV996" s="167">
        <v>0</v>
      </c>
      <c r="CW996" s="167">
        <v>0</v>
      </c>
      <c r="CX996" s="167">
        <f>SUM(CD996:CH996)</f>
        <v>1</v>
      </c>
      <c r="CY996" s="167">
        <f>SUM(CD996:CM996)</f>
        <v>1</v>
      </c>
    </row>
    <row r="997" spans="1:103" ht="12.75" customHeight="1" x14ac:dyDescent="0.2">
      <c r="A997" s="81">
        <v>6345</v>
      </c>
      <c r="B997" s="165" t="s">
        <v>1930</v>
      </c>
      <c r="C997" s="165" t="s">
        <v>1370</v>
      </c>
      <c r="E997" s="165" t="s">
        <v>2733</v>
      </c>
      <c r="G997" s="81">
        <v>523036</v>
      </c>
      <c r="H997" s="81">
        <v>175142</v>
      </c>
      <c r="I997" s="165" t="s">
        <v>59</v>
      </c>
      <c r="L997" s="166">
        <v>0</v>
      </c>
      <c r="M997" s="166">
        <v>2</v>
      </c>
      <c r="N997" s="166">
        <v>2</v>
      </c>
      <c r="O997" s="166">
        <v>2</v>
      </c>
      <c r="P997" s="166">
        <v>2</v>
      </c>
      <c r="R997" s="165" t="s">
        <v>1371</v>
      </c>
      <c r="S997" s="81" t="s">
        <v>113</v>
      </c>
      <c r="T997" s="349">
        <v>42599</v>
      </c>
      <c r="U997" s="349">
        <v>42655</v>
      </c>
      <c r="W997" s="81" t="s">
        <v>114</v>
      </c>
      <c r="Y997" s="81" t="s">
        <v>115</v>
      </c>
      <c r="Z997" s="81" t="s">
        <v>116</v>
      </c>
      <c r="AA997" s="81" t="s">
        <v>117</v>
      </c>
      <c r="AB997" s="81" t="s">
        <v>218</v>
      </c>
      <c r="AC997" s="166">
        <v>1.09999999403954E-2</v>
      </c>
      <c r="AG997" s="81" t="s">
        <v>154</v>
      </c>
      <c r="AH997" s="81" t="s">
        <v>312</v>
      </c>
      <c r="AK997" s="166">
        <v>0</v>
      </c>
      <c r="AM997" s="166">
        <v>0</v>
      </c>
      <c r="AO997" s="166">
        <v>0</v>
      </c>
      <c r="AP997" s="166">
        <v>2</v>
      </c>
      <c r="AQ997" s="166">
        <v>0</v>
      </c>
      <c r="AR997" s="166">
        <v>0</v>
      </c>
      <c r="AS997" s="166">
        <v>0</v>
      </c>
      <c r="AT997" s="166">
        <v>0</v>
      </c>
      <c r="AU997" s="166">
        <v>0</v>
      </c>
      <c r="AV997" s="166">
        <v>0</v>
      </c>
      <c r="AW997" s="166">
        <v>2</v>
      </c>
      <c r="AX997" s="166">
        <v>0</v>
      </c>
      <c r="AY997" s="166">
        <v>0</v>
      </c>
      <c r="AZ997" s="166">
        <v>0</v>
      </c>
      <c r="BA997" s="166">
        <v>0</v>
      </c>
      <c r="BB997" s="166">
        <v>0</v>
      </c>
      <c r="BC997" s="166">
        <v>0</v>
      </c>
      <c r="BD997" s="166">
        <v>0</v>
      </c>
      <c r="BE997" s="166">
        <v>0</v>
      </c>
      <c r="BF997" s="166">
        <v>0</v>
      </c>
      <c r="BG997" s="166">
        <v>0</v>
      </c>
      <c r="BH997" s="166">
        <v>0</v>
      </c>
      <c r="BI997" s="166">
        <v>0</v>
      </c>
      <c r="BJ997" s="166">
        <v>0</v>
      </c>
      <c r="BK997" s="166">
        <v>0</v>
      </c>
      <c r="BL997" s="166">
        <v>0</v>
      </c>
      <c r="BM997" s="166">
        <v>0</v>
      </c>
      <c r="BN997" s="166">
        <v>0</v>
      </c>
      <c r="BO997" s="166">
        <v>0</v>
      </c>
      <c r="BP997" s="166">
        <v>0</v>
      </c>
      <c r="BQ997" s="81" t="s">
        <v>1758</v>
      </c>
      <c r="BZ997" s="81" t="s">
        <v>155</v>
      </c>
      <c r="CA997" s="81">
        <v>4</v>
      </c>
      <c r="CC997" s="167">
        <v>0</v>
      </c>
      <c r="CD997" s="167">
        <v>0</v>
      </c>
      <c r="CE997" s="167">
        <f>$N997/5</f>
        <v>0.4</v>
      </c>
      <c r="CF997" s="167">
        <f>$N997/5</f>
        <v>0.4</v>
      </c>
      <c r="CG997" s="167">
        <f>$N997/5</f>
        <v>0.4</v>
      </c>
      <c r="CH997" s="167">
        <f>$N997/5</f>
        <v>0.4</v>
      </c>
      <c r="CI997" s="167">
        <f>$N997/5</f>
        <v>0.4</v>
      </c>
      <c r="CJ997" s="167">
        <v>0</v>
      </c>
      <c r="CK997" s="167">
        <v>0</v>
      </c>
      <c r="CL997" s="167">
        <v>0</v>
      </c>
      <c r="CM997" s="167">
        <v>0</v>
      </c>
      <c r="CN997" s="167">
        <v>0</v>
      </c>
      <c r="CO997" s="167">
        <v>0</v>
      </c>
      <c r="CP997" s="167">
        <v>0</v>
      </c>
      <c r="CQ997" s="167">
        <v>0</v>
      </c>
      <c r="CR997" s="167">
        <v>0</v>
      </c>
      <c r="CS997" s="167">
        <v>0</v>
      </c>
      <c r="CT997" s="167">
        <v>0</v>
      </c>
      <c r="CU997" s="167">
        <v>0</v>
      </c>
      <c r="CV997" s="167">
        <v>0</v>
      </c>
      <c r="CW997" s="167">
        <v>0</v>
      </c>
      <c r="CX997" s="167">
        <f>SUM(CD997:CH997)</f>
        <v>1.6</v>
      </c>
      <c r="CY997" s="167">
        <f>SUM(CD997:CM997)</f>
        <v>2</v>
      </c>
    </row>
    <row r="998" spans="1:103" ht="12.75" customHeight="1" x14ac:dyDescent="0.2">
      <c r="A998" s="81">
        <v>6348</v>
      </c>
      <c r="B998" s="165" t="s">
        <v>1930</v>
      </c>
      <c r="C998" s="165" t="s">
        <v>1471</v>
      </c>
      <c r="E998" s="165" t="s">
        <v>2734</v>
      </c>
      <c r="G998" s="81">
        <v>525098</v>
      </c>
      <c r="H998" s="81">
        <v>174608</v>
      </c>
      <c r="I998" s="165" t="s">
        <v>250</v>
      </c>
      <c r="L998" s="166">
        <v>0</v>
      </c>
      <c r="M998" s="166">
        <v>5</v>
      </c>
      <c r="N998" s="166">
        <v>5</v>
      </c>
      <c r="O998" s="166">
        <v>5</v>
      </c>
      <c r="P998" s="166">
        <v>5</v>
      </c>
      <c r="R998" s="165" t="s">
        <v>1472</v>
      </c>
      <c r="S998" s="81" t="s">
        <v>113</v>
      </c>
      <c r="T998" s="349">
        <v>42710</v>
      </c>
      <c r="U998" s="349">
        <v>42766</v>
      </c>
      <c r="W998" s="81" t="s">
        <v>114</v>
      </c>
      <c r="Y998" s="81" t="s">
        <v>115</v>
      </c>
      <c r="Z998" s="81" t="s">
        <v>398</v>
      </c>
      <c r="AA998" s="81" t="s">
        <v>117</v>
      </c>
      <c r="AB998" s="81" t="s">
        <v>102</v>
      </c>
      <c r="AC998" s="166">
        <v>3.5000000149011598E-2</v>
      </c>
      <c r="AG998" s="81" t="s">
        <v>238</v>
      </c>
      <c r="AH998" s="81" t="s">
        <v>118</v>
      </c>
      <c r="AK998" s="166">
        <v>0</v>
      </c>
      <c r="AM998" s="166">
        <v>0</v>
      </c>
      <c r="AO998" s="166">
        <v>0</v>
      </c>
      <c r="AP998" s="166">
        <v>1</v>
      </c>
      <c r="AQ998" s="166">
        <v>4</v>
      </c>
      <c r="AR998" s="166">
        <v>0</v>
      </c>
      <c r="AS998" s="166">
        <v>0</v>
      </c>
      <c r="AT998" s="166">
        <v>0</v>
      </c>
      <c r="AU998" s="166">
        <v>0</v>
      </c>
      <c r="AV998" s="166">
        <v>0</v>
      </c>
      <c r="AW998" s="166">
        <v>1</v>
      </c>
      <c r="AX998" s="166">
        <v>4</v>
      </c>
      <c r="AY998" s="166">
        <v>0</v>
      </c>
      <c r="AZ998" s="166">
        <v>0</v>
      </c>
      <c r="BA998" s="166">
        <v>0</v>
      </c>
      <c r="BB998" s="166">
        <v>0</v>
      </c>
      <c r="BC998" s="166">
        <v>0</v>
      </c>
      <c r="BD998" s="166">
        <v>0</v>
      </c>
      <c r="BE998" s="166">
        <v>0</v>
      </c>
      <c r="BF998" s="166">
        <v>0</v>
      </c>
      <c r="BG998" s="166">
        <v>0</v>
      </c>
      <c r="BH998" s="166">
        <v>0</v>
      </c>
      <c r="BI998" s="166">
        <v>0</v>
      </c>
      <c r="BJ998" s="166">
        <v>0</v>
      </c>
      <c r="BK998" s="166">
        <v>0</v>
      </c>
      <c r="BL998" s="166">
        <v>0</v>
      </c>
      <c r="BM998" s="166">
        <v>0</v>
      </c>
      <c r="BN998" s="166">
        <v>0</v>
      </c>
      <c r="BO998" s="166">
        <v>0</v>
      </c>
      <c r="BP998" s="166">
        <v>0</v>
      </c>
      <c r="BQ998" s="81" t="s">
        <v>1758</v>
      </c>
      <c r="BZ998" s="81" t="s">
        <v>155</v>
      </c>
      <c r="CA998" s="81" t="s">
        <v>1937</v>
      </c>
      <c r="CC998" s="167">
        <v>0</v>
      </c>
      <c r="CD998" s="167">
        <f>$N998/4</f>
        <v>1.25</v>
      </c>
      <c r="CE998" s="167">
        <f>$N998/4</f>
        <v>1.25</v>
      </c>
      <c r="CF998" s="167">
        <f>$N998/4</f>
        <v>1.25</v>
      </c>
      <c r="CG998" s="167">
        <f>$N998/4</f>
        <v>1.25</v>
      </c>
      <c r="CH998" s="167">
        <v>0</v>
      </c>
      <c r="CI998" s="167">
        <v>0</v>
      </c>
      <c r="CJ998" s="167">
        <v>0</v>
      </c>
      <c r="CK998" s="167">
        <v>0</v>
      </c>
      <c r="CL998" s="167">
        <v>0</v>
      </c>
      <c r="CM998" s="167">
        <v>0</v>
      </c>
      <c r="CN998" s="167">
        <v>0</v>
      </c>
      <c r="CO998" s="167">
        <v>0</v>
      </c>
      <c r="CP998" s="167">
        <v>0</v>
      </c>
      <c r="CQ998" s="167">
        <v>0</v>
      </c>
      <c r="CR998" s="167">
        <v>0</v>
      </c>
      <c r="CS998" s="167">
        <v>0</v>
      </c>
      <c r="CT998" s="167">
        <v>0</v>
      </c>
      <c r="CU998" s="167">
        <v>0</v>
      </c>
      <c r="CV998" s="167">
        <v>0</v>
      </c>
      <c r="CW998" s="167">
        <v>0</v>
      </c>
      <c r="CX998" s="167">
        <f>SUM(CD998:CH998)</f>
        <v>5</v>
      </c>
      <c r="CY998" s="167">
        <f>SUM(CD998:CM998)</f>
        <v>5</v>
      </c>
    </row>
    <row r="999" spans="1:103" ht="12.75" customHeight="1" x14ac:dyDescent="0.2">
      <c r="A999" s="81">
        <v>6349</v>
      </c>
      <c r="B999" s="165" t="s">
        <v>1930</v>
      </c>
      <c r="C999" s="165" t="s">
        <v>1386</v>
      </c>
      <c r="E999" s="165" t="s">
        <v>2735</v>
      </c>
      <c r="G999" s="81">
        <v>527506</v>
      </c>
      <c r="H999" s="81">
        <v>171531</v>
      </c>
      <c r="I999" s="165" t="s">
        <v>253</v>
      </c>
      <c r="L999" s="166">
        <v>1</v>
      </c>
      <c r="M999" s="166">
        <v>3</v>
      </c>
      <c r="N999" s="166">
        <v>2</v>
      </c>
      <c r="O999" s="166">
        <v>3</v>
      </c>
      <c r="P999" s="166">
        <v>2</v>
      </c>
      <c r="R999" s="165" t="s">
        <v>1387</v>
      </c>
      <c r="S999" s="81" t="s">
        <v>113</v>
      </c>
      <c r="T999" s="349">
        <v>42600</v>
      </c>
      <c r="U999" s="349">
        <v>42656</v>
      </c>
      <c r="W999" s="81" t="s">
        <v>114</v>
      </c>
      <c r="Y999" s="81" t="s">
        <v>115</v>
      </c>
      <c r="Z999" s="81" t="s">
        <v>398</v>
      </c>
      <c r="AA999" s="81" t="s">
        <v>117</v>
      </c>
      <c r="AB999" s="81" t="s">
        <v>220</v>
      </c>
      <c r="AC999" s="166">
        <v>8.0000003799796104E-3</v>
      </c>
      <c r="AG999" s="81" t="s">
        <v>238</v>
      </c>
      <c r="AH999" s="81" t="s">
        <v>118</v>
      </c>
      <c r="AI999" s="81" t="s">
        <v>2448</v>
      </c>
      <c r="AK999" s="166">
        <v>0</v>
      </c>
      <c r="AM999" s="166">
        <v>0</v>
      </c>
      <c r="AO999" s="166">
        <v>0</v>
      </c>
      <c r="AP999" s="166">
        <v>3</v>
      </c>
      <c r="AQ999" s="166">
        <v>0</v>
      </c>
      <c r="AR999" s="166">
        <v>-1</v>
      </c>
      <c r="AS999" s="166">
        <v>0</v>
      </c>
      <c r="AT999" s="166">
        <v>0</v>
      </c>
      <c r="AU999" s="166">
        <v>0</v>
      </c>
      <c r="AV999" s="166">
        <v>0</v>
      </c>
      <c r="AW999" s="166">
        <v>3</v>
      </c>
      <c r="AX999" s="166">
        <v>0</v>
      </c>
      <c r="AY999" s="166">
        <v>-1</v>
      </c>
      <c r="AZ999" s="166">
        <v>0</v>
      </c>
      <c r="BA999" s="166">
        <v>0</v>
      </c>
      <c r="BB999" s="166">
        <v>0</v>
      </c>
      <c r="BC999" s="166">
        <v>0</v>
      </c>
      <c r="BD999" s="166">
        <v>0</v>
      </c>
      <c r="BE999" s="166">
        <v>0</v>
      </c>
      <c r="BF999" s="166">
        <v>0</v>
      </c>
      <c r="BG999" s="166">
        <v>0</v>
      </c>
      <c r="BH999" s="166">
        <v>0</v>
      </c>
      <c r="BI999" s="166">
        <v>0</v>
      </c>
      <c r="BJ999" s="166">
        <v>0</v>
      </c>
      <c r="BK999" s="166">
        <v>0</v>
      </c>
      <c r="BL999" s="166">
        <v>0</v>
      </c>
      <c r="BM999" s="166">
        <v>0</v>
      </c>
      <c r="BN999" s="166">
        <v>0</v>
      </c>
      <c r="BO999" s="166">
        <v>0</v>
      </c>
      <c r="BP999" s="166">
        <v>0</v>
      </c>
      <c r="BQ999" s="81" t="s">
        <v>1757</v>
      </c>
      <c r="BR999" s="81" t="s">
        <v>242</v>
      </c>
      <c r="BZ999" s="81" t="s">
        <v>155</v>
      </c>
      <c r="CA999" s="81" t="s">
        <v>1937</v>
      </c>
      <c r="CC999" s="167">
        <v>0</v>
      </c>
      <c r="CD999" s="167">
        <f>$N999/4</f>
        <v>0.5</v>
      </c>
      <c r="CE999" s="167">
        <f>$N999/4</f>
        <v>0.5</v>
      </c>
      <c r="CF999" s="167">
        <f>$N999/4</f>
        <v>0.5</v>
      </c>
      <c r="CG999" s="167">
        <f>$N999/4</f>
        <v>0.5</v>
      </c>
      <c r="CH999" s="167">
        <v>0</v>
      </c>
      <c r="CI999" s="167">
        <v>0</v>
      </c>
      <c r="CJ999" s="167">
        <v>0</v>
      </c>
      <c r="CK999" s="167">
        <v>0</v>
      </c>
      <c r="CL999" s="167">
        <v>0</v>
      </c>
      <c r="CM999" s="167">
        <v>0</v>
      </c>
      <c r="CN999" s="167">
        <v>0</v>
      </c>
      <c r="CO999" s="167">
        <v>0</v>
      </c>
      <c r="CP999" s="167">
        <v>0</v>
      </c>
      <c r="CQ999" s="167">
        <v>0</v>
      </c>
      <c r="CR999" s="167">
        <v>0</v>
      </c>
      <c r="CS999" s="167">
        <v>0</v>
      </c>
      <c r="CT999" s="167">
        <v>0</v>
      </c>
      <c r="CU999" s="167">
        <v>0</v>
      </c>
      <c r="CV999" s="167">
        <v>0</v>
      </c>
      <c r="CW999" s="167">
        <v>0</v>
      </c>
      <c r="CX999" s="167">
        <f>SUM(CD999:CH999)</f>
        <v>2</v>
      </c>
      <c r="CY999" s="167">
        <f>SUM(CD999:CM999)</f>
        <v>2</v>
      </c>
    </row>
    <row r="1000" spans="1:103" ht="12.75" customHeight="1" x14ac:dyDescent="0.2">
      <c r="A1000" s="81">
        <v>6354</v>
      </c>
      <c r="B1000" s="165" t="s">
        <v>1930</v>
      </c>
      <c r="C1000" s="165" t="s">
        <v>1477</v>
      </c>
      <c r="E1000" s="165" t="s">
        <v>2736</v>
      </c>
      <c r="G1000" s="81">
        <v>528320</v>
      </c>
      <c r="H1000" s="81">
        <v>174495</v>
      </c>
      <c r="I1000" s="165" t="s">
        <v>247</v>
      </c>
      <c r="L1000" s="166">
        <v>2</v>
      </c>
      <c r="M1000" s="166">
        <v>1</v>
      </c>
      <c r="N1000" s="166">
        <v>-1</v>
      </c>
      <c r="O1000" s="166">
        <v>1</v>
      </c>
      <c r="P1000" s="166">
        <v>-1</v>
      </c>
      <c r="R1000" s="165" t="s">
        <v>1478</v>
      </c>
      <c r="S1000" s="81" t="s">
        <v>113</v>
      </c>
      <c r="T1000" s="349">
        <v>42682</v>
      </c>
      <c r="U1000" s="349">
        <v>42738</v>
      </c>
      <c r="W1000" s="81" t="s">
        <v>114</v>
      </c>
      <c r="Y1000" s="81" t="s">
        <v>115</v>
      </c>
      <c r="Z1000" s="81" t="s">
        <v>398</v>
      </c>
      <c r="AA1000" s="81" t="s">
        <v>117</v>
      </c>
      <c r="AB1000" s="81" t="s">
        <v>336</v>
      </c>
      <c r="AC1000" s="166">
        <v>1.4000000432133701E-2</v>
      </c>
      <c r="AG1000" s="81" t="s">
        <v>238</v>
      </c>
      <c r="AH1000" s="81" t="s">
        <v>118</v>
      </c>
      <c r="AK1000" s="166">
        <v>0</v>
      </c>
      <c r="AM1000" s="166">
        <v>0</v>
      </c>
      <c r="AO1000" s="166">
        <v>0</v>
      </c>
      <c r="AP1000" s="166">
        <v>-1</v>
      </c>
      <c r="AQ1000" s="166">
        <v>-1</v>
      </c>
      <c r="AR1000" s="166">
        <v>0</v>
      </c>
      <c r="AS1000" s="166">
        <v>1</v>
      </c>
      <c r="AT1000" s="166">
        <v>0</v>
      </c>
      <c r="AU1000" s="166">
        <v>0</v>
      </c>
      <c r="AV1000" s="166">
        <v>0</v>
      </c>
      <c r="AW1000" s="166">
        <v>-1</v>
      </c>
      <c r="AX1000" s="166">
        <v>-1</v>
      </c>
      <c r="AY1000" s="166">
        <v>0</v>
      </c>
      <c r="AZ1000" s="166">
        <v>0</v>
      </c>
      <c r="BA1000" s="166">
        <v>0</v>
      </c>
      <c r="BB1000" s="166">
        <v>0</v>
      </c>
      <c r="BC1000" s="166">
        <v>0</v>
      </c>
      <c r="BD1000" s="166">
        <v>0</v>
      </c>
      <c r="BE1000" s="166">
        <v>0</v>
      </c>
      <c r="BF1000" s="166">
        <v>0</v>
      </c>
      <c r="BG1000" s="166">
        <v>1</v>
      </c>
      <c r="BH1000" s="166">
        <v>0</v>
      </c>
      <c r="BI1000" s="166">
        <v>0</v>
      </c>
      <c r="BJ1000" s="166">
        <v>0</v>
      </c>
      <c r="BK1000" s="166">
        <v>0</v>
      </c>
      <c r="BL1000" s="166">
        <v>0</v>
      </c>
      <c r="BM1000" s="166">
        <v>0</v>
      </c>
      <c r="BN1000" s="166">
        <v>0</v>
      </c>
      <c r="BO1000" s="166">
        <v>0</v>
      </c>
      <c r="BP1000" s="166">
        <v>0</v>
      </c>
      <c r="BQ1000" s="81" t="s">
        <v>1757</v>
      </c>
      <c r="BZ1000" s="81" t="s">
        <v>155</v>
      </c>
      <c r="CA1000" s="81" t="s">
        <v>1937</v>
      </c>
      <c r="CC1000" s="167">
        <v>0</v>
      </c>
      <c r="CD1000" s="167">
        <f>$N1000/4</f>
        <v>-0.25</v>
      </c>
      <c r="CE1000" s="167">
        <f>$N1000/4</f>
        <v>-0.25</v>
      </c>
      <c r="CF1000" s="167">
        <f>$N1000/4</f>
        <v>-0.25</v>
      </c>
      <c r="CG1000" s="167">
        <f>$N1000/4</f>
        <v>-0.25</v>
      </c>
      <c r="CH1000" s="167">
        <v>0</v>
      </c>
      <c r="CI1000" s="167">
        <v>0</v>
      </c>
      <c r="CJ1000" s="167">
        <v>0</v>
      </c>
      <c r="CK1000" s="167">
        <v>0</v>
      </c>
      <c r="CL1000" s="167">
        <v>0</v>
      </c>
      <c r="CM1000" s="167">
        <v>0</v>
      </c>
      <c r="CN1000" s="167">
        <v>0</v>
      </c>
      <c r="CO1000" s="167">
        <v>0</v>
      </c>
      <c r="CP1000" s="167">
        <v>0</v>
      </c>
      <c r="CQ1000" s="167">
        <v>0</v>
      </c>
      <c r="CR1000" s="167">
        <v>0</v>
      </c>
      <c r="CS1000" s="167">
        <v>0</v>
      </c>
      <c r="CT1000" s="167">
        <v>0</v>
      </c>
      <c r="CU1000" s="167">
        <v>0</v>
      </c>
      <c r="CV1000" s="167">
        <v>0</v>
      </c>
      <c r="CW1000" s="167">
        <v>0</v>
      </c>
      <c r="CX1000" s="167">
        <f>SUM(CD1000:CH1000)</f>
        <v>-1</v>
      </c>
      <c r="CY1000" s="167">
        <f>SUM(CD1000:CM1000)</f>
        <v>-1</v>
      </c>
    </row>
    <row r="1001" spans="1:103" ht="12.75" customHeight="1" x14ac:dyDescent="0.2">
      <c r="A1001" s="81">
        <v>6355</v>
      </c>
      <c r="B1001" s="165" t="s">
        <v>1930</v>
      </c>
      <c r="C1001" s="165" t="s">
        <v>1390</v>
      </c>
      <c r="E1001" s="165" t="s">
        <v>2737</v>
      </c>
      <c r="G1001" s="81">
        <v>529010</v>
      </c>
      <c r="H1001" s="81">
        <v>173294</v>
      </c>
      <c r="I1001" s="165" t="s">
        <v>247</v>
      </c>
      <c r="L1001" s="166">
        <v>0</v>
      </c>
      <c r="M1001" s="166">
        <v>2</v>
      </c>
      <c r="N1001" s="166">
        <v>2</v>
      </c>
      <c r="O1001" s="166">
        <v>2</v>
      </c>
      <c r="P1001" s="166">
        <v>2</v>
      </c>
      <c r="R1001" s="165" t="s">
        <v>1391</v>
      </c>
      <c r="S1001" s="81" t="s">
        <v>113</v>
      </c>
      <c r="T1001" s="349">
        <v>42601</v>
      </c>
      <c r="U1001" s="349">
        <v>42706</v>
      </c>
      <c r="W1001" s="81" t="s">
        <v>114</v>
      </c>
      <c r="Y1001" s="81" t="s">
        <v>115</v>
      </c>
      <c r="Z1001" s="81" t="s">
        <v>398</v>
      </c>
      <c r="AA1001" s="81" t="s">
        <v>117</v>
      </c>
      <c r="AB1001" s="81" t="s">
        <v>102</v>
      </c>
      <c r="AC1001" s="166">
        <v>1.09999999403954E-2</v>
      </c>
      <c r="AG1001" s="81" t="s">
        <v>238</v>
      </c>
      <c r="AH1001" s="81" t="s">
        <v>118</v>
      </c>
      <c r="AK1001" s="166">
        <v>0</v>
      </c>
      <c r="AM1001" s="166">
        <v>0</v>
      </c>
      <c r="AO1001" s="166">
        <v>1</v>
      </c>
      <c r="AP1001" s="166">
        <v>1</v>
      </c>
      <c r="AQ1001" s="166">
        <v>0</v>
      </c>
      <c r="AR1001" s="166">
        <v>0</v>
      </c>
      <c r="AS1001" s="166">
        <v>0</v>
      </c>
      <c r="AT1001" s="166">
        <v>0</v>
      </c>
      <c r="AU1001" s="166">
        <v>0</v>
      </c>
      <c r="AV1001" s="166">
        <v>1</v>
      </c>
      <c r="AW1001" s="166">
        <v>1</v>
      </c>
      <c r="AX1001" s="166">
        <v>0</v>
      </c>
      <c r="AY1001" s="166">
        <v>0</v>
      </c>
      <c r="AZ1001" s="166">
        <v>0</v>
      </c>
      <c r="BA1001" s="166">
        <v>0</v>
      </c>
      <c r="BB1001" s="166">
        <v>0</v>
      </c>
      <c r="BC1001" s="166">
        <v>0</v>
      </c>
      <c r="BD1001" s="166">
        <v>0</v>
      </c>
      <c r="BE1001" s="166">
        <v>0</v>
      </c>
      <c r="BF1001" s="166">
        <v>0</v>
      </c>
      <c r="BG1001" s="166">
        <v>0</v>
      </c>
      <c r="BH1001" s="166">
        <v>0</v>
      </c>
      <c r="BI1001" s="166">
        <v>0</v>
      </c>
      <c r="BJ1001" s="166">
        <v>0</v>
      </c>
      <c r="BK1001" s="166">
        <v>0</v>
      </c>
      <c r="BL1001" s="166">
        <v>0</v>
      </c>
      <c r="BM1001" s="166">
        <v>0</v>
      </c>
      <c r="BN1001" s="166">
        <v>0</v>
      </c>
      <c r="BO1001" s="166">
        <v>0</v>
      </c>
      <c r="BP1001" s="166">
        <v>0</v>
      </c>
      <c r="BQ1001" s="81" t="s">
        <v>1757</v>
      </c>
      <c r="BZ1001" s="81" t="s">
        <v>155</v>
      </c>
      <c r="CA1001" s="81" t="s">
        <v>1937</v>
      </c>
      <c r="CC1001" s="167">
        <v>0</v>
      </c>
      <c r="CD1001" s="167">
        <f>$N1001/4</f>
        <v>0.5</v>
      </c>
      <c r="CE1001" s="167">
        <f>$N1001/4</f>
        <v>0.5</v>
      </c>
      <c r="CF1001" s="167">
        <f>$N1001/4</f>
        <v>0.5</v>
      </c>
      <c r="CG1001" s="167">
        <f>$N1001/4</f>
        <v>0.5</v>
      </c>
      <c r="CH1001" s="167">
        <v>0</v>
      </c>
      <c r="CI1001" s="167">
        <v>0</v>
      </c>
      <c r="CJ1001" s="167">
        <v>0</v>
      </c>
      <c r="CK1001" s="167">
        <v>0</v>
      </c>
      <c r="CL1001" s="167">
        <v>0</v>
      </c>
      <c r="CM1001" s="167">
        <v>0</v>
      </c>
      <c r="CN1001" s="167">
        <v>0</v>
      </c>
      <c r="CO1001" s="167">
        <v>0</v>
      </c>
      <c r="CP1001" s="167">
        <v>0</v>
      </c>
      <c r="CQ1001" s="167">
        <v>0</v>
      </c>
      <c r="CR1001" s="167">
        <v>0</v>
      </c>
      <c r="CS1001" s="167">
        <v>0</v>
      </c>
      <c r="CT1001" s="167">
        <v>0</v>
      </c>
      <c r="CU1001" s="167">
        <v>0</v>
      </c>
      <c r="CV1001" s="167">
        <v>0</v>
      </c>
      <c r="CW1001" s="167">
        <v>0</v>
      </c>
      <c r="CX1001" s="167">
        <f>SUM(CD1001:CH1001)</f>
        <v>2</v>
      </c>
      <c r="CY1001" s="167">
        <f>SUM(CD1001:CM1001)</f>
        <v>2</v>
      </c>
    </row>
    <row r="1002" spans="1:103" ht="12.75" customHeight="1" x14ac:dyDescent="0.2">
      <c r="A1002" s="81">
        <v>6357</v>
      </c>
      <c r="B1002" s="165" t="s">
        <v>1930</v>
      </c>
      <c r="C1002" s="165" t="s">
        <v>1388</v>
      </c>
      <c r="E1002" s="165" t="s">
        <v>2738</v>
      </c>
      <c r="G1002" s="81">
        <v>526523</v>
      </c>
      <c r="H1002" s="81">
        <v>174841</v>
      </c>
      <c r="I1002" s="165" t="s">
        <v>251</v>
      </c>
      <c r="L1002" s="166">
        <v>1</v>
      </c>
      <c r="M1002" s="166">
        <v>2</v>
      </c>
      <c r="N1002" s="166">
        <v>1</v>
      </c>
      <c r="O1002" s="166">
        <v>2</v>
      </c>
      <c r="P1002" s="166">
        <v>1</v>
      </c>
      <c r="R1002" s="165" t="s">
        <v>1389</v>
      </c>
      <c r="S1002" s="81" t="s">
        <v>113</v>
      </c>
      <c r="T1002" s="349">
        <v>42607</v>
      </c>
      <c r="U1002" s="349">
        <v>42661</v>
      </c>
      <c r="W1002" s="81" t="s">
        <v>114</v>
      </c>
      <c r="Y1002" s="81" t="s">
        <v>115</v>
      </c>
      <c r="Z1002" s="81" t="s">
        <v>119</v>
      </c>
      <c r="AA1002" s="81" t="s">
        <v>117</v>
      </c>
      <c r="AB1002" s="81" t="s">
        <v>120</v>
      </c>
      <c r="AC1002" s="166">
        <v>6.0000000521540598E-3</v>
      </c>
      <c r="AG1002" s="81" t="s">
        <v>238</v>
      </c>
      <c r="AH1002" s="81" t="s">
        <v>118</v>
      </c>
      <c r="AK1002" s="166">
        <v>0</v>
      </c>
      <c r="AM1002" s="166">
        <v>0</v>
      </c>
      <c r="AO1002" s="166">
        <v>0</v>
      </c>
      <c r="AP1002" s="166">
        <v>1</v>
      </c>
      <c r="AQ1002" s="166">
        <v>0</v>
      </c>
      <c r="AR1002" s="166">
        <v>0</v>
      </c>
      <c r="AS1002" s="166">
        <v>0</v>
      </c>
      <c r="AT1002" s="166">
        <v>0</v>
      </c>
      <c r="AU1002" s="166">
        <v>0</v>
      </c>
      <c r="AV1002" s="166">
        <v>0</v>
      </c>
      <c r="AW1002" s="166">
        <v>1</v>
      </c>
      <c r="AX1002" s="166">
        <v>0</v>
      </c>
      <c r="AY1002" s="166">
        <v>0</v>
      </c>
      <c r="AZ1002" s="166">
        <v>0</v>
      </c>
      <c r="BA1002" s="166">
        <v>1</v>
      </c>
      <c r="BB1002" s="166">
        <v>0</v>
      </c>
      <c r="BC1002" s="166">
        <v>0</v>
      </c>
      <c r="BD1002" s="166">
        <v>0</v>
      </c>
      <c r="BE1002" s="166">
        <v>0</v>
      </c>
      <c r="BF1002" s="166">
        <v>0</v>
      </c>
      <c r="BG1002" s="166">
        <v>0</v>
      </c>
      <c r="BH1002" s="166">
        <v>-1</v>
      </c>
      <c r="BI1002" s="166">
        <v>0</v>
      </c>
      <c r="BJ1002" s="166">
        <v>0</v>
      </c>
      <c r="BK1002" s="166">
        <v>0</v>
      </c>
      <c r="BL1002" s="166">
        <v>0</v>
      </c>
      <c r="BM1002" s="166">
        <v>0</v>
      </c>
      <c r="BN1002" s="166">
        <v>0</v>
      </c>
      <c r="BO1002" s="166">
        <v>0</v>
      </c>
      <c r="BP1002" s="166">
        <v>0</v>
      </c>
      <c r="BQ1002" s="81" t="s">
        <v>1758</v>
      </c>
      <c r="BZ1002" s="81" t="s">
        <v>155</v>
      </c>
      <c r="CA1002" s="81" t="s">
        <v>1937</v>
      </c>
      <c r="CC1002" s="167">
        <v>0</v>
      </c>
      <c r="CD1002" s="167">
        <f>$N1002/4</f>
        <v>0.25</v>
      </c>
      <c r="CE1002" s="167">
        <f>$N1002/4</f>
        <v>0.25</v>
      </c>
      <c r="CF1002" s="167">
        <f>$N1002/4</f>
        <v>0.25</v>
      </c>
      <c r="CG1002" s="167">
        <f>$N1002/4</f>
        <v>0.25</v>
      </c>
      <c r="CH1002" s="167">
        <v>0</v>
      </c>
      <c r="CI1002" s="167">
        <v>0</v>
      </c>
      <c r="CJ1002" s="167">
        <v>0</v>
      </c>
      <c r="CK1002" s="167">
        <v>0</v>
      </c>
      <c r="CL1002" s="167">
        <v>0</v>
      </c>
      <c r="CM1002" s="167">
        <v>0</v>
      </c>
      <c r="CN1002" s="167">
        <v>0</v>
      </c>
      <c r="CO1002" s="167">
        <v>0</v>
      </c>
      <c r="CP1002" s="167">
        <v>0</v>
      </c>
      <c r="CQ1002" s="167">
        <v>0</v>
      </c>
      <c r="CR1002" s="167">
        <v>0</v>
      </c>
      <c r="CS1002" s="167">
        <v>0</v>
      </c>
      <c r="CT1002" s="167">
        <v>0</v>
      </c>
      <c r="CU1002" s="167">
        <v>0</v>
      </c>
      <c r="CV1002" s="167">
        <v>0</v>
      </c>
      <c r="CW1002" s="167">
        <v>0</v>
      </c>
      <c r="CX1002" s="167">
        <f>SUM(CD1002:CH1002)</f>
        <v>1</v>
      </c>
      <c r="CY1002" s="167">
        <f>SUM(CD1002:CM1002)</f>
        <v>1</v>
      </c>
    </row>
    <row r="1003" spans="1:103" ht="12.75" customHeight="1" x14ac:dyDescent="0.2">
      <c r="A1003" s="81">
        <v>6365</v>
      </c>
      <c r="B1003" s="165" t="s">
        <v>1930</v>
      </c>
      <c r="C1003" s="165" t="s">
        <v>2739</v>
      </c>
      <c r="E1003" s="165" t="s">
        <v>2740</v>
      </c>
      <c r="G1003" s="81">
        <v>527536</v>
      </c>
      <c r="H1003" s="81">
        <v>176382</v>
      </c>
      <c r="I1003" s="165" t="s">
        <v>241</v>
      </c>
      <c r="L1003" s="166">
        <v>1</v>
      </c>
      <c r="M1003" s="166">
        <v>5</v>
      </c>
      <c r="N1003" s="166">
        <v>4</v>
      </c>
      <c r="O1003" s="166">
        <v>5</v>
      </c>
      <c r="P1003" s="166">
        <v>4</v>
      </c>
      <c r="R1003" s="165" t="s">
        <v>2741</v>
      </c>
      <c r="S1003" s="81" t="s">
        <v>113</v>
      </c>
      <c r="T1003" s="349">
        <v>42824</v>
      </c>
      <c r="U1003" s="349">
        <v>43003</v>
      </c>
      <c r="V1003" s="81" t="s">
        <v>155</v>
      </c>
      <c r="W1003" s="81" t="s">
        <v>114</v>
      </c>
      <c r="Y1003" s="81" t="s">
        <v>115</v>
      </c>
      <c r="Z1003" s="81" t="s">
        <v>398</v>
      </c>
      <c r="AA1003" s="81" t="s">
        <v>117</v>
      </c>
      <c r="AB1003" s="81" t="s">
        <v>218</v>
      </c>
      <c r="AC1003" s="166">
        <v>1.09999999403954E-2</v>
      </c>
      <c r="AG1003" s="81" t="s">
        <v>238</v>
      </c>
      <c r="AH1003" s="81" t="s">
        <v>118</v>
      </c>
      <c r="AK1003" s="166">
        <v>0</v>
      </c>
      <c r="AM1003" s="166">
        <v>0</v>
      </c>
      <c r="AO1003" s="166">
        <v>1</v>
      </c>
      <c r="AP1003" s="166">
        <v>2</v>
      </c>
      <c r="AQ1003" s="166">
        <v>1</v>
      </c>
      <c r="AR1003" s="166">
        <v>0</v>
      </c>
      <c r="AS1003" s="166">
        <v>0</v>
      </c>
      <c r="AT1003" s="166">
        <v>0</v>
      </c>
      <c r="AU1003" s="166">
        <v>0</v>
      </c>
      <c r="AV1003" s="166">
        <v>1</v>
      </c>
      <c r="AW1003" s="166">
        <v>2</v>
      </c>
      <c r="AX1003" s="166">
        <v>1</v>
      </c>
      <c r="AY1003" s="166">
        <v>0</v>
      </c>
      <c r="AZ1003" s="166">
        <v>0</v>
      </c>
      <c r="BA1003" s="166">
        <v>0</v>
      </c>
      <c r="BB1003" s="166">
        <v>0</v>
      </c>
      <c r="BC1003" s="166">
        <v>0</v>
      </c>
      <c r="BD1003" s="166">
        <v>0</v>
      </c>
      <c r="BE1003" s="166">
        <v>0</v>
      </c>
      <c r="BF1003" s="166">
        <v>0</v>
      </c>
      <c r="BG1003" s="166">
        <v>0</v>
      </c>
      <c r="BH1003" s="166">
        <v>0</v>
      </c>
      <c r="BI1003" s="166">
        <v>0</v>
      </c>
      <c r="BJ1003" s="166">
        <v>0</v>
      </c>
      <c r="BK1003" s="166">
        <v>0</v>
      </c>
      <c r="BL1003" s="166">
        <v>0</v>
      </c>
      <c r="BM1003" s="166">
        <v>0</v>
      </c>
      <c r="BN1003" s="166">
        <v>0</v>
      </c>
      <c r="BO1003" s="166">
        <v>0</v>
      </c>
      <c r="BP1003" s="166">
        <v>0</v>
      </c>
      <c r="BQ1003" s="81" t="s">
        <v>1757</v>
      </c>
      <c r="BZ1003" s="81" t="s">
        <v>155</v>
      </c>
      <c r="CA1003" s="81" t="s">
        <v>1937</v>
      </c>
      <c r="CC1003" s="167">
        <v>0</v>
      </c>
      <c r="CD1003" s="167">
        <f>$N1003/4</f>
        <v>1</v>
      </c>
      <c r="CE1003" s="167">
        <f>$N1003/4</f>
        <v>1</v>
      </c>
      <c r="CF1003" s="167">
        <f>$N1003/4</f>
        <v>1</v>
      </c>
      <c r="CG1003" s="167">
        <f>$N1003/4</f>
        <v>1</v>
      </c>
      <c r="CH1003" s="167">
        <v>0</v>
      </c>
      <c r="CI1003" s="167">
        <v>0</v>
      </c>
      <c r="CJ1003" s="167">
        <v>0</v>
      </c>
      <c r="CK1003" s="167">
        <v>0</v>
      </c>
      <c r="CL1003" s="167">
        <v>0</v>
      </c>
      <c r="CM1003" s="167">
        <v>0</v>
      </c>
      <c r="CN1003" s="167">
        <v>0</v>
      </c>
      <c r="CO1003" s="167">
        <v>0</v>
      </c>
      <c r="CP1003" s="167">
        <v>0</v>
      </c>
      <c r="CQ1003" s="167">
        <v>0</v>
      </c>
      <c r="CR1003" s="167">
        <v>0</v>
      </c>
      <c r="CS1003" s="167">
        <v>0</v>
      </c>
      <c r="CT1003" s="167">
        <v>0</v>
      </c>
      <c r="CU1003" s="167">
        <v>0</v>
      </c>
      <c r="CV1003" s="167">
        <v>0</v>
      </c>
      <c r="CW1003" s="167">
        <v>0</v>
      </c>
      <c r="CX1003" s="167">
        <f>SUM(CD1003:CH1003)</f>
        <v>4</v>
      </c>
      <c r="CY1003" s="167">
        <f>SUM(CD1003:CM1003)</f>
        <v>4</v>
      </c>
    </row>
    <row r="1004" spans="1:103" ht="12.75" customHeight="1" x14ac:dyDescent="0.2">
      <c r="A1004" s="81">
        <v>6372</v>
      </c>
      <c r="B1004" s="165" t="s">
        <v>1930</v>
      </c>
      <c r="C1004" s="165" t="s">
        <v>1536</v>
      </c>
      <c r="E1004" s="165" t="s">
        <v>2742</v>
      </c>
      <c r="G1004" s="81">
        <v>528591</v>
      </c>
      <c r="H1004" s="81">
        <v>173471</v>
      </c>
      <c r="I1004" s="165" t="s">
        <v>247</v>
      </c>
      <c r="L1004" s="166">
        <v>0</v>
      </c>
      <c r="M1004" s="166">
        <v>2</v>
      </c>
      <c r="N1004" s="166">
        <v>2</v>
      </c>
      <c r="O1004" s="166">
        <v>2</v>
      </c>
      <c r="P1004" s="166">
        <v>2</v>
      </c>
      <c r="R1004" s="165" t="s">
        <v>1537</v>
      </c>
      <c r="S1004" s="81" t="s">
        <v>110</v>
      </c>
      <c r="T1004" s="349">
        <v>42762</v>
      </c>
      <c r="U1004" s="349">
        <v>42815</v>
      </c>
      <c r="W1004" s="81" t="s">
        <v>114</v>
      </c>
      <c r="Y1004" s="81" t="s">
        <v>115</v>
      </c>
      <c r="Z1004" s="81" t="s">
        <v>310</v>
      </c>
      <c r="AA1004" s="81" t="s">
        <v>117</v>
      </c>
      <c r="AB1004" s="81" t="s">
        <v>399</v>
      </c>
      <c r="AC1004" s="166">
        <v>8.0000003799796104E-3</v>
      </c>
      <c r="AG1004" s="81" t="s">
        <v>238</v>
      </c>
      <c r="AH1004" s="81" t="s">
        <v>118</v>
      </c>
      <c r="AK1004" s="166">
        <v>0</v>
      </c>
      <c r="AM1004" s="166">
        <v>0</v>
      </c>
      <c r="AO1004" s="166">
        <v>0</v>
      </c>
      <c r="AP1004" s="166">
        <v>2</v>
      </c>
      <c r="AQ1004" s="166">
        <v>0</v>
      </c>
      <c r="AR1004" s="166">
        <v>0</v>
      </c>
      <c r="AS1004" s="166">
        <v>0</v>
      </c>
      <c r="AT1004" s="166">
        <v>0</v>
      </c>
      <c r="AU1004" s="166">
        <v>0</v>
      </c>
      <c r="AV1004" s="166">
        <v>0</v>
      </c>
      <c r="AW1004" s="166">
        <v>2</v>
      </c>
      <c r="AX1004" s="166">
        <v>0</v>
      </c>
      <c r="AY1004" s="166">
        <v>0</v>
      </c>
      <c r="AZ1004" s="166">
        <v>0</v>
      </c>
      <c r="BA1004" s="166">
        <v>0</v>
      </c>
      <c r="BB1004" s="166">
        <v>0</v>
      </c>
      <c r="BC1004" s="166">
        <v>0</v>
      </c>
      <c r="BD1004" s="166">
        <v>0</v>
      </c>
      <c r="BE1004" s="166">
        <v>0</v>
      </c>
      <c r="BF1004" s="166">
        <v>0</v>
      </c>
      <c r="BG1004" s="166">
        <v>0</v>
      </c>
      <c r="BH1004" s="166">
        <v>0</v>
      </c>
      <c r="BI1004" s="166">
        <v>0</v>
      </c>
      <c r="BJ1004" s="166">
        <v>0</v>
      </c>
      <c r="BK1004" s="166">
        <v>0</v>
      </c>
      <c r="BL1004" s="166">
        <v>0</v>
      </c>
      <c r="BM1004" s="166">
        <v>0</v>
      </c>
      <c r="BN1004" s="166">
        <v>0</v>
      </c>
      <c r="BO1004" s="166">
        <v>0</v>
      </c>
      <c r="BP1004" s="166">
        <v>0</v>
      </c>
      <c r="BQ1004" s="81" t="s">
        <v>1757</v>
      </c>
      <c r="BR1004" s="81" t="s">
        <v>247</v>
      </c>
      <c r="BZ1004" s="81" t="s">
        <v>155</v>
      </c>
      <c r="CA1004" s="81" t="s">
        <v>1937</v>
      </c>
      <c r="CC1004" s="167">
        <v>0</v>
      </c>
      <c r="CD1004" s="167">
        <f>$N1004/4</f>
        <v>0.5</v>
      </c>
      <c r="CE1004" s="167">
        <f>$N1004/4</f>
        <v>0.5</v>
      </c>
      <c r="CF1004" s="167">
        <f>$N1004/4</f>
        <v>0.5</v>
      </c>
      <c r="CG1004" s="167">
        <f>$N1004/4</f>
        <v>0.5</v>
      </c>
      <c r="CH1004" s="167">
        <v>0</v>
      </c>
      <c r="CI1004" s="167">
        <v>0</v>
      </c>
      <c r="CJ1004" s="167">
        <v>0</v>
      </c>
      <c r="CK1004" s="167">
        <v>0</v>
      </c>
      <c r="CL1004" s="167">
        <v>0</v>
      </c>
      <c r="CM1004" s="167">
        <v>0</v>
      </c>
      <c r="CN1004" s="167">
        <v>0</v>
      </c>
      <c r="CO1004" s="167">
        <v>0</v>
      </c>
      <c r="CP1004" s="167">
        <v>0</v>
      </c>
      <c r="CQ1004" s="167">
        <v>0</v>
      </c>
      <c r="CR1004" s="167">
        <v>0</v>
      </c>
      <c r="CS1004" s="167">
        <v>0</v>
      </c>
      <c r="CT1004" s="167">
        <v>0</v>
      </c>
      <c r="CU1004" s="167">
        <v>0</v>
      </c>
      <c r="CV1004" s="167">
        <v>0</v>
      </c>
      <c r="CW1004" s="167">
        <v>0</v>
      </c>
      <c r="CX1004" s="167">
        <f>SUM(CD1004:CH1004)</f>
        <v>2</v>
      </c>
      <c r="CY1004" s="167">
        <f>SUM(CD1004:CM1004)</f>
        <v>2</v>
      </c>
    </row>
    <row r="1005" spans="1:103" ht="12.75" customHeight="1" x14ac:dyDescent="0.2">
      <c r="A1005" s="81">
        <v>6373</v>
      </c>
      <c r="B1005" s="165" t="s">
        <v>1930</v>
      </c>
      <c r="C1005" s="165" t="s">
        <v>1501</v>
      </c>
      <c r="E1005" s="165" t="s">
        <v>3961</v>
      </c>
      <c r="F1005" s="165" t="s">
        <v>1502</v>
      </c>
      <c r="G1005" s="81">
        <v>527327</v>
      </c>
      <c r="H1005" s="81">
        <v>175384</v>
      </c>
      <c r="I1005" s="165" t="s">
        <v>255</v>
      </c>
      <c r="L1005" s="166">
        <v>0</v>
      </c>
      <c r="M1005" s="166">
        <v>10</v>
      </c>
      <c r="N1005" s="166">
        <v>10</v>
      </c>
      <c r="O1005" s="166">
        <v>35</v>
      </c>
      <c r="P1005" s="166">
        <v>35</v>
      </c>
      <c r="Q1005" s="81" t="s">
        <v>155</v>
      </c>
      <c r="R1005" s="165" t="s">
        <v>1503</v>
      </c>
      <c r="S1005" s="81" t="s">
        <v>270</v>
      </c>
      <c r="T1005" s="349">
        <v>42716</v>
      </c>
      <c r="U1005" s="349">
        <v>42772</v>
      </c>
      <c r="W1005" s="81" t="s">
        <v>114</v>
      </c>
      <c r="Y1005" s="81" t="s">
        <v>115</v>
      </c>
      <c r="Z1005" s="81" t="s">
        <v>310</v>
      </c>
      <c r="AA1005" s="81" t="s">
        <v>117</v>
      </c>
      <c r="AB1005" s="81" t="s">
        <v>399</v>
      </c>
      <c r="AC1005" s="166">
        <v>4.3000001460313797E-2</v>
      </c>
      <c r="AG1005" s="81" t="s">
        <v>238</v>
      </c>
      <c r="AH1005" s="81" t="s">
        <v>118</v>
      </c>
      <c r="AK1005" s="166">
        <v>0</v>
      </c>
      <c r="AM1005" s="166">
        <v>0</v>
      </c>
      <c r="AO1005" s="166">
        <v>0</v>
      </c>
      <c r="AP1005" s="166">
        <v>9</v>
      </c>
      <c r="AQ1005" s="166">
        <v>1</v>
      </c>
      <c r="AR1005" s="166">
        <v>0</v>
      </c>
      <c r="AS1005" s="166">
        <v>0</v>
      </c>
      <c r="AT1005" s="166">
        <v>0</v>
      </c>
      <c r="AU1005" s="166">
        <v>0</v>
      </c>
      <c r="AV1005" s="166">
        <v>0</v>
      </c>
      <c r="AW1005" s="166">
        <v>9</v>
      </c>
      <c r="AX1005" s="166">
        <v>1</v>
      </c>
      <c r="AY1005" s="166">
        <v>0</v>
      </c>
      <c r="AZ1005" s="166">
        <v>0</v>
      </c>
      <c r="BA1005" s="166">
        <v>0</v>
      </c>
      <c r="BB1005" s="166">
        <v>0</v>
      </c>
      <c r="BC1005" s="166">
        <v>0</v>
      </c>
      <c r="BD1005" s="166">
        <v>0</v>
      </c>
      <c r="BE1005" s="166">
        <v>0</v>
      </c>
      <c r="BF1005" s="166">
        <v>0</v>
      </c>
      <c r="BG1005" s="166">
        <v>0</v>
      </c>
      <c r="BH1005" s="166">
        <v>0</v>
      </c>
      <c r="BI1005" s="166">
        <v>0</v>
      </c>
      <c r="BJ1005" s="166">
        <v>0</v>
      </c>
      <c r="BK1005" s="166">
        <v>0</v>
      </c>
      <c r="BL1005" s="166">
        <v>0</v>
      </c>
      <c r="BM1005" s="166">
        <v>0</v>
      </c>
      <c r="BN1005" s="166">
        <v>0</v>
      </c>
      <c r="BO1005" s="166">
        <v>0</v>
      </c>
      <c r="BP1005" s="166">
        <v>0</v>
      </c>
      <c r="BQ1005" s="81" t="s">
        <v>1757</v>
      </c>
      <c r="BR1005" s="81" t="s">
        <v>160</v>
      </c>
      <c r="BZ1005" s="81" t="s">
        <v>155</v>
      </c>
      <c r="CA1005" s="81" t="s">
        <v>1957</v>
      </c>
      <c r="CC1005" s="167">
        <v>0</v>
      </c>
      <c r="CD1005" s="167">
        <v>0</v>
      </c>
      <c r="CE1005" s="167">
        <f>N1005</f>
        <v>10</v>
      </c>
      <c r="CF1005" s="167">
        <v>0</v>
      </c>
      <c r="CG1005" s="167">
        <v>0</v>
      </c>
      <c r="CH1005" s="167">
        <v>0</v>
      </c>
      <c r="CI1005" s="167">
        <v>0</v>
      </c>
      <c r="CJ1005" s="167">
        <v>0</v>
      </c>
      <c r="CK1005" s="167">
        <v>0</v>
      </c>
      <c r="CL1005" s="167">
        <v>0</v>
      </c>
      <c r="CM1005" s="167">
        <v>0</v>
      </c>
      <c r="CN1005" s="167">
        <v>0</v>
      </c>
      <c r="CO1005" s="167">
        <v>0</v>
      </c>
      <c r="CP1005" s="167">
        <v>0</v>
      </c>
      <c r="CQ1005" s="167">
        <v>0</v>
      </c>
      <c r="CR1005" s="167">
        <v>0</v>
      </c>
      <c r="CS1005" s="167">
        <v>0</v>
      </c>
      <c r="CT1005" s="167">
        <v>0</v>
      </c>
      <c r="CU1005" s="167">
        <v>0</v>
      </c>
      <c r="CV1005" s="167">
        <v>0</v>
      </c>
      <c r="CW1005" s="167">
        <v>0</v>
      </c>
      <c r="CX1005" s="167">
        <f>SUM(CD1005:CH1005)</f>
        <v>10</v>
      </c>
      <c r="CY1005" s="167">
        <f>SUM(CD1005:CM1005)</f>
        <v>10</v>
      </c>
    </row>
    <row r="1006" spans="1:103" ht="12.75" customHeight="1" x14ac:dyDescent="0.2">
      <c r="A1006" s="81">
        <v>6373</v>
      </c>
      <c r="B1006" s="165" t="s">
        <v>1930</v>
      </c>
      <c r="C1006" s="165" t="s">
        <v>1501</v>
      </c>
      <c r="E1006" s="165" t="s">
        <v>3961</v>
      </c>
      <c r="F1006" s="165" t="s">
        <v>1504</v>
      </c>
      <c r="G1006" s="81">
        <v>527327</v>
      </c>
      <c r="H1006" s="81">
        <v>175384</v>
      </c>
      <c r="I1006" s="165" t="s">
        <v>255</v>
      </c>
      <c r="L1006" s="166">
        <v>0</v>
      </c>
      <c r="M1006" s="166">
        <v>10</v>
      </c>
      <c r="N1006" s="166">
        <v>10</v>
      </c>
      <c r="O1006" s="166">
        <v>35</v>
      </c>
      <c r="P1006" s="166">
        <v>35</v>
      </c>
      <c r="Q1006" s="81" t="s">
        <v>155</v>
      </c>
      <c r="R1006" s="165" t="s">
        <v>1503</v>
      </c>
      <c r="S1006" s="81" t="s">
        <v>270</v>
      </c>
      <c r="T1006" s="349">
        <v>42716</v>
      </c>
      <c r="U1006" s="349">
        <v>42772</v>
      </c>
      <c r="W1006" s="81" t="s">
        <v>114</v>
      </c>
      <c r="Y1006" s="81" t="s">
        <v>115</v>
      </c>
      <c r="Z1006" s="81" t="s">
        <v>310</v>
      </c>
      <c r="AA1006" s="81" t="s">
        <v>117</v>
      </c>
      <c r="AB1006" s="81" t="s">
        <v>399</v>
      </c>
      <c r="AC1006" s="166">
        <v>4.3000001460313797E-2</v>
      </c>
      <c r="AG1006" s="81" t="s">
        <v>238</v>
      </c>
      <c r="AH1006" s="81" t="s">
        <v>118</v>
      </c>
      <c r="AK1006" s="166">
        <v>0</v>
      </c>
      <c r="AM1006" s="166">
        <v>0</v>
      </c>
      <c r="AO1006" s="166">
        <v>0</v>
      </c>
      <c r="AP1006" s="166">
        <v>9</v>
      </c>
      <c r="AQ1006" s="166">
        <v>1</v>
      </c>
      <c r="AR1006" s="166">
        <v>0</v>
      </c>
      <c r="AS1006" s="166">
        <v>0</v>
      </c>
      <c r="AT1006" s="166">
        <v>0</v>
      </c>
      <c r="AU1006" s="166">
        <v>0</v>
      </c>
      <c r="AV1006" s="166">
        <v>0</v>
      </c>
      <c r="AW1006" s="166">
        <v>9</v>
      </c>
      <c r="AX1006" s="166">
        <v>1</v>
      </c>
      <c r="AY1006" s="166">
        <v>0</v>
      </c>
      <c r="AZ1006" s="166">
        <v>0</v>
      </c>
      <c r="BA1006" s="166">
        <v>0</v>
      </c>
      <c r="BB1006" s="166">
        <v>0</v>
      </c>
      <c r="BC1006" s="166">
        <v>0</v>
      </c>
      <c r="BD1006" s="166">
        <v>0</v>
      </c>
      <c r="BE1006" s="166">
        <v>0</v>
      </c>
      <c r="BF1006" s="166">
        <v>0</v>
      </c>
      <c r="BG1006" s="166">
        <v>0</v>
      </c>
      <c r="BH1006" s="166">
        <v>0</v>
      </c>
      <c r="BI1006" s="166">
        <v>0</v>
      </c>
      <c r="BJ1006" s="166">
        <v>0</v>
      </c>
      <c r="BK1006" s="166">
        <v>0</v>
      </c>
      <c r="BL1006" s="166">
        <v>0</v>
      </c>
      <c r="BM1006" s="166">
        <v>0</v>
      </c>
      <c r="BN1006" s="166">
        <v>0</v>
      </c>
      <c r="BO1006" s="166">
        <v>0</v>
      </c>
      <c r="BP1006" s="166">
        <v>0</v>
      </c>
      <c r="BQ1006" s="81" t="s">
        <v>1757</v>
      </c>
      <c r="BR1006" s="81" t="s">
        <v>160</v>
      </c>
      <c r="BZ1006" s="81" t="s">
        <v>155</v>
      </c>
      <c r="CA1006" s="81" t="s">
        <v>1957</v>
      </c>
      <c r="CC1006" s="167">
        <v>0</v>
      </c>
      <c r="CD1006" s="167">
        <v>0</v>
      </c>
      <c r="CE1006" s="167">
        <f>N1006</f>
        <v>10</v>
      </c>
      <c r="CF1006" s="167">
        <v>0</v>
      </c>
      <c r="CG1006" s="167">
        <v>0</v>
      </c>
      <c r="CH1006" s="167">
        <v>0</v>
      </c>
      <c r="CI1006" s="167">
        <v>0</v>
      </c>
      <c r="CJ1006" s="167">
        <v>0</v>
      </c>
      <c r="CK1006" s="167">
        <v>0</v>
      </c>
      <c r="CL1006" s="167">
        <v>0</v>
      </c>
      <c r="CM1006" s="167">
        <v>0</v>
      </c>
      <c r="CN1006" s="167">
        <v>0</v>
      </c>
      <c r="CO1006" s="167">
        <v>0</v>
      </c>
      <c r="CP1006" s="167">
        <v>0</v>
      </c>
      <c r="CQ1006" s="167">
        <v>0</v>
      </c>
      <c r="CR1006" s="167">
        <v>0</v>
      </c>
      <c r="CS1006" s="167">
        <v>0</v>
      </c>
      <c r="CT1006" s="167">
        <v>0</v>
      </c>
      <c r="CU1006" s="167">
        <v>0</v>
      </c>
      <c r="CV1006" s="167">
        <v>0</v>
      </c>
      <c r="CW1006" s="167">
        <v>0</v>
      </c>
      <c r="CX1006" s="167">
        <f>SUM(CD1006:CH1006)</f>
        <v>10</v>
      </c>
      <c r="CY1006" s="167">
        <f>SUM(CD1006:CM1006)</f>
        <v>10</v>
      </c>
    </row>
    <row r="1007" spans="1:103" ht="12.75" customHeight="1" x14ac:dyDescent="0.2">
      <c r="A1007" s="81">
        <v>6373</v>
      </c>
      <c r="B1007" s="165" t="s">
        <v>1930</v>
      </c>
      <c r="C1007" s="165" t="s">
        <v>1501</v>
      </c>
      <c r="E1007" s="165" t="s">
        <v>3961</v>
      </c>
      <c r="F1007" s="165" t="s">
        <v>1505</v>
      </c>
      <c r="G1007" s="81">
        <v>527327</v>
      </c>
      <c r="H1007" s="81">
        <v>175384</v>
      </c>
      <c r="I1007" s="165" t="s">
        <v>255</v>
      </c>
      <c r="L1007" s="166">
        <v>0</v>
      </c>
      <c r="M1007" s="166">
        <v>10</v>
      </c>
      <c r="N1007" s="166">
        <v>10</v>
      </c>
      <c r="O1007" s="166">
        <v>35</v>
      </c>
      <c r="P1007" s="166">
        <v>35</v>
      </c>
      <c r="Q1007" s="81" t="s">
        <v>155</v>
      </c>
      <c r="R1007" s="165" t="s">
        <v>1503</v>
      </c>
      <c r="S1007" s="81" t="s">
        <v>270</v>
      </c>
      <c r="T1007" s="349">
        <v>42716</v>
      </c>
      <c r="U1007" s="349">
        <v>42772</v>
      </c>
      <c r="W1007" s="81" t="s">
        <v>114</v>
      </c>
      <c r="Y1007" s="81" t="s">
        <v>115</v>
      </c>
      <c r="Z1007" s="81" t="s">
        <v>310</v>
      </c>
      <c r="AA1007" s="81" t="s">
        <v>117</v>
      </c>
      <c r="AB1007" s="81" t="s">
        <v>399</v>
      </c>
      <c r="AC1007" s="166">
        <v>3.9000000804662698E-2</v>
      </c>
      <c r="AG1007" s="81" t="s">
        <v>238</v>
      </c>
      <c r="AH1007" s="81" t="s">
        <v>118</v>
      </c>
      <c r="AK1007" s="166">
        <v>0</v>
      </c>
      <c r="AM1007" s="166">
        <v>0</v>
      </c>
      <c r="AO1007" s="166">
        <v>0</v>
      </c>
      <c r="AP1007" s="166">
        <v>9</v>
      </c>
      <c r="AQ1007" s="166">
        <v>1</v>
      </c>
      <c r="AR1007" s="166">
        <v>0</v>
      </c>
      <c r="AS1007" s="166">
        <v>0</v>
      </c>
      <c r="AT1007" s="166">
        <v>0</v>
      </c>
      <c r="AU1007" s="166">
        <v>0</v>
      </c>
      <c r="AV1007" s="166">
        <v>0</v>
      </c>
      <c r="AW1007" s="166">
        <v>9</v>
      </c>
      <c r="AX1007" s="166">
        <v>1</v>
      </c>
      <c r="AY1007" s="166">
        <v>0</v>
      </c>
      <c r="AZ1007" s="166">
        <v>0</v>
      </c>
      <c r="BA1007" s="166">
        <v>0</v>
      </c>
      <c r="BB1007" s="166">
        <v>0</v>
      </c>
      <c r="BC1007" s="166">
        <v>0</v>
      </c>
      <c r="BD1007" s="166">
        <v>0</v>
      </c>
      <c r="BE1007" s="166">
        <v>0</v>
      </c>
      <c r="BF1007" s="166">
        <v>0</v>
      </c>
      <c r="BG1007" s="166">
        <v>0</v>
      </c>
      <c r="BH1007" s="166">
        <v>0</v>
      </c>
      <c r="BI1007" s="166">
        <v>0</v>
      </c>
      <c r="BJ1007" s="166">
        <v>0</v>
      </c>
      <c r="BK1007" s="166">
        <v>0</v>
      </c>
      <c r="BL1007" s="166">
        <v>0</v>
      </c>
      <c r="BM1007" s="166">
        <v>0</v>
      </c>
      <c r="BN1007" s="166">
        <v>0</v>
      </c>
      <c r="BO1007" s="166">
        <v>0</v>
      </c>
      <c r="BP1007" s="166">
        <v>0</v>
      </c>
      <c r="BQ1007" s="81" t="s">
        <v>1757</v>
      </c>
      <c r="BR1007" s="81" t="s">
        <v>160</v>
      </c>
      <c r="BZ1007" s="81" t="s">
        <v>155</v>
      </c>
      <c r="CA1007" s="81" t="s">
        <v>1957</v>
      </c>
      <c r="CC1007" s="167">
        <v>0</v>
      </c>
      <c r="CD1007" s="167">
        <v>0</v>
      </c>
      <c r="CE1007" s="167">
        <f>N1007</f>
        <v>10</v>
      </c>
      <c r="CF1007" s="167">
        <v>0</v>
      </c>
      <c r="CG1007" s="167">
        <v>0</v>
      </c>
      <c r="CH1007" s="167">
        <v>0</v>
      </c>
      <c r="CI1007" s="167">
        <v>0</v>
      </c>
      <c r="CJ1007" s="167">
        <v>0</v>
      </c>
      <c r="CK1007" s="167">
        <v>0</v>
      </c>
      <c r="CL1007" s="167">
        <v>0</v>
      </c>
      <c r="CM1007" s="167">
        <v>0</v>
      </c>
      <c r="CN1007" s="167">
        <v>0</v>
      </c>
      <c r="CO1007" s="167">
        <v>0</v>
      </c>
      <c r="CP1007" s="167">
        <v>0</v>
      </c>
      <c r="CQ1007" s="167">
        <v>0</v>
      </c>
      <c r="CR1007" s="167">
        <v>0</v>
      </c>
      <c r="CS1007" s="167">
        <v>0</v>
      </c>
      <c r="CT1007" s="167">
        <v>0</v>
      </c>
      <c r="CU1007" s="167">
        <v>0</v>
      </c>
      <c r="CV1007" s="167">
        <v>0</v>
      </c>
      <c r="CW1007" s="167">
        <v>0</v>
      </c>
      <c r="CX1007" s="167">
        <f>SUM(CD1007:CH1007)</f>
        <v>10</v>
      </c>
      <c r="CY1007" s="167">
        <f>SUM(CD1007:CM1007)</f>
        <v>10</v>
      </c>
    </row>
    <row r="1008" spans="1:103" ht="12.75" customHeight="1" x14ac:dyDescent="0.2">
      <c r="A1008" s="81">
        <v>6373</v>
      </c>
      <c r="B1008" s="165" t="s">
        <v>1930</v>
      </c>
      <c r="C1008" s="165" t="s">
        <v>1501</v>
      </c>
      <c r="E1008" s="165" t="s">
        <v>3961</v>
      </c>
      <c r="F1008" s="165" t="s">
        <v>1506</v>
      </c>
      <c r="G1008" s="81">
        <v>527327</v>
      </c>
      <c r="H1008" s="81">
        <v>175384</v>
      </c>
      <c r="I1008" s="165" t="s">
        <v>255</v>
      </c>
      <c r="L1008" s="166">
        <v>0</v>
      </c>
      <c r="M1008" s="166">
        <v>5</v>
      </c>
      <c r="N1008" s="166">
        <v>5</v>
      </c>
      <c r="O1008" s="166">
        <v>35</v>
      </c>
      <c r="P1008" s="166">
        <v>35</v>
      </c>
      <c r="Q1008" s="81" t="s">
        <v>155</v>
      </c>
      <c r="R1008" s="165" t="s">
        <v>1503</v>
      </c>
      <c r="S1008" s="81" t="s">
        <v>270</v>
      </c>
      <c r="T1008" s="349">
        <v>42716</v>
      </c>
      <c r="U1008" s="349">
        <v>42772</v>
      </c>
      <c r="W1008" s="81" t="s">
        <v>114</v>
      </c>
      <c r="Y1008" s="81" t="s">
        <v>115</v>
      </c>
      <c r="Z1008" s="81" t="s">
        <v>310</v>
      </c>
      <c r="AA1008" s="81" t="s">
        <v>117</v>
      </c>
      <c r="AB1008" s="81" t="s">
        <v>399</v>
      </c>
      <c r="AC1008" s="166">
        <v>1.9999999552965199E-2</v>
      </c>
      <c r="AG1008" s="81" t="s">
        <v>238</v>
      </c>
      <c r="AH1008" s="81" t="s">
        <v>118</v>
      </c>
      <c r="AK1008" s="166">
        <v>0</v>
      </c>
      <c r="AM1008" s="166">
        <v>0</v>
      </c>
      <c r="AO1008" s="166">
        <v>0</v>
      </c>
      <c r="AP1008" s="166">
        <v>5</v>
      </c>
      <c r="AQ1008" s="166">
        <v>0</v>
      </c>
      <c r="AR1008" s="166">
        <v>0</v>
      </c>
      <c r="AS1008" s="166">
        <v>0</v>
      </c>
      <c r="AT1008" s="166">
        <v>0</v>
      </c>
      <c r="AU1008" s="166">
        <v>0</v>
      </c>
      <c r="AV1008" s="166">
        <v>0</v>
      </c>
      <c r="AW1008" s="166">
        <v>5</v>
      </c>
      <c r="AX1008" s="166">
        <v>0</v>
      </c>
      <c r="AY1008" s="166">
        <v>0</v>
      </c>
      <c r="AZ1008" s="166">
        <v>0</v>
      </c>
      <c r="BA1008" s="166">
        <v>0</v>
      </c>
      <c r="BB1008" s="166">
        <v>0</v>
      </c>
      <c r="BC1008" s="166">
        <v>0</v>
      </c>
      <c r="BD1008" s="166">
        <v>0</v>
      </c>
      <c r="BE1008" s="166">
        <v>0</v>
      </c>
      <c r="BF1008" s="166">
        <v>0</v>
      </c>
      <c r="BG1008" s="166">
        <v>0</v>
      </c>
      <c r="BH1008" s="166">
        <v>0</v>
      </c>
      <c r="BI1008" s="166">
        <v>0</v>
      </c>
      <c r="BJ1008" s="166">
        <v>0</v>
      </c>
      <c r="BK1008" s="166">
        <v>0</v>
      </c>
      <c r="BL1008" s="166">
        <v>0</v>
      </c>
      <c r="BM1008" s="166">
        <v>0</v>
      </c>
      <c r="BN1008" s="166">
        <v>0</v>
      </c>
      <c r="BO1008" s="166">
        <v>0</v>
      </c>
      <c r="BP1008" s="166">
        <v>0</v>
      </c>
      <c r="BQ1008" s="81" t="s">
        <v>1757</v>
      </c>
      <c r="BR1008" s="81" t="s">
        <v>160</v>
      </c>
      <c r="BZ1008" s="81" t="s">
        <v>155</v>
      </c>
      <c r="CA1008" s="81" t="s">
        <v>1957</v>
      </c>
      <c r="CC1008" s="167">
        <v>0</v>
      </c>
      <c r="CD1008" s="167">
        <v>0</v>
      </c>
      <c r="CE1008" s="167">
        <f>N1008</f>
        <v>5</v>
      </c>
      <c r="CF1008" s="167">
        <v>0</v>
      </c>
      <c r="CG1008" s="167">
        <v>0</v>
      </c>
      <c r="CH1008" s="167">
        <v>0</v>
      </c>
      <c r="CI1008" s="167">
        <v>0</v>
      </c>
      <c r="CJ1008" s="167">
        <v>0</v>
      </c>
      <c r="CK1008" s="167">
        <v>0</v>
      </c>
      <c r="CL1008" s="167">
        <v>0</v>
      </c>
      <c r="CM1008" s="167">
        <v>0</v>
      </c>
      <c r="CN1008" s="167">
        <v>0</v>
      </c>
      <c r="CO1008" s="167">
        <v>0</v>
      </c>
      <c r="CP1008" s="167">
        <v>0</v>
      </c>
      <c r="CQ1008" s="167">
        <v>0</v>
      </c>
      <c r="CR1008" s="167">
        <v>0</v>
      </c>
      <c r="CS1008" s="167">
        <v>0</v>
      </c>
      <c r="CT1008" s="167">
        <v>0</v>
      </c>
      <c r="CU1008" s="167">
        <v>0</v>
      </c>
      <c r="CV1008" s="167">
        <v>0</v>
      </c>
      <c r="CW1008" s="167">
        <v>0</v>
      </c>
      <c r="CX1008" s="167">
        <f>SUM(CD1008:CH1008)</f>
        <v>5</v>
      </c>
      <c r="CY1008" s="167">
        <f>SUM(CD1008:CM1008)</f>
        <v>5</v>
      </c>
    </row>
    <row r="1009" spans="1:103" ht="12.75" customHeight="1" x14ac:dyDescent="0.2">
      <c r="A1009" s="81">
        <v>6376</v>
      </c>
      <c r="B1009" s="165" t="s">
        <v>1930</v>
      </c>
      <c r="C1009" s="165" t="s">
        <v>1507</v>
      </c>
      <c r="E1009" s="165" t="s">
        <v>2743</v>
      </c>
      <c r="G1009" s="81">
        <v>527524</v>
      </c>
      <c r="H1009" s="81">
        <v>173106</v>
      </c>
      <c r="I1009" s="165" t="s">
        <v>254</v>
      </c>
      <c r="L1009" s="166">
        <v>1</v>
      </c>
      <c r="M1009" s="166">
        <v>2</v>
      </c>
      <c r="N1009" s="166">
        <v>1</v>
      </c>
      <c r="O1009" s="166">
        <v>2</v>
      </c>
      <c r="P1009" s="166">
        <v>1</v>
      </c>
      <c r="R1009" s="165" t="s">
        <v>1508</v>
      </c>
      <c r="S1009" s="81" t="s">
        <v>113</v>
      </c>
      <c r="T1009" s="349">
        <v>42716</v>
      </c>
      <c r="U1009" s="349">
        <v>42793</v>
      </c>
      <c r="W1009" s="81" t="s">
        <v>114</v>
      </c>
      <c r="Y1009" s="81" t="s">
        <v>115</v>
      </c>
      <c r="Z1009" s="81" t="s">
        <v>119</v>
      </c>
      <c r="AA1009" s="81" t="s">
        <v>117</v>
      </c>
      <c r="AB1009" s="81" t="s">
        <v>220</v>
      </c>
      <c r="AC1009" s="166">
        <v>8.0000003799796104E-3</v>
      </c>
      <c r="AG1009" s="81" t="s">
        <v>238</v>
      </c>
      <c r="AH1009" s="81" t="s">
        <v>118</v>
      </c>
      <c r="AK1009" s="166">
        <v>0</v>
      </c>
      <c r="AM1009" s="166">
        <v>0</v>
      </c>
      <c r="AO1009" s="166">
        <v>0</v>
      </c>
      <c r="AP1009" s="166">
        <v>1</v>
      </c>
      <c r="AQ1009" s="166">
        <v>0</v>
      </c>
      <c r="AR1009" s="166">
        <v>0</v>
      </c>
      <c r="AS1009" s="166">
        <v>0</v>
      </c>
      <c r="AT1009" s="166">
        <v>0</v>
      </c>
      <c r="AU1009" s="166">
        <v>0</v>
      </c>
      <c r="AV1009" s="166">
        <v>0</v>
      </c>
      <c r="AW1009" s="166">
        <v>1</v>
      </c>
      <c r="AX1009" s="166">
        <v>0</v>
      </c>
      <c r="AY1009" s="166">
        <v>0</v>
      </c>
      <c r="AZ1009" s="166">
        <v>0</v>
      </c>
      <c r="BA1009" s="166">
        <v>0</v>
      </c>
      <c r="BB1009" s="166">
        <v>0</v>
      </c>
      <c r="BC1009" s="166">
        <v>0</v>
      </c>
      <c r="BD1009" s="166">
        <v>0</v>
      </c>
      <c r="BE1009" s="166">
        <v>0</v>
      </c>
      <c r="BF1009" s="166">
        <v>0</v>
      </c>
      <c r="BG1009" s="166">
        <v>0</v>
      </c>
      <c r="BH1009" s="166">
        <v>0</v>
      </c>
      <c r="BI1009" s="166">
        <v>0</v>
      </c>
      <c r="BJ1009" s="166">
        <v>0</v>
      </c>
      <c r="BK1009" s="166">
        <v>0</v>
      </c>
      <c r="BL1009" s="166">
        <v>0</v>
      </c>
      <c r="BM1009" s="166">
        <v>0</v>
      </c>
      <c r="BN1009" s="166">
        <v>0</v>
      </c>
      <c r="BO1009" s="166">
        <v>0</v>
      </c>
      <c r="BP1009" s="166">
        <v>0</v>
      </c>
      <c r="BQ1009" s="81" t="s">
        <v>1757</v>
      </c>
      <c r="BZ1009" s="81" t="s">
        <v>155</v>
      </c>
      <c r="CA1009" s="81" t="s">
        <v>1937</v>
      </c>
      <c r="CC1009" s="167">
        <v>0</v>
      </c>
      <c r="CD1009" s="167">
        <f>$N1009/4</f>
        <v>0.25</v>
      </c>
      <c r="CE1009" s="167">
        <f>$N1009/4</f>
        <v>0.25</v>
      </c>
      <c r="CF1009" s="167">
        <f>$N1009/4</f>
        <v>0.25</v>
      </c>
      <c r="CG1009" s="167">
        <f>$N1009/4</f>
        <v>0.25</v>
      </c>
      <c r="CH1009" s="167">
        <v>0</v>
      </c>
      <c r="CI1009" s="167">
        <v>0</v>
      </c>
      <c r="CJ1009" s="167">
        <v>0</v>
      </c>
      <c r="CK1009" s="167">
        <v>0</v>
      </c>
      <c r="CL1009" s="167">
        <v>0</v>
      </c>
      <c r="CM1009" s="167">
        <v>0</v>
      </c>
      <c r="CN1009" s="167">
        <v>0</v>
      </c>
      <c r="CO1009" s="167">
        <v>0</v>
      </c>
      <c r="CP1009" s="167">
        <v>0</v>
      </c>
      <c r="CQ1009" s="167">
        <v>0</v>
      </c>
      <c r="CR1009" s="167">
        <v>0</v>
      </c>
      <c r="CS1009" s="167">
        <v>0</v>
      </c>
      <c r="CT1009" s="167">
        <v>0</v>
      </c>
      <c r="CU1009" s="167">
        <v>0</v>
      </c>
      <c r="CV1009" s="167">
        <v>0</v>
      </c>
      <c r="CW1009" s="167">
        <v>0</v>
      </c>
      <c r="CX1009" s="167">
        <f>SUM(CD1009:CH1009)</f>
        <v>1</v>
      </c>
      <c r="CY1009" s="167">
        <f>SUM(CD1009:CM1009)</f>
        <v>1</v>
      </c>
    </row>
    <row r="1010" spans="1:103" ht="12.75" customHeight="1" x14ac:dyDescent="0.2">
      <c r="A1010" s="81">
        <v>6379</v>
      </c>
      <c r="B1010" s="165" t="s">
        <v>1930</v>
      </c>
      <c r="C1010" s="165" t="s">
        <v>1416</v>
      </c>
      <c r="E1010" s="165" t="s">
        <v>2744</v>
      </c>
      <c r="G1010" s="81">
        <v>528016</v>
      </c>
      <c r="H1010" s="81">
        <v>174865</v>
      </c>
      <c r="I1010" s="165" t="s">
        <v>255</v>
      </c>
      <c r="L1010" s="166">
        <v>2</v>
      </c>
      <c r="M1010" s="166">
        <v>1</v>
      </c>
      <c r="N1010" s="166">
        <v>-1</v>
      </c>
      <c r="O1010" s="166">
        <v>1</v>
      </c>
      <c r="P1010" s="166">
        <v>-1</v>
      </c>
      <c r="R1010" s="165" t="s">
        <v>1417</v>
      </c>
      <c r="S1010" s="81" t="s">
        <v>113</v>
      </c>
      <c r="T1010" s="349">
        <v>42633</v>
      </c>
      <c r="U1010" s="349">
        <v>42688</v>
      </c>
      <c r="W1010" s="81" t="s">
        <v>114</v>
      </c>
      <c r="Y1010" s="81" t="s">
        <v>115</v>
      </c>
      <c r="Z1010" s="81" t="s">
        <v>119</v>
      </c>
      <c r="AA1010" s="81" t="s">
        <v>117</v>
      </c>
      <c r="AB1010" s="81" t="s">
        <v>336</v>
      </c>
      <c r="AC1010" s="166">
        <v>1.09999999403954E-2</v>
      </c>
      <c r="AG1010" s="81" t="s">
        <v>238</v>
      </c>
      <c r="AH1010" s="81" t="s">
        <v>118</v>
      </c>
      <c r="AK1010" s="166">
        <v>0</v>
      </c>
      <c r="AM1010" s="166">
        <v>0</v>
      </c>
      <c r="AO1010" s="166">
        <v>0</v>
      </c>
      <c r="AP1010" s="166">
        <v>-1</v>
      </c>
      <c r="AQ1010" s="166">
        <v>-1</v>
      </c>
      <c r="AR1010" s="166">
        <v>0</v>
      </c>
      <c r="AS1010" s="166">
        <v>1</v>
      </c>
      <c r="AT1010" s="166">
        <v>0</v>
      </c>
      <c r="AU1010" s="166">
        <v>0</v>
      </c>
      <c r="AV1010" s="166">
        <v>0</v>
      </c>
      <c r="AW1010" s="166">
        <v>-1</v>
      </c>
      <c r="AX1010" s="166">
        <v>-1</v>
      </c>
      <c r="AY1010" s="166">
        <v>0</v>
      </c>
      <c r="AZ1010" s="166">
        <v>0</v>
      </c>
      <c r="BA1010" s="166">
        <v>0</v>
      </c>
      <c r="BB1010" s="166">
        <v>0</v>
      </c>
      <c r="BC1010" s="166">
        <v>0</v>
      </c>
      <c r="BD1010" s="166">
        <v>0</v>
      </c>
      <c r="BE1010" s="166">
        <v>0</v>
      </c>
      <c r="BF1010" s="166">
        <v>0</v>
      </c>
      <c r="BG1010" s="166">
        <v>1</v>
      </c>
      <c r="BH1010" s="166">
        <v>0</v>
      </c>
      <c r="BI1010" s="166">
        <v>0</v>
      </c>
      <c r="BJ1010" s="166">
        <v>0</v>
      </c>
      <c r="BK1010" s="166">
        <v>0</v>
      </c>
      <c r="BL1010" s="166">
        <v>0</v>
      </c>
      <c r="BM1010" s="166">
        <v>0</v>
      </c>
      <c r="BN1010" s="166">
        <v>0</v>
      </c>
      <c r="BO1010" s="166">
        <v>0</v>
      </c>
      <c r="BP1010" s="166">
        <v>0</v>
      </c>
      <c r="BQ1010" s="81" t="s">
        <v>1757</v>
      </c>
      <c r="BZ1010" s="81" t="s">
        <v>155</v>
      </c>
      <c r="CA1010" s="81" t="s">
        <v>1937</v>
      </c>
      <c r="CC1010" s="167">
        <v>0</v>
      </c>
      <c r="CD1010" s="167">
        <f>$N1010/4</f>
        <v>-0.25</v>
      </c>
      <c r="CE1010" s="167">
        <f>$N1010/4</f>
        <v>-0.25</v>
      </c>
      <c r="CF1010" s="167">
        <f>$N1010/4</f>
        <v>-0.25</v>
      </c>
      <c r="CG1010" s="167">
        <f>$N1010/4</f>
        <v>-0.25</v>
      </c>
      <c r="CH1010" s="167">
        <v>0</v>
      </c>
      <c r="CI1010" s="167">
        <v>0</v>
      </c>
      <c r="CJ1010" s="167">
        <v>0</v>
      </c>
      <c r="CK1010" s="167">
        <v>0</v>
      </c>
      <c r="CL1010" s="167">
        <v>0</v>
      </c>
      <c r="CM1010" s="167">
        <v>0</v>
      </c>
      <c r="CN1010" s="167">
        <v>0</v>
      </c>
      <c r="CO1010" s="167">
        <v>0</v>
      </c>
      <c r="CP1010" s="167">
        <v>0</v>
      </c>
      <c r="CQ1010" s="167">
        <v>0</v>
      </c>
      <c r="CR1010" s="167">
        <v>0</v>
      </c>
      <c r="CS1010" s="167">
        <v>0</v>
      </c>
      <c r="CT1010" s="167">
        <v>0</v>
      </c>
      <c r="CU1010" s="167">
        <v>0</v>
      </c>
      <c r="CV1010" s="167">
        <v>0</v>
      </c>
      <c r="CW1010" s="167">
        <v>0</v>
      </c>
      <c r="CX1010" s="167">
        <f>SUM(CD1010:CH1010)</f>
        <v>-1</v>
      </c>
      <c r="CY1010" s="167">
        <f>SUM(CD1010:CM1010)</f>
        <v>-1</v>
      </c>
    </row>
    <row r="1011" spans="1:103" ht="12.75" customHeight="1" x14ac:dyDescent="0.2">
      <c r="A1011" s="81">
        <v>6381</v>
      </c>
      <c r="B1011" s="165" t="s">
        <v>1930</v>
      </c>
      <c r="C1011" s="165" t="s">
        <v>1441</v>
      </c>
      <c r="E1011" s="165" t="s">
        <v>2745</v>
      </c>
      <c r="G1011" s="81">
        <v>528420</v>
      </c>
      <c r="H1011" s="81">
        <v>173036</v>
      </c>
      <c r="I1011" s="165" t="s">
        <v>248</v>
      </c>
      <c r="L1011" s="166">
        <v>0</v>
      </c>
      <c r="M1011" s="166">
        <v>1</v>
      </c>
      <c r="N1011" s="166">
        <v>1</v>
      </c>
      <c r="O1011" s="166">
        <v>1</v>
      </c>
      <c r="P1011" s="166">
        <v>1</v>
      </c>
      <c r="R1011" s="165" t="s">
        <v>1442</v>
      </c>
      <c r="S1011" s="81" t="s">
        <v>113</v>
      </c>
      <c r="T1011" s="349">
        <v>42648</v>
      </c>
      <c r="U1011" s="349">
        <v>42704</v>
      </c>
      <c r="W1011" s="81" t="s">
        <v>114</v>
      </c>
      <c r="Y1011" s="81" t="s">
        <v>115</v>
      </c>
      <c r="Z1011" s="81" t="s">
        <v>310</v>
      </c>
      <c r="AA1011" s="81" t="s">
        <v>117</v>
      </c>
      <c r="AB1011" s="81" t="s">
        <v>311</v>
      </c>
      <c r="AC1011" s="166">
        <v>6.0000000521540598E-3</v>
      </c>
      <c r="AG1011" s="81" t="s">
        <v>238</v>
      </c>
      <c r="AH1011" s="81" t="s">
        <v>118</v>
      </c>
      <c r="AK1011" s="166">
        <v>0</v>
      </c>
      <c r="AM1011" s="166">
        <v>0</v>
      </c>
      <c r="AO1011" s="166">
        <v>0</v>
      </c>
      <c r="AP1011" s="166">
        <v>0</v>
      </c>
      <c r="AQ1011" s="166">
        <v>0</v>
      </c>
      <c r="AR1011" s="166">
        <v>1</v>
      </c>
      <c r="AS1011" s="166">
        <v>0</v>
      </c>
      <c r="AT1011" s="166">
        <v>0</v>
      </c>
      <c r="AU1011" s="166">
        <v>0</v>
      </c>
      <c r="AV1011" s="166">
        <v>0</v>
      </c>
      <c r="AW1011" s="166">
        <v>0</v>
      </c>
      <c r="AX1011" s="166">
        <v>0</v>
      </c>
      <c r="AY1011" s="166">
        <v>0</v>
      </c>
      <c r="AZ1011" s="166">
        <v>0</v>
      </c>
      <c r="BA1011" s="166">
        <v>0</v>
      </c>
      <c r="BB1011" s="166">
        <v>0</v>
      </c>
      <c r="BC1011" s="166">
        <v>0</v>
      </c>
      <c r="BD1011" s="166">
        <v>0</v>
      </c>
      <c r="BE1011" s="166">
        <v>0</v>
      </c>
      <c r="BF1011" s="166">
        <v>1</v>
      </c>
      <c r="BG1011" s="166">
        <v>0</v>
      </c>
      <c r="BH1011" s="166">
        <v>0</v>
      </c>
      <c r="BI1011" s="166">
        <v>0</v>
      </c>
      <c r="BJ1011" s="166">
        <v>0</v>
      </c>
      <c r="BK1011" s="166">
        <v>0</v>
      </c>
      <c r="BL1011" s="166">
        <v>0</v>
      </c>
      <c r="BM1011" s="166">
        <v>0</v>
      </c>
      <c r="BN1011" s="166">
        <v>0</v>
      </c>
      <c r="BO1011" s="166">
        <v>0</v>
      </c>
      <c r="BP1011" s="166">
        <v>0</v>
      </c>
      <c r="BQ1011" s="81" t="s">
        <v>1757</v>
      </c>
      <c r="BZ1011" s="81" t="s">
        <v>155</v>
      </c>
      <c r="CA1011" s="81" t="s">
        <v>1937</v>
      </c>
      <c r="CC1011" s="167">
        <v>0</v>
      </c>
      <c r="CD1011" s="167">
        <f>$N1011/4</f>
        <v>0.25</v>
      </c>
      <c r="CE1011" s="167">
        <f>$N1011/4</f>
        <v>0.25</v>
      </c>
      <c r="CF1011" s="167">
        <f>$N1011/4</f>
        <v>0.25</v>
      </c>
      <c r="CG1011" s="167">
        <f>$N1011/4</f>
        <v>0.25</v>
      </c>
      <c r="CH1011" s="167">
        <v>0</v>
      </c>
      <c r="CI1011" s="167">
        <v>0</v>
      </c>
      <c r="CJ1011" s="167">
        <v>0</v>
      </c>
      <c r="CK1011" s="167">
        <v>0</v>
      </c>
      <c r="CL1011" s="167">
        <v>0</v>
      </c>
      <c r="CM1011" s="167">
        <v>0</v>
      </c>
      <c r="CN1011" s="167">
        <v>0</v>
      </c>
      <c r="CO1011" s="167">
        <v>0</v>
      </c>
      <c r="CP1011" s="167">
        <v>0</v>
      </c>
      <c r="CQ1011" s="167">
        <v>0</v>
      </c>
      <c r="CR1011" s="167">
        <v>0</v>
      </c>
      <c r="CS1011" s="167">
        <v>0</v>
      </c>
      <c r="CT1011" s="167">
        <v>0</v>
      </c>
      <c r="CU1011" s="167">
        <v>0</v>
      </c>
      <c r="CV1011" s="167">
        <v>0</v>
      </c>
      <c r="CW1011" s="167">
        <v>0</v>
      </c>
      <c r="CX1011" s="167">
        <f>SUM(CD1011:CH1011)</f>
        <v>1</v>
      </c>
      <c r="CY1011" s="167">
        <f>SUM(CD1011:CM1011)</f>
        <v>1</v>
      </c>
    </row>
    <row r="1012" spans="1:103" ht="12.75" customHeight="1" x14ac:dyDescent="0.2">
      <c r="A1012" s="81">
        <v>6384</v>
      </c>
      <c r="B1012" s="165" t="s">
        <v>1930</v>
      </c>
      <c r="C1012" s="165" t="s">
        <v>1437</v>
      </c>
      <c r="E1012" s="165" t="s">
        <v>2746</v>
      </c>
      <c r="G1012" s="81">
        <v>525320</v>
      </c>
      <c r="H1012" s="81">
        <v>174642</v>
      </c>
      <c r="I1012" s="165" t="s">
        <v>258</v>
      </c>
      <c r="L1012" s="166">
        <v>1</v>
      </c>
      <c r="M1012" s="166">
        <v>1</v>
      </c>
      <c r="N1012" s="166">
        <v>0</v>
      </c>
      <c r="O1012" s="166">
        <v>2</v>
      </c>
      <c r="P1012" s="166">
        <v>1</v>
      </c>
      <c r="R1012" s="165" t="s">
        <v>1438</v>
      </c>
      <c r="S1012" s="81" t="s">
        <v>113</v>
      </c>
      <c r="T1012" s="349">
        <v>42655</v>
      </c>
      <c r="U1012" s="349">
        <v>42711</v>
      </c>
      <c r="W1012" s="81" t="s">
        <v>114</v>
      </c>
      <c r="Y1012" s="81" t="s">
        <v>115</v>
      </c>
      <c r="Z1012" s="81" t="s">
        <v>398</v>
      </c>
      <c r="AA1012" s="81" t="s">
        <v>117</v>
      </c>
      <c r="AB1012" s="81" t="s">
        <v>220</v>
      </c>
      <c r="AC1012" s="166">
        <v>3.0000000260770299E-3</v>
      </c>
      <c r="AG1012" s="81" t="s">
        <v>238</v>
      </c>
      <c r="AH1012" s="81" t="s">
        <v>118</v>
      </c>
      <c r="AK1012" s="166">
        <v>0</v>
      </c>
      <c r="AM1012" s="166">
        <v>0</v>
      </c>
      <c r="AO1012" s="166">
        <v>0</v>
      </c>
      <c r="AP1012" s="166">
        <v>1</v>
      </c>
      <c r="AQ1012" s="166">
        <v>-1</v>
      </c>
      <c r="AR1012" s="166">
        <v>0</v>
      </c>
      <c r="AS1012" s="166">
        <v>0</v>
      </c>
      <c r="AT1012" s="166">
        <v>0</v>
      </c>
      <c r="AU1012" s="166">
        <v>0</v>
      </c>
      <c r="AV1012" s="166">
        <v>0</v>
      </c>
      <c r="AW1012" s="166">
        <v>1</v>
      </c>
      <c r="AX1012" s="166">
        <v>-1</v>
      </c>
      <c r="AY1012" s="166">
        <v>0</v>
      </c>
      <c r="AZ1012" s="166">
        <v>0</v>
      </c>
      <c r="BA1012" s="166">
        <v>0</v>
      </c>
      <c r="BB1012" s="166">
        <v>0</v>
      </c>
      <c r="BC1012" s="166">
        <v>0</v>
      </c>
      <c r="BD1012" s="166">
        <v>0</v>
      </c>
      <c r="BE1012" s="166">
        <v>0</v>
      </c>
      <c r="BF1012" s="166">
        <v>0</v>
      </c>
      <c r="BG1012" s="166">
        <v>0</v>
      </c>
      <c r="BH1012" s="166">
        <v>0</v>
      </c>
      <c r="BI1012" s="166">
        <v>0</v>
      </c>
      <c r="BJ1012" s="166">
        <v>0</v>
      </c>
      <c r="BK1012" s="166">
        <v>0</v>
      </c>
      <c r="BL1012" s="166">
        <v>0</v>
      </c>
      <c r="BM1012" s="166">
        <v>0</v>
      </c>
      <c r="BN1012" s="166">
        <v>0</v>
      </c>
      <c r="BO1012" s="166">
        <v>0</v>
      </c>
      <c r="BP1012" s="166">
        <v>0</v>
      </c>
      <c r="BQ1012" s="81" t="s">
        <v>1758</v>
      </c>
      <c r="BR1012" s="81" t="s">
        <v>202</v>
      </c>
      <c r="BT1012" s="81" t="s">
        <v>155</v>
      </c>
      <c r="BZ1012" s="81" t="s">
        <v>155</v>
      </c>
      <c r="CA1012" s="81" t="s">
        <v>1937</v>
      </c>
      <c r="CC1012" s="167">
        <v>0</v>
      </c>
      <c r="CD1012" s="167">
        <f>$N1012/4</f>
        <v>0</v>
      </c>
      <c r="CE1012" s="167">
        <f>$N1012/4</f>
        <v>0</v>
      </c>
      <c r="CF1012" s="167">
        <f>$N1012/4</f>
        <v>0</v>
      </c>
      <c r="CG1012" s="167">
        <f>$N1012/4</f>
        <v>0</v>
      </c>
      <c r="CH1012" s="167">
        <v>0</v>
      </c>
      <c r="CI1012" s="167">
        <v>0</v>
      </c>
      <c r="CJ1012" s="167">
        <v>0</v>
      </c>
      <c r="CK1012" s="167">
        <v>0</v>
      </c>
      <c r="CL1012" s="167">
        <v>0</v>
      </c>
      <c r="CM1012" s="167">
        <v>0</v>
      </c>
      <c r="CN1012" s="167">
        <v>0</v>
      </c>
      <c r="CO1012" s="167">
        <v>0</v>
      </c>
      <c r="CP1012" s="167">
        <v>0</v>
      </c>
      <c r="CQ1012" s="167">
        <v>0</v>
      </c>
      <c r="CR1012" s="167">
        <v>0</v>
      </c>
      <c r="CS1012" s="167">
        <v>0</v>
      </c>
      <c r="CT1012" s="167">
        <v>0</v>
      </c>
      <c r="CU1012" s="167">
        <v>0</v>
      </c>
      <c r="CV1012" s="167">
        <v>0</v>
      </c>
      <c r="CW1012" s="167">
        <v>0</v>
      </c>
      <c r="CX1012" s="167">
        <f>SUM(CD1012:CH1012)</f>
        <v>0</v>
      </c>
      <c r="CY1012" s="167">
        <f>SUM(CD1012:CM1012)</f>
        <v>0</v>
      </c>
    </row>
    <row r="1013" spans="1:103" ht="12.75" customHeight="1" x14ac:dyDescent="0.2">
      <c r="A1013" s="81">
        <v>6384</v>
      </c>
      <c r="B1013" s="165" t="s">
        <v>1930</v>
      </c>
      <c r="C1013" s="165" t="s">
        <v>1437</v>
      </c>
      <c r="E1013" s="165" t="s">
        <v>2746</v>
      </c>
      <c r="G1013" s="81">
        <v>525320</v>
      </c>
      <c r="H1013" s="81">
        <v>174642</v>
      </c>
      <c r="I1013" s="165" t="s">
        <v>258</v>
      </c>
      <c r="L1013" s="166">
        <v>0</v>
      </c>
      <c r="M1013" s="166">
        <v>1</v>
      </c>
      <c r="N1013" s="166">
        <v>1</v>
      </c>
      <c r="O1013" s="166">
        <v>2</v>
      </c>
      <c r="P1013" s="166">
        <v>1</v>
      </c>
      <c r="R1013" s="165" t="s">
        <v>1438</v>
      </c>
      <c r="S1013" s="81" t="s">
        <v>113</v>
      </c>
      <c r="T1013" s="349">
        <v>42655</v>
      </c>
      <c r="U1013" s="349">
        <v>42711</v>
      </c>
      <c r="W1013" s="81" t="s">
        <v>114</v>
      </c>
      <c r="Y1013" s="81" t="s">
        <v>115</v>
      </c>
      <c r="Z1013" s="81" t="s">
        <v>398</v>
      </c>
      <c r="AA1013" s="81" t="s">
        <v>117</v>
      </c>
      <c r="AB1013" s="81" t="s">
        <v>218</v>
      </c>
      <c r="AC1013" s="166">
        <v>2.0000000949949E-3</v>
      </c>
      <c r="AG1013" s="81" t="s">
        <v>238</v>
      </c>
      <c r="AH1013" s="81" t="s">
        <v>118</v>
      </c>
      <c r="AK1013" s="166">
        <v>0</v>
      </c>
      <c r="AM1013" s="166">
        <v>0</v>
      </c>
      <c r="AO1013" s="166">
        <v>0</v>
      </c>
      <c r="AP1013" s="166">
        <v>1</v>
      </c>
      <c r="AQ1013" s="166">
        <v>0</v>
      </c>
      <c r="AR1013" s="166">
        <v>0</v>
      </c>
      <c r="AS1013" s="166">
        <v>0</v>
      </c>
      <c r="AT1013" s="166">
        <v>0</v>
      </c>
      <c r="AU1013" s="166">
        <v>0</v>
      </c>
      <c r="AV1013" s="166">
        <v>0</v>
      </c>
      <c r="AW1013" s="166">
        <v>1</v>
      </c>
      <c r="AX1013" s="166">
        <v>0</v>
      </c>
      <c r="AY1013" s="166">
        <v>0</v>
      </c>
      <c r="AZ1013" s="166">
        <v>0</v>
      </c>
      <c r="BA1013" s="166">
        <v>0</v>
      </c>
      <c r="BB1013" s="166">
        <v>0</v>
      </c>
      <c r="BC1013" s="166">
        <v>0</v>
      </c>
      <c r="BD1013" s="166">
        <v>0</v>
      </c>
      <c r="BE1013" s="166">
        <v>0</v>
      </c>
      <c r="BF1013" s="166">
        <v>0</v>
      </c>
      <c r="BG1013" s="166">
        <v>0</v>
      </c>
      <c r="BH1013" s="166">
        <v>0</v>
      </c>
      <c r="BI1013" s="166">
        <v>0</v>
      </c>
      <c r="BJ1013" s="166">
        <v>0</v>
      </c>
      <c r="BK1013" s="166">
        <v>0</v>
      </c>
      <c r="BL1013" s="166">
        <v>0</v>
      </c>
      <c r="BM1013" s="166">
        <v>0</v>
      </c>
      <c r="BN1013" s="166">
        <v>0</v>
      </c>
      <c r="BO1013" s="166">
        <v>0</v>
      </c>
      <c r="BP1013" s="166">
        <v>0</v>
      </c>
      <c r="BQ1013" s="81" t="s">
        <v>1758</v>
      </c>
      <c r="BR1013" s="81" t="s">
        <v>202</v>
      </c>
      <c r="BT1013" s="81" t="s">
        <v>155</v>
      </c>
      <c r="BZ1013" s="81" t="s">
        <v>155</v>
      </c>
      <c r="CA1013" s="81" t="s">
        <v>1937</v>
      </c>
      <c r="CC1013" s="167">
        <v>0</v>
      </c>
      <c r="CD1013" s="167">
        <f>$N1013/4</f>
        <v>0.25</v>
      </c>
      <c r="CE1013" s="167">
        <f>$N1013/4</f>
        <v>0.25</v>
      </c>
      <c r="CF1013" s="167">
        <f>$N1013/4</f>
        <v>0.25</v>
      </c>
      <c r="CG1013" s="167">
        <f>$N1013/4</f>
        <v>0.25</v>
      </c>
      <c r="CH1013" s="167">
        <v>0</v>
      </c>
      <c r="CI1013" s="167">
        <v>0</v>
      </c>
      <c r="CJ1013" s="167">
        <v>0</v>
      </c>
      <c r="CK1013" s="167">
        <v>0</v>
      </c>
      <c r="CL1013" s="167">
        <v>0</v>
      </c>
      <c r="CM1013" s="167">
        <v>0</v>
      </c>
      <c r="CN1013" s="167">
        <v>0</v>
      </c>
      <c r="CO1013" s="167">
        <v>0</v>
      </c>
      <c r="CP1013" s="167">
        <v>0</v>
      </c>
      <c r="CQ1013" s="167">
        <v>0</v>
      </c>
      <c r="CR1013" s="167">
        <v>0</v>
      </c>
      <c r="CS1013" s="167">
        <v>0</v>
      </c>
      <c r="CT1013" s="167">
        <v>0</v>
      </c>
      <c r="CU1013" s="167">
        <v>0</v>
      </c>
      <c r="CV1013" s="167">
        <v>0</v>
      </c>
      <c r="CW1013" s="167">
        <v>0</v>
      </c>
      <c r="CX1013" s="167">
        <f>SUM(CD1013:CH1013)</f>
        <v>1</v>
      </c>
      <c r="CY1013" s="167">
        <f>SUM(CD1013:CM1013)</f>
        <v>1</v>
      </c>
    </row>
    <row r="1014" spans="1:103" ht="12.75" customHeight="1" x14ac:dyDescent="0.2">
      <c r="A1014" s="81">
        <v>6387</v>
      </c>
      <c r="B1014" s="165" t="s">
        <v>1930</v>
      </c>
      <c r="C1014" s="165" t="s">
        <v>1426</v>
      </c>
      <c r="E1014" s="165" t="s">
        <v>2747</v>
      </c>
      <c r="G1014" s="81">
        <v>526873</v>
      </c>
      <c r="H1014" s="81">
        <v>174722</v>
      </c>
      <c r="I1014" s="165" t="s">
        <v>260</v>
      </c>
      <c r="L1014" s="166">
        <v>1</v>
      </c>
      <c r="M1014" s="166">
        <v>2</v>
      </c>
      <c r="N1014" s="166">
        <v>1</v>
      </c>
      <c r="O1014" s="166">
        <v>2</v>
      </c>
      <c r="P1014" s="166">
        <v>1</v>
      </c>
      <c r="R1014" s="165" t="s">
        <v>1427</v>
      </c>
      <c r="S1014" s="81" t="s">
        <v>113</v>
      </c>
      <c r="T1014" s="349">
        <v>42667</v>
      </c>
      <c r="U1014" s="349">
        <v>42723</v>
      </c>
      <c r="W1014" s="81" t="s">
        <v>114</v>
      </c>
      <c r="Y1014" s="81" t="s">
        <v>115</v>
      </c>
      <c r="Z1014" s="81" t="s">
        <v>398</v>
      </c>
      <c r="AA1014" s="81" t="s">
        <v>117</v>
      </c>
      <c r="AB1014" s="81" t="s">
        <v>220</v>
      </c>
      <c r="AC1014" s="166">
        <v>7.9999998211860698E-2</v>
      </c>
      <c r="AG1014" s="81" t="s">
        <v>238</v>
      </c>
      <c r="AH1014" s="81" t="s">
        <v>118</v>
      </c>
      <c r="AK1014" s="166">
        <v>0</v>
      </c>
      <c r="AM1014" s="166">
        <v>0</v>
      </c>
      <c r="AO1014" s="166">
        <v>0</v>
      </c>
      <c r="AP1014" s="166">
        <v>0</v>
      </c>
      <c r="AQ1014" s="166">
        <v>0</v>
      </c>
      <c r="AR1014" s="166">
        <v>1</v>
      </c>
      <c r="AS1014" s="166">
        <v>0</v>
      </c>
      <c r="AT1014" s="166">
        <v>0</v>
      </c>
      <c r="AU1014" s="166">
        <v>0</v>
      </c>
      <c r="AV1014" s="166">
        <v>0</v>
      </c>
      <c r="AW1014" s="166">
        <v>0</v>
      </c>
      <c r="AX1014" s="166">
        <v>0</v>
      </c>
      <c r="AY1014" s="166">
        <v>0</v>
      </c>
      <c r="AZ1014" s="166">
        <v>0</v>
      </c>
      <c r="BA1014" s="166">
        <v>0</v>
      </c>
      <c r="BB1014" s="166">
        <v>0</v>
      </c>
      <c r="BC1014" s="166">
        <v>0</v>
      </c>
      <c r="BD1014" s="166">
        <v>0</v>
      </c>
      <c r="BE1014" s="166">
        <v>0</v>
      </c>
      <c r="BF1014" s="166">
        <v>1</v>
      </c>
      <c r="BG1014" s="166">
        <v>0</v>
      </c>
      <c r="BH1014" s="166">
        <v>0</v>
      </c>
      <c r="BI1014" s="166">
        <v>0</v>
      </c>
      <c r="BJ1014" s="166">
        <v>0</v>
      </c>
      <c r="BK1014" s="166">
        <v>0</v>
      </c>
      <c r="BL1014" s="166">
        <v>0</v>
      </c>
      <c r="BM1014" s="166">
        <v>0</v>
      </c>
      <c r="BN1014" s="166">
        <v>0</v>
      </c>
      <c r="BO1014" s="166">
        <v>0</v>
      </c>
      <c r="BP1014" s="166">
        <v>0</v>
      </c>
      <c r="BQ1014" s="81" t="s">
        <v>1758</v>
      </c>
      <c r="BZ1014" s="81" t="s">
        <v>155</v>
      </c>
      <c r="CA1014" s="81" t="s">
        <v>1937</v>
      </c>
      <c r="CC1014" s="167">
        <v>0</v>
      </c>
      <c r="CD1014" s="167">
        <f>$N1014/4</f>
        <v>0.25</v>
      </c>
      <c r="CE1014" s="167">
        <f>$N1014/4</f>
        <v>0.25</v>
      </c>
      <c r="CF1014" s="167">
        <f>$N1014/4</f>
        <v>0.25</v>
      </c>
      <c r="CG1014" s="167">
        <f>$N1014/4</f>
        <v>0.25</v>
      </c>
      <c r="CH1014" s="167">
        <v>0</v>
      </c>
      <c r="CI1014" s="167">
        <v>0</v>
      </c>
      <c r="CJ1014" s="167">
        <v>0</v>
      </c>
      <c r="CK1014" s="167">
        <v>0</v>
      </c>
      <c r="CL1014" s="167">
        <v>0</v>
      </c>
      <c r="CM1014" s="167">
        <v>0</v>
      </c>
      <c r="CN1014" s="167">
        <v>0</v>
      </c>
      <c r="CO1014" s="167">
        <v>0</v>
      </c>
      <c r="CP1014" s="167">
        <v>0</v>
      </c>
      <c r="CQ1014" s="167">
        <v>0</v>
      </c>
      <c r="CR1014" s="167">
        <v>0</v>
      </c>
      <c r="CS1014" s="167">
        <v>0</v>
      </c>
      <c r="CT1014" s="167">
        <v>0</v>
      </c>
      <c r="CU1014" s="167">
        <v>0</v>
      </c>
      <c r="CV1014" s="167">
        <v>0</v>
      </c>
      <c r="CW1014" s="167">
        <v>0</v>
      </c>
      <c r="CX1014" s="167">
        <f>SUM(CD1014:CH1014)</f>
        <v>1</v>
      </c>
      <c r="CY1014" s="167">
        <f>SUM(CD1014:CM1014)</f>
        <v>1</v>
      </c>
    </row>
    <row r="1015" spans="1:103" ht="12.75" customHeight="1" x14ac:dyDescent="0.2">
      <c r="A1015" s="81">
        <v>6388</v>
      </c>
      <c r="B1015" s="165" t="s">
        <v>1930</v>
      </c>
      <c r="C1015" s="165" t="s">
        <v>1453</v>
      </c>
      <c r="E1015" s="165" t="s">
        <v>2748</v>
      </c>
      <c r="G1015" s="81">
        <v>527765</v>
      </c>
      <c r="H1015" s="81">
        <v>175737</v>
      </c>
      <c r="I1015" s="165" t="s">
        <v>256</v>
      </c>
      <c r="L1015" s="166">
        <v>1</v>
      </c>
      <c r="M1015" s="166">
        <v>1</v>
      </c>
      <c r="N1015" s="166">
        <v>0</v>
      </c>
      <c r="O1015" s="166">
        <v>2</v>
      </c>
      <c r="P1015" s="166">
        <v>1</v>
      </c>
      <c r="R1015" s="165" t="s">
        <v>1454</v>
      </c>
      <c r="S1015" s="81" t="s">
        <v>113</v>
      </c>
      <c r="T1015" s="349">
        <v>42668</v>
      </c>
      <c r="U1015" s="349">
        <v>42724</v>
      </c>
      <c r="W1015" s="81" t="s">
        <v>114</v>
      </c>
      <c r="Y1015" s="81" t="s">
        <v>115</v>
      </c>
      <c r="Z1015" s="81" t="s">
        <v>398</v>
      </c>
      <c r="AA1015" s="81" t="s">
        <v>117</v>
      </c>
      <c r="AB1015" s="81" t="s">
        <v>220</v>
      </c>
      <c r="AC1015" s="166">
        <v>7.0000002160668399E-3</v>
      </c>
      <c r="AG1015" s="81" t="s">
        <v>238</v>
      </c>
      <c r="AH1015" s="81" t="s">
        <v>118</v>
      </c>
      <c r="AK1015" s="166">
        <v>0</v>
      </c>
      <c r="AM1015" s="166">
        <v>0</v>
      </c>
      <c r="AO1015" s="166">
        <v>0</v>
      </c>
      <c r="AP1015" s="166">
        <v>0</v>
      </c>
      <c r="AQ1015" s="166">
        <v>-1</v>
      </c>
      <c r="AR1015" s="166">
        <v>1</v>
      </c>
      <c r="AS1015" s="166">
        <v>0</v>
      </c>
      <c r="AT1015" s="166">
        <v>0</v>
      </c>
      <c r="AU1015" s="166">
        <v>0</v>
      </c>
      <c r="AV1015" s="166">
        <v>0</v>
      </c>
      <c r="AW1015" s="166">
        <v>0</v>
      </c>
      <c r="AX1015" s="166">
        <v>-1</v>
      </c>
      <c r="AY1015" s="166">
        <v>1</v>
      </c>
      <c r="AZ1015" s="166">
        <v>0</v>
      </c>
      <c r="BA1015" s="166">
        <v>0</v>
      </c>
      <c r="BB1015" s="166">
        <v>0</v>
      </c>
      <c r="BC1015" s="166">
        <v>0</v>
      </c>
      <c r="BD1015" s="166">
        <v>0</v>
      </c>
      <c r="BE1015" s="166">
        <v>0</v>
      </c>
      <c r="BF1015" s="166">
        <v>0</v>
      </c>
      <c r="BG1015" s="166">
        <v>0</v>
      </c>
      <c r="BH1015" s="166">
        <v>0</v>
      </c>
      <c r="BI1015" s="166">
        <v>0</v>
      </c>
      <c r="BJ1015" s="166">
        <v>0</v>
      </c>
      <c r="BK1015" s="166">
        <v>0</v>
      </c>
      <c r="BL1015" s="166">
        <v>0</v>
      </c>
      <c r="BM1015" s="166">
        <v>0</v>
      </c>
      <c r="BN1015" s="166">
        <v>0</v>
      </c>
      <c r="BO1015" s="166">
        <v>0</v>
      </c>
      <c r="BP1015" s="166">
        <v>0</v>
      </c>
      <c r="BQ1015" s="81" t="s">
        <v>1757</v>
      </c>
      <c r="BZ1015" s="81" t="s">
        <v>155</v>
      </c>
      <c r="CA1015" s="81" t="s">
        <v>1937</v>
      </c>
      <c r="CC1015" s="167">
        <v>0</v>
      </c>
      <c r="CD1015" s="167">
        <f>$N1015/4</f>
        <v>0</v>
      </c>
      <c r="CE1015" s="167">
        <f>$N1015/4</f>
        <v>0</v>
      </c>
      <c r="CF1015" s="167">
        <f>$N1015/4</f>
        <v>0</v>
      </c>
      <c r="CG1015" s="167">
        <f>$N1015/4</f>
        <v>0</v>
      </c>
      <c r="CH1015" s="167">
        <v>0</v>
      </c>
      <c r="CI1015" s="167">
        <v>0</v>
      </c>
      <c r="CJ1015" s="167">
        <v>0</v>
      </c>
      <c r="CK1015" s="167">
        <v>0</v>
      </c>
      <c r="CL1015" s="167">
        <v>0</v>
      </c>
      <c r="CM1015" s="167">
        <v>0</v>
      </c>
      <c r="CN1015" s="167">
        <v>0</v>
      </c>
      <c r="CO1015" s="167">
        <v>0</v>
      </c>
      <c r="CP1015" s="167">
        <v>0</v>
      </c>
      <c r="CQ1015" s="167">
        <v>0</v>
      </c>
      <c r="CR1015" s="167">
        <v>0</v>
      </c>
      <c r="CS1015" s="167">
        <v>0</v>
      </c>
      <c r="CT1015" s="167">
        <v>0</v>
      </c>
      <c r="CU1015" s="167">
        <v>0</v>
      </c>
      <c r="CV1015" s="167">
        <v>0</v>
      </c>
      <c r="CW1015" s="167">
        <v>0</v>
      </c>
      <c r="CX1015" s="167">
        <f>SUM(CD1015:CH1015)</f>
        <v>0</v>
      </c>
      <c r="CY1015" s="167">
        <f>SUM(CD1015:CM1015)</f>
        <v>0</v>
      </c>
    </row>
    <row r="1016" spans="1:103" ht="12.75" customHeight="1" x14ac:dyDescent="0.2">
      <c r="A1016" s="81">
        <v>6388</v>
      </c>
      <c r="B1016" s="165" t="s">
        <v>1930</v>
      </c>
      <c r="C1016" s="165" t="s">
        <v>1453</v>
      </c>
      <c r="E1016" s="165" t="s">
        <v>2748</v>
      </c>
      <c r="G1016" s="81">
        <v>527765</v>
      </c>
      <c r="H1016" s="81">
        <v>175737</v>
      </c>
      <c r="I1016" s="165" t="s">
        <v>256</v>
      </c>
      <c r="L1016" s="166">
        <v>0</v>
      </c>
      <c r="M1016" s="166">
        <v>1</v>
      </c>
      <c r="N1016" s="166">
        <v>1</v>
      </c>
      <c r="O1016" s="166">
        <v>2</v>
      </c>
      <c r="P1016" s="166">
        <v>1</v>
      </c>
      <c r="R1016" s="165" t="s">
        <v>1454</v>
      </c>
      <c r="S1016" s="81" t="s">
        <v>113</v>
      </c>
      <c r="T1016" s="349">
        <v>42668</v>
      </c>
      <c r="U1016" s="349">
        <v>42724</v>
      </c>
      <c r="W1016" s="81" t="s">
        <v>114</v>
      </c>
      <c r="Y1016" s="81" t="s">
        <v>115</v>
      </c>
      <c r="Z1016" s="81" t="s">
        <v>398</v>
      </c>
      <c r="AA1016" s="81" t="s">
        <v>117</v>
      </c>
      <c r="AB1016" s="81" t="s">
        <v>218</v>
      </c>
      <c r="AC1016" s="166">
        <v>6.0000000521540598E-3</v>
      </c>
      <c r="AG1016" s="81" t="s">
        <v>238</v>
      </c>
      <c r="AH1016" s="81" t="s">
        <v>118</v>
      </c>
      <c r="AK1016" s="166">
        <v>0</v>
      </c>
      <c r="AM1016" s="166">
        <v>0</v>
      </c>
      <c r="AO1016" s="166">
        <v>0</v>
      </c>
      <c r="AP1016" s="166">
        <v>0</v>
      </c>
      <c r="AQ1016" s="166">
        <v>1</v>
      </c>
      <c r="AR1016" s="166">
        <v>0</v>
      </c>
      <c r="AS1016" s="166">
        <v>0</v>
      </c>
      <c r="AT1016" s="166">
        <v>0</v>
      </c>
      <c r="AU1016" s="166">
        <v>0</v>
      </c>
      <c r="AV1016" s="166">
        <v>0</v>
      </c>
      <c r="AW1016" s="166">
        <v>0</v>
      </c>
      <c r="AX1016" s="166">
        <v>1</v>
      </c>
      <c r="AY1016" s="166">
        <v>0</v>
      </c>
      <c r="AZ1016" s="166">
        <v>0</v>
      </c>
      <c r="BA1016" s="166">
        <v>0</v>
      </c>
      <c r="BB1016" s="166">
        <v>0</v>
      </c>
      <c r="BC1016" s="166">
        <v>0</v>
      </c>
      <c r="BD1016" s="166">
        <v>0</v>
      </c>
      <c r="BE1016" s="166">
        <v>0</v>
      </c>
      <c r="BF1016" s="166">
        <v>0</v>
      </c>
      <c r="BG1016" s="166">
        <v>0</v>
      </c>
      <c r="BH1016" s="166">
        <v>0</v>
      </c>
      <c r="BI1016" s="166">
        <v>0</v>
      </c>
      <c r="BJ1016" s="166">
        <v>0</v>
      </c>
      <c r="BK1016" s="166">
        <v>0</v>
      </c>
      <c r="BL1016" s="166">
        <v>0</v>
      </c>
      <c r="BM1016" s="166">
        <v>0</v>
      </c>
      <c r="BN1016" s="166">
        <v>0</v>
      </c>
      <c r="BO1016" s="166">
        <v>0</v>
      </c>
      <c r="BP1016" s="166">
        <v>0</v>
      </c>
      <c r="BQ1016" s="81" t="s">
        <v>1757</v>
      </c>
      <c r="BZ1016" s="81" t="s">
        <v>155</v>
      </c>
      <c r="CA1016" s="81" t="s">
        <v>1937</v>
      </c>
      <c r="CC1016" s="167">
        <v>0</v>
      </c>
      <c r="CD1016" s="167">
        <f>$N1016/4</f>
        <v>0.25</v>
      </c>
      <c r="CE1016" s="167">
        <f>$N1016/4</f>
        <v>0.25</v>
      </c>
      <c r="CF1016" s="167">
        <f>$N1016/4</f>
        <v>0.25</v>
      </c>
      <c r="CG1016" s="167">
        <f>$N1016/4</f>
        <v>0.25</v>
      </c>
      <c r="CH1016" s="167">
        <v>0</v>
      </c>
      <c r="CI1016" s="167">
        <v>0</v>
      </c>
      <c r="CJ1016" s="167">
        <v>0</v>
      </c>
      <c r="CK1016" s="167">
        <v>0</v>
      </c>
      <c r="CL1016" s="167">
        <v>0</v>
      </c>
      <c r="CM1016" s="167">
        <v>0</v>
      </c>
      <c r="CN1016" s="167">
        <v>0</v>
      </c>
      <c r="CO1016" s="167">
        <v>0</v>
      </c>
      <c r="CP1016" s="167">
        <v>0</v>
      </c>
      <c r="CQ1016" s="167">
        <v>0</v>
      </c>
      <c r="CR1016" s="167">
        <v>0</v>
      </c>
      <c r="CS1016" s="167">
        <v>0</v>
      </c>
      <c r="CT1016" s="167">
        <v>0</v>
      </c>
      <c r="CU1016" s="167">
        <v>0</v>
      </c>
      <c r="CV1016" s="167">
        <v>0</v>
      </c>
      <c r="CW1016" s="167">
        <v>0</v>
      </c>
      <c r="CX1016" s="167">
        <f>SUM(CD1016:CH1016)</f>
        <v>1</v>
      </c>
      <c r="CY1016" s="167">
        <f>SUM(CD1016:CM1016)</f>
        <v>1</v>
      </c>
    </row>
    <row r="1017" spans="1:103" ht="12.75" customHeight="1" x14ac:dyDescent="0.2">
      <c r="A1017" s="81">
        <v>6390</v>
      </c>
      <c r="B1017" s="165" t="s">
        <v>1930</v>
      </c>
      <c r="C1017" s="165" t="s">
        <v>1455</v>
      </c>
      <c r="E1017" s="165" t="s">
        <v>2749</v>
      </c>
      <c r="G1017" s="81">
        <v>526853</v>
      </c>
      <c r="H1017" s="81">
        <v>175074</v>
      </c>
      <c r="I1017" s="165" t="s">
        <v>251</v>
      </c>
      <c r="L1017" s="166">
        <v>1</v>
      </c>
      <c r="M1017" s="166">
        <v>2</v>
      </c>
      <c r="N1017" s="166">
        <v>1</v>
      </c>
      <c r="O1017" s="166">
        <v>2</v>
      </c>
      <c r="P1017" s="166">
        <v>1</v>
      </c>
      <c r="R1017" s="165" t="s">
        <v>1456</v>
      </c>
      <c r="S1017" s="81" t="s">
        <v>113</v>
      </c>
      <c r="T1017" s="349">
        <v>42670</v>
      </c>
      <c r="U1017" s="349">
        <v>42725</v>
      </c>
      <c r="W1017" s="81" t="s">
        <v>114</v>
      </c>
      <c r="Y1017" s="81" t="s">
        <v>115</v>
      </c>
      <c r="Z1017" s="81" t="s">
        <v>119</v>
      </c>
      <c r="AA1017" s="81" t="s">
        <v>117</v>
      </c>
      <c r="AB1017" s="81" t="s">
        <v>220</v>
      </c>
      <c r="AC1017" s="166">
        <v>8.0000003799796104E-3</v>
      </c>
      <c r="AG1017" s="81" t="s">
        <v>238</v>
      </c>
      <c r="AH1017" s="81" t="s">
        <v>118</v>
      </c>
      <c r="AK1017" s="166">
        <v>0</v>
      </c>
      <c r="AM1017" s="166">
        <v>0</v>
      </c>
      <c r="AO1017" s="166">
        <v>1</v>
      </c>
      <c r="AP1017" s="166">
        <v>1</v>
      </c>
      <c r="AQ1017" s="166">
        <v>0</v>
      </c>
      <c r="AR1017" s="166">
        <v>0</v>
      </c>
      <c r="AS1017" s="166">
        <v>-1</v>
      </c>
      <c r="AT1017" s="166">
        <v>0</v>
      </c>
      <c r="AU1017" s="166">
        <v>0</v>
      </c>
      <c r="AV1017" s="166">
        <v>1</v>
      </c>
      <c r="AW1017" s="166">
        <v>1</v>
      </c>
      <c r="AX1017" s="166">
        <v>0</v>
      </c>
      <c r="AY1017" s="166">
        <v>0</v>
      </c>
      <c r="AZ1017" s="166">
        <v>-1</v>
      </c>
      <c r="BA1017" s="166">
        <v>0</v>
      </c>
      <c r="BB1017" s="166">
        <v>0</v>
      </c>
      <c r="BC1017" s="166">
        <v>0</v>
      </c>
      <c r="BD1017" s="166">
        <v>0</v>
      </c>
      <c r="BE1017" s="166">
        <v>0</v>
      </c>
      <c r="BF1017" s="166">
        <v>0</v>
      </c>
      <c r="BG1017" s="166">
        <v>0</v>
      </c>
      <c r="BH1017" s="166">
        <v>0</v>
      </c>
      <c r="BI1017" s="166">
        <v>0</v>
      </c>
      <c r="BJ1017" s="166">
        <v>0</v>
      </c>
      <c r="BK1017" s="166">
        <v>0</v>
      </c>
      <c r="BL1017" s="166">
        <v>0</v>
      </c>
      <c r="BM1017" s="166">
        <v>0</v>
      </c>
      <c r="BN1017" s="166">
        <v>0</v>
      </c>
      <c r="BO1017" s="166">
        <v>0</v>
      </c>
      <c r="BP1017" s="166">
        <v>0</v>
      </c>
      <c r="BQ1017" s="81" t="s">
        <v>1758</v>
      </c>
      <c r="BZ1017" s="81" t="s">
        <v>155</v>
      </c>
      <c r="CA1017" s="81" t="s">
        <v>1937</v>
      </c>
      <c r="CC1017" s="167">
        <v>0</v>
      </c>
      <c r="CD1017" s="167">
        <f>$N1017/4</f>
        <v>0.25</v>
      </c>
      <c r="CE1017" s="167">
        <f>$N1017/4</f>
        <v>0.25</v>
      </c>
      <c r="CF1017" s="167">
        <f>$N1017/4</f>
        <v>0.25</v>
      </c>
      <c r="CG1017" s="167">
        <f>$N1017/4</f>
        <v>0.25</v>
      </c>
      <c r="CH1017" s="167">
        <v>0</v>
      </c>
      <c r="CI1017" s="167">
        <v>0</v>
      </c>
      <c r="CJ1017" s="167">
        <v>0</v>
      </c>
      <c r="CK1017" s="167">
        <v>0</v>
      </c>
      <c r="CL1017" s="167">
        <v>0</v>
      </c>
      <c r="CM1017" s="167">
        <v>0</v>
      </c>
      <c r="CN1017" s="167">
        <v>0</v>
      </c>
      <c r="CO1017" s="167">
        <v>0</v>
      </c>
      <c r="CP1017" s="167">
        <v>0</v>
      </c>
      <c r="CQ1017" s="167">
        <v>0</v>
      </c>
      <c r="CR1017" s="167">
        <v>0</v>
      </c>
      <c r="CS1017" s="167">
        <v>0</v>
      </c>
      <c r="CT1017" s="167">
        <v>0</v>
      </c>
      <c r="CU1017" s="167">
        <v>0</v>
      </c>
      <c r="CV1017" s="167">
        <v>0</v>
      </c>
      <c r="CW1017" s="167">
        <v>0</v>
      </c>
      <c r="CX1017" s="167">
        <f>SUM(CD1017:CH1017)</f>
        <v>1</v>
      </c>
      <c r="CY1017" s="167">
        <f>SUM(CD1017:CM1017)</f>
        <v>1</v>
      </c>
    </row>
    <row r="1018" spans="1:103" ht="12.75" customHeight="1" x14ac:dyDescent="0.2">
      <c r="A1018" s="81">
        <v>6391</v>
      </c>
      <c r="B1018" s="165" t="s">
        <v>1930</v>
      </c>
      <c r="C1018" s="165" t="s">
        <v>1459</v>
      </c>
      <c r="E1018" s="165" t="s">
        <v>2750</v>
      </c>
      <c r="G1018" s="81">
        <v>526853</v>
      </c>
      <c r="H1018" s="81">
        <v>175074</v>
      </c>
      <c r="I1018" s="165" t="s">
        <v>251</v>
      </c>
      <c r="L1018" s="166">
        <v>1</v>
      </c>
      <c r="M1018" s="166">
        <v>2</v>
      </c>
      <c r="N1018" s="166">
        <v>1</v>
      </c>
      <c r="O1018" s="166">
        <v>2</v>
      </c>
      <c r="P1018" s="166">
        <v>1</v>
      </c>
      <c r="R1018" s="165" t="s">
        <v>1456</v>
      </c>
      <c r="S1018" s="81" t="s">
        <v>113</v>
      </c>
      <c r="T1018" s="349">
        <v>42670</v>
      </c>
      <c r="U1018" s="349">
        <v>42725</v>
      </c>
      <c r="W1018" s="81" t="s">
        <v>114</v>
      </c>
      <c r="Y1018" s="81" t="s">
        <v>115</v>
      </c>
      <c r="Z1018" s="81" t="s">
        <v>119</v>
      </c>
      <c r="AA1018" s="81" t="s">
        <v>117</v>
      </c>
      <c r="AB1018" s="81" t="s">
        <v>220</v>
      </c>
      <c r="AC1018" s="166">
        <v>6.0000000521540598E-3</v>
      </c>
      <c r="AG1018" s="81" t="s">
        <v>238</v>
      </c>
      <c r="AH1018" s="81" t="s">
        <v>118</v>
      </c>
      <c r="AK1018" s="166">
        <v>0</v>
      </c>
      <c r="AM1018" s="166">
        <v>0</v>
      </c>
      <c r="AO1018" s="166">
        <v>1</v>
      </c>
      <c r="AP1018" s="166">
        <v>1</v>
      </c>
      <c r="AQ1018" s="166">
        <v>0</v>
      </c>
      <c r="AR1018" s="166">
        <v>0</v>
      </c>
      <c r="AS1018" s="166">
        <v>-1</v>
      </c>
      <c r="AT1018" s="166">
        <v>0</v>
      </c>
      <c r="AU1018" s="166">
        <v>0</v>
      </c>
      <c r="AV1018" s="166">
        <v>1</v>
      </c>
      <c r="AW1018" s="166">
        <v>1</v>
      </c>
      <c r="AX1018" s="166">
        <v>0</v>
      </c>
      <c r="AY1018" s="166">
        <v>0</v>
      </c>
      <c r="AZ1018" s="166">
        <v>-1</v>
      </c>
      <c r="BA1018" s="166">
        <v>0</v>
      </c>
      <c r="BB1018" s="166">
        <v>0</v>
      </c>
      <c r="BC1018" s="166">
        <v>0</v>
      </c>
      <c r="BD1018" s="166">
        <v>0</v>
      </c>
      <c r="BE1018" s="166">
        <v>0</v>
      </c>
      <c r="BF1018" s="166">
        <v>0</v>
      </c>
      <c r="BG1018" s="166">
        <v>0</v>
      </c>
      <c r="BH1018" s="166">
        <v>0</v>
      </c>
      <c r="BI1018" s="166">
        <v>0</v>
      </c>
      <c r="BJ1018" s="166">
        <v>0</v>
      </c>
      <c r="BK1018" s="166">
        <v>0</v>
      </c>
      <c r="BL1018" s="166">
        <v>0</v>
      </c>
      <c r="BM1018" s="166">
        <v>0</v>
      </c>
      <c r="BN1018" s="166">
        <v>0</v>
      </c>
      <c r="BO1018" s="166">
        <v>0</v>
      </c>
      <c r="BP1018" s="166">
        <v>0</v>
      </c>
      <c r="BQ1018" s="81" t="s">
        <v>1758</v>
      </c>
      <c r="BZ1018" s="81" t="s">
        <v>155</v>
      </c>
      <c r="CA1018" s="81" t="s">
        <v>1937</v>
      </c>
      <c r="CC1018" s="167">
        <v>0</v>
      </c>
      <c r="CD1018" s="167">
        <f>$N1018/4</f>
        <v>0.25</v>
      </c>
      <c r="CE1018" s="167">
        <f>$N1018/4</f>
        <v>0.25</v>
      </c>
      <c r="CF1018" s="167">
        <f>$N1018/4</f>
        <v>0.25</v>
      </c>
      <c r="CG1018" s="167">
        <f>$N1018/4</f>
        <v>0.25</v>
      </c>
      <c r="CH1018" s="167">
        <v>0</v>
      </c>
      <c r="CI1018" s="167">
        <v>0</v>
      </c>
      <c r="CJ1018" s="167">
        <v>0</v>
      </c>
      <c r="CK1018" s="167">
        <v>0</v>
      </c>
      <c r="CL1018" s="167">
        <v>0</v>
      </c>
      <c r="CM1018" s="167">
        <v>0</v>
      </c>
      <c r="CN1018" s="167">
        <v>0</v>
      </c>
      <c r="CO1018" s="167">
        <v>0</v>
      </c>
      <c r="CP1018" s="167">
        <v>0</v>
      </c>
      <c r="CQ1018" s="167">
        <v>0</v>
      </c>
      <c r="CR1018" s="167">
        <v>0</v>
      </c>
      <c r="CS1018" s="167">
        <v>0</v>
      </c>
      <c r="CT1018" s="167">
        <v>0</v>
      </c>
      <c r="CU1018" s="167">
        <v>0</v>
      </c>
      <c r="CV1018" s="167">
        <v>0</v>
      </c>
      <c r="CW1018" s="167">
        <v>0</v>
      </c>
      <c r="CX1018" s="167">
        <f>SUM(CD1018:CH1018)</f>
        <v>1</v>
      </c>
      <c r="CY1018" s="167">
        <f>SUM(CD1018:CM1018)</f>
        <v>1</v>
      </c>
    </row>
    <row r="1019" spans="1:103" ht="12.75" customHeight="1" x14ac:dyDescent="0.2">
      <c r="A1019" s="81">
        <v>6392</v>
      </c>
      <c r="B1019" s="165" t="s">
        <v>1930</v>
      </c>
      <c r="C1019" s="165" t="s">
        <v>1469</v>
      </c>
      <c r="E1019" s="165" t="s">
        <v>2751</v>
      </c>
      <c r="G1019" s="81">
        <v>528007</v>
      </c>
      <c r="H1019" s="81">
        <v>175012</v>
      </c>
      <c r="I1019" s="165" t="s">
        <v>255</v>
      </c>
      <c r="L1019" s="166">
        <v>2</v>
      </c>
      <c r="M1019" s="166">
        <v>2</v>
      </c>
      <c r="N1019" s="166">
        <v>0</v>
      </c>
      <c r="O1019" s="166">
        <v>2</v>
      </c>
      <c r="P1019" s="166">
        <v>0</v>
      </c>
      <c r="R1019" s="165" t="s">
        <v>1470</v>
      </c>
      <c r="S1019" s="81" t="s">
        <v>113</v>
      </c>
      <c r="T1019" s="349">
        <v>42674</v>
      </c>
      <c r="U1019" s="349">
        <v>42726</v>
      </c>
      <c r="W1019" s="81" t="s">
        <v>114</v>
      </c>
      <c r="Y1019" s="81" t="s">
        <v>115</v>
      </c>
      <c r="Z1019" s="81" t="s">
        <v>398</v>
      </c>
      <c r="AA1019" s="81" t="s">
        <v>117</v>
      </c>
      <c r="AB1019" s="81" t="s">
        <v>120</v>
      </c>
      <c r="AC1019" s="166">
        <v>1.9999999552965199E-2</v>
      </c>
      <c r="AG1019" s="81" t="s">
        <v>238</v>
      </c>
      <c r="AH1019" s="81" t="s">
        <v>118</v>
      </c>
      <c r="AK1019" s="166">
        <v>0</v>
      </c>
      <c r="AM1019" s="166">
        <v>0</v>
      </c>
      <c r="AO1019" s="166">
        <v>-1</v>
      </c>
      <c r="AP1019" s="166">
        <v>0</v>
      </c>
      <c r="AQ1019" s="166">
        <v>0</v>
      </c>
      <c r="AR1019" s="166">
        <v>2</v>
      </c>
      <c r="AS1019" s="166">
        <v>-1</v>
      </c>
      <c r="AT1019" s="166">
        <v>0</v>
      </c>
      <c r="AU1019" s="166">
        <v>0</v>
      </c>
      <c r="AV1019" s="166">
        <v>-1</v>
      </c>
      <c r="AW1019" s="166">
        <v>0</v>
      </c>
      <c r="AX1019" s="166">
        <v>0</v>
      </c>
      <c r="AY1019" s="166">
        <v>2</v>
      </c>
      <c r="AZ1019" s="166">
        <v>0</v>
      </c>
      <c r="BA1019" s="166">
        <v>0</v>
      </c>
      <c r="BB1019" s="166">
        <v>0</v>
      </c>
      <c r="BC1019" s="166">
        <v>0</v>
      </c>
      <c r="BD1019" s="166">
        <v>0</v>
      </c>
      <c r="BE1019" s="166">
        <v>0</v>
      </c>
      <c r="BF1019" s="166">
        <v>0</v>
      </c>
      <c r="BG1019" s="166">
        <v>-1</v>
      </c>
      <c r="BH1019" s="166">
        <v>0</v>
      </c>
      <c r="BI1019" s="166">
        <v>0</v>
      </c>
      <c r="BJ1019" s="166">
        <v>0</v>
      </c>
      <c r="BK1019" s="166">
        <v>0</v>
      </c>
      <c r="BL1019" s="166">
        <v>0</v>
      </c>
      <c r="BM1019" s="166">
        <v>0</v>
      </c>
      <c r="BN1019" s="166">
        <v>0</v>
      </c>
      <c r="BO1019" s="166">
        <v>0</v>
      </c>
      <c r="BP1019" s="166">
        <v>0</v>
      </c>
      <c r="BQ1019" s="81" t="s">
        <v>1757</v>
      </c>
      <c r="BZ1019" s="81" t="s">
        <v>155</v>
      </c>
      <c r="CA1019" s="81" t="s">
        <v>1937</v>
      </c>
      <c r="CC1019" s="167">
        <v>0</v>
      </c>
      <c r="CD1019" s="167">
        <f>$N1019/4</f>
        <v>0</v>
      </c>
      <c r="CE1019" s="167">
        <f>$N1019/4</f>
        <v>0</v>
      </c>
      <c r="CF1019" s="167">
        <f>$N1019/4</f>
        <v>0</v>
      </c>
      <c r="CG1019" s="167">
        <f>$N1019/4</f>
        <v>0</v>
      </c>
      <c r="CH1019" s="167">
        <v>0</v>
      </c>
      <c r="CI1019" s="167">
        <v>0</v>
      </c>
      <c r="CJ1019" s="167">
        <v>0</v>
      </c>
      <c r="CK1019" s="167">
        <v>0</v>
      </c>
      <c r="CL1019" s="167">
        <v>0</v>
      </c>
      <c r="CM1019" s="167">
        <v>0</v>
      </c>
      <c r="CN1019" s="167">
        <v>0</v>
      </c>
      <c r="CO1019" s="167">
        <v>0</v>
      </c>
      <c r="CP1019" s="167">
        <v>0</v>
      </c>
      <c r="CQ1019" s="167">
        <v>0</v>
      </c>
      <c r="CR1019" s="167">
        <v>0</v>
      </c>
      <c r="CS1019" s="167">
        <v>0</v>
      </c>
      <c r="CT1019" s="167">
        <v>0</v>
      </c>
      <c r="CU1019" s="167">
        <v>0</v>
      </c>
      <c r="CV1019" s="167">
        <v>0</v>
      </c>
      <c r="CW1019" s="167">
        <v>0</v>
      </c>
      <c r="CX1019" s="167">
        <f>SUM(CD1019:CH1019)</f>
        <v>0</v>
      </c>
      <c r="CY1019" s="167">
        <f>SUM(CD1019:CM1019)</f>
        <v>0</v>
      </c>
    </row>
    <row r="1020" spans="1:103" ht="12.75" customHeight="1" x14ac:dyDescent="0.2">
      <c r="A1020" s="81">
        <v>6393</v>
      </c>
      <c r="B1020" s="165" t="s">
        <v>1930</v>
      </c>
      <c r="C1020" s="165" t="s">
        <v>1467</v>
      </c>
      <c r="E1020" s="165" t="s">
        <v>2752</v>
      </c>
      <c r="G1020" s="81">
        <v>524601</v>
      </c>
      <c r="H1020" s="81">
        <v>175366</v>
      </c>
      <c r="I1020" s="165" t="s">
        <v>259</v>
      </c>
      <c r="L1020" s="166">
        <v>2</v>
      </c>
      <c r="M1020" s="166">
        <v>1</v>
      </c>
      <c r="N1020" s="166">
        <v>-1</v>
      </c>
      <c r="O1020" s="166">
        <v>1</v>
      </c>
      <c r="P1020" s="166">
        <v>-1</v>
      </c>
      <c r="R1020" s="165" t="s">
        <v>1468</v>
      </c>
      <c r="S1020" s="81" t="s">
        <v>113</v>
      </c>
      <c r="T1020" s="349">
        <v>42681</v>
      </c>
      <c r="U1020" s="349">
        <v>42734</v>
      </c>
      <c r="W1020" s="81" t="s">
        <v>114</v>
      </c>
      <c r="Y1020" s="81" t="s">
        <v>115</v>
      </c>
      <c r="Z1020" s="81" t="s">
        <v>119</v>
      </c>
      <c r="AA1020" s="81" t="s">
        <v>117</v>
      </c>
      <c r="AB1020" s="81" t="s">
        <v>300</v>
      </c>
      <c r="AC1020" s="166">
        <v>1.4999999664723899E-2</v>
      </c>
      <c r="AG1020" s="81" t="s">
        <v>238</v>
      </c>
      <c r="AH1020" s="81" t="s">
        <v>118</v>
      </c>
      <c r="AK1020" s="166">
        <v>1</v>
      </c>
      <c r="AM1020" s="166">
        <v>0</v>
      </c>
      <c r="AO1020" s="166">
        <v>0</v>
      </c>
      <c r="AP1020" s="166">
        <v>0</v>
      </c>
      <c r="AQ1020" s="166">
        <v>0</v>
      </c>
      <c r="AR1020" s="166">
        <v>-2</v>
      </c>
      <c r="AS1020" s="166">
        <v>0</v>
      </c>
      <c r="AT1020" s="166">
        <v>1</v>
      </c>
      <c r="AU1020" s="166">
        <v>0</v>
      </c>
      <c r="AV1020" s="166">
        <v>0</v>
      </c>
      <c r="AW1020" s="166">
        <v>0</v>
      </c>
      <c r="AX1020" s="166">
        <v>0</v>
      </c>
      <c r="AY1020" s="166">
        <v>-2</v>
      </c>
      <c r="AZ1020" s="166">
        <v>0</v>
      </c>
      <c r="BA1020" s="166">
        <v>1</v>
      </c>
      <c r="BB1020" s="166">
        <v>0</v>
      </c>
      <c r="BC1020" s="166">
        <v>0</v>
      </c>
      <c r="BD1020" s="166">
        <v>0</v>
      </c>
      <c r="BE1020" s="166">
        <v>0</v>
      </c>
      <c r="BF1020" s="166">
        <v>0</v>
      </c>
      <c r="BG1020" s="166">
        <v>0</v>
      </c>
      <c r="BH1020" s="166">
        <v>0</v>
      </c>
      <c r="BI1020" s="166">
        <v>0</v>
      </c>
      <c r="BJ1020" s="166">
        <v>0</v>
      </c>
      <c r="BK1020" s="166">
        <v>0</v>
      </c>
      <c r="BL1020" s="166">
        <v>0</v>
      </c>
      <c r="BM1020" s="166">
        <v>0</v>
      </c>
      <c r="BN1020" s="166">
        <v>0</v>
      </c>
      <c r="BO1020" s="166">
        <v>0</v>
      </c>
      <c r="BP1020" s="166">
        <v>0</v>
      </c>
      <c r="BQ1020" s="81" t="s">
        <v>1758</v>
      </c>
      <c r="BX1020" s="81" t="s">
        <v>155</v>
      </c>
      <c r="BZ1020" s="81" t="s">
        <v>155</v>
      </c>
      <c r="CA1020" s="81" t="s">
        <v>1937</v>
      </c>
      <c r="CC1020" s="167">
        <v>0</v>
      </c>
      <c r="CD1020" s="167">
        <f>$N1020/4</f>
        <v>-0.25</v>
      </c>
      <c r="CE1020" s="167">
        <f>$N1020/4</f>
        <v>-0.25</v>
      </c>
      <c r="CF1020" s="167">
        <f>$N1020/4</f>
        <v>-0.25</v>
      </c>
      <c r="CG1020" s="167">
        <f>$N1020/4</f>
        <v>-0.25</v>
      </c>
      <c r="CH1020" s="167">
        <v>0</v>
      </c>
      <c r="CI1020" s="167">
        <v>0</v>
      </c>
      <c r="CJ1020" s="167">
        <v>0</v>
      </c>
      <c r="CK1020" s="167">
        <v>0</v>
      </c>
      <c r="CL1020" s="167">
        <v>0</v>
      </c>
      <c r="CM1020" s="167">
        <v>0</v>
      </c>
      <c r="CN1020" s="167">
        <v>0</v>
      </c>
      <c r="CO1020" s="167">
        <v>0</v>
      </c>
      <c r="CP1020" s="167">
        <v>0</v>
      </c>
      <c r="CQ1020" s="167">
        <v>0</v>
      </c>
      <c r="CR1020" s="167">
        <v>0</v>
      </c>
      <c r="CS1020" s="167">
        <v>0</v>
      </c>
      <c r="CT1020" s="167">
        <v>0</v>
      </c>
      <c r="CU1020" s="167">
        <v>0</v>
      </c>
      <c r="CV1020" s="167">
        <v>0</v>
      </c>
      <c r="CW1020" s="167">
        <v>0</v>
      </c>
      <c r="CX1020" s="167">
        <f>SUM(CD1020:CH1020)</f>
        <v>-1</v>
      </c>
      <c r="CY1020" s="167">
        <f>SUM(CD1020:CM1020)</f>
        <v>-1</v>
      </c>
    </row>
    <row r="1021" spans="1:103" ht="12.75" customHeight="1" x14ac:dyDescent="0.2">
      <c r="A1021" s="81">
        <v>6395</v>
      </c>
      <c r="B1021" s="165" t="s">
        <v>1930</v>
      </c>
      <c r="C1021" s="165" t="s">
        <v>2753</v>
      </c>
      <c r="E1021" s="165" t="s">
        <v>2754</v>
      </c>
      <c r="G1021" s="81">
        <v>527848</v>
      </c>
      <c r="H1021" s="81">
        <v>174152</v>
      </c>
      <c r="I1021" s="165" t="s">
        <v>255</v>
      </c>
      <c r="L1021" s="166">
        <v>1</v>
      </c>
      <c r="M1021" s="166">
        <v>2</v>
      </c>
      <c r="N1021" s="166">
        <v>1</v>
      </c>
      <c r="O1021" s="166">
        <v>2</v>
      </c>
      <c r="P1021" s="166">
        <v>1</v>
      </c>
      <c r="R1021" s="165" t="s">
        <v>2755</v>
      </c>
      <c r="S1021" s="81" t="s">
        <v>113</v>
      </c>
      <c r="T1021" s="349">
        <v>43006</v>
      </c>
      <c r="U1021" s="349">
        <v>43053</v>
      </c>
      <c r="V1021" s="81" t="s">
        <v>155</v>
      </c>
      <c r="W1021" s="81" t="s">
        <v>114</v>
      </c>
      <c r="Y1021" s="81" t="s">
        <v>115</v>
      </c>
      <c r="Z1021" s="81" t="s">
        <v>398</v>
      </c>
      <c r="AA1021" s="81" t="s">
        <v>117</v>
      </c>
      <c r="AB1021" s="81" t="s">
        <v>120</v>
      </c>
      <c r="AC1021" s="166">
        <v>1.30000002682209E-2</v>
      </c>
      <c r="AG1021" s="81" t="s">
        <v>238</v>
      </c>
      <c r="AH1021" s="81" t="s">
        <v>118</v>
      </c>
      <c r="AK1021" s="166">
        <v>0</v>
      </c>
      <c r="AM1021" s="166">
        <v>0</v>
      </c>
      <c r="AO1021" s="166">
        <v>0</v>
      </c>
      <c r="AP1021" s="166">
        <v>0</v>
      </c>
      <c r="AQ1021" s="166">
        <v>0</v>
      </c>
      <c r="AR1021" s="166">
        <v>2</v>
      </c>
      <c r="AS1021" s="166">
        <v>-1</v>
      </c>
      <c r="AT1021" s="166">
        <v>0</v>
      </c>
      <c r="AU1021" s="166">
        <v>0</v>
      </c>
      <c r="AV1021" s="166">
        <v>0</v>
      </c>
      <c r="AW1021" s="166">
        <v>0</v>
      </c>
      <c r="AX1021" s="166">
        <v>0</v>
      </c>
      <c r="AY1021" s="166">
        <v>2</v>
      </c>
      <c r="AZ1021" s="166">
        <v>0</v>
      </c>
      <c r="BA1021" s="166">
        <v>0</v>
      </c>
      <c r="BB1021" s="166">
        <v>0</v>
      </c>
      <c r="BC1021" s="166">
        <v>0</v>
      </c>
      <c r="BD1021" s="166">
        <v>0</v>
      </c>
      <c r="BE1021" s="166">
        <v>0</v>
      </c>
      <c r="BF1021" s="166">
        <v>0</v>
      </c>
      <c r="BG1021" s="166">
        <v>-1</v>
      </c>
      <c r="BH1021" s="166">
        <v>0</v>
      </c>
      <c r="BI1021" s="166">
        <v>0</v>
      </c>
      <c r="BJ1021" s="166">
        <v>0</v>
      </c>
      <c r="BK1021" s="166">
        <v>0</v>
      </c>
      <c r="BL1021" s="166">
        <v>0</v>
      </c>
      <c r="BM1021" s="166">
        <v>0</v>
      </c>
      <c r="BN1021" s="166">
        <v>0</v>
      </c>
      <c r="BO1021" s="166">
        <v>0</v>
      </c>
      <c r="BP1021" s="166">
        <v>0</v>
      </c>
      <c r="BQ1021" s="81" t="s">
        <v>1757</v>
      </c>
      <c r="BZ1021" s="81" t="s">
        <v>155</v>
      </c>
      <c r="CA1021" s="81" t="s">
        <v>1937</v>
      </c>
      <c r="CC1021" s="167">
        <v>0</v>
      </c>
      <c r="CD1021" s="167">
        <f>$N1021/4</f>
        <v>0.25</v>
      </c>
      <c r="CE1021" s="167">
        <f>$N1021/4</f>
        <v>0.25</v>
      </c>
      <c r="CF1021" s="167">
        <f>$N1021/4</f>
        <v>0.25</v>
      </c>
      <c r="CG1021" s="167">
        <f>$N1021/4</f>
        <v>0.25</v>
      </c>
      <c r="CH1021" s="167">
        <v>0</v>
      </c>
      <c r="CI1021" s="167">
        <v>0</v>
      </c>
      <c r="CJ1021" s="167">
        <v>0</v>
      </c>
      <c r="CK1021" s="167">
        <v>0</v>
      </c>
      <c r="CL1021" s="167">
        <v>0</v>
      </c>
      <c r="CM1021" s="167">
        <v>0</v>
      </c>
      <c r="CN1021" s="167">
        <v>0</v>
      </c>
      <c r="CO1021" s="167">
        <v>0</v>
      </c>
      <c r="CP1021" s="167">
        <v>0</v>
      </c>
      <c r="CQ1021" s="167">
        <v>0</v>
      </c>
      <c r="CR1021" s="167">
        <v>0</v>
      </c>
      <c r="CS1021" s="167">
        <v>0</v>
      </c>
      <c r="CT1021" s="167">
        <v>0</v>
      </c>
      <c r="CU1021" s="167">
        <v>0</v>
      </c>
      <c r="CV1021" s="167">
        <v>0</v>
      </c>
      <c r="CW1021" s="167">
        <v>0</v>
      </c>
      <c r="CX1021" s="167">
        <f>SUM(CD1021:CH1021)</f>
        <v>1</v>
      </c>
      <c r="CY1021" s="167">
        <f>SUM(CD1021:CM1021)</f>
        <v>1</v>
      </c>
    </row>
    <row r="1022" spans="1:103" ht="12.75" customHeight="1" x14ac:dyDescent="0.2">
      <c r="A1022" s="81">
        <v>6401</v>
      </c>
      <c r="B1022" s="165" t="s">
        <v>1930</v>
      </c>
      <c r="C1022" s="165" t="s">
        <v>2756</v>
      </c>
      <c r="E1022" s="165" t="s">
        <v>2757</v>
      </c>
      <c r="G1022" s="81">
        <v>527976</v>
      </c>
      <c r="H1022" s="81">
        <v>170842</v>
      </c>
      <c r="I1022" s="165" t="s">
        <v>253</v>
      </c>
      <c r="L1022" s="166">
        <v>1</v>
      </c>
      <c r="M1022" s="166">
        <v>5</v>
      </c>
      <c r="N1022" s="166">
        <v>4</v>
      </c>
      <c r="O1022" s="166">
        <v>5</v>
      </c>
      <c r="P1022" s="166">
        <v>4</v>
      </c>
      <c r="R1022" s="165" t="s">
        <v>2758</v>
      </c>
      <c r="S1022" s="81" t="s">
        <v>113</v>
      </c>
      <c r="T1022" s="349">
        <v>42877</v>
      </c>
      <c r="U1022" s="349">
        <v>43003</v>
      </c>
      <c r="V1022" s="81" t="s">
        <v>155</v>
      </c>
      <c r="W1022" s="81" t="s">
        <v>114</v>
      </c>
      <c r="Y1022" s="81" t="s">
        <v>115</v>
      </c>
      <c r="Z1022" s="81" t="s">
        <v>398</v>
      </c>
      <c r="AA1022" s="81" t="s">
        <v>117</v>
      </c>
      <c r="AB1022" s="81" t="s">
        <v>120</v>
      </c>
      <c r="AC1022" s="166">
        <v>3.29999998211861E-2</v>
      </c>
      <c r="AG1022" s="81" t="s">
        <v>238</v>
      </c>
      <c r="AH1022" s="81" t="s">
        <v>118</v>
      </c>
      <c r="AK1022" s="166">
        <v>0</v>
      </c>
      <c r="AM1022" s="166">
        <v>0</v>
      </c>
      <c r="AO1022" s="166">
        <v>0</v>
      </c>
      <c r="AP1022" s="166">
        <v>0</v>
      </c>
      <c r="AQ1022" s="166">
        <v>2</v>
      </c>
      <c r="AR1022" s="166">
        <v>3</v>
      </c>
      <c r="AS1022" s="166">
        <v>0</v>
      </c>
      <c r="AT1022" s="166">
        <v>-1</v>
      </c>
      <c r="AU1022" s="166">
        <v>0</v>
      </c>
      <c r="AV1022" s="166">
        <v>0</v>
      </c>
      <c r="AW1022" s="166">
        <v>0</v>
      </c>
      <c r="AX1022" s="166">
        <v>2</v>
      </c>
      <c r="AY1022" s="166">
        <v>3</v>
      </c>
      <c r="AZ1022" s="166">
        <v>0</v>
      </c>
      <c r="BA1022" s="166">
        <v>0</v>
      </c>
      <c r="BB1022" s="166">
        <v>0</v>
      </c>
      <c r="BC1022" s="166">
        <v>0</v>
      </c>
      <c r="BD1022" s="166">
        <v>0</v>
      </c>
      <c r="BE1022" s="166">
        <v>0</v>
      </c>
      <c r="BF1022" s="166">
        <v>0</v>
      </c>
      <c r="BG1022" s="166">
        <v>0</v>
      </c>
      <c r="BH1022" s="166">
        <v>-1</v>
      </c>
      <c r="BI1022" s="166">
        <v>0</v>
      </c>
      <c r="BJ1022" s="166">
        <v>0</v>
      </c>
      <c r="BK1022" s="166">
        <v>0</v>
      </c>
      <c r="BL1022" s="166">
        <v>0</v>
      </c>
      <c r="BM1022" s="166">
        <v>0</v>
      </c>
      <c r="BN1022" s="166">
        <v>0</v>
      </c>
      <c r="BO1022" s="166">
        <v>0</v>
      </c>
      <c r="BP1022" s="166">
        <v>0</v>
      </c>
      <c r="BQ1022" s="81" t="s">
        <v>1757</v>
      </c>
      <c r="BZ1022" s="81" t="s">
        <v>155</v>
      </c>
      <c r="CA1022" s="81" t="s">
        <v>1937</v>
      </c>
      <c r="CC1022" s="167">
        <v>0</v>
      </c>
      <c r="CD1022" s="167">
        <f>$N1022/4</f>
        <v>1</v>
      </c>
      <c r="CE1022" s="167">
        <f>$N1022/4</f>
        <v>1</v>
      </c>
      <c r="CF1022" s="167">
        <f>$N1022/4</f>
        <v>1</v>
      </c>
      <c r="CG1022" s="167">
        <f>$N1022/4</f>
        <v>1</v>
      </c>
      <c r="CH1022" s="167">
        <v>0</v>
      </c>
      <c r="CI1022" s="167">
        <v>0</v>
      </c>
      <c r="CJ1022" s="167">
        <v>0</v>
      </c>
      <c r="CK1022" s="167">
        <v>0</v>
      </c>
      <c r="CL1022" s="167">
        <v>0</v>
      </c>
      <c r="CM1022" s="167">
        <v>0</v>
      </c>
      <c r="CN1022" s="167">
        <v>0</v>
      </c>
      <c r="CO1022" s="167">
        <v>0</v>
      </c>
      <c r="CP1022" s="167">
        <v>0</v>
      </c>
      <c r="CQ1022" s="167">
        <v>0</v>
      </c>
      <c r="CR1022" s="167">
        <v>0</v>
      </c>
      <c r="CS1022" s="167">
        <v>0</v>
      </c>
      <c r="CT1022" s="167">
        <v>0</v>
      </c>
      <c r="CU1022" s="167">
        <v>0</v>
      </c>
      <c r="CV1022" s="167">
        <v>0</v>
      </c>
      <c r="CW1022" s="167">
        <v>0</v>
      </c>
      <c r="CX1022" s="167">
        <f>SUM(CD1022:CH1022)</f>
        <v>4</v>
      </c>
      <c r="CY1022" s="167">
        <f>SUM(CD1022:CM1022)</f>
        <v>4</v>
      </c>
    </row>
    <row r="1023" spans="1:103" ht="12.75" customHeight="1" x14ac:dyDescent="0.2">
      <c r="A1023" s="81">
        <v>6403</v>
      </c>
      <c r="B1023" s="165" t="s">
        <v>1930</v>
      </c>
      <c r="C1023" s="165" t="s">
        <v>1447</v>
      </c>
      <c r="E1023" s="165" t="s">
        <v>2759</v>
      </c>
      <c r="G1023" s="81">
        <v>523845</v>
      </c>
      <c r="H1023" s="81">
        <v>174877</v>
      </c>
      <c r="I1023" s="165" t="s">
        <v>250</v>
      </c>
      <c r="L1023" s="166">
        <v>2</v>
      </c>
      <c r="M1023" s="166">
        <v>2</v>
      </c>
      <c r="N1023" s="166">
        <v>0</v>
      </c>
      <c r="O1023" s="166">
        <v>2</v>
      </c>
      <c r="P1023" s="166">
        <v>0</v>
      </c>
      <c r="R1023" s="165" t="s">
        <v>1448</v>
      </c>
      <c r="S1023" s="81" t="s">
        <v>113</v>
      </c>
      <c r="T1023" s="349">
        <v>42661</v>
      </c>
      <c r="U1023" s="349">
        <v>42753</v>
      </c>
      <c r="W1023" s="81" t="s">
        <v>114</v>
      </c>
      <c r="Y1023" s="81" t="s">
        <v>115</v>
      </c>
      <c r="Z1023" s="81" t="s">
        <v>116</v>
      </c>
      <c r="AA1023" s="81" t="s">
        <v>117</v>
      </c>
      <c r="AB1023" s="81" t="s">
        <v>218</v>
      </c>
      <c r="AC1023" s="166">
        <v>0.10199999809265101</v>
      </c>
      <c r="AG1023" s="81" t="s">
        <v>238</v>
      </c>
      <c r="AH1023" s="81" t="s">
        <v>118</v>
      </c>
      <c r="AK1023" s="166">
        <v>0</v>
      </c>
      <c r="AM1023" s="166">
        <v>2</v>
      </c>
      <c r="AO1023" s="166">
        <v>0</v>
      </c>
      <c r="AP1023" s="166">
        <v>0</v>
      </c>
      <c r="AQ1023" s="166">
        <v>0</v>
      </c>
      <c r="AR1023" s="166">
        <v>-1</v>
      </c>
      <c r="AS1023" s="166">
        <v>1</v>
      </c>
      <c r="AT1023" s="166">
        <v>0</v>
      </c>
      <c r="AU1023" s="166">
        <v>0</v>
      </c>
      <c r="AV1023" s="166">
        <v>0</v>
      </c>
      <c r="AW1023" s="166">
        <v>0</v>
      </c>
      <c r="AX1023" s="166">
        <v>0</v>
      </c>
      <c r="AY1023" s="166">
        <v>0</v>
      </c>
      <c r="AZ1023" s="166">
        <v>0</v>
      </c>
      <c r="BA1023" s="166">
        <v>0</v>
      </c>
      <c r="BB1023" s="166">
        <v>0</v>
      </c>
      <c r="BC1023" s="166">
        <v>0</v>
      </c>
      <c r="BD1023" s="166">
        <v>0</v>
      </c>
      <c r="BE1023" s="166">
        <v>0</v>
      </c>
      <c r="BF1023" s="166">
        <v>-1</v>
      </c>
      <c r="BG1023" s="166">
        <v>1</v>
      </c>
      <c r="BH1023" s="166">
        <v>0</v>
      </c>
      <c r="BI1023" s="166">
        <v>0</v>
      </c>
      <c r="BJ1023" s="166">
        <v>0</v>
      </c>
      <c r="BK1023" s="166">
        <v>0</v>
      </c>
      <c r="BL1023" s="166">
        <v>0</v>
      </c>
      <c r="BM1023" s="166">
        <v>0</v>
      </c>
      <c r="BN1023" s="166">
        <v>0</v>
      </c>
      <c r="BO1023" s="166">
        <v>0</v>
      </c>
      <c r="BP1023" s="166">
        <v>0</v>
      </c>
      <c r="BQ1023" s="81" t="s">
        <v>1758</v>
      </c>
      <c r="BZ1023" s="81" t="s">
        <v>155</v>
      </c>
      <c r="CA1023" s="81">
        <v>4</v>
      </c>
      <c r="CC1023" s="167">
        <v>0</v>
      </c>
      <c r="CD1023" s="167">
        <v>0</v>
      </c>
      <c r="CE1023" s="167">
        <f>$N1023/5</f>
        <v>0</v>
      </c>
      <c r="CF1023" s="167">
        <f>$N1023/5</f>
        <v>0</v>
      </c>
      <c r="CG1023" s="167">
        <f>$N1023/5</f>
        <v>0</v>
      </c>
      <c r="CH1023" s="167">
        <f>$N1023/5</f>
        <v>0</v>
      </c>
      <c r="CI1023" s="167">
        <f>$N1023/5</f>
        <v>0</v>
      </c>
      <c r="CJ1023" s="167">
        <v>0</v>
      </c>
      <c r="CK1023" s="167">
        <v>0</v>
      </c>
      <c r="CL1023" s="167">
        <v>0</v>
      </c>
      <c r="CM1023" s="167">
        <v>0</v>
      </c>
      <c r="CN1023" s="167">
        <v>0</v>
      </c>
      <c r="CO1023" s="167">
        <v>0</v>
      </c>
      <c r="CP1023" s="167">
        <v>0</v>
      </c>
      <c r="CQ1023" s="167">
        <v>0</v>
      </c>
      <c r="CR1023" s="167">
        <v>0</v>
      </c>
      <c r="CS1023" s="167">
        <v>0</v>
      </c>
      <c r="CT1023" s="167">
        <v>0</v>
      </c>
      <c r="CU1023" s="167">
        <v>0</v>
      </c>
      <c r="CV1023" s="167">
        <v>0</v>
      </c>
      <c r="CW1023" s="167">
        <v>0</v>
      </c>
      <c r="CX1023" s="167">
        <f>SUM(CD1023:CH1023)</f>
        <v>0</v>
      </c>
      <c r="CY1023" s="167">
        <f>SUM(CD1023:CM1023)</f>
        <v>0</v>
      </c>
    </row>
    <row r="1024" spans="1:103" ht="12.75" customHeight="1" x14ac:dyDescent="0.2">
      <c r="A1024" s="81">
        <v>6404</v>
      </c>
      <c r="B1024" s="165" t="s">
        <v>1930</v>
      </c>
      <c r="C1024" s="165" t="s">
        <v>1635</v>
      </c>
      <c r="E1024" s="165" t="s">
        <v>3432</v>
      </c>
      <c r="G1024" s="81">
        <v>526552</v>
      </c>
      <c r="H1024" s="81">
        <v>172073</v>
      </c>
      <c r="I1024" s="165" t="s">
        <v>249</v>
      </c>
      <c r="L1024" s="166">
        <v>1</v>
      </c>
      <c r="M1024" s="166">
        <v>9</v>
      </c>
      <c r="N1024" s="166">
        <v>8</v>
      </c>
      <c r="O1024" s="166">
        <v>9</v>
      </c>
      <c r="P1024" s="166">
        <v>8</v>
      </c>
      <c r="R1024" s="165" t="s">
        <v>1636</v>
      </c>
      <c r="S1024" s="81" t="s">
        <v>113</v>
      </c>
      <c r="T1024" s="349">
        <v>42776</v>
      </c>
      <c r="U1024" s="349">
        <v>42852</v>
      </c>
      <c r="V1024" s="81" t="s">
        <v>155</v>
      </c>
      <c r="W1024" s="81" t="s">
        <v>114</v>
      </c>
      <c r="Y1024" s="81" t="s">
        <v>115</v>
      </c>
      <c r="Z1024" s="81" t="s">
        <v>116</v>
      </c>
      <c r="AA1024" s="81" t="s">
        <v>117</v>
      </c>
      <c r="AB1024" s="81" t="s">
        <v>218</v>
      </c>
      <c r="AC1024" s="166">
        <v>1.7999999225139601E-2</v>
      </c>
      <c r="AG1024" s="81" t="s">
        <v>238</v>
      </c>
      <c r="AH1024" s="81" t="s">
        <v>118</v>
      </c>
      <c r="AK1024" s="166">
        <v>8</v>
      </c>
      <c r="AM1024" s="166">
        <v>1</v>
      </c>
      <c r="AO1024" s="166">
        <v>0</v>
      </c>
      <c r="AP1024" s="166">
        <v>5</v>
      </c>
      <c r="AQ1024" s="166">
        <v>3</v>
      </c>
      <c r="AR1024" s="166">
        <v>0</v>
      </c>
      <c r="AS1024" s="166">
        <v>0</v>
      </c>
      <c r="AT1024" s="166">
        <v>0</v>
      </c>
      <c r="AU1024" s="166">
        <v>0</v>
      </c>
      <c r="AV1024" s="166">
        <v>0</v>
      </c>
      <c r="AW1024" s="166">
        <v>5</v>
      </c>
      <c r="AX1024" s="166">
        <v>4</v>
      </c>
      <c r="AY1024" s="166">
        <v>0</v>
      </c>
      <c r="AZ1024" s="166">
        <v>0</v>
      </c>
      <c r="BA1024" s="166">
        <v>0</v>
      </c>
      <c r="BB1024" s="166">
        <v>0</v>
      </c>
      <c r="BC1024" s="166">
        <v>0</v>
      </c>
      <c r="BD1024" s="166">
        <v>0</v>
      </c>
      <c r="BE1024" s="166">
        <v>-1</v>
      </c>
      <c r="BF1024" s="166">
        <v>0</v>
      </c>
      <c r="BG1024" s="166">
        <v>0</v>
      </c>
      <c r="BH1024" s="166">
        <v>0</v>
      </c>
      <c r="BI1024" s="166">
        <v>0</v>
      </c>
      <c r="BJ1024" s="166">
        <v>0</v>
      </c>
      <c r="BK1024" s="166">
        <v>0</v>
      </c>
      <c r="BL1024" s="166">
        <v>0</v>
      </c>
      <c r="BM1024" s="166">
        <v>0</v>
      </c>
      <c r="BN1024" s="166">
        <v>0</v>
      </c>
      <c r="BO1024" s="166">
        <v>0</v>
      </c>
      <c r="BP1024" s="166">
        <v>0</v>
      </c>
      <c r="BQ1024" s="81" t="s">
        <v>1758</v>
      </c>
      <c r="BZ1024" s="81" t="s">
        <v>155</v>
      </c>
      <c r="CA1024" s="81" t="s">
        <v>3936</v>
      </c>
      <c r="CC1024" s="167">
        <v>0</v>
      </c>
      <c r="CD1024" s="167">
        <v>0</v>
      </c>
      <c r="CE1024" s="167">
        <f>N1024</f>
        <v>8</v>
      </c>
      <c r="CF1024" s="167">
        <v>0</v>
      </c>
      <c r="CG1024" s="167">
        <v>0</v>
      </c>
      <c r="CH1024" s="167">
        <v>0</v>
      </c>
      <c r="CI1024" s="167">
        <v>0</v>
      </c>
      <c r="CJ1024" s="167">
        <v>0</v>
      </c>
      <c r="CK1024" s="167">
        <v>0</v>
      </c>
      <c r="CL1024" s="167">
        <v>0</v>
      </c>
      <c r="CM1024" s="167">
        <v>0</v>
      </c>
      <c r="CN1024" s="167">
        <v>0</v>
      </c>
      <c r="CO1024" s="167">
        <v>0</v>
      </c>
      <c r="CP1024" s="167">
        <v>0</v>
      </c>
      <c r="CQ1024" s="167">
        <v>0</v>
      </c>
      <c r="CR1024" s="167">
        <v>0</v>
      </c>
      <c r="CS1024" s="167">
        <v>0</v>
      </c>
      <c r="CT1024" s="167">
        <v>0</v>
      </c>
      <c r="CU1024" s="167">
        <v>0</v>
      </c>
      <c r="CV1024" s="167">
        <v>0</v>
      </c>
      <c r="CW1024" s="167">
        <v>0</v>
      </c>
      <c r="CX1024" s="167">
        <f>SUM(CD1024:CH1024)</f>
        <v>8</v>
      </c>
      <c r="CY1024" s="167">
        <f>SUM(CD1024:CM1024)</f>
        <v>8</v>
      </c>
    </row>
    <row r="1025" spans="1:103" ht="12.75" customHeight="1" x14ac:dyDescent="0.2">
      <c r="A1025" s="81">
        <v>6405</v>
      </c>
      <c r="B1025" s="165" t="s">
        <v>1930</v>
      </c>
      <c r="C1025" s="165" t="s">
        <v>1483</v>
      </c>
      <c r="E1025" s="165" t="s">
        <v>2760</v>
      </c>
      <c r="G1025" s="81">
        <v>528518</v>
      </c>
      <c r="H1025" s="81">
        <v>173236</v>
      </c>
      <c r="I1025" s="165" t="s">
        <v>247</v>
      </c>
      <c r="L1025" s="166">
        <v>0</v>
      </c>
      <c r="M1025" s="166">
        <v>4</v>
      </c>
      <c r="N1025" s="166">
        <v>4</v>
      </c>
      <c r="O1025" s="166">
        <v>4</v>
      </c>
      <c r="P1025" s="166">
        <v>4</v>
      </c>
      <c r="R1025" s="165" t="s">
        <v>1484</v>
      </c>
      <c r="S1025" s="81" t="s">
        <v>113</v>
      </c>
      <c r="T1025" s="349">
        <v>42691</v>
      </c>
      <c r="U1025" s="349">
        <v>42753</v>
      </c>
      <c r="W1025" s="81" t="s">
        <v>114</v>
      </c>
      <c r="Y1025" s="81" t="s">
        <v>115</v>
      </c>
      <c r="Z1025" s="81" t="s">
        <v>398</v>
      </c>
      <c r="AA1025" s="81" t="s">
        <v>117</v>
      </c>
      <c r="AB1025" s="81" t="s">
        <v>102</v>
      </c>
      <c r="AC1025" s="166">
        <v>4.6999998390674598E-2</v>
      </c>
      <c r="AG1025" s="81" t="s">
        <v>238</v>
      </c>
      <c r="AH1025" s="81" t="s">
        <v>118</v>
      </c>
      <c r="AK1025" s="166">
        <v>0</v>
      </c>
      <c r="AM1025" s="166">
        <v>0</v>
      </c>
      <c r="AO1025" s="166">
        <v>0</v>
      </c>
      <c r="AP1025" s="166">
        <v>0</v>
      </c>
      <c r="AQ1025" s="166">
        <v>4</v>
      </c>
      <c r="AR1025" s="166">
        <v>0</v>
      </c>
      <c r="AS1025" s="166">
        <v>0</v>
      </c>
      <c r="AT1025" s="166">
        <v>0</v>
      </c>
      <c r="AU1025" s="166">
        <v>0</v>
      </c>
      <c r="AV1025" s="166">
        <v>0</v>
      </c>
      <c r="AW1025" s="166">
        <v>0</v>
      </c>
      <c r="AX1025" s="166">
        <v>4</v>
      </c>
      <c r="AY1025" s="166">
        <v>0</v>
      </c>
      <c r="AZ1025" s="166">
        <v>0</v>
      </c>
      <c r="BA1025" s="166">
        <v>0</v>
      </c>
      <c r="BB1025" s="166">
        <v>0</v>
      </c>
      <c r="BC1025" s="166">
        <v>0</v>
      </c>
      <c r="BD1025" s="166">
        <v>0</v>
      </c>
      <c r="BE1025" s="166">
        <v>0</v>
      </c>
      <c r="BF1025" s="166">
        <v>0</v>
      </c>
      <c r="BG1025" s="166">
        <v>0</v>
      </c>
      <c r="BH1025" s="166">
        <v>0</v>
      </c>
      <c r="BI1025" s="166">
        <v>0</v>
      </c>
      <c r="BJ1025" s="166">
        <v>0</v>
      </c>
      <c r="BK1025" s="166">
        <v>0</v>
      </c>
      <c r="BL1025" s="166">
        <v>0</v>
      </c>
      <c r="BM1025" s="166">
        <v>0</v>
      </c>
      <c r="BN1025" s="166">
        <v>0</v>
      </c>
      <c r="BO1025" s="166">
        <v>0</v>
      </c>
      <c r="BP1025" s="166">
        <v>0</v>
      </c>
      <c r="BQ1025" s="81" t="s">
        <v>1757</v>
      </c>
      <c r="BR1025" s="81" t="s">
        <v>247</v>
      </c>
      <c r="BZ1025" s="81" t="s">
        <v>155</v>
      </c>
      <c r="CA1025" s="81" t="s">
        <v>1937</v>
      </c>
      <c r="CC1025" s="167">
        <v>0</v>
      </c>
      <c r="CD1025" s="167">
        <f>$N1025/4</f>
        <v>1</v>
      </c>
      <c r="CE1025" s="167">
        <f>$N1025/4</f>
        <v>1</v>
      </c>
      <c r="CF1025" s="167">
        <f>$N1025/4</f>
        <v>1</v>
      </c>
      <c r="CG1025" s="167">
        <f>$N1025/4</f>
        <v>1</v>
      </c>
      <c r="CH1025" s="167">
        <v>0</v>
      </c>
      <c r="CI1025" s="167">
        <v>0</v>
      </c>
      <c r="CJ1025" s="167">
        <v>0</v>
      </c>
      <c r="CK1025" s="167">
        <v>0</v>
      </c>
      <c r="CL1025" s="167">
        <v>0</v>
      </c>
      <c r="CM1025" s="167">
        <v>0</v>
      </c>
      <c r="CN1025" s="167">
        <v>0</v>
      </c>
      <c r="CO1025" s="167">
        <v>0</v>
      </c>
      <c r="CP1025" s="167">
        <v>0</v>
      </c>
      <c r="CQ1025" s="167">
        <v>0</v>
      </c>
      <c r="CR1025" s="167">
        <v>0</v>
      </c>
      <c r="CS1025" s="167">
        <v>0</v>
      </c>
      <c r="CT1025" s="167">
        <v>0</v>
      </c>
      <c r="CU1025" s="167">
        <v>0</v>
      </c>
      <c r="CV1025" s="167">
        <v>0</v>
      </c>
      <c r="CW1025" s="167">
        <v>0</v>
      </c>
      <c r="CX1025" s="167">
        <f>SUM(CD1025:CH1025)</f>
        <v>4</v>
      </c>
      <c r="CY1025" s="167">
        <f>SUM(CD1025:CM1025)</f>
        <v>4</v>
      </c>
    </row>
    <row r="1026" spans="1:103" ht="12.75" customHeight="1" x14ac:dyDescent="0.2">
      <c r="A1026" s="81">
        <v>6406</v>
      </c>
      <c r="B1026" s="165" t="s">
        <v>1930</v>
      </c>
      <c r="C1026" s="165" t="s">
        <v>1495</v>
      </c>
      <c r="E1026" s="165" t="s">
        <v>2761</v>
      </c>
      <c r="G1026" s="81">
        <v>524844</v>
      </c>
      <c r="H1026" s="81">
        <v>174634</v>
      </c>
      <c r="I1026" s="165" t="s">
        <v>250</v>
      </c>
      <c r="L1026" s="166">
        <v>0</v>
      </c>
      <c r="M1026" s="166">
        <v>1</v>
      </c>
      <c r="N1026" s="166">
        <v>1</v>
      </c>
      <c r="O1026" s="166">
        <v>1</v>
      </c>
      <c r="P1026" s="166">
        <v>1</v>
      </c>
      <c r="R1026" s="165" t="s">
        <v>1496</v>
      </c>
      <c r="S1026" s="81" t="s">
        <v>110</v>
      </c>
      <c r="T1026" s="349">
        <v>42706</v>
      </c>
      <c r="U1026" s="349">
        <v>42761</v>
      </c>
      <c r="W1026" s="81" t="s">
        <v>114</v>
      </c>
      <c r="Y1026" s="81" t="s">
        <v>115</v>
      </c>
      <c r="Z1026" s="81" t="s">
        <v>310</v>
      </c>
      <c r="AA1026" s="81" t="s">
        <v>117</v>
      </c>
      <c r="AB1026" s="81" t="s">
        <v>102</v>
      </c>
      <c r="AC1026" s="166">
        <v>4.0000001899898104E-3</v>
      </c>
      <c r="AG1026" s="81" t="s">
        <v>238</v>
      </c>
      <c r="AH1026" s="81" t="s">
        <v>118</v>
      </c>
      <c r="AK1026" s="166">
        <v>0</v>
      </c>
      <c r="AM1026" s="166">
        <v>0</v>
      </c>
      <c r="AO1026" s="166">
        <v>0</v>
      </c>
      <c r="AP1026" s="166">
        <v>1</v>
      </c>
      <c r="AQ1026" s="166">
        <v>0</v>
      </c>
      <c r="AR1026" s="166">
        <v>0</v>
      </c>
      <c r="AS1026" s="166">
        <v>0</v>
      </c>
      <c r="AT1026" s="166">
        <v>0</v>
      </c>
      <c r="AU1026" s="166">
        <v>0</v>
      </c>
      <c r="AV1026" s="166">
        <v>0</v>
      </c>
      <c r="AW1026" s="166">
        <v>1</v>
      </c>
      <c r="AX1026" s="166">
        <v>0</v>
      </c>
      <c r="AY1026" s="166">
        <v>0</v>
      </c>
      <c r="AZ1026" s="166">
        <v>0</v>
      </c>
      <c r="BA1026" s="166">
        <v>0</v>
      </c>
      <c r="BB1026" s="166">
        <v>0</v>
      </c>
      <c r="BC1026" s="166">
        <v>0</v>
      </c>
      <c r="BD1026" s="166">
        <v>0</v>
      </c>
      <c r="BE1026" s="166">
        <v>0</v>
      </c>
      <c r="BF1026" s="166">
        <v>0</v>
      </c>
      <c r="BG1026" s="166">
        <v>0</v>
      </c>
      <c r="BH1026" s="166">
        <v>0</v>
      </c>
      <c r="BI1026" s="166">
        <v>0</v>
      </c>
      <c r="BJ1026" s="166">
        <v>0</v>
      </c>
      <c r="BK1026" s="166">
        <v>0</v>
      </c>
      <c r="BL1026" s="166">
        <v>0</v>
      </c>
      <c r="BM1026" s="166">
        <v>0</v>
      </c>
      <c r="BN1026" s="166">
        <v>0</v>
      </c>
      <c r="BO1026" s="166">
        <v>0</v>
      </c>
      <c r="BP1026" s="166">
        <v>0</v>
      </c>
      <c r="BQ1026" s="81" t="s">
        <v>1758</v>
      </c>
      <c r="BZ1026" s="81" t="s">
        <v>155</v>
      </c>
      <c r="CA1026" s="81" t="s">
        <v>1937</v>
      </c>
      <c r="CC1026" s="167">
        <v>0</v>
      </c>
      <c r="CD1026" s="167">
        <f>$N1026/4</f>
        <v>0.25</v>
      </c>
      <c r="CE1026" s="167">
        <f>$N1026/4</f>
        <v>0.25</v>
      </c>
      <c r="CF1026" s="167">
        <f>$N1026/4</f>
        <v>0.25</v>
      </c>
      <c r="CG1026" s="167">
        <f>$N1026/4</f>
        <v>0.25</v>
      </c>
      <c r="CH1026" s="167">
        <v>0</v>
      </c>
      <c r="CI1026" s="167">
        <v>0</v>
      </c>
      <c r="CJ1026" s="167">
        <v>0</v>
      </c>
      <c r="CK1026" s="167">
        <v>0</v>
      </c>
      <c r="CL1026" s="167">
        <v>0</v>
      </c>
      <c r="CM1026" s="167">
        <v>0</v>
      </c>
      <c r="CN1026" s="167">
        <v>0</v>
      </c>
      <c r="CO1026" s="167">
        <v>0</v>
      </c>
      <c r="CP1026" s="167">
        <v>0</v>
      </c>
      <c r="CQ1026" s="167">
        <v>0</v>
      </c>
      <c r="CR1026" s="167">
        <v>0</v>
      </c>
      <c r="CS1026" s="167">
        <v>0</v>
      </c>
      <c r="CT1026" s="167">
        <v>0</v>
      </c>
      <c r="CU1026" s="167">
        <v>0</v>
      </c>
      <c r="CV1026" s="167">
        <v>0</v>
      </c>
      <c r="CW1026" s="167">
        <v>0</v>
      </c>
      <c r="CX1026" s="167">
        <f>SUM(CD1026:CH1026)</f>
        <v>1</v>
      </c>
      <c r="CY1026" s="167">
        <f>SUM(CD1026:CM1026)</f>
        <v>1</v>
      </c>
    </row>
    <row r="1027" spans="1:103" ht="12.75" customHeight="1" x14ac:dyDescent="0.2">
      <c r="A1027" s="81">
        <v>6414</v>
      </c>
      <c r="B1027" s="165" t="s">
        <v>1930</v>
      </c>
      <c r="C1027" s="165" t="s">
        <v>1475</v>
      </c>
      <c r="E1027" s="165" t="s">
        <v>2762</v>
      </c>
      <c r="G1027" s="81">
        <v>526402</v>
      </c>
      <c r="H1027" s="81">
        <v>173902</v>
      </c>
      <c r="I1027" s="165" t="s">
        <v>260</v>
      </c>
      <c r="L1027" s="166">
        <v>1</v>
      </c>
      <c r="M1027" s="166">
        <v>1</v>
      </c>
      <c r="N1027" s="166">
        <v>0</v>
      </c>
      <c r="O1027" s="166">
        <v>1</v>
      </c>
      <c r="P1027" s="166">
        <v>0</v>
      </c>
      <c r="R1027" s="165" t="s">
        <v>1476</v>
      </c>
      <c r="S1027" s="81" t="s">
        <v>113</v>
      </c>
      <c r="T1027" s="349">
        <v>42716</v>
      </c>
      <c r="U1027" s="349">
        <v>42772</v>
      </c>
      <c r="W1027" s="81" t="s">
        <v>114</v>
      </c>
      <c r="Y1027" s="81" t="s">
        <v>115</v>
      </c>
      <c r="Z1027" s="81" t="s">
        <v>119</v>
      </c>
      <c r="AA1027" s="81" t="s">
        <v>117</v>
      </c>
      <c r="AB1027" s="81" t="s">
        <v>120</v>
      </c>
      <c r="AC1027" s="166">
        <v>1.9999999552965199E-2</v>
      </c>
      <c r="AG1027" s="81" t="s">
        <v>238</v>
      </c>
      <c r="AH1027" s="81" t="s">
        <v>118</v>
      </c>
      <c r="AK1027" s="166">
        <v>0</v>
      </c>
      <c r="AM1027" s="166">
        <v>0</v>
      </c>
      <c r="AO1027" s="166">
        <v>0</v>
      </c>
      <c r="AP1027" s="166">
        <v>0</v>
      </c>
      <c r="AQ1027" s="166">
        <v>1</v>
      </c>
      <c r="AR1027" s="166">
        <v>0</v>
      </c>
      <c r="AS1027" s="166">
        <v>0</v>
      </c>
      <c r="AT1027" s="166">
        <v>-1</v>
      </c>
      <c r="AU1027" s="166">
        <v>0</v>
      </c>
      <c r="AV1027" s="166">
        <v>0</v>
      </c>
      <c r="AW1027" s="166">
        <v>0</v>
      </c>
      <c r="AX1027" s="166">
        <v>1</v>
      </c>
      <c r="AY1027" s="166">
        <v>0</v>
      </c>
      <c r="AZ1027" s="166">
        <v>0</v>
      </c>
      <c r="BA1027" s="166">
        <v>0</v>
      </c>
      <c r="BB1027" s="166">
        <v>0</v>
      </c>
      <c r="BC1027" s="166">
        <v>0</v>
      </c>
      <c r="BD1027" s="166">
        <v>0</v>
      </c>
      <c r="BE1027" s="166">
        <v>0</v>
      </c>
      <c r="BF1027" s="166">
        <v>0</v>
      </c>
      <c r="BG1027" s="166">
        <v>0</v>
      </c>
      <c r="BH1027" s="166">
        <v>-1</v>
      </c>
      <c r="BI1027" s="166">
        <v>0</v>
      </c>
      <c r="BJ1027" s="166">
        <v>0</v>
      </c>
      <c r="BK1027" s="166">
        <v>0</v>
      </c>
      <c r="BL1027" s="166">
        <v>0</v>
      </c>
      <c r="BM1027" s="166">
        <v>0</v>
      </c>
      <c r="BN1027" s="166">
        <v>0</v>
      </c>
      <c r="BO1027" s="166">
        <v>0</v>
      </c>
      <c r="BP1027" s="166">
        <v>0</v>
      </c>
      <c r="BQ1027" s="81" t="s">
        <v>1758</v>
      </c>
      <c r="BZ1027" s="81" t="s">
        <v>155</v>
      </c>
      <c r="CA1027" s="81" t="s">
        <v>1937</v>
      </c>
      <c r="CC1027" s="167">
        <v>0</v>
      </c>
      <c r="CD1027" s="167">
        <f>$N1027/4</f>
        <v>0</v>
      </c>
      <c r="CE1027" s="167">
        <f>$N1027/4</f>
        <v>0</v>
      </c>
      <c r="CF1027" s="167">
        <f>$N1027/4</f>
        <v>0</v>
      </c>
      <c r="CG1027" s="167">
        <f>$N1027/4</f>
        <v>0</v>
      </c>
      <c r="CH1027" s="167">
        <v>0</v>
      </c>
      <c r="CI1027" s="167">
        <v>0</v>
      </c>
      <c r="CJ1027" s="167">
        <v>0</v>
      </c>
      <c r="CK1027" s="167">
        <v>0</v>
      </c>
      <c r="CL1027" s="167">
        <v>0</v>
      </c>
      <c r="CM1027" s="167">
        <v>0</v>
      </c>
      <c r="CN1027" s="167">
        <v>0</v>
      </c>
      <c r="CO1027" s="167">
        <v>0</v>
      </c>
      <c r="CP1027" s="167">
        <v>0</v>
      </c>
      <c r="CQ1027" s="167">
        <v>0</v>
      </c>
      <c r="CR1027" s="167">
        <v>0</v>
      </c>
      <c r="CS1027" s="167">
        <v>0</v>
      </c>
      <c r="CT1027" s="167">
        <v>0</v>
      </c>
      <c r="CU1027" s="167">
        <v>0</v>
      </c>
      <c r="CV1027" s="167">
        <v>0</v>
      </c>
      <c r="CW1027" s="167">
        <v>0</v>
      </c>
      <c r="CX1027" s="167">
        <f>SUM(CD1027:CH1027)</f>
        <v>0</v>
      </c>
      <c r="CY1027" s="167">
        <f>SUM(CD1027:CM1027)</f>
        <v>0</v>
      </c>
    </row>
    <row r="1028" spans="1:103" ht="12.75" customHeight="1" x14ac:dyDescent="0.2">
      <c r="A1028" s="81">
        <v>6417</v>
      </c>
      <c r="B1028" s="165" t="s">
        <v>1930</v>
      </c>
      <c r="C1028" s="165" t="s">
        <v>1420</v>
      </c>
      <c r="E1028" s="165" t="s">
        <v>2763</v>
      </c>
      <c r="G1028" s="81">
        <v>527317</v>
      </c>
      <c r="H1028" s="81">
        <v>176327</v>
      </c>
      <c r="I1028" s="165" t="s">
        <v>257</v>
      </c>
      <c r="L1028" s="166">
        <v>0</v>
      </c>
      <c r="M1028" s="166">
        <v>1</v>
      </c>
      <c r="N1028" s="166">
        <v>1</v>
      </c>
      <c r="O1028" s="166">
        <v>1</v>
      </c>
      <c r="P1028" s="166">
        <v>1</v>
      </c>
      <c r="R1028" s="165" t="s">
        <v>1421</v>
      </c>
      <c r="S1028" s="81" t="s">
        <v>113</v>
      </c>
      <c r="T1028" s="349">
        <v>42634</v>
      </c>
      <c r="U1028" s="349">
        <v>42793</v>
      </c>
      <c r="W1028" s="81" t="s">
        <v>114</v>
      </c>
      <c r="Y1028" s="81" t="s">
        <v>115</v>
      </c>
      <c r="Z1028" s="81" t="s">
        <v>219</v>
      </c>
      <c r="AA1028" s="81" t="s">
        <v>117</v>
      </c>
      <c r="AB1028" s="81" t="s">
        <v>3889</v>
      </c>
      <c r="AC1028" s="166">
        <v>3.0000000260770299E-3</v>
      </c>
      <c r="AG1028" s="81" t="s">
        <v>238</v>
      </c>
      <c r="AH1028" s="81" t="s">
        <v>118</v>
      </c>
      <c r="AK1028" s="166">
        <v>0</v>
      </c>
      <c r="AM1028" s="166">
        <v>0</v>
      </c>
      <c r="AO1028" s="166">
        <v>0</v>
      </c>
      <c r="AP1028" s="166">
        <v>1</v>
      </c>
      <c r="AQ1028" s="166">
        <v>0</v>
      </c>
      <c r="AR1028" s="166">
        <v>0</v>
      </c>
      <c r="AS1028" s="166">
        <v>0</v>
      </c>
      <c r="AT1028" s="166">
        <v>0</v>
      </c>
      <c r="AU1028" s="166">
        <v>0</v>
      </c>
      <c r="AV1028" s="166">
        <v>0</v>
      </c>
      <c r="AW1028" s="166">
        <v>1</v>
      </c>
      <c r="AX1028" s="166">
        <v>0</v>
      </c>
      <c r="AY1028" s="166">
        <v>0</v>
      </c>
      <c r="AZ1028" s="166">
        <v>0</v>
      </c>
      <c r="BA1028" s="166">
        <v>0</v>
      </c>
      <c r="BB1028" s="166">
        <v>0</v>
      </c>
      <c r="BC1028" s="166">
        <v>0</v>
      </c>
      <c r="BD1028" s="166">
        <v>0</v>
      </c>
      <c r="BE1028" s="166">
        <v>0</v>
      </c>
      <c r="BF1028" s="166">
        <v>0</v>
      </c>
      <c r="BG1028" s="166">
        <v>0</v>
      </c>
      <c r="BH1028" s="166">
        <v>0</v>
      </c>
      <c r="BI1028" s="166">
        <v>0</v>
      </c>
      <c r="BJ1028" s="166">
        <v>0</v>
      </c>
      <c r="BK1028" s="166">
        <v>0</v>
      </c>
      <c r="BL1028" s="166">
        <v>0</v>
      </c>
      <c r="BM1028" s="166">
        <v>0</v>
      </c>
      <c r="BN1028" s="166">
        <v>0</v>
      </c>
      <c r="BO1028" s="166">
        <v>0</v>
      </c>
      <c r="BP1028" s="166">
        <v>0</v>
      </c>
      <c r="BQ1028" s="81" t="s">
        <v>1757</v>
      </c>
      <c r="BZ1028" s="81" t="s">
        <v>155</v>
      </c>
      <c r="CA1028" s="81" t="s">
        <v>1937</v>
      </c>
      <c r="CC1028" s="167">
        <v>0</v>
      </c>
      <c r="CD1028" s="167">
        <f>$N1028/4</f>
        <v>0.25</v>
      </c>
      <c r="CE1028" s="167">
        <f>$N1028/4</f>
        <v>0.25</v>
      </c>
      <c r="CF1028" s="167">
        <f>$N1028/4</f>
        <v>0.25</v>
      </c>
      <c r="CG1028" s="167">
        <f>$N1028/4</f>
        <v>0.25</v>
      </c>
      <c r="CH1028" s="167">
        <v>0</v>
      </c>
      <c r="CI1028" s="167">
        <v>0</v>
      </c>
      <c r="CJ1028" s="167">
        <v>0</v>
      </c>
      <c r="CK1028" s="167">
        <v>0</v>
      </c>
      <c r="CL1028" s="167">
        <v>0</v>
      </c>
      <c r="CM1028" s="167">
        <v>0</v>
      </c>
      <c r="CN1028" s="167">
        <v>0</v>
      </c>
      <c r="CO1028" s="167">
        <v>0</v>
      </c>
      <c r="CP1028" s="167">
        <v>0</v>
      </c>
      <c r="CQ1028" s="167">
        <v>0</v>
      </c>
      <c r="CR1028" s="167">
        <v>0</v>
      </c>
      <c r="CS1028" s="167">
        <v>0</v>
      </c>
      <c r="CT1028" s="167">
        <v>0</v>
      </c>
      <c r="CU1028" s="167">
        <v>0</v>
      </c>
      <c r="CV1028" s="167">
        <v>0</v>
      </c>
      <c r="CW1028" s="167">
        <v>0</v>
      </c>
      <c r="CX1028" s="167">
        <f>SUM(CD1028:CH1028)</f>
        <v>1</v>
      </c>
      <c r="CY1028" s="167">
        <f>SUM(CD1028:CM1028)</f>
        <v>1</v>
      </c>
    </row>
    <row r="1029" spans="1:103" ht="12.75" customHeight="1" x14ac:dyDescent="0.2">
      <c r="A1029" s="81">
        <v>6419</v>
      </c>
      <c r="B1029" s="165" t="s">
        <v>1930</v>
      </c>
      <c r="C1029" s="165" t="s">
        <v>1221</v>
      </c>
      <c r="E1029" s="165" t="s">
        <v>3435</v>
      </c>
      <c r="G1029" s="81">
        <v>527130</v>
      </c>
      <c r="H1029" s="81">
        <v>176085</v>
      </c>
      <c r="I1029" s="165" t="s">
        <v>241</v>
      </c>
      <c r="L1029" s="166">
        <v>0</v>
      </c>
      <c r="M1029" s="166">
        <v>25</v>
      </c>
      <c r="N1029" s="166">
        <v>25</v>
      </c>
      <c r="O1029" s="166">
        <v>25</v>
      </c>
      <c r="P1029" s="166">
        <v>25</v>
      </c>
      <c r="Q1029" s="81" t="s">
        <v>155</v>
      </c>
      <c r="R1029" s="165" t="s">
        <v>1222</v>
      </c>
      <c r="S1029" s="81" t="s">
        <v>104</v>
      </c>
      <c r="T1029" s="349">
        <v>42472</v>
      </c>
      <c r="U1029" s="349">
        <v>42790</v>
      </c>
      <c r="W1029" s="81" t="s">
        <v>114</v>
      </c>
      <c r="Y1029" s="81" t="s">
        <v>115</v>
      </c>
      <c r="Z1029" s="81" t="s">
        <v>116</v>
      </c>
      <c r="AA1029" s="81" t="s">
        <v>116</v>
      </c>
      <c r="AB1029" s="81" t="s">
        <v>117</v>
      </c>
      <c r="AC1029" s="166">
        <v>7.1000002324581105E-2</v>
      </c>
      <c r="AG1029" s="81" t="s">
        <v>238</v>
      </c>
      <c r="AH1029" s="81" t="s">
        <v>118</v>
      </c>
      <c r="AK1029" s="166">
        <v>3</v>
      </c>
      <c r="AM1029" s="166">
        <v>25</v>
      </c>
      <c r="AO1029" s="166">
        <v>0</v>
      </c>
      <c r="AP1029" s="166">
        <v>8</v>
      </c>
      <c r="AQ1029" s="166">
        <v>13</v>
      </c>
      <c r="AR1029" s="166">
        <v>4</v>
      </c>
      <c r="AS1029" s="166">
        <v>0</v>
      </c>
      <c r="AT1029" s="166">
        <v>0</v>
      </c>
      <c r="AU1029" s="166">
        <v>0</v>
      </c>
      <c r="AV1029" s="166">
        <v>0</v>
      </c>
      <c r="AW1029" s="166">
        <v>8</v>
      </c>
      <c r="AX1029" s="166">
        <v>13</v>
      </c>
      <c r="AY1029" s="166">
        <v>4</v>
      </c>
      <c r="AZ1029" s="166">
        <v>0</v>
      </c>
      <c r="BA1029" s="166">
        <v>0</v>
      </c>
      <c r="BB1029" s="166">
        <v>0</v>
      </c>
      <c r="BC1029" s="166">
        <v>0</v>
      </c>
      <c r="BD1029" s="166">
        <v>0</v>
      </c>
      <c r="BE1029" s="166">
        <v>0</v>
      </c>
      <c r="BF1029" s="166">
        <v>0</v>
      </c>
      <c r="BG1029" s="166">
        <v>0</v>
      </c>
      <c r="BH1029" s="166">
        <v>0</v>
      </c>
      <c r="BI1029" s="166">
        <v>0</v>
      </c>
      <c r="BJ1029" s="166">
        <v>0</v>
      </c>
      <c r="BK1029" s="166">
        <v>0</v>
      </c>
      <c r="BL1029" s="166">
        <v>0</v>
      </c>
      <c r="BM1029" s="166">
        <v>0</v>
      </c>
      <c r="BN1029" s="166">
        <v>0</v>
      </c>
      <c r="BO1029" s="166">
        <v>0</v>
      </c>
      <c r="BP1029" s="166">
        <v>0</v>
      </c>
      <c r="BQ1029" s="81" t="s">
        <v>1757</v>
      </c>
      <c r="BZ1029" s="81" t="s">
        <v>155</v>
      </c>
      <c r="CA1029" s="81" t="s">
        <v>3936</v>
      </c>
      <c r="CC1029" s="167">
        <v>0</v>
      </c>
      <c r="CD1029" s="167">
        <v>0</v>
      </c>
      <c r="CE1029" s="167">
        <f>$N1029/3</f>
        <v>8.3333333333333339</v>
      </c>
      <c r="CF1029" s="167">
        <f>$N1029/3</f>
        <v>8.3333333333333339</v>
      </c>
      <c r="CG1029" s="167">
        <f>$N1029/3</f>
        <v>8.3333333333333339</v>
      </c>
      <c r="CH1029" s="167">
        <v>0</v>
      </c>
      <c r="CI1029" s="167">
        <v>0</v>
      </c>
      <c r="CJ1029" s="167">
        <v>0</v>
      </c>
      <c r="CK1029" s="167">
        <v>0</v>
      </c>
      <c r="CL1029" s="167">
        <v>0</v>
      </c>
      <c r="CM1029" s="167">
        <v>0</v>
      </c>
      <c r="CN1029" s="167">
        <v>0</v>
      </c>
      <c r="CO1029" s="167">
        <v>0</v>
      </c>
      <c r="CP1029" s="167">
        <v>0</v>
      </c>
      <c r="CQ1029" s="167">
        <v>0</v>
      </c>
      <c r="CR1029" s="167">
        <v>0</v>
      </c>
      <c r="CS1029" s="167">
        <v>0</v>
      </c>
      <c r="CT1029" s="167">
        <v>0</v>
      </c>
      <c r="CU1029" s="167">
        <v>0</v>
      </c>
      <c r="CV1029" s="167">
        <v>0</v>
      </c>
      <c r="CW1029" s="167">
        <v>0</v>
      </c>
      <c r="CX1029" s="167">
        <f>SUM(CD1029:CH1029)</f>
        <v>25</v>
      </c>
      <c r="CY1029" s="167">
        <f>SUM(CD1029:CM1029)</f>
        <v>25</v>
      </c>
    </row>
    <row r="1030" spans="1:103" ht="12.75" customHeight="1" x14ac:dyDescent="0.2">
      <c r="A1030" s="81">
        <v>6426</v>
      </c>
      <c r="B1030" s="165" t="s">
        <v>1930</v>
      </c>
      <c r="C1030" s="165" t="s">
        <v>2764</v>
      </c>
      <c r="E1030" s="165" t="s">
        <v>2765</v>
      </c>
      <c r="G1030" s="81">
        <v>527111</v>
      </c>
      <c r="H1030" s="81">
        <v>170959</v>
      </c>
      <c r="I1030" s="165" t="s">
        <v>242</v>
      </c>
      <c r="L1030" s="166">
        <v>0</v>
      </c>
      <c r="M1030" s="166">
        <v>2</v>
      </c>
      <c r="N1030" s="166">
        <v>2</v>
      </c>
      <c r="O1030" s="166">
        <v>2</v>
      </c>
      <c r="P1030" s="166">
        <v>2</v>
      </c>
      <c r="R1030" s="165" t="s">
        <v>2766</v>
      </c>
      <c r="S1030" s="81" t="s">
        <v>113</v>
      </c>
      <c r="T1030" s="349">
        <v>42859</v>
      </c>
      <c r="U1030" s="349">
        <v>42944</v>
      </c>
      <c r="V1030" s="81" t="s">
        <v>155</v>
      </c>
      <c r="W1030" s="81" t="s">
        <v>114</v>
      </c>
      <c r="Y1030" s="81" t="s">
        <v>115</v>
      </c>
      <c r="Z1030" s="81" t="s">
        <v>398</v>
      </c>
      <c r="AA1030" s="81" t="s">
        <v>117</v>
      </c>
      <c r="AB1030" s="81" t="s">
        <v>399</v>
      </c>
      <c r="AC1030" s="166">
        <v>2.0000000949949E-3</v>
      </c>
      <c r="AG1030" s="81" t="s">
        <v>238</v>
      </c>
      <c r="AH1030" s="81" t="s">
        <v>118</v>
      </c>
      <c r="AK1030" s="166">
        <v>0</v>
      </c>
      <c r="AM1030" s="166">
        <v>0</v>
      </c>
      <c r="AO1030" s="166">
        <v>0</v>
      </c>
      <c r="AP1030" s="166">
        <v>2</v>
      </c>
      <c r="AQ1030" s="166">
        <v>0</v>
      </c>
      <c r="AR1030" s="166">
        <v>0</v>
      </c>
      <c r="AS1030" s="166">
        <v>0</v>
      </c>
      <c r="AT1030" s="166">
        <v>0</v>
      </c>
      <c r="AU1030" s="166">
        <v>0</v>
      </c>
      <c r="AV1030" s="166">
        <v>0</v>
      </c>
      <c r="AW1030" s="166">
        <v>2</v>
      </c>
      <c r="AX1030" s="166">
        <v>0</v>
      </c>
      <c r="AY1030" s="166">
        <v>0</v>
      </c>
      <c r="AZ1030" s="166">
        <v>0</v>
      </c>
      <c r="BA1030" s="166">
        <v>0</v>
      </c>
      <c r="BB1030" s="166">
        <v>0</v>
      </c>
      <c r="BC1030" s="166">
        <v>0</v>
      </c>
      <c r="BD1030" s="166">
        <v>0</v>
      </c>
      <c r="BE1030" s="166">
        <v>0</v>
      </c>
      <c r="BF1030" s="166">
        <v>0</v>
      </c>
      <c r="BG1030" s="166">
        <v>0</v>
      </c>
      <c r="BH1030" s="166">
        <v>0</v>
      </c>
      <c r="BI1030" s="166">
        <v>0</v>
      </c>
      <c r="BJ1030" s="166">
        <v>0</v>
      </c>
      <c r="BK1030" s="166">
        <v>0</v>
      </c>
      <c r="BL1030" s="166">
        <v>0</v>
      </c>
      <c r="BM1030" s="166">
        <v>0</v>
      </c>
      <c r="BN1030" s="166">
        <v>0</v>
      </c>
      <c r="BO1030" s="166">
        <v>0</v>
      </c>
      <c r="BP1030" s="166">
        <v>0</v>
      </c>
      <c r="BQ1030" s="81" t="s">
        <v>1757</v>
      </c>
      <c r="BZ1030" s="81" t="s">
        <v>155</v>
      </c>
      <c r="CA1030" s="81" t="s">
        <v>1937</v>
      </c>
      <c r="CC1030" s="167">
        <v>0</v>
      </c>
      <c r="CD1030" s="167">
        <f>$N1030/4</f>
        <v>0.5</v>
      </c>
      <c r="CE1030" s="167">
        <f>$N1030/4</f>
        <v>0.5</v>
      </c>
      <c r="CF1030" s="167">
        <f>$N1030/4</f>
        <v>0.5</v>
      </c>
      <c r="CG1030" s="167">
        <f>$N1030/4</f>
        <v>0.5</v>
      </c>
      <c r="CH1030" s="167">
        <v>0</v>
      </c>
      <c r="CI1030" s="167">
        <v>0</v>
      </c>
      <c r="CJ1030" s="167">
        <v>0</v>
      </c>
      <c r="CK1030" s="167">
        <v>0</v>
      </c>
      <c r="CL1030" s="167">
        <v>0</v>
      </c>
      <c r="CM1030" s="167">
        <v>0</v>
      </c>
      <c r="CN1030" s="167">
        <v>0</v>
      </c>
      <c r="CO1030" s="167">
        <v>0</v>
      </c>
      <c r="CP1030" s="167">
        <v>0</v>
      </c>
      <c r="CQ1030" s="167">
        <v>0</v>
      </c>
      <c r="CR1030" s="167">
        <v>0</v>
      </c>
      <c r="CS1030" s="167">
        <v>0</v>
      </c>
      <c r="CT1030" s="167">
        <v>0</v>
      </c>
      <c r="CU1030" s="167">
        <v>0</v>
      </c>
      <c r="CV1030" s="167">
        <v>0</v>
      </c>
      <c r="CW1030" s="167">
        <v>0</v>
      </c>
      <c r="CX1030" s="167">
        <f>SUM(CD1030:CH1030)</f>
        <v>2</v>
      </c>
      <c r="CY1030" s="167">
        <f>SUM(CD1030:CM1030)</f>
        <v>2</v>
      </c>
    </row>
    <row r="1031" spans="1:103" ht="12.75" customHeight="1" x14ac:dyDescent="0.2">
      <c r="A1031" s="81">
        <v>6443</v>
      </c>
      <c r="B1031" s="165" t="s">
        <v>1930</v>
      </c>
      <c r="C1031" s="165" t="s">
        <v>1443</v>
      </c>
      <c r="E1031" s="165" t="s">
        <v>3436</v>
      </c>
      <c r="F1031" s="165" t="s">
        <v>1444</v>
      </c>
      <c r="G1031" s="81">
        <v>522012</v>
      </c>
      <c r="H1031" s="81">
        <v>172337</v>
      </c>
      <c r="I1031" s="165" t="s">
        <v>877</v>
      </c>
      <c r="L1031" s="166">
        <v>0</v>
      </c>
      <c r="M1031" s="166">
        <v>11</v>
      </c>
      <c r="N1031" s="166">
        <v>11</v>
      </c>
      <c r="O1031" s="166">
        <v>21</v>
      </c>
      <c r="P1031" s="166">
        <v>21</v>
      </c>
      <c r="Q1031" s="81" t="s">
        <v>155</v>
      </c>
      <c r="R1031" s="165" t="s">
        <v>1445</v>
      </c>
      <c r="S1031" s="81" t="s">
        <v>113</v>
      </c>
      <c r="T1031" s="349">
        <v>42650</v>
      </c>
      <c r="U1031" s="349">
        <v>42719</v>
      </c>
      <c r="W1031" s="81" t="s">
        <v>114</v>
      </c>
      <c r="Y1031" s="81" t="s">
        <v>115</v>
      </c>
      <c r="Z1031" s="81" t="s">
        <v>116</v>
      </c>
      <c r="AA1031" s="81" t="s">
        <v>116</v>
      </c>
      <c r="AB1031" s="81" t="s">
        <v>117</v>
      </c>
      <c r="AC1031" s="166">
        <v>9.0999998152255998E-2</v>
      </c>
      <c r="AG1031" s="81" t="s">
        <v>154</v>
      </c>
      <c r="AH1031" s="81" t="s">
        <v>38</v>
      </c>
      <c r="AK1031" s="166">
        <v>11</v>
      </c>
      <c r="AM1031" s="166">
        <v>6</v>
      </c>
      <c r="AO1031" s="166">
        <v>0</v>
      </c>
      <c r="AP1031" s="166">
        <v>4</v>
      </c>
      <c r="AQ1031" s="166">
        <v>7</v>
      </c>
      <c r="AR1031" s="166">
        <v>0</v>
      </c>
      <c r="AS1031" s="166">
        <v>0</v>
      </c>
      <c r="AT1031" s="166">
        <v>0</v>
      </c>
      <c r="AU1031" s="166">
        <v>0</v>
      </c>
      <c r="AV1031" s="166">
        <v>0</v>
      </c>
      <c r="AW1031" s="166">
        <v>4</v>
      </c>
      <c r="AX1031" s="166">
        <v>7</v>
      </c>
      <c r="AY1031" s="166">
        <v>0</v>
      </c>
      <c r="AZ1031" s="166">
        <v>0</v>
      </c>
      <c r="BA1031" s="166">
        <v>0</v>
      </c>
      <c r="BB1031" s="166">
        <v>0</v>
      </c>
      <c r="BC1031" s="166">
        <v>0</v>
      </c>
      <c r="BD1031" s="166">
        <v>0</v>
      </c>
      <c r="BE1031" s="166">
        <v>0</v>
      </c>
      <c r="BF1031" s="166">
        <v>0</v>
      </c>
      <c r="BG1031" s="166">
        <v>0</v>
      </c>
      <c r="BH1031" s="166">
        <v>0</v>
      </c>
      <c r="BI1031" s="166">
        <v>0</v>
      </c>
      <c r="BJ1031" s="166">
        <v>0</v>
      </c>
      <c r="BK1031" s="166">
        <v>0</v>
      </c>
      <c r="BL1031" s="166">
        <v>0</v>
      </c>
      <c r="BM1031" s="166">
        <v>0</v>
      </c>
      <c r="BN1031" s="166">
        <v>0</v>
      </c>
      <c r="BO1031" s="166">
        <v>0</v>
      </c>
      <c r="BP1031" s="166">
        <v>0</v>
      </c>
      <c r="BQ1031" s="81" t="s">
        <v>1758</v>
      </c>
      <c r="BZ1031" s="81" t="s">
        <v>155</v>
      </c>
      <c r="CA1031" s="81" t="s">
        <v>3936</v>
      </c>
      <c r="CC1031" s="167">
        <v>0</v>
      </c>
      <c r="CD1031" s="167">
        <v>0</v>
      </c>
      <c r="CE1031" s="167">
        <v>0</v>
      </c>
      <c r="CF1031" s="167">
        <v>0</v>
      </c>
      <c r="CG1031" s="167">
        <f>N1031</f>
        <v>11</v>
      </c>
      <c r="CH1031" s="167">
        <v>0</v>
      </c>
      <c r="CI1031" s="167">
        <v>0</v>
      </c>
      <c r="CJ1031" s="167">
        <v>0</v>
      </c>
      <c r="CK1031" s="167">
        <v>0</v>
      </c>
      <c r="CL1031" s="167">
        <v>0</v>
      </c>
      <c r="CM1031" s="167">
        <v>0</v>
      </c>
      <c r="CN1031" s="167">
        <v>0</v>
      </c>
      <c r="CO1031" s="167">
        <v>0</v>
      </c>
      <c r="CP1031" s="167">
        <v>0</v>
      </c>
      <c r="CQ1031" s="167">
        <v>0</v>
      </c>
      <c r="CR1031" s="167">
        <v>0</v>
      </c>
      <c r="CS1031" s="167">
        <v>0</v>
      </c>
      <c r="CT1031" s="167">
        <v>0</v>
      </c>
      <c r="CU1031" s="167">
        <v>0</v>
      </c>
      <c r="CV1031" s="167">
        <v>0</v>
      </c>
      <c r="CW1031" s="167">
        <v>0</v>
      </c>
      <c r="CX1031" s="167">
        <f>SUM(CD1031:CH1031)</f>
        <v>11</v>
      </c>
      <c r="CY1031" s="167">
        <f>SUM(CD1031:CM1031)</f>
        <v>11</v>
      </c>
    </row>
    <row r="1032" spans="1:103" ht="12.75" customHeight="1" x14ac:dyDescent="0.2">
      <c r="A1032" s="81">
        <v>6443</v>
      </c>
      <c r="B1032" s="165" t="s">
        <v>1930</v>
      </c>
      <c r="C1032" s="165" t="s">
        <v>1443</v>
      </c>
      <c r="E1032" s="165" t="s">
        <v>3436</v>
      </c>
      <c r="F1032" s="165" t="s">
        <v>1446</v>
      </c>
      <c r="G1032" s="81">
        <v>522012</v>
      </c>
      <c r="H1032" s="81">
        <v>172337</v>
      </c>
      <c r="I1032" s="165" t="s">
        <v>877</v>
      </c>
      <c r="L1032" s="166">
        <v>0</v>
      </c>
      <c r="M1032" s="166">
        <v>10</v>
      </c>
      <c r="N1032" s="166">
        <v>10</v>
      </c>
      <c r="O1032" s="166">
        <v>21</v>
      </c>
      <c r="P1032" s="166">
        <v>21</v>
      </c>
      <c r="Q1032" s="81" t="s">
        <v>155</v>
      </c>
      <c r="R1032" s="165" t="s">
        <v>1445</v>
      </c>
      <c r="S1032" s="81" t="s">
        <v>113</v>
      </c>
      <c r="T1032" s="349">
        <v>42650</v>
      </c>
      <c r="U1032" s="349">
        <v>42719</v>
      </c>
      <c r="W1032" s="81" t="s">
        <v>114</v>
      </c>
      <c r="Y1032" s="81" t="s">
        <v>115</v>
      </c>
      <c r="Z1032" s="81" t="s">
        <v>116</v>
      </c>
      <c r="AA1032" s="81" t="s">
        <v>116</v>
      </c>
      <c r="AB1032" s="81" t="s">
        <v>117</v>
      </c>
      <c r="AC1032" s="166">
        <v>3.9000000804662698E-2</v>
      </c>
      <c r="AG1032" s="81" t="s">
        <v>154</v>
      </c>
      <c r="AH1032" s="81" t="s">
        <v>38</v>
      </c>
      <c r="AK1032" s="166">
        <v>10</v>
      </c>
      <c r="AM1032" s="166">
        <v>6</v>
      </c>
      <c r="AO1032" s="166">
        <v>0</v>
      </c>
      <c r="AP1032" s="166">
        <v>10</v>
      </c>
      <c r="AQ1032" s="166">
        <v>0</v>
      </c>
      <c r="AR1032" s="166">
        <v>0</v>
      </c>
      <c r="AS1032" s="166">
        <v>0</v>
      </c>
      <c r="AT1032" s="166">
        <v>0</v>
      </c>
      <c r="AU1032" s="166">
        <v>0</v>
      </c>
      <c r="AV1032" s="166">
        <v>0</v>
      </c>
      <c r="AW1032" s="166">
        <v>10</v>
      </c>
      <c r="AX1032" s="166">
        <v>0</v>
      </c>
      <c r="AY1032" s="166">
        <v>0</v>
      </c>
      <c r="AZ1032" s="166">
        <v>0</v>
      </c>
      <c r="BA1032" s="166">
        <v>0</v>
      </c>
      <c r="BB1032" s="166">
        <v>0</v>
      </c>
      <c r="BC1032" s="166">
        <v>0</v>
      </c>
      <c r="BD1032" s="166">
        <v>0</v>
      </c>
      <c r="BE1032" s="166">
        <v>0</v>
      </c>
      <c r="BF1032" s="166">
        <v>0</v>
      </c>
      <c r="BG1032" s="166">
        <v>0</v>
      </c>
      <c r="BH1032" s="166">
        <v>0</v>
      </c>
      <c r="BI1032" s="166">
        <v>0</v>
      </c>
      <c r="BJ1032" s="166">
        <v>0</v>
      </c>
      <c r="BK1032" s="166">
        <v>0</v>
      </c>
      <c r="BL1032" s="166">
        <v>0</v>
      </c>
      <c r="BM1032" s="166">
        <v>0</v>
      </c>
      <c r="BN1032" s="166">
        <v>0</v>
      </c>
      <c r="BO1032" s="166">
        <v>0</v>
      </c>
      <c r="BP1032" s="166">
        <v>0</v>
      </c>
      <c r="BQ1032" s="81" t="s">
        <v>1758</v>
      </c>
      <c r="BZ1032" s="81" t="s">
        <v>155</v>
      </c>
      <c r="CA1032" s="81" t="s">
        <v>3936</v>
      </c>
      <c r="CC1032" s="167">
        <v>0</v>
      </c>
      <c r="CD1032" s="167">
        <v>0</v>
      </c>
      <c r="CE1032" s="167">
        <v>0</v>
      </c>
      <c r="CF1032" s="167">
        <v>0</v>
      </c>
      <c r="CG1032" s="167">
        <f>N1032</f>
        <v>10</v>
      </c>
      <c r="CH1032" s="167">
        <v>0</v>
      </c>
      <c r="CI1032" s="167">
        <v>0</v>
      </c>
      <c r="CJ1032" s="167">
        <v>0</v>
      </c>
      <c r="CK1032" s="167">
        <v>0</v>
      </c>
      <c r="CL1032" s="167">
        <v>0</v>
      </c>
      <c r="CM1032" s="167">
        <v>0</v>
      </c>
      <c r="CN1032" s="167">
        <v>0</v>
      </c>
      <c r="CO1032" s="167">
        <v>0</v>
      </c>
      <c r="CP1032" s="167">
        <v>0</v>
      </c>
      <c r="CQ1032" s="167">
        <v>0</v>
      </c>
      <c r="CR1032" s="167">
        <v>0</v>
      </c>
      <c r="CS1032" s="167">
        <v>0</v>
      </c>
      <c r="CT1032" s="167">
        <v>0</v>
      </c>
      <c r="CU1032" s="167">
        <v>0</v>
      </c>
      <c r="CV1032" s="167">
        <v>0</v>
      </c>
      <c r="CW1032" s="167">
        <v>0</v>
      </c>
      <c r="CX1032" s="167">
        <f>SUM(CD1032:CH1032)</f>
        <v>10</v>
      </c>
      <c r="CY1032" s="167">
        <f>SUM(CD1032:CM1032)</f>
        <v>10</v>
      </c>
    </row>
    <row r="1033" spans="1:103" ht="12.75" customHeight="1" x14ac:dyDescent="0.2">
      <c r="A1033" s="81">
        <v>6452</v>
      </c>
      <c r="B1033" s="165" t="s">
        <v>1930</v>
      </c>
      <c r="C1033" s="165" t="s">
        <v>2767</v>
      </c>
      <c r="E1033" s="165" t="s">
        <v>2768</v>
      </c>
      <c r="G1033" s="81">
        <v>526112</v>
      </c>
      <c r="H1033" s="81">
        <v>172454</v>
      </c>
      <c r="I1033" s="165" t="s">
        <v>249</v>
      </c>
      <c r="L1033" s="166">
        <v>0</v>
      </c>
      <c r="M1033" s="166">
        <v>8</v>
      </c>
      <c r="N1033" s="166">
        <v>8</v>
      </c>
      <c r="O1033" s="166">
        <v>8</v>
      </c>
      <c r="P1033" s="166">
        <v>8</v>
      </c>
      <c r="R1033" s="165" t="s">
        <v>2769</v>
      </c>
      <c r="S1033" s="81" t="s">
        <v>113</v>
      </c>
      <c r="T1033" s="349">
        <v>42877</v>
      </c>
      <c r="U1033" s="349">
        <v>43063</v>
      </c>
      <c r="V1033" s="81" t="s">
        <v>155</v>
      </c>
      <c r="W1033" s="81" t="s">
        <v>114</v>
      </c>
      <c r="Y1033" s="81" t="s">
        <v>115</v>
      </c>
      <c r="Z1033" s="81" t="s">
        <v>116</v>
      </c>
      <c r="AA1033" s="81" t="s">
        <v>117</v>
      </c>
      <c r="AB1033" s="81" t="s">
        <v>218</v>
      </c>
      <c r="AC1033" s="166">
        <v>2.5000000372528999E-2</v>
      </c>
      <c r="AG1033" s="81" t="s">
        <v>238</v>
      </c>
      <c r="AH1033" s="81" t="s">
        <v>118</v>
      </c>
      <c r="AK1033" s="166">
        <v>0</v>
      </c>
      <c r="AM1033" s="166">
        <v>0</v>
      </c>
      <c r="AO1033" s="166">
        <v>0</v>
      </c>
      <c r="AP1033" s="166">
        <v>2</v>
      </c>
      <c r="AQ1033" s="166">
        <v>6</v>
      </c>
      <c r="AR1033" s="166">
        <v>0</v>
      </c>
      <c r="AS1033" s="166">
        <v>0</v>
      </c>
      <c r="AT1033" s="166">
        <v>0</v>
      </c>
      <c r="AU1033" s="166">
        <v>0</v>
      </c>
      <c r="AV1033" s="166">
        <v>0</v>
      </c>
      <c r="AW1033" s="166">
        <v>2</v>
      </c>
      <c r="AX1033" s="166">
        <v>6</v>
      </c>
      <c r="AY1033" s="166">
        <v>0</v>
      </c>
      <c r="AZ1033" s="166">
        <v>0</v>
      </c>
      <c r="BA1033" s="166">
        <v>0</v>
      </c>
      <c r="BB1033" s="166">
        <v>0</v>
      </c>
      <c r="BC1033" s="166">
        <v>0</v>
      </c>
      <c r="BD1033" s="166">
        <v>0</v>
      </c>
      <c r="BE1033" s="166">
        <v>0</v>
      </c>
      <c r="BF1033" s="166">
        <v>0</v>
      </c>
      <c r="BG1033" s="166">
        <v>0</v>
      </c>
      <c r="BH1033" s="166">
        <v>0</v>
      </c>
      <c r="BI1033" s="166">
        <v>0</v>
      </c>
      <c r="BJ1033" s="166">
        <v>0</v>
      </c>
      <c r="BK1033" s="166">
        <v>0</v>
      </c>
      <c r="BL1033" s="166">
        <v>0</v>
      </c>
      <c r="BM1033" s="166">
        <v>0</v>
      </c>
      <c r="BN1033" s="166">
        <v>0</v>
      </c>
      <c r="BO1033" s="166">
        <v>0</v>
      </c>
      <c r="BP1033" s="166">
        <v>0</v>
      </c>
      <c r="BQ1033" s="81" t="s">
        <v>1758</v>
      </c>
      <c r="BY1033" s="81" t="s">
        <v>155</v>
      </c>
      <c r="BZ1033" s="81" t="s">
        <v>155</v>
      </c>
      <c r="CA1033" s="81" t="s">
        <v>3968</v>
      </c>
      <c r="CC1033" s="167">
        <v>0</v>
      </c>
      <c r="CD1033" s="167">
        <v>0</v>
      </c>
      <c r="CE1033" s="167">
        <v>0</v>
      </c>
      <c r="CF1033" s="167">
        <v>0</v>
      </c>
      <c r="CG1033" s="167">
        <v>0</v>
      </c>
      <c r="CH1033" s="167">
        <f>$N1033/3</f>
        <v>2.6666666666666665</v>
      </c>
      <c r="CI1033" s="167">
        <f>$N1033/3</f>
        <v>2.6666666666666665</v>
      </c>
      <c r="CJ1033" s="167">
        <f>$N1033/3</f>
        <v>2.6666666666666665</v>
      </c>
      <c r="CK1033" s="167">
        <v>0</v>
      </c>
      <c r="CL1033" s="167">
        <v>0</v>
      </c>
      <c r="CM1033" s="167">
        <v>0</v>
      </c>
      <c r="CN1033" s="167">
        <v>0</v>
      </c>
      <c r="CO1033" s="167">
        <v>0</v>
      </c>
      <c r="CP1033" s="167">
        <v>0</v>
      </c>
      <c r="CQ1033" s="167">
        <v>0</v>
      </c>
      <c r="CR1033" s="167">
        <v>0</v>
      </c>
      <c r="CS1033" s="167">
        <v>0</v>
      </c>
      <c r="CT1033" s="167">
        <v>0</v>
      </c>
      <c r="CU1033" s="167">
        <v>0</v>
      </c>
      <c r="CV1033" s="167">
        <v>0</v>
      </c>
      <c r="CW1033" s="167">
        <v>0</v>
      </c>
      <c r="CX1033" s="167">
        <f>SUM(CD1033:CH1033)</f>
        <v>2.6666666666666665</v>
      </c>
      <c r="CY1033" s="167">
        <f>SUM(CD1033:CM1033)</f>
        <v>8</v>
      </c>
    </row>
    <row r="1034" spans="1:103" ht="12.75" customHeight="1" x14ac:dyDescent="0.2">
      <c r="A1034" s="81">
        <v>6460</v>
      </c>
      <c r="B1034" s="165" t="s">
        <v>1930</v>
      </c>
      <c r="C1034" s="165" t="s">
        <v>2770</v>
      </c>
      <c r="E1034" s="165" t="s">
        <v>2771</v>
      </c>
      <c r="G1034" s="81">
        <v>524993</v>
      </c>
      <c r="H1034" s="81">
        <v>173124</v>
      </c>
      <c r="I1034" s="165" t="s">
        <v>258</v>
      </c>
      <c r="L1034" s="166">
        <v>0</v>
      </c>
      <c r="M1034" s="166">
        <v>1</v>
      </c>
      <c r="N1034" s="166">
        <v>1</v>
      </c>
      <c r="O1034" s="166">
        <v>1</v>
      </c>
      <c r="P1034" s="166">
        <v>1</v>
      </c>
      <c r="R1034" s="165" t="s">
        <v>2772</v>
      </c>
      <c r="S1034" s="81" t="s">
        <v>113</v>
      </c>
      <c r="T1034" s="349">
        <v>42977</v>
      </c>
      <c r="U1034" s="349">
        <v>43033</v>
      </c>
      <c r="V1034" s="81" t="s">
        <v>155</v>
      </c>
      <c r="W1034" s="81" t="s">
        <v>114</v>
      </c>
      <c r="Y1034" s="81" t="s">
        <v>115</v>
      </c>
      <c r="Z1034" s="81" t="s">
        <v>398</v>
      </c>
      <c r="AA1034" s="81" t="s">
        <v>117</v>
      </c>
      <c r="AB1034" s="81" t="s">
        <v>102</v>
      </c>
      <c r="AC1034" s="166">
        <v>8.0000003799796104E-3</v>
      </c>
      <c r="AG1034" s="81" t="s">
        <v>238</v>
      </c>
      <c r="AH1034" s="81" t="s">
        <v>118</v>
      </c>
      <c r="AK1034" s="166">
        <v>0</v>
      </c>
      <c r="AM1034" s="166">
        <v>0</v>
      </c>
      <c r="AO1034" s="166">
        <v>0</v>
      </c>
      <c r="AP1034" s="166">
        <v>0</v>
      </c>
      <c r="AQ1034" s="166">
        <v>0</v>
      </c>
      <c r="AR1034" s="166">
        <v>1</v>
      </c>
      <c r="AS1034" s="166">
        <v>0</v>
      </c>
      <c r="AT1034" s="166">
        <v>0</v>
      </c>
      <c r="AU1034" s="166">
        <v>0</v>
      </c>
      <c r="AV1034" s="166">
        <v>0</v>
      </c>
      <c r="AW1034" s="166">
        <v>0</v>
      </c>
      <c r="AX1034" s="166">
        <v>0</v>
      </c>
      <c r="AY1034" s="166">
        <v>0</v>
      </c>
      <c r="AZ1034" s="166">
        <v>0</v>
      </c>
      <c r="BA1034" s="166">
        <v>0</v>
      </c>
      <c r="BB1034" s="166">
        <v>0</v>
      </c>
      <c r="BC1034" s="166">
        <v>0</v>
      </c>
      <c r="BD1034" s="166">
        <v>0</v>
      </c>
      <c r="BE1034" s="166">
        <v>0</v>
      </c>
      <c r="BF1034" s="166">
        <v>1</v>
      </c>
      <c r="BG1034" s="166">
        <v>0</v>
      </c>
      <c r="BH1034" s="166">
        <v>0</v>
      </c>
      <c r="BI1034" s="166">
        <v>0</v>
      </c>
      <c r="BJ1034" s="166">
        <v>0</v>
      </c>
      <c r="BK1034" s="166">
        <v>0</v>
      </c>
      <c r="BL1034" s="166">
        <v>0</v>
      </c>
      <c r="BM1034" s="166">
        <v>0</v>
      </c>
      <c r="BN1034" s="166">
        <v>0</v>
      </c>
      <c r="BO1034" s="166">
        <v>0</v>
      </c>
      <c r="BP1034" s="166">
        <v>0</v>
      </c>
      <c r="BQ1034" s="81" t="s">
        <v>1758</v>
      </c>
      <c r="BZ1034" s="81" t="s">
        <v>155</v>
      </c>
      <c r="CA1034" s="81" t="s">
        <v>1937</v>
      </c>
      <c r="CC1034" s="167">
        <v>0</v>
      </c>
      <c r="CD1034" s="167">
        <f>$N1034/4</f>
        <v>0.25</v>
      </c>
      <c r="CE1034" s="167">
        <f>$N1034/4</f>
        <v>0.25</v>
      </c>
      <c r="CF1034" s="167">
        <f>$N1034/4</f>
        <v>0.25</v>
      </c>
      <c r="CG1034" s="167">
        <f>$N1034/4</f>
        <v>0.25</v>
      </c>
      <c r="CH1034" s="167">
        <v>0</v>
      </c>
      <c r="CI1034" s="167">
        <v>0</v>
      </c>
      <c r="CJ1034" s="167">
        <v>0</v>
      </c>
      <c r="CK1034" s="167">
        <v>0</v>
      </c>
      <c r="CL1034" s="167">
        <v>0</v>
      </c>
      <c r="CM1034" s="167">
        <v>0</v>
      </c>
      <c r="CN1034" s="167">
        <v>0</v>
      </c>
      <c r="CO1034" s="167">
        <v>0</v>
      </c>
      <c r="CP1034" s="167">
        <v>0</v>
      </c>
      <c r="CQ1034" s="167">
        <v>0</v>
      </c>
      <c r="CR1034" s="167">
        <v>0</v>
      </c>
      <c r="CS1034" s="167">
        <v>0</v>
      </c>
      <c r="CT1034" s="167">
        <v>0</v>
      </c>
      <c r="CU1034" s="167">
        <v>0</v>
      </c>
      <c r="CV1034" s="167">
        <v>0</v>
      </c>
      <c r="CW1034" s="167">
        <v>0</v>
      </c>
      <c r="CX1034" s="167">
        <f>SUM(CD1034:CH1034)</f>
        <v>1</v>
      </c>
      <c r="CY1034" s="167">
        <f>SUM(CD1034:CM1034)</f>
        <v>1</v>
      </c>
    </row>
    <row r="1035" spans="1:103" ht="12.75" customHeight="1" x14ac:dyDescent="0.2">
      <c r="A1035" s="81">
        <v>6464</v>
      </c>
      <c r="B1035" s="165" t="s">
        <v>1930</v>
      </c>
      <c r="C1035" s="165" t="s">
        <v>1170</v>
      </c>
      <c r="E1035" s="165" t="s">
        <v>2773</v>
      </c>
      <c r="G1035" s="81">
        <v>527688</v>
      </c>
      <c r="H1035" s="81">
        <v>171824</v>
      </c>
      <c r="I1035" s="165" t="s">
        <v>242</v>
      </c>
      <c r="L1035" s="166">
        <v>1</v>
      </c>
      <c r="M1035" s="166">
        <v>2</v>
      </c>
      <c r="N1035" s="166">
        <v>1</v>
      </c>
      <c r="O1035" s="166">
        <v>2</v>
      </c>
      <c r="P1035" s="166">
        <v>1</v>
      </c>
      <c r="R1035" s="165" t="s">
        <v>1171</v>
      </c>
      <c r="S1035" s="81" t="s">
        <v>113</v>
      </c>
      <c r="T1035" s="349">
        <v>42360</v>
      </c>
      <c r="U1035" s="349">
        <v>42416</v>
      </c>
      <c r="W1035" s="81" t="s">
        <v>114</v>
      </c>
      <c r="Y1035" s="81" t="s">
        <v>115</v>
      </c>
      <c r="Z1035" s="81" t="s">
        <v>398</v>
      </c>
      <c r="AA1035" s="81" t="s">
        <v>117</v>
      </c>
      <c r="AB1035" s="81" t="s">
        <v>220</v>
      </c>
      <c r="AC1035" s="166">
        <v>8.9999996125698107E-3</v>
      </c>
      <c r="AG1035" s="81" t="s">
        <v>238</v>
      </c>
      <c r="AH1035" s="81" t="s">
        <v>118</v>
      </c>
      <c r="AK1035" s="166">
        <v>0</v>
      </c>
      <c r="AM1035" s="166">
        <v>0</v>
      </c>
      <c r="AO1035" s="166">
        <v>0</v>
      </c>
      <c r="AP1035" s="166">
        <v>0</v>
      </c>
      <c r="AQ1035" s="166">
        <v>2</v>
      </c>
      <c r="AR1035" s="166">
        <v>-1</v>
      </c>
      <c r="AS1035" s="166">
        <v>0</v>
      </c>
      <c r="AT1035" s="166">
        <v>0</v>
      </c>
      <c r="AU1035" s="166">
        <v>0</v>
      </c>
      <c r="AV1035" s="166">
        <v>0</v>
      </c>
      <c r="AW1035" s="166">
        <v>0</v>
      </c>
      <c r="AX1035" s="166">
        <v>2</v>
      </c>
      <c r="AY1035" s="166">
        <v>-1</v>
      </c>
      <c r="AZ1035" s="166">
        <v>0</v>
      </c>
      <c r="BA1035" s="166">
        <v>0</v>
      </c>
      <c r="BB1035" s="166">
        <v>0</v>
      </c>
      <c r="BC1035" s="166">
        <v>0</v>
      </c>
      <c r="BD1035" s="166">
        <v>0</v>
      </c>
      <c r="BE1035" s="166">
        <v>0</v>
      </c>
      <c r="BF1035" s="166">
        <v>0</v>
      </c>
      <c r="BG1035" s="166">
        <v>0</v>
      </c>
      <c r="BH1035" s="166">
        <v>0</v>
      </c>
      <c r="BI1035" s="166">
        <v>0</v>
      </c>
      <c r="BJ1035" s="166">
        <v>0</v>
      </c>
      <c r="BK1035" s="166">
        <v>0</v>
      </c>
      <c r="BL1035" s="166">
        <v>0</v>
      </c>
      <c r="BM1035" s="166">
        <v>0</v>
      </c>
      <c r="BN1035" s="166">
        <v>0</v>
      </c>
      <c r="BO1035" s="166">
        <v>0</v>
      </c>
      <c r="BP1035" s="166">
        <v>0</v>
      </c>
      <c r="BQ1035" s="81" t="s">
        <v>1757</v>
      </c>
      <c r="BR1035" s="81" t="s">
        <v>242</v>
      </c>
      <c r="BZ1035" s="81" t="s">
        <v>155</v>
      </c>
      <c r="CA1035" s="81" t="s">
        <v>1937</v>
      </c>
      <c r="CC1035" s="167">
        <v>0</v>
      </c>
      <c r="CD1035" s="167">
        <f>$N1035/4</f>
        <v>0.25</v>
      </c>
      <c r="CE1035" s="167">
        <f>$N1035/4</f>
        <v>0.25</v>
      </c>
      <c r="CF1035" s="167">
        <f>$N1035/4</f>
        <v>0.25</v>
      </c>
      <c r="CG1035" s="167">
        <f>$N1035/4</f>
        <v>0.25</v>
      </c>
      <c r="CH1035" s="167">
        <v>0</v>
      </c>
      <c r="CI1035" s="167">
        <v>0</v>
      </c>
      <c r="CJ1035" s="167">
        <v>0</v>
      </c>
      <c r="CK1035" s="167">
        <v>0</v>
      </c>
      <c r="CL1035" s="167">
        <v>0</v>
      </c>
      <c r="CM1035" s="167">
        <v>0</v>
      </c>
      <c r="CN1035" s="167">
        <v>0</v>
      </c>
      <c r="CO1035" s="167">
        <v>0</v>
      </c>
      <c r="CP1035" s="167">
        <v>0</v>
      </c>
      <c r="CQ1035" s="167">
        <v>0</v>
      </c>
      <c r="CR1035" s="167">
        <v>0</v>
      </c>
      <c r="CS1035" s="167">
        <v>0</v>
      </c>
      <c r="CT1035" s="167">
        <v>0</v>
      </c>
      <c r="CU1035" s="167">
        <v>0</v>
      </c>
      <c r="CV1035" s="167">
        <v>0</v>
      </c>
      <c r="CW1035" s="167">
        <v>0</v>
      </c>
      <c r="CX1035" s="167">
        <f>SUM(CD1035:CH1035)</f>
        <v>1</v>
      </c>
      <c r="CY1035" s="167">
        <f>SUM(CD1035:CM1035)</f>
        <v>1</v>
      </c>
    </row>
    <row r="1036" spans="1:103" ht="12.75" customHeight="1" x14ac:dyDescent="0.2">
      <c r="A1036" s="81">
        <v>6479</v>
      </c>
      <c r="B1036" s="165" t="s">
        <v>1930</v>
      </c>
      <c r="C1036" s="165" t="s">
        <v>1431</v>
      </c>
      <c r="E1036" s="165" t="s">
        <v>3438</v>
      </c>
      <c r="G1036" s="81">
        <v>528125</v>
      </c>
      <c r="H1036" s="81">
        <v>175809</v>
      </c>
      <c r="I1036" s="165" t="s">
        <v>256</v>
      </c>
      <c r="L1036" s="166">
        <v>0</v>
      </c>
      <c r="M1036" s="166">
        <v>18</v>
      </c>
      <c r="N1036" s="166">
        <v>18</v>
      </c>
      <c r="O1036" s="166">
        <v>18</v>
      </c>
      <c r="P1036" s="166">
        <v>18</v>
      </c>
      <c r="Q1036" s="81" t="s">
        <v>155</v>
      </c>
      <c r="R1036" s="165" t="s">
        <v>1432</v>
      </c>
      <c r="S1036" s="81" t="s">
        <v>113</v>
      </c>
      <c r="T1036" s="349">
        <v>42643</v>
      </c>
      <c r="U1036" s="349">
        <v>42761</v>
      </c>
      <c r="W1036" s="81" t="s">
        <v>114</v>
      </c>
      <c r="Y1036" s="81" t="s">
        <v>115</v>
      </c>
      <c r="Z1036" s="81" t="s">
        <v>116</v>
      </c>
      <c r="AA1036" s="81" t="s">
        <v>116</v>
      </c>
      <c r="AB1036" s="81" t="s">
        <v>117</v>
      </c>
      <c r="AC1036" s="166">
        <v>0.40000000596046398</v>
      </c>
      <c r="AG1036" s="81" t="s">
        <v>154</v>
      </c>
      <c r="AH1036" s="81" t="s">
        <v>38</v>
      </c>
      <c r="AK1036" s="166">
        <v>16</v>
      </c>
      <c r="AM1036" s="166">
        <v>2</v>
      </c>
      <c r="AO1036" s="166">
        <v>0</v>
      </c>
      <c r="AP1036" s="166">
        <v>4</v>
      </c>
      <c r="AQ1036" s="166">
        <v>11</v>
      </c>
      <c r="AR1036" s="166">
        <v>0</v>
      </c>
      <c r="AS1036" s="166">
        <v>1</v>
      </c>
      <c r="AT1036" s="166">
        <v>2</v>
      </c>
      <c r="AU1036" s="166">
        <v>0</v>
      </c>
      <c r="AV1036" s="166">
        <v>0</v>
      </c>
      <c r="AW1036" s="166">
        <v>4</v>
      </c>
      <c r="AX1036" s="166">
        <v>11</v>
      </c>
      <c r="AY1036" s="166">
        <v>0</v>
      </c>
      <c r="AZ1036" s="166">
        <v>0</v>
      </c>
      <c r="BA1036" s="166">
        <v>0</v>
      </c>
      <c r="BB1036" s="166">
        <v>0</v>
      </c>
      <c r="BC1036" s="166">
        <v>0</v>
      </c>
      <c r="BD1036" s="166">
        <v>0</v>
      </c>
      <c r="BE1036" s="166">
        <v>0</v>
      </c>
      <c r="BF1036" s="166">
        <v>0</v>
      </c>
      <c r="BG1036" s="166">
        <v>1</v>
      </c>
      <c r="BH1036" s="166">
        <v>2</v>
      </c>
      <c r="BI1036" s="166">
        <v>0</v>
      </c>
      <c r="BJ1036" s="166">
        <v>0</v>
      </c>
      <c r="BK1036" s="166">
        <v>0</v>
      </c>
      <c r="BL1036" s="166">
        <v>0</v>
      </c>
      <c r="BM1036" s="166">
        <v>0</v>
      </c>
      <c r="BN1036" s="166">
        <v>0</v>
      </c>
      <c r="BO1036" s="166">
        <v>0</v>
      </c>
      <c r="BP1036" s="166">
        <v>0</v>
      </c>
      <c r="BQ1036" s="81" t="s">
        <v>1757</v>
      </c>
      <c r="BZ1036" s="81" t="s">
        <v>155</v>
      </c>
      <c r="CA1036" s="81" t="s">
        <v>3968</v>
      </c>
      <c r="CC1036" s="167">
        <v>0</v>
      </c>
      <c r="CD1036" s="167">
        <v>0</v>
      </c>
      <c r="CE1036" s="167">
        <v>0</v>
      </c>
      <c r="CF1036" s="167">
        <v>0</v>
      </c>
      <c r="CG1036" s="167">
        <v>0</v>
      </c>
      <c r="CH1036" s="167">
        <f>$N1036/3</f>
        <v>6</v>
      </c>
      <c r="CI1036" s="167">
        <f>$N1036/3</f>
        <v>6</v>
      </c>
      <c r="CJ1036" s="167">
        <f>$N1036/3</f>
        <v>6</v>
      </c>
      <c r="CK1036" s="167">
        <v>0</v>
      </c>
      <c r="CL1036" s="167">
        <v>0</v>
      </c>
      <c r="CM1036" s="167">
        <v>0</v>
      </c>
      <c r="CN1036" s="167">
        <v>0</v>
      </c>
      <c r="CO1036" s="167">
        <v>0</v>
      </c>
      <c r="CP1036" s="167">
        <v>0</v>
      </c>
      <c r="CQ1036" s="167">
        <v>0</v>
      </c>
      <c r="CR1036" s="167">
        <v>0</v>
      </c>
      <c r="CS1036" s="167">
        <v>0</v>
      </c>
      <c r="CT1036" s="167">
        <v>0</v>
      </c>
      <c r="CU1036" s="167">
        <v>0</v>
      </c>
      <c r="CV1036" s="167">
        <v>0</v>
      </c>
      <c r="CW1036" s="167">
        <v>0</v>
      </c>
      <c r="CX1036" s="167">
        <f>SUM(CD1036:CH1036)</f>
        <v>6</v>
      </c>
      <c r="CY1036" s="167">
        <f>SUM(CD1036:CM1036)</f>
        <v>18</v>
      </c>
    </row>
    <row r="1037" spans="1:103" ht="12.75" customHeight="1" x14ac:dyDescent="0.2">
      <c r="A1037" s="81">
        <v>6480</v>
      </c>
      <c r="B1037" s="165" t="s">
        <v>1930</v>
      </c>
      <c r="C1037" s="165" t="s">
        <v>1433</v>
      </c>
      <c r="E1037" s="165" t="s">
        <v>2774</v>
      </c>
      <c r="G1037" s="81">
        <v>528205</v>
      </c>
      <c r="H1037" s="81">
        <v>175735</v>
      </c>
      <c r="I1037" s="165" t="s">
        <v>256</v>
      </c>
      <c r="L1037" s="166">
        <v>0</v>
      </c>
      <c r="M1037" s="166">
        <v>4</v>
      </c>
      <c r="N1037" s="166">
        <v>4</v>
      </c>
      <c r="O1037" s="166">
        <v>4</v>
      </c>
      <c r="P1037" s="166">
        <v>4</v>
      </c>
      <c r="R1037" s="165" t="s">
        <v>1434</v>
      </c>
      <c r="S1037" s="81" t="s">
        <v>113</v>
      </c>
      <c r="T1037" s="349">
        <v>42643</v>
      </c>
      <c r="U1037" s="349">
        <v>42761</v>
      </c>
      <c r="W1037" s="81" t="s">
        <v>114</v>
      </c>
      <c r="Y1037" s="81" t="s">
        <v>115</v>
      </c>
      <c r="Z1037" s="81" t="s">
        <v>116</v>
      </c>
      <c r="AA1037" s="81" t="s">
        <v>117</v>
      </c>
      <c r="AB1037" s="81" t="s">
        <v>218</v>
      </c>
      <c r="AC1037" s="166">
        <v>6.1999998986720997E-2</v>
      </c>
      <c r="AG1037" s="81" t="s">
        <v>154</v>
      </c>
      <c r="AH1037" s="81" t="s">
        <v>38</v>
      </c>
      <c r="AK1037" s="166">
        <v>1</v>
      </c>
      <c r="AM1037" s="166">
        <v>3</v>
      </c>
      <c r="AO1037" s="166">
        <v>0</v>
      </c>
      <c r="AP1037" s="166">
        <v>2</v>
      </c>
      <c r="AQ1037" s="166">
        <v>1</v>
      </c>
      <c r="AR1037" s="166">
        <v>1</v>
      </c>
      <c r="AS1037" s="166">
        <v>0</v>
      </c>
      <c r="AT1037" s="166">
        <v>0</v>
      </c>
      <c r="AU1037" s="166">
        <v>0</v>
      </c>
      <c r="AV1037" s="166">
        <v>0</v>
      </c>
      <c r="AW1037" s="166">
        <v>2</v>
      </c>
      <c r="AX1037" s="166">
        <v>1</v>
      </c>
      <c r="AY1037" s="166">
        <v>0</v>
      </c>
      <c r="AZ1037" s="166">
        <v>0</v>
      </c>
      <c r="BA1037" s="166">
        <v>0</v>
      </c>
      <c r="BB1037" s="166">
        <v>0</v>
      </c>
      <c r="BC1037" s="166">
        <v>0</v>
      </c>
      <c r="BD1037" s="166">
        <v>0</v>
      </c>
      <c r="BE1037" s="166">
        <v>0</v>
      </c>
      <c r="BF1037" s="166">
        <v>1</v>
      </c>
      <c r="BG1037" s="166">
        <v>0</v>
      </c>
      <c r="BH1037" s="166">
        <v>0</v>
      </c>
      <c r="BI1037" s="166">
        <v>0</v>
      </c>
      <c r="BJ1037" s="166">
        <v>0</v>
      </c>
      <c r="BK1037" s="166">
        <v>0</v>
      </c>
      <c r="BL1037" s="166">
        <v>0</v>
      </c>
      <c r="BM1037" s="166">
        <v>0</v>
      </c>
      <c r="BN1037" s="166">
        <v>0</v>
      </c>
      <c r="BO1037" s="166">
        <v>0</v>
      </c>
      <c r="BP1037" s="166">
        <v>0</v>
      </c>
      <c r="BQ1037" s="81" t="s">
        <v>1757</v>
      </c>
      <c r="BZ1037" s="81" t="s">
        <v>155</v>
      </c>
      <c r="CA1037" s="81">
        <v>4</v>
      </c>
      <c r="CC1037" s="167">
        <v>0</v>
      </c>
      <c r="CD1037" s="167">
        <v>0</v>
      </c>
      <c r="CE1037" s="167">
        <f>$N1037/5</f>
        <v>0.8</v>
      </c>
      <c r="CF1037" s="167">
        <f>$N1037/5</f>
        <v>0.8</v>
      </c>
      <c r="CG1037" s="167">
        <f>$N1037/5</f>
        <v>0.8</v>
      </c>
      <c r="CH1037" s="167">
        <f>$N1037/5</f>
        <v>0.8</v>
      </c>
      <c r="CI1037" s="167">
        <f>$N1037/5</f>
        <v>0.8</v>
      </c>
      <c r="CJ1037" s="167">
        <v>0</v>
      </c>
      <c r="CK1037" s="167">
        <v>0</v>
      </c>
      <c r="CL1037" s="167">
        <v>0</v>
      </c>
      <c r="CM1037" s="167">
        <v>0</v>
      </c>
      <c r="CN1037" s="167">
        <v>0</v>
      </c>
      <c r="CO1037" s="167">
        <v>0</v>
      </c>
      <c r="CP1037" s="167">
        <v>0</v>
      </c>
      <c r="CQ1037" s="167">
        <v>0</v>
      </c>
      <c r="CR1037" s="167">
        <v>0</v>
      </c>
      <c r="CS1037" s="167">
        <v>0</v>
      </c>
      <c r="CT1037" s="167">
        <v>0</v>
      </c>
      <c r="CU1037" s="167">
        <v>0</v>
      </c>
      <c r="CV1037" s="167">
        <v>0</v>
      </c>
      <c r="CW1037" s="167">
        <v>0</v>
      </c>
      <c r="CX1037" s="167">
        <f>SUM(CD1037:CH1037)</f>
        <v>3.2</v>
      </c>
      <c r="CY1037" s="167">
        <f>SUM(CD1037:CM1037)</f>
        <v>4</v>
      </c>
    </row>
    <row r="1038" spans="1:103" ht="12.75" customHeight="1" x14ac:dyDescent="0.2">
      <c r="A1038" s="81">
        <v>6481</v>
      </c>
      <c r="B1038" s="165" t="s">
        <v>1930</v>
      </c>
      <c r="C1038" s="165" t="s">
        <v>1568</v>
      </c>
      <c r="E1038" s="165" t="s">
        <v>2775</v>
      </c>
      <c r="G1038" s="81">
        <v>528408</v>
      </c>
      <c r="H1038" s="81">
        <v>173055</v>
      </c>
      <c r="I1038" s="165" t="s">
        <v>248</v>
      </c>
      <c r="L1038" s="166">
        <v>0</v>
      </c>
      <c r="M1038" s="166">
        <v>3</v>
      </c>
      <c r="N1038" s="166">
        <v>3</v>
      </c>
      <c r="O1038" s="166">
        <v>3</v>
      </c>
      <c r="P1038" s="166">
        <v>3</v>
      </c>
      <c r="R1038" s="165" t="s">
        <v>1569</v>
      </c>
      <c r="S1038" s="81" t="s">
        <v>113</v>
      </c>
      <c r="T1038" s="349">
        <v>42663</v>
      </c>
      <c r="U1038" s="349">
        <v>42879</v>
      </c>
      <c r="V1038" s="81" t="s">
        <v>155</v>
      </c>
      <c r="W1038" s="81" t="s">
        <v>114</v>
      </c>
      <c r="Y1038" s="81" t="s">
        <v>115</v>
      </c>
      <c r="Z1038" s="81" t="s">
        <v>398</v>
      </c>
      <c r="AA1038" s="81" t="s">
        <v>117</v>
      </c>
      <c r="AB1038" s="81" t="s">
        <v>399</v>
      </c>
      <c r="AC1038" s="166">
        <v>1.30000002682209E-2</v>
      </c>
      <c r="AG1038" s="81" t="s">
        <v>238</v>
      </c>
      <c r="AH1038" s="81" t="s">
        <v>118</v>
      </c>
      <c r="AK1038" s="166">
        <v>0</v>
      </c>
      <c r="AM1038" s="166">
        <v>0</v>
      </c>
      <c r="AO1038" s="166">
        <v>0</v>
      </c>
      <c r="AP1038" s="166">
        <v>2</v>
      </c>
      <c r="AQ1038" s="166">
        <v>1</v>
      </c>
      <c r="AR1038" s="166">
        <v>0</v>
      </c>
      <c r="AS1038" s="166">
        <v>0</v>
      </c>
      <c r="AT1038" s="166">
        <v>0</v>
      </c>
      <c r="AU1038" s="166">
        <v>0</v>
      </c>
      <c r="AV1038" s="166">
        <v>0</v>
      </c>
      <c r="AW1038" s="166">
        <v>2</v>
      </c>
      <c r="AX1038" s="166">
        <v>1</v>
      </c>
      <c r="AY1038" s="166">
        <v>0</v>
      </c>
      <c r="AZ1038" s="166">
        <v>0</v>
      </c>
      <c r="BA1038" s="166">
        <v>0</v>
      </c>
      <c r="BB1038" s="166">
        <v>0</v>
      </c>
      <c r="BC1038" s="166">
        <v>0</v>
      </c>
      <c r="BD1038" s="166">
        <v>0</v>
      </c>
      <c r="BE1038" s="166">
        <v>0</v>
      </c>
      <c r="BF1038" s="166">
        <v>0</v>
      </c>
      <c r="BG1038" s="166">
        <v>0</v>
      </c>
      <c r="BH1038" s="166">
        <v>0</v>
      </c>
      <c r="BI1038" s="166">
        <v>0</v>
      </c>
      <c r="BJ1038" s="166">
        <v>0</v>
      </c>
      <c r="BK1038" s="166">
        <v>0</v>
      </c>
      <c r="BL1038" s="166">
        <v>0</v>
      </c>
      <c r="BM1038" s="166">
        <v>0</v>
      </c>
      <c r="BN1038" s="166">
        <v>0</v>
      </c>
      <c r="BO1038" s="166">
        <v>0</v>
      </c>
      <c r="BP1038" s="166">
        <v>0</v>
      </c>
      <c r="BQ1038" s="81" t="s">
        <v>1757</v>
      </c>
      <c r="BZ1038" s="81" t="s">
        <v>155</v>
      </c>
      <c r="CA1038" s="81" t="s">
        <v>1937</v>
      </c>
      <c r="CC1038" s="167">
        <v>0</v>
      </c>
      <c r="CD1038" s="167">
        <f>$N1038/4</f>
        <v>0.75</v>
      </c>
      <c r="CE1038" s="167">
        <f>$N1038/4</f>
        <v>0.75</v>
      </c>
      <c r="CF1038" s="167">
        <f>$N1038/4</f>
        <v>0.75</v>
      </c>
      <c r="CG1038" s="167">
        <f>$N1038/4</f>
        <v>0.75</v>
      </c>
      <c r="CH1038" s="167">
        <v>0</v>
      </c>
      <c r="CI1038" s="167">
        <v>0</v>
      </c>
      <c r="CJ1038" s="167">
        <v>0</v>
      </c>
      <c r="CK1038" s="167">
        <v>0</v>
      </c>
      <c r="CL1038" s="167">
        <v>0</v>
      </c>
      <c r="CM1038" s="167">
        <v>0</v>
      </c>
      <c r="CN1038" s="167">
        <v>0</v>
      </c>
      <c r="CO1038" s="167">
        <v>0</v>
      </c>
      <c r="CP1038" s="167">
        <v>0</v>
      </c>
      <c r="CQ1038" s="167">
        <v>0</v>
      </c>
      <c r="CR1038" s="167">
        <v>0</v>
      </c>
      <c r="CS1038" s="167">
        <v>0</v>
      </c>
      <c r="CT1038" s="167">
        <v>0</v>
      </c>
      <c r="CU1038" s="167">
        <v>0</v>
      </c>
      <c r="CV1038" s="167">
        <v>0</v>
      </c>
      <c r="CW1038" s="167">
        <v>0</v>
      </c>
      <c r="CX1038" s="167">
        <f>SUM(CD1038:CH1038)</f>
        <v>3</v>
      </c>
      <c r="CY1038" s="167">
        <f>SUM(CD1038:CM1038)</f>
        <v>3</v>
      </c>
    </row>
    <row r="1039" spans="1:103" ht="12.75" customHeight="1" x14ac:dyDescent="0.2">
      <c r="A1039" s="81">
        <v>6482</v>
      </c>
      <c r="B1039" s="165" t="s">
        <v>1930</v>
      </c>
      <c r="C1039" s="165" t="s">
        <v>2776</v>
      </c>
      <c r="E1039" s="165" t="s">
        <v>2777</v>
      </c>
      <c r="G1039" s="81">
        <v>524045</v>
      </c>
      <c r="H1039" s="81">
        <v>174728</v>
      </c>
      <c r="I1039" s="165" t="s">
        <v>250</v>
      </c>
      <c r="L1039" s="166">
        <v>1</v>
      </c>
      <c r="M1039" s="166">
        <v>2</v>
      </c>
      <c r="N1039" s="166">
        <v>1</v>
      </c>
      <c r="O1039" s="166">
        <v>2</v>
      </c>
      <c r="P1039" s="166">
        <v>1</v>
      </c>
      <c r="R1039" s="165" t="s">
        <v>2778</v>
      </c>
      <c r="S1039" s="81" t="s">
        <v>113</v>
      </c>
      <c r="T1039" s="349">
        <v>42831</v>
      </c>
      <c r="U1039" s="349">
        <v>42886</v>
      </c>
      <c r="V1039" s="81" t="s">
        <v>155</v>
      </c>
      <c r="W1039" s="81" t="s">
        <v>114</v>
      </c>
      <c r="Y1039" s="81" t="s">
        <v>115</v>
      </c>
      <c r="Z1039" s="81" t="s">
        <v>119</v>
      </c>
      <c r="AA1039" s="81" t="s">
        <v>117</v>
      </c>
      <c r="AB1039" s="81" t="s">
        <v>220</v>
      </c>
      <c r="AC1039" s="166">
        <v>2.5000000372528999E-2</v>
      </c>
      <c r="AG1039" s="81" t="s">
        <v>238</v>
      </c>
      <c r="AH1039" s="81" t="s">
        <v>118</v>
      </c>
      <c r="AK1039" s="166">
        <v>0</v>
      </c>
      <c r="AM1039" s="166">
        <v>0</v>
      </c>
      <c r="AO1039" s="166">
        <v>0</v>
      </c>
      <c r="AP1039" s="166">
        <v>1</v>
      </c>
      <c r="AQ1039" s="166">
        <v>0</v>
      </c>
      <c r="AR1039" s="166">
        <v>0</v>
      </c>
      <c r="AS1039" s="166">
        <v>0</v>
      </c>
      <c r="AT1039" s="166">
        <v>0</v>
      </c>
      <c r="AU1039" s="166">
        <v>0</v>
      </c>
      <c r="AV1039" s="166">
        <v>0</v>
      </c>
      <c r="AW1039" s="166">
        <v>0</v>
      </c>
      <c r="AX1039" s="166">
        <v>0</v>
      </c>
      <c r="AY1039" s="166">
        <v>0</v>
      </c>
      <c r="AZ1039" s="166">
        <v>0</v>
      </c>
      <c r="BA1039" s="166">
        <v>0</v>
      </c>
      <c r="BB1039" s="166">
        <v>0</v>
      </c>
      <c r="BC1039" s="166">
        <v>0</v>
      </c>
      <c r="BD1039" s="166">
        <v>1</v>
      </c>
      <c r="BE1039" s="166">
        <v>0</v>
      </c>
      <c r="BF1039" s="166">
        <v>0</v>
      </c>
      <c r="BG1039" s="166">
        <v>0</v>
      </c>
      <c r="BH1039" s="166">
        <v>0</v>
      </c>
      <c r="BI1039" s="166">
        <v>0</v>
      </c>
      <c r="BJ1039" s="166">
        <v>0</v>
      </c>
      <c r="BK1039" s="166">
        <v>0</v>
      </c>
      <c r="BL1039" s="166">
        <v>0</v>
      </c>
      <c r="BM1039" s="166">
        <v>0</v>
      </c>
      <c r="BN1039" s="166">
        <v>0</v>
      </c>
      <c r="BO1039" s="166">
        <v>0</v>
      </c>
      <c r="BP1039" s="166">
        <v>0</v>
      </c>
      <c r="BQ1039" s="81" t="s">
        <v>1758</v>
      </c>
      <c r="BZ1039" s="81" t="s">
        <v>155</v>
      </c>
      <c r="CA1039" s="81" t="s">
        <v>1937</v>
      </c>
      <c r="CC1039" s="167">
        <v>0</v>
      </c>
      <c r="CD1039" s="167">
        <f>$N1039/4</f>
        <v>0.25</v>
      </c>
      <c r="CE1039" s="167">
        <f>$N1039/4</f>
        <v>0.25</v>
      </c>
      <c r="CF1039" s="167">
        <f>$N1039/4</f>
        <v>0.25</v>
      </c>
      <c r="CG1039" s="167">
        <f>$N1039/4</f>
        <v>0.25</v>
      </c>
      <c r="CH1039" s="167">
        <v>0</v>
      </c>
      <c r="CI1039" s="167">
        <v>0</v>
      </c>
      <c r="CJ1039" s="167">
        <v>0</v>
      </c>
      <c r="CK1039" s="167">
        <v>0</v>
      </c>
      <c r="CL1039" s="167">
        <v>0</v>
      </c>
      <c r="CM1039" s="167">
        <v>0</v>
      </c>
      <c r="CN1039" s="167">
        <v>0</v>
      </c>
      <c r="CO1039" s="167">
        <v>0</v>
      </c>
      <c r="CP1039" s="167">
        <v>0</v>
      </c>
      <c r="CQ1039" s="167">
        <v>0</v>
      </c>
      <c r="CR1039" s="167">
        <v>0</v>
      </c>
      <c r="CS1039" s="167">
        <v>0</v>
      </c>
      <c r="CT1039" s="167">
        <v>0</v>
      </c>
      <c r="CU1039" s="167">
        <v>0</v>
      </c>
      <c r="CV1039" s="167">
        <v>0</v>
      </c>
      <c r="CW1039" s="167">
        <v>0</v>
      </c>
      <c r="CX1039" s="167">
        <f>SUM(CD1039:CH1039)</f>
        <v>1</v>
      </c>
      <c r="CY1039" s="167">
        <f>SUM(CD1039:CM1039)</f>
        <v>1</v>
      </c>
    </row>
    <row r="1040" spans="1:103" ht="12.75" customHeight="1" x14ac:dyDescent="0.2">
      <c r="A1040" s="81">
        <v>6483</v>
      </c>
      <c r="B1040" s="165" t="s">
        <v>1930</v>
      </c>
      <c r="C1040" s="165" t="s">
        <v>1676</v>
      </c>
      <c r="E1040" s="165" t="s">
        <v>2779</v>
      </c>
      <c r="G1040" s="81">
        <v>528690</v>
      </c>
      <c r="H1040" s="81">
        <v>177176</v>
      </c>
      <c r="I1040" s="165" t="s">
        <v>240</v>
      </c>
      <c r="L1040" s="166">
        <v>2</v>
      </c>
      <c r="M1040" s="166">
        <v>1</v>
      </c>
      <c r="N1040" s="166">
        <v>-1</v>
      </c>
      <c r="O1040" s="166">
        <v>1</v>
      </c>
      <c r="P1040" s="166">
        <v>-1</v>
      </c>
      <c r="R1040" s="165" t="s">
        <v>1677</v>
      </c>
      <c r="S1040" s="81" t="s">
        <v>113</v>
      </c>
      <c r="T1040" s="349">
        <v>42815</v>
      </c>
      <c r="U1040" s="349">
        <v>42866</v>
      </c>
      <c r="V1040" s="81" t="s">
        <v>155</v>
      </c>
      <c r="W1040" s="81" t="s">
        <v>114</v>
      </c>
      <c r="Y1040" s="81" t="s">
        <v>115</v>
      </c>
      <c r="Z1040" s="81" t="s">
        <v>119</v>
      </c>
      <c r="AA1040" s="81" t="s">
        <v>117</v>
      </c>
      <c r="AB1040" s="81" t="s">
        <v>300</v>
      </c>
      <c r="AC1040" s="166">
        <v>3.5000000149011598E-2</v>
      </c>
      <c r="AG1040" s="81" t="s">
        <v>238</v>
      </c>
      <c r="AH1040" s="81" t="s">
        <v>118</v>
      </c>
      <c r="AK1040" s="166">
        <v>0</v>
      </c>
      <c r="AM1040" s="166">
        <v>0</v>
      </c>
      <c r="AO1040" s="166">
        <v>0</v>
      </c>
      <c r="AP1040" s="166">
        <v>0</v>
      </c>
      <c r="AQ1040" s="166">
        <v>-2</v>
      </c>
      <c r="AR1040" s="166">
        <v>0</v>
      </c>
      <c r="AS1040" s="166">
        <v>1</v>
      </c>
      <c r="AT1040" s="166">
        <v>0</v>
      </c>
      <c r="AU1040" s="166">
        <v>0</v>
      </c>
      <c r="AV1040" s="166">
        <v>0</v>
      </c>
      <c r="AW1040" s="166">
        <v>0</v>
      </c>
      <c r="AX1040" s="166">
        <v>-2</v>
      </c>
      <c r="AY1040" s="166">
        <v>0</v>
      </c>
      <c r="AZ1040" s="166">
        <v>1</v>
      </c>
      <c r="BA1040" s="166">
        <v>0</v>
      </c>
      <c r="BB1040" s="166">
        <v>0</v>
      </c>
      <c r="BC1040" s="166">
        <v>0</v>
      </c>
      <c r="BD1040" s="166">
        <v>0</v>
      </c>
      <c r="BE1040" s="166">
        <v>0</v>
      </c>
      <c r="BF1040" s="166">
        <v>0</v>
      </c>
      <c r="BG1040" s="166">
        <v>0</v>
      </c>
      <c r="BH1040" s="166">
        <v>0</v>
      </c>
      <c r="BI1040" s="166">
        <v>0</v>
      </c>
      <c r="BJ1040" s="166">
        <v>0</v>
      </c>
      <c r="BK1040" s="166">
        <v>0</v>
      </c>
      <c r="BL1040" s="166">
        <v>0</v>
      </c>
      <c r="BM1040" s="166">
        <v>0</v>
      </c>
      <c r="BN1040" s="166">
        <v>0</v>
      </c>
      <c r="BO1040" s="166">
        <v>0</v>
      </c>
      <c r="BP1040" s="166">
        <v>0</v>
      </c>
      <c r="BQ1040" s="81" t="s">
        <v>1759</v>
      </c>
      <c r="BS1040" s="81" t="s">
        <v>155</v>
      </c>
      <c r="BZ1040" s="81" t="s">
        <v>155</v>
      </c>
      <c r="CA1040" s="81" t="s">
        <v>1937</v>
      </c>
      <c r="CC1040" s="167">
        <v>0</v>
      </c>
      <c r="CD1040" s="167">
        <f>$N1040/4</f>
        <v>-0.25</v>
      </c>
      <c r="CE1040" s="167">
        <f>$N1040/4</f>
        <v>-0.25</v>
      </c>
      <c r="CF1040" s="167">
        <f>$N1040/4</f>
        <v>-0.25</v>
      </c>
      <c r="CG1040" s="167">
        <f>$N1040/4</f>
        <v>-0.25</v>
      </c>
      <c r="CH1040" s="167">
        <v>0</v>
      </c>
      <c r="CI1040" s="167">
        <v>0</v>
      </c>
      <c r="CJ1040" s="167">
        <v>0</v>
      </c>
      <c r="CK1040" s="167">
        <v>0</v>
      </c>
      <c r="CL1040" s="167">
        <v>0</v>
      </c>
      <c r="CM1040" s="167">
        <v>0</v>
      </c>
      <c r="CN1040" s="167">
        <v>0</v>
      </c>
      <c r="CO1040" s="167">
        <v>0</v>
      </c>
      <c r="CP1040" s="167">
        <v>0</v>
      </c>
      <c r="CQ1040" s="167">
        <v>0</v>
      </c>
      <c r="CR1040" s="167">
        <v>0</v>
      </c>
      <c r="CS1040" s="167">
        <v>0</v>
      </c>
      <c r="CT1040" s="167">
        <v>0</v>
      </c>
      <c r="CU1040" s="167">
        <v>0</v>
      </c>
      <c r="CV1040" s="167">
        <v>0</v>
      </c>
      <c r="CW1040" s="167">
        <v>0</v>
      </c>
      <c r="CX1040" s="167">
        <f>SUM(CD1040:CH1040)</f>
        <v>-1</v>
      </c>
      <c r="CY1040" s="167">
        <f>SUM(CD1040:CM1040)</f>
        <v>-1</v>
      </c>
    </row>
    <row r="1041" spans="1:103" ht="12.75" customHeight="1" x14ac:dyDescent="0.2">
      <c r="A1041" s="81">
        <v>6487</v>
      </c>
      <c r="B1041" s="165" t="s">
        <v>1930</v>
      </c>
      <c r="C1041" s="165" t="s">
        <v>1638</v>
      </c>
      <c r="E1041" s="165" t="s">
        <v>2780</v>
      </c>
      <c r="G1041" s="81">
        <v>529348</v>
      </c>
      <c r="H1041" s="81">
        <v>177574</v>
      </c>
      <c r="I1041" s="165" t="s">
        <v>240</v>
      </c>
      <c r="L1041" s="166">
        <v>2</v>
      </c>
      <c r="M1041" s="166">
        <v>1</v>
      </c>
      <c r="N1041" s="166">
        <v>-1</v>
      </c>
      <c r="O1041" s="166">
        <v>1</v>
      </c>
      <c r="P1041" s="166">
        <v>-1</v>
      </c>
      <c r="R1041" s="165" t="s">
        <v>1639</v>
      </c>
      <c r="S1041" s="81" t="s">
        <v>113</v>
      </c>
      <c r="T1041" s="349">
        <v>42796</v>
      </c>
      <c r="U1041" s="349">
        <v>42831</v>
      </c>
      <c r="V1041" s="81" t="s">
        <v>155</v>
      </c>
      <c r="W1041" s="81" t="s">
        <v>114</v>
      </c>
      <c r="Y1041" s="81" t="s">
        <v>115</v>
      </c>
      <c r="Z1041" s="81" t="s">
        <v>119</v>
      </c>
      <c r="AA1041" s="81" t="s">
        <v>117</v>
      </c>
      <c r="AB1041" s="81" t="s">
        <v>300</v>
      </c>
      <c r="AC1041" s="166">
        <v>9.9999997764825804E-3</v>
      </c>
      <c r="AG1041" s="81" t="s">
        <v>238</v>
      </c>
      <c r="AH1041" s="81" t="s">
        <v>118</v>
      </c>
      <c r="AI1041" s="81" t="s">
        <v>2139</v>
      </c>
      <c r="AK1041" s="166">
        <v>0</v>
      </c>
      <c r="AM1041" s="166">
        <v>0</v>
      </c>
      <c r="AO1041" s="166">
        <v>0</v>
      </c>
      <c r="AP1041" s="166">
        <v>0</v>
      </c>
      <c r="AQ1041" s="166">
        <v>0</v>
      </c>
      <c r="AR1041" s="166">
        <v>-2</v>
      </c>
      <c r="AS1041" s="166">
        <v>0</v>
      </c>
      <c r="AT1041" s="166">
        <v>1</v>
      </c>
      <c r="AU1041" s="166">
        <v>0</v>
      </c>
      <c r="AV1041" s="166">
        <v>0</v>
      </c>
      <c r="AW1041" s="166">
        <v>0</v>
      </c>
      <c r="AX1041" s="166">
        <v>0</v>
      </c>
      <c r="AY1041" s="166">
        <v>-2</v>
      </c>
      <c r="AZ1041" s="166">
        <v>0</v>
      </c>
      <c r="BA1041" s="166">
        <v>1</v>
      </c>
      <c r="BB1041" s="166">
        <v>0</v>
      </c>
      <c r="BC1041" s="166">
        <v>0</v>
      </c>
      <c r="BD1041" s="166">
        <v>0</v>
      </c>
      <c r="BE1041" s="166">
        <v>0</v>
      </c>
      <c r="BF1041" s="166">
        <v>0</v>
      </c>
      <c r="BG1041" s="166">
        <v>0</v>
      </c>
      <c r="BH1041" s="166">
        <v>0</v>
      </c>
      <c r="BI1041" s="166">
        <v>0</v>
      </c>
      <c r="BJ1041" s="166">
        <v>0</v>
      </c>
      <c r="BK1041" s="166">
        <v>0</v>
      </c>
      <c r="BL1041" s="166">
        <v>0</v>
      </c>
      <c r="BM1041" s="166">
        <v>0</v>
      </c>
      <c r="BN1041" s="166">
        <v>0</v>
      </c>
      <c r="BO1041" s="166">
        <v>0</v>
      </c>
      <c r="BP1041" s="166">
        <v>0</v>
      </c>
      <c r="BQ1041" s="81" t="s">
        <v>1759</v>
      </c>
      <c r="BS1041" s="81" t="s">
        <v>155</v>
      </c>
      <c r="BZ1041" s="81" t="s">
        <v>155</v>
      </c>
      <c r="CA1041" s="81" t="s">
        <v>1937</v>
      </c>
      <c r="CC1041" s="167">
        <v>0</v>
      </c>
      <c r="CD1041" s="167">
        <f>$N1041/4</f>
        <v>-0.25</v>
      </c>
      <c r="CE1041" s="167">
        <f>$N1041/4</f>
        <v>-0.25</v>
      </c>
      <c r="CF1041" s="167">
        <f>$N1041/4</f>
        <v>-0.25</v>
      </c>
      <c r="CG1041" s="167">
        <f>$N1041/4</f>
        <v>-0.25</v>
      </c>
      <c r="CH1041" s="167">
        <v>0</v>
      </c>
      <c r="CI1041" s="167">
        <v>0</v>
      </c>
      <c r="CJ1041" s="167">
        <v>0</v>
      </c>
      <c r="CK1041" s="167">
        <v>0</v>
      </c>
      <c r="CL1041" s="167">
        <v>0</v>
      </c>
      <c r="CM1041" s="167">
        <v>0</v>
      </c>
      <c r="CN1041" s="167">
        <v>0</v>
      </c>
      <c r="CO1041" s="167">
        <v>0</v>
      </c>
      <c r="CP1041" s="167">
        <v>0</v>
      </c>
      <c r="CQ1041" s="167">
        <v>0</v>
      </c>
      <c r="CR1041" s="167">
        <v>0</v>
      </c>
      <c r="CS1041" s="167">
        <v>0</v>
      </c>
      <c r="CT1041" s="167">
        <v>0</v>
      </c>
      <c r="CU1041" s="167">
        <v>0</v>
      </c>
      <c r="CV1041" s="167">
        <v>0</v>
      </c>
      <c r="CW1041" s="167">
        <v>0</v>
      </c>
      <c r="CX1041" s="167">
        <f>SUM(CD1041:CH1041)</f>
        <v>-1</v>
      </c>
      <c r="CY1041" s="167">
        <f>SUM(CD1041:CM1041)</f>
        <v>-1</v>
      </c>
    </row>
    <row r="1042" spans="1:103" ht="12.75" customHeight="1" x14ac:dyDescent="0.2">
      <c r="A1042" s="81">
        <v>6489</v>
      </c>
      <c r="B1042" s="165" t="s">
        <v>1930</v>
      </c>
      <c r="C1042" s="165" t="s">
        <v>1631</v>
      </c>
      <c r="E1042" s="165" t="s">
        <v>2781</v>
      </c>
      <c r="G1042" s="81">
        <v>527608</v>
      </c>
      <c r="H1042" s="81">
        <v>176466</v>
      </c>
      <c r="I1042" s="165" t="s">
        <v>241</v>
      </c>
      <c r="L1042" s="166">
        <v>2</v>
      </c>
      <c r="M1042" s="166">
        <v>1</v>
      </c>
      <c r="N1042" s="166">
        <v>-1</v>
      </c>
      <c r="O1042" s="166">
        <v>1</v>
      </c>
      <c r="P1042" s="166">
        <v>-1</v>
      </c>
      <c r="R1042" s="165" t="s">
        <v>1632</v>
      </c>
      <c r="S1042" s="81" t="s">
        <v>113</v>
      </c>
      <c r="T1042" s="349">
        <v>42789</v>
      </c>
      <c r="U1042" s="349">
        <v>42845</v>
      </c>
      <c r="V1042" s="81" t="s">
        <v>155</v>
      </c>
      <c r="W1042" s="81" t="s">
        <v>114</v>
      </c>
      <c r="Y1042" s="81" t="s">
        <v>115</v>
      </c>
      <c r="Z1042" s="81" t="s">
        <v>398</v>
      </c>
      <c r="AA1042" s="81" t="s">
        <v>117</v>
      </c>
      <c r="AB1042" s="81" t="s">
        <v>336</v>
      </c>
      <c r="AC1042" s="166">
        <v>1.4000000432133701E-2</v>
      </c>
      <c r="AG1042" s="81" t="s">
        <v>238</v>
      </c>
      <c r="AH1042" s="81" t="s">
        <v>118</v>
      </c>
      <c r="AK1042" s="166">
        <v>0</v>
      </c>
      <c r="AM1042" s="166">
        <v>0</v>
      </c>
      <c r="AO1042" s="166">
        <v>0</v>
      </c>
      <c r="AP1042" s="166">
        <v>-1</v>
      </c>
      <c r="AQ1042" s="166">
        <v>-1</v>
      </c>
      <c r="AR1042" s="166">
        <v>0</v>
      </c>
      <c r="AS1042" s="166">
        <v>0</v>
      </c>
      <c r="AT1042" s="166">
        <v>1</v>
      </c>
      <c r="AU1042" s="166">
        <v>0</v>
      </c>
      <c r="AV1042" s="166">
        <v>0</v>
      </c>
      <c r="AW1042" s="166">
        <v>-1</v>
      </c>
      <c r="AX1042" s="166">
        <v>-1</v>
      </c>
      <c r="AY1042" s="166">
        <v>0</v>
      </c>
      <c r="AZ1042" s="166">
        <v>0</v>
      </c>
      <c r="BA1042" s="166">
        <v>0</v>
      </c>
      <c r="BB1042" s="166">
        <v>0</v>
      </c>
      <c r="BC1042" s="166">
        <v>0</v>
      </c>
      <c r="BD1042" s="166">
        <v>0</v>
      </c>
      <c r="BE1042" s="166">
        <v>0</v>
      </c>
      <c r="BF1042" s="166">
        <v>0</v>
      </c>
      <c r="BG1042" s="166">
        <v>0</v>
      </c>
      <c r="BH1042" s="166">
        <v>1</v>
      </c>
      <c r="BI1042" s="166">
        <v>0</v>
      </c>
      <c r="BJ1042" s="166">
        <v>0</v>
      </c>
      <c r="BK1042" s="166">
        <v>0</v>
      </c>
      <c r="BL1042" s="166">
        <v>0</v>
      </c>
      <c r="BM1042" s="166">
        <v>0</v>
      </c>
      <c r="BN1042" s="166">
        <v>0</v>
      </c>
      <c r="BO1042" s="166">
        <v>0</v>
      </c>
      <c r="BP1042" s="166">
        <v>0</v>
      </c>
      <c r="BQ1042" s="81" t="s">
        <v>1757</v>
      </c>
      <c r="BZ1042" s="81" t="s">
        <v>155</v>
      </c>
      <c r="CA1042" s="81" t="s">
        <v>1937</v>
      </c>
      <c r="CC1042" s="167">
        <v>0</v>
      </c>
      <c r="CD1042" s="167">
        <f>$N1042/4</f>
        <v>-0.25</v>
      </c>
      <c r="CE1042" s="167">
        <f>$N1042/4</f>
        <v>-0.25</v>
      </c>
      <c r="CF1042" s="167">
        <f>$N1042/4</f>
        <v>-0.25</v>
      </c>
      <c r="CG1042" s="167">
        <f>$N1042/4</f>
        <v>-0.25</v>
      </c>
      <c r="CH1042" s="167">
        <v>0</v>
      </c>
      <c r="CI1042" s="167">
        <v>0</v>
      </c>
      <c r="CJ1042" s="167">
        <v>0</v>
      </c>
      <c r="CK1042" s="167">
        <v>0</v>
      </c>
      <c r="CL1042" s="167">
        <v>0</v>
      </c>
      <c r="CM1042" s="167">
        <v>0</v>
      </c>
      <c r="CN1042" s="167">
        <v>0</v>
      </c>
      <c r="CO1042" s="167">
        <v>0</v>
      </c>
      <c r="CP1042" s="167">
        <v>0</v>
      </c>
      <c r="CQ1042" s="167">
        <v>0</v>
      </c>
      <c r="CR1042" s="167">
        <v>0</v>
      </c>
      <c r="CS1042" s="167">
        <v>0</v>
      </c>
      <c r="CT1042" s="167">
        <v>0</v>
      </c>
      <c r="CU1042" s="167">
        <v>0</v>
      </c>
      <c r="CV1042" s="167">
        <v>0</v>
      </c>
      <c r="CW1042" s="167">
        <v>0</v>
      </c>
      <c r="CX1042" s="167">
        <f>SUM(CD1042:CH1042)</f>
        <v>-1</v>
      </c>
      <c r="CY1042" s="167">
        <f>SUM(CD1042:CM1042)</f>
        <v>-1</v>
      </c>
    </row>
    <row r="1043" spans="1:103" ht="12.75" customHeight="1" x14ac:dyDescent="0.2">
      <c r="A1043" s="81">
        <v>6490</v>
      </c>
      <c r="B1043" s="165" t="s">
        <v>1930</v>
      </c>
      <c r="C1043" s="165" t="s">
        <v>1623</v>
      </c>
      <c r="E1043" s="165" t="s">
        <v>2782</v>
      </c>
      <c r="G1043" s="81">
        <v>523997</v>
      </c>
      <c r="H1043" s="81">
        <v>175115</v>
      </c>
      <c r="I1043" s="165" t="s">
        <v>259</v>
      </c>
      <c r="L1043" s="166">
        <v>0</v>
      </c>
      <c r="M1043" s="166">
        <v>3</v>
      </c>
      <c r="N1043" s="166">
        <v>3</v>
      </c>
      <c r="O1043" s="166">
        <v>3</v>
      </c>
      <c r="P1043" s="166">
        <v>3</v>
      </c>
      <c r="R1043" s="165" t="s">
        <v>1624</v>
      </c>
      <c r="S1043" s="81" t="s">
        <v>113</v>
      </c>
      <c r="T1043" s="349">
        <v>42772</v>
      </c>
      <c r="U1043" s="349">
        <v>42828</v>
      </c>
      <c r="V1043" s="81" t="s">
        <v>155</v>
      </c>
      <c r="W1043" s="81" t="s">
        <v>114</v>
      </c>
      <c r="Y1043" s="81" t="s">
        <v>115</v>
      </c>
      <c r="Z1043" s="81" t="s">
        <v>219</v>
      </c>
      <c r="AA1043" s="81" t="s">
        <v>117</v>
      </c>
      <c r="AB1043" s="81" t="s">
        <v>3889</v>
      </c>
      <c r="AC1043" s="166">
        <v>1.30000002682209E-2</v>
      </c>
      <c r="AG1043" s="81" t="s">
        <v>238</v>
      </c>
      <c r="AH1043" s="81" t="s">
        <v>118</v>
      </c>
      <c r="AK1043" s="166">
        <v>0</v>
      </c>
      <c r="AM1043" s="166">
        <v>0</v>
      </c>
      <c r="AO1043" s="166">
        <v>0</v>
      </c>
      <c r="AP1043" s="166">
        <v>2</v>
      </c>
      <c r="AQ1043" s="166">
        <v>1</v>
      </c>
      <c r="AR1043" s="166">
        <v>0</v>
      </c>
      <c r="AS1043" s="166">
        <v>0</v>
      </c>
      <c r="AT1043" s="166">
        <v>0</v>
      </c>
      <c r="AU1043" s="166">
        <v>0</v>
      </c>
      <c r="AV1043" s="166">
        <v>0</v>
      </c>
      <c r="AW1043" s="166">
        <v>2</v>
      </c>
      <c r="AX1043" s="166">
        <v>1</v>
      </c>
      <c r="AY1043" s="166">
        <v>0</v>
      </c>
      <c r="AZ1043" s="166">
        <v>0</v>
      </c>
      <c r="BA1043" s="166">
        <v>0</v>
      </c>
      <c r="BB1043" s="166">
        <v>0</v>
      </c>
      <c r="BC1043" s="166">
        <v>0</v>
      </c>
      <c r="BD1043" s="166">
        <v>0</v>
      </c>
      <c r="BE1043" s="166">
        <v>0</v>
      </c>
      <c r="BF1043" s="166">
        <v>0</v>
      </c>
      <c r="BG1043" s="166">
        <v>0</v>
      </c>
      <c r="BH1043" s="166">
        <v>0</v>
      </c>
      <c r="BI1043" s="166">
        <v>0</v>
      </c>
      <c r="BJ1043" s="166">
        <v>0</v>
      </c>
      <c r="BK1043" s="166">
        <v>0</v>
      </c>
      <c r="BL1043" s="166">
        <v>0</v>
      </c>
      <c r="BM1043" s="166">
        <v>0</v>
      </c>
      <c r="BN1043" s="166">
        <v>0</v>
      </c>
      <c r="BO1043" s="166">
        <v>0</v>
      </c>
      <c r="BP1043" s="166">
        <v>0</v>
      </c>
      <c r="BQ1043" s="81" t="s">
        <v>1758</v>
      </c>
      <c r="BR1043" s="81" t="s">
        <v>161</v>
      </c>
      <c r="BZ1043" s="81" t="s">
        <v>155</v>
      </c>
      <c r="CA1043" s="81" t="s">
        <v>1937</v>
      </c>
      <c r="CC1043" s="167">
        <v>0</v>
      </c>
      <c r="CD1043" s="167">
        <f>$N1043/4</f>
        <v>0.75</v>
      </c>
      <c r="CE1043" s="167">
        <f>$N1043/4</f>
        <v>0.75</v>
      </c>
      <c r="CF1043" s="167">
        <f>$N1043/4</f>
        <v>0.75</v>
      </c>
      <c r="CG1043" s="167">
        <f>$N1043/4</f>
        <v>0.75</v>
      </c>
      <c r="CH1043" s="167">
        <v>0</v>
      </c>
      <c r="CI1043" s="167">
        <v>0</v>
      </c>
      <c r="CJ1043" s="167">
        <v>0</v>
      </c>
      <c r="CK1043" s="167">
        <v>0</v>
      </c>
      <c r="CL1043" s="167">
        <v>0</v>
      </c>
      <c r="CM1043" s="167">
        <v>0</v>
      </c>
      <c r="CN1043" s="167">
        <v>0</v>
      </c>
      <c r="CO1043" s="167">
        <v>0</v>
      </c>
      <c r="CP1043" s="167">
        <v>0</v>
      </c>
      <c r="CQ1043" s="167">
        <v>0</v>
      </c>
      <c r="CR1043" s="167">
        <v>0</v>
      </c>
      <c r="CS1043" s="167">
        <v>0</v>
      </c>
      <c r="CT1043" s="167">
        <v>0</v>
      </c>
      <c r="CU1043" s="167">
        <v>0</v>
      </c>
      <c r="CV1043" s="167">
        <v>0</v>
      </c>
      <c r="CW1043" s="167">
        <v>0</v>
      </c>
      <c r="CX1043" s="167">
        <f>SUM(CD1043:CH1043)</f>
        <v>3</v>
      </c>
      <c r="CY1043" s="167">
        <f>SUM(CD1043:CM1043)</f>
        <v>3</v>
      </c>
    </row>
    <row r="1044" spans="1:103" ht="12.75" customHeight="1" x14ac:dyDescent="0.2">
      <c r="A1044" s="81">
        <v>6491</v>
      </c>
      <c r="B1044" s="165" t="s">
        <v>1930</v>
      </c>
      <c r="C1044" s="165" t="s">
        <v>1619</v>
      </c>
      <c r="E1044" s="165" t="s">
        <v>2783</v>
      </c>
      <c r="G1044" s="81">
        <v>529359</v>
      </c>
      <c r="H1044" s="81">
        <v>171414</v>
      </c>
      <c r="I1044" s="165" t="s">
        <v>252</v>
      </c>
      <c r="L1044" s="166">
        <v>0</v>
      </c>
      <c r="M1044" s="166">
        <v>3</v>
      </c>
      <c r="N1044" s="166">
        <v>3</v>
      </c>
      <c r="O1044" s="166">
        <v>3</v>
      </c>
      <c r="P1044" s="166">
        <v>3</v>
      </c>
      <c r="R1044" s="165" t="s">
        <v>1620</v>
      </c>
      <c r="S1044" s="81" t="s">
        <v>113</v>
      </c>
      <c r="T1044" s="349">
        <v>42772</v>
      </c>
      <c r="U1044" s="349">
        <v>42828</v>
      </c>
      <c r="V1044" s="81" t="s">
        <v>155</v>
      </c>
      <c r="W1044" s="81" t="s">
        <v>114</v>
      </c>
      <c r="Y1044" s="81" t="s">
        <v>115</v>
      </c>
      <c r="Z1044" s="81" t="s">
        <v>116</v>
      </c>
      <c r="AA1044" s="81" t="s">
        <v>117</v>
      </c>
      <c r="AB1044" s="81" t="s">
        <v>218</v>
      </c>
      <c r="AC1044" s="166">
        <v>4.9999998882412902E-3</v>
      </c>
      <c r="AG1044" s="81" t="s">
        <v>238</v>
      </c>
      <c r="AH1044" s="81" t="s">
        <v>118</v>
      </c>
      <c r="AK1044" s="166">
        <v>0</v>
      </c>
      <c r="AM1044" s="166">
        <v>0</v>
      </c>
      <c r="AO1044" s="166">
        <v>0</v>
      </c>
      <c r="AP1044" s="166">
        <v>2</v>
      </c>
      <c r="AQ1044" s="166">
        <v>1</v>
      </c>
      <c r="AR1044" s="166">
        <v>0</v>
      </c>
      <c r="AS1044" s="166">
        <v>0</v>
      </c>
      <c r="AT1044" s="166">
        <v>0</v>
      </c>
      <c r="AU1044" s="166">
        <v>0</v>
      </c>
      <c r="AV1044" s="166">
        <v>0</v>
      </c>
      <c r="AW1044" s="166">
        <v>2</v>
      </c>
      <c r="AX1044" s="166">
        <v>1</v>
      </c>
      <c r="AY1044" s="166">
        <v>0</v>
      </c>
      <c r="AZ1044" s="166">
        <v>0</v>
      </c>
      <c r="BA1044" s="166">
        <v>0</v>
      </c>
      <c r="BB1044" s="166">
        <v>0</v>
      </c>
      <c r="BC1044" s="166">
        <v>0</v>
      </c>
      <c r="BD1044" s="166">
        <v>0</v>
      </c>
      <c r="BE1044" s="166">
        <v>0</v>
      </c>
      <c r="BF1044" s="166">
        <v>0</v>
      </c>
      <c r="BG1044" s="166">
        <v>0</v>
      </c>
      <c r="BH1044" s="166">
        <v>0</v>
      </c>
      <c r="BI1044" s="166">
        <v>0</v>
      </c>
      <c r="BJ1044" s="166">
        <v>0</v>
      </c>
      <c r="BK1044" s="166">
        <v>0</v>
      </c>
      <c r="BL1044" s="166">
        <v>0</v>
      </c>
      <c r="BM1044" s="166">
        <v>0</v>
      </c>
      <c r="BN1044" s="166">
        <v>0</v>
      </c>
      <c r="BO1044" s="166">
        <v>0</v>
      </c>
      <c r="BP1044" s="166">
        <v>0</v>
      </c>
      <c r="BQ1044" s="81" t="s">
        <v>1757</v>
      </c>
      <c r="BZ1044" s="81" t="s">
        <v>155</v>
      </c>
      <c r="CA1044" s="81">
        <v>4</v>
      </c>
      <c r="CC1044" s="167">
        <v>0</v>
      </c>
      <c r="CD1044" s="167">
        <v>0</v>
      </c>
      <c r="CE1044" s="167">
        <f>$N1044/5</f>
        <v>0.6</v>
      </c>
      <c r="CF1044" s="167">
        <f>$N1044/5</f>
        <v>0.6</v>
      </c>
      <c r="CG1044" s="167">
        <f>$N1044/5</f>
        <v>0.6</v>
      </c>
      <c r="CH1044" s="167">
        <f>$N1044/5</f>
        <v>0.6</v>
      </c>
      <c r="CI1044" s="167">
        <f>$N1044/5</f>
        <v>0.6</v>
      </c>
      <c r="CJ1044" s="167">
        <v>0</v>
      </c>
      <c r="CK1044" s="167">
        <v>0</v>
      </c>
      <c r="CL1044" s="167">
        <v>0</v>
      </c>
      <c r="CM1044" s="167">
        <v>0</v>
      </c>
      <c r="CN1044" s="167">
        <v>0</v>
      </c>
      <c r="CO1044" s="167">
        <v>0</v>
      </c>
      <c r="CP1044" s="167">
        <v>0</v>
      </c>
      <c r="CQ1044" s="167">
        <v>0</v>
      </c>
      <c r="CR1044" s="167">
        <v>0</v>
      </c>
      <c r="CS1044" s="167">
        <v>0</v>
      </c>
      <c r="CT1044" s="167">
        <v>0</v>
      </c>
      <c r="CU1044" s="167">
        <v>0</v>
      </c>
      <c r="CV1044" s="167">
        <v>0</v>
      </c>
      <c r="CW1044" s="167">
        <v>0</v>
      </c>
      <c r="CX1044" s="167">
        <f>SUM(CD1044:CH1044)</f>
        <v>2.4</v>
      </c>
      <c r="CY1044" s="167">
        <f>SUM(CD1044:CM1044)</f>
        <v>3</v>
      </c>
    </row>
    <row r="1045" spans="1:103" ht="12.75" customHeight="1" x14ac:dyDescent="0.2">
      <c r="A1045" s="81">
        <v>6492</v>
      </c>
      <c r="B1045" s="165" t="s">
        <v>1930</v>
      </c>
      <c r="C1045" s="165" t="s">
        <v>1615</v>
      </c>
      <c r="E1045" s="165" t="s">
        <v>2784</v>
      </c>
      <c r="G1045" s="81">
        <v>521667</v>
      </c>
      <c r="H1045" s="81">
        <v>172427</v>
      </c>
      <c r="I1045" s="165" t="s">
        <v>877</v>
      </c>
      <c r="L1045" s="166">
        <v>1</v>
      </c>
      <c r="M1045" s="166">
        <v>2</v>
      </c>
      <c r="N1045" s="166">
        <v>1</v>
      </c>
      <c r="O1045" s="166">
        <v>2</v>
      </c>
      <c r="P1045" s="166">
        <v>1</v>
      </c>
      <c r="R1045" s="165" t="s">
        <v>1616</v>
      </c>
      <c r="S1045" s="81" t="s">
        <v>113</v>
      </c>
      <c r="T1045" s="349">
        <v>42797</v>
      </c>
      <c r="U1045" s="349">
        <v>42907</v>
      </c>
      <c r="V1045" s="81" t="s">
        <v>155</v>
      </c>
      <c r="W1045" s="81" t="s">
        <v>114</v>
      </c>
      <c r="Y1045" s="81" t="s">
        <v>115</v>
      </c>
      <c r="Z1045" s="81" t="s">
        <v>119</v>
      </c>
      <c r="AA1045" s="81" t="s">
        <v>117</v>
      </c>
      <c r="AB1045" s="81" t="s">
        <v>120</v>
      </c>
      <c r="AC1045" s="166">
        <v>5.6000001728534698E-2</v>
      </c>
      <c r="AG1045" s="81" t="s">
        <v>238</v>
      </c>
      <c r="AH1045" s="81" t="s">
        <v>118</v>
      </c>
      <c r="AK1045" s="166">
        <v>0</v>
      </c>
      <c r="AM1045" s="166">
        <v>0</v>
      </c>
      <c r="AO1045" s="166">
        <v>0</v>
      </c>
      <c r="AP1045" s="166">
        <v>0</v>
      </c>
      <c r="AQ1045" s="166">
        <v>0</v>
      </c>
      <c r="AR1045" s="166">
        <v>0</v>
      </c>
      <c r="AS1045" s="166">
        <v>1</v>
      </c>
      <c r="AT1045" s="166">
        <v>0</v>
      </c>
      <c r="AU1045" s="166">
        <v>0</v>
      </c>
      <c r="AV1045" s="166">
        <v>0</v>
      </c>
      <c r="AW1045" s="166">
        <v>0</v>
      </c>
      <c r="AX1045" s="166">
        <v>0</v>
      </c>
      <c r="AY1045" s="166">
        <v>0</v>
      </c>
      <c r="AZ1045" s="166">
        <v>1</v>
      </c>
      <c r="BA1045" s="166">
        <v>1</v>
      </c>
      <c r="BB1045" s="166">
        <v>0</v>
      </c>
      <c r="BC1045" s="166">
        <v>0</v>
      </c>
      <c r="BD1045" s="166">
        <v>0</v>
      </c>
      <c r="BE1045" s="166">
        <v>0</v>
      </c>
      <c r="BF1045" s="166">
        <v>0</v>
      </c>
      <c r="BG1045" s="166">
        <v>0</v>
      </c>
      <c r="BH1045" s="166">
        <v>-1</v>
      </c>
      <c r="BI1045" s="166">
        <v>0</v>
      </c>
      <c r="BJ1045" s="166">
        <v>0</v>
      </c>
      <c r="BK1045" s="166">
        <v>0</v>
      </c>
      <c r="BL1045" s="166">
        <v>0</v>
      </c>
      <c r="BM1045" s="166">
        <v>0</v>
      </c>
      <c r="BN1045" s="166">
        <v>0</v>
      </c>
      <c r="BO1045" s="166">
        <v>0</v>
      </c>
      <c r="BP1045" s="166">
        <v>0</v>
      </c>
      <c r="BQ1045" s="81" t="s">
        <v>1758</v>
      </c>
      <c r="BZ1045" s="81" t="s">
        <v>155</v>
      </c>
      <c r="CA1045" s="81" t="s">
        <v>1937</v>
      </c>
      <c r="CC1045" s="167">
        <v>0</v>
      </c>
      <c r="CD1045" s="167">
        <f>$N1045/4</f>
        <v>0.25</v>
      </c>
      <c r="CE1045" s="167">
        <f>$N1045/4</f>
        <v>0.25</v>
      </c>
      <c r="CF1045" s="167">
        <f>$N1045/4</f>
        <v>0.25</v>
      </c>
      <c r="CG1045" s="167">
        <f>$N1045/4</f>
        <v>0.25</v>
      </c>
      <c r="CH1045" s="167">
        <v>0</v>
      </c>
      <c r="CI1045" s="167">
        <v>0</v>
      </c>
      <c r="CJ1045" s="167">
        <v>0</v>
      </c>
      <c r="CK1045" s="167">
        <v>0</v>
      </c>
      <c r="CL1045" s="167">
        <v>0</v>
      </c>
      <c r="CM1045" s="167">
        <v>0</v>
      </c>
      <c r="CN1045" s="167">
        <v>0</v>
      </c>
      <c r="CO1045" s="167">
        <v>0</v>
      </c>
      <c r="CP1045" s="167">
        <v>0</v>
      </c>
      <c r="CQ1045" s="167">
        <v>0</v>
      </c>
      <c r="CR1045" s="167">
        <v>0</v>
      </c>
      <c r="CS1045" s="167">
        <v>0</v>
      </c>
      <c r="CT1045" s="167">
        <v>0</v>
      </c>
      <c r="CU1045" s="167">
        <v>0</v>
      </c>
      <c r="CV1045" s="167">
        <v>0</v>
      </c>
      <c r="CW1045" s="167">
        <v>0</v>
      </c>
      <c r="CX1045" s="167">
        <f>SUM(CD1045:CH1045)</f>
        <v>1</v>
      </c>
      <c r="CY1045" s="167">
        <f>SUM(CD1045:CM1045)</f>
        <v>1</v>
      </c>
    </row>
    <row r="1046" spans="1:103" ht="12.75" customHeight="1" x14ac:dyDescent="0.2">
      <c r="A1046" s="81">
        <v>6493</v>
      </c>
      <c r="B1046" s="165" t="s">
        <v>1930</v>
      </c>
      <c r="C1046" s="165" t="s">
        <v>1611</v>
      </c>
      <c r="E1046" s="165" t="s">
        <v>2785</v>
      </c>
      <c r="G1046" s="81">
        <v>529358</v>
      </c>
      <c r="H1046" s="81">
        <v>171498</v>
      </c>
      <c r="I1046" s="165" t="s">
        <v>252</v>
      </c>
      <c r="L1046" s="166">
        <v>0</v>
      </c>
      <c r="M1046" s="166">
        <v>3</v>
      </c>
      <c r="N1046" s="166">
        <v>3</v>
      </c>
      <c r="O1046" s="166">
        <v>3</v>
      </c>
      <c r="P1046" s="166">
        <v>3</v>
      </c>
      <c r="R1046" s="165" t="s">
        <v>1612</v>
      </c>
      <c r="S1046" s="81" t="s">
        <v>113</v>
      </c>
      <c r="T1046" s="349">
        <v>42773</v>
      </c>
      <c r="U1046" s="349">
        <v>42829</v>
      </c>
      <c r="V1046" s="81" t="s">
        <v>155</v>
      </c>
      <c r="W1046" s="81" t="s">
        <v>114</v>
      </c>
      <c r="Y1046" s="81" t="s">
        <v>115</v>
      </c>
      <c r="Z1046" s="81" t="s">
        <v>116</v>
      </c>
      <c r="AA1046" s="81" t="s">
        <v>117</v>
      </c>
      <c r="AB1046" s="81" t="s">
        <v>218</v>
      </c>
      <c r="AC1046" s="166">
        <v>4.9999998882412902E-3</v>
      </c>
      <c r="AG1046" s="81" t="s">
        <v>154</v>
      </c>
      <c r="AH1046" s="81" t="s">
        <v>38</v>
      </c>
      <c r="AK1046" s="166">
        <v>3</v>
      </c>
      <c r="AM1046" s="166">
        <v>0</v>
      </c>
      <c r="AO1046" s="166">
        <v>0</v>
      </c>
      <c r="AP1046" s="166">
        <v>2</v>
      </c>
      <c r="AQ1046" s="166">
        <v>1</v>
      </c>
      <c r="AR1046" s="166">
        <v>0</v>
      </c>
      <c r="AS1046" s="166">
        <v>0</v>
      </c>
      <c r="AT1046" s="166">
        <v>0</v>
      </c>
      <c r="AU1046" s="166">
        <v>0</v>
      </c>
      <c r="AV1046" s="166">
        <v>0</v>
      </c>
      <c r="AW1046" s="166">
        <v>2</v>
      </c>
      <c r="AX1046" s="166">
        <v>1</v>
      </c>
      <c r="AY1046" s="166">
        <v>0</v>
      </c>
      <c r="AZ1046" s="166">
        <v>0</v>
      </c>
      <c r="BA1046" s="166">
        <v>0</v>
      </c>
      <c r="BB1046" s="166">
        <v>0</v>
      </c>
      <c r="BC1046" s="166">
        <v>0</v>
      </c>
      <c r="BD1046" s="166">
        <v>0</v>
      </c>
      <c r="BE1046" s="166">
        <v>0</v>
      </c>
      <c r="BF1046" s="166">
        <v>0</v>
      </c>
      <c r="BG1046" s="166">
        <v>0</v>
      </c>
      <c r="BH1046" s="166">
        <v>0</v>
      </c>
      <c r="BI1046" s="166">
        <v>0</v>
      </c>
      <c r="BJ1046" s="166">
        <v>0</v>
      </c>
      <c r="BK1046" s="166">
        <v>0</v>
      </c>
      <c r="BL1046" s="166">
        <v>0</v>
      </c>
      <c r="BM1046" s="166">
        <v>0</v>
      </c>
      <c r="BN1046" s="166">
        <v>0</v>
      </c>
      <c r="BO1046" s="166">
        <v>0</v>
      </c>
      <c r="BP1046" s="166">
        <v>0</v>
      </c>
      <c r="BQ1046" s="81" t="s">
        <v>1757</v>
      </c>
      <c r="BZ1046" s="81" t="s">
        <v>155</v>
      </c>
      <c r="CA1046" s="81">
        <v>4</v>
      </c>
      <c r="CC1046" s="167">
        <v>0</v>
      </c>
      <c r="CD1046" s="167">
        <v>0</v>
      </c>
      <c r="CE1046" s="167">
        <f>$N1046/5</f>
        <v>0.6</v>
      </c>
      <c r="CF1046" s="167">
        <f>$N1046/5</f>
        <v>0.6</v>
      </c>
      <c r="CG1046" s="167">
        <f>$N1046/5</f>
        <v>0.6</v>
      </c>
      <c r="CH1046" s="167">
        <f>$N1046/5</f>
        <v>0.6</v>
      </c>
      <c r="CI1046" s="167">
        <f>$N1046/5</f>
        <v>0.6</v>
      </c>
      <c r="CJ1046" s="167">
        <v>0</v>
      </c>
      <c r="CK1046" s="167">
        <v>0</v>
      </c>
      <c r="CL1046" s="167">
        <v>0</v>
      </c>
      <c r="CM1046" s="167">
        <v>0</v>
      </c>
      <c r="CN1046" s="167">
        <v>0</v>
      </c>
      <c r="CO1046" s="167">
        <v>0</v>
      </c>
      <c r="CP1046" s="167">
        <v>0</v>
      </c>
      <c r="CQ1046" s="167">
        <v>0</v>
      </c>
      <c r="CR1046" s="167">
        <v>0</v>
      </c>
      <c r="CS1046" s="167">
        <v>0</v>
      </c>
      <c r="CT1046" s="167">
        <v>0</v>
      </c>
      <c r="CU1046" s="167">
        <v>0</v>
      </c>
      <c r="CV1046" s="167">
        <v>0</v>
      </c>
      <c r="CW1046" s="167">
        <v>0</v>
      </c>
      <c r="CX1046" s="167">
        <f>SUM(CD1046:CH1046)</f>
        <v>2.4</v>
      </c>
      <c r="CY1046" s="167">
        <f>SUM(CD1046:CM1046)</f>
        <v>3</v>
      </c>
    </row>
    <row r="1047" spans="1:103" ht="12.75" customHeight="1" x14ac:dyDescent="0.2">
      <c r="A1047" s="81">
        <v>6494</v>
      </c>
      <c r="B1047" s="165" t="s">
        <v>1930</v>
      </c>
      <c r="C1047" s="165" t="s">
        <v>1609</v>
      </c>
      <c r="E1047" s="165" t="s">
        <v>2786</v>
      </c>
      <c r="G1047" s="81">
        <v>529449</v>
      </c>
      <c r="H1047" s="81">
        <v>171532</v>
      </c>
      <c r="I1047" s="165" t="s">
        <v>252</v>
      </c>
      <c r="L1047" s="166">
        <v>0</v>
      </c>
      <c r="M1047" s="166">
        <v>3</v>
      </c>
      <c r="N1047" s="166">
        <v>3</v>
      </c>
      <c r="O1047" s="166">
        <v>3</v>
      </c>
      <c r="P1047" s="166">
        <v>3</v>
      </c>
      <c r="R1047" s="165" t="s">
        <v>1610</v>
      </c>
      <c r="S1047" s="81" t="s">
        <v>113</v>
      </c>
      <c r="T1047" s="349">
        <v>42773</v>
      </c>
      <c r="U1047" s="349">
        <v>42829</v>
      </c>
      <c r="V1047" s="81" t="s">
        <v>155</v>
      </c>
      <c r="W1047" s="81" t="s">
        <v>114</v>
      </c>
      <c r="Y1047" s="81" t="s">
        <v>115</v>
      </c>
      <c r="Z1047" s="81" t="s">
        <v>116</v>
      </c>
      <c r="AA1047" s="81" t="s">
        <v>117</v>
      </c>
      <c r="AB1047" s="81" t="s">
        <v>218</v>
      </c>
      <c r="AC1047" s="166">
        <v>1.60000007599592E-2</v>
      </c>
      <c r="AG1047" s="81" t="s">
        <v>154</v>
      </c>
      <c r="AH1047" s="81" t="s">
        <v>38</v>
      </c>
      <c r="AK1047" s="166">
        <v>3</v>
      </c>
      <c r="AM1047" s="166">
        <v>0</v>
      </c>
      <c r="AO1047" s="166">
        <v>0</v>
      </c>
      <c r="AP1047" s="166">
        <v>1</v>
      </c>
      <c r="AQ1047" s="166">
        <v>2</v>
      </c>
      <c r="AR1047" s="166">
        <v>0</v>
      </c>
      <c r="AS1047" s="166">
        <v>0</v>
      </c>
      <c r="AT1047" s="166">
        <v>0</v>
      </c>
      <c r="AU1047" s="166">
        <v>0</v>
      </c>
      <c r="AV1047" s="166">
        <v>0</v>
      </c>
      <c r="AW1047" s="166">
        <v>1</v>
      </c>
      <c r="AX1047" s="166">
        <v>2</v>
      </c>
      <c r="AY1047" s="166">
        <v>0</v>
      </c>
      <c r="AZ1047" s="166">
        <v>0</v>
      </c>
      <c r="BA1047" s="166">
        <v>0</v>
      </c>
      <c r="BB1047" s="166">
        <v>0</v>
      </c>
      <c r="BC1047" s="166">
        <v>0</v>
      </c>
      <c r="BD1047" s="166">
        <v>0</v>
      </c>
      <c r="BE1047" s="166">
        <v>0</v>
      </c>
      <c r="BF1047" s="166">
        <v>0</v>
      </c>
      <c r="BG1047" s="166">
        <v>0</v>
      </c>
      <c r="BH1047" s="166">
        <v>0</v>
      </c>
      <c r="BI1047" s="166">
        <v>0</v>
      </c>
      <c r="BJ1047" s="166">
        <v>0</v>
      </c>
      <c r="BK1047" s="166">
        <v>0</v>
      </c>
      <c r="BL1047" s="166">
        <v>0</v>
      </c>
      <c r="BM1047" s="166">
        <v>0</v>
      </c>
      <c r="BN1047" s="166">
        <v>0</v>
      </c>
      <c r="BO1047" s="166">
        <v>0</v>
      </c>
      <c r="BP1047" s="166">
        <v>0</v>
      </c>
      <c r="BQ1047" s="81" t="s">
        <v>1757</v>
      </c>
      <c r="BZ1047" s="81" t="s">
        <v>155</v>
      </c>
      <c r="CA1047" s="81">
        <v>4</v>
      </c>
      <c r="CC1047" s="167">
        <v>0</v>
      </c>
      <c r="CD1047" s="167">
        <v>0</v>
      </c>
      <c r="CE1047" s="167">
        <f>$N1047/5</f>
        <v>0.6</v>
      </c>
      <c r="CF1047" s="167">
        <f>$N1047/5</f>
        <v>0.6</v>
      </c>
      <c r="CG1047" s="167">
        <f>$N1047/5</f>
        <v>0.6</v>
      </c>
      <c r="CH1047" s="167">
        <f>$N1047/5</f>
        <v>0.6</v>
      </c>
      <c r="CI1047" s="167">
        <f>$N1047/5</f>
        <v>0.6</v>
      </c>
      <c r="CJ1047" s="167">
        <v>0</v>
      </c>
      <c r="CK1047" s="167">
        <v>0</v>
      </c>
      <c r="CL1047" s="167">
        <v>0</v>
      </c>
      <c r="CM1047" s="167">
        <v>0</v>
      </c>
      <c r="CN1047" s="167">
        <v>0</v>
      </c>
      <c r="CO1047" s="167">
        <v>0</v>
      </c>
      <c r="CP1047" s="167">
        <v>0</v>
      </c>
      <c r="CQ1047" s="167">
        <v>0</v>
      </c>
      <c r="CR1047" s="167">
        <v>0</v>
      </c>
      <c r="CS1047" s="167">
        <v>0</v>
      </c>
      <c r="CT1047" s="167">
        <v>0</v>
      </c>
      <c r="CU1047" s="167">
        <v>0</v>
      </c>
      <c r="CV1047" s="167">
        <v>0</v>
      </c>
      <c r="CW1047" s="167">
        <v>0</v>
      </c>
      <c r="CX1047" s="167">
        <f>SUM(CD1047:CH1047)</f>
        <v>2.4</v>
      </c>
      <c r="CY1047" s="167">
        <f>SUM(CD1047:CM1047)</f>
        <v>3</v>
      </c>
    </row>
    <row r="1048" spans="1:103" ht="12.75" customHeight="1" x14ac:dyDescent="0.2">
      <c r="A1048" s="81">
        <v>6495</v>
      </c>
      <c r="B1048" s="165" t="s">
        <v>1930</v>
      </c>
      <c r="C1048" s="165" t="s">
        <v>1607</v>
      </c>
      <c r="E1048" s="165" t="s">
        <v>2159</v>
      </c>
      <c r="G1048" s="81">
        <v>524891</v>
      </c>
      <c r="H1048" s="81">
        <v>173680</v>
      </c>
      <c r="I1048" s="165" t="s">
        <v>258</v>
      </c>
      <c r="L1048" s="166">
        <v>0</v>
      </c>
      <c r="M1048" s="166">
        <v>1</v>
      </c>
      <c r="N1048" s="166">
        <v>1</v>
      </c>
      <c r="O1048" s="166">
        <v>1</v>
      </c>
      <c r="P1048" s="166">
        <v>1</v>
      </c>
      <c r="R1048" s="165" t="s">
        <v>1608</v>
      </c>
      <c r="S1048" s="81" t="s">
        <v>113</v>
      </c>
      <c r="T1048" s="349">
        <v>42760</v>
      </c>
      <c r="U1048" s="349">
        <v>42878</v>
      </c>
      <c r="V1048" s="81" t="s">
        <v>155</v>
      </c>
      <c r="W1048" s="81" t="s">
        <v>114</v>
      </c>
      <c r="Y1048" s="81" t="s">
        <v>115</v>
      </c>
      <c r="Z1048" s="81" t="s">
        <v>398</v>
      </c>
      <c r="AA1048" s="81" t="s">
        <v>117</v>
      </c>
      <c r="AB1048" s="81" t="s">
        <v>399</v>
      </c>
      <c r="AC1048" s="166">
        <v>2.8999999165535001E-2</v>
      </c>
      <c r="AG1048" s="81" t="s">
        <v>238</v>
      </c>
      <c r="AH1048" s="81" t="s">
        <v>118</v>
      </c>
      <c r="AK1048" s="166">
        <v>0</v>
      </c>
      <c r="AM1048" s="166">
        <v>0</v>
      </c>
      <c r="AO1048" s="166">
        <v>0</v>
      </c>
      <c r="AP1048" s="166">
        <v>0</v>
      </c>
      <c r="AQ1048" s="166">
        <v>1</v>
      </c>
      <c r="AR1048" s="166">
        <v>0</v>
      </c>
      <c r="AS1048" s="166">
        <v>0</v>
      </c>
      <c r="AT1048" s="166">
        <v>0</v>
      </c>
      <c r="AU1048" s="166">
        <v>0</v>
      </c>
      <c r="AV1048" s="166">
        <v>0</v>
      </c>
      <c r="AW1048" s="166">
        <v>0</v>
      </c>
      <c r="AX1048" s="166">
        <v>0</v>
      </c>
      <c r="AY1048" s="166">
        <v>0</v>
      </c>
      <c r="AZ1048" s="166">
        <v>0</v>
      </c>
      <c r="BA1048" s="166">
        <v>0</v>
      </c>
      <c r="BB1048" s="166">
        <v>0</v>
      </c>
      <c r="BC1048" s="166">
        <v>0</v>
      </c>
      <c r="BD1048" s="166">
        <v>0</v>
      </c>
      <c r="BE1048" s="166">
        <v>1</v>
      </c>
      <c r="BF1048" s="166">
        <v>0</v>
      </c>
      <c r="BG1048" s="166">
        <v>0</v>
      </c>
      <c r="BH1048" s="166">
        <v>0</v>
      </c>
      <c r="BI1048" s="166">
        <v>0</v>
      </c>
      <c r="BJ1048" s="166">
        <v>0</v>
      </c>
      <c r="BK1048" s="166">
        <v>0</v>
      </c>
      <c r="BL1048" s="166">
        <v>0</v>
      </c>
      <c r="BM1048" s="166">
        <v>0</v>
      </c>
      <c r="BN1048" s="166">
        <v>0</v>
      </c>
      <c r="BO1048" s="166">
        <v>0</v>
      </c>
      <c r="BP1048" s="166">
        <v>0</v>
      </c>
      <c r="BQ1048" s="81" t="s">
        <v>1758</v>
      </c>
      <c r="BZ1048" s="81" t="s">
        <v>155</v>
      </c>
      <c r="CA1048" s="81" t="s">
        <v>1937</v>
      </c>
      <c r="CC1048" s="167">
        <v>0</v>
      </c>
      <c r="CD1048" s="167">
        <f>$N1048/4</f>
        <v>0.25</v>
      </c>
      <c r="CE1048" s="167">
        <f>$N1048/4</f>
        <v>0.25</v>
      </c>
      <c r="CF1048" s="167">
        <f>$N1048/4</f>
        <v>0.25</v>
      </c>
      <c r="CG1048" s="167">
        <f>$N1048/4</f>
        <v>0.25</v>
      </c>
      <c r="CH1048" s="167">
        <v>0</v>
      </c>
      <c r="CI1048" s="167">
        <v>0</v>
      </c>
      <c r="CJ1048" s="167">
        <v>0</v>
      </c>
      <c r="CK1048" s="167">
        <v>0</v>
      </c>
      <c r="CL1048" s="167">
        <v>0</v>
      </c>
      <c r="CM1048" s="167">
        <v>0</v>
      </c>
      <c r="CN1048" s="167">
        <v>0</v>
      </c>
      <c r="CO1048" s="167">
        <v>0</v>
      </c>
      <c r="CP1048" s="167">
        <v>0</v>
      </c>
      <c r="CQ1048" s="167">
        <v>0</v>
      </c>
      <c r="CR1048" s="167">
        <v>0</v>
      </c>
      <c r="CS1048" s="167">
        <v>0</v>
      </c>
      <c r="CT1048" s="167">
        <v>0</v>
      </c>
      <c r="CU1048" s="167">
        <v>0</v>
      </c>
      <c r="CV1048" s="167">
        <v>0</v>
      </c>
      <c r="CW1048" s="167">
        <v>0</v>
      </c>
      <c r="CX1048" s="167">
        <f>SUM(CD1048:CH1048)</f>
        <v>1</v>
      </c>
      <c r="CY1048" s="167">
        <f>SUM(CD1048:CM1048)</f>
        <v>1</v>
      </c>
    </row>
    <row r="1049" spans="1:103" ht="12.75" customHeight="1" x14ac:dyDescent="0.2">
      <c r="A1049" s="81">
        <v>6497</v>
      </c>
      <c r="B1049" s="165" t="s">
        <v>1930</v>
      </c>
      <c r="C1049" s="165" t="s">
        <v>1592</v>
      </c>
      <c r="E1049" s="165" t="s">
        <v>2787</v>
      </c>
      <c r="G1049" s="81">
        <v>527487</v>
      </c>
      <c r="H1049" s="81">
        <v>175150</v>
      </c>
      <c r="I1049" s="165" t="s">
        <v>255</v>
      </c>
      <c r="L1049" s="166">
        <v>2</v>
      </c>
      <c r="M1049" s="166">
        <v>0</v>
      </c>
      <c r="N1049" s="166">
        <v>-2</v>
      </c>
      <c r="O1049" s="166">
        <v>0</v>
      </c>
      <c r="P1049" s="166">
        <v>-2</v>
      </c>
      <c r="R1049" s="165" t="s">
        <v>1593</v>
      </c>
      <c r="S1049" s="81" t="s">
        <v>113</v>
      </c>
      <c r="T1049" s="349">
        <v>42752</v>
      </c>
      <c r="U1049" s="349">
        <v>42857</v>
      </c>
      <c r="V1049" s="81" t="s">
        <v>155</v>
      </c>
      <c r="W1049" s="81" t="s">
        <v>114</v>
      </c>
      <c r="Y1049" s="81" t="s">
        <v>115</v>
      </c>
      <c r="Z1049" s="81" t="s">
        <v>398</v>
      </c>
      <c r="AA1049" s="81" t="s">
        <v>117</v>
      </c>
      <c r="AB1049" s="81" t="s">
        <v>105</v>
      </c>
      <c r="AC1049" s="166">
        <v>0</v>
      </c>
      <c r="AG1049" s="81" t="s">
        <v>238</v>
      </c>
      <c r="AH1049" s="81" t="s">
        <v>118</v>
      </c>
      <c r="AK1049" s="166">
        <v>0</v>
      </c>
      <c r="AM1049" s="166">
        <v>0</v>
      </c>
      <c r="AO1049" s="166">
        <v>0</v>
      </c>
      <c r="AP1049" s="166">
        <v>0</v>
      </c>
      <c r="AQ1049" s="166">
        <v>-2</v>
      </c>
      <c r="AR1049" s="166">
        <v>0</v>
      </c>
      <c r="AS1049" s="166">
        <v>0</v>
      </c>
      <c r="AT1049" s="166">
        <v>0</v>
      </c>
      <c r="AU1049" s="166">
        <v>0</v>
      </c>
      <c r="AV1049" s="166">
        <v>0</v>
      </c>
      <c r="AW1049" s="166">
        <v>0</v>
      </c>
      <c r="AX1049" s="166">
        <v>-2</v>
      </c>
      <c r="AY1049" s="166">
        <v>0</v>
      </c>
      <c r="AZ1049" s="166">
        <v>0</v>
      </c>
      <c r="BA1049" s="166">
        <v>0</v>
      </c>
      <c r="BB1049" s="166">
        <v>0</v>
      </c>
      <c r="BC1049" s="166">
        <v>0</v>
      </c>
      <c r="BD1049" s="166">
        <v>0</v>
      </c>
      <c r="BE1049" s="166">
        <v>0</v>
      </c>
      <c r="BF1049" s="166">
        <v>0</v>
      </c>
      <c r="BG1049" s="166">
        <v>0</v>
      </c>
      <c r="BH1049" s="166">
        <v>0</v>
      </c>
      <c r="BI1049" s="166">
        <v>0</v>
      </c>
      <c r="BJ1049" s="166">
        <v>0</v>
      </c>
      <c r="BK1049" s="166">
        <v>0</v>
      </c>
      <c r="BL1049" s="166">
        <v>0</v>
      </c>
      <c r="BM1049" s="166">
        <v>0</v>
      </c>
      <c r="BN1049" s="166">
        <v>0</v>
      </c>
      <c r="BO1049" s="166">
        <v>0</v>
      </c>
      <c r="BP1049" s="166">
        <v>0</v>
      </c>
      <c r="BQ1049" s="81" t="s">
        <v>1757</v>
      </c>
      <c r="BR1049" s="81" t="s">
        <v>160</v>
      </c>
      <c r="BZ1049" s="81" t="s">
        <v>155</v>
      </c>
      <c r="CA1049" s="81" t="s">
        <v>1937</v>
      </c>
      <c r="CC1049" s="167">
        <v>0</v>
      </c>
      <c r="CD1049" s="167">
        <f>$N1049/4</f>
        <v>-0.5</v>
      </c>
      <c r="CE1049" s="167">
        <f>$N1049/4</f>
        <v>-0.5</v>
      </c>
      <c r="CF1049" s="167">
        <f>$N1049/4</f>
        <v>-0.5</v>
      </c>
      <c r="CG1049" s="167">
        <f>$N1049/4</f>
        <v>-0.5</v>
      </c>
      <c r="CH1049" s="167">
        <v>0</v>
      </c>
      <c r="CI1049" s="167">
        <v>0</v>
      </c>
      <c r="CJ1049" s="167">
        <v>0</v>
      </c>
      <c r="CK1049" s="167">
        <v>0</v>
      </c>
      <c r="CL1049" s="167">
        <v>0</v>
      </c>
      <c r="CM1049" s="167">
        <v>0</v>
      </c>
      <c r="CN1049" s="167">
        <v>0</v>
      </c>
      <c r="CO1049" s="167">
        <v>0</v>
      </c>
      <c r="CP1049" s="167">
        <v>0</v>
      </c>
      <c r="CQ1049" s="167">
        <v>0</v>
      </c>
      <c r="CR1049" s="167">
        <v>0</v>
      </c>
      <c r="CS1049" s="167">
        <v>0</v>
      </c>
      <c r="CT1049" s="167">
        <v>0</v>
      </c>
      <c r="CU1049" s="167">
        <v>0</v>
      </c>
      <c r="CV1049" s="167">
        <v>0</v>
      </c>
      <c r="CW1049" s="167">
        <v>0</v>
      </c>
      <c r="CX1049" s="167">
        <f>SUM(CD1049:CH1049)</f>
        <v>-2</v>
      </c>
      <c r="CY1049" s="167">
        <f>SUM(CD1049:CM1049)</f>
        <v>-2</v>
      </c>
    </row>
    <row r="1050" spans="1:103" ht="12.75" customHeight="1" x14ac:dyDescent="0.2">
      <c r="A1050" s="81">
        <v>6498</v>
      </c>
      <c r="B1050" s="165" t="s">
        <v>1930</v>
      </c>
      <c r="C1050" s="165" t="s">
        <v>1435</v>
      </c>
      <c r="E1050" s="165" t="s">
        <v>2788</v>
      </c>
      <c r="G1050" s="81">
        <v>528346</v>
      </c>
      <c r="H1050" s="81">
        <v>175825</v>
      </c>
      <c r="I1050" s="165" t="s">
        <v>256</v>
      </c>
      <c r="L1050" s="166">
        <v>0</v>
      </c>
      <c r="M1050" s="166">
        <v>8</v>
      </c>
      <c r="N1050" s="166">
        <v>8</v>
      </c>
      <c r="O1050" s="166">
        <v>8</v>
      </c>
      <c r="P1050" s="166">
        <v>8</v>
      </c>
      <c r="R1050" s="165" t="s">
        <v>1436</v>
      </c>
      <c r="S1050" s="81" t="s">
        <v>113</v>
      </c>
      <c r="T1050" s="349">
        <v>42643</v>
      </c>
      <c r="U1050" s="349">
        <v>42761</v>
      </c>
      <c r="W1050" s="81" t="s">
        <v>114</v>
      </c>
      <c r="Y1050" s="81" t="s">
        <v>115</v>
      </c>
      <c r="Z1050" s="81" t="s">
        <v>116</v>
      </c>
      <c r="AA1050" s="81" t="s">
        <v>117</v>
      </c>
      <c r="AB1050" s="81" t="s">
        <v>218</v>
      </c>
      <c r="AC1050" s="166">
        <v>5.0999999046325697E-2</v>
      </c>
      <c r="AG1050" s="81" t="s">
        <v>154</v>
      </c>
      <c r="AH1050" s="81" t="s">
        <v>38</v>
      </c>
      <c r="AK1050" s="166">
        <v>7</v>
      </c>
      <c r="AM1050" s="166">
        <v>1</v>
      </c>
      <c r="AO1050" s="166">
        <v>0</v>
      </c>
      <c r="AP1050" s="166">
        <v>2</v>
      </c>
      <c r="AQ1050" s="166">
        <v>4</v>
      </c>
      <c r="AR1050" s="166">
        <v>2</v>
      </c>
      <c r="AS1050" s="166">
        <v>0</v>
      </c>
      <c r="AT1050" s="166">
        <v>0</v>
      </c>
      <c r="AU1050" s="166">
        <v>0</v>
      </c>
      <c r="AV1050" s="166">
        <v>0</v>
      </c>
      <c r="AW1050" s="166">
        <v>2</v>
      </c>
      <c r="AX1050" s="166">
        <v>4</v>
      </c>
      <c r="AY1050" s="166">
        <v>0</v>
      </c>
      <c r="AZ1050" s="166">
        <v>0</v>
      </c>
      <c r="BA1050" s="166">
        <v>0</v>
      </c>
      <c r="BB1050" s="166">
        <v>0</v>
      </c>
      <c r="BC1050" s="166">
        <v>0</v>
      </c>
      <c r="BD1050" s="166">
        <v>0</v>
      </c>
      <c r="BE1050" s="166">
        <v>0</v>
      </c>
      <c r="BF1050" s="166">
        <v>2</v>
      </c>
      <c r="BG1050" s="166">
        <v>0</v>
      </c>
      <c r="BH1050" s="166">
        <v>0</v>
      </c>
      <c r="BI1050" s="166">
        <v>0</v>
      </c>
      <c r="BJ1050" s="166">
        <v>0</v>
      </c>
      <c r="BK1050" s="166">
        <v>0</v>
      </c>
      <c r="BL1050" s="166">
        <v>0</v>
      </c>
      <c r="BM1050" s="166">
        <v>0</v>
      </c>
      <c r="BN1050" s="166">
        <v>0</v>
      </c>
      <c r="BO1050" s="166">
        <v>0</v>
      </c>
      <c r="BP1050" s="166">
        <v>0</v>
      </c>
      <c r="BQ1050" s="81" t="s">
        <v>1757</v>
      </c>
      <c r="BZ1050" s="81" t="s">
        <v>155</v>
      </c>
      <c r="CA1050" s="81" t="s">
        <v>3968</v>
      </c>
      <c r="CC1050" s="167">
        <v>0</v>
      </c>
      <c r="CD1050" s="167">
        <v>0</v>
      </c>
      <c r="CE1050" s="167">
        <v>0</v>
      </c>
      <c r="CF1050" s="167">
        <v>0</v>
      </c>
      <c r="CG1050" s="167">
        <v>0</v>
      </c>
      <c r="CH1050" s="167">
        <f>$N1050/3</f>
        <v>2.6666666666666665</v>
      </c>
      <c r="CI1050" s="167">
        <f>$N1050/3</f>
        <v>2.6666666666666665</v>
      </c>
      <c r="CJ1050" s="167">
        <f>$N1050/3</f>
        <v>2.6666666666666665</v>
      </c>
      <c r="CK1050" s="167">
        <v>0</v>
      </c>
      <c r="CL1050" s="167">
        <v>0</v>
      </c>
      <c r="CM1050" s="167">
        <v>0</v>
      </c>
      <c r="CN1050" s="167">
        <v>0</v>
      </c>
      <c r="CO1050" s="167">
        <v>0</v>
      </c>
      <c r="CP1050" s="167">
        <v>0</v>
      </c>
      <c r="CQ1050" s="167">
        <v>0</v>
      </c>
      <c r="CR1050" s="167">
        <v>0</v>
      </c>
      <c r="CS1050" s="167">
        <v>0</v>
      </c>
      <c r="CT1050" s="167">
        <v>0</v>
      </c>
      <c r="CU1050" s="167">
        <v>0</v>
      </c>
      <c r="CV1050" s="167">
        <v>0</v>
      </c>
      <c r="CW1050" s="167">
        <v>0</v>
      </c>
      <c r="CX1050" s="167">
        <f>SUM(CD1050:CH1050)</f>
        <v>2.6666666666666665</v>
      </c>
      <c r="CY1050" s="167">
        <f>SUM(CD1050:CM1050)</f>
        <v>8</v>
      </c>
    </row>
    <row r="1051" spans="1:103" ht="12.75" customHeight="1" x14ac:dyDescent="0.2">
      <c r="A1051" s="81">
        <v>6501</v>
      </c>
      <c r="B1051" s="165" t="s">
        <v>1930</v>
      </c>
      <c r="C1051" s="165" t="s">
        <v>1720</v>
      </c>
      <c r="E1051" s="165" t="s">
        <v>3439</v>
      </c>
      <c r="G1051" s="81">
        <v>527304</v>
      </c>
      <c r="H1051" s="81">
        <v>171639</v>
      </c>
      <c r="I1051" s="165" t="s">
        <v>242</v>
      </c>
      <c r="L1051" s="166">
        <v>0</v>
      </c>
      <c r="M1051" s="166">
        <v>12</v>
      </c>
      <c r="N1051" s="166">
        <v>12</v>
      </c>
      <c r="O1051" s="166">
        <v>17</v>
      </c>
      <c r="P1051" s="166">
        <v>17</v>
      </c>
      <c r="Q1051" s="81" t="s">
        <v>155</v>
      </c>
      <c r="R1051" s="165" t="s">
        <v>1721</v>
      </c>
      <c r="S1051" s="81" t="s">
        <v>104</v>
      </c>
      <c r="T1051" s="349">
        <v>42660</v>
      </c>
      <c r="U1051" s="349">
        <v>43053</v>
      </c>
      <c r="V1051" s="81" t="s">
        <v>155</v>
      </c>
      <c r="W1051" s="81" t="s">
        <v>114</v>
      </c>
      <c r="Y1051" s="81" t="s">
        <v>115</v>
      </c>
      <c r="Z1051" s="81" t="s">
        <v>116</v>
      </c>
      <c r="AA1051" s="81" t="s">
        <v>116</v>
      </c>
      <c r="AB1051" s="81" t="s">
        <v>117</v>
      </c>
      <c r="AC1051" s="166">
        <v>0.116999998688698</v>
      </c>
      <c r="AG1051" s="81" t="s">
        <v>238</v>
      </c>
      <c r="AH1051" s="81" t="s">
        <v>118</v>
      </c>
      <c r="AK1051" s="166">
        <v>0</v>
      </c>
      <c r="AM1051" s="166">
        <v>12</v>
      </c>
      <c r="AO1051" s="166">
        <v>0</v>
      </c>
      <c r="AP1051" s="166">
        <v>2</v>
      </c>
      <c r="AQ1051" s="166">
        <v>7</v>
      </c>
      <c r="AR1051" s="166">
        <v>3</v>
      </c>
      <c r="AS1051" s="166">
        <v>0</v>
      </c>
      <c r="AT1051" s="166">
        <v>0</v>
      </c>
      <c r="AU1051" s="166">
        <v>0</v>
      </c>
      <c r="AV1051" s="166">
        <v>0</v>
      </c>
      <c r="AW1051" s="166">
        <v>2</v>
      </c>
      <c r="AX1051" s="166">
        <v>7</v>
      </c>
      <c r="AY1051" s="166">
        <v>3</v>
      </c>
      <c r="AZ1051" s="166">
        <v>0</v>
      </c>
      <c r="BA1051" s="166">
        <v>0</v>
      </c>
      <c r="BB1051" s="166">
        <v>0</v>
      </c>
      <c r="BC1051" s="166">
        <v>0</v>
      </c>
      <c r="BD1051" s="166">
        <v>0</v>
      </c>
      <c r="BE1051" s="166">
        <v>0</v>
      </c>
      <c r="BF1051" s="166">
        <v>0</v>
      </c>
      <c r="BG1051" s="166">
        <v>0</v>
      </c>
      <c r="BH1051" s="166">
        <v>0</v>
      </c>
      <c r="BI1051" s="166">
        <v>0</v>
      </c>
      <c r="BJ1051" s="166">
        <v>0</v>
      </c>
      <c r="BK1051" s="166">
        <v>0</v>
      </c>
      <c r="BL1051" s="166">
        <v>0</v>
      </c>
      <c r="BM1051" s="166">
        <v>0</v>
      </c>
      <c r="BN1051" s="166">
        <v>0</v>
      </c>
      <c r="BO1051" s="166">
        <v>0</v>
      </c>
      <c r="BP1051" s="166">
        <v>0</v>
      </c>
      <c r="BQ1051" s="81" t="s">
        <v>1757</v>
      </c>
      <c r="BZ1051" s="81" t="s">
        <v>155</v>
      </c>
      <c r="CA1051" s="81" t="s">
        <v>3936</v>
      </c>
      <c r="CC1051" s="167">
        <v>0</v>
      </c>
      <c r="CD1051" s="167">
        <v>0</v>
      </c>
      <c r="CE1051" s="167">
        <f>N1051</f>
        <v>12</v>
      </c>
      <c r="CF1051" s="167">
        <v>0</v>
      </c>
      <c r="CG1051" s="167">
        <v>0</v>
      </c>
      <c r="CH1051" s="167">
        <v>0</v>
      </c>
      <c r="CI1051" s="167">
        <v>0</v>
      </c>
      <c r="CJ1051" s="167">
        <v>0</v>
      </c>
      <c r="CK1051" s="167">
        <v>0</v>
      </c>
      <c r="CL1051" s="167">
        <v>0</v>
      </c>
      <c r="CM1051" s="167">
        <v>0</v>
      </c>
      <c r="CN1051" s="167">
        <v>0</v>
      </c>
      <c r="CO1051" s="167">
        <v>0</v>
      </c>
      <c r="CP1051" s="167">
        <v>0</v>
      </c>
      <c r="CQ1051" s="167">
        <v>0</v>
      </c>
      <c r="CR1051" s="167">
        <v>0</v>
      </c>
      <c r="CS1051" s="167">
        <v>0</v>
      </c>
      <c r="CT1051" s="167">
        <v>0</v>
      </c>
      <c r="CU1051" s="167">
        <v>0</v>
      </c>
      <c r="CV1051" s="167">
        <v>0</v>
      </c>
      <c r="CW1051" s="167">
        <v>0</v>
      </c>
      <c r="CX1051" s="167">
        <f>SUM(CD1051:CH1051)</f>
        <v>12</v>
      </c>
      <c r="CY1051" s="167">
        <f>SUM(CD1051:CM1051)</f>
        <v>12</v>
      </c>
    </row>
    <row r="1052" spans="1:103" ht="12.75" customHeight="1" x14ac:dyDescent="0.2">
      <c r="A1052" s="81">
        <v>6501</v>
      </c>
      <c r="B1052" s="165" t="s">
        <v>1930</v>
      </c>
      <c r="C1052" s="165" t="s">
        <v>1720</v>
      </c>
      <c r="E1052" s="165" t="s">
        <v>3439</v>
      </c>
      <c r="G1052" s="81">
        <v>527304</v>
      </c>
      <c r="H1052" s="81">
        <v>171639</v>
      </c>
      <c r="I1052" s="165" t="s">
        <v>242</v>
      </c>
      <c r="L1052" s="166">
        <v>0</v>
      </c>
      <c r="M1052" s="166">
        <v>5</v>
      </c>
      <c r="N1052" s="166">
        <v>5</v>
      </c>
      <c r="O1052" s="166">
        <v>17</v>
      </c>
      <c r="P1052" s="166">
        <v>17</v>
      </c>
      <c r="Q1052" s="81" t="s">
        <v>155</v>
      </c>
      <c r="R1052" s="165" t="s">
        <v>1721</v>
      </c>
      <c r="S1052" s="81" t="s">
        <v>104</v>
      </c>
      <c r="T1052" s="349">
        <v>42660</v>
      </c>
      <c r="U1052" s="349">
        <v>43053</v>
      </c>
      <c r="V1052" s="81" t="s">
        <v>155</v>
      </c>
      <c r="W1052" s="81" t="s">
        <v>114</v>
      </c>
      <c r="Y1052" s="81" t="s">
        <v>115</v>
      </c>
      <c r="Z1052" s="81" t="s">
        <v>116</v>
      </c>
      <c r="AA1052" s="81" t="s">
        <v>116</v>
      </c>
      <c r="AB1052" s="81" t="s">
        <v>117</v>
      </c>
      <c r="AC1052" s="166">
        <v>3.9000000804662698E-2</v>
      </c>
      <c r="AG1052" s="81" t="s">
        <v>74</v>
      </c>
      <c r="AH1052" s="81" t="s">
        <v>990</v>
      </c>
      <c r="AK1052" s="166">
        <v>3</v>
      </c>
      <c r="AM1052" s="166">
        <v>2</v>
      </c>
      <c r="AN1052" s="166">
        <v>2</v>
      </c>
      <c r="AO1052" s="166">
        <v>0</v>
      </c>
      <c r="AP1052" s="166">
        <v>0</v>
      </c>
      <c r="AQ1052" s="166">
        <v>5</v>
      </c>
      <c r="AR1052" s="166">
        <v>0</v>
      </c>
      <c r="AS1052" s="166">
        <v>0</v>
      </c>
      <c r="AT1052" s="166">
        <v>0</v>
      </c>
      <c r="AU1052" s="166">
        <v>0</v>
      </c>
      <c r="AV1052" s="166">
        <v>0</v>
      </c>
      <c r="AW1052" s="166">
        <v>0</v>
      </c>
      <c r="AX1052" s="166">
        <v>5</v>
      </c>
      <c r="AY1052" s="166">
        <v>0</v>
      </c>
      <c r="AZ1052" s="166">
        <v>0</v>
      </c>
      <c r="BA1052" s="166">
        <v>0</v>
      </c>
      <c r="BB1052" s="166">
        <v>0</v>
      </c>
      <c r="BC1052" s="166">
        <v>0</v>
      </c>
      <c r="BD1052" s="166">
        <v>0</v>
      </c>
      <c r="BE1052" s="166">
        <v>0</v>
      </c>
      <c r="BF1052" s="166">
        <v>0</v>
      </c>
      <c r="BG1052" s="166">
        <v>0</v>
      </c>
      <c r="BH1052" s="166">
        <v>0</v>
      </c>
      <c r="BI1052" s="166">
        <v>0</v>
      </c>
      <c r="BJ1052" s="166">
        <v>0</v>
      </c>
      <c r="BK1052" s="166">
        <v>0</v>
      </c>
      <c r="BL1052" s="166">
        <v>0</v>
      </c>
      <c r="BM1052" s="166">
        <v>0</v>
      </c>
      <c r="BN1052" s="166">
        <v>0</v>
      </c>
      <c r="BO1052" s="166">
        <v>0</v>
      </c>
      <c r="BP1052" s="166">
        <v>0</v>
      </c>
      <c r="BQ1052" s="81" t="s">
        <v>1757</v>
      </c>
      <c r="BZ1052" s="81" t="s">
        <v>155</v>
      </c>
      <c r="CA1052" s="81" t="s">
        <v>3936</v>
      </c>
      <c r="CC1052" s="167">
        <v>0</v>
      </c>
      <c r="CD1052" s="167">
        <v>0</v>
      </c>
      <c r="CE1052" s="167">
        <f>N1052</f>
        <v>5</v>
      </c>
      <c r="CF1052" s="167">
        <v>0</v>
      </c>
      <c r="CG1052" s="167">
        <v>0</v>
      </c>
      <c r="CH1052" s="167">
        <v>0</v>
      </c>
      <c r="CI1052" s="167">
        <v>0</v>
      </c>
      <c r="CJ1052" s="167">
        <v>0</v>
      </c>
      <c r="CK1052" s="167">
        <v>0</v>
      </c>
      <c r="CL1052" s="167">
        <v>0</v>
      </c>
      <c r="CM1052" s="167">
        <v>0</v>
      </c>
      <c r="CN1052" s="167">
        <v>0</v>
      </c>
      <c r="CO1052" s="167">
        <v>0</v>
      </c>
      <c r="CP1052" s="167">
        <v>0</v>
      </c>
      <c r="CQ1052" s="167">
        <v>0</v>
      </c>
      <c r="CR1052" s="167">
        <v>0</v>
      </c>
      <c r="CS1052" s="167">
        <v>0</v>
      </c>
      <c r="CT1052" s="167">
        <v>0</v>
      </c>
      <c r="CU1052" s="167">
        <v>0</v>
      </c>
      <c r="CV1052" s="167">
        <v>0</v>
      </c>
      <c r="CW1052" s="167">
        <v>0</v>
      </c>
      <c r="CX1052" s="167">
        <f>SUM(CD1052:CH1052)</f>
        <v>5</v>
      </c>
      <c r="CY1052" s="167">
        <f>SUM(CD1052:CM1052)</f>
        <v>5</v>
      </c>
    </row>
    <row r="1053" spans="1:103" ht="12.75" customHeight="1" x14ac:dyDescent="0.2">
      <c r="A1053" s="81">
        <v>6508</v>
      </c>
      <c r="B1053" s="165" t="s">
        <v>1930</v>
      </c>
      <c r="C1053" s="165" t="s">
        <v>1229</v>
      </c>
      <c r="D1053" s="165" t="s">
        <v>876</v>
      </c>
      <c r="E1053" s="165" t="s">
        <v>2789</v>
      </c>
      <c r="F1053" s="165" t="s">
        <v>1230</v>
      </c>
      <c r="G1053" s="81">
        <v>526400</v>
      </c>
      <c r="H1053" s="81">
        <v>175699</v>
      </c>
      <c r="I1053" s="165" t="s">
        <v>257</v>
      </c>
      <c r="L1053" s="166">
        <v>0</v>
      </c>
      <c r="M1053" s="166">
        <v>3</v>
      </c>
      <c r="N1053" s="166">
        <v>3</v>
      </c>
      <c r="O1053" s="166">
        <v>3</v>
      </c>
      <c r="P1053" s="166">
        <v>3</v>
      </c>
      <c r="R1053" s="165" t="s">
        <v>1232</v>
      </c>
      <c r="S1053" s="81" t="s">
        <v>270</v>
      </c>
      <c r="T1053" s="349">
        <v>42487</v>
      </c>
      <c r="U1053" s="349">
        <v>42543</v>
      </c>
      <c r="W1053" s="81" t="s">
        <v>114</v>
      </c>
      <c r="Y1053" s="81" t="s">
        <v>115</v>
      </c>
      <c r="Z1053" s="81" t="s">
        <v>310</v>
      </c>
      <c r="AA1053" s="81" t="s">
        <v>117</v>
      </c>
      <c r="AB1053" s="81" t="s">
        <v>399</v>
      </c>
      <c r="AC1053" s="166">
        <v>8.0000003799796104E-3</v>
      </c>
      <c r="AG1053" s="81" t="s">
        <v>238</v>
      </c>
      <c r="AH1053" s="81" t="s">
        <v>118</v>
      </c>
      <c r="AK1053" s="166">
        <v>0</v>
      </c>
      <c r="AM1053" s="166">
        <v>0</v>
      </c>
      <c r="AO1053" s="166">
        <v>0</v>
      </c>
      <c r="AP1053" s="166">
        <v>2</v>
      </c>
      <c r="AQ1053" s="166">
        <v>1</v>
      </c>
      <c r="AR1053" s="166">
        <v>0</v>
      </c>
      <c r="AS1053" s="166">
        <v>0</v>
      </c>
      <c r="AT1053" s="166">
        <v>0</v>
      </c>
      <c r="AU1053" s="166">
        <v>0</v>
      </c>
      <c r="AV1053" s="166">
        <v>0</v>
      </c>
      <c r="AW1053" s="166">
        <v>2</v>
      </c>
      <c r="AX1053" s="166">
        <v>1</v>
      </c>
      <c r="AY1053" s="166">
        <v>0</v>
      </c>
      <c r="AZ1053" s="166">
        <v>0</v>
      </c>
      <c r="BA1053" s="166">
        <v>0</v>
      </c>
      <c r="BB1053" s="166">
        <v>0</v>
      </c>
      <c r="BC1053" s="166">
        <v>0</v>
      </c>
      <c r="BD1053" s="166">
        <v>0</v>
      </c>
      <c r="BE1053" s="166">
        <v>0</v>
      </c>
      <c r="BF1053" s="166">
        <v>0</v>
      </c>
      <c r="BG1053" s="166">
        <v>0</v>
      </c>
      <c r="BH1053" s="166">
        <v>0</v>
      </c>
      <c r="BI1053" s="166">
        <v>0</v>
      </c>
      <c r="BJ1053" s="166">
        <v>0</v>
      </c>
      <c r="BK1053" s="166">
        <v>0</v>
      </c>
      <c r="BL1053" s="166">
        <v>0</v>
      </c>
      <c r="BM1053" s="166">
        <v>0</v>
      </c>
      <c r="BN1053" s="166">
        <v>0</v>
      </c>
      <c r="BO1053" s="166">
        <v>0</v>
      </c>
      <c r="BP1053" s="166">
        <v>0</v>
      </c>
      <c r="BQ1053" s="81" t="s">
        <v>1757</v>
      </c>
      <c r="BX1053" s="81" t="s">
        <v>155</v>
      </c>
      <c r="BZ1053" s="81" t="s">
        <v>155</v>
      </c>
      <c r="CA1053" s="81" t="s">
        <v>3972</v>
      </c>
      <c r="CC1053" s="167">
        <v>0</v>
      </c>
      <c r="CD1053" s="167">
        <f>$N1053/4</f>
        <v>0.75</v>
      </c>
      <c r="CE1053" s="167">
        <f>$N1053/4</f>
        <v>0.75</v>
      </c>
      <c r="CF1053" s="167">
        <f>$N1053/4</f>
        <v>0.75</v>
      </c>
      <c r="CG1053" s="167">
        <f>$N1053/4</f>
        <v>0.75</v>
      </c>
      <c r="CH1053" s="167">
        <v>0</v>
      </c>
      <c r="CI1053" s="167">
        <v>0</v>
      </c>
      <c r="CJ1053" s="167">
        <v>0</v>
      </c>
      <c r="CK1053" s="167">
        <v>0</v>
      </c>
      <c r="CL1053" s="167">
        <v>0</v>
      </c>
      <c r="CM1053" s="167">
        <v>0</v>
      </c>
      <c r="CN1053" s="167">
        <v>0</v>
      </c>
      <c r="CO1053" s="167">
        <v>0</v>
      </c>
      <c r="CP1053" s="167">
        <v>0</v>
      </c>
      <c r="CQ1053" s="167">
        <v>0</v>
      </c>
      <c r="CR1053" s="167">
        <v>0</v>
      </c>
      <c r="CS1053" s="167">
        <v>0</v>
      </c>
      <c r="CT1053" s="167">
        <v>0</v>
      </c>
      <c r="CU1053" s="167">
        <v>0</v>
      </c>
      <c r="CV1053" s="167">
        <v>0</v>
      </c>
      <c r="CW1053" s="167">
        <v>0</v>
      </c>
      <c r="CX1053" s="167">
        <f>SUM(CD1053:CH1053)</f>
        <v>3</v>
      </c>
      <c r="CY1053" s="167">
        <f>SUM(CD1053:CM1053)</f>
        <v>3</v>
      </c>
    </row>
    <row r="1054" spans="1:103" ht="12.75" customHeight="1" x14ac:dyDescent="0.2">
      <c r="A1054" s="81">
        <v>6508</v>
      </c>
      <c r="B1054" s="165" t="s">
        <v>1930</v>
      </c>
      <c r="C1054" s="165" t="s">
        <v>1239</v>
      </c>
      <c r="D1054" s="165" t="s">
        <v>876</v>
      </c>
      <c r="E1054" s="165" t="s">
        <v>2789</v>
      </c>
      <c r="F1054" s="165" t="s">
        <v>1240</v>
      </c>
      <c r="G1054" s="81">
        <v>526400</v>
      </c>
      <c r="H1054" s="81">
        <v>175699</v>
      </c>
      <c r="I1054" s="165" t="s">
        <v>257</v>
      </c>
      <c r="L1054" s="166">
        <v>0</v>
      </c>
      <c r="M1054" s="166">
        <v>4</v>
      </c>
      <c r="N1054" s="166">
        <v>4</v>
      </c>
      <c r="O1054" s="166">
        <v>4</v>
      </c>
      <c r="P1054" s="166">
        <v>4</v>
      </c>
      <c r="R1054" s="165" t="s">
        <v>1241</v>
      </c>
      <c r="S1054" s="81" t="s">
        <v>270</v>
      </c>
      <c r="T1054" s="349">
        <v>42487</v>
      </c>
      <c r="U1054" s="349">
        <v>42543</v>
      </c>
      <c r="W1054" s="81" t="s">
        <v>114</v>
      </c>
      <c r="Y1054" s="81" t="s">
        <v>115</v>
      </c>
      <c r="Z1054" s="81" t="s">
        <v>310</v>
      </c>
      <c r="AA1054" s="81" t="s">
        <v>117</v>
      </c>
      <c r="AB1054" s="81" t="s">
        <v>399</v>
      </c>
      <c r="AC1054" s="166">
        <v>8.0000003799796104E-3</v>
      </c>
      <c r="AG1054" s="81" t="s">
        <v>238</v>
      </c>
      <c r="AH1054" s="81" t="s">
        <v>118</v>
      </c>
      <c r="AK1054" s="166">
        <v>0</v>
      </c>
      <c r="AM1054" s="166">
        <v>0</v>
      </c>
      <c r="AO1054" s="166">
        <v>0</v>
      </c>
      <c r="AP1054" s="166">
        <v>3</v>
      </c>
      <c r="AQ1054" s="166">
        <v>1</v>
      </c>
      <c r="AR1054" s="166">
        <v>0</v>
      </c>
      <c r="AS1054" s="166">
        <v>0</v>
      </c>
      <c r="AT1054" s="166">
        <v>0</v>
      </c>
      <c r="AU1054" s="166">
        <v>0</v>
      </c>
      <c r="AV1054" s="166">
        <v>0</v>
      </c>
      <c r="AW1054" s="166">
        <v>3</v>
      </c>
      <c r="AX1054" s="166">
        <v>1</v>
      </c>
      <c r="AY1054" s="166">
        <v>0</v>
      </c>
      <c r="AZ1054" s="166">
        <v>0</v>
      </c>
      <c r="BA1054" s="166">
        <v>0</v>
      </c>
      <c r="BB1054" s="166">
        <v>0</v>
      </c>
      <c r="BC1054" s="166">
        <v>0</v>
      </c>
      <c r="BD1054" s="166">
        <v>0</v>
      </c>
      <c r="BE1054" s="166">
        <v>0</v>
      </c>
      <c r="BF1054" s="166">
        <v>0</v>
      </c>
      <c r="BG1054" s="166">
        <v>0</v>
      </c>
      <c r="BH1054" s="166">
        <v>0</v>
      </c>
      <c r="BI1054" s="166">
        <v>0</v>
      </c>
      <c r="BJ1054" s="166">
        <v>0</v>
      </c>
      <c r="BK1054" s="166">
        <v>0</v>
      </c>
      <c r="BL1054" s="166">
        <v>0</v>
      </c>
      <c r="BM1054" s="166">
        <v>0</v>
      </c>
      <c r="BN1054" s="166">
        <v>0</v>
      </c>
      <c r="BO1054" s="166">
        <v>0</v>
      </c>
      <c r="BP1054" s="166">
        <v>0</v>
      </c>
      <c r="BQ1054" s="81" t="s">
        <v>1757</v>
      </c>
      <c r="BX1054" s="81" t="s">
        <v>155</v>
      </c>
      <c r="BZ1054" s="81" t="s">
        <v>155</v>
      </c>
      <c r="CA1054" s="81" t="s">
        <v>3972</v>
      </c>
      <c r="CC1054" s="167">
        <v>0</v>
      </c>
      <c r="CD1054" s="167">
        <f>$N1054/4</f>
        <v>1</v>
      </c>
      <c r="CE1054" s="167">
        <f>$N1054/4</f>
        <v>1</v>
      </c>
      <c r="CF1054" s="167">
        <f>$N1054/4</f>
        <v>1</v>
      </c>
      <c r="CG1054" s="167">
        <f>$N1054/4</f>
        <v>1</v>
      </c>
      <c r="CH1054" s="167">
        <v>0</v>
      </c>
      <c r="CI1054" s="167">
        <v>0</v>
      </c>
      <c r="CJ1054" s="167">
        <v>0</v>
      </c>
      <c r="CK1054" s="167">
        <v>0</v>
      </c>
      <c r="CL1054" s="167">
        <v>0</v>
      </c>
      <c r="CM1054" s="167">
        <v>0</v>
      </c>
      <c r="CN1054" s="167">
        <v>0</v>
      </c>
      <c r="CO1054" s="167">
        <v>0</v>
      </c>
      <c r="CP1054" s="167">
        <v>0</v>
      </c>
      <c r="CQ1054" s="167">
        <v>0</v>
      </c>
      <c r="CR1054" s="167">
        <v>0</v>
      </c>
      <c r="CS1054" s="167">
        <v>0</v>
      </c>
      <c r="CT1054" s="167">
        <v>0</v>
      </c>
      <c r="CU1054" s="167">
        <v>0</v>
      </c>
      <c r="CV1054" s="167">
        <v>0</v>
      </c>
      <c r="CW1054" s="167">
        <v>0</v>
      </c>
      <c r="CX1054" s="167">
        <f>SUM(CD1054:CH1054)</f>
        <v>4</v>
      </c>
      <c r="CY1054" s="167">
        <f>SUM(CD1054:CM1054)</f>
        <v>4</v>
      </c>
    </row>
    <row r="1055" spans="1:103" ht="12.75" customHeight="1" x14ac:dyDescent="0.2">
      <c r="A1055" s="81">
        <v>6508</v>
      </c>
      <c r="B1055" s="165" t="s">
        <v>1930</v>
      </c>
      <c r="C1055" s="165" t="s">
        <v>1305</v>
      </c>
      <c r="D1055" s="165" t="s">
        <v>876</v>
      </c>
      <c r="E1055" s="165" t="s">
        <v>2789</v>
      </c>
      <c r="F1055" s="165" t="s">
        <v>1306</v>
      </c>
      <c r="G1055" s="81">
        <v>526400</v>
      </c>
      <c r="H1055" s="81">
        <v>175699</v>
      </c>
      <c r="I1055" s="165" t="s">
        <v>257</v>
      </c>
      <c r="L1055" s="166">
        <v>0</v>
      </c>
      <c r="M1055" s="166">
        <v>3</v>
      </c>
      <c r="N1055" s="166">
        <v>3</v>
      </c>
      <c r="O1055" s="166">
        <v>3</v>
      </c>
      <c r="P1055" s="166">
        <v>3</v>
      </c>
      <c r="R1055" s="165" t="s">
        <v>1307</v>
      </c>
      <c r="S1055" s="81" t="s">
        <v>270</v>
      </c>
      <c r="T1055" s="349">
        <v>42548</v>
      </c>
      <c r="U1055" s="349">
        <v>42604</v>
      </c>
      <c r="W1055" s="81" t="s">
        <v>114</v>
      </c>
      <c r="Y1055" s="81" t="s">
        <v>115</v>
      </c>
      <c r="Z1055" s="81" t="s">
        <v>310</v>
      </c>
      <c r="AA1055" s="81" t="s">
        <v>117</v>
      </c>
      <c r="AB1055" s="81" t="s">
        <v>399</v>
      </c>
      <c r="AC1055" s="166">
        <v>1.30000002682209E-2</v>
      </c>
      <c r="AG1055" s="81" t="s">
        <v>238</v>
      </c>
      <c r="AH1055" s="81" t="s">
        <v>118</v>
      </c>
      <c r="AK1055" s="166">
        <v>0</v>
      </c>
      <c r="AM1055" s="166">
        <v>0</v>
      </c>
      <c r="AO1055" s="166">
        <v>0</v>
      </c>
      <c r="AP1055" s="166">
        <v>1</v>
      </c>
      <c r="AQ1055" s="166">
        <v>2</v>
      </c>
      <c r="AR1055" s="166">
        <v>0</v>
      </c>
      <c r="AS1055" s="166">
        <v>0</v>
      </c>
      <c r="AT1055" s="166">
        <v>0</v>
      </c>
      <c r="AU1055" s="166">
        <v>0</v>
      </c>
      <c r="AV1055" s="166">
        <v>0</v>
      </c>
      <c r="AW1055" s="166">
        <v>1</v>
      </c>
      <c r="AX1055" s="166">
        <v>2</v>
      </c>
      <c r="AY1055" s="166">
        <v>0</v>
      </c>
      <c r="AZ1055" s="166">
        <v>0</v>
      </c>
      <c r="BA1055" s="166">
        <v>0</v>
      </c>
      <c r="BB1055" s="166">
        <v>0</v>
      </c>
      <c r="BC1055" s="166">
        <v>0</v>
      </c>
      <c r="BD1055" s="166">
        <v>0</v>
      </c>
      <c r="BE1055" s="166">
        <v>0</v>
      </c>
      <c r="BF1055" s="166">
        <v>0</v>
      </c>
      <c r="BG1055" s="166">
        <v>0</v>
      </c>
      <c r="BH1055" s="166">
        <v>0</v>
      </c>
      <c r="BI1055" s="166">
        <v>0</v>
      </c>
      <c r="BJ1055" s="166">
        <v>0</v>
      </c>
      <c r="BK1055" s="166">
        <v>0</v>
      </c>
      <c r="BL1055" s="166">
        <v>0</v>
      </c>
      <c r="BM1055" s="166">
        <v>0</v>
      </c>
      <c r="BN1055" s="166">
        <v>0</v>
      </c>
      <c r="BO1055" s="166">
        <v>0</v>
      </c>
      <c r="BP1055" s="166">
        <v>0</v>
      </c>
      <c r="BQ1055" s="81" t="s">
        <v>1757</v>
      </c>
      <c r="BX1055" s="81" t="s">
        <v>155</v>
      </c>
      <c r="BZ1055" s="81" t="s">
        <v>155</v>
      </c>
      <c r="CA1055" s="81" t="s">
        <v>3972</v>
      </c>
      <c r="CC1055" s="167">
        <v>0</v>
      </c>
      <c r="CD1055" s="167">
        <f>$N1055/4</f>
        <v>0.75</v>
      </c>
      <c r="CE1055" s="167">
        <f>$N1055/4</f>
        <v>0.75</v>
      </c>
      <c r="CF1055" s="167">
        <f>$N1055/4</f>
        <v>0.75</v>
      </c>
      <c r="CG1055" s="167">
        <f>$N1055/4</f>
        <v>0.75</v>
      </c>
      <c r="CH1055" s="167">
        <v>0</v>
      </c>
      <c r="CI1055" s="167">
        <v>0</v>
      </c>
      <c r="CJ1055" s="167">
        <v>0</v>
      </c>
      <c r="CK1055" s="167">
        <v>0</v>
      </c>
      <c r="CL1055" s="167">
        <v>0</v>
      </c>
      <c r="CM1055" s="167">
        <v>0</v>
      </c>
      <c r="CN1055" s="167">
        <v>0</v>
      </c>
      <c r="CO1055" s="167">
        <v>0</v>
      </c>
      <c r="CP1055" s="167">
        <v>0</v>
      </c>
      <c r="CQ1055" s="167">
        <v>0</v>
      </c>
      <c r="CR1055" s="167">
        <v>0</v>
      </c>
      <c r="CS1055" s="167">
        <v>0</v>
      </c>
      <c r="CT1055" s="167">
        <v>0</v>
      </c>
      <c r="CU1055" s="167">
        <v>0</v>
      </c>
      <c r="CV1055" s="167">
        <v>0</v>
      </c>
      <c r="CW1055" s="167">
        <v>0</v>
      </c>
      <c r="CX1055" s="167">
        <f>SUM(CD1055:CH1055)</f>
        <v>3</v>
      </c>
      <c r="CY1055" s="167">
        <f>SUM(CD1055:CM1055)</f>
        <v>3</v>
      </c>
    </row>
    <row r="1056" spans="1:103" ht="12.75" customHeight="1" x14ac:dyDescent="0.2">
      <c r="A1056" s="81">
        <v>6508</v>
      </c>
      <c r="B1056" s="165" t="s">
        <v>1930</v>
      </c>
      <c r="C1056" s="165" t="s">
        <v>1308</v>
      </c>
      <c r="D1056" s="165" t="s">
        <v>876</v>
      </c>
      <c r="E1056" s="165" t="s">
        <v>2789</v>
      </c>
      <c r="F1056" s="165" t="s">
        <v>1309</v>
      </c>
      <c r="G1056" s="81">
        <v>526400</v>
      </c>
      <c r="H1056" s="81">
        <v>175699</v>
      </c>
      <c r="I1056" s="165" t="s">
        <v>257</v>
      </c>
      <c r="L1056" s="166">
        <v>0</v>
      </c>
      <c r="M1056" s="166">
        <v>2</v>
      </c>
      <c r="N1056" s="166">
        <v>2</v>
      </c>
      <c r="O1056" s="166">
        <v>5</v>
      </c>
      <c r="P1056" s="166">
        <v>5</v>
      </c>
      <c r="R1056" s="165" t="s">
        <v>1310</v>
      </c>
      <c r="S1056" s="81" t="s">
        <v>270</v>
      </c>
      <c r="T1056" s="349">
        <v>42536</v>
      </c>
      <c r="U1056" s="349">
        <v>42592</v>
      </c>
      <c r="W1056" s="81" t="s">
        <v>114</v>
      </c>
      <c r="Y1056" s="81" t="s">
        <v>115</v>
      </c>
      <c r="Z1056" s="81" t="s">
        <v>310</v>
      </c>
      <c r="AA1056" s="81" t="s">
        <v>117</v>
      </c>
      <c r="AB1056" s="81" t="s">
        <v>399</v>
      </c>
      <c r="AC1056" s="166">
        <v>0</v>
      </c>
      <c r="AG1056" s="81" t="s">
        <v>238</v>
      </c>
      <c r="AH1056" s="81" t="s">
        <v>118</v>
      </c>
      <c r="AK1056" s="166">
        <v>0</v>
      </c>
      <c r="AM1056" s="166">
        <v>0</v>
      </c>
      <c r="AO1056" s="166">
        <v>0</v>
      </c>
      <c r="AP1056" s="166">
        <v>0</v>
      </c>
      <c r="AQ1056" s="166">
        <v>2</v>
      </c>
      <c r="AR1056" s="166">
        <v>0</v>
      </c>
      <c r="AS1056" s="166">
        <v>0</v>
      </c>
      <c r="AT1056" s="166">
        <v>0</v>
      </c>
      <c r="AU1056" s="166">
        <v>0</v>
      </c>
      <c r="AV1056" s="166">
        <v>0</v>
      </c>
      <c r="AW1056" s="166">
        <v>0</v>
      </c>
      <c r="AX1056" s="166">
        <v>2</v>
      </c>
      <c r="AY1056" s="166">
        <v>0</v>
      </c>
      <c r="AZ1056" s="166">
        <v>0</v>
      </c>
      <c r="BA1056" s="166">
        <v>0</v>
      </c>
      <c r="BB1056" s="166">
        <v>0</v>
      </c>
      <c r="BC1056" s="166">
        <v>0</v>
      </c>
      <c r="BD1056" s="166">
        <v>0</v>
      </c>
      <c r="BE1056" s="166">
        <v>0</v>
      </c>
      <c r="BF1056" s="166">
        <v>0</v>
      </c>
      <c r="BG1056" s="166">
        <v>0</v>
      </c>
      <c r="BH1056" s="166">
        <v>0</v>
      </c>
      <c r="BI1056" s="166">
        <v>0</v>
      </c>
      <c r="BJ1056" s="166">
        <v>0</v>
      </c>
      <c r="BK1056" s="166">
        <v>0</v>
      </c>
      <c r="BL1056" s="166">
        <v>0</v>
      </c>
      <c r="BM1056" s="166">
        <v>0</v>
      </c>
      <c r="BN1056" s="166">
        <v>0</v>
      </c>
      <c r="BO1056" s="166">
        <v>0</v>
      </c>
      <c r="BP1056" s="166">
        <v>0</v>
      </c>
      <c r="BQ1056" s="81" t="s">
        <v>1757</v>
      </c>
      <c r="BX1056" s="81" t="s">
        <v>155</v>
      </c>
      <c r="BZ1056" s="81" t="s">
        <v>155</v>
      </c>
      <c r="CA1056" s="81" t="s">
        <v>3972</v>
      </c>
      <c r="CC1056" s="167">
        <v>0</v>
      </c>
      <c r="CD1056" s="167">
        <f>$N1056/4</f>
        <v>0.5</v>
      </c>
      <c r="CE1056" s="167">
        <f>$N1056/4</f>
        <v>0.5</v>
      </c>
      <c r="CF1056" s="167">
        <f>$N1056/4</f>
        <v>0.5</v>
      </c>
      <c r="CG1056" s="167">
        <f>$N1056/4</f>
        <v>0.5</v>
      </c>
      <c r="CH1056" s="167">
        <v>0</v>
      </c>
      <c r="CI1056" s="167">
        <v>0</v>
      </c>
      <c r="CJ1056" s="167">
        <v>0</v>
      </c>
      <c r="CK1056" s="167">
        <v>0</v>
      </c>
      <c r="CL1056" s="167">
        <v>0</v>
      </c>
      <c r="CM1056" s="167">
        <v>0</v>
      </c>
      <c r="CN1056" s="167">
        <v>0</v>
      </c>
      <c r="CO1056" s="167">
        <v>0</v>
      </c>
      <c r="CP1056" s="167">
        <v>0</v>
      </c>
      <c r="CQ1056" s="167">
        <v>0</v>
      </c>
      <c r="CR1056" s="167">
        <v>0</v>
      </c>
      <c r="CS1056" s="167">
        <v>0</v>
      </c>
      <c r="CT1056" s="167">
        <v>0</v>
      </c>
      <c r="CU1056" s="167">
        <v>0</v>
      </c>
      <c r="CV1056" s="167">
        <v>0</v>
      </c>
      <c r="CW1056" s="167">
        <v>0</v>
      </c>
      <c r="CX1056" s="167">
        <f>SUM(CD1056:CH1056)</f>
        <v>2</v>
      </c>
      <c r="CY1056" s="167">
        <f>SUM(CD1056:CM1056)</f>
        <v>2</v>
      </c>
    </row>
    <row r="1057" spans="1:103" ht="12.75" customHeight="1" x14ac:dyDescent="0.2">
      <c r="A1057" s="81">
        <v>6508</v>
      </c>
      <c r="B1057" s="165" t="s">
        <v>1930</v>
      </c>
      <c r="C1057" s="165" t="s">
        <v>1336</v>
      </c>
      <c r="D1057" s="165" t="s">
        <v>876</v>
      </c>
      <c r="E1057" s="165" t="s">
        <v>2789</v>
      </c>
      <c r="F1057" s="165" t="s">
        <v>1337</v>
      </c>
      <c r="G1057" s="81">
        <v>526400</v>
      </c>
      <c r="H1057" s="81">
        <v>175699</v>
      </c>
      <c r="I1057" s="165" t="s">
        <v>257</v>
      </c>
      <c r="L1057" s="166">
        <v>0</v>
      </c>
      <c r="M1057" s="166">
        <v>4</v>
      </c>
      <c r="N1057" s="166">
        <v>4</v>
      </c>
      <c r="O1057" s="166">
        <v>4</v>
      </c>
      <c r="P1057" s="166">
        <v>4</v>
      </c>
      <c r="R1057" s="165" t="s">
        <v>1338</v>
      </c>
      <c r="S1057" s="81" t="s">
        <v>270</v>
      </c>
      <c r="T1057" s="349">
        <v>42551</v>
      </c>
      <c r="U1057" s="349">
        <v>42607</v>
      </c>
      <c r="W1057" s="81" t="s">
        <v>114</v>
      </c>
      <c r="Y1057" s="81" t="s">
        <v>115</v>
      </c>
      <c r="Z1057" s="81" t="s">
        <v>310</v>
      </c>
      <c r="AA1057" s="81" t="s">
        <v>117</v>
      </c>
      <c r="AB1057" s="81" t="s">
        <v>399</v>
      </c>
      <c r="AC1057" s="166">
        <v>2.5000000372528999E-2</v>
      </c>
      <c r="AG1057" s="81" t="s">
        <v>238</v>
      </c>
      <c r="AH1057" s="81" t="s">
        <v>118</v>
      </c>
      <c r="AK1057" s="166">
        <v>0</v>
      </c>
      <c r="AM1057" s="166">
        <v>0</v>
      </c>
      <c r="AO1057" s="166">
        <v>1</v>
      </c>
      <c r="AP1057" s="166">
        <v>2</v>
      </c>
      <c r="AQ1057" s="166">
        <v>0</v>
      </c>
      <c r="AR1057" s="166">
        <v>1</v>
      </c>
      <c r="AS1057" s="166">
        <v>0</v>
      </c>
      <c r="AT1057" s="166">
        <v>0</v>
      </c>
      <c r="AU1057" s="166">
        <v>0</v>
      </c>
      <c r="AV1057" s="166">
        <v>1</v>
      </c>
      <c r="AW1057" s="166">
        <v>2</v>
      </c>
      <c r="AX1057" s="166">
        <v>0</v>
      </c>
      <c r="AY1057" s="166">
        <v>1</v>
      </c>
      <c r="AZ1057" s="166">
        <v>0</v>
      </c>
      <c r="BA1057" s="166">
        <v>0</v>
      </c>
      <c r="BB1057" s="166">
        <v>0</v>
      </c>
      <c r="BC1057" s="166">
        <v>0</v>
      </c>
      <c r="BD1057" s="166">
        <v>0</v>
      </c>
      <c r="BE1057" s="166">
        <v>0</v>
      </c>
      <c r="BF1057" s="166">
        <v>0</v>
      </c>
      <c r="BG1057" s="166">
        <v>0</v>
      </c>
      <c r="BH1057" s="166">
        <v>0</v>
      </c>
      <c r="BI1057" s="166">
        <v>0</v>
      </c>
      <c r="BJ1057" s="166">
        <v>0</v>
      </c>
      <c r="BK1057" s="166">
        <v>0</v>
      </c>
      <c r="BL1057" s="166">
        <v>0</v>
      </c>
      <c r="BM1057" s="166">
        <v>0</v>
      </c>
      <c r="BN1057" s="166">
        <v>0</v>
      </c>
      <c r="BO1057" s="166">
        <v>0</v>
      </c>
      <c r="BP1057" s="166">
        <v>0</v>
      </c>
      <c r="BQ1057" s="81" t="s">
        <v>1757</v>
      </c>
      <c r="BX1057" s="81" t="s">
        <v>155</v>
      </c>
      <c r="BZ1057" s="81" t="s">
        <v>155</v>
      </c>
      <c r="CA1057" s="81" t="s">
        <v>3972</v>
      </c>
      <c r="CC1057" s="167">
        <v>0</v>
      </c>
      <c r="CD1057" s="167">
        <f>$N1057/4</f>
        <v>1</v>
      </c>
      <c r="CE1057" s="167">
        <f>$N1057/4</f>
        <v>1</v>
      </c>
      <c r="CF1057" s="167">
        <f>$N1057/4</f>
        <v>1</v>
      </c>
      <c r="CG1057" s="167">
        <f>$N1057/4</f>
        <v>1</v>
      </c>
      <c r="CH1057" s="167">
        <v>0</v>
      </c>
      <c r="CI1057" s="167">
        <v>0</v>
      </c>
      <c r="CJ1057" s="167">
        <v>0</v>
      </c>
      <c r="CK1057" s="167">
        <v>0</v>
      </c>
      <c r="CL1057" s="167">
        <v>0</v>
      </c>
      <c r="CM1057" s="167">
        <v>0</v>
      </c>
      <c r="CN1057" s="167">
        <v>0</v>
      </c>
      <c r="CO1057" s="167">
        <v>0</v>
      </c>
      <c r="CP1057" s="167">
        <v>0</v>
      </c>
      <c r="CQ1057" s="167">
        <v>0</v>
      </c>
      <c r="CR1057" s="167">
        <v>0</v>
      </c>
      <c r="CS1057" s="167">
        <v>0</v>
      </c>
      <c r="CT1057" s="167">
        <v>0</v>
      </c>
      <c r="CU1057" s="167">
        <v>0</v>
      </c>
      <c r="CV1057" s="167">
        <v>0</v>
      </c>
      <c r="CW1057" s="167">
        <v>0</v>
      </c>
      <c r="CX1057" s="167">
        <f>SUM(CD1057:CH1057)</f>
        <v>4</v>
      </c>
      <c r="CY1057" s="167">
        <f>SUM(CD1057:CM1057)</f>
        <v>4</v>
      </c>
    </row>
    <row r="1058" spans="1:103" ht="12.75" customHeight="1" x14ac:dyDescent="0.2">
      <c r="A1058" s="81">
        <v>6508</v>
      </c>
      <c r="B1058" s="165" t="s">
        <v>1930</v>
      </c>
      <c r="C1058" s="165" t="s">
        <v>1428</v>
      </c>
      <c r="D1058" s="165" t="s">
        <v>876</v>
      </c>
      <c r="E1058" s="165" t="s">
        <v>2789</v>
      </c>
      <c r="F1058" s="165" t="s">
        <v>1429</v>
      </c>
      <c r="G1058" s="81">
        <v>526400</v>
      </c>
      <c r="H1058" s="81">
        <v>175699</v>
      </c>
      <c r="I1058" s="165" t="s">
        <v>257</v>
      </c>
      <c r="L1058" s="166">
        <v>0</v>
      </c>
      <c r="M1058" s="166">
        <v>3</v>
      </c>
      <c r="N1058" s="166">
        <v>3</v>
      </c>
      <c r="O1058" s="166">
        <v>3</v>
      </c>
      <c r="P1058" s="166">
        <v>3</v>
      </c>
      <c r="R1058" s="165" t="s">
        <v>1430</v>
      </c>
      <c r="S1058" s="81" t="s">
        <v>270</v>
      </c>
      <c r="T1058" s="349">
        <v>42643</v>
      </c>
      <c r="U1058" s="349">
        <v>42699</v>
      </c>
      <c r="W1058" s="81" t="s">
        <v>114</v>
      </c>
      <c r="Y1058" s="81" t="s">
        <v>115</v>
      </c>
      <c r="Z1058" s="81" t="s">
        <v>310</v>
      </c>
      <c r="AA1058" s="81" t="s">
        <v>117</v>
      </c>
      <c r="AB1058" s="81" t="s">
        <v>399</v>
      </c>
      <c r="AC1058" s="166">
        <v>2.0999999716877899E-2</v>
      </c>
      <c r="AG1058" s="81" t="s">
        <v>238</v>
      </c>
      <c r="AH1058" s="81" t="s">
        <v>118</v>
      </c>
      <c r="AK1058" s="166">
        <v>0</v>
      </c>
      <c r="AM1058" s="166">
        <v>0</v>
      </c>
      <c r="AO1058" s="166">
        <v>0</v>
      </c>
      <c r="AP1058" s="166">
        <v>2</v>
      </c>
      <c r="AQ1058" s="166">
        <v>1</v>
      </c>
      <c r="AR1058" s="166">
        <v>0</v>
      </c>
      <c r="AS1058" s="166">
        <v>0</v>
      </c>
      <c r="AT1058" s="166">
        <v>0</v>
      </c>
      <c r="AU1058" s="166">
        <v>0</v>
      </c>
      <c r="AV1058" s="166">
        <v>0</v>
      </c>
      <c r="AW1058" s="166">
        <v>2</v>
      </c>
      <c r="AX1058" s="166">
        <v>1</v>
      </c>
      <c r="AY1058" s="166">
        <v>0</v>
      </c>
      <c r="AZ1058" s="166">
        <v>0</v>
      </c>
      <c r="BA1058" s="166">
        <v>0</v>
      </c>
      <c r="BB1058" s="166">
        <v>0</v>
      </c>
      <c r="BC1058" s="166">
        <v>0</v>
      </c>
      <c r="BD1058" s="166">
        <v>0</v>
      </c>
      <c r="BE1058" s="166">
        <v>0</v>
      </c>
      <c r="BF1058" s="166">
        <v>0</v>
      </c>
      <c r="BG1058" s="166">
        <v>0</v>
      </c>
      <c r="BH1058" s="166">
        <v>0</v>
      </c>
      <c r="BI1058" s="166">
        <v>0</v>
      </c>
      <c r="BJ1058" s="166">
        <v>0</v>
      </c>
      <c r="BK1058" s="166">
        <v>0</v>
      </c>
      <c r="BL1058" s="166">
        <v>0</v>
      </c>
      <c r="BM1058" s="166">
        <v>0</v>
      </c>
      <c r="BN1058" s="166">
        <v>0</v>
      </c>
      <c r="BO1058" s="166">
        <v>0</v>
      </c>
      <c r="BP1058" s="166">
        <v>0</v>
      </c>
      <c r="BQ1058" s="81" t="s">
        <v>1757</v>
      </c>
      <c r="BX1058" s="81" t="s">
        <v>155</v>
      </c>
      <c r="BZ1058" s="81" t="s">
        <v>155</v>
      </c>
      <c r="CA1058" s="81" t="s">
        <v>3972</v>
      </c>
      <c r="CC1058" s="167">
        <v>0</v>
      </c>
      <c r="CD1058" s="167">
        <f>$N1058/4</f>
        <v>0.75</v>
      </c>
      <c r="CE1058" s="167">
        <f>$N1058/4</f>
        <v>0.75</v>
      </c>
      <c r="CF1058" s="167">
        <f>$N1058/4</f>
        <v>0.75</v>
      </c>
      <c r="CG1058" s="167">
        <f>$N1058/4</f>
        <v>0.75</v>
      </c>
      <c r="CH1058" s="167">
        <v>0</v>
      </c>
      <c r="CI1058" s="167">
        <v>0</v>
      </c>
      <c r="CJ1058" s="167">
        <v>0</v>
      </c>
      <c r="CK1058" s="167">
        <v>0</v>
      </c>
      <c r="CL1058" s="167">
        <v>0</v>
      </c>
      <c r="CM1058" s="167">
        <v>0</v>
      </c>
      <c r="CN1058" s="167">
        <v>0</v>
      </c>
      <c r="CO1058" s="167">
        <v>0</v>
      </c>
      <c r="CP1058" s="167">
        <v>0</v>
      </c>
      <c r="CQ1058" s="167">
        <v>0</v>
      </c>
      <c r="CR1058" s="167">
        <v>0</v>
      </c>
      <c r="CS1058" s="167">
        <v>0</v>
      </c>
      <c r="CT1058" s="167">
        <v>0</v>
      </c>
      <c r="CU1058" s="167">
        <v>0</v>
      </c>
      <c r="CV1058" s="167">
        <v>0</v>
      </c>
      <c r="CW1058" s="167">
        <v>0</v>
      </c>
      <c r="CX1058" s="167">
        <f>SUM(CD1058:CH1058)</f>
        <v>3</v>
      </c>
      <c r="CY1058" s="167">
        <f>SUM(CD1058:CM1058)</f>
        <v>3</v>
      </c>
    </row>
    <row r="1059" spans="1:103" ht="12.75" customHeight="1" x14ac:dyDescent="0.2">
      <c r="A1059" s="81">
        <v>6509</v>
      </c>
      <c r="B1059" s="165" t="s">
        <v>1930</v>
      </c>
      <c r="C1059" s="165" t="s">
        <v>1292</v>
      </c>
      <c r="D1059" s="165" t="s">
        <v>876</v>
      </c>
      <c r="E1059" s="165" t="s">
        <v>2794</v>
      </c>
      <c r="F1059" s="165" t="s">
        <v>1293</v>
      </c>
      <c r="G1059" s="81">
        <v>526505</v>
      </c>
      <c r="H1059" s="81">
        <v>175773</v>
      </c>
      <c r="I1059" s="165" t="s">
        <v>257</v>
      </c>
      <c r="L1059" s="166">
        <v>0</v>
      </c>
      <c r="M1059" s="166">
        <v>11</v>
      </c>
      <c r="N1059" s="166">
        <v>11</v>
      </c>
      <c r="O1059" s="166">
        <v>13</v>
      </c>
      <c r="P1059" s="166">
        <v>13</v>
      </c>
      <c r="Q1059" s="81" t="s">
        <v>155</v>
      </c>
      <c r="R1059" s="165" t="s">
        <v>1295</v>
      </c>
      <c r="S1059" s="81" t="s">
        <v>270</v>
      </c>
      <c r="T1059" s="349">
        <v>42536</v>
      </c>
      <c r="U1059" s="349">
        <v>42592</v>
      </c>
      <c r="W1059" s="81" t="s">
        <v>114</v>
      </c>
      <c r="Y1059" s="81" t="s">
        <v>115</v>
      </c>
      <c r="Z1059" s="81" t="s">
        <v>310</v>
      </c>
      <c r="AA1059" s="81" t="s">
        <v>117</v>
      </c>
      <c r="AB1059" s="81" t="s">
        <v>399</v>
      </c>
      <c r="AC1059" s="166">
        <v>2.70000007003546E-2</v>
      </c>
      <c r="AG1059" s="81" t="s">
        <v>238</v>
      </c>
      <c r="AH1059" s="81" t="s">
        <v>118</v>
      </c>
      <c r="AK1059" s="166">
        <v>0</v>
      </c>
      <c r="AM1059" s="166">
        <v>0</v>
      </c>
      <c r="AO1059" s="166">
        <v>0</v>
      </c>
      <c r="AP1059" s="166">
        <v>7</v>
      </c>
      <c r="AQ1059" s="166">
        <v>4</v>
      </c>
      <c r="AR1059" s="166">
        <v>0</v>
      </c>
      <c r="AS1059" s="166">
        <v>0</v>
      </c>
      <c r="AT1059" s="166">
        <v>0</v>
      </c>
      <c r="AU1059" s="166">
        <v>0</v>
      </c>
      <c r="AV1059" s="166">
        <v>0</v>
      </c>
      <c r="AW1059" s="166">
        <v>7</v>
      </c>
      <c r="AX1059" s="166">
        <v>4</v>
      </c>
      <c r="AY1059" s="166">
        <v>0</v>
      </c>
      <c r="AZ1059" s="166">
        <v>0</v>
      </c>
      <c r="BA1059" s="166">
        <v>0</v>
      </c>
      <c r="BB1059" s="166">
        <v>0</v>
      </c>
      <c r="BC1059" s="166">
        <v>0</v>
      </c>
      <c r="BD1059" s="166">
        <v>0</v>
      </c>
      <c r="BE1059" s="166">
        <v>0</v>
      </c>
      <c r="BF1059" s="166">
        <v>0</v>
      </c>
      <c r="BG1059" s="166">
        <v>0</v>
      </c>
      <c r="BH1059" s="166">
        <v>0</v>
      </c>
      <c r="BI1059" s="166">
        <v>0</v>
      </c>
      <c r="BJ1059" s="166">
        <v>0</v>
      </c>
      <c r="BK1059" s="166">
        <v>0</v>
      </c>
      <c r="BL1059" s="166">
        <v>0</v>
      </c>
      <c r="BM1059" s="166">
        <v>0</v>
      </c>
      <c r="BN1059" s="166">
        <v>0</v>
      </c>
      <c r="BO1059" s="166">
        <v>0</v>
      </c>
      <c r="BP1059" s="166">
        <v>0</v>
      </c>
      <c r="BQ1059" s="81" t="s">
        <v>1757</v>
      </c>
      <c r="BX1059" s="81" t="s">
        <v>155</v>
      </c>
      <c r="BZ1059" s="81" t="s">
        <v>155</v>
      </c>
      <c r="CA1059" s="81" t="s">
        <v>3972</v>
      </c>
      <c r="CC1059" s="167">
        <v>0</v>
      </c>
      <c r="CD1059" s="167">
        <f>$N1059/4</f>
        <v>2.75</v>
      </c>
      <c r="CE1059" s="167">
        <f>$N1059/4</f>
        <v>2.75</v>
      </c>
      <c r="CF1059" s="167">
        <f>$N1059/4</f>
        <v>2.75</v>
      </c>
      <c r="CG1059" s="167">
        <f>$N1059/4</f>
        <v>2.75</v>
      </c>
      <c r="CH1059" s="167">
        <v>0</v>
      </c>
      <c r="CI1059" s="167">
        <v>0</v>
      </c>
      <c r="CJ1059" s="167">
        <v>0</v>
      </c>
      <c r="CK1059" s="167">
        <v>0</v>
      </c>
      <c r="CL1059" s="167">
        <v>0</v>
      </c>
      <c r="CM1059" s="167">
        <v>0</v>
      </c>
      <c r="CN1059" s="167">
        <v>0</v>
      </c>
      <c r="CO1059" s="167">
        <v>0</v>
      </c>
      <c r="CP1059" s="167">
        <v>0</v>
      </c>
      <c r="CQ1059" s="167">
        <v>0</v>
      </c>
      <c r="CR1059" s="167">
        <v>0</v>
      </c>
      <c r="CS1059" s="167">
        <v>0</v>
      </c>
      <c r="CT1059" s="167">
        <v>0</v>
      </c>
      <c r="CU1059" s="167">
        <v>0</v>
      </c>
      <c r="CV1059" s="167">
        <v>0</v>
      </c>
      <c r="CW1059" s="167">
        <v>0</v>
      </c>
      <c r="CX1059" s="167">
        <f>SUM(CD1059:CH1059)</f>
        <v>11</v>
      </c>
      <c r="CY1059" s="167">
        <f>SUM(CD1059:CM1059)</f>
        <v>11</v>
      </c>
    </row>
    <row r="1060" spans="1:103" ht="12.75" customHeight="1" x14ac:dyDescent="0.2">
      <c r="A1060" s="81">
        <v>6509</v>
      </c>
      <c r="B1060" s="165" t="s">
        <v>1930</v>
      </c>
      <c r="C1060" s="165" t="s">
        <v>1296</v>
      </c>
      <c r="D1060" s="165" t="s">
        <v>876</v>
      </c>
      <c r="E1060" s="165" t="s">
        <v>2794</v>
      </c>
      <c r="F1060" s="165" t="s">
        <v>1297</v>
      </c>
      <c r="G1060" s="81">
        <v>526505</v>
      </c>
      <c r="H1060" s="81">
        <v>175773</v>
      </c>
      <c r="I1060" s="165" t="s">
        <v>257</v>
      </c>
      <c r="L1060" s="166">
        <v>0</v>
      </c>
      <c r="M1060" s="166">
        <v>1</v>
      </c>
      <c r="N1060" s="166">
        <v>1</v>
      </c>
      <c r="O1060" s="166">
        <v>3</v>
      </c>
      <c r="P1060" s="166">
        <v>3</v>
      </c>
      <c r="R1060" s="165" t="s">
        <v>1298</v>
      </c>
      <c r="S1060" s="81" t="s">
        <v>270</v>
      </c>
      <c r="T1060" s="349">
        <v>42536</v>
      </c>
      <c r="U1060" s="349">
        <v>42592</v>
      </c>
      <c r="W1060" s="81" t="s">
        <v>114</v>
      </c>
      <c r="Y1060" s="81" t="s">
        <v>115</v>
      </c>
      <c r="Z1060" s="81" t="s">
        <v>310</v>
      </c>
      <c r="AA1060" s="81" t="s">
        <v>117</v>
      </c>
      <c r="AB1060" s="81" t="s">
        <v>399</v>
      </c>
      <c r="AC1060" s="166">
        <v>0</v>
      </c>
      <c r="AG1060" s="81" t="s">
        <v>238</v>
      </c>
      <c r="AH1060" s="81" t="s">
        <v>118</v>
      </c>
      <c r="AK1060" s="166">
        <v>0</v>
      </c>
      <c r="AM1060" s="166">
        <v>0</v>
      </c>
      <c r="AO1060" s="166">
        <v>0</v>
      </c>
      <c r="AP1060" s="166">
        <v>1</v>
      </c>
      <c r="AQ1060" s="166">
        <v>0</v>
      </c>
      <c r="AR1060" s="166">
        <v>0</v>
      </c>
      <c r="AS1060" s="166">
        <v>0</v>
      </c>
      <c r="AT1060" s="166">
        <v>0</v>
      </c>
      <c r="AU1060" s="166">
        <v>0</v>
      </c>
      <c r="AV1060" s="166">
        <v>0</v>
      </c>
      <c r="AW1060" s="166">
        <v>1</v>
      </c>
      <c r="AX1060" s="166">
        <v>0</v>
      </c>
      <c r="AY1060" s="166">
        <v>0</v>
      </c>
      <c r="AZ1060" s="166">
        <v>0</v>
      </c>
      <c r="BA1060" s="166">
        <v>0</v>
      </c>
      <c r="BB1060" s="166">
        <v>0</v>
      </c>
      <c r="BC1060" s="166">
        <v>0</v>
      </c>
      <c r="BD1060" s="166">
        <v>0</v>
      </c>
      <c r="BE1060" s="166">
        <v>0</v>
      </c>
      <c r="BF1060" s="166">
        <v>0</v>
      </c>
      <c r="BG1060" s="166">
        <v>0</v>
      </c>
      <c r="BH1060" s="166">
        <v>0</v>
      </c>
      <c r="BI1060" s="166">
        <v>0</v>
      </c>
      <c r="BJ1060" s="166">
        <v>0</v>
      </c>
      <c r="BK1060" s="166">
        <v>0</v>
      </c>
      <c r="BL1060" s="166">
        <v>0</v>
      </c>
      <c r="BM1060" s="166">
        <v>0</v>
      </c>
      <c r="BN1060" s="166">
        <v>0</v>
      </c>
      <c r="BO1060" s="166">
        <v>0</v>
      </c>
      <c r="BP1060" s="166">
        <v>0</v>
      </c>
      <c r="BQ1060" s="81" t="s">
        <v>1757</v>
      </c>
      <c r="BX1060" s="81" t="s">
        <v>155</v>
      </c>
      <c r="BZ1060" s="81" t="s">
        <v>155</v>
      </c>
      <c r="CA1060" s="81" t="s">
        <v>3972</v>
      </c>
      <c r="CC1060" s="167">
        <v>0</v>
      </c>
      <c r="CD1060" s="167">
        <f>$N1060/4</f>
        <v>0.25</v>
      </c>
      <c r="CE1060" s="167">
        <f>$N1060/4</f>
        <v>0.25</v>
      </c>
      <c r="CF1060" s="167">
        <f>$N1060/4</f>
        <v>0.25</v>
      </c>
      <c r="CG1060" s="167">
        <f>$N1060/4</f>
        <v>0.25</v>
      </c>
      <c r="CH1060" s="167">
        <v>0</v>
      </c>
      <c r="CI1060" s="167">
        <v>0</v>
      </c>
      <c r="CJ1060" s="167">
        <v>0</v>
      </c>
      <c r="CK1060" s="167">
        <v>0</v>
      </c>
      <c r="CL1060" s="167">
        <v>0</v>
      </c>
      <c r="CM1060" s="167">
        <v>0</v>
      </c>
      <c r="CN1060" s="167">
        <v>0</v>
      </c>
      <c r="CO1060" s="167">
        <v>0</v>
      </c>
      <c r="CP1060" s="167">
        <v>0</v>
      </c>
      <c r="CQ1060" s="167">
        <v>0</v>
      </c>
      <c r="CR1060" s="167">
        <v>0</v>
      </c>
      <c r="CS1060" s="167">
        <v>0</v>
      </c>
      <c r="CT1060" s="167">
        <v>0</v>
      </c>
      <c r="CU1060" s="167">
        <v>0</v>
      </c>
      <c r="CV1060" s="167">
        <v>0</v>
      </c>
      <c r="CW1060" s="167">
        <v>0</v>
      </c>
      <c r="CX1060" s="167">
        <f>SUM(CD1060:CH1060)</f>
        <v>1</v>
      </c>
      <c r="CY1060" s="167">
        <f>SUM(CD1060:CM1060)</f>
        <v>1</v>
      </c>
    </row>
    <row r="1061" spans="1:103" ht="12.75" customHeight="1" x14ac:dyDescent="0.2">
      <c r="A1061" s="81">
        <v>6509</v>
      </c>
      <c r="B1061" s="165" t="s">
        <v>1930</v>
      </c>
      <c r="C1061" s="165" t="s">
        <v>1313</v>
      </c>
      <c r="D1061" s="165" t="s">
        <v>876</v>
      </c>
      <c r="E1061" s="165" t="s">
        <v>2794</v>
      </c>
      <c r="F1061" s="165" t="s">
        <v>1314</v>
      </c>
      <c r="G1061" s="81">
        <v>526505</v>
      </c>
      <c r="H1061" s="81">
        <v>175773</v>
      </c>
      <c r="I1061" s="165" t="s">
        <v>257</v>
      </c>
      <c r="L1061" s="166">
        <v>0</v>
      </c>
      <c r="M1061" s="166">
        <v>4</v>
      </c>
      <c r="N1061" s="166">
        <v>4</v>
      </c>
      <c r="O1061" s="166">
        <v>4</v>
      </c>
      <c r="P1061" s="166">
        <v>4</v>
      </c>
      <c r="R1061" s="165" t="s">
        <v>1315</v>
      </c>
      <c r="S1061" s="81" t="s">
        <v>270</v>
      </c>
      <c r="T1061" s="349">
        <v>42548</v>
      </c>
      <c r="U1061" s="349">
        <v>42604</v>
      </c>
      <c r="W1061" s="81" t="s">
        <v>114</v>
      </c>
      <c r="Y1061" s="81" t="s">
        <v>115</v>
      </c>
      <c r="Z1061" s="81" t="s">
        <v>310</v>
      </c>
      <c r="AA1061" s="81" t="s">
        <v>117</v>
      </c>
      <c r="AB1061" s="81" t="s">
        <v>399</v>
      </c>
      <c r="AC1061" s="166">
        <v>1.4000000432133701E-2</v>
      </c>
      <c r="AG1061" s="81" t="s">
        <v>238</v>
      </c>
      <c r="AH1061" s="81" t="s">
        <v>118</v>
      </c>
      <c r="AK1061" s="166">
        <v>0</v>
      </c>
      <c r="AM1061" s="166">
        <v>0</v>
      </c>
      <c r="AO1061" s="166">
        <v>0</v>
      </c>
      <c r="AP1061" s="166">
        <v>4</v>
      </c>
      <c r="AQ1061" s="166">
        <v>0</v>
      </c>
      <c r="AR1061" s="166">
        <v>0</v>
      </c>
      <c r="AS1061" s="166">
        <v>0</v>
      </c>
      <c r="AT1061" s="166">
        <v>0</v>
      </c>
      <c r="AU1061" s="166">
        <v>0</v>
      </c>
      <c r="AV1061" s="166">
        <v>0</v>
      </c>
      <c r="AW1061" s="166">
        <v>4</v>
      </c>
      <c r="AX1061" s="166">
        <v>0</v>
      </c>
      <c r="AY1061" s="166">
        <v>0</v>
      </c>
      <c r="AZ1061" s="166">
        <v>0</v>
      </c>
      <c r="BA1061" s="166">
        <v>0</v>
      </c>
      <c r="BB1061" s="166">
        <v>0</v>
      </c>
      <c r="BC1061" s="166">
        <v>0</v>
      </c>
      <c r="BD1061" s="166">
        <v>0</v>
      </c>
      <c r="BE1061" s="166">
        <v>0</v>
      </c>
      <c r="BF1061" s="166">
        <v>0</v>
      </c>
      <c r="BG1061" s="166">
        <v>0</v>
      </c>
      <c r="BH1061" s="166">
        <v>0</v>
      </c>
      <c r="BI1061" s="166">
        <v>0</v>
      </c>
      <c r="BJ1061" s="166">
        <v>0</v>
      </c>
      <c r="BK1061" s="166">
        <v>0</v>
      </c>
      <c r="BL1061" s="166">
        <v>0</v>
      </c>
      <c r="BM1061" s="166">
        <v>0</v>
      </c>
      <c r="BN1061" s="166">
        <v>0</v>
      </c>
      <c r="BO1061" s="166">
        <v>0</v>
      </c>
      <c r="BP1061" s="166">
        <v>0</v>
      </c>
      <c r="BQ1061" s="81" t="s">
        <v>1757</v>
      </c>
      <c r="BX1061" s="81" t="s">
        <v>155</v>
      </c>
      <c r="BZ1061" s="81" t="s">
        <v>155</v>
      </c>
      <c r="CA1061" s="81" t="s">
        <v>3972</v>
      </c>
      <c r="CC1061" s="167">
        <v>0</v>
      </c>
      <c r="CD1061" s="167">
        <f>$N1061/4</f>
        <v>1</v>
      </c>
      <c r="CE1061" s="167">
        <f>$N1061/4</f>
        <v>1</v>
      </c>
      <c r="CF1061" s="167">
        <f>$N1061/4</f>
        <v>1</v>
      </c>
      <c r="CG1061" s="167">
        <f>$N1061/4</f>
        <v>1</v>
      </c>
      <c r="CH1061" s="167">
        <v>0</v>
      </c>
      <c r="CI1061" s="167">
        <v>0</v>
      </c>
      <c r="CJ1061" s="167">
        <v>0</v>
      </c>
      <c r="CK1061" s="167">
        <v>0</v>
      </c>
      <c r="CL1061" s="167">
        <v>0</v>
      </c>
      <c r="CM1061" s="167">
        <v>0</v>
      </c>
      <c r="CN1061" s="167">
        <v>0</v>
      </c>
      <c r="CO1061" s="167">
        <v>0</v>
      </c>
      <c r="CP1061" s="167">
        <v>0</v>
      </c>
      <c r="CQ1061" s="167">
        <v>0</v>
      </c>
      <c r="CR1061" s="167">
        <v>0</v>
      </c>
      <c r="CS1061" s="167">
        <v>0</v>
      </c>
      <c r="CT1061" s="167">
        <v>0</v>
      </c>
      <c r="CU1061" s="167">
        <v>0</v>
      </c>
      <c r="CV1061" s="167">
        <v>0</v>
      </c>
      <c r="CW1061" s="167">
        <v>0</v>
      </c>
      <c r="CX1061" s="167">
        <f>SUM(CD1061:CH1061)</f>
        <v>4</v>
      </c>
      <c r="CY1061" s="167">
        <f>SUM(CD1061:CM1061)</f>
        <v>4</v>
      </c>
    </row>
    <row r="1062" spans="1:103" ht="12.75" customHeight="1" x14ac:dyDescent="0.2">
      <c r="A1062" s="81">
        <v>6513</v>
      </c>
      <c r="B1062" s="165" t="s">
        <v>1930</v>
      </c>
      <c r="C1062" s="165" t="s">
        <v>500</v>
      </c>
      <c r="E1062" s="165" t="s">
        <v>2162</v>
      </c>
      <c r="G1062" s="81">
        <v>526622</v>
      </c>
      <c r="H1062" s="81">
        <v>176212</v>
      </c>
      <c r="I1062" s="165" t="s">
        <v>257</v>
      </c>
      <c r="J1062" s="349"/>
      <c r="K1062" s="349"/>
      <c r="L1062" s="166">
        <v>0</v>
      </c>
      <c r="M1062" s="166">
        <v>1</v>
      </c>
      <c r="N1062" s="166">
        <v>1</v>
      </c>
      <c r="O1062" s="166">
        <v>1</v>
      </c>
      <c r="P1062" s="166">
        <v>1</v>
      </c>
      <c r="R1062" s="165" t="s">
        <v>501</v>
      </c>
      <c r="S1062" s="81" t="s">
        <v>296</v>
      </c>
      <c r="T1062" s="349">
        <v>42052</v>
      </c>
      <c r="U1062" s="349">
        <v>42209</v>
      </c>
      <c r="W1062" s="81" t="s">
        <v>297</v>
      </c>
      <c r="X1062" s="349">
        <v>42516</v>
      </c>
      <c r="Y1062" s="81" t="s">
        <v>115</v>
      </c>
      <c r="Z1062" s="81" t="s">
        <v>116</v>
      </c>
      <c r="AA1062" s="81" t="s">
        <v>117</v>
      </c>
      <c r="AB1062" s="81" t="s">
        <v>218</v>
      </c>
      <c r="AC1062" s="166">
        <v>2.4000000208616298E-2</v>
      </c>
      <c r="AD1062" s="349"/>
      <c r="AF1062" s="349"/>
      <c r="AG1062" s="81" t="s">
        <v>238</v>
      </c>
      <c r="AH1062" s="81" t="s">
        <v>118</v>
      </c>
      <c r="AK1062" s="166">
        <v>1</v>
      </c>
      <c r="AM1062" s="166">
        <v>0</v>
      </c>
      <c r="AO1062" s="166">
        <v>0</v>
      </c>
      <c r="AP1062" s="166">
        <v>0</v>
      </c>
      <c r="AQ1062" s="166">
        <v>0</v>
      </c>
      <c r="AR1062" s="166">
        <v>1</v>
      </c>
      <c r="AS1062" s="166">
        <v>0</v>
      </c>
      <c r="AT1062" s="166">
        <v>0</v>
      </c>
      <c r="AU1062" s="166">
        <v>0</v>
      </c>
      <c r="AV1062" s="166">
        <v>0</v>
      </c>
      <c r="AW1062" s="166">
        <v>0</v>
      </c>
      <c r="AX1062" s="166">
        <v>0</v>
      </c>
      <c r="AY1062" s="166">
        <v>0</v>
      </c>
      <c r="AZ1062" s="166">
        <v>0</v>
      </c>
      <c r="BA1062" s="166">
        <v>0</v>
      </c>
      <c r="BB1062" s="166">
        <v>0</v>
      </c>
      <c r="BC1062" s="166">
        <v>0</v>
      </c>
      <c r="BD1062" s="166">
        <v>0</v>
      </c>
      <c r="BE1062" s="166">
        <v>0</v>
      </c>
      <c r="BF1062" s="166">
        <v>1</v>
      </c>
      <c r="BG1062" s="166">
        <v>0</v>
      </c>
      <c r="BH1062" s="166">
        <v>0</v>
      </c>
      <c r="BI1062" s="166">
        <v>0</v>
      </c>
      <c r="BJ1062" s="166">
        <v>0</v>
      </c>
      <c r="BK1062" s="166">
        <v>0</v>
      </c>
      <c r="BL1062" s="166">
        <v>0</v>
      </c>
      <c r="BM1062" s="166">
        <v>0</v>
      </c>
      <c r="BN1062" s="166">
        <v>0</v>
      </c>
      <c r="BO1062" s="166">
        <v>0</v>
      </c>
      <c r="BP1062" s="166">
        <v>0</v>
      </c>
      <c r="BQ1062" s="81" t="s">
        <v>1757</v>
      </c>
      <c r="BX1062" s="81" t="s">
        <v>155</v>
      </c>
      <c r="BZ1062" s="81" t="s">
        <v>155</v>
      </c>
      <c r="CA1062" s="81">
        <v>4</v>
      </c>
      <c r="CC1062" s="167">
        <v>0</v>
      </c>
      <c r="CD1062" s="167">
        <v>0</v>
      </c>
      <c r="CE1062" s="167">
        <f>$N1062/5</f>
        <v>0.2</v>
      </c>
      <c r="CF1062" s="167">
        <f>$N1062/5</f>
        <v>0.2</v>
      </c>
      <c r="CG1062" s="167">
        <f>$N1062/5</f>
        <v>0.2</v>
      </c>
      <c r="CH1062" s="167">
        <f>$N1062/5</f>
        <v>0.2</v>
      </c>
      <c r="CI1062" s="167">
        <f>$N1062/5</f>
        <v>0.2</v>
      </c>
      <c r="CJ1062" s="167">
        <v>0</v>
      </c>
      <c r="CK1062" s="167">
        <v>0</v>
      </c>
      <c r="CL1062" s="167">
        <v>0</v>
      </c>
      <c r="CM1062" s="167">
        <v>0</v>
      </c>
      <c r="CN1062" s="167">
        <v>0</v>
      </c>
      <c r="CO1062" s="167">
        <v>0</v>
      </c>
      <c r="CP1062" s="167">
        <v>0</v>
      </c>
      <c r="CQ1062" s="167">
        <v>0</v>
      </c>
      <c r="CR1062" s="167">
        <v>0</v>
      </c>
      <c r="CS1062" s="167">
        <v>0</v>
      </c>
      <c r="CT1062" s="167">
        <v>0</v>
      </c>
      <c r="CU1062" s="167">
        <v>0</v>
      </c>
      <c r="CV1062" s="167">
        <v>0</v>
      </c>
      <c r="CW1062" s="167">
        <v>0</v>
      </c>
      <c r="CX1062" s="167">
        <f>SUM(CD1062:CH1062)</f>
        <v>0.8</v>
      </c>
      <c r="CY1062" s="167">
        <f>SUM(CD1062:CM1062)</f>
        <v>1</v>
      </c>
    </row>
    <row r="1063" spans="1:103" ht="12.75" customHeight="1" x14ac:dyDescent="0.2">
      <c r="A1063" s="81">
        <v>6516</v>
      </c>
      <c r="B1063" s="165" t="s">
        <v>1930</v>
      </c>
      <c r="C1063" s="165" t="s">
        <v>1621</v>
      </c>
      <c r="E1063" s="165" t="s">
        <v>2792</v>
      </c>
      <c r="G1063" s="81">
        <v>529436</v>
      </c>
      <c r="H1063" s="81">
        <v>171443</v>
      </c>
      <c r="I1063" s="165" t="s">
        <v>252</v>
      </c>
      <c r="L1063" s="166">
        <v>0</v>
      </c>
      <c r="M1063" s="166">
        <v>3</v>
      </c>
      <c r="N1063" s="166">
        <v>3</v>
      </c>
      <c r="O1063" s="166">
        <v>3</v>
      </c>
      <c r="P1063" s="166">
        <v>3</v>
      </c>
      <c r="R1063" s="165" t="s">
        <v>1622</v>
      </c>
      <c r="S1063" s="81" t="s">
        <v>113</v>
      </c>
      <c r="T1063" s="349">
        <v>42772</v>
      </c>
      <c r="U1063" s="349">
        <v>42828</v>
      </c>
      <c r="V1063" s="81" t="s">
        <v>155</v>
      </c>
      <c r="W1063" s="81" t="s">
        <v>114</v>
      </c>
      <c r="Y1063" s="81" t="s">
        <v>115</v>
      </c>
      <c r="Z1063" s="81" t="s">
        <v>116</v>
      </c>
      <c r="AA1063" s="81" t="s">
        <v>117</v>
      </c>
      <c r="AB1063" s="81" t="s">
        <v>218</v>
      </c>
      <c r="AC1063" s="166">
        <v>6.0000000521540598E-3</v>
      </c>
      <c r="AG1063" s="81" t="s">
        <v>154</v>
      </c>
      <c r="AH1063" s="81" t="s">
        <v>38</v>
      </c>
      <c r="AK1063" s="166">
        <v>3</v>
      </c>
      <c r="AM1063" s="166">
        <v>0</v>
      </c>
      <c r="AO1063" s="166">
        <v>0</v>
      </c>
      <c r="AP1063" s="166">
        <v>1</v>
      </c>
      <c r="AQ1063" s="166">
        <v>2</v>
      </c>
      <c r="AR1063" s="166">
        <v>0</v>
      </c>
      <c r="AS1063" s="166">
        <v>0</v>
      </c>
      <c r="AT1063" s="166">
        <v>0</v>
      </c>
      <c r="AU1063" s="166">
        <v>0</v>
      </c>
      <c r="AV1063" s="166">
        <v>0</v>
      </c>
      <c r="AW1063" s="166">
        <v>1</v>
      </c>
      <c r="AX1063" s="166">
        <v>2</v>
      </c>
      <c r="AY1063" s="166">
        <v>0</v>
      </c>
      <c r="AZ1063" s="166">
        <v>0</v>
      </c>
      <c r="BA1063" s="166">
        <v>0</v>
      </c>
      <c r="BB1063" s="166">
        <v>0</v>
      </c>
      <c r="BC1063" s="166">
        <v>0</v>
      </c>
      <c r="BD1063" s="166">
        <v>0</v>
      </c>
      <c r="BE1063" s="166">
        <v>0</v>
      </c>
      <c r="BF1063" s="166">
        <v>0</v>
      </c>
      <c r="BG1063" s="166">
        <v>0</v>
      </c>
      <c r="BH1063" s="166">
        <v>0</v>
      </c>
      <c r="BI1063" s="166">
        <v>0</v>
      </c>
      <c r="BJ1063" s="166">
        <v>0</v>
      </c>
      <c r="BK1063" s="166">
        <v>0</v>
      </c>
      <c r="BL1063" s="166">
        <v>0</v>
      </c>
      <c r="BM1063" s="166">
        <v>0</v>
      </c>
      <c r="BN1063" s="166">
        <v>0</v>
      </c>
      <c r="BO1063" s="166">
        <v>0</v>
      </c>
      <c r="BP1063" s="166">
        <v>0</v>
      </c>
      <c r="BQ1063" s="81" t="s">
        <v>1757</v>
      </c>
      <c r="BZ1063" s="81" t="s">
        <v>155</v>
      </c>
      <c r="CA1063" s="81">
        <v>4</v>
      </c>
      <c r="CC1063" s="167">
        <v>0</v>
      </c>
      <c r="CD1063" s="167">
        <v>0</v>
      </c>
      <c r="CE1063" s="167">
        <f>$N1063/5</f>
        <v>0.6</v>
      </c>
      <c r="CF1063" s="167">
        <f>$N1063/5</f>
        <v>0.6</v>
      </c>
      <c r="CG1063" s="167">
        <f>$N1063/5</f>
        <v>0.6</v>
      </c>
      <c r="CH1063" s="167">
        <f>$N1063/5</f>
        <v>0.6</v>
      </c>
      <c r="CI1063" s="167">
        <f>$N1063/5</f>
        <v>0.6</v>
      </c>
      <c r="CJ1063" s="167">
        <v>0</v>
      </c>
      <c r="CK1063" s="167">
        <v>0</v>
      </c>
      <c r="CL1063" s="167">
        <v>0</v>
      </c>
      <c r="CM1063" s="167">
        <v>0</v>
      </c>
      <c r="CN1063" s="167">
        <v>0</v>
      </c>
      <c r="CO1063" s="167">
        <v>0</v>
      </c>
      <c r="CP1063" s="167">
        <v>0</v>
      </c>
      <c r="CQ1063" s="167">
        <v>0</v>
      </c>
      <c r="CR1063" s="167">
        <v>0</v>
      </c>
      <c r="CS1063" s="167">
        <v>0</v>
      </c>
      <c r="CT1063" s="167">
        <v>0</v>
      </c>
      <c r="CU1063" s="167">
        <v>0</v>
      </c>
      <c r="CV1063" s="167">
        <v>0</v>
      </c>
      <c r="CW1063" s="167">
        <v>0</v>
      </c>
      <c r="CX1063" s="167">
        <f>SUM(CD1063:CH1063)</f>
        <v>2.4</v>
      </c>
      <c r="CY1063" s="167">
        <f>SUM(CD1063:CM1063)</f>
        <v>3</v>
      </c>
    </row>
    <row r="1064" spans="1:103" ht="12.75" customHeight="1" x14ac:dyDescent="0.2">
      <c r="A1064" s="81">
        <v>6518</v>
      </c>
      <c r="B1064" s="165" t="s">
        <v>1930</v>
      </c>
      <c r="C1064" s="165" t="s">
        <v>1629</v>
      </c>
      <c r="E1064" s="165" t="s">
        <v>2793</v>
      </c>
      <c r="G1064" s="81">
        <v>528325</v>
      </c>
      <c r="H1064" s="81">
        <v>173875</v>
      </c>
      <c r="I1064" s="165" t="s">
        <v>247</v>
      </c>
      <c r="L1064" s="166">
        <v>0</v>
      </c>
      <c r="M1064" s="166">
        <v>2</v>
      </c>
      <c r="N1064" s="166">
        <v>2</v>
      </c>
      <c r="O1064" s="166">
        <v>3</v>
      </c>
      <c r="P1064" s="166">
        <v>2</v>
      </c>
      <c r="R1064" s="165" t="s">
        <v>1630</v>
      </c>
      <c r="S1064" s="81" t="s">
        <v>113</v>
      </c>
      <c r="T1064" s="349">
        <v>42779</v>
      </c>
      <c r="U1064" s="349">
        <v>42919</v>
      </c>
      <c r="V1064" s="81" t="s">
        <v>155</v>
      </c>
      <c r="W1064" s="81" t="s">
        <v>114</v>
      </c>
      <c r="Y1064" s="81" t="s">
        <v>115</v>
      </c>
      <c r="Z1064" s="81" t="s">
        <v>219</v>
      </c>
      <c r="AA1064" s="81" t="s">
        <v>117</v>
      </c>
      <c r="AB1064" s="81" t="s">
        <v>3889</v>
      </c>
      <c r="AC1064" s="166">
        <v>2.60000005364418E-2</v>
      </c>
      <c r="AG1064" s="81" t="s">
        <v>238</v>
      </c>
      <c r="AH1064" s="81" t="s">
        <v>118</v>
      </c>
      <c r="AK1064" s="166">
        <v>0</v>
      </c>
      <c r="AM1064" s="166">
        <v>0</v>
      </c>
      <c r="AO1064" s="166">
        <v>0</v>
      </c>
      <c r="AP1064" s="166">
        <v>1</v>
      </c>
      <c r="AQ1064" s="166">
        <v>1</v>
      </c>
      <c r="AR1064" s="166">
        <v>0</v>
      </c>
      <c r="AS1064" s="166">
        <v>0</v>
      </c>
      <c r="AT1064" s="166">
        <v>0</v>
      </c>
      <c r="AU1064" s="166">
        <v>0</v>
      </c>
      <c r="AV1064" s="166">
        <v>0</v>
      </c>
      <c r="AW1064" s="166">
        <v>1</v>
      </c>
      <c r="AX1064" s="166">
        <v>1</v>
      </c>
      <c r="AY1064" s="166">
        <v>0</v>
      </c>
      <c r="AZ1064" s="166">
        <v>0</v>
      </c>
      <c r="BA1064" s="166">
        <v>0</v>
      </c>
      <c r="BB1064" s="166">
        <v>0</v>
      </c>
      <c r="BC1064" s="166">
        <v>0</v>
      </c>
      <c r="BD1064" s="166">
        <v>0</v>
      </c>
      <c r="BE1064" s="166">
        <v>0</v>
      </c>
      <c r="BF1064" s="166">
        <v>0</v>
      </c>
      <c r="BG1064" s="166">
        <v>0</v>
      </c>
      <c r="BH1064" s="166">
        <v>0</v>
      </c>
      <c r="BI1064" s="166">
        <v>0</v>
      </c>
      <c r="BJ1064" s="166">
        <v>0</v>
      </c>
      <c r="BK1064" s="166">
        <v>0</v>
      </c>
      <c r="BL1064" s="166">
        <v>0</v>
      </c>
      <c r="BM1064" s="166">
        <v>0</v>
      </c>
      <c r="BN1064" s="166">
        <v>0</v>
      </c>
      <c r="BO1064" s="166">
        <v>0</v>
      </c>
      <c r="BP1064" s="166">
        <v>0</v>
      </c>
      <c r="BQ1064" s="81" t="s">
        <v>1757</v>
      </c>
      <c r="BZ1064" s="81" t="s">
        <v>155</v>
      </c>
      <c r="CA1064" s="81" t="s">
        <v>1937</v>
      </c>
      <c r="CC1064" s="167">
        <v>0</v>
      </c>
      <c r="CD1064" s="167">
        <f>$N1064/4</f>
        <v>0.5</v>
      </c>
      <c r="CE1064" s="167">
        <f>$N1064/4</f>
        <v>0.5</v>
      </c>
      <c r="CF1064" s="167">
        <f>$N1064/4</f>
        <v>0.5</v>
      </c>
      <c r="CG1064" s="167">
        <f>$N1064/4</f>
        <v>0.5</v>
      </c>
      <c r="CH1064" s="167">
        <v>0</v>
      </c>
      <c r="CI1064" s="167">
        <v>0</v>
      </c>
      <c r="CJ1064" s="167">
        <v>0</v>
      </c>
      <c r="CK1064" s="167">
        <v>0</v>
      </c>
      <c r="CL1064" s="167">
        <v>0</v>
      </c>
      <c r="CM1064" s="167">
        <v>0</v>
      </c>
      <c r="CN1064" s="167">
        <v>0</v>
      </c>
      <c r="CO1064" s="167">
        <v>0</v>
      </c>
      <c r="CP1064" s="167">
        <v>0</v>
      </c>
      <c r="CQ1064" s="167">
        <v>0</v>
      </c>
      <c r="CR1064" s="167">
        <v>0</v>
      </c>
      <c r="CS1064" s="167">
        <v>0</v>
      </c>
      <c r="CT1064" s="167">
        <v>0</v>
      </c>
      <c r="CU1064" s="167">
        <v>0</v>
      </c>
      <c r="CV1064" s="167">
        <v>0</v>
      </c>
      <c r="CW1064" s="167">
        <v>0</v>
      </c>
      <c r="CX1064" s="167">
        <f>SUM(CD1064:CH1064)</f>
        <v>2</v>
      </c>
      <c r="CY1064" s="167">
        <f>SUM(CD1064:CM1064)</f>
        <v>2</v>
      </c>
    </row>
    <row r="1065" spans="1:103" ht="12.75" customHeight="1" x14ac:dyDescent="0.2">
      <c r="A1065" s="81">
        <v>6518</v>
      </c>
      <c r="B1065" s="165" t="s">
        <v>1930</v>
      </c>
      <c r="C1065" s="165" t="s">
        <v>1629</v>
      </c>
      <c r="E1065" s="165" t="s">
        <v>2793</v>
      </c>
      <c r="G1065" s="81">
        <v>528325</v>
      </c>
      <c r="H1065" s="81">
        <v>173875</v>
      </c>
      <c r="I1065" s="165" t="s">
        <v>247</v>
      </c>
      <c r="L1065" s="166">
        <v>1</v>
      </c>
      <c r="M1065" s="166">
        <v>1</v>
      </c>
      <c r="N1065" s="166">
        <v>0</v>
      </c>
      <c r="O1065" s="166">
        <v>3</v>
      </c>
      <c r="P1065" s="166">
        <v>2</v>
      </c>
      <c r="R1065" s="165" t="s">
        <v>1630</v>
      </c>
      <c r="S1065" s="81" t="s">
        <v>113</v>
      </c>
      <c r="T1065" s="349">
        <v>42779</v>
      </c>
      <c r="U1065" s="349">
        <v>42919</v>
      </c>
      <c r="V1065" s="81" t="s">
        <v>155</v>
      </c>
      <c r="W1065" s="81" t="s">
        <v>114</v>
      </c>
      <c r="Y1065" s="81" t="s">
        <v>115</v>
      </c>
      <c r="Z1065" s="81" t="s">
        <v>219</v>
      </c>
      <c r="AA1065" s="81" t="s">
        <v>117</v>
      </c>
      <c r="AB1065" s="81" t="s">
        <v>300</v>
      </c>
      <c r="AC1065" s="166">
        <v>1.30000002682209E-2</v>
      </c>
      <c r="AG1065" s="81" t="s">
        <v>238</v>
      </c>
      <c r="AH1065" s="81" t="s">
        <v>118</v>
      </c>
      <c r="AK1065" s="166">
        <v>0</v>
      </c>
      <c r="AM1065" s="166">
        <v>0</v>
      </c>
      <c r="AO1065" s="166">
        <v>0</v>
      </c>
      <c r="AP1065" s="166">
        <v>1</v>
      </c>
      <c r="AQ1065" s="166">
        <v>-1</v>
      </c>
      <c r="AR1065" s="166">
        <v>0</v>
      </c>
      <c r="AS1065" s="166">
        <v>0</v>
      </c>
      <c r="AT1065" s="166">
        <v>0</v>
      </c>
      <c r="AU1065" s="166">
        <v>0</v>
      </c>
      <c r="AV1065" s="166">
        <v>0</v>
      </c>
      <c r="AW1065" s="166">
        <v>1</v>
      </c>
      <c r="AX1065" s="166">
        <v>-1</v>
      </c>
      <c r="AY1065" s="166">
        <v>0</v>
      </c>
      <c r="AZ1065" s="166">
        <v>0</v>
      </c>
      <c r="BA1065" s="166">
        <v>0</v>
      </c>
      <c r="BB1065" s="166">
        <v>0</v>
      </c>
      <c r="BC1065" s="166">
        <v>0</v>
      </c>
      <c r="BD1065" s="166">
        <v>0</v>
      </c>
      <c r="BE1065" s="166">
        <v>0</v>
      </c>
      <c r="BF1065" s="166">
        <v>0</v>
      </c>
      <c r="BG1065" s="166">
        <v>0</v>
      </c>
      <c r="BH1065" s="166">
        <v>0</v>
      </c>
      <c r="BI1065" s="166">
        <v>0</v>
      </c>
      <c r="BJ1065" s="166">
        <v>0</v>
      </c>
      <c r="BK1065" s="166">
        <v>0</v>
      </c>
      <c r="BL1065" s="166">
        <v>0</v>
      </c>
      <c r="BM1065" s="166">
        <v>0</v>
      </c>
      <c r="BN1065" s="166">
        <v>0</v>
      </c>
      <c r="BO1065" s="166">
        <v>0</v>
      </c>
      <c r="BP1065" s="166">
        <v>0</v>
      </c>
      <c r="BQ1065" s="81" t="s">
        <v>1757</v>
      </c>
      <c r="BZ1065" s="81" t="s">
        <v>155</v>
      </c>
      <c r="CA1065" s="81" t="s">
        <v>1937</v>
      </c>
      <c r="CC1065" s="167">
        <v>0</v>
      </c>
      <c r="CD1065" s="167">
        <f>$N1065/4</f>
        <v>0</v>
      </c>
      <c r="CE1065" s="167">
        <f>$N1065/4</f>
        <v>0</v>
      </c>
      <c r="CF1065" s="167">
        <f>$N1065/4</f>
        <v>0</v>
      </c>
      <c r="CG1065" s="167">
        <f>$N1065/4</f>
        <v>0</v>
      </c>
      <c r="CH1065" s="167">
        <v>0</v>
      </c>
      <c r="CI1065" s="167">
        <v>0</v>
      </c>
      <c r="CJ1065" s="167">
        <v>0</v>
      </c>
      <c r="CK1065" s="167">
        <v>0</v>
      </c>
      <c r="CL1065" s="167">
        <v>0</v>
      </c>
      <c r="CM1065" s="167">
        <v>0</v>
      </c>
      <c r="CN1065" s="167">
        <v>0</v>
      </c>
      <c r="CO1065" s="167">
        <v>0</v>
      </c>
      <c r="CP1065" s="167">
        <v>0</v>
      </c>
      <c r="CQ1065" s="167">
        <v>0</v>
      </c>
      <c r="CR1065" s="167">
        <v>0</v>
      </c>
      <c r="CS1065" s="167">
        <v>0</v>
      </c>
      <c r="CT1065" s="167">
        <v>0</v>
      </c>
      <c r="CU1065" s="167">
        <v>0</v>
      </c>
      <c r="CV1065" s="167">
        <v>0</v>
      </c>
      <c r="CW1065" s="167">
        <v>0</v>
      </c>
      <c r="CX1065" s="167">
        <f>SUM(CD1065:CH1065)</f>
        <v>0</v>
      </c>
      <c r="CY1065" s="167">
        <f>SUM(CD1065:CM1065)</f>
        <v>0</v>
      </c>
    </row>
    <row r="1066" spans="1:103" ht="12.75" customHeight="1" x14ac:dyDescent="0.2">
      <c r="A1066" s="81">
        <v>6519</v>
      </c>
      <c r="B1066" s="165" t="s">
        <v>1930</v>
      </c>
      <c r="C1066" s="165" t="s">
        <v>1574</v>
      </c>
      <c r="E1066" s="165" t="s">
        <v>2810</v>
      </c>
      <c r="G1066" s="81">
        <v>528096</v>
      </c>
      <c r="H1066" s="81">
        <v>173420</v>
      </c>
      <c r="I1066" s="165" t="s">
        <v>254</v>
      </c>
      <c r="L1066" s="166">
        <v>1</v>
      </c>
      <c r="M1066" s="166">
        <v>1</v>
      </c>
      <c r="N1066" s="166">
        <v>0</v>
      </c>
      <c r="O1066" s="166">
        <v>1</v>
      </c>
      <c r="P1066" s="166">
        <v>0</v>
      </c>
      <c r="R1066" s="165" t="s">
        <v>1575</v>
      </c>
      <c r="S1066" s="81" t="s">
        <v>113</v>
      </c>
      <c r="T1066" s="349">
        <v>42803</v>
      </c>
      <c r="U1066" s="349">
        <v>42969</v>
      </c>
      <c r="V1066" s="81" t="s">
        <v>155</v>
      </c>
      <c r="W1066" s="81" t="s">
        <v>114</v>
      </c>
      <c r="Y1066" s="81" t="s">
        <v>115</v>
      </c>
      <c r="Z1066" s="81" t="s">
        <v>310</v>
      </c>
      <c r="AA1066" s="81" t="s">
        <v>117</v>
      </c>
      <c r="AB1066" s="81" t="s">
        <v>399</v>
      </c>
      <c r="AC1066" s="166">
        <v>1.43999997526407E-2</v>
      </c>
      <c r="AG1066" s="81" t="s">
        <v>238</v>
      </c>
      <c r="AH1066" s="81" t="s">
        <v>118</v>
      </c>
      <c r="AK1066" s="166">
        <v>0</v>
      </c>
      <c r="AM1066" s="166">
        <v>0</v>
      </c>
      <c r="AO1066" s="166">
        <v>0</v>
      </c>
      <c r="AP1066" s="166">
        <v>0</v>
      </c>
      <c r="AQ1066" s="166">
        <v>0</v>
      </c>
      <c r="AR1066" s="166">
        <v>0</v>
      </c>
      <c r="AS1066" s="166">
        <v>0</v>
      </c>
      <c r="AT1066" s="166">
        <v>0</v>
      </c>
      <c r="AU1066" s="166">
        <v>0</v>
      </c>
      <c r="AV1066" s="166">
        <v>0</v>
      </c>
      <c r="AW1066" s="166">
        <v>0</v>
      </c>
      <c r="AX1066" s="166">
        <v>0</v>
      </c>
      <c r="AY1066" s="166">
        <v>1</v>
      </c>
      <c r="AZ1066" s="166">
        <v>0</v>
      </c>
      <c r="BA1066" s="166">
        <v>0</v>
      </c>
      <c r="BB1066" s="166">
        <v>0</v>
      </c>
      <c r="BC1066" s="166">
        <v>0</v>
      </c>
      <c r="BD1066" s="166">
        <v>0</v>
      </c>
      <c r="BE1066" s="166">
        <v>0</v>
      </c>
      <c r="BF1066" s="166">
        <v>0</v>
      </c>
      <c r="BG1066" s="166">
        <v>0</v>
      </c>
      <c r="BH1066" s="166">
        <v>0</v>
      </c>
      <c r="BI1066" s="166">
        <v>0</v>
      </c>
      <c r="BJ1066" s="166">
        <v>0</v>
      </c>
      <c r="BK1066" s="166">
        <v>0</v>
      </c>
      <c r="BL1066" s="166">
        <v>0</v>
      </c>
      <c r="BM1066" s="166">
        <v>-1</v>
      </c>
      <c r="BN1066" s="166">
        <v>0</v>
      </c>
      <c r="BO1066" s="166">
        <v>0</v>
      </c>
      <c r="BP1066" s="166">
        <v>0</v>
      </c>
      <c r="BQ1066" s="81" t="s">
        <v>1757</v>
      </c>
      <c r="BZ1066" s="81" t="s">
        <v>155</v>
      </c>
      <c r="CA1066" s="81" t="s">
        <v>1937</v>
      </c>
      <c r="CC1066" s="167">
        <v>0</v>
      </c>
      <c r="CD1066" s="167">
        <f>$N1066/4</f>
        <v>0</v>
      </c>
      <c r="CE1066" s="167">
        <f>$N1066/4</f>
        <v>0</v>
      </c>
      <c r="CF1066" s="167">
        <f>$N1066/4</f>
        <v>0</v>
      </c>
      <c r="CG1066" s="167">
        <f>$N1066/4</f>
        <v>0</v>
      </c>
      <c r="CH1066" s="167">
        <v>0</v>
      </c>
      <c r="CI1066" s="167">
        <v>0</v>
      </c>
      <c r="CJ1066" s="167">
        <v>0</v>
      </c>
      <c r="CK1066" s="167">
        <v>0</v>
      </c>
      <c r="CL1066" s="167">
        <v>0</v>
      </c>
      <c r="CM1066" s="167">
        <v>0</v>
      </c>
      <c r="CN1066" s="167">
        <v>0</v>
      </c>
      <c r="CO1066" s="167">
        <v>0</v>
      </c>
      <c r="CP1066" s="167">
        <v>0</v>
      </c>
      <c r="CQ1066" s="167">
        <v>0</v>
      </c>
      <c r="CR1066" s="167">
        <v>0</v>
      </c>
      <c r="CS1066" s="167">
        <v>0</v>
      </c>
      <c r="CT1066" s="167">
        <v>0</v>
      </c>
      <c r="CU1066" s="167">
        <v>0</v>
      </c>
      <c r="CV1066" s="167">
        <v>0</v>
      </c>
      <c r="CW1066" s="167">
        <v>0</v>
      </c>
      <c r="CX1066" s="167">
        <f>SUM(CD1066:CH1066)</f>
        <v>0</v>
      </c>
      <c r="CY1066" s="167">
        <f>SUM(CD1066:CM1066)</f>
        <v>0</v>
      </c>
    </row>
    <row r="1067" spans="1:103" ht="12.75" customHeight="1" x14ac:dyDescent="0.2">
      <c r="A1067" s="81">
        <v>6522</v>
      </c>
      <c r="B1067" s="165" t="s">
        <v>1930</v>
      </c>
      <c r="C1067" s="165" t="s">
        <v>1580</v>
      </c>
      <c r="E1067" s="165" t="s">
        <v>2795</v>
      </c>
      <c r="G1067" s="81">
        <v>523995</v>
      </c>
      <c r="H1067" s="81">
        <v>175261</v>
      </c>
      <c r="I1067" s="165" t="s">
        <v>259</v>
      </c>
      <c r="L1067" s="166">
        <v>2</v>
      </c>
      <c r="M1067" s="166">
        <v>2</v>
      </c>
      <c r="N1067" s="166">
        <v>0</v>
      </c>
      <c r="O1067" s="166">
        <v>3</v>
      </c>
      <c r="P1067" s="166">
        <v>1</v>
      </c>
      <c r="R1067" s="165" t="s">
        <v>1581</v>
      </c>
      <c r="S1067" s="81" t="s">
        <v>113</v>
      </c>
      <c r="T1067" s="349">
        <v>42755</v>
      </c>
      <c r="U1067" s="349">
        <v>42951</v>
      </c>
      <c r="V1067" s="81" t="s">
        <v>155</v>
      </c>
      <c r="W1067" s="81" t="s">
        <v>114</v>
      </c>
      <c r="Y1067" s="81" t="s">
        <v>115</v>
      </c>
      <c r="Z1067" s="81" t="s">
        <v>398</v>
      </c>
      <c r="AA1067" s="81" t="s">
        <v>117</v>
      </c>
      <c r="AB1067" s="81" t="s">
        <v>220</v>
      </c>
      <c r="AC1067" s="166">
        <v>4.0000001899898104E-3</v>
      </c>
      <c r="AG1067" s="81" t="s">
        <v>238</v>
      </c>
      <c r="AH1067" s="81" t="s">
        <v>118</v>
      </c>
      <c r="AK1067" s="166">
        <v>0</v>
      </c>
      <c r="AM1067" s="166">
        <v>0</v>
      </c>
      <c r="AO1067" s="166">
        <v>0</v>
      </c>
      <c r="AP1067" s="166">
        <v>-2</v>
      </c>
      <c r="AQ1067" s="166">
        <v>2</v>
      </c>
      <c r="AR1067" s="166">
        <v>0</v>
      </c>
      <c r="AS1067" s="166">
        <v>0</v>
      </c>
      <c r="AT1067" s="166">
        <v>0</v>
      </c>
      <c r="AU1067" s="166">
        <v>0</v>
      </c>
      <c r="AV1067" s="166">
        <v>0</v>
      </c>
      <c r="AW1067" s="166">
        <v>-2</v>
      </c>
      <c r="AX1067" s="166">
        <v>2</v>
      </c>
      <c r="AY1067" s="166">
        <v>0</v>
      </c>
      <c r="AZ1067" s="166">
        <v>0</v>
      </c>
      <c r="BA1067" s="166">
        <v>0</v>
      </c>
      <c r="BB1067" s="166">
        <v>0</v>
      </c>
      <c r="BC1067" s="166">
        <v>0</v>
      </c>
      <c r="BD1067" s="166">
        <v>0</v>
      </c>
      <c r="BE1067" s="166">
        <v>0</v>
      </c>
      <c r="BF1067" s="166">
        <v>0</v>
      </c>
      <c r="BG1067" s="166">
        <v>0</v>
      </c>
      <c r="BH1067" s="166">
        <v>0</v>
      </c>
      <c r="BI1067" s="166">
        <v>0</v>
      </c>
      <c r="BJ1067" s="166">
        <v>0</v>
      </c>
      <c r="BK1067" s="166">
        <v>0</v>
      </c>
      <c r="BL1067" s="166">
        <v>0</v>
      </c>
      <c r="BM1067" s="166">
        <v>0</v>
      </c>
      <c r="BN1067" s="166">
        <v>0</v>
      </c>
      <c r="BO1067" s="166">
        <v>0</v>
      </c>
      <c r="BP1067" s="166">
        <v>0</v>
      </c>
      <c r="BQ1067" s="81" t="s">
        <v>1758</v>
      </c>
      <c r="BR1067" s="81" t="s">
        <v>161</v>
      </c>
      <c r="BZ1067" s="81" t="s">
        <v>155</v>
      </c>
      <c r="CA1067" s="81" t="s">
        <v>1937</v>
      </c>
      <c r="CC1067" s="167">
        <v>0</v>
      </c>
      <c r="CD1067" s="167">
        <f>$N1067/4</f>
        <v>0</v>
      </c>
      <c r="CE1067" s="167">
        <f>$N1067/4</f>
        <v>0</v>
      </c>
      <c r="CF1067" s="167">
        <f>$N1067/4</f>
        <v>0</v>
      </c>
      <c r="CG1067" s="167">
        <f>$N1067/4</f>
        <v>0</v>
      </c>
      <c r="CH1067" s="167">
        <v>0</v>
      </c>
      <c r="CI1067" s="167">
        <v>0</v>
      </c>
      <c r="CJ1067" s="167">
        <v>0</v>
      </c>
      <c r="CK1067" s="167">
        <v>0</v>
      </c>
      <c r="CL1067" s="167">
        <v>0</v>
      </c>
      <c r="CM1067" s="167">
        <v>0</v>
      </c>
      <c r="CN1067" s="167">
        <v>0</v>
      </c>
      <c r="CO1067" s="167">
        <v>0</v>
      </c>
      <c r="CP1067" s="167">
        <v>0</v>
      </c>
      <c r="CQ1067" s="167">
        <v>0</v>
      </c>
      <c r="CR1067" s="167">
        <v>0</v>
      </c>
      <c r="CS1067" s="167">
        <v>0</v>
      </c>
      <c r="CT1067" s="167">
        <v>0</v>
      </c>
      <c r="CU1067" s="167">
        <v>0</v>
      </c>
      <c r="CV1067" s="167">
        <v>0</v>
      </c>
      <c r="CW1067" s="167">
        <v>0</v>
      </c>
      <c r="CX1067" s="167">
        <f>SUM(CD1067:CH1067)</f>
        <v>0</v>
      </c>
      <c r="CY1067" s="167">
        <f>SUM(CD1067:CM1067)</f>
        <v>0</v>
      </c>
    </row>
    <row r="1068" spans="1:103" ht="12.75" customHeight="1" x14ac:dyDescent="0.2">
      <c r="A1068" s="81">
        <v>6522</v>
      </c>
      <c r="B1068" s="165" t="s">
        <v>1930</v>
      </c>
      <c r="C1068" s="165" t="s">
        <v>1580</v>
      </c>
      <c r="E1068" s="165" t="s">
        <v>2795</v>
      </c>
      <c r="G1068" s="81">
        <v>523995</v>
      </c>
      <c r="H1068" s="81">
        <v>175261</v>
      </c>
      <c r="I1068" s="165" t="s">
        <v>259</v>
      </c>
      <c r="L1068" s="166">
        <v>0</v>
      </c>
      <c r="M1068" s="166">
        <v>1</v>
      </c>
      <c r="N1068" s="166">
        <v>1</v>
      </c>
      <c r="O1068" s="166">
        <v>3</v>
      </c>
      <c r="P1068" s="166">
        <v>1</v>
      </c>
      <c r="R1068" s="165" t="s">
        <v>1581</v>
      </c>
      <c r="S1068" s="81" t="s">
        <v>113</v>
      </c>
      <c r="T1068" s="349">
        <v>42755</v>
      </c>
      <c r="U1068" s="349">
        <v>42951</v>
      </c>
      <c r="V1068" s="81" t="s">
        <v>155</v>
      </c>
      <c r="W1068" s="81" t="s">
        <v>114</v>
      </c>
      <c r="Y1068" s="81" t="s">
        <v>115</v>
      </c>
      <c r="Z1068" s="81" t="s">
        <v>398</v>
      </c>
      <c r="AA1068" s="81" t="s">
        <v>117</v>
      </c>
      <c r="AB1068" s="81" t="s">
        <v>218</v>
      </c>
      <c r="AC1068" s="166">
        <v>4.0000001899898104E-3</v>
      </c>
      <c r="AG1068" s="81" t="s">
        <v>238</v>
      </c>
      <c r="AH1068" s="81" t="s">
        <v>118</v>
      </c>
      <c r="AK1068" s="166">
        <v>0</v>
      </c>
      <c r="AM1068" s="166">
        <v>0</v>
      </c>
      <c r="AO1068" s="166">
        <v>0</v>
      </c>
      <c r="AP1068" s="166">
        <v>1</v>
      </c>
      <c r="AQ1068" s="166">
        <v>0</v>
      </c>
      <c r="AR1068" s="166">
        <v>0</v>
      </c>
      <c r="AS1068" s="166">
        <v>0</v>
      </c>
      <c r="AT1068" s="166">
        <v>0</v>
      </c>
      <c r="AU1068" s="166">
        <v>0</v>
      </c>
      <c r="AV1068" s="166">
        <v>0</v>
      </c>
      <c r="AW1068" s="166">
        <v>1</v>
      </c>
      <c r="AX1068" s="166">
        <v>0</v>
      </c>
      <c r="AY1068" s="166">
        <v>0</v>
      </c>
      <c r="AZ1068" s="166">
        <v>0</v>
      </c>
      <c r="BA1068" s="166">
        <v>0</v>
      </c>
      <c r="BB1068" s="166">
        <v>0</v>
      </c>
      <c r="BC1068" s="166">
        <v>0</v>
      </c>
      <c r="BD1068" s="166">
        <v>0</v>
      </c>
      <c r="BE1068" s="166">
        <v>0</v>
      </c>
      <c r="BF1068" s="166">
        <v>0</v>
      </c>
      <c r="BG1068" s="166">
        <v>0</v>
      </c>
      <c r="BH1068" s="166">
        <v>0</v>
      </c>
      <c r="BI1068" s="166">
        <v>0</v>
      </c>
      <c r="BJ1068" s="166">
        <v>0</v>
      </c>
      <c r="BK1068" s="166">
        <v>0</v>
      </c>
      <c r="BL1068" s="166">
        <v>0</v>
      </c>
      <c r="BM1068" s="166">
        <v>0</v>
      </c>
      <c r="BN1068" s="166">
        <v>0</v>
      </c>
      <c r="BO1068" s="166">
        <v>0</v>
      </c>
      <c r="BP1068" s="166">
        <v>0</v>
      </c>
      <c r="BQ1068" s="81" t="s">
        <v>1758</v>
      </c>
      <c r="BR1068" s="81" t="s">
        <v>161</v>
      </c>
      <c r="BZ1068" s="81" t="s">
        <v>155</v>
      </c>
      <c r="CA1068" s="81" t="s">
        <v>1937</v>
      </c>
      <c r="CC1068" s="167">
        <v>0</v>
      </c>
      <c r="CD1068" s="167">
        <f>$N1068/4</f>
        <v>0.25</v>
      </c>
      <c r="CE1068" s="167">
        <f>$N1068/4</f>
        <v>0.25</v>
      </c>
      <c r="CF1068" s="167">
        <f>$N1068/4</f>
        <v>0.25</v>
      </c>
      <c r="CG1068" s="167">
        <f>$N1068/4</f>
        <v>0.25</v>
      </c>
      <c r="CH1068" s="167">
        <v>0</v>
      </c>
      <c r="CI1068" s="167">
        <v>0</v>
      </c>
      <c r="CJ1068" s="167">
        <v>0</v>
      </c>
      <c r="CK1068" s="167">
        <v>0</v>
      </c>
      <c r="CL1068" s="167">
        <v>0</v>
      </c>
      <c r="CM1068" s="167">
        <v>0</v>
      </c>
      <c r="CN1068" s="167">
        <v>0</v>
      </c>
      <c r="CO1068" s="167">
        <v>0</v>
      </c>
      <c r="CP1068" s="167">
        <v>0</v>
      </c>
      <c r="CQ1068" s="167">
        <v>0</v>
      </c>
      <c r="CR1068" s="167">
        <v>0</v>
      </c>
      <c r="CS1068" s="167">
        <v>0</v>
      </c>
      <c r="CT1068" s="167">
        <v>0</v>
      </c>
      <c r="CU1068" s="167">
        <v>0</v>
      </c>
      <c r="CV1068" s="167">
        <v>0</v>
      </c>
      <c r="CW1068" s="167">
        <v>0</v>
      </c>
      <c r="CX1068" s="167">
        <f>SUM(CD1068:CH1068)</f>
        <v>1</v>
      </c>
      <c r="CY1068" s="167">
        <f>SUM(CD1068:CM1068)</f>
        <v>1</v>
      </c>
    </row>
    <row r="1069" spans="1:103" ht="12.75" customHeight="1" x14ac:dyDescent="0.2">
      <c r="A1069" s="81">
        <v>6523</v>
      </c>
      <c r="B1069" s="165" t="s">
        <v>1930</v>
      </c>
      <c r="C1069" s="165" t="s">
        <v>1625</v>
      </c>
      <c r="E1069" s="165" t="s">
        <v>2796</v>
      </c>
      <c r="G1069" s="81">
        <v>528682</v>
      </c>
      <c r="H1069" s="81">
        <v>173943</v>
      </c>
      <c r="I1069" s="165" t="s">
        <v>247</v>
      </c>
      <c r="L1069" s="166">
        <v>0</v>
      </c>
      <c r="M1069" s="166">
        <v>2</v>
      </c>
      <c r="N1069" s="166">
        <v>2</v>
      </c>
      <c r="O1069" s="166">
        <v>2</v>
      </c>
      <c r="P1069" s="166">
        <v>2</v>
      </c>
      <c r="R1069" s="165" t="s">
        <v>1626</v>
      </c>
      <c r="S1069" s="81" t="s">
        <v>113</v>
      </c>
      <c r="T1069" s="349">
        <v>42810</v>
      </c>
      <c r="U1069" s="349">
        <v>42978</v>
      </c>
      <c r="V1069" s="81" t="s">
        <v>155</v>
      </c>
      <c r="W1069" s="81" t="s">
        <v>114</v>
      </c>
      <c r="Y1069" s="81" t="s">
        <v>115</v>
      </c>
      <c r="Z1069" s="81" t="s">
        <v>116</v>
      </c>
      <c r="AA1069" s="81" t="s">
        <v>117</v>
      </c>
      <c r="AB1069" s="81" t="s">
        <v>218</v>
      </c>
      <c r="AC1069" s="166">
        <v>6.7400000989437103E-2</v>
      </c>
      <c r="AG1069" s="81" t="s">
        <v>238</v>
      </c>
      <c r="AH1069" s="81" t="s">
        <v>118</v>
      </c>
      <c r="AK1069" s="166">
        <v>2</v>
      </c>
      <c r="AM1069" s="166">
        <v>0</v>
      </c>
      <c r="AO1069" s="166">
        <v>0</v>
      </c>
      <c r="AP1069" s="166">
        <v>0</v>
      </c>
      <c r="AQ1069" s="166">
        <v>0</v>
      </c>
      <c r="AR1069" s="166">
        <v>2</v>
      </c>
      <c r="AS1069" s="166">
        <v>0</v>
      </c>
      <c r="AT1069" s="166">
        <v>0</v>
      </c>
      <c r="AU1069" s="166">
        <v>0</v>
      </c>
      <c r="AV1069" s="166">
        <v>0</v>
      </c>
      <c r="AW1069" s="166">
        <v>0</v>
      </c>
      <c r="AX1069" s="166">
        <v>0</v>
      </c>
      <c r="AY1069" s="166">
        <v>0</v>
      </c>
      <c r="AZ1069" s="166">
        <v>0</v>
      </c>
      <c r="BA1069" s="166">
        <v>0</v>
      </c>
      <c r="BB1069" s="166">
        <v>0</v>
      </c>
      <c r="BC1069" s="166">
        <v>0</v>
      </c>
      <c r="BD1069" s="166">
        <v>0</v>
      </c>
      <c r="BE1069" s="166">
        <v>0</v>
      </c>
      <c r="BF1069" s="166">
        <v>2</v>
      </c>
      <c r="BG1069" s="166">
        <v>0</v>
      </c>
      <c r="BH1069" s="166">
        <v>0</v>
      </c>
      <c r="BI1069" s="166">
        <v>0</v>
      </c>
      <c r="BJ1069" s="166">
        <v>0</v>
      </c>
      <c r="BK1069" s="166">
        <v>0</v>
      </c>
      <c r="BL1069" s="166">
        <v>0</v>
      </c>
      <c r="BM1069" s="166">
        <v>0</v>
      </c>
      <c r="BN1069" s="166">
        <v>0</v>
      </c>
      <c r="BO1069" s="166">
        <v>0</v>
      </c>
      <c r="BP1069" s="166">
        <v>0</v>
      </c>
      <c r="BQ1069" s="81" t="s">
        <v>1757</v>
      </c>
      <c r="BZ1069" s="81" t="s">
        <v>155</v>
      </c>
      <c r="CA1069" s="81">
        <v>4</v>
      </c>
      <c r="CC1069" s="167">
        <v>0</v>
      </c>
      <c r="CD1069" s="167">
        <v>0</v>
      </c>
      <c r="CE1069" s="167">
        <f>$N1069/5</f>
        <v>0.4</v>
      </c>
      <c r="CF1069" s="167">
        <f>$N1069/5</f>
        <v>0.4</v>
      </c>
      <c r="CG1069" s="167">
        <f>$N1069/5</f>
        <v>0.4</v>
      </c>
      <c r="CH1069" s="167">
        <f>$N1069/5</f>
        <v>0.4</v>
      </c>
      <c r="CI1069" s="167">
        <f>$N1069/5</f>
        <v>0.4</v>
      </c>
      <c r="CJ1069" s="167">
        <v>0</v>
      </c>
      <c r="CK1069" s="167">
        <v>0</v>
      </c>
      <c r="CL1069" s="167">
        <v>0</v>
      </c>
      <c r="CM1069" s="167">
        <v>0</v>
      </c>
      <c r="CN1069" s="167">
        <v>0</v>
      </c>
      <c r="CO1069" s="167">
        <v>0</v>
      </c>
      <c r="CP1069" s="167">
        <v>0</v>
      </c>
      <c r="CQ1069" s="167">
        <v>0</v>
      </c>
      <c r="CR1069" s="167">
        <v>0</v>
      </c>
      <c r="CS1069" s="167">
        <v>0</v>
      </c>
      <c r="CT1069" s="167">
        <v>0</v>
      </c>
      <c r="CU1069" s="167">
        <v>0</v>
      </c>
      <c r="CV1069" s="167">
        <v>0</v>
      </c>
      <c r="CW1069" s="167">
        <v>0</v>
      </c>
      <c r="CX1069" s="167">
        <f>SUM(CD1069:CH1069)</f>
        <v>1.6</v>
      </c>
      <c r="CY1069" s="167">
        <f>SUM(CD1069:CM1069)</f>
        <v>2</v>
      </c>
    </row>
    <row r="1070" spans="1:103" ht="12.75" customHeight="1" x14ac:dyDescent="0.2">
      <c r="A1070" s="81">
        <v>6524</v>
      </c>
      <c r="B1070" s="165" t="s">
        <v>1930</v>
      </c>
      <c r="C1070" s="165" t="s">
        <v>2797</v>
      </c>
      <c r="E1070" s="165" t="s">
        <v>2798</v>
      </c>
      <c r="G1070" s="81">
        <v>527505</v>
      </c>
      <c r="H1070" s="81">
        <v>174791</v>
      </c>
      <c r="I1070" s="165" t="s">
        <v>255</v>
      </c>
      <c r="L1070" s="166">
        <v>1</v>
      </c>
      <c r="M1070" s="166">
        <v>2</v>
      </c>
      <c r="N1070" s="166">
        <v>1</v>
      </c>
      <c r="O1070" s="166">
        <v>2</v>
      </c>
      <c r="P1070" s="166">
        <v>1</v>
      </c>
      <c r="R1070" s="165" t="s">
        <v>2799</v>
      </c>
      <c r="S1070" s="81" t="s">
        <v>113</v>
      </c>
      <c r="T1070" s="349">
        <v>43063</v>
      </c>
      <c r="U1070" s="349">
        <v>43119</v>
      </c>
      <c r="V1070" s="81" t="s">
        <v>155</v>
      </c>
      <c r="W1070" s="81" t="s">
        <v>114</v>
      </c>
      <c r="Y1070" s="81" t="s">
        <v>115</v>
      </c>
      <c r="Z1070" s="81" t="s">
        <v>398</v>
      </c>
      <c r="AA1070" s="81" t="s">
        <v>117</v>
      </c>
      <c r="AB1070" s="81" t="s">
        <v>220</v>
      </c>
      <c r="AC1070" s="166">
        <v>8.0000003799796104E-3</v>
      </c>
      <c r="AG1070" s="81" t="s">
        <v>238</v>
      </c>
      <c r="AH1070" s="81" t="s">
        <v>118</v>
      </c>
      <c r="AK1070" s="166">
        <v>0</v>
      </c>
      <c r="AM1070" s="166">
        <v>0</v>
      </c>
      <c r="AO1070" s="166">
        <v>0</v>
      </c>
      <c r="AP1070" s="166">
        <v>1</v>
      </c>
      <c r="AQ1070" s="166">
        <v>0</v>
      </c>
      <c r="AR1070" s="166">
        <v>0</v>
      </c>
      <c r="AS1070" s="166">
        <v>0</v>
      </c>
      <c r="AT1070" s="166">
        <v>0</v>
      </c>
      <c r="AU1070" s="166">
        <v>0</v>
      </c>
      <c r="AV1070" s="166">
        <v>0</v>
      </c>
      <c r="AW1070" s="166">
        <v>1</v>
      </c>
      <c r="AX1070" s="166">
        <v>0</v>
      </c>
      <c r="AY1070" s="166">
        <v>0</v>
      </c>
      <c r="AZ1070" s="166">
        <v>0</v>
      </c>
      <c r="BA1070" s="166">
        <v>0</v>
      </c>
      <c r="BB1070" s="166">
        <v>0</v>
      </c>
      <c r="BC1070" s="166">
        <v>0</v>
      </c>
      <c r="BD1070" s="166">
        <v>0</v>
      </c>
      <c r="BE1070" s="166">
        <v>0</v>
      </c>
      <c r="BF1070" s="166">
        <v>0</v>
      </c>
      <c r="BG1070" s="166">
        <v>0</v>
      </c>
      <c r="BH1070" s="166">
        <v>0</v>
      </c>
      <c r="BI1070" s="166">
        <v>0</v>
      </c>
      <c r="BJ1070" s="166">
        <v>0</v>
      </c>
      <c r="BK1070" s="166">
        <v>0</v>
      </c>
      <c r="BL1070" s="166">
        <v>0</v>
      </c>
      <c r="BM1070" s="166">
        <v>0</v>
      </c>
      <c r="BN1070" s="166">
        <v>0</v>
      </c>
      <c r="BO1070" s="166">
        <v>0</v>
      </c>
      <c r="BP1070" s="166">
        <v>0</v>
      </c>
      <c r="BQ1070" s="81" t="s">
        <v>1757</v>
      </c>
      <c r="BR1070" s="81" t="s">
        <v>160</v>
      </c>
      <c r="BZ1070" s="81" t="s">
        <v>155</v>
      </c>
      <c r="CA1070" s="81" t="s">
        <v>1937</v>
      </c>
      <c r="CC1070" s="167">
        <v>0</v>
      </c>
      <c r="CD1070" s="167">
        <f>$N1070/4</f>
        <v>0.25</v>
      </c>
      <c r="CE1070" s="167">
        <f>$N1070/4</f>
        <v>0.25</v>
      </c>
      <c r="CF1070" s="167">
        <f>$N1070/4</f>
        <v>0.25</v>
      </c>
      <c r="CG1070" s="167">
        <f>$N1070/4</f>
        <v>0.25</v>
      </c>
      <c r="CH1070" s="167">
        <v>0</v>
      </c>
      <c r="CI1070" s="167">
        <v>0</v>
      </c>
      <c r="CJ1070" s="167">
        <v>0</v>
      </c>
      <c r="CK1070" s="167">
        <v>0</v>
      </c>
      <c r="CL1070" s="167">
        <v>0</v>
      </c>
      <c r="CM1070" s="167">
        <v>0</v>
      </c>
      <c r="CN1070" s="167">
        <v>0</v>
      </c>
      <c r="CO1070" s="167">
        <v>0</v>
      </c>
      <c r="CP1070" s="167">
        <v>0</v>
      </c>
      <c r="CQ1070" s="167">
        <v>0</v>
      </c>
      <c r="CR1070" s="167">
        <v>0</v>
      </c>
      <c r="CS1070" s="167">
        <v>0</v>
      </c>
      <c r="CT1070" s="167">
        <v>0</v>
      </c>
      <c r="CU1070" s="167">
        <v>0</v>
      </c>
      <c r="CV1070" s="167">
        <v>0</v>
      </c>
      <c r="CW1070" s="167">
        <v>0</v>
      </c>
      <c r="CX1070" s="167">
        <f>SUM(CD1070:CH1070)</f>
        <v>1</v>
      </c>
      <c r="CY1070" s="167">
        <f>SUM(CD1070:CM1070)</f>
        <v>1</v>
      </c>
    </row>
    <row r="1071" spans="1:103" ht="12.75" customHeight="1" x14ac:dyDescent="0.2">
      <c r="A1071" s="81">
        <v>6525</v>
      </c>
      <c r="B1071" s="165" t="s">
        <v>1930</v>
      </c>
      <c r="C1071" s="165" t="s">
        <v>1653</v>
      </c>
      <c r="E1071" s="165" t="s">
        <v>2800</v>
      </c>
      <c r="G1071" s="81">
        <v>527828</v>
      </c>
      <c r="H1071" s="81">
        <v>173720</v>
      </c>
      <c r="I1071" s="165" t="s">
        <v>254</v>
      </c>
      <c r="L1071" s="166">
        <v>1</v>
      </c>
      <c r="M1071" s="166">
        <v>1</v>
      </c>
      <c r="N1071" s="166">
        <v>0</v>
      </c>
      <c r="O1071" s="166">
        <v>1</v>
      </c>
      <c r="P1071" s="166">
        <v>0</v>
      </c>
      <c r="R1071" s="165" t="s">
        <v>1654</v>
      </c>
      <c r="S1071" s="81" t="s">
        <v>113</v>
      </c>
      <c r="T1071" s="349">
        <v>42793</v>
      </c>
      <c r="U1071" s="349">
        <v>42919</v>
      </c>
      <c r="V1071" s="81" t="s">
        <v>155</v>
      </c>
      <c r="W1071" s="81" t="s">
        <v>114</v>
      </c>
      <c r="Y1071" s="81" t="s">
        <v>115</v>
      </c>
      <c r="Z1071" s="81" t="s">
        <v>116</v>
      </c>
      <c r="AA1071" s="81" t="s">
        <v>117</v>
      </c>
      <c r="AB1071" s="81" t="s">
        <v>218</v>
      </c>
      <c r="AC1071" s="166">
        <v>4.0199998766183902E-2</v>
      </c>
      <c r="AG1071" s="81" t="s">
        <v>238</v>
      </c>
      <c r="AH1071" s="81" t="s">
        <v>118</v>
      </c>
      <c r="AK1071" s="166">
        <v>0</v>
      </c>
      <c r="AM1071" s="166">
        <v>0</v>
      </c>
      <c r="AO1071" s="166">
        <v>0</v>
      </c>
      <c r="AP1071" s="166">
        <v>0</v>
      </c>
      <c r="AQ1071" s="166">
        <v>0</v>
      </c>
      <c r="AR1071" s="166">
        <v>-1</v>
      </c>
      <c r="AS1071" s="166">
        <v>0</v>
      </c>
      <c r="AT1071" s="166">
        <v>1</v>
      </c>
      <c r="AU1071" s="166">
        <v>0</v>
      </c>
      <c r="AV1071" s="166">
        <v>0</v>
      </c>
      <c r="AW1071" s="166">
        <v>0</v>
      </c>
      <c r="AX1071" s="166">
        <v>0</v>
      </c>
      <c r="AY1071" s="166">
        <v>0</v>
      </c>
      <c r="AZ1071" s="166">
        <v>0</v>
      </c>
      <c r="BA1071" s="166">
        <v>0</v>
      </c>
      <c r="BB1071" s="166">
        <v>0</v>
      </c>
      <c r="BC1071" s="166">
        <v>0</v>
      </c>
      <c r="BD1071" s="166">
        <v>0</v>
      </c>
      <c r="BE1071" s="166">
        <v>0</v>
      </c>
      <c r="BF1071" s="166">
        <v>-1</v>
      </c>
      <c r="BG1071" s="166">
        <v>0</v>
      </c>
      <c r="BH1071" s="166">
        <v>1</v>
      </c>
      <c r="BI1071" s="166">
        <v>0</v>
      </c>
      <c r="BJ1071" s="166">
        <v>0</v>
      </c>
      <c r="BK1071" s="166">
        <v>0</v>
      </c>
      <c r="BL1071" s="166">
        <v>0</v>
      </c>
      <c r="BM1071" s="166">
        <v>0</v>
      </c>
      <c r="BN1071" s="166">
        <v>0</v>
      </c>
      <c r="BO1071" s="166">
        <v>0</v>
      </c>
      <c r="BP1071" s="166">
        <v>0</v>
      </c>
      <c r="BQ1071" s="81" t="s">
        <v>1757</v>
      </c>
      <c r="BZ1071" s="81" t="s">
        <v>155</v>
      </c>
      <c r="CA1071" s="81">
        <v>4</v>
      </c>
      <c r="CC1071" s="167">
        <v>0</v>
      </c>
      <c r="CD1071" s="167">
        <v>0</v>
      </c>
      <c r="CE1071" s="167">
        <f>$N1071/5</f>
        <v>0</v>
      </c>
      <c r="CF1071" s="167">
        <f>$N1071/5</f>
        <v>0</v>
      </c>
      <c r="CG1071" s="167">
        <f>$N1071/5</f>
        <v>0</v>
      </c>
      <c r="CH1071" s="167">
        <f>$N1071/5</f>
        <v>0</v>
      </c>
      <c r="CI1071" s="167">
        <f>$N1071/5</f>
        <v>0</v>
      </c>
      <c r="CJ1071" s="167">
        <v>0</v>
      </c>
      <c r="CK1071" s="167">
        <v>0</v>
      </c>
      <c r="CL1071" s="167">
        <v>0</v>
      </c>
      <c r="CM1071" s="167">
        <v>0</v>
      </c>
      <c r="CN1071" s="167">
        <v>0</v>
      </c>
      <c r="CO1071" s="167">
        <v>0</v>
      </c>
      <c r="CP1071" s="167">
        <v>0</v>
      </c>
      <c r="CQ1071" s="167">
        <v>0</v>
      </c>
      <c r="CR1071" s="167">
        <v>0</v>
      </c>
      <c r="CS1071" s="167">
        <v>0</v>
      </c>
      <c r="CT1071" s="167">
        <v>0</v>
      </c>
      <c r="CU1071" s="167">
        <v>0</v>
      </c>
      <c r="CV1071" s="167">
        <v>0</v>
      </c>
      <c r="CW1071" s="167">
        <v>0</v>
      </c>
      <c r="CX1071" s="167">
        <f>SUM(CD1071:CH1071)</f>
        <v>0</v>
      </c>
      <c r="CY1071" s="167">
        <f>SUM(CD1071:CM1071)</f>
        <v>0</v>
      </c>
    </row>
    <row r="1072" spans="1:103" ht="12.75" customHeight="1" x14ac:dyDescent="0.2">
      <c r="A1072" s="81">
        <v>6535</v>
      </c>
      <c r="B1072" s="165" t="s">
        <v>1930</v>
      </c>
      <c r="C1072" s="165" t="s">
        <v>2801</v>
      </c>
      <c r="E1072" s="165" t="s">
        <v>2802</v>
      </c>
      <c r="G1072" s="81">
        <v>523949</v>
      </c>
      <c r="H1072" s="81">
        <v>175565</v>
      </c>
      <c r="I1072" s="165" t="s">
        <v>259</v>
      </c>
      <c r="L1072" s="166">
        <v>2</v>
      </c>
      <c r="M1072" s="166">
        <v>0</v>
      </c>
      <c r="N1072" s="166">
        <v>-2</v>
      </c>
      <c r="O1072" s="166">
        <v>0</v>
      </c>
      <c r="P1072" s="166">
        <v>-2</v>
      </c>
      <c r="R1072" s="165" t="s">
        <v>2803</v>
      </c>
      <c r="S1072" s="81" t="s">
        <v>113</v>
      </c>
      <c r="T1072" s="349">
        <v>42720</v>
      </c>
      <c r="U1072" s="349">
        <v>42909</v>
      </c>
      <c r="V1072" s="81" t="s">
        <v>155</v>
      </c>
      <c r="W1072" s="81" t="s">
        <v>114</v>
      </c>
      <c r="Y1072" s="81" t="s">
        <v>115</v>
      </c>
      <c r="Z1072" s="81" t="s">
        <v>219</v>
      </c>
      <c r="AA1072" s="81" t="s">
        <v>117</v>
      </c>
      <c r="AB1072" s="81" t="s">
        <v>105</v>
      </c>
      <c r="AC1072" s="166">
        <v>8.0000003799796104E-3</v>
      </c>
      <c r="AG1072" s="81" t="s">
        <v>238</v>
      </c>
      <c r="AH1072" s="81" t="s">
        <v>118</v>
      </c>
      <c r="AK1072" s="166">
        <v>0</v>
      </c>
      <c r="AM1072" s="166">
        <v>0</v>
      </c>
      <c r="AO1072" s="166">
        <v>0</v>
      </c>
      <c r="AP1072" s="166">
        <v>-1</v>
      </c>
      <c r="AQ1072" s="166">
        <v>-1</v>
      </c>
      <c r="AR1072" s="166">
        <v>0</v>
      </c>
      <c r="AS1072" s="166">
        <v>0</v>
      </c>
      <c r="AT1072" s="166">
        <v>0</v>
      </c>
      <c r="AU1072" s="166">
        <v>0</v>
      </c>
      <c r="AV1072" s="166">
        <v>0</v>
      </c>
      <c r="AW1072" s="166">
        <v>-1</v>
      </c>
      <c r="AX1072" s="166">
        <v>-1</v>
      </c>
      <c r="AY1072" s="166">
        <v>0</v>
      </c>
      <c r="AZ1072" s="166">
        <v>0</v>
      </c>
      <c r="BA1072" s="166">
        <v>0</v>
      </c>
      <c r="BB1072" s="166">
        <v>0</v>
      </c>
      <c r="BC1072" s="166">
        <v>0</v>
      </c>
      <c r="BD1072" s="166">
        <v>0</v>
      </c>
      <c r="BE1072" s="166">
        <v>0</v>
      </c>
      <c r="BF1072" s="166">
        <v>0</v>
      </c>
      <c r="BG1072" s="166">
        <v>0</v>
      </c>
      <c r="BH1072" s="166">
        <v>0</v>
      </c>
      <c r="BI1072" s="166">
        <v>0</v>
      </c>
      <c r="BJ1072" s="166">
        <v>0</v>
      </c>
      <c r="BK1072" s="166">
        <v>0</v>
      </c>
      <c r="BL1072" s="166">
        <v>0</v>
      </c>
      <c r="BM1072" s="166">
        <v>0</v>
      </c>
      <c r="BN1072" s="166">
        <v>0</v>
      </c>
      <c r="BO1072" s="166">
        <v>0</v>
      </c>
      <c r="BP1072" s="166">
        <v>0</v>
      </c>
      <c r="BQ1072" s="81" t="s">
        <v>1758</v>
      </c>
      <c r="BZ1072" s="81" t="s">
        <v>155</v>
      </c>
      <c r="CA1072" s="81" t="s">
        <v>1937</v>
      </c>
      <c r="CC1072" s="167">
        <v>0</v>
      </c>
      <c r="CD1072" s="167">
        <f>$N1072/4</f>
        <v>-0.5</v>
      </c>
      <c r="CE1072" s="167">
        <f>$N1072/4</f>
        <v>-0.5</v>
      </c>
      <c r="CF1072" s="167">
        <f>$N1072/4</f>
        <v>-0.5</v>
      </c>
      <c r="CG1072" s="167">
        <f>$N1072/4</f>
        <v>-0.5</v>
      </c>
      <c r="CH1072" s="167">
        <v>0</v>
      </c>
      <c r="CI1072" s="167">
        <v>0</v>
      </c>
      <c r="CJ1072" s="167">
        <v>0</v>
      </c>
      <c r="CK1072" s="167">
        <v>0</v>
      </c>
      <c r="CL1072" s="167">
        <v>0</v>
      </c>
      <c r="CM1072" s="167">
        <v>0</v>
      </c>
      <c r="CN1072" s="167">
        <v>0</v>
      </c>
      <c r="CO1072" s="167">
        <v>0</v>
      </c>
      <c r="CP1072" s="167">
        <v>0</v>
      </c>
      <c r="CQ1072" s="167">
        <v>0</v>
      </c>
      <c r="CR1072" s="167">
        <v>0</v>
      </c>
      <c r="CS1072" s="167">
        <v>0</v>
      </c>
      <c r="CT1072" s="167">
        <v>0</v>
      </c>
      <c r="CU1072" s="167">
        <v>0</v>
      </c>
      <c r="CV1072" s="167">
        <v>0</v>
      </c>
      <c r="CW1072" s="167">
        <v>0</v>
      </c>
      <c r="CX1072" s="167">
        <f>SUM(CD1072:CH1072)</f>
        <v>-2</v>
      </c>
      <c r="CY1072" s="167">
        <f>SUM(CD1072:CM1072)</f>
        <v>-2</v>
      </c>
    </row>
    <row r="1073" spans="1:103" ht="12.75" customHeight="1" x14ac:dyDescent="0.2">
      <c r="A1073" s="81">
        <v>6537</v>
      </c>
      <c r="B1073" s="165" t="s">
        <v>1930</v>
      </c>
      <c r="C1073" s="165" t="s">
        <v>2804</v>
      </c>
      <c r="E1073" s="165" t="s">
        <v>2805</v>
      </c>
      <c r="G1073" s="81">
        <v>527325</v>
      </c>
      <c r="H1073" s="81">
        <v>171305</v>
      </c>
      <c r="I1073" s="165" t="s">
        <v>242</v>
      </c>
      <c r="L1073" s="166">
        <v>0</v>
      </c>
      <c r="M1073" s="166">
        <v>1</v>
      </c>
      <c r="N1073" s="166">
        <v>1</v>
      </c>
      <c r="O1073" s="166">
        <v>1</v>
      </c>
      <c r="P1073" s="166">
        <v>1</v>
      </c>
      <c r="R1073" s="165" t="s">
        <v>2806</v>
      </c>
      <c r="S1073" s="81" t="s">
        <v>113</v>
      </c>
      <c r="T1073" s="349">
        <v>42870</v>
      </c>
      <c r="U1073" s="349">
        <v>42985</v>
      </c>
      <c r="V1073" s="81" t="s">
        <v>155</v>
      </c>
      <c r="W1073" s="81" t="s">
        <v>114</v>
      </c>
      <c r="Y1073" s="81" t="s">
        <v>115</v>
      </c>
      <c r="Z1073" s="81" t="s">
        <v>219</v>
      </c>
      <c r="AA1073" s="81" t="s">
        <v>117</v>
      </c>
      <c r="AB1073" s="81" t="s">
        <v>3889</v>
      </c>
      <c r="AC1073" s="166">
        <v>4.9999998882412902E-3</v>
      </c>
      <c r="AG1073" s="81" t="s">
        <v>238</v>
      </c>
      <c r="AH1073" s="81" t="s">
        <v>118</v>
      </c>
      <c r="AK1073" s="166">
        <v>0</v>
      </c>
      <c r="AM1073" s="166">
        <v>0</v>
      </c>
      <c r="AO1073" s="166">
        <v>0</v>
      </c>
      <c r="AP1073" s="166">
        <v>1</v>
      </c>
      <c r="AQ1073" s="166">
        <v>0</v>
      </c>
      <c r="AR1073" s="166">
        <v>0</v>
      </c>
      <c r="AS1073" s="166">
        <v>0</v>
      </c>
      <c r="AT1073" s="166">
        <v>0</v>
      </c>
      <c r="AU1073" s="166">
        <v>0</v>
      </c>
      <c r="AV1073" s="166">
        <v>0</v>
      </c>
      <c r="AW1073" s="166">
        <v>1</v>
      </c>
      <c r="AX1073" s="166">
        <v>0</v>
      </c>
      <c r="AY1073" s="166">
        <v>0</v>
      </c>
      <c r="AZ1073" s="166">
        <v>0</v>
      </c>
      <c r="BA1073" s="166">
        <v>0</v>
      </c>
      <c r="BB1073" s="166">
        <v>0</v>
      </c>
      <c r="BC1073" s="166">
        <v>0</v>
      </c>
      <c r="BD1073" s="166">
        <v>0</v>
      </c>
      <c r="BE1073" s="166">
        <v>0</v>
      </c>
      <c r="BF1073" s="166">
        <v>0</v>
      </c>
      <c r="BG1073" s="166">
        <v>0</v>
      </c>
      <c r="BH1073" s="166">
        <v>0</v>
      </c>
      <c r="BI1073" s="166">
        <v>0</v>
      </c>
      <c r="BJ1073" s="166">
        <v>0</v>
      </c>
      <c r="BK1073" s="166">
        <v>0</v>
      </c>
      <c r="BL1073" s="166">
        <v>0</v>
      </c>
      <c r="BM1073" s="166">
        <v>0</v>
      </c>
      <c r="BN1073" s="166">
        <v>0</v>
      </c>
      <c r="BO1073" s="166">
        <v>0</v>
      </c>
      <c r="BP1073" s="166">
        <v>0</v>
      </c>
      <c r="BQ1073" s="81" t="s">
        <v>1757</v>
      </c>
      <c r="BZ1073" s="81" t="s">
        <v>155</v>
      </c>
      <c r="CA1073" s="81" t="s">
        <v>1937</v>
      </c>
      <c r="CC1073" s="167">
        <v>0</v>
      </c>
      <c r="CD1073" s="167">
        <f>$N1073/4</f>
        <v>0.25</v>
      </c>
      <c r="CE1073" s="167">
        <f>$N1073/4</f>
        <v>0.25</v>
      </c>
      <c r="CF1073" s="167">
        <f>$N1073/4</f>
        <v>0.25</v>
      </c>
      <c r="CG1073" s="167">
        <f>$N1073/4</f>
        <v>0.25</v>
      </c>
      <c r="CH1073" s="167">
        <v>0</v>
      </c>
      <c r="CI1073" s="167">
        <v>0</v>
      </c>
      <c r="CJ1073" s="167">
        <v>0</v>
      </c>
      <c r="CK1073" s="167">
        <v>0</v>
      </c>
      <c r="CL1073" s="167">
        <v>0</v>
      </c>
      <c r="CM1073" s="167">
        <v>0</v>
      </c>
      <c r="CN1073" s="167">
        <v>0</v>
      </c>
      <c r="CO1073" s="167">
        <v>0</v>
      </c>
      <c r="CP1073" s="167">
        <v>0</v>
      </c>
      <c r="CQ1073" s="167">
        <v>0</v>
      </c>
      <c r="CR1073" s="167">
        <v>0</v>
      </c>
      <c r="CS1073" s="167">
        <v>0</v>
      </c>
      <c r="CT1073" s="167">
        <v>0</v>
      </c>
      <c r="CU1073" s="167">
        <v>0</v>
      </c>
      <c r="CV1073" s="167">
        <v>0</v>
      </c>
      <c r="CW1073" s="167">
        <v>0</v>
      </c>
      <c r="CX1073" s="167">
        <f>SUM(CD1073:CH1073)</f>
        <v>1</v>
      </c>
      <c r="CY1073" s="167">
        <f>SUM(CD1073:CM1073)</f>
        <v>1</v>
      </c>
    </row>
    <row r="1074" spans="1:103" ht="12.75" customHeight="1" x14ac:dyDescent="0.2">
      <c r="A1074" s="81">
        <v>6542</v>
      </c>
      <c r="B1074" s="165" t="s">
        <v>1930</v>
      </c>
      <c r="C1074" s="165" t="s">
        <v>2807</v>
      </c>
      <c r="E1074" s="165" t="s">
        <v>2808</v>
      </c>
      <c r="G1074" s="81">
        <v>528950</v>
      </c>
      <c r="H1074" s="81">
        <v>172639</v>
      </c>
      <c r="I1074" s="165" t="s">
        <v>248</v>
      </c>
      <c r="L1074" s="166">
        <v>0</v>
      </c>
      <c r="M1074" s="166">
        <v>1</v>
      </c>
      <c r="N1074" s="166">
        <v>1</v>
      </c>
      <c r="O1074" s="166">
        <v>1</v>
      </c>
      <c r="P1074" s="166">
        <v>1</v>
      </c>
      <c r="R1074" s="165" t="s">
        <v>2809</v>
      </c>
      <c r="S1074" s="81" t="s">
        <v>296</v>
      </c>
      <c r="T1074" s="349">
        <v>42809</v>
      </c>
      <c r="U1074" s="349">
        <v>42865</v>
      </c>
      <c r="V1074" s="81" t="s">
        <v>155</v>
      </c>
      <c r="W1074" s="81" t="s">
        <v>297</v>
      </c>
      <c r="X1074" s="349">
        <v>43068</v>
      </c>
      <c r="Y1074" s="81" t="s">
        <v>115</v>
      </c>
      <c r="Z1074" s="81" t="s">
        <v>398</v>
      </c>
      <c r="AA1074" s="81" t="s">
        <v>117</v>
      </c>
      <c r="AB1074" s="81" t="s">
        <v>218</v>
      </c>
      <c r="AC1074" s="166">
        <v>4.0000001899898104E-3</v>
      </c>
      <c r="AG1074" s="81" t="s">
        <v>238</v>
      </c>
      <c r="AH1074" s="81" t="s">
        <v>118</v>
      </c>
      <c r="AK1074" s="166">
        <v>1</v>
      </c>
      <c r="AM1074" s="166">
        <v>0</v>
      </c>
      <c r="AO1074" s="166">
        <v>0</v>
      </c>
      <c r="AP1074" s="166">
        <v>1</v>
      </c>
      <c r="AQ1074" s="166">
        <v>0</v>
      </c>
      <c r="AR1074" s="166">
        <v>0</v>
      </c>
      <c r="AS1074" s="166">
        <v>0</v>
      </c>
      <c r="AT1074" s="166">
        <v>0</v>
      </c>
      <c r="AU1074" s="166">
        <v>0</v>
      </c>
      <c r="AV1074" s="166">
        <v>0</v>
      </c>
      <c r="AW1074" s="166">
        <v>1</v>
      </c>
      <c r="AX1074" s="166">
        <v>0</v>
      </c>
      <c r="AY1074" s="166">
        <v>0</v>
      </c>
      <c r="AZ1074" s="166">
        <v>0</v>
      </c>
      <c r="BA1074" s="166">
        <v>0</v>
      </c>
      <c r="BB1074" s="166">
        <v>0</v>
      </c>
      <c r="BC1074" s="166">
        <v>0</v>
      </c>
      <c r="BD1074" s="166">
        <v>0</v>
      </c>
      <c r="BE1074" s="166">
        <v>0</v>
      </c>
      <c r="BF1074" s="166">
        <v>0</v>
      </c>
      <c r="BG1074" s="166">
        <v>0</v>
      </c>
      <c r="BH1074" s="166">
        <v>0</v>
      </c>
      <c r="BI1074" s="166">
        <v>0</v>
      </c>
      <c r="BJ1074" s="166">
        <v>0</v>
      </c>
      <c r="BK1074" s="166">
        <v>0</v>
      </c>
      <c r="BL1074" s="166">
        <v>0</v>
      </c>
      <c r="BM1074" s="166">
        <v>0</v>
      </c>
      <c r="BN1074" s="166">
        <v>0</v>
      </c>
      <c r="BO1074" s="166">
        <v>0</v>
      </c>
      <c r="BP1074" s="166">
        <v>0</v>
      </c>
      <c r="BQ1074" s="81" t="s">
        <v>1757</v>
      </c>
      <c r="BZ1074" s="81" t="s">
        <v>155</v>
      </c>
      <c r="CA1074" s="81" t="s">
        <v>1937</v>
      </c>
      <c r="CC1074" s="167">
        <v>0</v>
      </c>
      <c r="CD1074" s="167">
        <f>$N1074/4</f>
        <v>0.25</v>
      </c>
      <c r="CE1074" s="167">
        <f>$N1074/4</f>
        <v>0.25</v>
      </c>
      <c r="CF1074" s="167">
        <f>$N1074/4</f>
        <v>0.25</v>
      </c>
      <c r="CG1074" s="167">
        <f>$N1074/4</f>
        <v>0.25</v>
      </c>
      <c r="CH1074" s="167">
        <v>0</v>
      </c>
      <c r="CI1074" s="167">
        <v>0</v>
      </c>
      <c r="CJ1074" s="167">
        <v>0</v>
      </c>
      <c r="CK1074" s="167">
        <v>0</v>
      </c>
      <c r="CL1074" s="167">
        <v>0</v>
      </c>
      <c r="CM1074" s="167">
        <v>0</v>
      </c>
      <c r="CN1074" s="167">
        <v>0</v>
      </c>
      <c r="CO1074" s="167">
        <v>0</v>
      </c>
      <c r="CP1074" s="167">
        <v>0</v>
      </c>
      <c r="CQ1074" s="167">
        <v>0</v>
      </c>
      <c r="CR1074" s="167">
        <v>0</v>
      </c>
      <c r="CS1074" s="167">
        <v>0</v>
      </c>
      <c r="CT1074" s="167">
        <v>0</v>
      </c>
      <c r="CU1074" s="167">
        <v>0</v>
      </c>
      <c r="CV1074" s="167">
        <v>0</v>
      </c>
      <c r="CW1074" s="167">
        <v>0</v>
      </c>
      <c r="CX1074" s="167">
        <f>SUM(CD1074:CH1074)</f>
        <v>1</v>
      </c>
      <c r="CY1074" s="167">
        <f>SUM(CD1074:CM1074)</f>
        <v>1</v>
      </c>
    </row>
    <row r="1075" spans="1:103" ht="12.75" customHeight="1" x14ac:dyDescent="0.2">
      <c r="A1075" s="81">
        <v>6545</v>
      </c>
      <c r="B1075" s="165" t="s">
        <v>1930</v>
      </c>
      <c r="C1075" s="165" t="s">
        <v>2811</v>
      </c>
      <c r="E1075" s="165" t="s">
        <v>2812</v>
      </c>
      <c r="G1075" s="81">
        <v>527162</v>
      </c>
      <c r="H1075" s="81">
        <v>171611</v>
      </c>
      <c r="I1075" s="165" t="s">
        <v>242</v>
      </c>
      <c r="L1075" s="166">
        <v>0</v>
      </c>
      <c r="M1075" s="166">
        <v>2</v>
      </c>
      <c r="N1075" s="166">
        <v>2</v>
      </c>
      <c r="O1075" s="166">
        <v>2</v>
      </c>
      <c r="P1075" s="166">
        <v>2</v>
      </c>
      <c r="R1075" s="165" t="s">
        <v>2813</v>
      </c>
      <c r="S1075" s="81" t="s">
        <v>110</v>
      </c>
      <c r="T1075" s="349">
        <v>42898</v>
      </c>
      <c r="U1075" s="349">
        <v>42954</v>
      </c>
      <c r="V1075" s="81" t="s">
        <v>155</v>
      </c>
      <c r="W1075" s="81" t="s">
        <v>114</v>
      </c>
      <c r="Y1075" s="81" t="s">
        <v>115</v>
      </c>
      <c r="Z1075" s="81" t="s">
        <v>310</v>
      </c>
      <c r="AA1075" s="81" t="s">
        <v>117</v>
      </c>
      <c r="AB1075" s="81" t="s">
        <v>102</v>
      </c>
      <c r="AC1075" s="166">
        <v>9.9999997764825804E-3</v>
      </c>
      <c r="AG1075" s="81" t="s">
        <v>238</v>
      </c>
      <c r="AH1075" s="81" t="s">
        <v>118</v>
      </c>
      <c r="AK1075" s="166">
        <v>0</v>
      </c>
      <c r="AM1075" s="166">
        <v>0</v>
      </c>
      <c r="AO1075" s="166">
        <v>1</v>
      </c>
      <c r="AP1075" s="166">
        <v>1</v>
      </c>
      <c r="AQ1075" s="166">
        <v>0</v>
      </c>
      <c r="AR1075" s="166">
        <v>0</v>
      </c>
      <c r="AS1075" s="166">
        <v>0</v>
      </c>
      <c r="AT1075" s="166">
        <v>0</v>
      </c>
      <c r="AU1075" s="166">
        <v>0</v>
      </c>
      <c r="AV1075" s="166">
        <v>1</v>
      </c>
      <c r="AW1075" s="166">
        <v>1</v>
      </c>
      <c r="AX1075" s="166">
        <v>0</v>
      </c>
      <c r="AY1075" s="166">
        <v>0</v>
      </c>
      <c r="AZ1075" s="166">
        <v>0</v>
      </c>
      <c r="BA1075" s="166">
        <v>0</v>
      </c>
      <c r="BB1075" s="166">
        <v>0</v>
      </c>
      <c r="BC1075" s="166">
        <v>0</v>
      </c>
      <c r="BD1075" s="166">
        <v>0</v>
      </c>
      <c r="BE1075" s="166">
        <v>0</v>
      </c>
      <c r="BF1075" s="166">
        <v>0</v>
      </c>
      <c r="BG1075" s="166">
        <v>0</v>
      </c>
      <c r="BH1075" s="166">
        <v>0</v>
      </c>
      <c r="BI1075" s="166">
        <v>0</v>
      </c>
      <c r="BJ1075" s="166">
        <v>0</v>
      </c>
      <c r="BK1075" s="166">
        <v>0</v>
      </c>
      <c r="BL1075" s="166">
        <v>0</v>
      </c>
      <c r="BM1075" s="166">
        <v>0</v>
      </c>
      <c r="BN1075" s="166">
        <v>0</v>
      </c>
      <c r="BO1075" s="166">
        <v>0</v>
      </c>
      <c r="BP1075" s="166">
        <v>0</v>
      </c>
      <c r="BQ1075" s="81" t="s">
        <v>1757</v>
      </c>
      <c r="BZ1075" s="81" t="s">
        <v>155</v>
      </c>
      <c r="CA1075" s="81" t="s">
        <v>1937</v>
      </c>
      <c r="CC1075" s="167">
        <v>0</v>
      </c>
      <c r="CD1075" s="167">
        <f>$N1075/4</f>
        <v>0.5</v>
      </c>
      <c r="CE1075" s="167">
        <f>$N1075/4</f>
        <v>0.5</v>
      </c>
      <c r="CF1075" s="167">
        <f>$N1075/4</f>
        <v>0.5</v>
      </c>
      <c r="CG1075" s="167">
        <f>$N1075/4</f>
        <v>0.5</v>
      </c>
      <c r="CH1075" s="167">
        <v>0</v>
      </c>
      <c r="CI1075" s="167">
        <v>0</v>
      </c>
      <c r="CJ1075" s="167">
        <v>0</v>
      </c>
      <c r="CK1075" s="167">
        <v>0</v>
      </c>
      <c r="CL1075" s="167">
        <v>0</v>
      </c>
      <c r="CM1075" s="167">
        <v>0</v>
      </c>
      <c r="CN1075" s="167">
        <v>0</v>
      </c>
      <c r="CO1075" s="167">
        <v>0</v>
      </c>
      <c r="CP1075" s="167">
        <v>0</v>
      </c>
      <c r="CQ1075" s="167">
        <v>0</v>
      </c>
      <c r="CR1075" s="167">
        <v>0</v>
      </c>
      <c r="CS1075" s="167">
        <v>0</v>
      </c>
      <c r="CT1075" s="167">
        <v>0</v>
      </c>
      <c r="CU1075" s="167">
        <v>0</v>
      </c>
      <c r="CV1075" s="167">
        <v>0</v>
      </c>
      <c r="CW1075" s="167">
        <v>0</v>
      </c>
      <c r="CX1075" s="167">
        <f>SUM(CD1075:CH1075)</f>
        <v>2</v>
      </c>
      <c r="CY1075" s="167">
        <f>SUM(CD1075:CM1075)</f>
        <v>2</v>
      </c>
    </row>
    <row r="1076" spans="1:103" ht="12.75" customHeight="1" x14ac:dyDescent="0.2">
      <c r="A1076" s="81">
        <v>6545</v>
      </c>
      <c r="B1076" s="165" t="s">
        <v>1930</v>
      </c>
      <c r="C1076" s="165" t="s">
        <v>2828</v>
      </c>
      <c r="E1076" s="165" t="s">
        <v>2812</v>
      </c>
      <c r="G1076" s="81">
        <v>527162</v>
      </c>
      <c r="H1076" s="81">
        <v>171611</v>
      </c>
      <c r="I1076" s="165" t="s">
        <v>242</v>
      </c>
      <c r="L1076" s="166">
        <v>1</v>
      </c>
      <c r="M1076" s="166">
        <v>2</v>
      </c>
      <c r="N1076" s="166">
        <v>1</v>
      </c>
      <c r="O1076" s="166">
        <v>2</v>
      </c>
      <c r="P1076" s="166">
        <v>1</v>
      </c>
      <c r="R1076" s="165" t="s">
        <v>2829</v>
      </c>
      <c r="S1076" s="81" t="s">
        <v>113</v>
      </c>
      <c r="T1076" s="349">
        <v>42943</v>
      </c>
      <c r="U1076" s="349">
        <v>42999</v>
      </c>
      <c r="V1076" s="81" t="s">
        <v>155</v>
      </c>
      <c r="W1076" s="81" t="s">
        <v>114</v>
      </c>
      <c r="Y1076" s="81" t="s">
        <v>115</v>
      </c>
      <c r="Z1076" s="81" t="s">
        <v>119</v>
      </c>
      <c r="AA1076" s="81" t="s">
        <v>117</v>
      </c>
      <c r="AB1076" s="81" t="s">
        <v>220</v>
      </c>
      <c r="AC1076" s="166">
        <v>4.0000001899898104E-3</v>
      </c>
      <c r="AG1076" s="81" t="s">
        <v>238</v>
      </c>
      <c r="AH1076" s="81" t="s">
        <v>118</v>
      </c>
      <c r="AK1076" s="166">
        <v>0</v>
      </c>
      <c r="AM1076" s="166">
        <v>0</v>
      </c>
      <c r="AO1076" s="166">
        <v>1</v>
      </c>
      <c r="AP1076" s="166">
        <v>1</v>
      </c>
      <c r="AQ1076" s="166">
        <v>0</v>
      </c>
      <c r="AR1076" s="166">
        <v>-1</v>
      </c>
      <c r="AS1076" s="166">
        <v>0</v>
      </c>
      <c r="AT1076" s="166">
        <v>0</v>
      </c>
      <c r="AU1076" s="166">
        <v>0</v>
      </c>
      <c r="AV1076" s="166">
        <v>1</v>
      </c>
      <c r="AW1076" s="166">
        <v>1</v>
      </c>
      <c r="AX1076" s="166">
        <v>0</v>
      </c>
      <c r="AY1076" s="166">
        <v>-1</v>
      </c>
      <c r="AZ1076" s="166">
        <v>0</v>
      </c>
      <c r="BA1076" s="166">
        <v>0</v>
      </c>
      <c r="BB1076" s="166">
        <v>0</v>
      </c>
      <c r="BC1076" s="166">
        <v>0</v>
      </c>
      <c r="BD1076" s="166">
        <v>0</v>
      </c>
      <c r="BE1076" s="166">
        <v>0</v>
      </c>
      <c r="BF1076" s="166">
        <v>0</v>
      </c>
      <c r="BG1076" s="166">
        <v>0</v>
      </c>
      <c r="BH1076" s="166">
        <v>0</v>
      </c>
      <c r="BI1076" s="166">
        <v>0</v>
      </c>
      <c r="BJ1076" s="166">
        <v>0</v>
      </c>
      <c r="BK1076" s="166">
        <v>0</v>
      </c>
      <c r="BL1076" s="166">
        <v>0</v>
      </c>
      <c r="BM1076" s="166">
        <v>0</v>
      </c>
      <c r="BN1076" s="166">
        <v>0</v>
      </c>
      <c r="BO1076" s="166">
        <v>0</v>
      </c>
      <c r="BP1076" s="166">
        <v>0</v>
      </c>
      <c r="BQ1076" s="81" t="s">
        <v>1757</v>
      </c>
      <c r="BZ1076" s="81" t="s">
        <v>155</v>
      </c>
      <c r="CA1076" s="81" t="s">
        <v>1937</v>
      </c>
      <c r="CC1076" s="167">
        <v>0</v>
      </c>
      <c r="CD1076" s="167">
        <f>$N1076/4</f>
        <v>0.25</v>
      </c>
      <c r="CE1076" s="167">
        <f>$N1076/4</f>
        <v>0.25</v>
      </c>
      <c r="CF1076" s="167">
        <f>$N1076/4</f>
        <v>0.25</v>
      </c>
      <c r="CG1076" s="167">
        <f>$N1076/4</f>
        <v>0.25</v>
      </c>
      <c r="CH1076" s="167">
        <v>0</v>
      </c>
      <c r="CI1076" s="167">
        <v>0</v>
      </c>
      <c r="CJ1076" s="167">
        <v>0</v>
      </c>
      <c r="CK1076" s="167">
        <v>0</v>
      </c>
      <c r="CL1076" s="167">
        <v>0</v>
      </c>
      <c r="CM1076" s="167">
        <v>0</v>
      </c>
      <c r="CN1076" s="167">
        <v>0</v>
      </c>
      <c r="CO1076" s="167">
        <v>0</v>
      </c>
      <c r="CP1076" s="167">
        <v>0</v>
      </c>
      <c r="CQ1076" s="167">
        <v>0</v>
      </c>
      <c r="CR1076" s="167">
        <v>0</v>
      </c>
      <c r="CS1076" s="167">
        <v>0</v>
      </c>
      <c r="CT1076" s="167">
        <v>0</v>
      </c>
      <c r="CU1076" s="167">
        <v>0</v>
      </c>
      <c r="CV1076" s="167">
        <v>0</v>
      </c>
      <c r="CW1076" s="167">
        <v>0</v>
      </c>
      <c r="CX1076" s="167">
        <f>SUM(CD1076:CH1076)</f>
        <v>1</v>
      </c>
      <c r="CY1076" s="167">
        <f>SUM(CD1076:CM1076)</f>
        <v>1</v>
      </c>
    </row>
    <row r="1077" spans="1:103" ht="12.75" customHeight="1" x14ac:dyDescent="0.2">
      <c r="A1077" s="81">
        <v>6553</v>
      </c>
      <c r="B1077" s="165" t="s">
        <v>1930</v>
      </c>
      <c r="C1077" s="165" t="s">
        <v>2842</v>
      </c>
      <c r="E1077" s="165" t="s">
        <v>2843</v>
      </c>
      <c r="G1077" s="81">
        <v>525441</v>
      </c>
      <c r="H1077" s="81">
        <v>172855</v>
      </c>
      <c r="I1077" s="165" t="s">
        <v>258</v>
      </c>
      <c r="L1077" s="166">
        <v>0</v>
      </c>
      <c r="M1077" s="166">
        <v>1</v>
      </c>
      <c r="N1077" s="166">
        <v>1</v>
      </c>
      <c r="O1077" s="166">
        <v>1</v>
      </c>
      <c r="P1077" s="166">
        <v>1</v>
      </c>
      <c r="R1077" s="165" t="s">
        <v>2844</v>
      </c>
      <c r="S1077" s="81" t="s">
        <v>110</v>
      </c>
      <c r="T1077" s="349">
        <v>42858</v>
      </c>
      <c r="U1077" s="349">
        <v>42900</v>
      </c>
      <c r="V1077" s="81" t="s">
        <v>155</v>
      </c>
      <c r="W1077" s="81" t="s">
        <v>114</v>
      </c>
      <c r="Y1077" s="81" t="s">
        <v>115</v>
      </c>
      <c r="Z1077" s="81" t="s">
        <v>310</v>
      </c>
      <c r="AA1077" s="81" t="s">
        <v>117</v>
      </c>
      <c r="AB1077" s="81" t="s">
        <v>102</v>
      </c>
      <c r="AC1077" s="166">
        <v>1.4000000432133701E-2</v>
      </c>
      <c r="AG1077" s="81" t="s">
        <v>238</v>
      </c>
      <c r="AH1077" s="81" t="s">
        <v>118</v>
      </c>
      <c r="AK1077" s="166">
        <v>0</v>
      </c>
      <c r="AM1077" s="166">
        <v>0</v>
      </c>
      <c r="AO1077" s="166">
        <v>0</v>
      </c>
      <c r="AP1077" s="166">
        <v>0</v>
      </c>
      <c r="AQ1077" s="166">
        <v>1</v>
      </c>
      <c r="AR1077" s="166">
        <v>0</v>
      </c>
      <c r="AS1077" s="166">
        <v>0</v>
      </c>
      <c r="AT1077" s="166">
        <v>0</v>
      </c>
      <c r="AU1077" s="166">
        <v>0</v>
      </c>
      <c r="AV1077" s="166">
        <v>0</v>
      </c>
      <c r="AW1077" s="166">
        <v>0</v>
      </c>
      <c r="AX1077" s="166">
        <v>1</v>
      </c>
      <c r="AY1077" s="166">
        <v>0</v>
      </c>
      <c r="AZ1077" s="166">
        <v>0</v>
      </c>
      <c r="BA1077" s="166">
        <v>0</v>
      </c>
      <c r="BB1077" s="166">
        <v>0</v>
      </c>
      <c r="BC1077" s="166">
        <v>0</v>
      </c>
      <c r="BD1077" s="166">
        <v>0</v>
      </c>
      <c r="BE1077" s="166">
        <v>0</v>
      </c>
      <c r="BF1077" s="166">
        <v>0</v>
      </c>
      <c r="BG1077" s="166">
        <v>0</v>
      </c>
      <c r="BH1077" s="166">
        <v>0</v>
      </c>
      <c r="BI1077" s="166">
        <v>0</v>
      </c>
      <c r="BJ1077" s="166">
        <v>0</v>
      </c>
      <c r="BK1077" s="166">
        <v>0</v>
      </c>
      <c r="BL1077" s="166">
        <v>0</v>
      </c>
      <c r="BM1077" s="166">
        <v>0</v>
      </c>
      <c r="BN1077" s="166">
        <v>0</v>
      </c>
      <c r="BO1077" s="166">
        <v>0</v>
      </c>
      <c r="BP1077" s="166">
        <v>0</v>
      </c>
      <c r="BQ1077" s="81" t="s">
        <v>1758</v>
      </c>
      <c r="BY1077" s="81" t="s">
        <v>155</v>
      </c>
      <c r="BZ1077" s="81" t="s">
        <v>155</v>
      </c>
      <c r="CA1077" s="81" t="s">
        <v>1937</v>
      </c>
      <c r="CC1077" s="167">
        <v>0</v>
      </c>
      <c r="CD1077" s="167">
        <f>$N1077/4</f>
        <v>0.25</v>
      </c>
      <c r="CE1077" s="167">
        <f>$N1077/4</f>
        <v>0.25</v>
      </c>
      <c r="CF1077" s="167">
        <f>$N1077/4</f>
        <v>0.25</v>
      </c>
      <c r="CG1077" s="167">
        <f>$N1077/4</f>
        <v>0.25</v>
      </c>
      <c r="CH1077" s="167">
        <v>0</v>
      </c>
      <c r="CI1077" s="167">
        <v>0</v>
      </c>
      <c r="CJ1077" s="167">
        <v>0</v>
      </c>
      <c r="CK1077" s="167">
        <v>0</v>
      </c>
      <c r="CL1077" s="167">
        <v>0</v>
      </c>
      <c r="CM1077" s="167">
        <v>0</v>
      </c>
      <c r="CN1077" s="167">
        <v>0</v>
      </c>
      <c r="CO1077" s="167">
        <v>0</v>
      </c>
      <c r="CP1077" s="167">
        <v>0</v>
      </c>
      <c r="CQ1077" s="167">
        <v>0</v>
      </c>
      <c r="CR1077" s="167">
        <v>0</v>
      </c>
      <c r="CS1077" s="167">
        <v>0</v>
      </c>
      <c r="CT1077" s="167">
        <v>0</v>
      </c>
      <c r="CU1077" s="167">
        <v>0</v>
      </c>
      <c r="CV1077" s="167">
        <v>0</v>
      </c>
      <c r="CW1077" s="167">
        <v>0</v>
      </c>
      <c r="CX1077" s="167">
        <f>SUM(CD1077:CH1077)</f>
        <v>1</v>
      </c>
      <c r="CY1077" s="167">
        <f>SUM(CD1077:CM1077)</f>
        <v>1</v>
      </c>
    </row>
    <row r="1078" spans="1:103" ht="12.75" customHeight="1" x14ac:dyDescent="0.2">
      <c r="A1078" s="81">
        <v>6563</v>
      </c>
      <c r="B1078" s="165" t="s">
        <v>1930</v>
      </c>
      <c r="C1078" s="165" t="s">
        <v>3448</v>
      </c>
      <c r="E1078" s="165" t="s">
        <v>3449</v>
      </c>
      <c r="G1078" s="81">
        <v>526668</v>
      </c>
      <c r="H1078" s="81">
        <v>176335</v>
      </c>
      <c r="I1078" s="165" t="s">
        <v>257</v>
      </c>
      <c r="L1078" s="166">
        <v>0</v>
      </c>
      <c r="M1078" s="166">
        <v>11</v>
      </c>
      <c r="N1078" s="166">
        <v>11</v>
      </c>
      <c r="O1078" s="166">
        <v>11</v>
      </c>
      <c r="P1078" s="166">
        <v>11</v>
      </c>
      <c r="Q1078" s="81" t="s">
        <v>155</v>
      </c>
      <c r="R1078" s="165" t="s">
        <v>3450</v>
      </c>
      <c r="S1078" s="81" t="s">
        <v>270</v>
      </c>
      <c r="T1078" s="349">
        <v>42912</v>
      </c>
      <c r="U1078" s="349">
        <v>42965</v>
      </c>
      <c r="V1078" s="81" t="s">
        <v>155</v>
      </c>
      <c r="W1078" s="81" t="s">
        <v>114</v>
      </c>
      <c r="Y1078" s="81" t="s">
        <v>115</v>
      </c>
      <c r="Z1078" s="81" t="s">
        <v>310</v>
      </c>
      <c r="AA1078" s="81" t="s">
        <v>117</v>
      </c>
      <c r="AB1078" s="81" t="s">
        <v>399</v>
      </c>
      <c r="AC1078" s="166">
        <v>1.7000000923872001E-2</v>
      </c>
      <c r="AG1078" s="81" t="s">
        <v>238</v>
      </c>
      <c r="AH1078" s="81" t="s">
        <v>118</v>
      </c>
      <c r="AK1078" s="166">
        <v>0</v>
      </c>
      <c r="AM1078" s="166">
        <v>0</v>
      </c>
      <c r="AO1078" s="166">
        <v>0</v>
      </c>
      <c r="AP1078" s="166">
        <v>4</v>
      </c>
      <c r="AQ1078" s="166">
        <v>3</v>
      </c>
      <c r="AR1078" s="166">
        <v>4</v>
      </c>
      <c r="AS1078" s="166">
        <v>0</v>
      </c>
      <c r="AT1078" s="166">
        <v>0</v>
      </c>
      <c r="AU1078" s="166">
        <v>0</v>
      </c>
      <c r="AV1078" s="166">
        <v>0</v>
      </c>
      <c r="AW1078" s="166">
        <v>4</v>
      </c>
      <c r="AX1078" s="166">
        <v>3</v>
      </c>
      <c r="AY1078" s="166">
        <v>4</v>
      </c>
      <c r="AZ1078" s="166">
        <v>0</v>
      </c>
      <c r="BA1078" s="166">
        <v>0</v>
      </c>
      <c r="BB1078" s="166">
        <v>0</v>
      </c>
      <c r="BC1078" s="166">
        <v>0</v>
      </c>
      <c r="BD1078" s="166">
        <v>0</v>
      </c>
      <c r="BE1078" s="166">
        <v>0</v>
      </c>
      <c r="BF1078" s="166">
        <v>0</v>
      </c>
      <c r="BG1078" s="166">
        <v>0</v>
      </c>
      <c r="BH1078" s="166">
        <v>0</v>
      </c>
      <c r="BI1078" s="166">
        <v>0</v>
      </c>
      <c r="BJ1078" s="166">
        <v>0</v>
      </c>
      <c r="BK1078" s="166">
        <v>0</v>
      </c>
      <c r="BL1078" s="166">
        <v>0</v>
      </c>
      <c r="BM1078" s="166">
        <v>0</v>
      </c>
      <c r="BN1078" s="166">
        <v>0</v>
      </c>
      <c r="BO1078" s="166">
        <v>0</v>
      </c>
      <c r="BP1078" s="166">
        <v>0</v>
      </c>
      <c r="BQ1078" s="81" t="s">
        <v>1757</v>
      </c>
      <c r="BX1078" s="81" t="s">
        <v>155</v>
      </c>
      <c r="BZ1078" s="81" t="s">
        <v>155</v>
      </c>
      <c r="CA1078" s="81" t="s">
        <v>3972</v>
      </c>
      <c r="CC1078" s="167">
        <v>0</v>
      </c>
      <c r="CD1078" s="167">
        <f>$N1078/4</f>
        <v>2.75</v>
      </c>
      <c r="CE1078" s="167">
        <f>$N1078/4</f>
        <v>2.75</v>
      </c>
      <c r="CF1078" s="167">
        <f>$N1078/4</f>
        <v>2.75</v>
      </c>
      <c r="CG1078" s="167">
        <f>$N1078/4</f>
        <v>2.75</v>
      </c>
      <c r="CH1078" s="167">
        <v>0</v>
      </c>
      <c r="CI1078" s="167">
        <v>0</v>
      </c>
      <c r="CJ1078" s="167">
        <v>0</v>
      </c>
      <c r="CK1078" s="167">
        <v>0</v>
      </c>
      <c r="CL1078" s="167">
        <v>0</v>
      </c>
      <c r="CM1078" s="167">
        <v>0</v>
      </c>
      <c r="CN1078" s="167">
        <v>0</v>
      </c>
      <c r="CO1078" s="167">
        <v>0</v>
      </c>
      <c r="CP1078" s="167">
        <v>0</v>
      </c>
      <c r="CQ1078" s="167">
        <v>0</v>
      </c>
      <c r="CR1078" s="167">
        <v>0</v>
      </c>
      <c r="CS1078" s="167">
        <v>0</v>
      </c>
      <c r="CT1078" s="167">
        <v>0</v>
      </c>
      <c r="CU1078" s="167">
        <v>0</v>
      </c>
      <c r="CV1078" s="167">
        <v>0</v>
      </c>
      <c r="CW1078" s="167">
        <v>0</v>
      </c>
      <c r="CX1078" s="167">
        <f>SUM(CD1078:CH1078)</f>
        <v>11</v>
      </c>
      <c r="CY1078" s="167">
        <f>SUM(CD1078:CM1078)</f>
        <v>11</v>
      </c>
    </row>
    <row r="1079" spans="1:103" ht="12.75" customHeight="1" x14ac:dyDescent="0.2">
      <c r="A1079" s="81">
        <v>6564</v>
      </c>
      <c r="B1079" s="165" t="s">
        <v>1930</v>
      </c>
      <c r="C1079" s="165" t="s">
        <v>3451</v>
      </c>
      <c r="E1079" s="165" t="s">
        <v>3452</v>
      </c>
      <c r="G1079" s="81">
        <v>524601</v>
      </c>
      <c r="H1079" s="81">
        <v>175314</v>
      </c>
      <c r="I1079" s="165" t="s">
        <v>259</v>
      </c>
      <c r="L1079" s="166">
        <v>0</v>
      </c>
      <c r="M1079" s="166">
        <v>15</v>
      </c>
      <c r="N1079" s="166">
        <v>15</v>
      </c>
      <c r="O1079" s="166">
        <v>15</v>
      </c>
      <c r="P1079" s="166">
        <v>15</v>
      </c>
      <c r="Q1079" s="81" t="s">
        <v>155</v>
      </c>
      <c r="R1079" s="165" t="s">
        <v>3453</v>
      </c>
      <c r="S1079" s="81" t="s">
        <v>110</v>
      </c>
      <c r="T1079" s="349">
        <v>42950</v>
      </c>
      <c r="U1079" s="349">
        <v>43005</v>
      </c>
      <c r="V1079" s="81" t="s">
        <v>155</v>
      </c>
      <c r="W1079" s="81" t="s">
        <v>114</v>
      </c>
      <c r="Y1079" s="81" t="s">
        <v>115</v>
      </c>
      <c r="Z1079" s="81" t="s">
        <v>310</v>
      </c>
      <c r="AA1079" s="81" t="s">
        <v>1764</v>
      </c>
      <c r="AB1079" s="81" t="s">
        <v>117</v>
      </c>
      <c r="AC1079" s="166">
        <v>3.0999999493360499E-2</v>
      </c>
      <c r="AG1079" s="81" t="s">
        <v>238</v>
      </c>
      <c r="AH1079" s="81" t="s">
        <v>118</v>
      </c>
      <c r="AK1079" s="166">
        <v>0</v>
      </c>
      <c r="AM1079" s="166">
        <v>0</v>
      </c>
      <c r="AO1079" s="166">
        <v>0</v>
      </c>
      <c r="AP1079" s="166">
        <v>12</v>
      </c>
      <c r="AQ1079" s="166">
        <v>3</v>
      </c>
      <c r="AR1079" s="166">
        <v>0</v>
      </c>
      <c r="AS1079" s="166">
        <v>0</v>
      </c>
      <c r="AT1079" s="166">
        <v>0</v>
      </c>
      <c r="AU1079" s="166">
        <v>0</v>
      </c>
      <c r="AV1079" s="166">
        <v>0</v>
      </c>
      <c r="AW1079" s="166">
        <v>12</v>
      </c>
      <c r="AX1079" s="166">
        <v>3</v>
      </c>
      <c r="AY1079" s="166">
        <v>0</v>
      </c>
      <c r="AZ1079" s="166">
        <v>0</v>
      </c>
      <c r="BA1079" s="166">
        <v>0</v>
      </c>
      <c r="BB1079" s="166">
        <v>0</v>
      </c>
      <c r="BC1079" s="166">
        <v>0</v>
      </c>
      <c r="BD1079" s="166">
        <v>0</v>
      </c>
      <c r="BE1079" s="166">
        <v>0</v>
      </c>
      <c r="BF1079" s="166">
        <v>0</v>
      </c>
      <c r="BG1079" s="166">
        <v>0</v>
      </c>
      <c r="BH1079" s="166">
        <v>0</v>
      </c>
      <c r="BI1079" s="166">
        <v>0</v>
      </c>
      <c r="BJ1079" s="166">
        <v>0</v>
      </c>
      <c r="BK1079" s="166">
        <v>0</v>
      </c>
      <c r="BL1079" s="166">
        <v>0</v>
      </c>
      <c r="BM1079" s="166">
        <v>0</v>
      </c>
      <c r="BN1079" s="166">
        <v>0</v>
      </c>
      <c r="BO1079" s="166">
        <v>0</v>
      </c>
      <c r="BP1079" s="166">
        <v>0</v>
      </c>
      <c r="BQ1079" s="81" t="s">
        <v>1758</v>
      </c>
      <c r="BX1079" s="81" t="s">
        <v>155</v>
      </c>
      <c r="BZ1079" s="81" t="s">
        <v>155</v>
      </c>
      <c r="CA1079" s="81" t="s">
        <v>3972</v>
      </c>
      <c r="CC1079" s="167">
        <v>0</v>
      </c>
      <c r="CD1079" s="167">
        <f>$N1079/4</f>
        <v>3.75</v>
      </c>
      <c r="CE1079" s="167">
        <f>$N1079/4</f>
        <v>3.75</v>
      </c>
      <c r="CF1079" s="167">
        <f>$N1079/4</f>
        <v>3.75</v>
      </c>
      <c r="CG1079" s="167">
        <f>$N1079/4</f>
        <v>3.75</v>
      </c>
      <c r="CH1079" s="167">
        <v>0</v>
      </c>
      <c r="CI1079" s="167">
        <v>0</v>
      </c>
      <c r="CJ1079" s="167">
        <v>0</v>
      </c>
      <c r="CK1079" s="167">
        <v>0</v>
      </c>
      <c r="CL1079" s="167">
        <v>0</v>
      </c>
      <c r="CM1079" s="167">
        <v>0</v>
      </c>
      <c r="CN1079" s="167">
        <v>0</v>
      </c>
      <c r="CO1079" s="167">
        <v>0</v>
      </c>
      <c r="CP1079" s="167">
        <v>0</v>
      </c>
      <c r="CQ1079" s="167">
        <v>0</v>
      </c>
      <c r="CR1079" s="167">
        <v>0</v>
      </c>
      <c r="CS1079" s="167">
        <v>0</v>
      </c>
      <c r="CT1079" s="167">
        <v>0</v>
      </c>
      <c r="CU1079" s="167">
        <v>0</v>
      </c>
      <c r="CV1079" s="167">
        <v>0</v>
      </c>
      <c r="CW1079" s="167">
        <v>0</v>
      </c>
      <c r="CX1079" s="167">
        <f>SUM(CD1079:CH1079)</f>
        <v>15</v>
      </c>
      <c r="CY1079" s="167">
        <f>SUM(CD1079:CM1079)</f>
        <v>15</v>
      </c>
    </row>
    <row r="1080" spans="1:103" ht="12.75" customHeight="1" x14ac:dyDescent="0.2">
      <c r="A1080" s="81">
        <v>6565</v>
      </c>
      <c r="B1080" s="165" t="s">
        <v>1930</v>
      </c>
      <c r="C1080" s="165" t="s">
        <v>2814</v>
      </c>
      <c r="E1080" s="165" t="s">
        <v>2815</v>
      </c>
      <c r="G1080" s="81">
        <v>524133</v>
      </c>
      <c r="H1080" s="81">
        <v>175006</v>
      </c>
      <c r="I1080" s="165" t="s">
        <v>259</v>
      </c>
      <c r="L1080" s="166">
        <v>0</v>
      </c>
      <c r="M1080" s="166">
        <v>5</v>
      </c>
      <c r="N1080" s="166">
        <v>5</v>
      </c>
      <c r="O1080" s="166">
        <v>5</v>
      </c>
      <c r="P1080" s="166">
        <v>5</v>
      </c>
      <c r="R1080" s="165" t="s">
        <v>2816</v>
      </c>
      <c r="S1080" s="81" t="s">
        <v>113</v>
      </c>
      <c r="T1080" s="349">
        <v>42835</v>
      </c>
      <c r="U1080" s="349">
        <v>42912</v>
      </c>
      <c r="V1080" s="81" t="s">
        <v>155</v>
      </c>
      <c r="W1080" s="81" t="s">
        <v>114</v>
      </c>
      <c r="Y1080" s="81" t="s">
        <v>115</v>
      </c>
      <c r="Z1080" s="81" t="s">
        <v>116</v>
      </c>
      <c r="AA1080" s="81" t="s">
        <v>117</v>
      </c>
      <c r="AB1080" s="81" t="s">
        <v>218</v>
      </c>
      <c r="AC1080" s="166">
        <v>9.9999997764825804E-3</v>
      </c>
      <c r="AG1080" s="81" t="s">
        <v>238</v>
      </c>
      <c r="AH1080" s="81" t="s">
        <v>118</v>
      </c>
      <c r="AK1080" s="166">
        <v>0</v>
      </c>
      <c r="AM1080" s="166">
        <v>0</v>
      </c>
      <c r="AO1080" s="166">
        <v>0</v>
      </c>
      <c r="AP1080" s="166">
        <v>0</v>
      </c>
      <c r="AQ1080" s="166">
        <v>5</v>
      </c>
      <c r="AR1080" s="166">
        <v>0</v>
      </c>
      <c r="AS1080" s="166">
        <v>0</v>
      </c>
      <c r="AT1080" s="166">
        <v>0</v>
      </c>
      <c r="AU1080" s="166">
        <v>0</v>
      </c>
      <c r="AV1080" s="166">
        <v>0</v>
      </c>
      <c r="AW1080" s="166">
        <v>0</v>
      </c>
      <c r="AX1080" s="166">
        <v>5</v>
      </c>
      <c r="AY1080" s="166">
        <v>0</v>
      </c>
      <c r="AZ1080" s="166">
        <v>0</v>
      </c>
      <c r="BA1080" s="166">
        <v>0</v>
      </c>
      <c r="BB1080" s="166">
        <v>0</v>
      </c>
      <c r="BC1080" s="166">
        <v>0</v>
      </c>
      <c r="BD1080" s="166">
        <v>0</v>
      </c>
      <c r="BE1080" s="166">
        <v>0</v>
      </c>
      <c r="BF1080" s="166">
        <v>0</v>
      </c>
      <c r="BG1080" s="166">
        <v>0</v>
      </c>
      <c r="BH1080" s="166">
        <v>0</v>
      </c>
      <c r="BI1080" s="166">
        <v>0</v>
      </c>
      <c r="BJ1080" s="166">
        <v>0</v>
      </c>
      <c r="BK1080" s="166">
        <v>0</v>
      </c>
      <c r="BL1080" s="166">
        <v>0</v>
      </c>
      <c r="BM1080" s="166">
        <v>0</v>
      </c>
      <c r="BN1080" s="166">
        <v>0</v>
      </c>
      <c r="BO1080" s="166">
        <v>0</v>
      </c>
      <c r="BP1080" s="166">
        <v>0</v>
      </c>
      <c r="BQ1080" s="81" t="s">
        <v>1758</v>
      </c>
      <c r="BR1080" s="81" t="s">
        <v>161</v>
      </c>
      <c r="BV1080" s="81" t="s">
        <v>155</v>
      </c>
      <c r="BZ1080" s="81" t="s">
        <v>155</v>
      </c>
      <c r="CA1080" s="81">
        <v>4</v>
      </c>
      <c r="CC1080" s="167">
        <v>0</v>
      </c>
      <c r="CD1080" s="167">
        <v>0</v>
      </c>
      <c r="CE1080" s="167">
        <f>$N1080/5</f>
        <v>1</v>
      </c>
      <c r="CF1080" s="167">
        <f>$N1080/5</f>
        <v>1</v>
      </c>
      <c r="CG1080" s="167">
        <f>$N1080/5</f>
        <v>1</v>
      </c>
      <c r="CH1080" s="167">
        <f>$N1080/5</f>
        <v>1</v>
      </c>
      <c r="CI1080" s="167">
        <f>$N1080/5</f>
        <v>1</v>
      </c>
      <c r="CJ1080" s="167">
        <v>0</v>
      </c>
      <c r="CK1080" s="167">
        <v>0</v>
      </c>
      <c r="CL1080" s="167">
        <v>0</v>
      </c>
      <c r="CM1080" s="167">
        <v>0</v>
      </c>
      <c r="CN1080" s="167">
        <v>0</v>
      </c>
      <c r="CO1080" s="167">
        <v>0</v>
      </c>
      <c r="CP1080" s="167">
        <v>0</v>
      </c>
      <c r="CQ1080" s="167">
        <v>0</v>
      </c>
      <c r="CR1080" s="167">
        <v>0</v>
      </c>
      <c r="CS1080" s="167">
        <v>0</v>
      </c>
      <c r="CT1080" s="167">
        <v>0</v>
      </c>
      <c r="CU1080" s="167">
        <v>0</v>
      </c>
      <c r="CV1080" s="167">
        <v>0</v>
      </c>
      <c r="CW1080" s="167">
        <v>0</v>
      </c>
      <c r="CX1080" s="167">
        <f>SUM(CD1080:CH1080)</f>
        <v>4</v>
      </c>
      <c r="CY1080" s="167">
        <f>SUM(CD1080:CM1080)</f>
        <v>5</v>
      </c>
    </row>
    <row r="1081" spans="1:103" ht="12.75" customHeight="1" x14ac:dyDescent="0.2">
      <c r="A1081" s="81">
        <v>6566</v>
      </c>
      <c r="B1081" s="165" t="s">
        <v>1930</v>
      </c>
      <c r="C1081" s="165" t="s">
        <v>2817</v>
      </c>
      <c r="E1081" s="165" t="s">
        <v>2818</v>
      </c>
      <c r="F1081" s="165" t="s">
        <v>1803</v>
      </c>
      <c r="G1081" s="81">
        <v>527021</v>
      </c>
      <c r="H1081" s="81">
        <v>175153</v>
      </c>
      <c r="I1081" s="165" t="s">
        <v>251</v>
      </c>
      <c r="L1081" s="166">
        <v>0</v>
      </c>
      <c r="M1081" s="166">
        <v>1</v>
      </c>
      <c r="N1081" s="166">
        <v>1</v>
      </c>
      <c r="O1081" s="166">
        <v>3</v>
      </c>
      <c r="P1081" s="166">
        <v>1</v>
      </c>
      <c r="R1081" s="165" t="s">
        <v>2819</v>
      </c>
      <c r="S1081" s="81" t="s">
        <v>113</v>
      </c>
      <c r="T1081" s="349">
        <v>43054</v>
      </c>
      <c r="U1081" s="349">
        <v>43164</v>
      </c>
      <c r="V1081" s="81" t="s">
        <v>155</v>
      </c>
      <c r="W1081" s="81" t="s">
        <v>114</v>
      </c>
      <c r="Y1081" s="81" t="s">
        <v>115</v>
      </c>
      <c r="Z1081" s="81" t="s">
        <v>398</v>
      </c>
      <c r="AA1081" s="81" t="s">
        <v>117</v>
      </c>
      <c r="AB1081" s="81" t="s">
        <v>218</v>
      </c>
      <c r="AC1081" s="166">
        <v>2.0000000949949E-3</v>
      </c>
      <c r="AG1081" s="81" t="s">
        <v>238</v>
      </c>
      <c r="AH1081" s="81" t="s">
        <v>118</v>
      </c>
      <c r="AK1081" s="166">
        <v>0</v>
      </c>
      <c r="AM1081" s="166">
        <v>0</v>
      </c>
      <c r="AO1081" s="166">
        <v>0</v>
      </c>
      <c r="AP1081" s="166">
        <v>1</v>
      </c>
      <c r="AQ1081" s="166">
        <v>0</v>
      </c>
      <c r="AR1081" s="166">
        <v>0</v>
      </c>
      <c r="AS1081" s="166">
        <v>0</v>
      </c>
      <c r="AT1081" s="166">
        <v>0</v>
      </c>
      <c r="AU1081" s="166">
        <v>0</v>
      </c>
      <c r="AV1081" s="166">
        <v>0</v>
      </c>
      <c r="AW1081" s="166">
        <v>1</v>
      </c>
      <c r="AX1081" s="166">
        <v>0</v>
      </c>
      <c r="AY1081" s="166">
        <v>0</v>
      </c>
      <c r="AZ1081" s="166">
        <v>0</v>
      </c>
      <c r="BA1081" s="166">
        <v>0</v>
      </c>
      <c r="BB1081" s="166">
        <v>0</v>
      </c>
      <c r="BC1081" s="166">
        <v>0</v>
      </c>
      <c r="BD1081" s="166">
        <v>0</v>
      </c>
      <c r="BE1081" s="166">
        <v>0</v>
      </c>
      <c r="BF1081" s="166">
        <v>0</v>
      </c>
      <c r="BG1081" s="166">
        <v>0</v>
      </c>
      <c r="BH1081" s="166">
        <v>0</v>
      </c>
      <c r="BI1081" s="166">
        <v>0</v>
      </c>
      <c r="BJ1081" s="166">
        <v>0</v>
      </c>
      <c r="BK1081" s="166">
        <v>0</v>
      </c>
      <c r="BL1081" s="166">
        <v>0</v>
      </c>
      <c r="BM1081" s="166">
        <v>0</v>
      </c>
      <c r="BN1081" s="166">
        <v>0</v>
      </c>
      <c r="BO1081" s="166">
        <v>0</v>
      </c>
      <c r="BP1081" s="166">
        <v>0</v>
      </c>
      <c r="BQ1081" s="81" t="s">
        <v>1758</v>
      </c>
      <c r="BZ1081" s="81" t="s">
        <v>155</v>
      </c>
      <c r="CA1081" s="81" t="s">
        <v>1937</v>
      </c>
      <c r="CC1081" s="167">
        <v>0</v>
      </c>
      <c r="CD1081" s="167">
        <f>$N1081/4</f>
        <v>0.25</v>
      </c>
      <c r="CE1081" s="167">
        <f>$N1081/4</f>
        <v>0.25</v>
      </c>
      <c r="CF1081" s="167">
        <f>$N1081/4</f>
        <v>0.25</v>
      </c>
      <c r="CG1081" s="167">
        <f>$N1081/4</f>
        <v>0.25</v>
      </c>
      <c r="CH1081" s="167">
        <v>0</v>
      </c>
      <c r="CI1081" s="167">
        <v>0</v>
      </c>
      <c r="CJ1081" s="167">
        <v>0</v>
      </c>
      <c r="CK1081" s="167">
        <v>0</v>
      </c>
      <c r="CL1081" s="167">
        <v>0</v>
      </c>
      <c r="CM1081" s="167">
        <v>0</v>
      </c>
      <c r="CN1081" s="167">
        <v>0</v>
      </c>
      <c r="CO1081" s="167">
        <v>0</v>
      </c>
      <c r="CP1081" s="167">
        <v>0</v>
      </c>
      <c r="CQ1081" s="167">
        <v>0</v>
      </c>
      <c r="CR1081" s="167">
        <v>0</v>
      </c>
      <c r="CS1081" s="167">
        <v>0</v>
      </c>
      <c r="CT1081" s="167">
        <v>0</v>
      </c>
      <c r="CU1081" s="167">
        <v>0</v>
      </c>
      <c r="CV1081" s="167">
        <v>0</v>
      </c>
      <c r="CW1081" s="167">
        <v>0</v>
      </c>
      <c r="CX1081" s="167">
        <f>SUM(CD1081:CH1081)</f>
        <v>1</v>
      </c>
      <c r="CY1081" s="167">
        <f>SUM(CD1081:CM1081)</f>
        <v>1</v>
      </c>
    </row>
    <row r="1082" spans="1:103" ht="12.75" customHeight="1" x14ac:dyDescent="0.2">
      <c r="A1082" s="81">
        <v>6566</v>
      </c>
      <c r="B1082" s="165" t="s">
        <v>1930</v>
      </c>
      <c r="C1082" s="165" t="s">
        <v>2817</v>
      </c>
      <c r="E1082" s="165" t="s">
        <v>2818</v>
      </c>
      <c r="G1082" s="81">
        <v>527021</v>
      </c>
      <c r="H1082" s="81">
        <v>175153</v>
      </c>
      <c r="I1082" s="165" t="s">
        <v>251</v>
      </c>
      <c r="L1082" s="166">
        <v>2</v>
      </c>
      <c r="M1082" s="166">
        <v>2</v>
      </c>
      <c r="N1082" s="166">
        <v>0</v>
      </c>
      <c r="O1082" s="166">
        <v>3</v>
      </c>
      <c r="P1082" s="166">
        <v>1</v>
      </c>
      <c r="R1082" s="165" t="s">
        <v>2819</v>
      </c>
      <c r="S1082" s="81" t="s">
        <v>113</v>
      </c>
      <c r="T1082" s="349">
        <v>43054</v>
      </c>
      <c r="U1082" s="349">
        <v>43164</v>
      </c>
      <c r="V1082" s="81" t="s">
        <v>155</v>
      </c>
      <c r="W1082" s="81" t="s">
        <v>114</v>
      </c>
      <c r="Y1082" s="81" t="s">
        <v>115</v>
      </c>
      <c r="Z1082" s="81" t="s">
        <v>398</v>
      </c>
      <c r="AA1082" s="81" t="s">
        <v>117</v>
      </c>
      <c r="AB1082" s="81" t="s">
        <v>220</v>
      </c>
      <c r="AC1082" s="166">
        <v>8.9999996125698107E-3</v>
      </c>
      <c r="AG1082" s="81" t="s">
        <v>238</v>
      </c>
      <c r="AH1082" s="81" t="s">
        <v>118</v>
      </c>
      <c r="AK1082" s="166">
        <v>0</v>
      </c>
      <c r="AM1082" s="166">
        <v>0</v>
      </c>
      <c r="AO1082" s="166">
        <v>0</v>
      </c>
      <c r="AP1082" s="166">
        <v>0</v>
      </c>
      <c r="AQ1082" s="166">
        <v>0</v>
      </c>
      <c r="AR1082" s="166">
        <v>1</v>
      </c>
      <c r="AS1082" s="166">
        <v>-1</v>
      </c>
      <c r="AT1082" s="166">
        <v>0</v>
      </c>
      <c r="AU1082" s="166">
        <v>0</v>
      </c>
      <c r="AV1082" s="166">
        <v>0</v>
      </c>
      <c r="AW1082" s="166">
        <v>0</v>
      </c>
      <c r="AX1082" s="166">
        <v>0</v>
      </c>
      <c r="AY1082" s="166">
        <v>1</v>
      </c>
      <c r="AZ1082" s="166">
        <v>-1</v>
      </c>
      <c r="BA1082" s="166">
        <v>0</v>
      </c>
      <c r="BB1082" s="166">
        <v>0</v>
      </c>
      <c r="BC1082" s="166">
        <v>0</v>
      </c>
      <c r="BD1082" s="166">
        <v>0</v>
      </c>
      <c r="BE1082" s="166">
        <v>0</v>
      </c>
      <c r="BF1082" s="166">
        <v>0</v>
      </c>
      <c r="BG1082" s="166">
        <v>0</v>
      </c>
      <c r="BH1082" s="166">
        <v>0</v>
      </c>
      <c r="BI1082" s="166">
        <v>0</v>
      </c>
      <c r="BJ1082" s="166">
        <v>0</v>
      </c>
      <c r="BK1082" s="166">
        <v>0</v>
      </c>
      <c r="BL1082" s="166">
        <v>0</v>
      </c>
      <c r="BM1082" s="166">
        <v>0</v>
      </c>
      <c r="BN1082" s="166">
        <v>0</v>
      </c>
      <c r="BO1082" s="166">
        <v>0</v>
      </c>
      <c r="BP1082" s="166">
        <v>0</v>
      </c>
      <c r="BQ1082" s="81" t="s">
        <v>1758</v>
      </c>
      <c r="BZ1082" s="81" t="s">
        <v>155</v>
      </c>
      <c r="CA1082" s="81" t="s">
        <v>1937</v>
      </c>
      <c r="CC1082" s="167">
        <v>0</v>
      </c>
      <c r="CD1082" s="167">
        <f>$N1082/4</f>
        <v>0</v>
      </c>
      <c r="CE1082" s="167">
        <f>$N1082/4</f>
        <v>0</v>
      </c>
      <c r="CF1082" s="167">
        <f>$N1082/4</f>
        <v>0</v>
      </c>
      <c r="CG1082" s="167">
        <f>$N1082/4</f>
        <v>0</v>
      </c>
      <c r="CH1082" s="167">
        <v>0</v>
      </c>
      <c r="CI1082" s="167">
        <v>0</v>
      </c>
      <c r="CJ1082" s="167">
        <v>0</v>
      </c>
      <c r="CK1082" s="167">
        <v>0</v>
      </c>
      <c r="CL1082" s="167">
        <v>0</v>
      </c>
      <c r="CM1082" s="167">
        <v>0</v>
      </c>
      <c r="CN1082" s="167">
        <v>0</v>
      </c>
      <c r="CO1082" s="167">
        <v>0</v>
      </c>
      <c r="CP1082" s="167">
        <v>0</v>
      </c>
      <c r="CQ1082" s="167">
        <v>0</v>
      </c>
      <c r="CR1082" s="167">
        <v>0</v>
      </c>
      <c r="CS1082" s="167">
        <v>0</v>
      </c>
      <c r="CT1082" s="167">
        <v>0</v>
      </c>
      <c r="CU1082" s="167">
        <v>0</v>
      </c>
      <c r="CV1082" s="167">
        <v>0</v>
      </c>
      <c r="CW1082" s="167">
        <v>0</v>
      </c>
      <c r="CX1082" s="167">
        <f>SUM(CD1082:CH1082)</f>
        <v>0</v>
      </c>
      <c r="CY1082" s="167">
        <f>SUM(CD1082:CM1082)</f>
        <v>0</v>
      </c>
    </row>
    <row r="1083" spans="1:103" ht="12.75" customHeight="1" x14ac:dyDescent="0.2">
      <c r="A1083" s="81">
        <v>6567</v>
      </c>
      <c r="B1083" s="165" t="s">
        <v>1930</v>
      </c>
      <c r="C1083" s="165" t="s">
        <v>2820</v>
      </c>
      <c r="E1083" s="165" t="s">
        <v>2821</v>
      </c>
      <c r="G1083" s="81">
        <v>523343</v>
      </c>
      <c r="H1083" s="81">
        <v>175175</v>
      </c>
      <c r="I1083" s="165" t="s">
        <v>59</v>
      </c>
      <c r="L1083" s="166">
        <v>2</v>
      </c>
      <c r="M1083" s="166">
        <v>1</v>
      </c>
      <c r="N1083" s="166">
        <v>-1</v>
      </c>
      <c r="O1083" s="166">
        <v>1</v>
      </c>
      <c r="P1083" s="166">
        <v>-1</v>
      </c>
      <c r="R1083" s="165" t="s">
        <v>2822</v>
      </c>
      <c r="S1083" s="81" t="s">
        <v>113</v>
      </c>
      <c r="T1083" s="349">
        <v>42835</v>
      </c>
      <c r="U1083" s="349">
        <v>42888</v>
      </c>
      <c r="V1083" s="81" t="s">
        <v>155</v>
      </c>
      <c r="W1083" s="81" t="s">
        <v>114</v>
      </c>
      <c r="Y1083" s="81" t="s">
        <v>115</v>
      </c>
      <c r="Z1083" s="81" t="s">
        <v>398</v>
      </c>
      <c r="AA1083" s="81" t="s">
        <v>117</v>
      </c>
      <c r="AB1083" s="81" t="s">
        <v>336</v>
      </c>
      <c r="AC1083" s="166">
        <v>1.60000007599592E-2</v>
      </c>
      <c r="AG1083" s="81" t="s">
        <v>238</v>
      </c>
      <c r="AH1083" s="81" t="s">
        <v>118</v>
      </c>
      <c r="AK1083" s="166">
        <v>0</v>
      </c>
      <c r="AM1083" s="166">
        <v>0</v>
      </c>
      <c r="AO1083" s="166">
        <v>0</v>
      </c>
      <c r="AP1083" s="166">
        <v>-1</v>
      </c>
      <c r="AQ1083" s="166">
        <v>0</v>
      </c>
      <c r="AR1083" s="166">
        <v>0</v>
      </c>
      <c r="AS1083" s="166">
        <v>0</v>
      </c>
      <c r="AT1083" s="166">
        <v>0</v>
      </c>
      <c r="AU1083" s="166">
        <v>0</v>
      </c>
      <c r="AV1083" s="166">
        <v>0</v>
      </c>
      <c r="AW1083" s="166">
        <v>-1</v>
      </c>
      <c r="AX1083" s="166">
        <v>0</v>
      </c>
      <c r="AY1083" s="166">
        <v>0</v>
      </c>
      <c r="AZ1083" s="166">
        <v>0</v>
      </c>
      <c r="BA1083" s="166">
        <v>-1</v>
      </c>
      <c r="BB1083" s="166">
        <v>0</v>
      </c>
      <c r="BC1083" s="166">
        <v>0</v>
      </c>
      <c r="BD1083" s="166">
        <v>0</v>
      </c>
      <c r="BE1083" s="166">
        <v>0</v>
      </c>
      <c r="BF1083" s="166">
        <v>0</v>
      </c>
      <c r="BG1083" s="166">
        <v>0</v>
      </c>
      <c r="BH1083" s="166">
        <v>1</v>
      </c>
      <c r="BI1083" s="166">
        <v>0</v>
      </c>
      <c r="BJ1083" s="166">
        <v>0</v>
      </c>
      <c r="BK1083" s="166">
        <v>0</v>
      </c>
      <c r="BL1083" s="166">
        <v>0</v>
      </c>
      <c r="BM1083" s="166">
        <v>0</v>
      </c>
      <c r="BN1083" s="166">
        <v>0</v>
      </c>
      <c r="BO1083" s="166">
        <v>0</v>
      </c>
      <c r="BP1083" s="166">
        <v>0</v>
      </c>
      <c r="BQ1083" s="81" t="s">
        <v>1758</v>
      </c>
      <c r="BZ1083" s="81" t="s">
        <v>155</v>
      </c>
      <c r="CA1083" s="81" t="s">
        <v>1937</v>
      </c>
      <c r="CC1083" s="167">
        <v>0</v>
      </c>
      <c r="CD1083" s="167">
        <f>$N1083/4</f>
        <v>-0.25</v>
      </c>
      <c r="CE1083" s="167">
        <f>$N1083/4</f>
        <v>-0.25</v>
      </c>
      <c r="CF1083" s="167">
        <f>$N1083/4</f>
        <v>-0.25</v>
      </c>
      <c r="CG1083" s="167">
        <f>$N1083/4</f>
        <v>-0.25</v>
      </c>
      <c r="CH1083" s="167">
        <v>0</v>
      </c>
      <c r="CI1083" s="167">
        <v>0</v>
      </c>
      <c r="CJ1083" s="167">
        <v>0</v>
      </c>
      <c r="CK1083" s="167">
        <v>0</v>
      </c>
      <c r="CL1083" s="167">
        <v>0</v>
      </c>
      <c r="CM1083" s="167">
        <v>0</v>
      </c>
      <c r="CN1083" s="167">
        <v>0</v>
      </c>
      <c r="CO1083" s="167">
        <v>0</v>
      </c>
      <c r="CP1083" s="167">
        <v>0</v>
      </c>
      <c r="CQ1083" s="167">
        <v>0</v>
      </c>
      <c r="CR1083" s="167">
        <v>0</v>
      </c>
      <c r="CS1083" s="167">
        <v>0</v>
      </c>
      <c r="CT1083" s="167">
        <v>0</v>
      </c>
      <c r="CU1083" s="167">
        <v>0</v>
      </c>
      <c r="CV1083" s="167">
        <v>0</v>
      </c>
      <c r="CW1083" s="167">
        <v>0</v>
      </c>
      <c r="CX1083" s="167">
        <f>SUM(CD1083:CH1083)</f>
        <v>-1</v>
      </c>
      <c r="CY1083" s="167">
        <f>SUM(CD1083:CM1083)</f>
        <v>-1</v>
      </c>
    </row>
    <row r="1084" spans="1:103" ht="12.75" customHeight="1" x14ac:dyDescent="0.2">
      <c r="A1084" s="81">
        <v>6570</v>
      </c>
      <c r="B1084" s="165" t="s">
        <v>1930</v>
      </c>
      <c r="C1084" s="165" t="s">
        <v>2823</v>
      </c>
      <c r="E1084" s="165" t="s">
        <v>2824</v>
      </c>
      <c r="G1084" s="81">
        <v>528493</v>
      </c>
      <c r="H1084" s="81">
        <v>173145</v>
      </c>
      <c r="I1084" s="165" t="s">
        <v>254</v>
      </c>
      <c r="L1084" s="166">
        <v>0</v>
      </c>
      <c r="M1084" s="166">
        <v>1</v>
      </c>
      <c r="N1084" s="166">
        <v>1</v>
      </c>
      <c r="O1084" s="166">
        <v>1</v>
      </c>
      <c r="P1084" s="166">
        <v>1</v>
      </c>
      <c r="R1084" s="165" t="s">
        <v>2825</v>
      </c>
      <c r="S1084" s="81" t="s">
        <v>113</v>
      </c>
      <c r="T1084" s="349">
        <v>42856</v>
      </c>
      <c r="U1084" s="349">
        <v>42912</v>
      </c>
      <c r="V1084" s="81" t="s">
        <v>155</v>
      </c>
      <c r="W1084" s="81" t="s">
        <v>114</v>
      </c>
      <c r="Y1084" s="81" t="s">
        <v>115</v>
      </c>
      <c r="Z1084" s="81" t="s">
        <v>219</v>
      </c>
      <c r="AA1084" s="81" t="s">
        <v>117</v>
      </c>
      <c r="AB1084" s="81" t="s">
        <v>3889</v>
      </c>
      <c r="AC1084" s="166">
        <v>4.0000001899898104E-3</v>
      </c>
      <c r="AG1084" s="81" t="s">
        <v>238</v>
      </c>
      <c r="AH1084" s="81" t="s">
        <v>118</v>
      </c>
      <c r="AK1084" s="166">
        <v>0</v>
      </c>
      <c r="AM1084" s="166">
        <v>0</v>
      </c>
      <c r="AO1084" s="166">
        <v>0</v>
      </c>
      <c r="AP1084" s="166">
        <v>1</v>
      </c>
      <c r="AQ1084" s="166">
        <v>0</v>
      </c>
      <c r="AR1084" s="166">
        <v>0</v>
      </c>
      <c r="AS1084" s="166">
        <v>0</v>
      </c>
      <c r="AT1084" s="166">
        <v>0</v>
      </c>
      <c r="AU1084" s="166">
        <v>0</v>
      </c>
      <c r="AV1084" s="166">
        <v>0</v>
      </c>
      <c r="AW1084" s="166">
        <v>1</v>
      </c>
      <c r="AX1084" s="166">
        <v>0</v>
      </c>
      <c r="AY1084" s="166">
        <v>0</v>
      </c>
      <c r="AZ1084" s="166">
        <v>0</v>
      </c>
      <c r="BA1084" s="166">
        <v>0</v>
      </c>
      <c r="BB1084" s="166">
        <v>0</v>
      </c>
      <c r="BC1084" s="166">
        <v>0</v>
      </c>
      <c r="BD1084" s="166">
        <v>0</v>
      </c>
      <c r="BE1084" s="166">
        <v>0</v>
      </c>
      <c r="BF1084" s="166">
        <v>0</v>
      </c>
      <c r="BG1084" s="166">
        <v>0</v>
      </c>
      <c r="BH1084" s="166">
        <v>0</v>
      </c>
      <c r="BI1084" s="166">
        <v>0</v>
      </c>
      <c r="BJ1084" s="166">
        <v>0</v>
      </c>
      <c r="BK1084" s="166">
        <v>0</v>
      </c>
      <c r="BL1084" s="166">
        <v>0</v>
      </c>
      <c r="BM1084" s="166">
        <v>0</v>
      </c>
      <c r="BN1084" s="166">
        <v>0</v>
      </c>
      <c r="BO1084" s="166">
        <v>0</v>
      </c>
      <c r="BP1084" s="166">
        <v>0</v>
      </c>
      <c r="BQ1084" s="81" t="s">
        <v>1757</v>
      </c>
      <c r="BZ1084" s="81" t="s">
        <v>155</v>
      </c>
      <c r="CA1084" s="81" t="s">
        <v>1937</v>
      </c>
      <c r="CC1084" s="167">
        <v>0</v>
      </c>
      <c r="CD1084" s="167">
        <f>$N1084/4</f>
        <v>0.25</v>
      </c>
      <c r="CE1084" s="167">
        <f>$N1084/4</f>
        <v>0.25</v>
      </c>
      <c r="CF1084" s="167">
        <f>$N1084/4</f>
        <v>0.25</v>
      </c>
      <c r="CG1084" s="167">
        <f>$N1084/4</f>
        <v>0.25</v>
      </c>
      <c r="CH1084" s="167">
        <v>0</v>
      </c>
      <c r="CI1084" s="167">
        <v>0</v>
      </c>
      <c r="CJ1084" s="167">
        <v>0</v>
      </c>
      <c r="CK1084" s="167">
        <v>0</v>
      </c>
      <c r="CL1084" s="167">
        <v>0</v>
      </c>
      <c r="CM1084" s="167">
        <v>0</v>
      </c>
      <c r="CN1084" s="167">
        <v>0</v>
      </c>
      <c r="CO1084" s="167">
        <v>0</v>
      </c>
      <c r="CP1084" s="167">
        <v>0</v>
      </c>
      <c r="CQ1084" s="167">
        <v>0</v>
      </c>
      <c r="CR1084" s="167">
        <v>0</v>
      </c>
      <c r="CS1084" s="167">
        <v>0</v>
      </c>
      <c r="CT1084" s="167">
        <v>0</v>
      </c>
      <c r="CU1084" s="167">
        <v>0</v>
      </c>
      <c r="CV1084" s="167">
        <v>0</v>
      </c>
      <c r="CW1084" s="167">
        <v>0</v>
      </c>
      <c r="CX1084" s="167">
        <f>SUM(CD1084:CH1084)</f>
        <v>1</v>
      </c>
      <c r="CY1084" s="167">
        <f>SUM(CD1084:CM1084)</f>
        <v>1</v>
      </c>
    </row>
    <row r="1085" spans="1:103" ht="12.75" customHeight="1" x14ac:dyDescent="0.2">
      <c r="A1085" s="81">
        <v>6577</v>
      </c>
      <c r="B1085" s="165" t="s">
        <v>1930</v>
      </c>
      <c r="C1085" s="165" t="s">
        <v>3454</v>
      </c>
      <c r="E1085" s="165" t="s">
        <v>3455</v>
      </c>
      <c r="G1085" s="81">
        <v>527116</v>
      </c>
      <c r="H1085" s="81">
        <v>171635</v>
      </c>
      <c r="I1085" s="165" t="s">
        <v>242</v>
      </c>
      <c r="L1085" s="166">
        <v>2</v>
      </c>
      <c r="M1085" s="166">
        <v>10</v>
      </c>
      <c r="N1085" s="166">
        <v>8</v>
      </c>
      <c r="O1085" s="166">
        <v>10</v>
      </c>
      <c r="P1085" s="166">
        <v>8</v>
      </c>
      <c r="Q1085" s="81" t="s">
        <v>155</v>
      </c>
      <c r="R1085" s="165" t="s">
        <v>3456</v>
      </c>
      <c r="S1085" s="81" t="s">
        <v>113</v>
      </c>
      <c r="T1085" s="349">
        <v>42898</v>
      </c>
      <c r="U1085" s="349">
        <v>43031</v>
      </c>
      <c r="V1085" s="81" t="s">
        <v>155</v>
      </c>
      <c r="W1085" s="81" t="s">
        <v>114</v>
      </c>
      <c r="Y1085" s="81" t="s">
        <v>115</v>
      </c>
      <c r="Z1085" s="81" t="s">
        <v>398</v>
      </c>
      <c r="AA1085" s="81" t="s">
        <v>116</v>
      </c>
      <c r="AB1085" s="81" t="s">
        <v>117</v>
      </c>
      <c r="AC1085" s="166">
        <v>4.1000001132488299E-2</v>
      </c>
      <c r="AG1085" s="81" t="s">
        <v>238</v>
      </c>
      <c r="AH1085" s="81" t="s">
        <v>118</v>
      </c>
      <c r="AK1085" s="166">
        <v>7</v>
      </c>
      <c r="AM1085" s="166">
        <v>3</v>
      </c>
      <c r="AO1085" s="166">
        <v>1</v>
      </c>
      <c r="AP1085" s="166">
        <v>2</v>
      </c>
      <c r="AQ1085" s="166">
        <v>4</v>
      </c>
      <c r="AR1085" s="166">
        <v>1</v>
      </c>
      <c r="AS1085" s="166">
        <v>0</v>
      </c>
      <c r="AT1085" s="166">
        <v>0</v>
      </c>
      <c r="AU1085" s="166">
        <v>0</v>
      </c>
      <c r="AV1085" s="166">
        <v>1</v>
      </c>
      <c r="AW1085" s="166">
        <v>2</v>
      </c>
      <c r="AX1085" s="166">
        <v>4</v>
      </c>
      <c r="AY1085" s="166">
        <v>1</v>
      </c>
      <c r="AZ1085" s="166">
        <v>0</v>
      </c>
      <c r="BA1085" s="166">
        <v>0</v>
      </c>
      <c r="BB1085" s="166">
        <v>0</v>
      </c>
      <c r="BC1085" s="166">
        <v>0</v>
      </c>
      <c r="BD1085" s="166">
        <v>0</v>
      </c>
      <c r="BE1085" s="166">
        <v>0</v>
      </c>
      <c r="BF1085" s="166">
        <v>0</v>
      </c>
      <c r="BG1085" s="166">
        <v>0</v>
      </c>
      <c r="BH1085" s="166">
        <v>0</v>
      </c>
      <c r="BI1085" s="166">
        <v>0</v>
      </c>
      <c r="BJ1085" s="166">
        <v>0</v>
      </c>
      <c r="BK1085" s="166">
        <v>0</v>
      </c>
      <c r="BL1085" s="166">
        <v>0</v>
      </c>
      <c r="BM1085" s="166">
        <v>0</v>
      </c>
      <c r="BN1085" s="166">
        <v>0</v>
      </c>
      <c r="BO1085" s="166">
        <v>0</v>
      </c>
      <c r="BP1085" s="166">
        <v>0</v>
      </c>
      <c r="BQ1085" s="81" t="s">
        <v>1757</v>
      </c>
      <c r="BZ1085" s="81" t="s">
        <v>155</v>
      </c>
      <c r="CA1085" s="81" t="s">
        <v>3968</v>
      </c>
      <c r="CC1085" s="167">
        <v>0</v>
      </c>
      <c r="CD1085" s="167">
        <v>0</v>
      </c>
      <c r="CE1085" s="167">
        <v>0</v>
      </c>
      <c r="CF1085" s="167">
        <v>0</v>
      </c>
      <c r="CG1085" s="167">
        <v>0</v>
      </c>
      <c r="CH1085" s="167">
        <f>$N1085/3</f>
        <v>2.6666666666666665</v>
      </c>
      <c r="CI1085" s="167">
        <f>$N1085/3</f>
        <v>2.6666666666666665</v>
      </c>
      <c r="CJ1085" s="167">
        <f>$N1085/3</f>
        <v>2.6666666666666665</v>
      </c>
      <c r="CK1085" s="167">
        <v>0</v>
      </c>
      <c r="CL1085" s="167">
        <v>0</v>
      </c>
      <c r="CM1085" s="167">
        <v>0</v>
      </c>
      <c r="CN1085" s="167">
        <v>0</v>
      </c>
      <c r="CO1085" s="167">
        <v>0</v>
      </c>
      <c r="CP1085" s="167">
        <v>0</v>
      </c>
      <c r="CQ1085" s="167">
        <v>0</v>
      </c>
      <c r="CR1085" s="167">
        <v>0</v>
      </c>
      <c r="CS1085" s="167">
        <v>0</v>
      </c>
      <c r="CT1085" s="167">
        <v>0</v>
      </c>
      <c r="CU1085" s="167">
        <v>0</v>
      </c>
      <c r="CV1085" s="167">
        <v>0</v>
      </c>
      <c r="CW1085" s="167">
        <v>0</v>
      </c>
      <c r="CX1085" s="167">
        <f>SUM(CD1085:CH1085)</f>
        <v>2.6666666666666665</v>
      </c>
      <c r="CY1085" s="167">
        <f>SUM(CD1085:CM1085)</f>
        <v>8</v>
      </c>
    </row>
    <row r="1086" spans="1:103" ht="12.75" customHeight="1" x14ac:dyDescent="0.2">
      <c r="A1086" s="81">
        <v>6583</v>
      </c>
      <c r="B1086" s="165" t="s">
        <v>1930</v>
      </c>
      <c r="C1086" s="165" t="s">
        <v>2848</v>
      </c>
      <c r="E1086" s="165" t="s">
        <v>2849</v>
      </c>
      <c r="G1086" s="81">
        <v>523210</v>
      </c>
      <c r="H1086" s="81">
        <v>174403</v>
      </c>
      <c r="I1086" s="165" t="s">
        <v>59</v>
      </c>
      <c r="L1086" s="166">
        <v>0</v>
      </c>
      <c r="M1086" s="166">
        <v>2</v>
      </c>
      <c r="N1086" s="166">
        <v>2</v>
      </c>
      <c r="O1086" s="166">
        <v>2</v>
      </c>
      <c r="P1086" s="166">
        <v>2</v>
      </c>
      <c r="R1086" s="165" t="s">
        <v>2850</v>
      </c>
      <c r="S1086" s="81" t="s">
        <v>113</v>
      </c>
      <c r="T1086" s="349">
        <v>42838</v>
      </c>
      <c r="U1086" s="349">
        <v>42993</v>
      </c>
      <c r="V1086" s="81" t="s">
        <v>155</v>
      </c>
      <c r="W1086" s="81" t="s">
        <v>114</v>
      </c>
      <c r="Y1086" s="81" t="s">
        <v>115</v>
      </c>
      <c r="Z1086" s="81" t="s">
        <v>310</v>
      </c>
      <c r="AA1086" s="81" t="s">
        <v>117</v>
      </c>
      <c r="AB1086" s="81" t="s">
        <v>311</v>
      </c>
      <c r="AC1086" s="166">
        <v>1.4999999664723899E-2</v>
      </c>
      <c r="AG1086" s="81" t="s">
        <v>154</v>
      </c>
      <c r="AH1086" s="81" t="s">
        <v>38</v>
      </c>
      <c r="AK1086" s="166">
        <v>0</v>
      </c>
      <c r="AM1086" s="166">
        <v>0</v>
      </c>
      <c r="AO1086" s="166">
        <v>0</v>
      </c>
      <c r="AP1086" s="166">
        <v>2</v>
      </c>
      <c r="AQ1086" s="166">
        <v>0</v>
      </c>
      <c r="AR1086" s="166">
        <v>0</v>
      </c>
      <c r="AS1086" s="166">
        <v>0</v>
      </c>
      <c r="AT1086" s="166">
        <v>0</v>
      </c>
      <c r="AU1086" s="166">
        <v>0</v>
      </c>
      <c r="AV1086" s="166">
        <v>0</v>
      </c>
      <c r="AW1086" s="166">
        <v>2</v>
      </c>
      <c r="AX1086" s="166">
        <v>0</v>
      </c>
      <c r="AY1086" s="166">
        <v>0</v>
      </c>
      <c r="AZ1086" s="166">
        <v>0</v>
      </c>
      <c r="BA1086" s="166">
        <v>0</v>
      </c>
      <c r="BB1086" s="166">
        <v>0</v>
      </c>
      <c r="BC1086" s="166">
        <v>0</v>
      </c>
      <c r="BD1086" s="166">
        <v>0</v>
      </c>
      <c r="BE1086" s="166">
        <v>0</v>
      </c>
      <c r="BF1086" s="166">
        <v>0</v>
      </c>
      <c r="BG1086" s="166">
        <v>0</v>
      </c>
      <c r="BH1086" s="166">
        <v>0</v>
      </c>
      <c r="BI1086" s="166">
        <v>0</v>
      </c>
      <c r="BJ1086" s="166">
        <v>0</v>
      </c>
      <c r="BK1086" s="166">
        <v>0</v>
      </c>
      <c r="BL1086" s="166">
        <v>0</v>
      </c>
      <c r="BM1086" s="166">
        <v>0</v>
      </c>
      <c r="BN1086" s="166">
        <v>0</v>
      </c>
      <c r="BO1086" s="166">
        <v>0</v>
      </c>
      <c r="BP1086" s="166">
        <v>0</v>
      </c>
      <c r="BQ1086" s="81" t="s">
        <v>1758</v>
      </c>
      <c r="BZ1086" s="81" t="s">
        <v>155</v>
      </c>
      <c r="CA1086" s="81" t="s">
        <v>1937</v>
      </c>
      <c r="CC1086" s="167">
        <v>0</v>
      </c>
      <c r="CD1086" s="167">
        <f>$N1086/4</f>
        <v>0.5</v>
      </c>
      <c r="CE1086" s="167">
        <f>$N1086/4</f>
        <v>0.5</v>
      </c>
      <c r="CF1086" s="167">
        <f>$N1086/4</f>
        <v>0.5</v>
      </c>
      <c r="CG1086" s="167">
        <f>$N1086/4</f>
        <v>0.5</v>
      </c>
      <c r="CH1086" s="167">
        <v>0</v>
      </c>
      <c r="CI1086" s="167">
        <v>0</v>
      </c>
      <c r="CJ1086" s="167">
        <v>0</v>
      </c>
      <c r="CK1086" s="167">
        <v>0</v>
      </c>
      <c r="CL1086" s="167">
        <v>0</v>
      </c>
      <c r="CM1086" s="167">
        <v>0</v>
      </c>
      <c r="CN1086" s="167">
        <v>0</v>
      </c>
      <c r="CO1086" s="167">
        <v>0</v>
      </c>
      <c r="CP1086" s="167">
        <v>0</v>
      </c>
      <c r="CQ1086" s="167">
        <v>0</v>
      </c>
      <c r="CR1086" s="167">
        <v>0</v>
      </c>
      <c r="CS1086" s="167">
        <v>0</v>
      </c>
      <c r="CT1086" s="167">
        <v>0</v>
      </c>
      <c r="CU1086" s="167">
        <v>0</v>
      </c>
      <c r="CV1086" s="167">
        <v>0</v>
      </c>
      <c r="CW1086" s="167">
        <v>0</v>
      </c>
      <c r="CX1086" s="167">
        <f>SUM(CD1086:CH1086)</f>
        <v>2</v>
      </c>
      <c r="CY1086" s="167">
        <f>SUM(CD1086:CM1086)</f>
        <v>2</v>
      </c>
    </row>
    <row r="1087" spans="1:103" ht="12.75" customHeight="1" x14ac:dyDescent="0.2">
      <c r="A1087" s="81">
        <v>6591</v>
      </c>
      <c r="B1087" s="165" t="s">
        <v>1930</v>
      </c>
      <c r="C1087" s="165" t="s">
        <v>2830</v>
      </c>
      <c r="E1087" s="165" t="s">
        <v>2831</v>
      </c>
      <c r="G1087" s="81">
        <v>523591</v>
      </c>
      <c r="H1087" s="81">
        <v>175605</v>
      </c>
      <c r="I1087" s="165" t="s">
        <v>259</v>
      </c>
      <c r="L1087" s="166">
        <v>0</v>
      </c>
      <c r="M1087" s="166">
        <v>1</v>
      </c>
      <c r="N1087" s="166">
        <v>1</v>
      </c>
      <c r="O1087" s="166">
        <v>1</v>
      </c>
      <c r="P1087" s="166">
        <v>1</v>
      </c>
      <c r="R1087" s="165" t="s">
        <v>2832</v>
      </c>
      <c r="S1087" s="81" t="s">
        <v>113</v>
      </c>
      <c r="T1087" s="349">
        <v>42853</v>
      </c>
      <c r="U1087" s="349">
        <v>42999</v>
      </c>
      <c r="V1087" s="81" t="s">
        <v>155</v>
      </c>
      <c r="W1087" s="81" t="s">
        <v>114</v>
      </c>
      <c r="Y1087" s="81" t="s">
        <v>115</v>
      </c>
      <c r="Z1087" s="81" t="s">
        <v>116</v>
      </c>
      <c r="AA1087" s="81" t="s">
        <v>117</v>
      </c>
      <c r="AB1087" s="81" t="s">
        <v>218</v>
      </c>
      <c r="AC1087" s="166">
        <v>1.9999999552965199E-2</v>
      </c>
      <c r="AG1087" s="81" t="s">
        <v>238</v>
      </c>
      <c r="AH1087" s="81" t="s">
        <v>118</v>
      </c>
      <c r="AK1087" s="166">
        <v>0</v>
      </c>
      <c r="AM1087" s="166">
        <v>0</v>
      </c>
      <c r="AO1087" s="166">
        <v>0</v>
      </c>
      <c r="AP1087" s="166">
        <v>0</v>
      </c>
      <c r="AQ1087" s="166">
        <v>1</v>
      </c>
      <c r="AR1087" s="166">
        <v>0</v>
      </c>
      <c r="AS1087" s="166">
        <v>0</v>
      </c>
      <c r="AT1087" s="166">
        <v>0</v>
      </c>
      <c r="AU1087" s="166">
        <v>0</v>
      </c>
      <c r="AV1087" s="166">
        <v>0</v>
      </c>
      <c r="AW1087" s="166">
        <v>0</v>
      </c>
      <c r="AX1087" s="166">
        <v>0</v>
      </c>
      <c r="AY1087" s="166">
        <v>0</v>
      </c>
      <c r="AZ1087" s="166">
        <v>0</v>
      </c>
      <c r="BA1087" s="166">
        <v>0</v>
      </c>
      <c r="BB1087" s="166">
        <v>0</v>
      </c>
      <c r="BC1087" s="166">
        <v>0</v>
      </c>
      <c r="BD1087" s="166">
        <v>0</v>
      </c>
      <c r="BE1087" s="166">
        <v>1</v>
      </c>
      <c r="BF1087" s="166">
        <v>0</v>
      </c>
      <c r="BG1087" s="166">
        <v>0</v>
      </c>
      <c r="BH1087" s="166">
        <v>0</v>
      </c>
      <c r="BI1087" s="166">
        <v>0</v>
      </c>
      <c r="BJ1087" s="166">
        <v>0</v>
      </c>
      <c r="BK1087" s="166">
        <v>0</v>
      </c>
      <c r="BL1087" s="166">
        <v>0</v>
      </c>
      <c r="BM1087" s="166">
        <v>0</v>
      </c>
      <c r="BN1087" s="166">
        <v>0</v>
      </c>
      <c r="BO1087" s="166">
        <v>0</v>
      </c>
      <c r="BP1087" s="166">
        <v>0</v>
      </c>
      <c r="BQ1087" s="81" t="s">
        <v>1758</v>
      </c>
      <c r="BZ1087" s="81" t="s">
        <v>155</v>
      </c>
      <c r="CA1087" s="81">
        <v>4</v>
      </c>
      <c r="CC1087" s="167">
        <v>0</v>
      </c>
      <c r="CD1087" s="167">
        <v>0</v>
      </c>
      <c r="CE1087" s="167">
        <f>$N1087/5</f>
        <v>0.2</v>
      </c>
      <c r="CF1087" s="167">
        <f>$N1087/5</f>
        <v>0.2</v>
      </c>
      <c r="CG1087" s="167">
        <f>$N1087/5</f>
        <v>0.2</v>
      </c>
      <c r="CH1087" s="167">
        <f>$N1087/5</f>
        <v>0.2</v>
      </c>
      <c r="CI1087" s="167">
        <f>$N1087/5</f>
        <v>0.2</v>
      </c>
      <c r="CJ1087" s="167">
        <v>0</v>
      </c>
      <c r="CK1087" s="167">
        <v>0</v>
      </c>
      <c r="CL1087" s="167">
        <v>0</v>
      </c>
      <c r="CM1087" s="167">
        <v>0</v>
      </c>
      <c r="CN1087" s="167">
        <v>0</v>
      </c>
      <c r="CO1087" s="167">
        <v>0</v>
      </c>
      <c r="CP1087" s="167">
        <v>0</v>
      </c>
      <c r="CQ1087" s="167">
        <v>0</v>
      </c>
      <c r="CR1087" s="167">
        <v>0</v>
      </c>
      <c r="CS1087" s="167">
        <v>0</v>
      </c>
      <c r="CT1087" s="167">
        <v>0</v>
      </c>
      <c r="CU1087" s="167">
        <v>0</v>
      </c>
      <c r="CV1087" s="167">
        <v>0</v>
      </c>
      <c r="CW1087" s="167">
        <v>0</v>
      </c>
      <c r="CX1087" s="167">
        <f>SUM(CD1087:CH1087)</f>
        <v>0.8</v>
      </c>
      <c r="CY1087" s="167">
        <f>SUM(CD1087:CM1087)</f>
        <v>1</v>
      </c>
    </row>
    <row r="1088" spans="1:103" ht="12.75" customHeight="1" x14ac:dyDescent="0.2">
      <c r="A1088" s="81">
        <v>6592</v>
      </c>
      <c r="B1088" s="165" t="s">
        <v>1930</v>
      </c>
      <c r="C1088" s="165" t="s">
        <v>2833</v>
      </c>
      <c r="E1088" s="165" t="s">
        <v>2834</v>
      </c>
      <c r="G1088" s="81">
        <v>528224</v>
      </c>
      <c r="H1088" s="81">
        <v>172427</v>
      </c>
      <c r="I1088" s="165" t="s">
        <v>248</v>
      </c>
      <c r="L1088" s="166">
        <v>1</v>
      </c>
      <c r="M1088" s="166">
        <v>1</v>
      </c>
      <c r="N1088" s="166">
        <v>0</v>
      </c>
      <c r="O1088" s="166">
        <v>1</v>
      </c>
      <c r="P1088" s="166">
        <v>0</v>
      </c>
      <c r="R1088" s="165" t="s">
        <v>2835</v>
      </c>
      <c r="S1088" s="81" t="s">
        <v>113</v>
      </c>
      <c r="T1088" s="349">
        <v>42818</v>
      </c>
      <c r="U1088" s="349">
        <v>42919</v>
      </c>
      <c r="V1088" s="81" t="s">
        <v>155</v>
      </c>
      <c r="W1088" s="81" t="s">
        <v>114</v>
      </c>
      <c r="Y1088" s="81" t="s">
        <v>115</v>
      </c>
      <c r="Z1088" s="81" t="s">
        <v>116</v>
      </c>
      <c r="AA1088" s="81" t="s">
        <v>117</v>
      </c>
      <c r="AB1088" s="81" t="s">
        <v>218</v>
      </c>
      <c r="AC1088" s="166">
        <v>2.3000000044703501E-2</v>
      </c>
      <c r="AG1088" s="81" t="s">
        <v>238</v>
      </c>
      <c r="AH1088" s="81" t="s">
        <v>118</v>
      </c>
      <c r="AK1088" s="166">
        <v>0</v>
      </c>
      <c r="AM1088" s="166">
        <v>0</v>
      </c>
      <c r="AO1088" s="166">
        <v>0</v>
      </c>
      <c r="AP1088" s="166">
        <v>0</v>
      </c>
      <c r="AQ1088" s="166">
        <v>0</v>
      </c>
      <c r="AR1088" s="166">
        <v>0</v>
      </c>
      <c r="AS1088" s="166">
        <v>0</v>
      </c>
      <c r="AT1088" s="166">
        <v>0</v>
      </c>
      <c r="AU1088" s="166">
        <v>0</v>
      </c>
      <c r="AV1088" s="166">
        <v>0</v>
      </c>
      <c r="AW1088" s="166">
        <v>0</v>
      </c>
      <c r="AX1088" s="166">
        <v>0</v>
      </c>
      <c r="AY1088" s="166">
        <v>0</v>
      </c>
      <c r="AZ1088" s="166">
        <v>0</v>
      </c>
      <c r="BA1088" s="166">
        <v>0</v>
      </c>
      <c r="BB1088" s="166">
        <v>0</v>
      </c>
      <c r="BC1088" s="166">
        <v>0</v>
      </c>
      <c r="BD1088" s="166">
        <v>0</v>
      </c>
      <c r="BE1088" s="166">
        <v>0</v>
      </c>
      <c r="BF1088" s="166">
        <v>0</v>
      </c>
      <c r="BG1088" s="166">
        <v>0</v>
      </c>
      <c r="BH1088" s="166">
        <v>0</v>
      </c>
      <c r="BI1088" s="166">
        <v>0</v>
      </c>
      <c r="BJ1088" s="166">
        <v>0</v>
      </c>
      <c r="BK1088" s="166">
        <v>0</v>
      </c>
      <c r="BL1088" s="166">
        <v>0</v>
      </c>
      <c r="BM1088" s="166">
        <v>0</v>
      </c>
      <c r="BN1088" s="166">
        <v>0</v>
      </c>
      <c r="BO1088" s="166">
        <v>0</v>
      </c>
      <c r="BP1088" s="166">
        <v>0</v>
      </c>
      <c r="BQ1088" s="81" t="s">
        <v>1757</v>
      </c>
      <c r="BZ1088" s="81" t="s">
        <v>155</v>
      </c>
      <c r="CA1088" s="81">
        <v>4</v>
      </c>
      <c r="CC1088" s="167">
        <v>0</v>
      </c>
      <c r="CD1088" s="167">
        <v>0</v>
      </c>
      <c r="CE1088" s="167">
        <f>$N1088/5</f>
        <v>0</v>
      </c>
      <c r="CF1088" s="167">
        <f>$N1088/5</f>
        <v>0</v>
      </c>
      <c r="CG1088" s="167">
        <f>$N1088/5</f>
        <v>0</v>
      </c>
      <c r="CH1088" s="167">
        <f>$N1088/5</f>
        <v>0</v>
      </c>
      <c r="CI1088" s="167">
        <f>$N1088/5</f>
        <v>0</v>
      </c>
      <c r="CJ1088" s="167">
        <v>0</v>
      </c>
      <c r="CK1088" s="167">
        <v>0</v>
      </c>
      <c r="CL1088" s="167">
        <v>0</v>
      </c>
      <c r="CM1088" s="167">
        <v>0</v>
      </c>
      <c r="CN1088" s="167">
        <v>0</v>
      </c>
      <c r="CO1088" s="167">
        <v>0</v>
      </c>
      <c r="CP1088" s="167">
        <v>0</v>
      </c>
      <c r="CQ1088" s="167">
        <v>0</v>
      </c>
      <c r="CR1088" s="167">
        <v>0</v>
      </c>
      <c r="CS1088" s="167">
        <v>0</v>
      </c>
      <c r="CT1088" s="167">
        <v>0</v>
      </c>
      <c r="CU1088" s="167">
        <v>0</v>
      </c>
      <c r="CV1088" s="167">
        <v>0</v>
      </c>
      <c r="CW1088" s="167">
        <v>0</v>
      </c>
      <c r="CX1088" s="167">
        <f>SUM(CD1088:CH1088)</f>
        <v>0</v>
      </c>
      <c r="CY1088" s="167">
        <f>SUM(CD1088:CM1088)</f>
        <v>0</v>
      </c>
    </row>
    <row r="1089" spans="1:103" ht="12.75" customHeight="1" x14ac:dyDescent="0.2">
      <c r="A1089" s="81">
        <v>6594</v>
      </c>
      <c r="B1089" s="165" t="s">
        <v>1930</v>
      </c>
      <c r="C1089" s="165" t="s">
        <v>2836</v>
      </c>
      <c r="E1089" s="165" t="s">
        <v>2837</v>
      </c>
      <c r="G1089" s="81">
        <v>527616</v>
      </c>
      <c r="H1089" s="81">
        <v>175165</v>
      </c>
      <c r="I1089" s="165" t="s">
        <v>255</v>
      </c>
      <c r="L1089" s="166">
        <v>0</v>
      </c>
      <c r="M1089" s="166">
        <v>1</v>
      </c>
      <c r="N1089" s="166">
        <v>1</v>
      </c>
      <c r="O1089" s="166">
        <v>1</v>
      </c>
      <c r="P1089" s="166">
        <v>1</v>
      </c>
      <c r="R1089" s="165" t="s">
        <v>2838</v>
      </c>
      <c r="S1089" s="81" t="s">
        <v>113</v>
      </c>
      <c r="T1089" s="349">
        <v>42872</v>
      </c>
      <c r="U1089" s="349">
        <v>42928</v>
      </c>
      <c r="V1089" s="81" t="s">
        <v>155</v>
      </c>
      <c r="W1089" s="81" t="s">
        <v>114</v>
      </c>
      <c r="Y1089" s="81" t="s">
        <v>115</v>
      </c>
      <c r="Z1089" s="81" t="s">
        <v>219</v>
      </c>
      <c r="AA1089" s="81" t="s">
        <v>117</v>
      </c>
      <c r="AB1089" s="81" t="s">
        <v>3889</v>
      </c>
      <c r="AC1089" s="166">
        <v>3.0000000260770299E-3</v>
      </c>
      <c r="AG1089" s="81" t="s">
        <v>238</v>
      </c>
      <c r="AH1089" s="81" t="s">
        <v>118</v>
      </c>
      <c r="AK1089" s="166">
        <v>0</v>
      </c>
      <c r="AM1089" s="166">
        <v>0</v>
      </c>
      <c r="AO1089" s="166">
        <v>0</v>
      </c>
      <c r="AP1089" s="166">
        <v>1</v>
      </c>
      <c r="AQ1089" s="166">
        <v>0</v>
      </c>
      <c r="AR1089" s="166">
        <v>0</v>
      </c>
      <c r="AS1089" s="166">
        <v>0</v>
      </c>
      <c r="AT1089" s="166">
        <v>0</v>
      </c>
      <c r="AU1089" s="166">
        <v>0</v>
      </c>
      <c r="AV1089" s="166">
        <v>0</v>
      </c>
      <c r="AW1089" s="166">
        <v>1</v>
      </c>
      <c r="AX1089" s="166">
        <v>0</v>
      </c>
      <c r="AY1089" s="166">
        <v>0</v>
      </c>
      <c r="AZ1089" s="166">
        <v>0</v>
      </c>
      <c r="BA1089" s="166">
        <v>0</v>
      </c>
      <c r="BB1089" s="166">
        <v>0</v>
      </c>
      <c r="BC1089" s="166">
        <v>0</v>
      </c>
      <c r="BD1089" s="166">
        <v>0</v>
      </c>
      <c r="BE1089" s="166">
        <v>0</v>
      </c>
      <c r="BF1089" s="166">
        <v>0</v>
      </c>
      <c r="BG1089" s="166">
        <v>0</v>
      </c>
      <c r="BH1089" s="166">
        <v>0</v>
      </c>
      <c r="BI1089" s="166">
        <v>0</v>
      </c>
      <c r="BJ1089" s="166">
        <v>0</v>
      </c>
      <c r="BK1089" s="166">
        <v>0</v>
      </c>
      <c r="BL1089" s="166">
        <v>0</v>
      </c>
      <c r="BM1089" s="166">
        <v>0</v>
      </c>
      <c r="BN1089" s="166">
        <v>0</v>
      </c>
      <c r="BO1089" s="166">
        <v>0</v>
      </c>
      <c r="BP1089" s="166">
        <v>0</v>
      </c>
      <c r="BQ1089" s="81" t="s">
        <v>1757</v>
      </c>
      <c r="BR1089" s="81" t="s">
        <v>160</v>
      </c>
      <c r="BZ1089" s="81" t="s">
        <v>155</v>
      </c>
      <c r="CA1089" s="81" t="s">
        <v>1937</v>
      </c>
      <c r="CC1089" s="167">
        <v>0</v>
      </c>
      <c r="CD1089" s="167">
        <f>$N1089/4</f>
        <v>0.25</v>
      </c>
      <c r="CE1089" s="167">
        <f>$N1089/4</f>
        <v>0.25</v>
      </c>
      <c r="CF1089" s="167">
        <f>$N1089/4</f>
        <v>0.25</v>
      </c>
      <c r="CG1089" s="167">
        <f>$N1089/4</f>
        <v>0.25</v>
      </c>
      <c r="CH1089" s="167">
        <v>0</v>
      </c>
      <c r="CI1089" s="167">
        <v>0</v>
      </c>
      <c r="CJ1089" s="167">
        <v>0</v>
      </c>
      <c r="CK1089" s="167">
        <v>0</v>
      </c>
      <c r="CL1089" s="167">
        <v>0</v>
      </c>
      <c r="CM1089" s="167">
        <v>0</v>
      </c>
      <c r="CN1089" s="167">
        <v>0</v>
      </c>
      <c r="CO1089" s="167">
        <v>0</v>
      </c>
      <c r="CP1089" s="167">
        <v>0</v>
      </c>
      <c r="CQ1089" s="167">
        <v>0</v>
      </c>
      <c r="CR1089" s="167">
        <v>0</v>
      </c>
      <c r="CS1089" s="167">
        <v>0</v>
      </c>
      <c r="CT1089" s="167">
        <v>0</v>
      </c>
      <c r="CU1089" s="167">
        <v>0</v>
      </c>
      <c r="CV1089" s="167">
        <v>0</v>
      </c>
      <c r="CW1089" s="167">
        <v>0</v>
      </c>
      <c r="CX1089" s="167">
        <f>SUM(CD1089:CH1089)</f>
        <v>1</v>
      </c>
      <c r="CY1089" s="167">
        <f>SUM(CD1089:CM1089)</f>
        <v>1</v>
      </c>
    </row>
    <row r="1090" spans="1:103" ht="12.75" customHeight="1" x14ac:dyDescent="0.2">
      <c r="A1090" s="81">
        <v>6595</v>
      </c>
      <c r="B1090" s="165" t="s">
        <v>1930</v>
      </c>
      <c r="C1090" s="165" t="s">
        <v>2839</v>
      </c>
      <c r="E1090" s="165" t="s">
        <v>2840</v>
      </c>
      <c r="G1090" s="81">
        <v>527461</v>
      </c>
      <c r="H1090" s="81">
        <v>170805</v>
      </c>
      <c r="I1090" s="165" t="s">
        <v>253</v>
      </c>
      <c r="L1090" s="166">
        <v>0</v>
      </c>
      <c r="M1090" s="166">
        <v>1</v>
      </c>
      <c r="N1090" s="166">
        <v>1</v>
      </c>
      <c r="O1090" s="166">
        <v>1</v>
      </c>
      <c r="P1090" s="166">
        <v>1</v>
      </c>
      <c r="R1090" s="165" t="s">
        <v>2841</v>
      </c>
      <c r="S1090" s="81" t="s">
        <v>113</v>
      </c>
      <c r="T1090" s="349">
        <v>43109</v>
      </c>
      <c r="U1090" s="349">
        <v>43186</v>
      </c>
      <c r="V1090" s="81" t="s">
        <v>155</v>
      </c>
      <c r="W1090" s="81" t="s">
        <v>114</v>
      </c>
      <c r="Y1090" s="81" t="s">
        <v>115</v>
      </c>
      <c r="Z1090" s="81" t="s">
        <v>116</v>
      </c>
      <c r="AA1090" s="81" t="s">
        <v>117</v>
      </c>
      <c r="AB1090" s="81" t="s">
        <v>218</v>
      </c>
      <c r="AC1090" s="166">
        <v>8.9999996125698107E-3</v>
      </c>
      <c r="AG1090" s="81" t="s">
        <v>238</v>
      </c>
      <c r="AH1090" s="81" t="s">
        <v>118</v>
      </c>
      <c r="AK1090" s="166">
        <v>0</v>
      </c>
      <c r="AM1090" s="166">
        <v>0</v>
      </c>
      <c r="AO1090" s="166">
        <v>0</v>
      </c>
      <c r="AP1090" s="166">
        <v>0</v>
      </c>
      <c r="AQ1090" s="166">
        <v>1</v>
      </c>
      <c r="AR1090" s="166">
        <v>0</v>
      </c>
      <c r="AS1090" s="166">
        <v>0</v>
      </c>
      <c r="AT1090" s="166">
        <v>0</v>
      </c>
      <c r="AU1090" s="166">
        <v>0</v>
      </c>
      <c r="AV1090" s="166">
        <v>0</v>
      </c>
      <c r="AW1090" s="166">
        <v>0</v>
      </c>
      <c r="AX1090" s="166">
        <v>0</v>
      </c>
      <c r="AY1090" s="166">
        <v>0</v>
      </c>
      <c r="AZ1090" s="166">
        <v>0</v>
      </c>
      <c r="BA1090" s="166">
        <v>0</v>
      </c>
      <c r="BB1090" s="166">
        <v>0</v>
      </c>
      <c r="BC1090" s="166">
        <v>0</v>
      </c>
      <c r="BD1090" s="166">
        <v>0</v>
      </c>
      <c r="BE1090" s="166">
        <v>1</v>
      </c>
      <c r="BF1090" s="166">
        <v>0</v>
      </c>
      <c r="BG1090" s="166">
        <v>0</v>
      </c>
      <c r="BH1090" s="166">
        <v>0</v>
      </c>
      <c r="BI1090" s="166">
        <v>0</v>
      </c>
      <c r="BJ1090" s="166">
        <v>0</v>
      </c>
      <c r="BK1090" s="166">
        <v>0</v>
      </c>
      <c r="BL1090" s="166">
        <v>0</v>
      </c>
      <c r="BM1090" s="166">
        <v>0</v>
      </c>
      <c r="BN1090" s="166">
        <v>0</v>
      </c>
      <c r="BO1090" s="166">
        <v>0</v>
      </c>
      <c r="BP1090" s="166">
        <v>0</v>
      </c>
      <c r="BQ1090" s="81" t="s">
        <v>1757</v>
      </c>
      <c r="BZ1090" s="81" t="s">
        <v>155</v>
      </c>
      <c r="CA1090" s="81">
        <v>4</v>
      </c>
      <c r="CC1090" s="167">
        <v>0</v>
      </c>
      <c r="CD1090" s="167">
        <v>0</v>
      </c>
      <c r="CE1090" s="167">
        <f>$N1090/5</f>
        <v>0.2</v>
      </c>
      <c r="CF1090" s="167">
        <f>$N1090/5</f>
        <v>0.2</v>
      </c>
      <c r="CG1090" s="167">
        <f>$N1090/5</f>
        <v>0.2</v>
      </c>
      <c r="CH1090" s="167">
        <f>$N1090/5</f>
        <v>0.2</v>
      </c>
      <c r="CI1090" s="167">
        <f>$N1090/5</f>
        <v>0.2</v>
      </c>
      <c r="CJ1090" s="167">
        <v>0</v>
      </c>
      <c r="CK1090" s="167">
        <v>0</v>
      </c>
      <c r="CL1090" s="167">
        <v>0</v>
      </c>
      <c r="CM1090" s="167">
        <v>0</v>
      </c>
      <c r="CN1090" s="167">
        <v>0</v>
      </c>
      <c r="CO1090" s="167">
        <v>0</v>
      </c>
      <c r="CP1090" s="167">
        <v>0</v>
      </c>
      <c r="CQ1090" s="167">
        <v>0</v>
      </c>
      <c r="CR1090" s="167">
        <v>0</v>
      </c>
      <c r="CS1090" s="167">
        <v>0</v>
      </c>
      <c r="CT1090" s="167">
        <v>0</v>
      </c>
      <c r="CU1090" s="167">
        <v>0</v>
      </c>
      <c r="CV1090" s="167">
        <v>0</v>
      </c>
      <c r="CW1090" s="167">
        <v>0</v>
      </c>
      <c r="CX1090" s="167">
        <f>SUM(CD1090:CH1090)</f>
        <v>0.8</v>
      </c>
      <c r="CY1090" s="167">
        <f>SUM(CD1090:CM1090)</f>
        <v>1</v>
      </c>
    </row>
    <row r="1091" spans="1:103" ht="12.75" customHeight="1" x14ac:dyDescent="0.2">
      <c r="A1091" s="81">
        <v>6596</v>
      </c>
      <c r="B1091" s="165" t="s">
        <v>1930</v>
      </c>
      <c r="C1091" s="165" t="s">
        <v>2864</v>
      </c>
      <c r="E1091" s="165" t="s">
        <v>2865</v>
      </c>
      <c r="G1091" s="81">
        <v>528437</v>
      </c>
      <c r="H1091" s="81">
        <v>176903</v>
      </c>
      <c r="I1091" s="165" t="s">
        <v>240</v>
      </c>
      <c r="L1091" s="166">
        <v>1</v>
      </c>
      <c r="M1091" s="166">
        <v>2</v>
      </c>
      <c r="N1091" s="166">
        <v>1</v>
      </c>
      <c r="O1091" s="166">
        <v>2</v>
      </c>
      <c r="P1091" s="166">
        <v>1</v>
      </c>
      <c r="R1091" s="165" t="s">
        <v>2866</v>
      </c>
      <c r="S1091" s="81" t="s">
        <v>113</v>
      </c>
      <c r="T1091" s="349">
        <v>42870</v>
      </c>
      <c r="U1091" s="349">
        <v>42926</v>
      </c>
      <c r="V1091" s="81" t="s">
        <v>155</v>
      </c>
      <c r="W1091" s="81" t="s">
        <v>114</v>
      </c>
      <c r="Y1091" s="81" t="s">
        <v>115</v>
      </c>
      <c r="Z1091" s="81" t="s">
        <v>119</v>
      </c>
      <c r="AA1091" s="81" t="s">
        <v>117</v>
      </c>
      <c r="AB1091" s="81" t="s">
        <v>220</v>
      </c>
      <c r="AC1091" s="166">
        <v>1.60000007599592E-2</v>
      </c>
      <c r="AG1091" s="81" t="s">
        <v>238</v>
      </c>
      <c r="AH1091" s="81" t="s">
        <v>118</v>
      </c>
      <c r="AK1091" s="166">
        <v>0</v>
      </c>
      <c r="AM1091" s="166">
        <v>0</v>
      </c>
      <c r="AO1091" s="166">
        <v>0</v>
      </c>
      <c r="AP1091" s="166">
        <v>0</v>
      </c>
      <c r="AQ1091" s="166">
        <v>2</v>
      </c>
      <c r="AR1091" s="166">
        <v>0</v>
      </c>
      <c r="AS1091" s="166">
        <v>0</v>
      </c>
      <c r="AT1091" s="166">
        <v>-1</v>
      </c>
      <c r="AU1091" s="166">
        <v>0</v>
      </c>
      <c r="AV1091" s="166">
        <v>0</v>
      </c>
      <c r="AW1091" s="166">
        <v>0</v>
      </c>
      <c r="AX1091" s="166">
        <v>2</v>
      </c>
      <c r="AY1091" s="166">
        <v>0</v>
      </c>
      <c r="AZ1091" s="166">
        <v>0</v>
      </c>
      <c r="BA1091" s="166">
        <v>-1</v>
      </c>
      <c r="BB1091" s="166">
        <v>0</v>
      </c>
      <c r="BC1091" s="166">
        <v>0</v>
      </c>
      <c r="BD1091" s="166">
        <v>0</v>
      </c>
      <c r="BE1091" s="166">
        <v>0</v>
      </c>
      <c r="BF1091" s="166">
        <v>0</v>
      </c>
      <c r="BG1091" s="166">
        <v>0</v>
      </c>
      <c r="BH1091" s="166">
        <v>0</v>
      </c>
      <c r="BI1091" s="166">
        <v>0</v>
      </c>
      <c r="BJ1091" s="166">
        <v>0</v>
      </c>
      <c r="BK1091" s="166">
        <v>0</v>
      </c>
      <c r="BL1091" s="166">
        <v>0</v>
      </c>
      <c r="BM1091" s="166">
        <v>0</v>
      </c>
      <c r="BN1091" s="166">
        <v>0</v>
      </c>
      <c r="BO1091" s="166">
        <v>0</v>
      </c>
      <c r="BP1091" s="166">
        <v>0</v>
      </c>
      <c r="BQ1091" s="81" t="s">
        <v>1757</v>
      </c>
      <c r="BZ1091" s="81" t="s">
        <v>155</v>
      </c>
      <c r="CA1091" s="81" t="s">
        <v>1937</v>
      </c>
      <c r="CC1091" s="167">
        <v>0</v>
      </c>
      <c r="CD1091" s="167">
        <f>$N1091/4</f>
        <v>0.25</v>
      </c>
      <c r="CE1091" s="167">
        <f>$N1091/4</f>
        <v>0.25</v>
      </c>
      <c r="CF1091" s="167">
        <f>$N1091/4</f>
        <v>0.25</v>
      </c>
      <c r="CG1091" s="167">
        <f>$N1091/4</f>
        <v>0.25</v>
      </c>
      <c r="CH1091" s="167">
        <v>0</v>
      </c>
      <c r="CI1091" s="167">
        <v>0</v>
      </c>
      <c r="CJ1091" s="167">
        <v>0</v>
      </c>
      <c r="CK1091" s="167">
        <v>0</v>
      </c>
      <c r="CL1091" s="167">
        <v>0</v>
      </c>
      <c r="CM1091" s="167">
        <v>0</v>
      </c>
      <c r="CN1091" s="167">
        <v>0</v>
      </c>
      <c r="CO1091" s="167">
        <v>0</v>
      </c>
      <c r="CP1091" s="167">
        <v>0</v>
      </c>
      <c r="CQ1091" s="167">
        <v>0</v>
      </c>
      <c r="CR1091" s="167">
        <v>0</v>
      </c>
      <c r="CS1091" s="167">
        <v>0</v>
      </c>
      <c r="CT1091" s="167">
        <v>0</v>
      </c>
      <c r="CU1091" s="167">
        <v>0</v>
      </c>
      <c r="CV1091" s="167">
        <v>0</v>
      </c>
      <c r="CW1091" s="167">
        <v>0</v>
      </c>
      <c r="CX1091" s="167">
        <f>SUM(CD1091:CH1091)</f>
        <v>1</v>
      </c>
      <c r="CY1091" s="167">
        <f>SUM(CD1091:CM1091)</f>
        <v>1</v>
      </c>
    </row>
    <row r="1092" spans="1:103" ht="12.75" customHeight="1" x14ac:dyDescent="0.2">
      <c r="A1092" s="81">
        <v>6597</v>
      </c>
      <c r="B1092" s="165" t="s">
        <v>1930</v>
      </c>
      <c r="C1092" s="165" t="s">
        <v>2845</v>
      </c>
      <c r="E1092" s="165" t="s">
        <v>2846</v>
      </c>
      <c r="G1092" s="81">
        <v>527676</v>
      </c>
      <c r="H1092" s="81">
        <v>171198</v>
      </c>
      <c r="I1092" s="165" t="s">
        <v>253</v>
      </c>
      <c r="L1092" s="166">
        <v>2</v>
      </c>
      <c r="M1092" s="166">
        <v>3</v>
      </c>
      <c r="N1092" s="166">
        <v>1</v>
      </c>
      <c r="O1092" s="166">
        <v>4</v>
      </c>
      <c r="P1092" s="166">
        <v>2</v>
      </c>
      <c r="R1092" s="165" t="s">
        <v>2847</v>
      </c>
      <c r="S1092" s="81" t="s">
        <v>113</v>
      </c>
      <c r="T1092" s="349">
        <v>43039</v>
      </c>
      <c r="U1092" s="349">
        <v>43089</v>
      </c>
      <c r="V1092" s="81" t="s">
        <v>155</v>
      </c>
      <c r="W1092" s="81" t="s">
        <v>114</v>
      </c>
      <c r="Y1092" s="81" t="s">
        <v>115</v>
      </c>
      <c r="Z1092" s="81" t="s">
        <v>398</v>
      </c>
      <c r="AA1092" s="81" t="s">
        <v>117</v>
      </c>
      <c r="AB1092" s="81" t="s">
        <v>220</v>
      </c>
      <c r="AC1092" s="166">
        <v>8.9999996125698107E-3</v>
      </c>
      <c r="AG1092" s="81" t="s">
        <v>238</v>
      </c>
      <c r="AH1092" s="81" t="s">
        <v>118</v>
      </c>
      <c r="AK1092" s="166">
        <v>0</v>
      </c>
      <c r="AM1092" s="166">
        <v>0</v>
      </c>
      <c r="AO1092" s="166">
        <v>0</v>
      </c>
      <c r="AP1092" s="166">
        <v>3</v>
      </c>
      <c r="AQ1092" s="166">
        <v>0</v>
      </c>
      <c r="AR1092" s="166">
        <v>-2</v>
      </c>
      <c r="AS1092" s="166">
        <v>0</v>
      </c>
      <c r="AT1092" s="166">
        <v>0</v>
      </c>
      <c r="AU1092" s="166">
        <v>0</v>
      </c>
      <c r="AV1092" s="166">
        <v>0</v>
      </c>
      <c r="AW1092" s="166">
        <v>3</v>
      </c>
      <c r="AX1092" s="166">
        <v>0</v>
      </c>
      <c r="AY1092" s="166">
        <v>-2</v>
      </c>
      <c r="AZ1092" s="166">
        <v>0</v>
      </c>
      <c r="BA1092" s="166">
        <v>0</v>
      </c>
      <c r="BB1092" s="166">
        <v>0</v>
      </c>
      <c r="BC1092" s="166">
        <v>0</v>
      </c>
      <c r="BD1092" s="166">
        <v>0</v>
      </c>
      <c r="BE1092" s="166">
        <v>0</v>
      </c>
      <c r="BF1092" s="166">
        <v>0</v>
      </c>
      <c r="BG1092" s="166">
        <v>0</v>
      </c>
      <c r="BH1092" s="166">
        <v>0</v>
      </c>
      <c r="BI1092" s="166">
        <v>0</v>
      </c>
      <c r="BJ1092" s="166">
        <v>0</v>
      </c>
      <c r="BK1092" s="166">
        <v>0</v>
      </c>
      <c r="BL1092" s="166">
        <v>0</v>
      </c>
      <c r="BM1092" s="166">
        <v>0</v>
      </c>
      <c r="BN1092" s="166">
        <v>0</v>
      </c>
      <c r="BO1092" s="166">
        <v>0</v>
      </c>
      <c r="BP1092" s="166">
        <v>0</v>
      </c>
      <c r="BQ1092" s="81" t="s">
        <v>1757</v>
      </c>
      <c r="BR1092" s="81" t="s">
        <v>242</v>
      </c>
      <c r="BZ1092" s="81" t="s">
        <v>155</v>
      </c>
      <c r="CA1092" s="81" t="s">
        <v>1937</v>
      </c>
      <c r="CC1092" s="167">
        <v>0</v>
      </c>
      <c r="CD1092" s="167">
        <f>$N1092/4</f>
        <v>0.25</v>
      </c>
      <c r="CE1092" s="167">
        <f>$N1092/4</f>
        <v>0.25</v>
      </c>
      <c r="CF1092" s="167">
        <f>$N1092/4</f>
        <v>0.25</v>
      </c>
      <c r="CG1092" s="167">
        <f>$N1092/4</f>
        <v>0.25</v>
      </c>
      <c r="CH1092" s="167">
        <v>0</v>
      </c>
      <c r="CI1092" s="167">
        <v>0</v>
      </c>
      <c r="CJ1092" s="167">
        <v>0</v>
      </c>
      <c r="CK1092" s="167">
        <v>0</v>
      </c>
      <c r="CL1092" s="167">
        <v>0</v>
      </c>
      <c r="CM1092" s="167">
        <v>0</v>
      </c>
      <c r="CN1092" s="167">
        <v>0</v>
      </c>
      <c r="CO1092" s="167">
        <v>0</v>
      </c>
      <c r="CP1092" s="167">
        <v>0</v>
      </c>
      <c r="CQ1092" s="167">
        <v>0</v>
      </c>
      <c r="CR1092" s="167">
        <v>0</v>
      </c>
      <c r="CS1092" s="167">
        <v>0</v>
      </c>
      <c r="CT1092" s="167">
        <v>0</v>
      </c>
      <c r="CU1092" s="167">
        <v>0</v>
      </c>
      <c r="CV1092" s="167">
        <v>0</v>
      </c>
      <c r="CW1092" s="167">
        <v>0</v>
      </c>
      <c r="CX1092" s="167">
        <f>SUM(CD1092:CH1092)</f>
        <v>1</v>
      </c>
      <c r="CY1092" s="167">
        <f>SUM(CD1092:CM1092)</f>
        <v>1</v>
      </c>
    </row>
    <row r="1093" spans="1:103" ht="12.75" customHeight="1" x14ac:dyDescent="0.2">
      <c r="A1093" s="81">
        <v>6597</v>
      </c>
      <c r="B1093" s="165" t="s">
        <v>1930</v>
      </c>
      <c r="C1093" s="165" t="s">
        <v>2845</v>
      </c>
      <c r="E1093" s="165" t="s">
        <v>2846</v>
      </c>
      <c r="G1093" s="81">
        <v>527676</v>
      </c>
      <c r="H1093" s="81">
        <v>171198</v>
      </c>
      <c r="I1093" s="165" t="s">
        <v>253</v>
      </c>
      <c r="L1093" s="166">
        <v>0</v>
      </c>
      <c r="M1093" s="166">
        <v>1</v>
      </c>
      <c r="N1093" s="166">
        <v>1</v>
      </c>
      <c r="O1093" s="166">
        <v>4</v>
      </c>
      <c r="P1093" s="166">
        <v>2</v>
      </c>
      <c r="R1093" s="165" t="s">
        <v>2847</v>
      </c>
      <c r="S1093" s="81" t="s">
        <v>113</v>
      </c>
      <c r="T1093" s="349">
        <v>43039</v>
      </c>
      <c r="U1093" s="349">
        <v>43089</v>
      </c>
      <c r="V1093" s="81" t="s">
        <v>155</v>
      </c>
      <c r="W1093" s="81" t="s">
        <v>114</v>
      </c>
      <c r="Y1093" s="81" t="s">
        <v>115</v>
      </c>
      <c r="Z1093" s="81" t="s">
        <v>398</v>
      </c>
      <c r="AA1093" s="81" t="s">
        <v>117</v>
      </c>
      <c r="AB1093" s="81" t="s">
        <v>218</v>
      </c>
      <c r="AC1093" s="166">
        <v>3.0000000260770299E-3</v>
      </c>
      <c r="AG1093" s="81" t="s">
        <v>238</v>
      </c>
      <c r="AH1093" s="81" t="s">
        <v>118</v>
      </c>
      <c r="AK1093" s="166">
        <v>0</v>
      </c>
      <c r="AM1093" s="166">
        <v>0</v>
      </c>
      <c r="AO1093" s="166">
        <v>0</v>
      </c>
      <c r="AP1093" s="166">
        <v>1</v>
      </c>
      <c r="AQ1093" s="166">
        <v>0</v>
      </c>
      <c r="AR1093" s="166">
        <v>0</v>
      </c>
      <c r="AS1093" s="166">
        <v>0</v>
      </c>
      <c r="AT1093" s="166">
        <v>0</v>
      </c>
      <c r="AU1093" s="166">
        <v>0</v>
      </c>
      <c r="AV1093" s="166">
        <v>0</v>
      </c>
      <c r="AW1093" s="166">
        <v>1</v>
      </c>
      <c r="AX1093" s="166">
        <v>0</v>
      </c>
      <c r="AY1093" s="166">
        <v>0</v>
      </c>
      <c r="AZ1093" s="166">
        <v>0</v>
      </c>
      <c r="BA1093" s="166">
        <v>0</v>
      </c>
      <c r="BB1093" s="166">
        <v>0</v>
      </c>
      <c r="BC1093" s="166">
        <v>0</v>
      </c>
      <c r="BD1093" s="166">
        <v>0</v>
      </c>
      <c r="BE1093" s="166">
        <v>0</v>
      </c>
      <c r="BF1093" s="166">
        <v>0</v>
      </c>
      <c r="BG1093" s="166">
        <v>0</v>
      </c>
      <c r="BH1093" s="166">
        <v>0</v>
      </c>
      <c r="BI1093" s="166">
        <v>0</v>
      </c>
      <c r="BJ1093" s="166">
        <v>0</v>
      </c>
      <c r="BK1093" s="166">
        <v>0</v>
      </c>
      <c r="BL1093" s="166">
        <v>0</v>
      </c>
      <c r="BM1093" s="166">
        <v>0</v>
      </c>
      <c r="BN1093" s="166">
        <v>0</v>
      </c>
      <c r="BO1093" s="166">
        <v>0</v>
      </c>
      <c r="BP1093" s="166">
        <v>0</v>
      </c>
      <c r="BQ1093" s="81" t="s">
        <v>1757</v>
      </c>
      <c r="BR1093" s="81" t="s">
        <v>242</v>
      </c>
      <c r="BZ1093" s="81" t="s">
        <v>155</v>
      </c>
      <c r="CA1093" s="81" t="s">
        <v>1937</v>
      </c>
      <c r="CC1093" s="167">
        <v>0</v>
      </c>
      <c r="CD1093" s="167">
        <f>$N1093/4</f>
        <v>0.25</v>
      </c>
      <c r="CE1093" s="167">
        <f>$N1093/4</f>
        <v>0.25</v>
      </c>
      <c r="CF1093" s="167">
        <f>$N1093/4</f>
        <v>0.25</v>
      </c>
      <c r="CG1093" s="167">
        <f>$N1093/4</f>
        <v>0.25</v>
      </c>
      <c r="CH1093" s="167">
        <v>0</v>
      </c>
      <c r="CI1093" s="167">
        <v>0</v>
      </c>
      <c r="CJ1093" s="167">
        <v>0</v>
      </c>
      <c r="CK1093" s="167">
        <v>0</v>
      </c>
      <c r="CL1093" s="167">
        <v>0</v>
      </c>
      <c r="CM1093" s="167">
        <v>0</v>
      </c>
      <c r="CN1093" s="167">
        <v>0</v>
      </c>
      <c r="CO1093" s="167">
        <v>0</v>
      </c>
      <c r="CP1093" s="167">
        <v>0</v>
      </c>
      <c r="CQ1093" s="167">
        <v>0</v>
      </c>
      <c r="CR1093" s="167">
        <v>0</v>
      </c>
      <c r="CS1093" s="167">
        <v>0</v>
      </c>
      <c r="CT1093" s="167">
        <v>0</v>
      </c>
      <c r="CU1093" s="167">
        <v>0</v>
      </c>
      <c r="CV1093" s="167">
        <v>0</v>
      </c>
      <c r="CW1093" s="167">
        <v>0</v>
      </c>
      <c r="CX1093" s="167">
        <f>SUM(CD1093:CH1093)</f>
        <v>1</v>
      </c>
      <c r="CY1093" s="167">
        <f>SUM(CD1093:CM1093)</f>
        <v>1</v>
      </c>
    </row>
    <row r="1094" spans="1:103" ht="12.75" customHeight="1" x14ac:dyDescent="0.2">
      <c r="A1094" s="81">
        <v>6600</v>
      </c>
      <c r="B1094" s="165" t="s">
        <v>1930</v>
      </c>
      <c r="C1094" s="165" t="s">
        <v>2875</v>
      </c>
      <c r="E1094" s="165" t="s">
        <v>2876</v>
      </c>
      <c r="G1094" s="81">
        <v>525959</v>
      </c>
      <c r="H1094" s="81">
        <v>174033</v>
      </c>
      <c r="I1094" s="165" t="s">
        <v>249</v>
      </c>
      <c r="L1094" s="166">
        <v>0</v>
      </c>
      <c r="M1094" s="166">
        <v>2</v>
      </c>
      <c r="N1094" s="166">
        <v>2</v>
      </c>
      <c r="O1094" s="166">
        <v>2</v>
      </c>
      <c r="P1094" s="166">
        <v>2</v>
      </c>
      <c r="R1094" s="165" t="s">
        <v>2877</v>
      </c>
      <c r="S1094" s="81" t="s">
        <v>110</v>
      </c>
      <c r="T1094" s="349">
        <v>42998</v>
      </c>
      <c r="U1094" s="349">
        <v>43054</v>
      </c>
      <c r="V1094" s="81" t="s">
        <v>155</v>
      </c>
      <c r="W1094" s="81" t="s">
        <v>114</v>
      </c>
      <c r="Y1094" s="81" t="s">
        <v>115</v>
      </c>
      <c r="Z1094" s="81" t="s">
        <v>310</v>
      </c>
      <c r="AA1094" s="81" t="s">
        <v>117</v>
      </c>
      <c r="AB1094" s="81" t="s">
        <v>102</v>
      </c>
      <c r="AC1094" s="166">
        <v>4.9999998882412902E-3</v>
      </c>
      <c r="AG1094" s="81" t="s">
        <v>238</v>
      </c>
      <c r="AH1094" s="81" t="s">
        <v>118</v>
      </c>
      <c r="AK1094" s="166">
        <v>0</v>
      </c>
      <c r="AM1094" s="166">
        <v>0</v>
      </c>
      <c r="AO1094" s="166">
        <v>1</v>
      </c>
      <c r="AP1094" s="166">
        <v>1</v>
      </c>
      <c r="AQ1094" s="166">
        <v>0</v>
      </c>
      <c r="AR1094" s="166">
        <v>0</v>
      </c>
      <c r="AS1094" s="166">
        <v>0</v>
      </c>
      <c r="AT1094" s="166">
        <v>0</v>
      </c>
      <c r="AU1094" s="166">
        <v>0</v>
      </c>
      <c r="AV1094" s="166">
        <v>1</v>
      </c>
      <c r="AW1094" s="166">
        <v>1</v>
      </c>
      <c r="AX1094" s="166">
        <v>0</v>
      </c>
      <c r="AY1094" s="166">
        <v>0</v>
      </c>
      <c r="AZ1094" s="166">
        <v>0</v>
      </c>
      <c r="BA1094" s="166">
        <v>0</v>
      </c>
      <c r="BB1094" s="166">
        <v>0</v>
      </c>
      <c r="BC1094" s="166">
        <v>0</v>
      </c>
      <c r="BD1094" s="166">
        <v>0</v>
      </c>
      <c r="BE1094" s="166">
        <v>0</v>
      </c>
      <c r="BF1094" s="166">
        <v>0</v>
      </c>
      <c r="BG1094" s="166">
        <v>0</v>
      </c>
      <c r="BH1094" s="166">
        <v>0</v>
      </c>
      <c r="BI1094" s="166">
        <v>0</v>
      </c>
      <c r="BJ1094" s="166">
        <v>0</v>
      </c>
      <c r="BK1094" s="166">
        <v>0</v>
      </c>
      <c r="BL1094" s="166">
        <v>0</v>
      </c>
      <c r="BM1094" s="166">
        <v>0</v>
      </c>
      <c r="BN1094" s="166">
        <v>0</v>
      </c>
      <c r="BO1094" s="166">
        <v>0</v>
      </c>
      <c r="BP1094" s="166">
        <v>0</v>
      </c>
      <c r="BQ1094" s="81" t="s">
        <v>1758</v>
      </c>
      <c r="BZ1094" s="81" t="s">
        <v>155</v>
      </c>
      <c r="CA1094" s="81" t="s">
        <v>1937</v>
      </c>
      <c r="CC1094" s="167">
        <v>0</v>
      </c>
      <c r="CD1094" s="167">
        <f>$N1094/4</f>
        <v>0.5</v>
      </c>
      <c r="CE1094" s="167">
        <f>$N1094/4</f>
        <v>0.5</v>
      </c>
      <c r="CF1094" s="167">
        <f>$N1094/4</f>
        <v>0.5</v>
      </c>
      <c r="CG1094" s="167">
        <f>$N1094/4</f>
        <v>0.5</v>
      </c>
      <c r="CH1094" s="167">
        <v>0</v>
      </c>
      <c r="CI1094" s="167">
        <v>0</v>
      </c>
      <c r="CJ1094" s="167">
        <v>0</v>
      </c>
      <c r="CK1094" s="167">
        <v>0</v>
      </c>
      <c r="CL1094" s="167">
        <v>0</v>
      </c>
      <c r="CM1094" s="167">
        <v>0</v>
      </c>
      <c r="CN1094" s="167">
        <v>0</v>
      </c>
      <c r="CO1094" s="167">
        <v>0</v>
      </c>
      <c r="CP1094" s="167">
        <v>0</v>
      </c>
      <c r="CQ1094" s="167">
        <v>0</v>
      </c>
      <c r="CR1094" s="167">
        <v>0</v>
      </c>
      <c r="CS1094" s="167">
        <v>0</v>
      </c>
      <c r="CT1094" s="167">
        <v>0</v>
      </c>
      <c r="CU1094" s="167">
        <v>0</v>
      </c>
      <c r="CV1094" s="167">
        <v>0</v>
      </c>
      <c r="CW1094" s="167">
        <v>0</v>
      </c>
      <c r="CX1094" s="167">
        <f>SUM(CD1094:CH1094)</f>
        <v>2</v>
      </c>
      <c r="CY1094" s="167">
        <f>SUM(CD1094:CM1094)</f>
        <v>2</v>
      </c>
    </row>
    <row r="1095" spans="1:103" ht="12.75" customHeight="1" x14ac:dyDescent="0.2">
      <c r="A1095" s="81">
        <v>6603</v>
      </c>
      <c r="B1095" s="165" t="s">
        <v>1930</v>
      </c>
      <c r="C1095" s="165" t="s">
        <v>2851</v>
      </c>
      <c r="E1095" s="165" t="s">
        <v>2852</v>
      </c>
      <c r="G1095" s="81">
        <v>527511</v>
      </c>
      <c r="H1095" s="81">
        <v>170980</v>
      </c>
      <c r="I1095" s="165" t="s">
        <v>253</v>
      </c>
      <c r="L1095" s="166">
        <v>0</v>
      </c>
      <c r="M1095" s="166">
        <v>1</v>
      </c>
      <c r="N1095" s="166">
        <v>1</v>
      </c>
      <c r="O1095" s="166">
        <v>1</v>
      </c>
      <c r="P1095" s="166">
        <v>1</v>
      </c>
      <c r="R1095" s="165" t="s">
        <v>2853</v>
      </c>
      <c r="S1095" s="81" t="s">
        <v>113</v>
      </c>
      <c r="T1095" s="349">
        <v>42860</v>
      </c>
      <c r="U1095" s="349">
        <v>42978</v>
      </c>
      <c r="V1095" s="81" t="s">
        <v>155</v>
      </c>
      <c r="W1095" s="81" t="s">
        <v>114</v>
      </c>
      <c r="Y1095" s="81" t="s">
        <v>115</v>
      </c>
      <c r="Z1095" s="81" t="s">
        <v>398</v>
      </c>
      <c r="AA1095" s="81" t="s">
        <v>117</v>
      </c>
      <c r="AB1095" s="81" t="s">
        <v>218</v>
      </c>
      <c r="AC1095" s="166">
        <v>4.9999998882412902E-3</v>
      </c>
      <c r="AG1095" s="81" t="s">
        <v>238</v>
      </c>
      <c r="AH1095" s="81" t="s">
        <v>118</v>
      </c>
      <c r="AK1095" s="166">
        <v>0</v>
      </c>
      <c r="AM1095" s="166">
        <v>0</v>
      </c>
      <c r="AO1095" s="166">
        <v>0</v>
      </c>
      <c r="AP1095" s="166">
        <v>1</v>
      </c>
      <c r="AQ1095" s="166">
        <v>0</v>
      </c>
      <c r="AR1095" s="166">
        <v>0</v>
      </c>
      <c r="AS1095" s="166">
        <v>0</v>
      </c>
      <c r="AT1095" s="166">
        <v>0</v>
      </c>
      <c r="AU1095" s="166">
        <v>0</v>
      </c>
      <c r="AV1095" s="166">
        <v>0</v>
      </c>
      <c r="AW1095" s="166">
        <v>1</v>
      </c>
      <c r="AX1095" s="166">
        <v>0</v>
      </c>
      <c r="AY1095" s="166">
        <v>0</v>
      </c>
      <c r="AZ1095" s="166">
        <v>0</v>
      </c>
      <c r="BA1095" s="166">
        <v>0</v>
      </c>
      <c r="BB1095" s="166">
        <v>0</v>
      </c>
      <c r="BC1095" s="166">
        <v>0</v>
      </c>
      <c r="BD1095" s="166">
        <v>0</v>
      </c>
      <c r="BE1095" s="166">
        <v>0</v>
      </c>
      <c r="BF1095" s="166">
        <v>0</v>
      </c>
      <c r="BG1095" s="166">
        <v>0</v>
      </c>
      <c r="BH1095" s="166">
        <v>0</v>
      </c>
      <c r="BI1095" s="166">
        <v>0</v>
      </c>
      <c r="BJ1095" s="166">
        <v>0</v>
      </c>
      <c r="BK1095" s="166">
        <v>0</v>
      </c>
      <c r="BL1095" s="166">
        <v>0</v>
      </c>
      <c r="BM1095" s="166">
        <v>0</v>
      </c>
      <c r="BN1095" s="166">
        <v>0</v>
      </c>
      <c r="BO1095" s="166">
        <v>0</v>
      </c>
      <c r="BP1095" s="166">
        <v>0</v>
      </c>
      <c r="BQ1095" s="81" t="s">
        <v>1757</v>
      </c>
      <c r="BZ1095" s="81" t="s">
        <v>155</v>
      </c>
      <c r="CA1095" s="81" t="s">
        <v>1937</v>
      </c>
      <c r="CC1095" s="167">
        <v>0</v>
      </c>
      <c r="CD1095" s="167">
        <f>$N1095/4</f>
        <v>0.25</v>
      </c>
      <c r="CE1095" s="167">
        <f>$N1095/4</f>
        <v>0.25</v>
      </c>
      <c r="CF1095" s="167">
        <f>$N1095/4</f>
        <v>0.25</v>
      </c>
      <c r="CG1095" s="167">
        <f>$N1095/4</f>
        <v>0.25</v>
      </c>
      <c r="CH1095" s="167">
        <v>0</v>
      </c>
      <c r="CI1095" s="167">
        <v>0</v>
      </c>
      <c r="CJ1095" s="167">
        <v>0</v>
      </c>
      <c r="CK1095" s="167">
        <v>0</v>
      </c>
      <c r="CL1095" s="167">
        <v>0</v>
      </c>
      <c r="CM1095" s="167">
        <v>0</v>
      </c>
      <c r="CN1095" s="167">
        <v>0</v>
      </c>
      <c r="CO1095" s="167">
        <v>0</v>
      </c>
      <c r="CP1095" s="167">
        <v>0</v>
      </c>
      <c r="CQ1095" s="167">
        <v>0</v>
      </c>
      <c r="CR1095" s="167">
        <v>0</v>
      </c>
      <c r="CS1095" s="167">
        <v>0</v>
      </c>
      <c r="CT1095" s="167">
        <v>0</v>
      </c>
      <c r="CU1095" s="167">
        <v>0</v>
      </c>
      <c r="CV1095" s="167">
        <v>0</v>
      </c>
      <c r="CW1095" s="167">
        <v>0</v>
      </c>
      <c r="CX1095" s="167">
        <f>SUM(CD1095:CH1095)</f>
        <v>1</v>
      </c>
      <c r="CY1095" s="167">
        <f>SUM(CD1095:CM1095)</f>
        <v>1</v>
      </c>
    </row>
    <row r="1096" spans="1:103" ht="12.75" customHeight="1" x14ac:dyDescent="0.2">
      <c r="A1096" s="81">
        <v>6617</v>
      </c>
      <c r="B1096" s="165" t="s">
        <v>1930</v>
      </c>
      <c r="C1096" s="165" t="s">
        <v>2854</v>
      </c>
      <c r="E1096" s="165" t="s">
        <v>2855</v>
      </c>
      <c r="G1096" s="81">
        <v>528284</v>
      </c>
      <c r="H1096" s="81">
        <v>172328</v>
      </c>
      <c r="I1096" s="165" t="s">
        <v>248</v>
      </c>
      <c r="L1096" s="166">
        <v>3</v>
      </c>
      <c r="M1096" s="166">
        <v>3</v>
      </c>
      <c r="N1096" s="166">
        <v>0</v>
      </c>
      <c r="O1096" s="166">
        <v>3</v>
      </c>
      <c r="P1096" s="166">
        <v>0</v>
      </c>
      <c r="R1096" s="165" t="s">
        <v>2856</v>
      </c>
      <c r="S1096" s="81" t="s">
        <v>113</v>
      </c>
      <c r="T1096" s="349">
        <v>43011</v>
      </c>
      <c r="U1096" s="349">
        <v>43129</v>
      </c>
      <c r="V1096" s="81" t="s">
        <v>155</v>
      </c>
      <c r="W1096" s="81" t="s">
        <v>114</v>
      </c>
      <c r="Y1096" s="81" t="s">
        <v>115</v>
      </c>
      <c r="Z1096" s="81" t="s">
        <v>398</v>
      </c>
      <c r="AA1096" s="81" t="s">
        <v>117</v>
      </c>
      <c r="AB1096" s="81" t="s">
        <v>300</v>
      </c>
      <c r="AC1096" s="166">
        <v>1.60000007599592E-2</v>
      </c>
      <c r="AG1096" s="81" t="s">
        <v>238</v>
      </c>
      <c r="AH1096" s="81" t="s">
        <v>118</v>
      </c>
      <c r="AK1096" s="166">
        <v>0</v>
      </c>
      <c r="AM1096" s="166">
        <v>0</v>
      </c>
      <c r="AO1096" s="166">
        <v>-3</v>
      </c>
      <c r="AP1096" s="166">
        <v>1</v>
      </c>
      <c r="AQ1096" s="166">
        <v>1</v>
      </c>
      <c r="AR1096" s="166">
        <v>1</v>
      </c>
      <c r="AS1096" s="166">
        <v>0</v>
      </c>
      <c r="AT1096" s="166">
        <v>0</v>
      </c>
      <c r="AU1096" s="166">
        <v>0</v>
      </c>
      <c r="AV1096" s="166">
        <v>-3</v>
      </c>
      <c r="AW1096" s="166">
        <v>1</v>
      </c>
      <c r="AX1096" s="166">
        <v>1</v>
      </c>
      <c r="AY1096" s="166">
        <v>1</v>
      </c>
      <c r="AZ1096" s="166">
        <v>0</v>
      </c>
      <c r="BA1096" s="166">
        <v>0</v>
      </c>
      <c r="BB1096" s="166">
        <v>0</v>
      </c>
      <c r="BC1096" s="166">
        <v>0</v>
      </c>
      <c r="BD1096" s="166">
        <v>0</v>
      </c>
      <c r="BE1096" s="166">
        <v>0</v>
      </c>
      <c r="BF1096" s="166">
        <v>0</v>
      </c>
      <c r="BG1096" s="166">
        <v>0</v>
      </c>
      <c r="BH1096" s="166">
        <v>0</v>
      </c>
      <c r="BI1096" s="166">
        <v>0</v>
      </c>
      <c r="BJ1096" s="166">
        <v>0</v>
      </c>
      <c r="BK1096" s="166">
        <v>0</v>
      </c>
      <c r="BL1096" s="166">
        <v>0</v>
      </c>
      <c r="BM1096" s="166">
        <v>0</v>
      </c>
      <c r="BN1096" s="166">
        <v>0</v>
      </c>
      <c r="BO1096" s="166">
        <v>0</v>
      </c>
      <c r="BP1096" s="166">
        <v>0</v>
      </c>
      <c r="BQ1096" s="81" t="s">
        <v>1757</v>
      </c>
      <c r="BZ1096" s="81" t="s">
        <v>155</v>
      </c>
      <c r="CA1096" s="81" t="s">
        <v>1937</v>
      </c>
      <c r="CC1096" s="167">
        <v>0</v>
      </c>
      <c r="CD1096" s="167">
        <f>$N1096/4</f>
        <v>0</v>
      </c>
      <c r="CE1096" s="167">
        <f>$N1096/4</f>
        <v>0</v>
      </c>
      <c r="CF1096" s="167">
        <f>$N1096/4</f>
        <v>0</v>
      </c>
      <c r="CG1096" s="167">
        <f>$N1096/4</f>
        <v>0</v>
      </c>
      <c r="CH1096" s="167">
        <v>0</v>
      </c>
      <c r="CI1096" s="167">
        <v>0</v>
      </c>
      <c r="CJ1096" s="167">
        <v>0</v>
      </c>
      <c r="CK1096" s="167">
        <v>0</v>
      </c>
      <c r="CL1096" s="167">
        <v>0</v>
      </c>
      <c r="CM1096" s="167">
        <v>0</v>
      </c>
      <c r="CN1096" s="167">
        <v>0</v>
      </c>
      <c r="CO1096" s="167">
        <v>0</v>
      </c>
      <c r="CP1096" s="167">
        <v>0</v>
      </c>
      <c r="CQ1096" s="167">
        <v>0</v>
      </c>
      <c r="CR1096" s="167">
        <v>0</v>
      </c>
      <c r="CS1096" s="167">
        <v>0</v>
      </c>
      <c r="CT1096" s="167">
        <v>0</v>
      </c>
      <c r="CU1096" s="167">
        <v>0</v>
      </c>
      <c r="CV1096" s="167">
        <v>0</v>
      </c>
      <c r="CW1096" s="167">
        <v>0</v>
      </c>
      <c r="CX1096" s="167">
        <f>SUM(CD1096:CH1096)</f>
        <v>0</v>
      </c>
      <c r="CY1096" s="167">
        <f>SUM(CD1096:CM1096)</f>
        <v>0</v>
      </c>
    </row>
    <row r="1097" spans="1:103" ht="12.75" customHeight="1" x14ac:dyDescent="0.2">
      <c r="A1097" s="81">
        <v>6622</v>
      </c>
      <c r="B1097" s="165" t="s">
        <v>1930</v>
      </c>
      <c r="C1097" s="165" t="s">
        <v>2857</v>
      </c>
      <c r="E1097" s="165" t="s">
        <v>2858</v>
      </c>
      <c r="G1097" s="81">
        <v>526833</v>
      </c>
      <c r="H1097" s="81">
        <v>173595</v>
      </c>
      <c r="I1097" s="165" t="s">
        <v>260</v>
      </c>
      <c r="L1097" s="166">
        <v>1</v>
      </c>
      <c r="M1097" s="166">
        <v>3</v>
      </c>
      <c r="N1097" s="166">
        <v>2</v>
      </c>
      <c r="O1097" s="166">
        <v>3</v>
      </c>
      <c r="P1097" s="166">
        <v>2</v>
      </c>
      <c r="R1097" s="165" t="s">
        <v>2859</v>
      </c>
      <c r="S1097" s="81" t="s">
        <v>113</v>
      </c>
      <c r="T1097" s="349">
        <v>42888</v>
      </c>
      <c r="U1097" s="349">
        <v>42944</v>
      </c>
      <c r="V1097" s="81" t="s">
        <v>155</v>
      </c>
      <c r="W1097" s="81" t="s">
        <v>114</v>
      </c>
      <c r="Y1097" s="81" t="s">
        <v>115</v>
      </c>
      <c r="Z1097" s="81" t="s">
        <v>398</v>
      </c>
      <c r="AA1097" s="81" t="s">
        <v>117</v>
      </c>
      <c r="AB1097" s="81" t="s">
        <v>120</v>
      </c>
      <c r="AC1097" s="166">
        <v>3.9999999105930301E-2</v>
      </c>
      <c r="AG1097" s="81" t="s">
        <v>238</v>
      </c>
      <c r="AH1097" s="81" t="s">
        <v>118</v>
      </c>
      <c r="AK1097" s="166">
        <v>0</v>
      </c>
      <c r="AM1097" s="166">
        <v>0</v>
      </c>
      <c r="AO1097" s="166">
        <v>1</v>
      </c>
      <c r="AP1097" s="166">
        <v>0</v>
      </c>
      <c r="AQ1097" s="166">
        <v>1</v>
      </c>
      <c r="AR1097" s="166">
        <v>1</v>
      </c>
      <c r="AS1097" s="166">
        <v>0</v>
      </c>
      <c r="AT1097" s="166">
        <v>-1</v>
      </c>
      <c r="AU1097" s="166">
        <v>0</v>
      </c>
      <c r="AV1097" s="166">
        <v>1</v>
      </c>
      <c r="AW1097" s="166">
        <v>0</v>
      </c>
      <c r="AX1097" s="166">
        <v>1</v>
      </c>
      <c r="AY1097" s="166">
        <v>1</v>
      </c>
      <c r="AZ1097" s="166">
        <v>0</v>
      </c>
      <c r="BA1097" s="166">
        <v>0</v>
      </c>
      <c r="BB1097" s="166">
        <v>0</v>
      </c>
      <c r="BC1097" s="166">
        <v>0</v>
      </c>
      <c r="BD1097" s="166">
        <v>0</v>
      </c>
      <c r="BE1097" s="166">
        <v>0</v>
      </c>
      <c r="BF1097" s="166">
        <v>0</v>
      </c>
      <c r="BG1097" s="166">
        <v>0</v>
      </c>
      <c r="BH1097" s="166">
        <v>-1</v>
      </c>
      <c r="BI1097" s="166">
        <v>0</v>
      </c>
      <c r="BJ1097" s="166">
        <v>0</v>
      </c>
      <c r="BK1097" s="166">
        <v>0</v>
      </c>
      <c r="BL1097" s="166">
        <v>0</v>
      </c>
      <c r="BM1097" s="166">
        <v>0</v>
      </c>
      <c r="BN1097" s="166">
        <v>0</v>
      </c>
      <c r="BO1097" s="166">
        <v>0</v>
      </c>
      <c r="BP1097" s="166">
        <v>0</v>
      </c>
      <c r="BQ1097" s="81" t="s">
        <v>1758</v>
      </c>
      <c r="BZ1097" s="81" t="s">
        <v>155</v>
      </c>
      <c r="CA1097" s="81" t="s">
        <v>1937</v>
      </c>
      <c r="CC1097" s="167">
        <v>0</v>
      </c>
      <c r="CD1097" s="167">
        <f>$N1097/4</f>
        <v>0.5</v>
      </c>
      <c r="CE1097" s="167">
        <f>$N1097/4</f>
        <v>0.5</v>
      </c>
      <c r="CF1097" s="167">
        <f>$N1097/4</f>
        <v>0.5</v>
      </c>
      <c r="CG1097" s="167">
        <f>$N1097/4</f>
        <v>0.5</v>
      </c>
      <c r="CH1097" s="167">
        <v>0</v>
      </c>
      <c r="CI1097" s="167">
        <v>0</v>
      </c>
      <c r="CJ1097" s="167">
        <v>0</v>
      </c>
      <c r="CK1097" s="167">
        <v>0</v>
      </c>
      <c r="CL1097" s="167">
        <v>0</v>
      </c>
      <c r="CM1097" s="167">
        <v>0</v>
      </c>
      <c r="CN1097" s="167">
        <v>0</v>
      </c>
      <c r="CO1097" s="167">
        <v>0</v>
      </c>
      <c r="CP1097" s="167">
        <v>0</v>
      </c>
      <c r="CQ1097" s="167">
        <v>0</v>
      </c>
      <c r="CR1097" s="167">
        <v>0</v>
      </c>
      <c r="CS1097" s="167">
        <v>0</v>
      </c>
      <c r="CT1097" s="167">
        <v>0</v>
      </c>
      <c r="CU1097" s="167">
        <v>0</v>
      </c>
      <c r="CV1097" s="167">
        <v>0</v>
      </c>
      <c r="CW1097" s="167">
        <v>0</v>
      </c>
      <c r="CX1097" s="167">
        <f>SUM(CD1097:CH1097)</f>
        <v>2</v>
      </c>
      <c r="CY1097" s="167">
        <f>SUM(CD1097:CM1097)</f>
        <v>2</v>
      </c>
    </row>
    <row r="1098" spans="1:103" ht="12.75" customHeight="1" x14ac:dyDescent="0.2">
      <c r="A1098" s="81">
        <v>6627</v>
      </c>
      <c r="B1098" s="165" t="s">
        <v>1930</v>
      </c>
      <c r="C1098" s="165" t="s">
        <v>2860</v>
      </c>
      <c r="E1098" s="165" t="s">
        <v>2861</v>
      </c>
      <c r="G1098" s="81">
        <v>528710</v>
      </c>
      <c r="H1098" s="81">
        <v>176889</v>
      </c>
      <c r="I1098" s="165" t="s">
        <v>240</v>
      </c>
      <c r="L1098" s="166">
        <v>4</v>
      </c>
      <c r="M1098" s="166">
        <v>3</v>
      </c>
      <c r="N1098" s="166">
        <v>-1</v>
      </c>
      <c r="O1098" s="166">
        <v>3</v>
      </c>
      <c r="P1098" s="166">
        <v>-1</v>
      </c>
      <c r="R1098" s="165" t="s">
        <v>2862</v>
      </c>
      <c r="S1098" s="81" t="s">
        <v>113</v>
      </c>
      <c r="T1098" s="349">
        <v>42895</v>
      </c>
      <c r="U1098" s="349">
        <v>42984</v>
      </c>
      <c r="V1098" s="81" t="s">
        <v>155</v>
      </c>
      <c r="W1098" s="81" t="s">
        <v>114</v>
      </c>
      <c r="Y1098" s="81" t="s">
        <v>115</v>
      </c>
      <c r="Z1098" s="81" t="s">
        <v>398</v>
      </c>
      <c r="AA1098" s="81" t="s">
        <v>117</v>
      </c>
      <c r="AB1098" s="81" t="s">
        <v>300</v>
      </c>
      <c r="AC1098" s="166">
        <v>7.0000002160668399E-3</v>
      </c>
      <c r="AG1098" s="81" t="s">
        <v>238</v>
      </c>
      <c r="AH1098" s="81" t="s">
        <v>118</v>
      </c>
      <c r="AI1098" s="81" t="s">
        <v>2863</v>
      </c>
      <c r="AK1098" s="166">
        <v>0</v>
      </c>
      <c r="AM1098" s="166">
        <v>0</v>
      </c>
      <c r="AO1098" s="166">
        <v>0</v>
      </c>
      <c r="AP1098" s="166">
        <v>-1</v>
      </c>
      <c r="AQ1098" s="166">
        <v>1</v>
      </c>
      <c r="AR1098" s="166">
        <v>-1</v>
      </c>
      <c r="AS1098" s="166">
        <v>0</v>
      </c>
      <c r="AT1098" s="166">
        <v>0</v>
      </c>
      <c r="AU1098" s="166">
        <v>0</v>
      </c>
      <c r="AV1098" s="166">
        <v>0</v>
      </c>
      <c r="AW1098" s="166">
        <v>-1</v>
      </c>
      <c r="AX1098" s="166">
        <v>1</v>
      </c>
      <c r="AY1098" s="166">
        <v>-1</v>
      </c>
      <c r="AZ1098" s="166">
        <v>0</v>
      </c>
      <c r="BA1098" s="166">
        <v>0</v>
      </c>
      <c r="BB1098" s="166">
        <v>0</v>
      </c>
      <c r="BC1098" s="166">
        <v>0</v>
      </c>
      <c r="BD1098" s="166">
        <v>0</v>
      </c>
      <c r="BE1098" s="166">
        <v>0</v>
      </c>
      <c r="BF1098" s="166">
        <v>0</v>
      </c>
      <c r="BG1098" s="166">
        <v>0</v>
      </c>
      <c r="BH1098" s="166">
        <v>0</v>
      </c>
      <c r="BI1098" s="166">
        <v>0</v>
      </c>
      <c r="BJ1098" s="166">
        <v>0</v>
      </c>
      <c r="BK1098" s="166">
        <v>0</v>
      </c>
      <c r="BL1098" s="166">
        <v>0</v>
      </c>
      <c r="BM1098" s="166">
        <v>0</v>
      </c>
      <c r="BN1098" s="166">
        <v>0</v>
      </c>
      <c r="BO1098" s="166">
        <v>0</v>
      </c>
      <c r="BP1098" s="166">
        <v>0</v>
      </c>
      <c r="BQ1098" s="81" t="s">
        <v>1759</v>
      </c>
      <c r="BS1098" s="81" t="s">
        <v>155</v>
      </c>
      <c r="BZ1098" s="81" t="s">
        <v>155</v>
      </c>
      <c r="CA1098" s="81" t="s">
        <v>1937</v>
      </c>
      <c r="CC1098" s="167">
        <v>0</v>
      </c>
      <c r="CD1098" s="167">
        <f>$N1098/4</f>
        <v>-0.25</v>
      </c>
      <c r="CE1098" s="167">
        <f>$N1098/4</f>
        <v>-0.25</v>
      </c>
      <c r="CF1098" s="167">
        <f>$N1098/4</f>
        <v>-0.25</v>
      </c>
      <c r="CG1098" s="167">
        <f>$N1098/4</f>
        <v>-0.25</v>
      </c>
      <c r="CH1098" s="167">
        <v>0</v>
      </c>
      <c r="CI1098" s="167">
        <v>0</v>
      </c>
      <c r="CJ1098" s="167">
        <v>0</v>
      </c>
      <c r="CK1098" s="167">
        <v>0</v>
      </c>
      <c r="CL1098" s="167">
        <v>0</v>
      </c>
      <c r="CM1098" s="167">
        <v>0</v>
      </c>
      <c r="CN1098" s="167">
        <v>0</v>
      </c>
      <c r="CO1098" s="167">
        <v>0</v>
      </c>
      <c r="CP1098" s="167">
        <v>0</v>
      </c>
      <c r="CQ1098" s="167">
        <v>0</v>
      </c>
      <c r="CR1098" s="167">
        <v>0</v>
      </c>
      <c r="CS1098" s="167">
        <v>0</v>
      </c>
      <c r="CT1098" s="167">
        <v>0</v>
      </c>
      <c r="CU1098" s="167">
        <v>0</v>
      </c>
      <c r="CV1098" s="167">
        <v>0</v>
      </c>
      <c r="CW1098" s="167">
        <v>0</v>
      </c>
      <c r="CX1098" s="167">
        <f>SUM(CD1098:CH1098)</f>
        <v>-1</v>
      </c>
      <c r="CY1098" s="167">
        <f>SUM(CD1098:CM1098)</f>
        <v>-1</v>
      </c>
    </row>
    <row r="1099" spans="1:103" ht="12.75" customHeight="1" x14ac:dyDescent="0.2">
      <c r="A1099" s="81">
        <v>6631</v>
      </c>
      <c r="B1099" s="165" t="s">
        <v>1930</v>
      </c>
      <c r="C1099" s="165" t="s">
        <v>2881</v>
      </c>
      <c r="E1099" s="165" t="s">
        <v>2882</v>
      </c>
      <c r="G1099" s="81">
        <v>529120</v>
      </c>
      <c r="H1099" s="81">
        <v>172604</v>
      </c>
      <c r="I1099" s="165" t="s">
        <v>248</v>
      </c>
      <c r="L1099" s="166">
        <v>3</v>
      </c>
      <c r="M1099" s="166">
        <v>1</v>
      </c>
      <c r="N1099" s="166">
        <v>-2</v>
      </c>
      <c r="O1099" s="166">
        <v>1</v>
      </c>
      <c r="P1099" s="166">
        <v>-2</v>
      </c>
      <c r="R1099" s="165" t="s">
        <v>2883</v>
      </c>
      <c r="S1099" s="81" t="s">
        <v>113</v>
      </c>
      <c r="T1099" s="349">
        <v>42901</v>
      </c>
      <c r="U1099" s="349">
        <v>42957</v>
      </c>
      <c r="V1099" s="81" t="s">
        <v>155</v>
      </c>
      <c r="W1099" s="81" t="s">
        <v>114</v>
      </c>
      <c r="Y1099" s="81" t="s">
        <v>115</v>
      </c>
      <c r="Z1099" s="81" t="s">
        <v>119</v>
      </c>
      <c r="AA1099" s="81" t="s">
        <v>117</v>
      </c>
      <c r="AB1099" s="81" t="s">
        <v>336</v>
      </c>
      <c r="AC1099" s="166">
        <v>5.2000001072883599E-2</v>
      </c>
      <c r="AG1099" s="81" t="s">
        <v>238</v>
      </c>
      <c r="AH1099" s="81" t="s">
        <v>118</v>
      </c>
      <c r="AK1099" s="166">
        <v>0</v>
      </c>
      <c r="AM1099" s="166">
        <v>0</v>
      </c>
      <c r="AO1099" s="166">
        <v>0</v>
      </c>
      <c r="AP1099" s="166">
        <v>0</v>
      </c>
      <c r="AQ1099" s="166">
        <v>-3</v>
      </c>
      <c r="AR1099" s="166">
        <v>0</v>
      </c>
      <c r="AS1099" s="166">
        <v>0</v>
      </c>
      <c r="AT1099" s="166">
        <v>1</v>
      </c>
      <c r="AU1099" s="166">
        <v>0</v>
      </c>
      <c r="AV1099" s="166">
        <v>0</v>
      </c>
      <c r="AW1099" s="166">
        <v>0</v>
      </c>
      <c r="AX1099" s="166">
        <v>-3</v>
      </c>
      <c r="AY1099" s="166">
        <v>0</v>
      </c>
      <c r="AZ1099" s="166">
        <v>0</v>
      </c>
      <c r="BA1099" s="166">
        <v>0</v>
      </c>
      <c r="BB1099" s="166">
        <v>0</v>
      </c>
      <c r="BC1099" s="166">
        <v>0</v>
      </c>
      <c r="BD1099" s="166">
        <v>0</v>
      </c>
      <c r="BE1099" s="166">
        <v>0</v>
      </c>
      <c r="BF1099" s="166">
        <v>0</v>
      </c>
      <c r="BG1099" s="166">
        <v>0</v>
      </c>
      <c r="BH1099" s="166">
        <v>1</v>
      </c>
      <c r="BI1099" s="166">
        <v>0</v>
      </c>
      <c r="BJ1099" s="166">
        <v>0</v>
      </c>
      <c r="BK1099" s="166">
        <v>0</v>
      </c>
      <c r="BL1099" s="166">
        <v>0</v>
      </c>
      <c r="BM1099" s="166">
        <v>0</v>
      </c>
      <c r="BN1099" s="166">
        <v>0</v>
      </c>
      <c r="BO1099" s="166">
        <v>0</v>
      </c>
      <c r="BP1099" s="166">
        <v>0</v>
      </c>
      <c r="BQ1099" s="81" t="s">
        <v>1757</v>
      </c>
      <c r="BZ1099" s="81" t="s">
        <v>155</v>
      </c>
      <c r="CA1099" s="81" t="s">
        <v>1937</v>
      </c>
      <c r="CC1099" s="167">
        <v>0</v>
      </c>
      <c r="CD1099" s="167">
        <f>$N1099/4</f>
        <v>-0.5</v>
      </c>
      <c r="CE1099" s="167">
        <f>$N1099/4</f>
        <v>-0.5</v>
      </c>
      <c r="CF1099" s="167">
        <f>$N1099/4</f>
        <v>-0.5</v>
      </c>
      <c r="CG1099" s="167">
        <f>$N1099/4</f>
        <v>-0.5</v>
      </c>
      <c r="CH1099" s="167">
        <v>0</v>
      </c>
      <c r="CI1099" s="167">
        <v>0</v>
      </c>
      <c r="CJ1099" s="167">
        <v>0</v>
      </c>
      <c r="CK1099" s="167">
        <v>0</v>
      </c>
      <c r="CL1099" s="167">
        <v>0</v>
      </c>
      <c r="CM1099" s="167">
        <v>0</v>
      </c>
      <c r="CN1099" s="167">
        <v>0</v>
      </c>
      <c r="CO1099" s="167">
        <v>0</v>
      </c>
      <c r="CP1099" s="167">
        <v>0</v>
      </c>
      <c r="CQ1099" s="167">
        <v>0</v>
      </c>
      <c r="CR1099" s="167">
        <v>0</v>
      </c>
      <c r="CS1099" s="167">
        <v>0</v>
      </c>
      <c r="CT1099" s="167">
        <v>0</v>
      </c>
      <c r="CU1099" s="167">
        <v>0</v>
      </c>
      <c r="CV1099" s="167">
        <v>0</v>
      </c>
      <c r="CW1099" s="167">
        <v>0</v>
      </c>
      <c r="CX1099" s="167">
        <f>SUM(CD1099:CH1099)</f>
        <v>-2</v>
      </c>
      <c r="CY1099" s="167">
        <f>SUM(CD1099:CM1099)</f>
        <v>-2</v>
      </c>
    </row>
    <row r="1100" spans="1:103" ht="12.75" customHeight="1" x14ac:dyDescent="0.2">
      <c r="A1100" s="81">
        <v>6632</v>
      </c>
      <c r="B1100" s="165" t="s">
        <v>1930</v>
      </c>
      <c r="C1100" s="165" t="s">
        <v>2867</v>
      </c>
      <c r="E1100" s="165" t="s">
        <v>2189</v>
      </c>
      <c r="G1100" s="81">
        <v>528637</v>
      </c>
      <c r="H1100" s="81">
        <v>176365</v>
      </c>
      <c r="I1100" s="165" t="s">
        <v>240</v>
      </c>
      <c r="L1100" s="166">
        <v>0</v>
      </c>
      <c r="M1100" s="166">
        <v>1</v>
      </c>
      <c r="N1100" s="166">
        <v>1</v>
      </c>
      <c r="O1100" s="166">
        <v>1</v>
      </c>
      <c r="P1100" s="166">
        <v>1</v>
      </c>
      <c r="R1100" s="165" t="s">
        <v>2868</v>
      </c>
      <c r="S1100" s="81" t="s">
        <v>113</v>
      </c>
      <c r="T1100" s="349">
        <v>42902</v>
      </c>
      <c r="U1100" s="349">
        <v>42958</v>
      </c>
      <c r="V1100" s="81" t="s">
        <v>155</v>
      </c>
      <c r="W1100" s="81" t="s">
        <v>114</v>
      </c>
      <c r="Y1100" s="81" t="s">
        <v>115</v>
      </c>
      <c r="Z1100" s="81" t="s">
        <v>219</v>
      </c>
      <c r="AA1100" s="81" t="s">
        <v>117</v>
      </c>
      <c r="AB1100" s="81" t="s">
        <v>3889</v>
      </c>
      <c r="AC1100" s="166">
        <v>6.0000000521540598E-3</v>
      </c>
      <c r="AG1100" s="81" t="s">
        <v>238</v>
      </c>
      <c r="AH1100" s="81" t="s">
        <v>118</v>
      </c>
      <c r="AK1100" s="166">
        <v>0</v>
      </c>
      <c r="AM1100" s="166">
        <v>0</v>
      </c>
      <c r="AO1100" s="166">
        <v>0</v>
      </c>
      <c r="AP1100" s="166">
        <v>0</v>
      </c>
      <c r="AQ1100" s="166">
        <v>1</v>
      </c>
      <c r="AR1100" s="166">
        <v>0</v>
      </c>
      <c r="AS1100" s="166">
        <v>0</v>
      </c>
      <c r="AT1100" s="166">
        <v>0</v>
      </c>
      <c r="AU1100" s="166">
        <v>0</v>
      </c>
      <c r="AV1100" s="166">
        <v>0</v>
      </c>
      <c r="AW1100" s="166">
        <v>0</v>
      </c>
      <c r="AX1100" s="166">
        <v>1</v>
      </c>
      <c r="AY1100" s="166">
        <v>0</v>
      </c>
      <c r="AZ1100" s="166">
        <v>0</v>
      </c>
      <c r="BA1100" s="166">
        <v>0</v>
      </c>
      <c r="BB1100" s="166">
        <v>0</v>
      </c>
      <c r="BC1100" s="166">
        <v>0</v>
      </c>
      <c r="BD1100" s="166">
        <v>0</v>
      </c>
      <c r="BE1100" s="166">
        <v>0</v>
      </c>
      <c r="BF1100" s="166">
        <v>0</v>
      </c>
      <c r="BG1100" s="166">
        <v>0</v>
      </c>
      <c r="BH1100" s="166">
        <v>0</v>
      </c>
      <c r="BI1100" s="166">
        <v>0</v>
      </c>
      <c r="BJ1100" s="166">
        <v>0</v>
      </c>
      <c r="BK1100" s="166">
        <v>0</v>
      </c>
      <c r="BL1100" s="166">
        <v>0</v>
      </c>
      <c r="BM1100" s="166">
        <v>0</v>
      </c>
      <c r="BN1100" s="166">
        <v>0</v>
      </c>
      <c r="BO1100" s="166">
        <v>0</v>
      </c>
      <c r="BP1100" s="166">
        <v>0</v>
      </c>
      <c r="BQ1100" s="81" t="s">
        <v>1757</v>
      </c>
      <c r="BZ1100" s="81" t="s">
        <v>155</v>
      </c>
      <c r="CA1100" s="81" t="s">
        <v>1937</v>
      </c>
      <c r="CC1100" s="167">
        <v>0</v>
      </c>
      <c r="CD1100" s="167">
        <f>$N1100/4</f>
        <v>0.25</v>
      </c>
      <c r="CE1100" s="167">
        <f>$N1100/4</f>
        <v>0.25</v>
      </c>
      <c r="CF1100" s="167">
        <f>$N1100/4</f>
        <v>0.25</v>
      </c>
      <c r="CG1100" s="167">
        <f>$N1100/4</f>
        <v>0.25</v>
      </c>
      <c r="CH1100" s="167">
        <v>0</v>
      </c>
      <c r="CI1100" s="167">
        <v>0</v>
      </c>
      <c r="CJ1100" s="167">
        <v>0</v>
      </c>
      <c r="CK1100" s="167">
        <v>0</v>
      </c>
      <c r="CL1100" s="167">
        <v>0</v>
      </c>
      <c r="CM1100" s="167">
        <v>0</v>
      </c>
      <c r="CN1100" s="167">
        <v>0</v>
      </c>
      <c r="CO1100" s="167">
        <v>0</v>
      </c>
      <c r="CP1100" s="167">
        <v>0</v>
      </c>
      <c r="CQ1100" s="167">
        <v>0</v>
      </c>
      <c r="CR1100" s="167">
        <v>0</v>
      </c>
      <c r="CS1100" s="167">
        <v>0</v>
      </c>
      <c r="CT1100" s="167">
        <v>0</v>
      </c>
      <c r="CU1100" s="167">
        <v>0</v>
      </c>
      <c r="CV1100" s="167">
        <v>0</v>
      </c>
      <c r="CW1100" s="167">
        <v>0</v>
      </c>
      <c r="CX1100" s="167">
        <f>SUM(CD1100:CH1100)</f>
        <v>1</v>
      </c>
      <c r="CY1100" s="167">
        <f>SUM(CD1100:CM1100)</f>
        <v>1</v>
      </c>
    </row>
    <row r="1101" spans="1:103" ht="12.75" customHeight="1" x14ac:dyDescent="0.2">
      <c r="A1101" s="81">
        <v>6643</v>
      </c>
      <c r="B1101" s="165" t="s">
        <v>1930</v>
      </c>
      <c r="C1101" s="165" t="s">
        <v>2869</v>
      </c>
      <c r="E1101" s="165" t="s">
        <v>2870</v>
      </c>
      <c r="G1101" s="81">
        <v>527583</v>
      </c>
      <c r="H1101" s="81">
        <v>175000</v>
      </c>
      <c r="I1101" s="165" t="s">
        <v>255</v>
      </c>
      <c r="L1101" s="166">
        <v>0</v>
      </c>
      <c r="M1101" s="166">
        <v>1</v>
      </c>
      <c r="N1101" s="166">
        <v>1</v>
      </c>
      <c r="O1101" s="166">
        <v>1</v>
      </c>
      <c r="P1101" s="166">
        <v>1</v>
      </c>
      <c r="R1101" s="165" t="s">
        <v>2871</v>
      </c>
      <c r="S1101" s="81" t="s">
        <v>113</v>
      </c>
      <c r="T1101" s="349">
        <v>42912</v>
      </c>
      <c r="U1101" s="349">
        <v>43032</v>
      </c>
      <c r="V1101" s="81" t="s">
        <v>155</v>
      </c>
      <c r="W1101" s="81" t="s">
        <v>114</v>
      </c>
      <c r="Y1101" s="81" t="s">
        <v>115</v>
      </c>
      <c r="Z1101" s="81" t="s">
        <v>219</v>
      </c>
      <c r="AA1101" s="81" t="s">
        <v>117</v>
      </c>
      <c r="AB1101" s="81" t="s">
        <v>3889</v>
      </c>
      <c r="AC1101" s="166">
        <v>8.9999996125698107E-3</v>
      </c>
      <c r="AG1101" s="81" t="s">
        <v>238</v>
      </c>
      <c r="AH1101" s="81" t="s">
        <v>118</v>
      </c>
      <c r="AK1101" s="166">
        <v>0</v>
      </c>
      <c r="AM1101" s="166">
        <v>0</v>
      </c>
      <c r="AO1101" s="166">
        <v>0</v>
      </c>
      <c r="AP1101" s="166">
        <v>0</v>
      </c>
      <c r="AQ1101" s="166">
        <v>1</v>
      </c>
      <c r="AR1101" s="166">
        <v>0</v>
      </c>
      <c r="AS1101" s="166">
        <v>0</v>
      </c>
      <c r="AT1101" s="166">
        <v>0</v>
      </c>
      <c r="AU1101" s="166">
        <v>0</v>
      </c>
      <c r="AV1101" s="166">
        <v>0</v>
      </c>
      <c r="AW1101" s="166">
        <v>0</v>
      </c>
      <c r="AX1101" s="166">
        <v>1</v>
      </c>
      <c r="AY1101" s="166">
        <v>0</v>
      </c>
      <c r="AZ1101" s="166">
        <v>0</v>
      </c>
      <c r="BA1101" s="166">
        <v>0</v>
      </c>
      <c r="BB1101" s="166">
        <v>0</v>
      </c>
      <c r="BC1101" s="166">
        <v>0</v>
      </c>
      <c r="BD1101" s="166">
        <v>0</v>
      </c>
      <c r="BE1101" s="166">
        <v>0</v>
      </c>
      <c r="BF1101" s="166">
        <v>0</v>
      </c>
      <c r="BG1101" s="166">
        <v>0</v>
      </c>
      <c r="BH1101" s="166">
        <v>0</v>
      </c>
      <c r="BI1101" s="166">
        <v>0</v>
      </c>
      <c r="BJ1101" s="166">
        <v>0</v>
      </c>
      <c r="BK1101" s="166">
        <v>0</v>
      </c>
      <c r="BL1101" s="166">
        <v>0</v>
      </c>
      <c r="BM1101" s="166">
        <v>0</v>
      </c>
      <c r="BN1101" s="166">
        <v>0</v>
      </c>
      <c r="BO1101" s="166">
        <v>0</v>
      </c>
      <c r="BP1101" s="166">
        <v>0</v>
      </c>
      <c r="BQ1101" s="81" t="s">
        <v>1757</v>
      </c>
      <c r="BZ1101" s="81" t="s">
        <v>155</v>
      </c>
      <c r="CA1101" s="81" t="s">
        <v>1937</v>
      </c>
      <c r="CC1101" s="167">
        <v>0</v>
      </c>
      <c r="CD1101" s="167">
        <f>$N1101/4</f>
        <v>0.25</v>
      </c>
      <c r="CE1101" s="167">
        <f>$N1101/4</f>
        <v>0.25</v>
      </c>
      <c r="CF1101" s="167">
        <f>$N1101/4</f>
        <v>0.25</v>
      </c>
      <c r="CG1101" s="167">
        <f>$N1101/4</f>
        <v>0.25</v>
      </c>
      <c r="CH1101" s="167">
        <v>0</v>
      </c>
      <c r="CI1101" s="167">
        <v>0</v>
      </c>
      <c r="CJ1101" s="167">
        <v>0</v>
      </c>
      <c r="CK1101" s="167">
        <v>0</v>
      </c>
      <c r="CL1101" s="167">
        <v>0</v>
      </c>
      <c r="CM1101" s="167">
        <v>0</v>
      </c>
      <c r="CN1101" s="167">
        <v>0</v>
      </c>
      <c r="CO1101" s="167">
        <v>0</v>
      </c>
      <c r="CP1101" s="167">
        <v>0</v>
      </c>
      <c r="CQ1101" s="167">
        <v>0</v>
      </c>
      <c r="CR1101" s="167">
        <v>0</v>
      </c>
      <c r="CS1101" s="167">
        <v>0</v>
      </c>
      <c r="CT1101" s="167">
        <v>0</v>
      </c>
      <c r="CU1101" s="167">
        <v>0</v>
      </c>
      <c r="CV1101" s="167">
        <v>0</v>
      </c>
      <c r="CW1101" s="167">
        <v>0</v>
      </c>
      <c r="CX1101" s="167">
        <f>SUM(CD1101:CH1101)</f>
        <v>1</v>
      </c>
      <c r="CY1101" s="167">
        <f>SUM(CD1101:CM1101)</f>
        <v>1</v>
      </c>
    </row>
    <row r="1102" spans="1:103" ht="12.75" customHeight="1" x14ac:dyDescent="0.2">
      <c r="A1102" s="81">
        <v>6646</v>
      </c>
      <c r="B1102" s="165" t="s">
        <v>1930</v>
      </c>
      <c r="C1102" s="165" t="s">
        <v>2872</v>
      </c>
      <c r="E1102" s="165" t="s">
        <v>2873</v>
      </c>
      <c r="G1102" s="81">
        <v>528286</v>
      </c>
      <c r="H1102" s="81">
        <v>172911</v>
      </c>
      <c r="I1102" s="165" t="s">
        <v>254</v>
      </c>
      <c r="L1102" s="166">
        <v>1</v>
      </c>
      <c r="M1102" s="166">
        <v>2</v>
      </c>
      <c r="N1102" s="166">
        <v>1</v>
      </c>
      <c r="O1102" s="166">
        <v>2</v>
      </c>
      <c r="P1102" s="166">
        <v>1</v>
      </c>
      <c r="R1102" s="165" t="s">
        <v>2874</v>
      </c>
      <c r="S1102" s="81" t="s">
        <v>113</v>
      </c>
      <c r="T1102" s="349">
        <v>42915</v>
      </c>
      <c r="U1102" s="349">
        <v>42971</v>
      </c>
      <c r="V1102" s="81" t="s">
        <v>155</v>
      </c>
      <c r="W1102" s="81" t="s">
        <v>114</v>
      </c>
      <c r="Y1102" s="81" t="s">
        <v>115</v>
      </c>
      <c r="Z1102" s="81" t="s">
        <v>398</v>
      </c>
      <c r="AA1102" s="81" t="s">
        <v>117</v>
      </c>
      <c r="AB1102" s="81" t="s">
        <v>220</v>
      </c>
      <c r="AC1102" s="166">
        <v>9.9999997764825804E-3</v>
      </c>
      <c r="AG1102" s="81" t="s">
        <v>238</v>
      </c>
      <c r="AH1102" s="81" t="s">
        <v>118</v>
      </c>
      <c r="AK1102" s="166">
        <v>0</v>
      </c>
      <c r="AM1102" s="166">
        <v>0</v>
      </c>
      <c r="AO1102" s="166">
        <v>0</v>
      </c>
      <c r="AP1102" s="166">
        <v>1</v>
      </c>
      <c r="AQ1102" s="166">
        <v>1</v>
      </c>
      <c r="AR1102" s="166">
        <v>0</v>
      </c>
      <c r="AS1102" s="166">
        <v>-1</v>
      </c>
      <c r="AT1102" s="166">
        <v>0</v>
      </c>
      <c r="AU1102" s="166">
        <v>0</v>
      </c>
      <c r="AV1102" s="166">
        <v>0</v>
      </c>
      <c r="AW1102" s="166">
        <v>1</v>
      </c>
      <c r="AX1102" s="166">
        <v>1</v>
      </c>
      <c r="AY1102" s="166">
        <v>0</v>
      </c>
      <c r="AZ1102" s="166">
        <v>-1</v>
      </c>
      <c r="BA1102" s="166">
        <v>0</v>
      </c>
      <c r="BB1102" s="166">
        <v>0</v>
      </c>
      <c r="BC1102" s="166">
        <v>0</v>
      </c>
      <c r="BD1102" s="166">
        <v>0</v>
      </c>
      <c r="BE1102" s="166">
        <v>0</v>
      </c>
      <c r="BF1102" s="166">
        <v>0</v>
      </c>
      <c r="BG1102" s="166">
        <v>0</v>
      </c>
      <c r="BH1102" s="166">
        <v>0</v>
      </c>
      <c r="BI1102" s="166">
        <v>0</v>
      </c>
      <c r="BJ1102" s="166">
        <v>0</v>
      </c>
      <c r="BK1102" s="166">
        <v>0</v>
      </c>
      <c r="BL1102" s="166">
        <v>0</v>
      </c>
      <c r="BM1102" s="166">
        <v>0</v>
      </c>
      <c r="BN1102" s="166">
        <v>0</v>
      </c>
      <c r="BO1102" s="166">
        <v>0</v>
      </c>
      <c r="BP1102" s="166">
        <v>0</v>
      </c>
      <c r="BQ1102" s="81" t="s">
        <v>1757</v>
      </c>
      <c r="BZ1102" s="81" t="s">
        <v>155</v>
      </c>
      <c r="CA1102" s="81" t="s">
        <v>1937</v>
      </c>
      <c r="CC1102" s="167">
        <v>0</v>
      </c>
      <c r="CD1102" s="167">
        <f>$N1102/4</f>
        <v>0.25</v>
      </c>
      <c r="CE1102" s="167">
        <f>$N1102/4</f>
        <v>0.25</v>
      </c>
      <c r="CF1102" s="167">
        <f>$N1102/4</f>
        <v>0.25</v>
      </c>
      <c r="CG1102" s="167">
        <f>$N1102/4</f>
        <v>0.25</v>
      </c>
      <c r="CH1102" s="167">
        <v>0</v>
      </c>
      <c r="CI1102" s="167">
        <v>0</v>
      </c>
      <c r="CJ1102" s="167">
        <v>0</v>
      </c>
      <c r="CK1102" s="167">
        <v>0</v>
      </c>
      <c r="CL1102" s="167">
        <v>0</v>
      </c>
      <c r="CM1102" s="167">
        <v>0</v>
      </c>
      <c r="CN1102" s="167">
        <v>0</v>
      </c>
      <c r="CO1102" s="167">
        <v>0</v>
      </c>
      <c r="CP1102" s="167">
        <v>0</v>
      </c>
      <c r="CQ1102" s="167">
        <v>0</v>
      </c>
      <c r="CR1102" s="167">
        <v>0</v>
      </c>
      <c r="CS1102" s="167">
        <v>0</v>
      </c>
      <c r="CT1102" s="167">
        <v>0</v>
      </c>
      <c r="CU1102" s="167">
        <v>0</v>
      </c>
      <c r="CV1102" s="167">
        <v>0</v>
      </c>
      <c r="CW1102" s="167">
        <v>0</v>
      </c>
      <c r="CX1102" s="167">
        <f>SUM(CD1102:CH1102)</f>
        <v>1</v>
      </c>
      <c r="CY1102" s="167">
        <f>SUM(CD1102:CM1102)</f>
        <v>1</v>
      </c>
    </row>
    <row r="1103" spans="1:103" ht="12.75" customHeight="1" x14ac:dyDescent="0.2">
      <c r="A1103" s="81">
        <v>6649</v>
      </c>
      <c r="B1103" s="165" t="s">
        <v>1930</v>
      </c>
      <c r="C1103" s="165" t="s">
        <v>2884</v>
      </c>
      <c r="E1103" s="165" t="s">
        <v>2885</v>
      </c>
      <c r="G1103" s="81">
        <v>526076</v>
      </c>
      <c r="H1103" s="81">
        <v>174533</v>
      </c>
      <c r="I1103" s="165" t="s">
        <v>251</v>
      </c>
      <c r="L1103" s="166">
        <v>2</v>
      </c>
      <c r="M1103" s="166">
        <v>1</v>
      </c>
      <c r="N1103" s="166">
        <v>-1</v>
      </c>
      <c r="O1103" s="166">
        <v>1</v>
      </c>
      <c r="P1103" s="166">
        <v>-1</v>
      </c>
      <c r="R1103" s="165" t="s">
        <v>2886</v>
      </c>
      <c r="S1103" s="81" t="s">
        <v>113</v>
      </c>
      <c r="T1103" s="349">
        <v>42934</v>
      </c>
      <c r="U1103" s="349">
        <v>42985</v>
      </c>
      <c r="V1103" s="81" t="s">
        <v>155</v>
      </c>
      <c r="W1103" s="81" t="s">
        <v>114</v>
      </c>
      <c r="Y1103" s="81" t="s">
        <v>115</v>
      </c>
      <c r="Z1103" s="81" t="s">
        <v>119</v>
      </c>
      <c r="AA1103" s="81" t="s">
        <v>117</v>
      </c>
      <c r="AB1103" s="81" t="s">
        <v>336</v>
      </c>
      <c r="AC1103" s="166">
        <v>2.4000000208616298E-2</v>
      </c>
      <c r="AG1103" s="81" t="s">
        <v>238</v>
      </c>
      <c r="AH1103" s="81" t="s">
        <v>118</v>
      </c>
      <c r="AK1103" s="166">
        <v>0</v>
      </c>
      <c r="AM1103" s="166">
        <v>0</v>
      </c>
      <c r="AO1103" s="166">
        <v>0</v>
      </c>
      <c r="AP1103" s="166">
        <v>0</v>
      </c>
      <c r="AQ1103" s="166">
        <v>-2</v>
      </c>
      <c r="AR1103" s="166">
        <v>0</v>
      </c>
      <c r="AS1103" s="166">
        <v>1</v>
      </c>
      <c r="AT1103" s="166">
        <v>0</v>
      </c>
      <c r="AU1103" s="166">
        <v>0</v>
      </c>
      <c r="AV1103" s="166">
        <v>0</v>
      </c>
      <c r="AW1103" s="166">
        <v>0</v>
      </c>
      <c r="AX1103" s="166">
        <v>-2</v>
      </c>
      <c r="AY1103" s="166">
        <v>0</v>
      </c>
      <c r="AZ1103" s="166">
        <v>0</v>
      </c>
      <c r="BA1103" s="166">
        <v>0</v>
      </c>
      <c r="BB1103" s="166">
        <v>0</v>
      </c>
      <c r="BC1103" s="166">
        <v>0</v>
      </c>
      <c r="BD1103" s="166">
        <v>0</v>
      </c>
      <c r="BE1103" s="166">
        <v>0</v>
      </c>
      <c r="BF1103" s="166">
        <v>0</v>
      </c>
      <c r="BG1103" s="166">
        <v>1</v>
      </c>
      <c r="BH1103" s="166">
        <v>0</v>
      </c>
      <c r="BI1103" s="166">
        <v>0</v>
      </c>
      <c r="BJ1103" s="166">
        <v>0</v>
      </c>
      <c r="BK1103" s="166">
        <v>0</v>
      </c>
      <c r="BL1103" s="166">
        <v>0</v>
      </c>
      <c r="BM1103" s="166">
        <v>0</v>
      </c>
      <c r="BN1103" s="166">
        <v>0</v>
      </c>
      <c r="BO1103" s="166">
        <v>0</v>
      </c>
      <c r="BP1103" s="166">
        <v>0</v>
      </c>
      <c r="BQ1103" s="81" t="s">
        <v>1758</v>
      </c>
      <c r="BZ1103" s="81" t="s">
        <v>155</v>
      </c>
      <c r="CA1103" s="81" t="s">
        <v>1937</v>
      </c>
      <c r="CC1103" s="167">
        <v>0</v>
      </c>
      <c r="CD1103" s="167">
        <f>$N1103/4</f>
        <v>-0.25</v>
      </c>
      <c r="CE1103" s="167">
        <f>$N1103/4</f>
        <v>-0.25</v>
      </c>
      <c r="CF1103" s="167">
        <f>$N1103/4</f>
        <v>-0.25</v>
      </c>
      <c r="CG1103" s="167">
        <f>$N1103/4</f>
        <v>-0.25</v>
      </c>
      <c r="CH1103" s="167">
        <v>0</v>
      </c>
      <c r="CI1103" s="167">
        <v>0</v>
      </c>
      <c r="CJ1103" s="167">
        <v>0</v>
      </c>
      <c r="CK1103" s="167">
        <v>0</v>
      </c>
      <c r="CL1103" s="167">
        <v>0</v>
      </c>
      <c r="CM1103" s="167">
        <v>0</v>
      </c>
      <c r="CN1103" s="167">
        <v>0</v>
      </c>
      <c r="CO1103" s="167">
        <v>0</v>
      </c>
      <c r="CP1103" s="167">
        <v>0</v>
      </c>
      <c r="CQ1103" s="167">
        <v>0</v>
      </c>
      <c r="CR1103" s="167">
        <v>0</v>
      </c>
      <c r="CS1103" s="167">
        <v>0</v>
      </c>
      <c r="CT1103" s="167">
        <v>0</v>
      </c>
      <c r="CU1103" s="167">
        <v>0</v>
      </c>
      <c r="CV1103" s="167">
        <v>0</v>
      </c>
      <c r="CW1103" s="167">
        <v>0</v>
      </c>
      <c r="CX1103" s="167">
        <f>SUM(CD1103:CH1103)</f>
        <v>-1</v>
      </c>
      <c r="CY1103" s="167">
        <f>SUM(CD1103:CM1103)</f>
        <v>-1</v>
      </c>
    </row>
    <row r="1104" spans="1:103" ht="12.75" customHeight="1" x14ac:dyDescent="0.2">
      <c r="A1104" s="81">
        <v>6654</v>
      </c>
      <c r="B1104" s="165" t="s">
        <v>1930</v>
      </c>
      <c r="C1104" s="165" t="s">
        <v>2878</v>
      </c>
      <c r="E1104" s="165" t="s">
        <v>2879</v>
      </c>
      <c r="G1104" s="81">
        <v>522636</v>
      </c>
      <c r="H1104" s="81">
        <v>175154</v>
      </c>
      <c r="I1104" s="165" t="s">
        <v>59</v>
      </c>
      <c r="L1104" s="166">
        <v>1</v>
      </c>
      <c r="M1104" s="166">
        <v>2</v>
      </c>
      <c r="N1104" s="166">
        <v>1</v>
      </c>
      <c r="O1104" s="166">
        <v>2</v>
      </c>
      <c r="P1104" s="166">
        <v>1</v>
      </c>
      <c r="R1104" s="165" t="s">
        <v>2880</v>
      </c>
      <c r="S1104" s="81" t="s">
        <v>113</v>
      </c>
      <c r="T1104" s="349">
        <v>42936</v>
      </c>
      <c r="U1104" s="349">
        <v>42991</v>
      </c>
      <c r="V1104" s="81" t="s">
        <v>155</v>
      </c>
      <c r="W1104" s="81" t="s">
        <v>114</v>
      </c>
      <c r="Y1104" s="81" t="s">
        <v>115</v>
      </c>
      <c r="Z1104" s="81" t="s">
        <v>398</v>
      </c>
      <c r="AA1104" s="81" t="s">
        <v>117</v>
      </c>
      <c r="AB1104" s="81" t="s">
        <v>120</v>
      </c>
      <c r="AC1104" s="166">
        <v>2.3000000044703501E-2</v>
      </c>
      <c r="AG1104" s="81" t="s">
        <v>238</v>
      </c>
      <c r="AH1104" s="81" t="s">
        <v>118</v>
      </c>
      <c r="AK1104" s="166">
        <v>0</v>
      </c>
      <c r="AM1104" s="166">
        <v>0</v>
      </c>
      <c r="AO1104" s="166">
        <v>0</v>
      </c>
      <c r="AP1104" s="166">
        <v>0</v>
      </c>
      <c r="AQ1104" s="166">
        <v>1</v>
      </c>
      <c r="AR1104" s="166">
        <v>0</v>
      </c>
      <c r="AS1104" s="166">
        <v>0</v>
      </c>
      <c r="AT1104" s="166">
        <v>0</v>
      </c>
      <c r="AU1104" s="166">
        <v>0</v>
      </c>
      <c r="AV1104" s="166">
        <v>0</v>
      </c>
      <c r="AW1104" s="166">
        <v>0</v>
      </c>
      <c r="AX1104" s="166">
        <v>1</v>
      </c>
      <c r="AY1104" s="166">
        <v>1</v>
      </c>
      <c r="AZ1104" s="166">
        <v>0</v>
      </c>
      <c r="BA1104" s="166">
        <v>0</v>
      </c>
      <c r="BB1104" s="166">
        <v>0</v>
      </c>
      <c r="BC1104" s="166">
        <v>0</v>
      </c>
      <c r="BD1104" s="166">
        <v>0</v>
      </c>
      <c r="BE1104" s="166">
        <v>0</v>
      </c>
      <c r="BF1104" s="166">
        <v>-1</v>
      </c>
      <c r="BG1104" s="166">
        <v>0</v>
      </c>
      <c r="BH1104" s="166">
        <v>0</v>
      </c>
      <c r="BI1104" s="166">
        <v>0</v>
      </c>
      <c r="BJ1104" s="166">
        <v>0</v>
      </c>
      <c r="BK1104" s="166">
        <v>0</v>
      </c>
      <c r="BL1104" s="166">
        <v>0</v>
      </c>
      <c r="BM1104" s="166">
        <v>0</v>
      </c>
      <c r="BN1104" s="166">
        <v>0</v>
      </c>
      <c r="BO1104" s="166">
        <v>0</v>
      </c>
      <c r="BP1104" s="166">
        <v>0</v>
      </c>
      <c r="BQ1104" s="81" t="s">
        <v>1758</v>
      </c>
      <c r="BZ1104" s="81" t="s">
        <v>155</v>
      </c>
      <c r="CA1104" s="81" t="s">
        <v>1937</v>
      </c>
      <c r="CC1104" s="167">
        <v>0</v>
      </c>
      <c r="CD1104" s="167">
        <f>$N1104/4</f>
        <v>0.25</v>
      </c>
      <c r="CE1104" s="167">
        <f>$N1104/4</f>
        <v>0.25</v>
      </c>
      <c r="CF1104" s="167">
        <f>$N1104/4</f>
        <v>0.25</v>
      </c>
      <c r="CG1104" s="167">
        <f>$N1104/4</f>
        <v>0.25</v>
      </c>
      <c r="CH1104" s="167">
        <v>0</v>
      </c>
      <c r="CI1104" s="167">
        <v>0</v>
      </c>
      <c r="CJ1104" s="167">
        <v>0</v>
      </c>
      <c r="CK1104" s="167">
        <v>0</v>
      </c>
      <c r="CL1104" s="167">
        <v>0</v>
      </c>
      <c r="CM1104" s="167">
        <v>0</v>
      </c>
      <c r="CN1104" s="167">
        <v>0</v>
      </c>
      <c r="CO1104" s="167">
        <v>0</v>
      </c>
      <c r="CP1104" s="167">
        <v>0</v>
      </c>
      <c r="CQ1104" s="167">
        <v>0</v>
      </c>
      <c r="CR1104" s="167">
        <v>0</v>
      </c>
      <c r="CS1104" s="167">
        <v>0</v>
      </c>
      <c r="CT1104" s="167">
        <v>0</v>
      </c>
      <c r="CU1104" s="167">
        <v>0</v>
      </c>
      <c r="CV1104" s="167">
        <v>0</v>
      </c>
      <c r="CW1104" s="167">
        <v>0</v>
      </c>
      <c r="CX1104" s="167">
        <f>SUM(CD1104:CH1104)</f>
        <v>1</v>
      </c>
      <c r="CY1104" s="167">
        <f>SUM(CD1104:CM1104)</f>
        <v>1</v>
      </c>
    </row>
    <row r="1105" spans="1:103" ht="12.75" customHeight="1" x14ac:dyDescent="0.2">
      <c r="A1105" s="81">
        <v>6665</v>
      </c>
      <c r="B1105" s="165" t="s">
        <v>1930</v>
      </c>
      <c r="C1105" s="165" t="s">
        <v>2933</v>
      </c>
      <c r="E1105" s="165" t="s">
        <v>2934</v>
      </c>
      <c r="G1105" s="81">
        <v>528744</v>
      </c>
      <c r="H1105" s="81">
        <v>173591</v>
      </c>
      <c r="I1105" s="165" t="s">
        <v>247</v>
      </c>
      <c r="L1105" s="166">
        <v>0</v>
      </c>
      <c r="M1105" s="166">
        <v>1</v>
      </c>
      <c r="N1105" s="166">
        <v>1</v>
      </c>
      <c r="O1105" s="166">
        <v>2</v>
      </c>
      <c r="P1105" s="166">
        <v>2</v>
      </c>
      <c r="R1105" s="165" t="s">
        <v>2935</v>
      </c>
      <c r="S1105" s="81" t="s">
        <v>113</v>
      </c>
      <c r="T1105" s="349">
        <v>42950</v>
      </c>
      <c r="U1105" s="349">
        <v>43063</v>
      </c>
      <c r="V1105" s="81" t="s">
        <v>155</v>
      </c>
      <c r="W1105" s="81" t="s">
        <v>114</v>
      </c>
      <c r="Y1105" s="81" t="s">
        <v>115</v>
      </c>
      <c r="Z1105" s="81" t="s">
        <v>310</v>
      </c>
      <c r="AA1105" s="81" t="s">
        <v>117</v>
      </c>
      <c r="AB1105" s="81" t="s">
        <v>311</v>
      </c>
      <c r="AC1105" s="166">
        <v>2.0000000949949E-3</v>
      </c>
      <c r="AG1105" s="81" t="s">
        <v>238</v>
      </c>
      <c r="AH1105" s="81" t="s">
        <v>118</v>
      </c>
      <c r="AK1105" s="166">
        <v>0</v>
      </c>
      <c r="AM1105" s="166">
        <v>0</v>
      </c>
      <c r="AO1105" s="166">
        <v>0</v>
      </c>
      <c r="AP1105" s="166">
        <v>1</v>
      </c>
      <c r="AQ1105" s="166">
        <v>0</v>
      </c>
      <c r="AR1105" s="166">
        <v>0</v>
      </c>
      <c r="AS1105" s="166">
        <v>0</v>
      </c>
      <c r="AT1105" s="166">
        <v>0</v>
      </c>
      <c r="AU1105" s="166">
        <v>0</v>
      </c>
      <c r="AV1105" s="166">
        <v>0</v>
      </c>
      <c r="AW1105" s="166">
        <v>1</v>
      </c>
      <c r="AX1105" s="166">
        <v>0</v>
      </c>
      <c r="AY1105" s="166">
        <v>0</v>
      </c>
      <c r="AZ1105" s="166">
        <v>0</v>
      </c>
      <c r="BA1105" s="166">
        <v>0</v>
      </c>
      <c r="BB1105" s="166">
        <v>0</v>
      </c>
      <c r="BC1105" s="166">
        <v>0</v>
      </c>
      <c r="BD1105" s="166">
        <v>0</v>
      </c>
      <c r="BE1105" s="166">
        <v>0</v>
      </c>
      <c r="BF1105" s="166">
        <v>0</v>
      </c>
      <c r="BG1105" s="166">
        <v>0</v>
      </c>
      <c r="BH1105" s="166">
        <v>0</v>
      </c>
      <c r="BI1105" s="166">
        <v>0</v>
      </c>
      <c r="BJ1105" s="166">
        <v>0</v>
      </c>
      <c r="BK1105" s="166">
        <v>0</v>
      </c>
      <c r="BL1105" s="166">
        <v>0</v>
      </c>
      <c r="BM1105" s="166">
        <v>0</v>
      </c>
      <c r="BN1105" s="166">
        <v>0</v>
      </c>
      <c r="BO1105" s="166">
        <v>0</v>
      </c>
      <c r="BP1105" s="166">
        <v>0</v>
      </c>
      <c r="BQ1105" s="81" t="s">
        <v>1757</v>
      </c>
      <c r="BZ1105" s="81" t="s">
        <v>155</v>
      </c>
      <c r="CA1105" s="81" t="s">
        <v>1937</v>
      </c>
      <c r="CC1105" s="167">
        <v>0</v>
      </c>
      <c r="CD1105" s="167">
        <f>$N1105/4</f>
        <v>0.25</v>
      </c>
      <c r="CE1105" s="167">
        <f>$N1105/4</f>
        <v>0.25</v>
      </c>
      <c r="CF1105" s="167">
        <f>$N1105/4</f>
        <v>0.25</v>
      </c>
      <c r="CG1105" s="167">
        <f>$N1105/4</f>
        <v>0.25</v>
      </c>
      <c r="CH1105" s="167">
        <v>0</v>
      </c>
      <c r="CI1105" s="167">
        <v>0</v>
      </c>
      <c r="CJ1105" s="167">
        <v>0</v>
      </c>
      <c r="CK1105" s="167">
        <v>0</v>
      </c>
      <c r="CL1105" s="167">
        <v>0</v>
      </c>
      <c r="CM1105" s="167">
        <v>0</v>
      </c>
      <c r="CN1105" s="167">
        <v>0</v>
      </c>
      <c r="CO1105" s="167">
        <v>0</v>
      </c>
      <c r="CP1105" s="167">
        <v>0</v>
      </c>
      <c r="CQ1105" s="167">
        <v>0</v>
      </c>
      <c r="CR1105" s="167">
        <v>0</v>
      </c>
      <c r="CS1105" s="167">
        <v>0</v>
      </c>
      <c r="CT1105" s="167">
        <v>0</v>
      </c>
      <c r="CU1105" s="167">
        <v>0</v>
      </c>
      <c r="CV1105" s="167">
        <v>0</v>
      </c>
      <c r="CW1105" s="167">
        <v>0</v>
      </c>
      <c r="CX1105" s="167">
        <f>SUM(CD1105:CH1105)</f>
        <v>1</v>
      </c>
      <c r="CY1105" s="167">
        <f>SUM(CD1105:CM1105)</f>
        <v>1</v>
      </c>
    </row>
    <row r="1106" spans="1:103" ht="12.75" customHeight="1" x14ac:dyDescent="0.2">
      <c r="A1106" s="81">
        <v>6665</v>
      </c>
      <c r="B1106" s="165" t="s">
        <v>1930</v>
      </c>
      <c r="C1106" s="165" t="s">
        <v>2933</v>
      </c>
      <c r="E1106" s="165" t="s">
        <v>2934</v>
      </c>
      <c r="G1106" s="81">
        <v>528744</v>
      </c>
      <c r="H1106" s="81">
        <v>173591</v>
      </c>
      <c r="I1106" s="165" t="s">
        <v>247</v>
      </c>
      <c r="L1106" s="166">
        <v>0</v>
      </c>
      <c r="M1106" s="166">
        <v>1</v>
      </c>
      <c r="N1106" s="166">
        <v>1</v>
      </c>
      <c r="O1106" s="166">
        <v>2</v>
      </c>
      <c r="P1106" s="166">
        <v>2</v>
      </c>
      <c r="R1106" s="165" t="s">
        <v>2935</v>
      </c>
      <c r="S1106" s="81" t="s">
        <v>113</v>
      </c>
      <c r="T1106" s="349">
        <v>42950</v>
      </c>
      <c r="U1106" s="349">
        <v>43063</v>
      </c>
      <c r="V1106" s="81" t="s">
        <v>155</v>
      </c>
      <c r="W1106" s="81" t="s">
        <v>114</v>
      </c>
      <c r="Y1106" s="81" t="s">
        <v>115</v>
      </c>
      <c r="Z1106" s="81" t="s">
        <v>310</v>
      </c>
      <c r="AA1106" s="81" t="s">
        <v>117</v>
      </c>
      <c r="AB1106" s="81" t="s">
        <v>218</v>
      </c>
      <c r="AC1106" s="166">
        <v>4.9999998882412902E-3</v>
      </c>
      <c r="AG1106" s="81" t="s">
        <v>238</v>
      </c>
      <c r="AH1106" s="81" t="s">
        <v>118</v>
      </c>
      <c r="AK1106" s="166">
        <v>0</v>
      </c>
      <c r="AM1106" s="166">
        <v>0</v>
      </c>
      <c r="AO1106" s="166">
        <v>0</v>
      </c>
      <c r="AP1106" s="166">
        <v>1</v>
      </c>
      <c r="AQ1106" s="166">
        <v>0</v>
      </c>
      <c r="AR1106" s="166">
        <v>0</v>
      </c>
      <c r="AS1106" s="166">
        <v>0</v>
      </c>
      <c r="AT1106" s="166">
        <v>0</v>
      </c>
      <c r="AU1106" s="166">
        <v>0</v>
      </c>
      <c r="AV1106" s="166">
        <v>0</v>
      </c>
      <c r="AW1106" s="166">
        <v>1</v>
      </c>
      <c r="AX1106" s="166">
        <v>0</v>
      </c>
      <c r="AY1106" s="166">
        <v>0</v>
      </c>
      <c r="AZ1106" s="166">
        <v>0</v>
      </c>
      <c r="BA1106" s="166">
        <v>0</v>
      </c>
      <c r="BB1106" s="166">
        <v>0</v>
      </c>
      <c r="BC1106" s="166">
        <v>0</v>
      </c>
      <c r="BD1106" s="166">
        <v>0</v>
      </c>
      <c r="BE1106" s="166">
        <v>0</v>
      </c>
      <c r="BF1106" s="166">
        <v>0</v>
      </c>
      <c r="BG1106" s="166">
        <v>0</v>
      </c>
      <c r="BH1106" s="166">
        <v>0</v>
      </c>
      <c r="BI1106" s="166">
        <v>0</v>
      </c>
      <c r="BJ1106" s="166">
        <v>0</v>
      </c>
      <c r="BK1106" s="166">
        <v>0</v>
      </c>
      <c r="BL1106" s="166">
        <v>0</v>
      </c>
      <c r="BM1106" s="166">
        <v>0</v>
      </c>
      <c r="BN1106" s="166">
        <v>0</v>
      </c>
      <c r="BO1106" s="166">
        <v>0</v>
      </c>
      <c r="BP1106" s="166">
        <v>0</v>
      </c>
      <c r="BQ1106" s="81" t="s">
        <v>1757</v>
      </c>
      <c r="BZ1106" s="81" t="s">
        <v>155</v>
      </c>
      <c r="CA1106" s="81" t="s">
        <v>1937</v>
      </c>
      <c r="CC1106" s="167">
        <v>0</v>
      </c>
      <c r="CD1106" s="167">
        <f>$N1106/4</f>
        <v>0.25</v>
      </c>
      <c r="CE1106" s="167">
        <f>$N1106/4</f>
        <v>0.25</v>
      </c>
      <c r="CF1106" s="167">
        <f>$N1106/4</f>
        <v>0.25</v>
      </c>
      <c r="CG1106" s="167">
        <f>$N1106/4</f>
        <v>0.25</v>
      </c>
      <c r="CH1106" s="167">
        <v>0</v>
      </c>
      <c r="CI1106" s="167">
        <v>0</v>
      </c>
      <c r="CJ1106" s="167">
        <v>0</v>
      </c>
      <c r="CK1106" s="167">
        <v>0</v>
      </c>
      <c r="CL1106" s="167">
        <v>0</v>
      </c>
      <c r="CM1106" s="167">
        <v>0</v>
      </c>
      <c r="CN1106" s="167">
        <v>0</v>
      </c>
      <c r="CO1106" s="167">
        <v>0</v>
      </c>
      <c r="CP1106" s="167">
        <v>0</v>
      </c>
      <c r="CQ1106" s="167">
        <v>0</v>
      </c>
      <c r="CR1106" s="167">
        <v>0</v>
      </c>
      <c r="CS1106" s="167">
        <v>0</v>
      </c>
      <c r="CT1106" s="167">
        <v>0</v>
      </c>
      <c r="CU1106" s="167">
        <v>0</v>
      </c>
      <c r="CV1106" s="167">
        <v>0</v>
      </c>
      <c r="CW1106" s="167">
        <v>0</v>
      </c>
      <c r="CX1106" s="167">
        <f>SUM(CD1106:CH1106)</f>
        <v>1</v>
      </c>
      <c r="CY1106" s="167">
        <f>SUM(CD1106:CM1106)</f>
        <v>1</v>
      </c>
    </row>
    <row r="1107" spans="1:103" ht="12.75" customHeight="1" x14ac:dyDescent="0.2">
      <c r="A1107" s="81">
        <v>6666</v>
      </c>
      <c r="B1107" s="165" t="s">
        <v>1930</v>
      </c>
      <c r="C1107" s="165" t="s">
        <v>2887</v>
      </c>
      <c r="E1107" s="165" t="s">
        <v>2888</v>
      </c>
      <c r="G1107" s="81">
        <v>527769</v>
      </c>
      <c r="H1107" s="81">
        <v>174002</v>
      </c>
      <c r="I1107" s="165" t="s">
        <v>247</v>
      </c>
      <c r="L1107" s="166">
        <v>3</v>
      </c>
      <c r="M1107" s="166">
        <v>1</v>
      </c>
      <c r="N1107" s="166">
        <v>-2</v>
      </c>
      <c r="O1107" s="166">
        <v>1</v>
      </c>
      <c r="P1107" s="166">
        <v>-2</v>
      </c>
      <c r="R1107" s="165" t="s">
        <v>2889</v>
      </c>
      <c r="S1107" s="81" t="s">
        <v>113</v>
      </c>
      <c r="T1107" s="349">
        <v>42963</v>
      </c>
      <c r="U1107" s="349">
        <v>43019</v>
      </c>
      <c r="V1107" s="81" t="s">
        <v>155</v>
      </c>
      <c r="W1107" s="81" t="s">
        <v>114</v>
      </c>
      <c r="Y1107" s="81" t="s">
        <v>115</v>
      </c>
      <c r="Z1107" s="81" t="s">
        <v>398</v>
      </c>
      <c r="AA1107" s="81" t="s">
        <v>117</v>
      </c>
      <c r="AB1107" s="81" t="s">
        <v>336</v>
      </c>
      <c r="AC1107" s="166">
        <v>2.0999999716877899E-2</v>
      </c>
      <c r="AG1107" s="81" t="s">
        <v>238</v>
      </c>
      <c r="AH1107" s="81" t="s">
        <v>118</v>
      </c>
      <c r="AK1107" s="166">
        <v>0</v>
      </c>
      <c r="AM1107" s="166">
        <v>0</v>
      </c>
      <c r="AO1107" s="166">
        <v>0</v>
      </c>
      <c r="AP1107" s="166">
        <v>-2</v>
      </c>
      <c r="AQ1107" s="166">
        <v>-1</v>
      </c>
      <c r="AR1107" s="166">
        <v>0</v>
      </c>
      <c r="AS1107" s="166">
        <v>0</v>
      </c>
      <c r="AT1107" s="166">
        <v>1</v>
      </c>
      <c r="AU1107" s="166">
        <v>0</v>
      </c>
      <c r="AV1107" s="166">
        <v>0</v>
      </c>
      <c r="AW1107" s="166">
        <v>-2</v>
      </c>
      <c r="AX1107" s="166">
        <v>-1</v>
      </c>
      <c r="AY1107" s="166">
        <v>0</v>
      </c>
      <c r="AZ1107" s="166">
        <v>0</v>
      </c>
      <c r="BA1107" s="166">
        <v>0</v>
      </c>
      <c r="BB1107" s="166">
        <v>0</v>
      </c>
      <c r="BC1107" s="166">
        <v>0</v>
      </c>
      <c r="BD1107" s="166">
        <v>0</v>
      </c>
      <c r="BE1107" s="166">
        <v>0</v>
      </c>
      <c r="BF1107" s="166">
        <v>0</v>
      </c>
      <c r="BG1107" s="166">
        <v>0</v>
      </c>
      <c r="BH1107" s="166">
        <v>1</v>
      </c>
      <c r="BI1107" s="166">
        <v>0</v>
      </c>
      <c r="BJ1107" s="166">
        <v>0</v>
      </c>
      <c r="BK1107" s="166">
        <v>0</v>
      </c>
      <c r="BL1107" s="166">
        <v>0</v>
      </c>
      <c r="BM1107" s="166">
        <v>0</v>
      </c>
      <c r="BN1107" s="166">
        <v>0</v>
      </c>
      <c r="BO1107" s="166">
        <v>0</v>
      </c>
      <c r="BP1107" s="166">
        <v>0</v>
      </c>
      <c r="BQ1107" s="81" t="s">
        <v>1757</v>
      </c>
      <c r="BZ1107" s="81" t="s">
        <v>155</v>
      </c>
      <c r="CA1107" s="81" t="s">
        <v>1937</v>
      </c>
      <c r="CC1107" s="167">
        <v>0</v>
      </c>
      <c r="CD1107" s="167">
        <f>$N1107/4</f>
        <v>-0.5</v>
      </c>
      <c r="CE1107" s="167">
        <f>$N1107/4</f>
        <v>-0.5</v>
      </c>
      <c r="CF1107" s="167">
        <f>$N1107/4</f>
        <v>-0.5</v>
      </c>
      <c r="CG1107" s="167">
        <f>$N1107/4</f>
        <v>-0.5</v>
      </c>
      <c r="CH1107" s="167">
        <v>0</v>
      </c>
      <c r="CI1107" s="167">
        <v>0</v>
      </c>
      <c r="CJ1107" s="167">
        <v>0</v>
      </c>
      <c r="CK1107" s="167">
        <v>0</v>
      </c>
      <c r="CL1107" s="167">
        <v>0</v>
      </c>
      <c r="CM1107" s="167">
        <v>0</v>
      </c>
      <c r="CN1107" s="167">
        <v>0</v>
      </c>
      <c r="CO1107" s="167">
        <v>0</v>
      </c>
      <c r="CP1107" s="167">
        <v>0</v>
      </c>
      <c r="CQ1107" s="167">
        <v>0</v>
      </c>
      <c r="CR1107" s="167">
        <v>0</v>
      </c>
      <c r="CS1107" s="167">
        <v>0</v>
      </c>
      <c r="CT1107" s="167">
        <v>0</v>
      </c>
      <c r="CU1107" s="167">
        <v>0</v>
      </c>
      <c r="CV1107" s="167">
        <v>0</v>
      </c>
      <c r="CW1107" s="167">
        <v>0</v>
      </c>
      <c r="CX1107" s="167">
        <f>SUM(CD1107:CH1107)</f>
        <v>-2</v>
      </c>
      <c r="CY1107" s="167">
        <f>SUM(CD1107:CM1107)</f>
        <v>-2</v>
      </c>
    </row>
    <row r="1108" spans="1:103" ht="12.75" customHeight="1" x14ac:dyDescent="0.2">
      <c r="A1108" s="81">
        <v>6667</v>
      </c>
      <c r="B1108" s="165" t="s">
        <v>1930</v>
      </c>
      <c r="C1108" s="165" t="s">
        <v>2890</v>
      </c>
      <c r="E1108" s="165" t="s">
        <v>2891</v>
      </c>
      <c r="G1108" s="81">
        <v>524795</v>
      </c>
      <c r="H1108" s="81">
        <v>174423</v>
      </c>
      <c r="I1108" s="165" t="s">
        <v>250</v>
      </c>
      <c r="L1108" s="166">
        <v>1</v>
      </c>
      <c r="M1108" s="166">
        <v>1</v>
      </c>
      <c r="N1108" s="166">
        <v>0</v>
      </c>
      <c r="O1108" s="166">
        <v>1</v>
      </c>
      <c r="P1108" s="166">
        <v>0</v>
      </c>
      <c r="R1108" s="165" t="s">
        <v>2892</v>
      </c>
      <c r="S1108" s="81" t="s">
        <v>113</v>
      </c>
      <c r="T1108" s="349">
        <v>42949</v>
      </c>
      <c r="U1108" s="349">
        <v>43063</v>
      </c>
      <c r="V1108" s="81" t="s">
        <v>155</v>
      </c>
      <c r="W1108" s="81" t="s">
        <v>114</v>
      </c>
      <c r="Y1108" s="81" t="s">
        <v>115</v>
      </c>
      <c r="Z1108" s="81" t="s">
        <v>116</v>
      </c>
      <c r="AA1108" s="81" t="s">
        <v>117</v>
      </c>
      <c r="AB1108" s="81" t="s">
        <v>218</v>
      </c>
      <c r="AC1108" s="166">
        <v>4.3000001460313797E-2</v>
      </c>
      <c r="AG1108" s="81" t="s">
        <v>238</v>
      </c>
      <c r="AH1108" s="81" t="s">
        <v>118</v>
      </c>
      <c r="AK1108" s="166">
        <v>0</v>
      </c>
      <c r="AM1108" s="166">
        <v>0</v>
      </c>
      <c r="AO1108" s="166">
        <v>0</v>
      </c>
      <c r="AP1108" s="166">
        <v>0</v>
      </c>
      <c r="AQ1108" s="166">
        <v>0</v>
      </c>
      <c r="AR1108" s="166">
        <v>0</v>
      </c>
      <c r="AS1108" s="166">
        <v>1</v>
      </c>
      <c r="AT1108" s="166">
        <v>-1</v>
      </c>
      <c r="AU1108" s="166">
        <v>0</v>
      </c>
      <c r="AV1108" s="166">
        <v>0</v>
      </c>
      <c r="AW1108" s="166">
        <v>0</v>
      </c>
      <c r="AX1108" s="166">
        <v>0</v>
      </c>
      <c r="AY1108" s="166">
        <v>0</v>
      </c>
      <c r="AZ1108" s="166">
        <v>0</v>
      </c>
      <c r="BA1108" s="166">
        <v>0</v>
      </c>
      <c r="BB1108" s="166">
        <v>0</v>
      </c>
      <c r="BC1108" s="166">
        <v>0</v>
      </c>
      <c r="BD1108" s="166">
        <v>0</v>
      </c>
      <c r="BE1108" s="166">
        <v>0</v>
      </c>
      <c r="BF1108" s="166">
        <v>0</v>
      </c>
      <c r="BG1108" s="166">
        <v>1</v>
      </c>
      <c r="BH1108" s="166">
        <v>-1</v>
      </c>
      <c r="BI1108" s="166">
        <v>0</v>
      </c>
      <c r="BJ1108" s="166">
        <v>0</v>
      </c>
      <c r="BK1108" s="166">
        <v>0</v>
      </c>
      <c r="BL1108" s="166">
        <v>0</v>
      </c>
      <c r="BM1108" s="166">
        <v>0</v>
      </c>
      <c r="BN1108" s="166">
        <v>0</v>
      </c>
      <c r="BO1108" s="166">
        <v>0</v>
      </c>
      <c r="BP1108" s="166">
        <v>0</v>
      </c>
      <c r="BQ1108" s="81" t="s">
        <v>1758</v>
      </c>
      <c r="BZ1108" s="81" t="s">
        <v>155</v>
      </c>
      <c r="CA1108" s="81">
        <v>4</v>
      </c>
      <c r="CC1108" s="167">
        <v>0</v>
      </c>
      <c r="CD1108" s="167">
        <v>0</v>
      </c>
      <c r="CE1108" s="167">
        <f>$N1108/5</f>
        <v>0</v>
      </c>
      <c r="CF1108" s="167">
        <f>$N1108/5</f>
        <v>0</v>
      </c>
      <c r="CG1108" s="167">
        <f>$N1108/5</f>
        <v>0</v>
      </c>
      <c r="CH1108" s="167">
        <f>$N1108/5</f>
        <v>0</v>
      </c>
      <c r="CI1108" s="167">
        <f>$N1108/5</f>
        <v>0</v>
      </c>
      <c r="CJ1108" s="167">
        <v>0</v>
      </c>
      <c r="CK1108" s="167">
        <v>0</v>
      </c>
      <c r="CL1108" s="167">
        <v>0</v>
      </c>
      <c r="CM1108" s="167">
        <v>0</v>
      </c>
      <c r="CN1108" s="167">
        <v>0</v>
      </c>
      <c r="CO1108" s="167">
        <v>0</v>
      </c>
      <c r="CP1108" s="167">
        <v>0</v>
      </c>
      <c r="CQ1108" s="167">
        <v>0</v>
      </c>
      <c r="CR1108" s="167">
        <v>0</v>
      </c>
      <c r="CS1108" s="167">
        <v>0</v>
      </c>
      <c r="CT1108" s="167">
        <v>0</v>
      </c>
      <c r="CU1108" s="167">
        <v>0</v>
      </c>
      <c r="CV1108" s="167">
        <v>0</v>
      </c>
      <c r="CW1108" s="167">
        <v>0</v>
      </c>
      <c r="CX1108" s="167">
        <f>SUM(CD1108:CH1108)</f>
        <v>0</v>
      </c>
      <c r="CY1108" s="167">
        <f>SUM(CD1108:CM1108)</f>
        <v>0</v>
      </c>
    </row>
    <row r="1109" spans="1:103" ht="12.75" customHeight="1" x14ac:dyDescent="0.2">
      <c r="A1109" s="81">
        <v>6668</v>
      </c>
      <c r="B1109" s="165" t="s">
        <v>1930</v>
      </c>
      <c r="C1109" s="165" t="s">
        <v>2893</v>
      </c>
      <c r="E1109" s="165" t="s">
        <v>2894</v>
      </c>
      <c r="G1109" s="81">
        <v>527779</v>
      </c>
      <c r="H1109" s="81">
        <v>172707</v>
      </c>
      <c r="I1109" s="165" t="s">
        <v>254</v>
      </c>
      <c r="L1109" s="166">
        <v>1</v>
      </c>
      <c r="M1109" s="166">
        <v>3</v>
      </c>
      <c r="N1109" s="166">
        <v>2</v>
      </c>
      <c r="O1109" s="166">
        <v>3</v>
      </c>
      <c r="P1109" s="166">
        <v>2</v>
      </c>
      <c r="R1109" s="165" t="s">
        <v>2895</v>
      </c>
      <c r="S1109" s="81" t="s">
        <v>113</v>
      </c>
      <c r="T1109" s="349">
        <v>42955</v>
      </c>
      <c r="U1109" s="349">
        <v>43067</v>
      </c>
      <c r="V1109" s="81" t="s">
        <v>155</v>
      </c>
      <c r="W1109" s="81" t="s">
        <v>114</v>
      </c>
      <c r="Y1109" s="81" t="s">
        <v>115</v>
      </c>
      <c r="Z1109" s="81" t="s">
        <v>398</v>
      </c>
      <c r="AA1109" s="81" t="s">
        <v>117</v>
      </c>
      <c r="AB1109" s="81" t="s">
        <v>120</v>
      </c>
      <c r="AC1109" s="166">
        <v>1.7000000923872001E-2</v>
      </c>
      <c r="AG1109" s="81" t="s">
        <v>238</v>
      </c>
      <c r="AH1109" s="81" t="s">
        <v>118</v>
      </c>
      <c r="AK1109" s="166">
        <v>0</v>
      </c>
      <c r="AM1109" s="166">
        <v>0</v>
      </c>
      <c r="AO1109" s="166">
        <v>0</v>
      </c>
      <c r="AP1109" s="166">
        <v>1</v>
      </c>
      <c r="AQ1109" s="166">
        <v>1</v>
      </c>
      <c r="AR1109" s="166">
        <v>1</v>
      </c>
      <c r="AS1109" s="166">
        <v>0</v>
      </c>
      <c r="AT1109" s="166">
        <v>-1</v>
      </c>
      <c r="AU1109" s="166">
        <v>0</v>
      </c>
      <c r="AV1109" s="166">
        <v>0</v>
      </c>
      <c r="AW1109" s="166">
        <v>1</v>
      </c>
      <c r="AX1109" s="166">
        <v>1</v>
      </c>
      <c r="AY1109" s="166">
        <v>1</v>
      </c>
      <c r="AZ1109" s="166">
        <v>0</v>
      </c>
      <c r="BA1109" s="166">
        <v>0</v>
      </c>
      <c r="BB1109" s="166">
        <v>0</v>
      </c>
      <c r="BC1109" s="166">
        <v>0</v>
      </c>
      <c r="BD1109" s="166">
        <v>0</v>
      </c>
      <c r="BE1109" s="166">
        <v>0</v>
      </c>
      <c r="BF1109" s="166">
        <v>0</v>
      </c>
      <c r="BG1109" s="166">
        <v>0</v>
      </c>
      <c r="BH1109" s="166">
        <v>-1</v>
      </c>
      <c r="BI1109" s="166">
        <v>0</v>
      </c>
      <c r="BJ1109" s="166">
        <v>0</v>
      </c>
      <c r="BK1109" s="166">
        <v>0</v>
      </c>
      <c r="BL1109" s="166">
        <v>0</v>
      </c>
      <c r="BM1109" s="166">
        <v>0</v>
      </c>
      <c r="BN1109" s="166">
        <v>0</v>
      </c>
      <c r="BO1109" s="166">
        <v>0</v>
      </c>
      <c r="BP1109" s="166">
        <v>0</v>
      </c>
      <c r="BQ1109" s="81" t="s">
        <v>1757</v>
      </c>
      <c r="BZ1109" s="81" t="s">
        <v>155</v>
      </c>
      <c r="CA1109" s="81" t="s">
        <v>1937</v>
      </c>
      <c r="CC1109" s="167">
        <v>0</v>
      </c>
      <c r="CD1109" s="167">
        <f>$N1109/4</f>
        <v>0.5</v>
      </c>
      <c r="CE1109" s="167">
        <f>$N1109/4</f>
        <v>0.5</v>
      </c>
      <c r="CF1109" s="167">
        <f>$N1109/4</f>
        <v>0.5</v>
      </c>
      <c r="CG1109" s="167">
        <f>$N1109/4</f>
        <v>0.5</v>
      </c>
      <c r="CH1109" s="167">
        <v>0</v>
      </c>
      <c r="CI1109" s="167">
        <v>0</v>
      </c>
      <c r="CJ1109" s="167">
        <v>0</v>
      </c>
      <c r="CK1109" s="167">
        <v>0</v>
      </c>
      <c r="CL1109" s="167">
        <v>0</v>
      </c>
      <c r="CM1109" s="167">
        <v>0</v>
      </c>
      <c r="CN1109" s="167">
        <v>0</v>
      </c>
      <c r="CO1109" s="167">
        <v>0</v>
      </c>
      <c r="CP1109" s="167">
        <v>0</v>
      </c>
      <c r="CQ1109" s="167">
        <v>0</v>
      </c>
      <c r="CR1109" s="167">
        <v>0</v>
      </c>
      <c r="CS1109" s="167">
        <v>0</v>
      </c>
      <c r="CT1109" s="167">
        <v>0</v>
      </c>
      <c r="CU1109" s="167">
        <v>0</v>
      </c>
      <c r="CV1109" s="167">
        <v>0</v>
      </c>
      <c r="CW1109" s="167">
        <v>0</v>
      </c>
      <c r="CX1109" s="167">
        <f>SUM(CD1109:CH1109)</f>
        <v>2</v>
      </c>
      <c r="CY1109" s="167">
        <f>SUM(CD1109:CM1109)</f>
        <v>2</v>
      </c>
    </row>
    <row r="1110" spans="1:103" ht="12.75" customHeight="1" x14ac:dyDescent="0.2">
      <c r="A1110" s="81">
        <v>6670</v>
      </c>
      <c r="B1110" s="165" t="s">
        <v>1930</v>
      </c>
      <c r="C1110" s="165" t="s">
        <v>2896</v>
      </c>
      <c r="E1110" s="165" t="s">
        <v>3962</v>
      </c>
      <c r="F1110" s="165" t="s">
        <v>2898</v>
      </c>
      <c r="G1110" s="81">
        <v>527469</v>
      </c>
      <c r="H1110" s="81">
        <v>171617</v>
      </c>
      <c r="I1110" s="165" t="s">
        <v>242</v>
      </c>
      <c r="L1110" s="166">
        <v>0</v>
      </c>
      <c r="M1110" s="166">
        <v>1</v>
      </c>
      <c r="N1110" s="166">
        <v>1</v>
      </c>
      <c r="O1110" s="166">
        <v>8</v>
      </c>
      <c r="P1110" s="166">
        <v>8</v>
      </c>
      <c r="R1110" s="165" t="s">
        <v>2897</v>
      </c>
      <c r="S1110" s="81" t="s">
        <v>113</v>
      </c>
      <c r="T1110" s="349">
        <v>42958</v>
      </c>
      <c r="U1110" s="349">
        <v>43158</v>
      </c>
      <c r="V1110" s="81" t="s">
        <v>155</v>
      </c>
      <c r="W1110" s="81" t="s">
        <v>114</v>
      </c>
      <c r="Y1110" s="81" t="s">
        <v>115</v>
      </c>
      <c r="Z1110" s="81" t="s">
        <v>116</v>
      </c>
      <c r="AA1110" s="81" t="s">
        <v>117</v>
      </c>
      <c r="AB1110" s="81" t="s">
        <v>218</v>
      </c>
      <c r="AC1110" s="166">
        <v>1.60000007599592E-2</v>
      </c>
      <c r="AG1110" s="81" t="s">
        <v>238</v>
      </c>
      <c r="AH1110" s="81" t="s">
        <v>118</v>
      </c>
      <c r="AK1110" s="166">
        <v>0</v>
      </c>
      <c r="AL1110" s="166">
        <v>1</v>
      </c>
      <c r="AM1110" s="166">
        <v>0</v>
      </c>
      <c r="AO1110" s="166">
        <v>0</v>
      </c>
      <c r="AP1110" s="166">
        <v>0</v>
      </c>
      <c r="AQ1110" s="166">
        <v>1</v>
      </c>
      <c r="AR1110" s="166">
        <v>0</v>
      </c>
      <c r="AS1110" s="166">
        <v>0</v>
      </c>
      <c r="AT1110" s="166">
        <v>0</v>
      </c>
      <c r="AU1110" s="166">
        <v>0</v>
      </c>
      <c r="AV1110" s="166">
        <v>0</v>
      </c>
      <c r="AW1110" s="166">
        <v>0</v>
      </c>
      <c r="AX1110" s="166">
        <v>0</v>
      </c>
      <c r="AY1110" s="166">
        <v>0</v>
      </c>
      <c r="AZ1110" s="166">
        <v>0</v>
      </c>
      <c r="BA1110" s="166">
        <v>0</v>
      </c>
      <c r="BB1110" s="166">
        <v>0</v>
      </c>
      <c r="BC1110" s="166">
        <v>0</v>
      </c>
      <c r="BD1110" s="166">
        <v>0</v>
      </c>
      <c r="BE1110" s="166">
        <v>1</v>
      </c>
      <c r="BF1110" s="166">
        <v>0</v>
      </c>
      <c r="BG1110" s="166">
        <v>0</v>
      </c>
      <c r="BH1110" s="166">
        <v>0</v>
      </c>
      <c r="BI1110" s="166">
        <v>0</v>
      </c>
      <c r="BJ1110" s="166">
        <v>0</v>
      </c>
      <c r="BK1110" s="166">
        <v>0</v>
      </c>
      <c r="BL1110" s="166">
        <v>0</v>
      </c>
      <c r="BM1110" s="166">
        <v>0</v>
      </c>
      <c r="BN1110" s="166">
        <v>0</v>
      </c>
      <c r="BO1110" s="166">
        <v>0</v>
      </c>
      <c r="BP1110" s="166">
        <v>0</v>
      </c>
      <c r="BQ1110" s="81" t="s">
        <v>1757</v>
      </c>
      <c r="BR1110" s="81" t="s">
        <v>242</v>
      </c>
      <c r="BZ1110" s="81" t="s">
        <v>155</v>
      </c>
      <c r="CA1110" s="81" t="s">
        <v>3936</v>
      </c>
      <c r="CC1110" s="167">
        <v>0</v>
      </c>
      <c r="CD1110" s="167">
        <v>0</v>
      </c>
      <c r="CE1110" s="167">
        <v>0</v>
      </c>
      <c r="CF1110" s="167">
        <f>N1110</f>
        <v>1</v>
      </c>
      <c r="CG1110" s="167">
        <v>0</v>
      </c>
      <c r="CH1110" s="167">
        <v>0</v>
      </c>
      <c r="CI1110" s="167">
        <v>0</v>
      </c>
      <c r="CJ1110" s="167">
        <v>0</v>
      </c>
      <c r="CK1110" s="167">
        <v>0</v>
      </c>
      <c r="CL1110" s="167">
        <v>0</v>
      </c>
      <c r="CM1110" s="167">
        <v>0</v>
      </c>
      <c r="CN1110" s="167">
        <v>0</v>
      </c>
      <c r="CO1110" s="167">
        <v>0</v>
      </c>
      <c r="CP1110" s="167">
        <v>0</v>
      </c>
      <c r="CQ1110" s="167">
        <v>0</v>
      </c>
      <c r="CR1110" s="167">
        <v>0</v>
      </c>
      <c r="CS1110" s="167">
        <v>0</v>
      </c>
      <c r="CT1110" s="167">
        <v>0</v>
      </c>
      <c r="CU1110" s="167">
        <v>0</v>
      </c>
      <c r="CV1110" s="167">
        <v>0</v>
      </c>
      <c r="CW1110" s="167">
        <v>0</v>
      </c>
      <c r="CX1110" s="167">
        <f>SUM(CD1110:CH1110)</f>
        <v>1</v>
      </c>
      <c r="CY1110" s="167">
        <f>SUM(CD1110:CM1110)</f>
        <v>1</v>
      </c>
    </row>
    <row r="1111" spans="1:103" ht="12.75" customHeight="1" x14ac:dyDescent="0.2">
      <c r="A1111" s="81">
        <v>6670</v>
      </c>
      <c r="B1111" s="165" t="s">
        <v>1930</v>
      </c>
      <c r="C1111" s="165" t="s">
        <v>2896</v>
      </c>
      <c r="E1111" s="165" t="s">
        <v>3962</v>
      </c>
      <c r="F1111" s="165" t="s">
        <v>2899</v>
      </c>
      <c r="G1111" s="81">
        <v>527469</v>
      </c>
      <c r="H1111" s="81">
        <v>171617</v>
      </c>
      <c r="I1111" s="165" t="s">
        <v>242</v>
      </c>
      <c r="L1111" s="166">
        <v>0</v>
      </c>
      <c r="M1111" s="166">
        <v>1</v>
      </c>
      <c r="N1111" s="166">
        <v>1</v>
      </c>
      <c r="O1111" s="166">
        <v>8</v>
      </c>
      <c r="P1111" s="166">
        <v>8</v>
      </c>
      <c r="R1111" s="165" t="s">
        <v>2897</v>
      </c>
      <c r="S1111" s="81" t="s">
        <v>113</v>
      </c>
      <c r="T1111" s="349">
        <v>42958</v>
      </c>
      <c r="U1111" s="349">
        <v>43158</v>
      </c>
      <c r="V1111" s="81" t="s">
        <v>155</v>
      </c>
      <c r="W1111" s="81" t="s">
        <v>114</v>
      </c>
      <c r="Y1111" s="81" t="s">
        <v>115</v>
      </c>
      <c r="Z1111" s="81" t="s">
        <v>116</v>
      </c>
      <c r="AA1111" s="81" t="s">
        <v>117</v>
      </c>
      <c r="AB1111" s="81" t="s">
        <v>218</v>
      </c>
      <c r="AC1111" s="166">
        <v>1.60000007599592E-2</v>
      </c>
      <c r="AG1111" s="81" t="s">
        <v>238</v>
      </c>
      <c r="AH1111" s="81" t="s">
        <v>118</v>
      </c>
      <c r="AK1111" s="166">
        <v>0</v>
      </c>
      <c r="AL1111" s="166">
        <v>1</v>
      </c>
      <c r="AM1111" s="166">
        <v>0</v>
      </c>
      <c r="AO1111" s="166">
        <v>0</v>
      </c>
      <c r="AP1111" s="166">
        <v>0</v>
      </c>
      <c r="AQ1111" s="166">
        <v>1</v>
      </c>
      <c r="AR1111" s="166">
        <v>0</v>
      </c>
      <c r="AS1111" s="166">
        <v>0</v>
      </c>
      <c r="AT1111" s="166">
        <v>0</v>
      </c>
      <c r="AU1111" s="166">
        <v>0</v>
      </c>
      <c r="AV1111" s="166">
        <v>0</v>
      </c>
      <c r="AW1111" s="166">
        <v>0</v>
      </c>
      <c r="AX1111" s="166">
        <v>0</v>
      </c>
      <c r="AY1111" s="166">
        <v>0</v>
      </c>
      <c r="AZ1111" s="166">
        <v>0</v>
      </c>
      <c r="BA1111" s="166">
        <v>0</v>
      </c>
      <c r="BB1111" s="166">
        <v>0</v>
      </c>
      <c r="BC1111" s="166">
        <v>0</v>
      </c>
      <c r="BD1111" s="166">
        <v>0</v>
      </c>
      <c r="BE1111" s="166">
        <v>1</v>
      </c>
      <c r="BF1111" s="166">
        <v>0</v>
      </c>
      <c r="BG1111" s="166">
        <v>0</v>
      </c>
      <c r="BH1111" s="166">
        <v>0</v>
      </c>
      <c r="BI1111" s="166">
        <v>0</v>
      </c>
      <c r="BJ1111" s="166">
        <v>0</v>
      </c>
      <c r="BK1111" s="166">
        <v>0</v>
      </c>
      <c r="BL1111" s="166">
        <v>0</v>
      </c>
      <c r="BM1111" s="166">
        <v>0</v>
      </c>
      <c r="BN1111" s="166">
        <v>0</v>
      </c>
      <c r="BO1111" s="166">
        <v>0</v>
      </c>
      <c r="BP1111" s="166">
        <v>0</v>
      </c>
      <c r="BQ1111" s="81" t="s">
        <v>1757</v>
      </c>
      <c r="BR1111" s="81" t="s">
        <v>242</v>
      </c>
      <c r="BZ1111" s="81" t="s">
        <v>155</v>
      </c>
      <c r="CA1111" s="81" t="s">
        <v>3936</v>
      </c>
      <c r="CC1111" s="167">
        <v>0</v>
      </c>
      <c r="CD1111" s="167">
        <v>0</v>
      </c>
      <c r="CE1111" s="167">
        <v>0</v>
      </c>
      <c r="CF1111" s="167">
        <f>N1111</f>
        <v>1</v>
      </c>
      <c r="CG1111" s="167">
        <v>0</v>
      </c>
      <c r="CH1111" s="167">
        <v>0</v>
      </c>
      <c r="CI1111" s="167">
        <v>0</v>
      </c>
      <c r="CJ1111" s="167">
        <v>0</v>
      </c>
      <c r="CK1111" s="167">
        <v>0</v>
      </c>
      <c r="CL1111" s="167">
        <v>0</v>
      </c>
      <c r="CM1111" s="167">
        <v>0</v>
      </c>
      <c r="CN1111" s="167">
        <v>0</v>
      </c>
      <c r="CO1111" s="167">
        <v>0</v>
      </c>
      <c r="CP1111" s="167">
        <v>0</v>
      </c>
      <c r="CQ1111" s="167">
        <v>0</v>
      </c>
      <c r="CR1111" s="167">
        <v>0</v>
      </c>
      <c r="CS1111" s="167">
        <v>0</v>
      </c>
      <c r="CT1111" s="167">
        <v>0</v>
      </c>
      <c r="CU1111" s="167">
        <v>0</v>
      </c>
      <c r="CV1111" s="167">
        <v>0</v>
      </c>
      <c r="CW1111" s="167">
        <v>0</v>
      </c>
      <c r="CX1111" s="167">
        <f>SUM(CD1111:CH1111)</f>
        <v>1</v>
      </c>
      <c r="CY1111" s="167">
        <f>SUM(CD1111:CM1111)</f>
        <v>1</v>
      </c>
    </row>
    <row r="1112" spans="1:103" ht="12.75" customHeight="1" x14ac:dyDescent="0.2">
      <c r="A1112" s="81">
        <v>6670</v>
      </c>
      <c r="B1112" s="165" t="s">
        <v>1930</v>
      </c>
      <c r="C1112" s="165" t="s">
        <v>2896</v>
      </c>
      <c r="E1112" s="165" t="s">
        <v>3962</v>
      </c>
      <c r="F1112" s="165" t="s">
        <v>2900</v>
      </c>
      <c r="G1112" s="81">
        <v>527469</v>
      </c>
      <c r="H1112" s="81">
        <v>171617</v>
      </c>
      <c r="I1112" s="165" t="s">
        <v>242</v>
      </c>
      <c r="L1112" s="166">
        <v>0</v>
      </c>
      <c r="M1112" s="166">
        <v>1</v>
      </c>
      <c r="N1112" s="166">
        <v>1</v>
      </c>
      <c r="O1112" s="166">
        <v>8</v>
      </c>
      <c r="P1112" s="166">
        <v>8</v>
      </c>
      <c r="R1112" s="165" t="s">
        <v>2897</v>
      </c>
      <c r="S1112" s="81" t="s">
        <v>113</v>
      </c>
      <c r="T1112" s="349">
        <v>42958</v>
      </c>
      <c r="U1112" s="349">
        <v>43158</v>
      </c>
      <c r="V1112" s="81" t="s">
        <v>155</v>
      </c>
      <c r="W1112" s="81" t="s">
        <v>114</v>
      </c>
      <c r="Y1112" s="81" t="s">
        <v>115</v>
      </c>
      <c r="Z1112" s="81" t="s">
        <v>116</v>
      </c>
      <c r="AA1112" s="81" t="s">
        <v>117</v>
      </c>
      <c r="AB1112" s="81" t="s">
        <v>218</v>
      </c>
      <c r="AC1112" s="166">
        <v>2.3000000044703501E-2</v>
      </c>
      <c r="AG1112" s="81" t="s">
        <v>238</v>
      </c>
      <c r="AH1112" s="81" t="s">
        <v>118</v>
      </c>
      <c r="AK1112" s="166">
        <v>0</v>
      </c>
      <c r="AL1112" s="166">
        <v>1</v>
      </c>
      <c r="AM1112" s="166">
        <v>0</v>
      </c>
      <c r="AO1112" s="166">
        <v>0</v>
      </c>
      <c r="AP1112" s="166">
        <v>0</v>
      </c>
      <c r="AQ1112" s="166">
        <v>0</v>
      </c>
      <c r="AR1112" s="166">
        <v>1</v>
      </c>
      <c r="AS1112" s="166">
        <v>0</v>
      </c>
      <c r="AT1112" s="166">
        <v>0</v>
      </c>
      <c r="AU1112" s="166">
        <v>0</v>
      </c>
      <c r="AV1112" s="166">
        <v>0</v>
      </c>
      <c r="AW1112" s="166">
        <v>0</v>
      </c>
      <c r="AX1112" s="166">
        <v>0</v>
      </c>
      <c r="AY1112" s="166">
        <v>0</v>
      </c>
      <c r="AZ1112" s="166">
        <v>0</v>
      </c>
      <c r="BA1112" s="166">
        <v>0</v>
      </c>
      <c r="BB1112" s="166">
        <v>0</v>
      </c>
      <c r="BC1112" s="166">
        <v>0</v>
      </c>
      <c r="BD1112" s="166">
        <v>0</v>
      </c>
      <c r="BE1112" s="166">
        <v>0</v>
      </c>
      <c r="BF1112" s="166">
        <v>1</v>
      </c>
      <c r="BG1112" s="166">
        <v>0</v>
      </c>
      <c r="BH1112" s="166">
        <v>0</v>
      </c>
      <c r="BI1112" s="166">
        <v>0</v>
      </c>
      <c r="BJ1112" s="166">
        <v>0</v>
      </c>
      <c r="BK1112" s="166">
        <v>0</v>
      </c>
      <c r="BL1112" s="166">
        <v>0</v>
      </c>
      <c r="BM1112" s="166">
        <v>0</v>
      </c>
      <c r="BN1112" s="166">
        <v>0</v>
      </c>
      <c r="BO1112" s="166">
        <v>0</v>
      </c>
      <c r="BP1112" s="166">
        <v>0</v>
      </c>
      <c r="BQ1112" s="81" t="s">
        <v>1757</v>
      </c>
      <c r="BR1112" s="81" t="s">
        <v>242</v>
      </c>
      <c r="BZ1112" s="81" t="s">
        <v>155</v>
      </c>
      <c r="CA1112" s="81" t="s">
        <v>3936</v>
      </c>
      <c r="CC1112" s="167">
        <v>0</v>
      </c>
      <c r="CD1112" s="167">
        <v>0</v>
      </c>
      <c r="CE1112" s="167">
        <v>0</v>
      </c>
      <c r="CF1112" s="167">
        <f>N1112</f>
        <v>1</v>
      </c>
      <c r="CG1112" s="167">
        <v>0</v>
      </c>
      <c r="CH1112" s="167">
        <v>0</v>
      </c>
      <c r="CI1112" s="167">
        <v>0</v>
      </c>
      <c r="CJ1112" s="167">
        <v>0</v>
      </c>
      <c r="CK1112" s="167">
        <v>0</v>
      </c>
      <c r="CL1112" s="167">
        <v>0</v>
      </c>
      <c r="CM1112" s="167">
        <v>0</v>
      </c>
      <c r="CN1112" s="167">
        <v>0</v>
      </c>
      <c r="CO1112" s="167">
        <v>0</v>
      </c>
      <c r="CP1112" s="167">
        <v>0</v>
      </c>
      <c r="CQ1112" s="167">
        <v>0</v>
      </c>
      <c r="CR1112" s="167">
        <v>0</v>
      </c>
      <c r="CS1112" s="167">
        <v>0</v>
      </c>
      <c r="CT1112" s="167">
        <v>0</v>
      </c>
      <c r="CU1112" s="167">
        <v>0</v>
      </c>
      <c r="CV1112" s="167">
        <v>0</v>
      </c>
      <c r="CW1112" s="167">
        <v>0</v>
      </c>
      <c r="CX1112" s="167">
        <f>SUM(CD1112:CH1112)</f>
        <v>1</v>
      </c>
      <c r="CY1112" s="167">
        <f>SUM(CD1112:CM1112)</f>
        <v>1</v>
      </c>
    </row>
    <row r="1113" spans="1:103" ht="12.75" customHeight="1" x14ac:dyDescent="0.2">
      <c r="A1113" s="81">
        <v>6670</v>
      </c>
      <c r="B1113" s="165" t="s">
        <v>1930</v>
      </c>
      <c r="C1113" s="165" t="s">
        <v>2896</v>
      </c>
      <c r="E1113" s="165" t="s">
        <v>3962</v>
      </c>
      <c r="G1113" s="81">
        <v>527469</v>
      </c>
      <c r="H1113" s="81">
        <v>171617</v>
      </c>
      <c r="I1113" s="165" t="s">
        <v>242</v>
      </c>
      <c r="L1113" s="166">
        <v>0</v>
      </c>
      <c r="M1113" s="166">
        <v>3</v>
      </c>
      <c r="N1113" s="166">
        <v>3</v>
      </c>
      <c r="O1113" s="166">
        <v>8</v>
      </c>
      <c r="P1113" s="166">
        <v>8</v>
      </c>
      <c r="R1113" s="165" t="s">
        <v>2897</v>
      </c>
      <c r="S1113" s="81" t="s">
        <v>113</v>
      </c>
      <c r="T1113" s="349">
        <v>42958</v>
      </c>
      <c r="U1113" s="349">
        <v>43158</v>
      </c>
      <c r="V1113" s="81" t="s">
        <v>155</v>
      </c>
      <c r="W1113" s="81" t="s">
        <v>114</v>
      </c>
      <c r="Y1113" s="81" t="s">
        <v>115</v>
      </c>
      <c r="Z1113" s="81" t="s">
        <v>116</v>
      </c>
      <c r="AA1113" s="81" t="s">
        <v>117</v>
      </c>
      <c r="AB1113" s="81" t="s">
        <v>218</v>
      </c>
      <c r="AC1113" s="166">
        <v>4.1999999433755902E-2</v>
      </c>
      <c r="AG1113" s="81" t="s">
        <v>238</v>
      </c>
      <c r="AH1113" s="81" t="s">
        <v>118</v>
      </c>
      <c r="AK1113" s="166">
        <v>0</v>
      </c>
      <c r="AL1113" s="166">
        <v>3</v>
      </c>
      <c r="AM1113" s="166">
        <v>0</v>
      </c>
      <c r="AO1113" s="166">
        <v>0</v>
      </c>
      <c r="AP1113" s="166">
        <v>0</v>
      </c>
      <c r="AQ1113" s="166">
        <v>3</v>
      </c>
      <c r="AR1113" s="166">
        <v>0</v>
      </c>
      <c r="AS1113" s="166">
        <v>0</v>
      </c>
      <c r="AT1113" s="166">
        <v>0</v>
      </c>
      <c r="AU1113" s="166">
        <v>0</v>
      </c>
      <c r="AV1113" s="166">
        <v>0</v>
      </c>
      <c r="AW1113" s="166">
        <v>0</v>
      </c>
      <c r="AX1113" s="166">
        <v>3</v>
      </c>
      <c r="AY1113" s="166">
        <v>0</v>
      </c>
      <c r="AZ1113" s="166">
        <v>0</v>
      </c>
      <c r="BA1113" s="166">
        <v>0</v>
      </c>
      <c r="BB1113" s="166">
        <v>0</v>
      </c>
      <c r="BC1113" s="166">
        <v>0</v>
      </c>
      <c r="BD1113" s="166">
        <v>0</v>
      </c>
      <c r="BE1113" s="166">
        <v>0</v>
      </c>
      <c r="BF1113" s="166">
        <v>0</v>
      </c>
      <c r="BG1113" s="166">
        <v>0</v>
      </c>
      <c r="BH1113" s="166">
        <v>0</v>
      </c>
      <c r="BI1113" s="166">
        <v>0</v>
      </c>
      <c r="BJ1113" s="166">
        <v>0</v>
      </c>
      <c r="BK1113" s="166">
        <v>0</v>
      </c>
      <c r="BL1113" s="166">
        <v>0</v>
      </c>
      <c r="BM1113" s="166">
        <v>0</v>
      </c>
      <c r="BN1113" s="166">
        <v>0</v>
      </c>
      <c r="BO1113" s="166">
        <v>0</v>
      </c>
      <c r="BP1113" s="166">
        <v>0</v>
      </c>
      <c r="BQ1113" s="81" t="s">
        <v>1757</v>
      </c>
      <c r="BR1113" s="81" t="s">
        <v>242</v>
      </c>
      <c r="BZ1113" s="81" t="s">
        <v>155</v>
      </c>
      <c r="CA1113" s="81" t="s">
        <v>3936</v>
      </c>
      <c r="CC1113" s="167">
        <v>0</v>
      </c>
      <c r="CD1113" s="167">
        <v>0</v>
      </c>
      <c r="CE1113" s="167">
        <v>0</v>
      </c>
      <c r="CF1113" s="167">
        <f>N1113</f>
        <v>3</v>
      </c>
      <c r="CG1113" s="167">
        <v>0</v>
      </c>
      <c r="CH1113" s="167">
        <v>0</v>
      </c>
      <c r="CI1113" s="167">
        <v>0</v>
      </c>
      <c r="CJ1113" s="167">
        <v>0</v>
      </c>
      <c r="CK1113" s="167">
        <v>0</v>
      </c>
      <c r="CL1113" s="167">
        <v>0</v>
      </c>
      <c r="CM1113" s="167">
        <v>0</v>
      </c>
      <c r="CN1113" s="167">
        <v>0</v>
      </c>
      <c r="CO1113" s="167">
        <v>0</v>
      </c>
      <c r="CP1113" s="167">
        <v>0</v>
      </c>
      <c r="CQ1113" s="167">
        <v>0</v>
      </c>
      <c r="CR1113" s="167">
        <v>0</v>
      </c>
      <c r="CS1113" s="167">
        <v>0</v>
      </c>
      <c r="CT1113" s="167">
        <v>0</v>
      </c>
      <c r="CU1113" s="167">
        <v>0</v>
      </c>
      <c r="CV1113" s="167">
        <v>0</v>
      </c>
      <c r="CW1113" s="167">
        <v>0</v>
      </c>
      <c r="CX1113" s="167">
        <f>SUM(CD1113:CH1113)</f>
        <v>3</v>
      </c>
      <c r="CY1113" s="167">
        <f>SUM(CD1113:CM1113)</f>
        <v>3</v>
      </c>
    </row>
    <row r="1114" spans="1:103" ht="12.75" customHeight="1" x14ac:dyDescent="0.2">
      <c r="A1114" s="81">
        <v>6670</v>
      </c>
      <c r="B1114" s="165" t="s">
        <v>1930</v>
      </c>
      <c r="C1114" s="165" t="s">
        <v>2896</v>
      </c>
      <c r="E1114" s="165" t="s">
        <v>3962</v>
      </c>
      <c r="G1114" s="81">
        <v>527469</v>
      </c>
      <c r="H1114" s="81">
        <v>171617</v>
      </c>
      <c r="I1114" s="165" t="s">
        <v>242</v>
      </c>
      <c r="L1114" s="166">
        <v>0</v>
      </c>
      <c r="M1114" s="166">
        <v>2</v>
      </c>
      <c r="N1114" s="166">
        <v>2</v>
      </c>
      <c r="O1114" s="166">
        <v>8</v>
      </c>
      <c r="P1114" s="166">
        <v>8</v>
      </c>
      <c r="R1114" s="165" t="s">
        <v>2897</v>
      </c>
      <c r="S1114" s="81" t="s">
        <v>113</v>
      </c>
      <c r="T1114" s="349">
        <v>42958</v>
      </c>
      <c r="U1114" s="349">
        <v>43158</v>
      </c>
      <c r="V1114" s="81" t="s">
        <v>155</v>
      </c>
      <c r="W1114" s="81" t="s">
        <v>114</v>
      </c>
      <c r="Y1114" s="81" t="s">
        <v>115</v>
      </c>
      <c r="Z1114" s="81" t="s">
        <v>116</v>
      </c>
      <c r="AA1114" s="81" t="s">
        <v>117</v>
      </c>
      <c r="AB1114" s="81" t="s">
        <v>218</v>
      </c>
      <c r="AC1114" s="166">
        <v>1.8999999389052401E-2</v>
      </c>
      <c r="AG1114" s="81" t="s">
        <v>238</v>
      </c>
      <c r="AH1114" s="81" t="s">
        <v>118</v>
      </c>
      <c r="AK1114" s="166">
        <v>0</v>
      </c>
      <c r="AL1114" s="166">
        <v>2</v>
      </c>
      <c r="AM1114" s="166">
        <v>0</v>
      </c>
      <c r="AO1114" s="166">
        <v>0</v>
      </c>
      <c r="AP1114" s="166">
        <v>2</v>
      </c>
      <c r="AQ1114" s="166">
        <v>0</v>
      </c>
      <c r="AR1114" s="166">
        <v>0</v>
      </c>
      <c r="AS1114" s="166">
        <v>0</v>
      </c>
      <c r="AT1114" s="166">
        <v>0</v>
      </c>
      <c r="AU1114" s="166">
        <v>0</v>
      </c>
      <c r="AV1114" s="166">
        <v>0</v>
      </c>
      <c r="AW1114" s="166">
        <v>2</v>
      </c>
      <c r="AX1114" s="166">
        <v>0</v>
      </c>
      <c r="AY1114" s="166">
        <v>0</v>
      </c>
      <c r="AZ1114" s="166">
        <v>0</v>
      </c>
      <c r="BA1114" s="166">
        <v>0</v>
      </c>
      <c r="BB1114" s="166">
        <v>0</v>
      </c>
      <c r="BC1114" s="166">
        <v>0</v>
      </c>
      <c r="BD1114" s="166">
        <v>0</v>
      </c>
      <c r="BE1114" s="166">
        <v>0</v>
      </c>
      <c r="BF1114" s="166">
        <v>0</v>
      </c>
      <c r="BG1114" s="166">
        <v>0</v>
      </c>
      <c r="BH1114" s="166">
        <v>0</v>
      </c>
      <c r="BI1114" s="166">
        <v>0</v>
      </c>
      <c r="BJ1114" s="166">
        <v>0</v>
      </c>
      <c r="BK1114" s="166">
        <v>0</v>
      </c>
      <c r="BL1114" s="166">
        <v>0</v>
      </c>
      <c r="BM1114" s="166">
        <v>0</v>
      </c>
      <c r="BN1114" s="166">
        <v>0</v>
      </c>
      <c r="BO1114" s="166">
        <v>0</v>
      </c>
      <c r="BP1114" s="166">
        <v>0</v>
      </c>
      <c r="BQ1114" s="81" t="s">
        <v>1757</v>
      </c>
      <c r="BR1114" s="81" t="s">
        <v>242</v>
      </c>
      <c r="BZ1114" s="81" t="s">
        <v>155</v>
      </c>
      <c r="CA1114" s="81" t="s">
        <v>3936</v>
      </c>
      <c r="CC1114" s="167">
        <v>0</v>
      </c>
      <c r="CD1114" s="167">
        <v>0</v>
      </c>
      <c r="CE1114" s="167">
        <v>0</v>
      </c>
      <c r="CF1114" s="167">
        <f>N1114</f>
        <v>2</v>
      </c>
      <c r="CG1114" s="167">
        <v>0</v>
      </c>
      <c r="CH1114" s="167">
        <v>0</v>
      </c>
      <c r="CI1114" s="167">
        <v>0</v>
      </c>
      <c r="CJ1114" s="167">
        <v>0</v>
      </c>
      <c r="CK1114" s="167">
        <v>0</v>
      </c>
      <c r="CL1114" s="167">
        <v>0</v>
      </c>
      <c r="CM1114" s="167">
        <v>0</v>
      </c>
      <c r="CN1114" s="167">
        <v>0</v>
      </c>
      <c r="CO1114" s="167">
        <v>0</v>
      </c>
      <c r="CP1114" s="167">
        <v>0</v>
      </c>
      <c r="CQ1114" s="167">
        <v>0</v>
      </c>
      <c r="CR1114" s="167">
        <v>0</v>
      </c>
      <c r="CS1114" s="167">
        <v>0</v>
      </c>
      <c r="CT1114" s="167">
        <v>0</v>
      </c>
      <c r="CU1114" s="167">
        <v>0</v>
      </c>
      <c r="CV1114" s="167">
        <v>0</v>
      </c>
      <c r="CW1114" s="167">
        <v>0</v>
      </c>
      <c r="CX1114" s="167">
        <f>SUM(CD1114:CH1114)</f>
        <v>2</v>
      </c>
      <c r="CY1114" s="167">
        <f>SUM(CD1114:CM1114)</f>
        <v>2</v>
      </c>
    </row>
    <row r="1115" spans="1:103" ht="12.75" customHeight="1" x14ac:dyDescent="0.2">
      <c r="A1115" s="81">
        <v>6672</v>
      </c>
      <c r="B1115" s="165" t="s">
        <v>1930</v>
      </c>
      <c r="C1115" s="165" t="s">
        <v>2901</v>
      </c>
      <c r="E1115" s="165" t="s">
        <v>2902</v>
      </c>
      <c r="G1115" s="81">
        <v>528523</v>
      </c>
      <c r="H1115" s="81">
        <v>172269</v>
      </c>
      <c r="I1115" s="165" t="s">
        <v>248</v>
      </c>
      <c r="L1115" s="166">
        <v>2</v>
      </c>
      <c r="M1115" s="166">
        <v>3</v>
      </c>
      <c r="N1115" s="166">
        <v>1</v>
      </c>
      <c r="O1115" s="166">
        <v>3</v>
      </c>
      <c r="P1115" s="166">
        <v>1</v>
      </c>
      <c r="R1115" s="165" t="s">
        <v>2903</v>
      </c>
      <c r="S1115" s="81" t="s">
        <v>113</v>
      </c>
      <c r="T1115" s="349">
        <v>42954</v>
      </c>
      <c r="U1115" s="349">
        <v>43032</v>
      </c>
      <c r="V1115" s="81" t="s">
        <v>155</v>
      </c>
      <c r="W1115" s="81" t="s">
        <v>114</v>
      </c>
      <c r="Y1115" s="81" t="s">
        <v>115</v>
      </c>
      <c r="Z1115" s="81" t="s">
        <v>398</v>
      </c>
      <c r="AA1115" s="81" t="s">
        <v>117</v>
      </c>
      <c r="AB1115" s="81" t="s">
        <v>300</v>
      </c>
      <c r="AC1115" s="166">
        <v>2.8999999165535001E-2</v>
      </c>
      <c r="AG1115" s="81" t="s">
        <v>238</v>
      </c>
      <c r="AH1115" s="81" t="s">
        <v>118</v>
      </c>
      <c r="AK1115" s="166">
        <v>0</v>
      </c>
      <c r="AM1115" s="166">
        <v>0</v>
      </c>
      <c r="AO1115" s="166">
        <v>-1</v>
      </c>
      <c r="AP1115" s="166">
        <v>-1</v>
      </c>
      <c r="AQ1115" s="166">
        <v>2</v>
      </c>
      <c r="AR1115" s="166">
        <v>1</v>
      </c>
      <c r="AS1115" s="166">
        <v>0</v>
      </c>
      <c r="AT1115" s="166">
        <v>0</v>
      </c>
      <c r="AU1115" s="166">
        <v>0</v>
      </c>
      <c r="AV1115" s="166">
        <v>-1</v>
      </c>
      <c r="AW1115" s="166">
        <v>-1</v>
      </c>
      <c r="AX1115" s="166">
        <v>2</v>
      </c>
      <c r="AY1115" s="166">
        <v>1</v>
      </c>
      <c r="AZ1115" s="166">
        <v>0</v>
      </c>
      <c r="BA1115" s="166">
        <v>0</v>
      </c>
      <c r="BB1115" s="166">
        <v>0</v>
      </c>
      <c r="BC1115" s="166">
        <v>0</v>
      </c>
      <c r="BD1115" s="166">
        <v>0</v>
      </c>
      <c r="BE1115" s="166">
        <v>0</v>
      </c>
      <c r="BF1115" s="166">
        <v>0</v>
      </c>
      <c r="BG1115" s="166">
        <v>0</v>
      </c>
      <c r="BH1115" s="166">
        <v>0</v>
      </c>
      <c r="BI1115" s="166">
        <v>0</v>
      </c>
      <c r="BJ1115" s="166">
        <v>0</v>
      </c>
      <c r="BK1115" s="166">
        <v>0</v>
      </c>
      <c r="BL1115" s="166">
        <v>0</v>
      </c>
      <c r="BM1115" s="166">
        <v>0</v>
      </c>
      <c r="BN1115" s="166">
        <v>0</v>
      </c>
      <c r="BO1115" s="166">
        <v>0</v>
      </c>
      <c r="BP1115" s="166">
        <v>0</v>
      </c>
      <c r="BQ1115" s="81" t="s">
        <v>1757</v>
      </c>
      <c r="BZ1115" s="81" t="s">
        <v>155</v>
      </c>
      <c r="CA1115" s="81" t="s">
        <v>1937</v>
      </c>
      <c r="CC1115" s="167">
        <v>0</v>
      </c>
      <c r="CD1115" s="167">
        <f>$N1115/4</f>
        <v>0.25</v>
      </c>
      <c r="CE1115" s="167">
        <f>$N1115/4</f>
        <v>0.25</v>
      </c>
      <c r="CF1115" s="167">
        <f>$N1115/4</f>
        <v>0.25</v>
      </c>
      <c r="CG1115" s="167">
        <f>$N1115/4</f>
        <v>0.25</v>
      </c>
      <c r="CH1115" s="167">
        <v>0</v>
      </c>
      <c r="CI1115" s="167">
        <v>0</v>
      </c>
      <c r="CJ1115" s="167">
        <v>0</v>
      </c>
      <c r="CK1115" s="167">
        <v>0</v>
      </c>
      <c r="CL1115" s="167">
        <v>0</v>
      </c>
      <c r="CM1115" s="167">
        <v>0</v>
      </c>
      <c r="CN1115" s="167">
        <v>0</v>
      </c>
      <c r="CO1115" s="167">
        <v>0</v>
      </c>
      <c r="CP1115" s="167">
        <v>0</v>
      </c>
      <c r="CQ1115" s="167">
        <v>0</v>
      </c>
      <c r="CR1115" s="167">
        <v>0</v>
      </c>
      <c r="CS1115" s="167">
        <v>0</v>
      </c>
      <c r="CT1115" s="167">
        <v>0</v>
      </c>
      <c r="CU1115" s="167">
        <v>0</v>
      </c>
      <c r="CV1115" s="167">
        <v>0</v>
      </c>
      <c r="CW1115" s="167">
        <v>0</v>
      </c>
      <c r="CX1115" s="167">
        <f>SUM(CD1115:CH1115)</f>
        <v>1</v>
      </c>
      <c r="CY1115" s="167">
        <f>SUM(CD1115:CM1115)</f>
        <v>1</v>
      </c>
    </row>
    <row r="1116" spans="1:103" ht="12.75" customHeight="1" x14ac:dyDescent="0.2">
      <c r="A1116" s="81">
        <v>6673</v>
      </c>
      <c r="B1116" s="165" t="s">
        <v>1930</v>
      </c>
      <c r="C1116" s="165" t="s">
        <v>2904</v>
      </c>
      <c r="E1116" s="165" t="s">
        <v>2905</v>
      </c>
      <c r="G1116" s="81">
        <v>528235</v>
      </c>
      <c r="H1116" s="81">
        <v>172221</v>
      </c>
      <c r="I1116" s="165" t="s">
        <v>248</v>
      </c>
      <c r="L1116" s="166">
        <v>0</v>
      </c>
      <c r="M1116" s="166">
        <v>1</v>
      </c>
      <c r="N1116" s="166">
        <v>1</v>
      </c>
      <c r="O1116" s="166">
        <v>1</v>
      </c>
      <c r="P1116" s="166">
        <v>1</v>
      </c>
      <c r="R1116" s="165" t="s">
        <v>2906</v>
      </c>
      <c r="S1116" s="81" t="s">
        <v>113</v>
      </c>
      <c r="T1116" s="349">
        <v>42951</v>
      </c>
      <c r="U1116" s="349">
        <v>43004</v>
      </c>
      <c r="V1116" s="81" t="s">
        <v>155</v>
      </c>
      <c r="W1116" s="81" t="s">
        <v>114</v>
      </c>
      <c r="Y1116" s="81" t="s">
        <v>115</v>
      </c>
      <c r="Z1116" s="81" t="s">
        <v>219</v>
      </c>
      <c r="AA1116" s="81" t="s">
        <v>117</v>
      </c>
      <c r="AB1116" s="81" t="s">
        <v>3889</v>
      </c>
      <c r="AC1116" s="166">
        <v>4.9999998882412902E-3</v>
      </c>
      <c r="AG1116" s="81" t="s">
        <v>238</v>
      </c>
      <c r="AH1116" s="81" t="s">
        <v>118</v>
      </c>
      <c r="AK1116" s="166">
        <v>0</v>
      </c>
      <c r="AM1116" s="166">
        <v>0</v>
      </c>
      <c r="AO1116" s="166">
        <v>0</v>
      </c>
      <c r="AP1116" s="166">
        <v>1</v>
      </c>
      <c r="AQ1116" s="166">
        <v>0</v>
      </c>
      <c r="AR1116" s="166">
        <v>0</v>
      </c>
      <c r="AS1116" s="166">
        <v>0</v>
      </c>
      <c r="AT1116" s="166">
        <v>0</v>
      </c>
      <c r="AU1116" s="166">
        <v>0</v>
      </c>
      <c r="AV1116" s="166">
        <v>0</v>
      </c>
      <c r="AW1116" s="166">
        <v>1</v>
      </c>
      <c r="AX1116" s="166">
        <v>0</v>
      </c>
      <c r="AY1116" s="166">
        <v>0</v>
      </c>
      <c r="AZ1116" s="166">
        <v>0</v>
      </c>
      <c r="BA1116" s="166">
        <v>0</v>
      </c>
      <c r="BB1116" s="166">
        <v>0</v>
      </c>
      <c r="BC1116" s="166">
        <v>0</v>
      </c>
      <c r="BD1116" s="166">
        <v>0</v>
      </c>
      <c r="BE1116" s="166">
        <v>0</v>
      </c>
      <c r="BF1116" s="166">
        <v>0</v>
      </c>
      <c r="BG1116" s="166">
        <v>0</v>
      </c>
      <c r="BH1116" s="166">
        <v>0</v>
      </c>
      <c r="BI1116" s="166">
        <v>0</v>
      </c>
      <c r="BJ1116" s="166">
        <v>0</v>
      </c>
      <c r="BK1116" s="166">
        <v>0</v>
      </c>
      <c r="BL1116" s="166">
        <v>0</v>
      </c>
      <c r="BM1116" s="166">
        <v>0</v>
      </c>
      <c r="BN1116" s="166">
        <v>0</v>
      </c>
      <c r="BO1116" s="166">
        <v>0</v>
      </c>
      <c r="BP1116" s="166">
        <v>0</v>
      </c>
      <c r="BQ1116" s="81" t="s">
        <v>1757</v>
      </c>
      <c r="BZ1116" s="81" t="s">
        <v>155</v>
      </c>
      <c r="CA1116" s="81" t="s">
        <v>1937</v>
      </c>
      <c r="CC1116" s="167">
        <v>0</v>
      </c>
      <c r="CD1116" s="167">
        <f>$N1116/4</f>
        <v>0.25</v>
      </c>
      <c r="CE1116" s="167">
        <f>$N1116/4</f>
        <v>0.25</v>
      </c>
      <c r="CF1116" s="167">
        <f>$N1116/4</f>
        <v>0.25</v>
      </c>
      <c r="CG1116" s="167">
        <f>$N1116/4</f>
        <v>0.25</v>
      </c>
      <c r="CH1116" s="167">
        <v>0</v>
      </c>
      <c r="CI1116" s="167">
        <v>0</v>
      </c>
      <c r="CJ1116" s="167">
        <v>0</v>
      </c>
      <c r="CK1116" s="167">
        <v>0</v>
      </c>
      <c r="CL1116" s="167">
        <v>0</v>
      </c>
      <c r="CM1116" s="167">
        <v>0</v>
      </c>
      <c r="CN1116" s="167">
        <v>0</v>
      </c>
      <c r="CO1116" s="167">
        <v>0</v>
      </c>
      <c r="CP1116" s="167">
        <v>0</v>
      </c>
      <c r="CQ1116" s="167">
        <v>0</v>
      </c>
      <c r="CR1116" s="167">
        <v>0</v>
      </c>
      <c r="CS1116" s="167">
        <v>0</v>
      </c>
      <c r="CT1116" s="167">
        <v>0</v>
      </c>
      <c r="CU1116" s="167">
        <v>0</v>
      </c>
      <c r="CV1116" s="167">
        <v>0</v>
      </c>
      <c r="CW1116" s="167">
        <v>0</v>
      </c>
      <c r="CX1116" s="167">
        <f>SUM(CD1116:CH1116)</f>
        <v>1</v>
      </c>
      <c r="CY1116" s="167">
        <f>SUM(CD1116:CM1116)</f>
        <v>1</v>
      </c>
    </row>
    <row r="1117" spans="1:103" ht="12.75" customHeight="1" x14ac:dyDescent="0.2">
      <c r="A1117" s="81">
        <v>6674</v>
      </c>
      <c r="B1117" s="165" t="s">
        <v>1930</v>
      </c>
      <c r="C1117" s="165" t="s">
        <v>2907</v>
      </c>
      <c r="E1117" s="165" t="s">
        <v>2908</v>
      </c>
      <c r="G1117" s="81">
        <v>528839</v>
      </c>
      <c r="H1117" s="81">
        <v>171136</v>
      </c>
      <c r="I1117" s="165" t="s">
        <v>252</v>
      </c>
      <c r="L1117" s="166">
        <v>0</v>
      </c>
      <c r="M1117" s="166">
        <v>2</v>
      </c>
      <c r="N1117" s="166">
        <v>2</v>
      </c>
      <c r="O1117" s="166">
        <v>3</v>
      </c>
      <c r="P1117" s="166">
        <v>3</v>
      </c>
      <c r="R1117" s="165" t="s">
        <v>2909</v>
      </c>
      <c r="S1117" s="81" t="s">
        <v>113</v>
      </c>
      <c r="T1117" s="349">
        <v>43003</v>
      </c>
      <c r="U1117" s="349">
        <v>43059</v>
      </c>
      <c r="V1117" s="81" t="s">
        <v>155</v>
      </c>
      <c r="W1117" s="81" t="s">
        <v>114</v>
      </c>
      <c r="Y1117" s="81" t="s">
        <v>115</v>
      </c>
      <c r="Z1117" s="81" t="s">
        <v>398</v>
      </c>
      <c r="AA1117" s="81" t="s">
        <v>117</v>
      </c>
      <c r="AB1117" s="81" t="s">
        <v>218</v>
      </c>
      <c r="AC1117" s="166">
        <v>4.9999998882412902E-3</v>
      </c>
      <c r="AG1117" s="81" t="s">
        <v>238</v>
      </c>
      <c r="AH1117" s="81" t="s">
        <v>118</v>
      </c>
      <c r="AK1117" s="166">
        <v>0</v>
      </c>
      <c r="AM1117" s="166">
        <v>0</v>
      </c>
      <c r="AO1117" s="166">
        <v>0</v>
      </c>
      <c r="AP1117" s="166">
        <v>2</v>
      </c>
      <c r="AQ1117" s="166">
        <v>0</v>
      </c>
      <c r="AR1117" s="166">
        <v>0</v>
      </c>
      <c r="AS1117" s="166">
        <v>0</v>
      </c>
      <c r="AT1117" s="166">
        <v>0</v>
      </c>
      <c r="AU1117" s="166">
        <v>0</v>
      </c>
      <c r="AV1117" s="166">
        <v>0</v>
      </c>
      <c r="AW1117" s="166">
        <v>2</v>
      </c>
      <c r="AX1117" s="166">
        <v>0</v>
      </c>
      <c r="AY1117" s="166">
        <v>0</v>
      </c>
      <c r="AZ1117" s="166">
        <v>0</v>
      </c>
      <c r="BA1117" s="166">
        <v>0</v>
      </c>
      <c r="BB1117" s="166">
        <v>0</v>
      </c>
      <c r="BC1117" s="166">
        <v>0</v>
      </c>
      <c r="BD1117" s="166">
        <v>0</v>
      </c>
      <c r="BE1117" s="166">
        <v>0</v>
      </c>
      <c r="BF1117" s="166">
        <v>0</v>
      </c>
      <c r="BG1117" s="166">
        <v>0</v>
      </c>
      <c r="BH1117" s="166">
        <v>0</v>
      </c>
      <c r="BI1117" s="166">
        <v>0</v>
      </c>
      <c r="BJ1117" s="166">
        <v>0</v>
      </c>
      <c r="BK1117" s="166">
        <v>0</v>
      </c>
      <c r="BL1117" s="166">
        <v>0</v>
      </c>
      <c r="BM1117" s="166">
        <v>0</v>
      </c>
      <c r="BN1117" s="166">
        <v>0</v>
      </c>
      <c r="BO1117" s="166">
        <v>0</v>
      </c>
      <c r="BP1117" s="166">
        <v>0</v>
      </c>
      <c r="BQ1117" s="81" t="s">
        <v>1757</v>
      </c>
      <c r="BZ1117" s="81" t="s">
        <v>155</v>
      </c>
      <c r="CA1117" s="81" t="s">
        <v>1937</v>
      </c>
      <c r="CC1117" s="167">
        <v>0</v>
      </c>
      <c r="CD1117" s="167">
        <f>$N1117/4</f>
        <v>0.5</v>
      </c>
      <c r="CE1117" s="167">
        <f>$N1117/4</f>
        <v>0.5</v>
      </c>
      <c r="CF1117" s="167">
        <f>$N1117/4</f>
        <v>0.5</v>
      </c>
      <c r="CG1117" s="167">
        <f>$N1117/4</f>
        <v>0.5</v>
      </c>
      <c r="CH1117" s="167">
        <v>0</v>
      </c>
      <c r="CI1117" s="167">
        <v>0</v>
      </c>
      <c r="CJ1117" s="167">
        <v>0</v>
      </c>
      <c r="CK1117" s="167">
        <v>0</v>
      </c>
      <c r="CL1117" s="167">
        <v>0</v>
      </c>
      <c r="CM1117" s="167">
        <v>0</v>
      </c>
      <c r="CN1117" s="167">
        <v>0</v>
      </c>
      <c r="CO1117" s="167">
        <v>0</v>
      </c>
      <c r="CP1117" s="167">
        <v>0</v>
      </c>
      <c r="CQ1117" s="167">
        <v>0</v>
      </c>
      <c r="CR1117" s="167">
        <v>0</v>
      </c>
      <c r="CS1117" s="167">
        <v>0</v>
      </c>
      <c r="CT1117" s="167">
        <v>0</v>
      </c>
      <c r="CU1117" s="167">
        <v>0</v>
      </c>
      <c r="CV1117" s="167">
        <v>0</v>
      </c>
      <c r="CW1117" s="167">
        <v>0</v>
      </c>
      <c r="CX1117" s="167">
        <f>SUM(CD1117:CH1117)</f>
        <v>2</v>
      </c>
      <c r="CY1117" s="167">
        <f>SUM(CD1117:CM1117)</f>
        <v>2</v>
      </c>
    </row>
    <row r="1118" spans="1:103" ht="12.75" customHeight="1" x14ac:dyDescent="0.2">
      <c r="A1118" s="81">
        <v>6674</v>
      </c>
      <c r="B1118" s="165" t="s">
        <v>1930</v>
      </c>
      <c r="C1118" s="165" t="s">
        <v>2907</v>
      </c>
      <c r="E1118" s="165" t="s">
        <v>2908</v>
      </c>
      <c r="G1118" s="81">
        <v>528839</v>
      </c>
      <c r="H1118" s="81">
        <v>171136</v>
      </c>
      <c r="I1118" s="165" t="s">
        <v>252</v>
      </c>
      <c r="L1118" s="166">
        <v>0</v>
      </c>
      <c r="M1118" s="166">
        <v>1</v>
      </c>
      <c r="N1118" s="166">
        <v>1</v>
      </c>
      <c r="O1118" s="166">
        <v>3</v>
      </c>
      <c r="P1118" s="166">
        <v>3</v>
      </c>
      <c r="R1118" s="165" t="s">
        <v>2909</v>
      </c>
      <c r="S1118" s="81" t="s">
        <v>113</v>
      </c>
      <c r="T1118" s="349">
        <v>43003</v>
      </c>
      <c r="U1118" s="349">
        <v>43059</v>
      </c>
      <c r="V1118" s="81" t="s">
        <v>155</v>
      </c>
      <c r="W1118" s="81" t="s">
        <v>114</v>
      </c>
      <c r="Y1118" s="81" t="s">
        <v>115</v>
      </c>
      <c r="Z1118" s="81" t="s">
        <v>398</v>
      </c>
      <c r="AA1118" s="81" t="s">
        <v>117</v>
      </c>
      <c r="AB1118" s="81" t="s">
        <v>102</v>
      </c>
      <c r="AC1118" s="166">
        <v>4.0000001899898104E-3</v>
      </c>
      <c r="AG1118" s="81" t="s">
        <v>238</v>
      </c>
      <c r="AH1118" s="81" t="s">
        <v>118</v>
      </c>
      <c r="AK1118" s="166">
        <v>0</v>
      </c>
      <c r="AM1118" s="166">
        <v>0</v>
      </c>
      <c r="AO1118" s="166">
        <v>0</v>
      </c>
      <c r="AP1118" s="166">
        <v>0</v>
      </c>
      <c r="AQ1118" s="166">
        <v>1</v>
      </c>
      <c r="AR1118" s="166">
        <v>0</v>
      </c>
      <c r="AS1118" s="166">
        <v>0</v>
      </c>
      <c r="AT1118" s="166">
        <v>0</v>
      </c>
      <c r="AU1118" s="166">
        <v>0</v>
      </c>
      <c r="AV1118" s="166">
        <v>0</v>
      </c>
      <c r="AW1118" s="166">
        <v>0</v>
      </c>
      <c r="AX1118" s="166">
        <v>1</v>
      </c>
      <c r="AY1118" s="166">
        <v>0</v>
      </c>
      <c r="AZ1118" s="166">
        <v>0</v>
      </c>
      <c r="BA1118" s="166">
        <v>0</v>
      </c>
      <c r="BB1118" s="166">
        <v>0</v>
      </c>
      <c r="BC1118" s="166">
        <v>0</v>
      </c>
      <c r="BD1118" s="166">
        <v>0</v>
      </c>
      <c r="BE1118" s="166">
        <v>0</v>
      </c>
      <c r="BF1118" s="166">
        <v>0</v>
      </c>
      <c r="BG1118" s="166">
        <v>0</v>
      </c>
      <c r="BH1118" s="166">
        <v>0</v>
      </c>
      <c r="BI1118" s="166">
        <v>0</v>
      </c>
      <c r="BJ1118" s="166">
        <v>0</v>
      </c>
      <c r="BK1118" s="166">
        <v>0</v>
      </c>
      <c r="BL1118" s="166">
        <v>0</v>
      </c>
      <c r="BM1118" s="166">
        <v>0</v>
      </c>
      <c r="BN1118" s="166">
        <v>0</v>
      </c>
      <c r="BO1118" s="166">
        <v>0</v>
      </c>
      <c r="BP1118" s="166">
        <v>0</v>
      </c>
      <c r="BQ1118" s="81" t="s">
        <v>1757</v>
      </c>
      <c r="BZ1118" s="81" t="s">
        <v>155</v>
      </c>
      <c r="CA1118" s="81" t="s">
        <v>1937</v>
      </c>
      <c r="CC1118" s="167">
        <v>0</v>
      </c>
      <c r="CD1118" s="167">
        <f>$N1118/4</f>
        <v>0.25</v>
      </c>
      <c r="CE1118" s="167">
        <f>$N1118/4</f>
        <v>0.25</v>
      </c>
      <c r="CF1118" s="167">
        <f>$N1118/4</f>
        <v>0.25</v>
      </c>
      <c r="CG1118" s="167">
        <f>$N1118/4</f>
        <v>0.25</v>
      </c>
      <c r="CH1118" s="167">
        <v>0</v>
      </c>
      <c r="CI1118" s="167">
        <v>0</v>
      </c>
      <c r="CJ1118" s="167">
        <v>0</v>
      </c>
      <c r="CK1118" s="167">
        <v>0</v>
      </c>
      <c r="CL1118" s="167">
        <v>0</v>
      </c>
      <c r="CM1118" s="167">
        <v>0</v>
      </c>
      <c r="CN1118" s="167">
        <v>0</v>
      </c>
      <c r="CO1118" s="167">
        <v>0</v>
      </c>
      <c r="CP1118" s="167">
        <v>0</v>
      </c>
      <c r="CQ1118" s="167">
        <v>0</v>
      </c>
      <c r="CR1118" s="167">
        <v>0</v>
      </c>
      <c r="CS1118" s="167">
        <v>0</v>
      </c>
      <c r="CT1118" s="167">
        <v>0</v>
      </c>
      <c r="CU1118" s="167">
        <v>0</v>
      </c>
      <c r="CV1118" s="167">
        <v>0</v>
      </c>
      <c r="CW1118" s="167">
        <v>0</v>
      </c>
      <c r="CX1118" s="167">
        <f>SUM(CD1118:CH1118)</f>
        <v>1</v>
      </c>
      <c r="CY1118" s="167">
        <f>SUM(CD1118:CM1118)</f>
        <v>1</v>
      </c>
    </row>
    <row r="1119" spans="1:103" ht="12.75" customHeight="1" x14ac:dyDescent="0.2">
      <c r="A1119" s="81">
        <v>6679</v>
      </c>
      <c r="B1119" s="165" t="s">
        <v>1930</v>
      </c>
      <c r="C1119" s="165" t="s">
        <v>2910</v>
      </c>
      <c r="E1119" s="165" t="s">
        <v>2911</v>
      </c>
      <c r="G1119" s="81">
        <v>527032</v>
      </c>
      <c r="H1119" s="81">
        <v>171903</v>
      </c>
      <c r="I1119" s="165" t="s">
        <v>242</v>
      </c>
      <c r="L1119" s="166">
        <v>0</v>
      </c>
      <c r="M1119" s="166">
        <v>1</v>
      </c>
      <c r="N1119" s="166">
        <v>1</v>
      </c>
      <c r="O1119" s="166">
        <v>1</v>
      </c>
      <c r="P1119" s="166">
        <v>1</v>
      </c>
      <c r="R1119" s="165" t="s">
        <v>2912</v>
      </c>
      <c r="S1119" s="81" t="s">
        <v>113</v>
      </c>
      <c r="T1119" s="349">
        <v>43122</v>
      </c>
      <c r="U1119" s="349">
        <v>43175</v>
      </c>
      <c r="V1119" s="81" t="s">
        <v>155</v>
      </c>
      <c r="W1119" s="81" t="s">
        <v>114</v>
      </c>
      <c r="Y1119" s="81" t="s">
        <v>115</v>
      </c>
      <c r="Z1119" s="81" t="s">
        <v>116</v>
      </c>
      <c r="AA1119" s="81" t="s">
        <v>117</v>
      </c>
      <c r="AB1119" s="81" t="s">
        <v>218</v>
      </c>
      <c r="AC1119" s="166">
        <v>3.0999999493360499E-2</v>
      </c>
      <c r="AG1119" s="81" t="s">
        <v>238</v>
      </c>
      <c r="AH1119" s="81" t="s">
        <v>118</v>
      </c>
      <c r="AK1119" s="166">
        <v>0</v>
      </c>
      <c r="AM1119" s="166">
        <v>0</v>
      </c>
      <c r="AO1119" s="166">
        <v>0</v>
      </c>
      <c r="AP1119" s="166">
        <v>0</v>
      </c>
      <c r="AQ1119" s="166">
        <v>1</v>
      </c>
      <c r="AR1119" s="166">
        <v>0</v>
      </c>
      <c r="AS1119" s="166">
        <v>0</v>
      </c>
      <c r="AT1119" s="166">
        <v>0</v>
      </c>
      <c r="AU1119" s="166">
        <v>0</v>
      </c>
      <c r="AV1119" s="166">
        <v>0</v>
      </c>
      <c r="AW1119" s="166">
        <v>0</v>
      </c>
      <c r="AX1119" s="166">
        <v>0</v>
      </c>
      <c r="AY1119" s="166">
        <v>0</v>
      </c>
      <c r="AZ1119" s="166">
        <v>0</v>
      </c>
      <c r="BA1119" s="166">
        <v>0</v>
      </c>
      <c r="BB1119" s="166">
        <v>0</v>
      </c>
      <c r="BC1119" s="166">
        <v>0</v>
      </c>
      <c r="BD1119" s="166">
        <v>0</v>
      </c>
      <c r="BE1119" s="166">
        <v>1</v>
      </c>
      <c r="BF1119" s="166">
        <v>0</v>
      </c>
      <c r="BG1119" s="166">
        <v>0</v>
      </c>
      <c r="BH1119" s="166">
        <v>0</v>
      </c>
      <c r="BI1119" s="166">
        <v>0</v>
      </c>
      <c r="BJ1119" s="166">
        <v>0</v>
      </c>
      <c r="BK1119" s="166">
        <v>0</v>
      </c>
      <c r="BL1119" s="166">
        <v>0</v>
      </c>
      <c r="BM1119" s="166">
        <v>0</v>
      </c>
      <c r="BN1119" s="166">
        <v>0</v>
      </c>
      <c r="BO1119" s="166">
        <v>0</v>
      </c>
      <c r="BP1119" s="166">
        <v>0</v>
      </c>
      <c r="BQ1119" s="81" t="s">
        <v>1757</v>
      </c>
      <c r="BZ1119" s="81" t="s">
        <v>155</v>
      </c>
      <c r="CA1119" s="81">
        <v>4</v>
      </c>
      <c r="CC1119" s="167">
        <v>0</v>
      </c>
      <c r="CD1119" s="167">
        <v>0</v>
      </c>
      <c r="CE1119" s="167">
        <f>$N1119/5</f>
        <v>0.2</v>
      </c>
      <c r="CF1119" s="167">
        <f>$N1119/5</f>
        <v>0.2</v>
      </c>
      <c r="CG1119" s="167">
        <f>$N1119/5</f>
        <v>0.2</v>
      </c>
      <c r="CH1119" s="167">
        <f>$N1119/5</f>
        <v>0.2</v>
      </c>
      <c r="CI1119" s="167">
        <f>$N1119/5</f>
        <v>0.2</v>
      </c>
      <c r="CJ1119" s="167">
        <v>0</v>
      </c>
      <c r="CK1119" s="167">
        <v>0</v>
      </c>
      <c r="CL1119" s="167">
        <v>0</v>
      </c>
      <c r="CM1119" s="167">
        <v>0</v>
      </c>
      <c r="CN1119" s="167">
        <v>0</v>
      </c>
      <c r="CO1119" s="167">
        <v>0</v>
      </c>
      <c r="CP1119" s="167">
        <v>0</v>
      </c>
      <c r="CQ1119" s="167">
        <v>0</v>
      </c>
      <c r="CR1119" s="167">
        <v>0</v>
      </c>
      <c r="CS1119" s="167">
        <v>0</v>
      </c>
      <c r="CT1119" s="167">
        <v>0</v>
      </c>
      <c r="CU1119" s="167">
        <v>0</v>
      </c>
      <c r="CV1119" s="167">
        <v>0</v>
      </c>
      <c r="CW1119" s="167">
        <v>0</v>
      </c>
      <c r="CX1119" s="167">
        <f>SUM(CD1119:CH1119)</f>
        <v>0.8</v>
      </c>
      <c r="CY1119" s="167">
        <f>SUM(CD1119:CM1119)</f>
        <v>1</v>
      </c>
    </row>
    <row r="1120" spans="1:103" ht="12.75" customHeight="1" x14ac:dyDescent="0.2">
      <c r="A1120" s="81">
        <v>6681</v>
      </c>
      <c r="B1120" s="165" t="s">
        <v>1930</v>
      </c>
      <c r="C1120" s="165" t="s">
        <v>2913</v>
      </c>
      <c r="E1120" s="165" t="s">
        <v>2914</v>
      </c>
      <c r="G1120" s="81">
        <v>527270</v>
      </c>
      <c r="H1120" s="81">
        <v>171198</v>
      </c>
      <c r="I1120" s="165" t="s">
        <v>242</v>
      </c>
      <c r="L1120" s="166">
        <v>0</v>
      </c>
      <c r="M1120" s="166">
        <v>4</v>
      </c>
      <c r="N1120" s="166">
        <v>4</v>
      </c>
      <c r="O1120" s="166">
        <v>4</v>
      </c>
      <c r="P1120" s="166">
        <v>4</v>
      </c>
      <c r="R1120" s="165" t="s">
        <v>2915</v>
      </c>
      <c r="S1120" s="81" t="s">
        <v>113</v>
      </c>
      <c r="T1120" s="349">
        <v>42954</v>
      </c>
      <c r="U1120" s="349">
        <v>43032</v>
      </c>
      <c r="V1120" s="81" t="s">
        <v>155</v>
      </c>
      <c r="W1120" s="81" t="s">
        <v>114</v>
      </c>
      <c r="Y1120" s="81" t="s">
        <v>115</v>
      </c>
      <c r="Z1120" s="81" t="s">
        <v>219</v>
      </c>
      <c r="AA1120" s="81" t="s">
        <v>117</v>
      </c>
      <c r="AB1120" s="81" t="s">
        <v>3889</v>
      </c>
      <c r="AC1120" s="166">
        <v>1.30000002682209E-2</v>
      </c>
      <c r="AG1120" s="81" t="s">
        <v>238</v>
      </c>
      <c r="AH1120" s="81" t="s">
        <v>118</v>
      </c>
      <c r="AK1120" s="166">
        <v>0</v>
      </c>
      <c r="AM1120" s="166">
        <v>0</v>
      </c>
      <c r="AO1120" s="166">
        <v>0</v>
      </c>
      <c r="AP1120" s="166">
        <v>0</v>
      </c>
      <c r="AQ1120" s="166">
        <v>4</v>
      </c>
      <c r="AR1120" s="166">
        <v>0</v>
      </c>
      <c r="AS1120" s="166">
        <v>0</v>
      </c>
      <c r="AT1120" s="166">
        <v>0</v>
      </c>
      <c r="AU1120" s="166">
        <v>0</v>
      </c>
      <c r="AV1120" s="166">
        <v>0</v>
      </c>
      <c r="AW1120" s="166">
        <v>0</v>
      </c>
      <c r="AX1120" s="166">
        <v>4</v>
      </c>
      <c r="AY1120" s="166">
        <v>0</v>
      </c>
      <c r="AZ1120" s="166">
        <v>0</v>
      </c>
      <c r="BA1120" s="166">
        <v>0</v>
      </c>
      <c r="BB1120" s="166">
        <v>0</v>
      </c>
      <c r="BC1120" s="166">
        <v>0</v>
      </c>
      <c r="BD1120" s="166">
        <v>0</v>
      </c>
      <c r="BE1120" s="166">
        <v>0</v>
      </c>
      <c r="BF1120" s="166">
        <v>0</v>
      </c>
      <c r="BG1120" s="166">
        <v>0</v>
      </c>
      <c r="BH1120" s="166">
        <v>0</v>
      </c>
      <c r="BI1120" s="166">
        <v>0</v>
      </c>
      <c r="BJ1120" s="166">
        <v>0</v>
      </c>
      <c r="BK1120" s="166">
        <v>0</v>
      </c>
      <c r="BL1120" s="166">
        <v>0</v>
      </c>
      <c r="BM1120" s="166">
        <v>0</v>
      </c>
      <c r="BN1120" s="166">
        <v>0</v>
      </c>
      <c r="BO1120" s="166">
        <v>0</v>
      </c>
      <c r="BP1120" s="166">
        <v>0</v>
      </c>
      <c r="BQ1120" s="81" t="s">
        <v>1757</v>
      </c>
      <c r="BZ1120" s="81" t="s">
        <v>155</v>
      </c>
      <c r="CA1120" s="81" t="s">
        <v>1937</v>
      </c>
      <c r="CC1120" s="167">
        <v>0</v>
      </c>
      <c r="CD1120" s="167">
        <f>$N1120/4</f>
        <v>1</v>
      </c>
      <c r="CE1120" s="167">
        <f>$N1120/4</f>
        <v>1</v>
      </c>
      <c r="CF1120" s="167">
        <f>$N1120/4</f>
        <v>1</v>
      </c>
      <c r="CG1120" s="167">
        <f>$N1120/4</f>
        <v>1</v>
      </c>
      <c r="CH1120" s="167">
        <v>0</v>
      </c>
      <c r="CI1120" s="167">
        <v>0</v>
      </c>
      <c r="CJ1120" s="167">
        <v>0</v>
      </c>
      <c r="CK1120" s="167">
        <v>0</v>
      </c>
      <c r="CL1120" s="167">
        <v>0</v>
      </c>
      <c r="CM1120" s="167">
        <v>0</v>
      </c>
      <c r="CN1120" s="167">
        <v>0</v>
      </c>
      <c r="CO1120" s="167">
        <v>0</v>
      </c>
      <c r="CP1120" s="167">
        <v>0</v>
      </c>
      <c r="CQ1120" s="167">
        <v>0</v>
      </c>
      <c r="CR1120" s="167">
        <v>0</v>
      </c>
      <c r="CS1120" s="167">
        <v>0</v>
      </c>
      <c r="CT1120" s="167">
        <v>0</v>
      </c>
      <c r="CU1120" s="167">
        <v>0</v>
      </c>
      <c r="CV1120" s="167">
        <v>0</v>
      </c>
      <c r="CW1120" s="167">
        <v>0</v>
      </c>
      <c r="CX1120" s="167">
        <f>SUM(CD1120:CH1120)</f>
        <v>4</v>
      </c>
      <c r="CY1120" s="167">
        <f>SUM(CD1120:CM1120)</f>
        <v>4</v>
      </c>
    </row>
    <row r="1121" spans="1:103" ht="12.75" customHeight="1" x14ac:dyDescent="0.2">
      <c r="A1121" s="81">
        <v>6688</v>
      </c>
      <c r="B1121" s="165" t="s">
        <v>1930</v>
      </c>
      <c r="C1121" s="165" t="s">
        <v>2916</v>
      </c>
      <c r="E1121" s="165" t="s">
        <v>2917</v>
      </c>
      <c r="G1121" s="81">
        <v>526297</v>
      </c>
      <c r="H1121" s="81">
        <v>174863</v>
      </c>
      <c r="I1121" s="165" t="s">
        <v>251</v>
      </c>
      <c r="L1121" s="166">
        <v>1</v>
      </c>
      <c r="M1121" s="166">
        <v>2</v>
      </c>
      <c r="N1121" s="166">
        <v>1</v>
      </c>
      <c r="O1121" s="166">
        <v>2</v>
      </c>
      <c r="P1121" s="166">
        <v>1</v>
      </c>
      <c r="R1121" s="165" t="s">
        <v>2918</v>
      </c>
      <c r="S1121" s="81" t="s">
        <v>113</v>
      </c>
      <c r="T1121" s="349">
        <v>42972</v>
      </c>
      <c r="U1121" s="349">
        <v>43028</v>
      </c>
      <c r="V1121" s="81" t="s">
        <v>155</v>
      </c>
      <c r="W1121" s="81" t="s">
        <v>114</v>
      </c>
      <c r="Y1121" s="81" t="s">
        <v>115</v>
      </c>
      <c r="Z1121" s="81" t="s">
        <v>398</v>
      </c>
      <c r="AA1121" s="81" t="s">
        <v>117</v>
      </c>
      <c r="AB1121" s="81" t="s">
        <v>120</v>
      </c>
      <c r="AC1121" s="166">
        <v>1.7000000923872001E-2</v>
      </c>
      <c r="AG1121" s="81" t="s">
        <v>238</v>
      </c>
      <c r="AH1121" s="81" t="s">
        <v>118</v>
      </c>
      <c r="AK1121" s="166">
        <v>0</v>
      </c>
      <c r="AM1121" s="166">
        <v>0</v>
      </c>
      <c r="AO1121" s="166">
        <v>0</v>
      </c>
      <c r="AP1121" s="166">
        <v>1</v>
      </c>
      <c r="AQ1121" s="166">
        <v>0</v>
      </c>
      <c r="AR1121" s="166">
        <v>0</v>
      </c>
      <c r="AS1121" s="166">
        <v>0</v>
      </c>
      <c r="AT1121" s="166">
        <v>0</v>
      </c>
      <c r="AU1121" s="166">
        <v>0</v>
      </c>
      <c r="AV1121" s="166">
        <v>0</v>
      </c>
      <c r="AW1121" s="166">
        <v>1</v>
      </c>
      <c r="AX1121" s="166">
        <v>0</v>
      </c>
      <c r="AY1121" s="166">
        <v>1</v>
      </c>
      <c r="AZ1121" s="166">
        <v>0</v>
      </c>
      <c r="BA1121" s="166">
        <v>0</v>
      </c>
      <c r="BB1121" s="166">
        <v>0</v>
      </c>
      <c r="BC1121" s="166">
        <v>0</v>
      </c>
      <c r="BD1121" s="166">
        <v>0</v>
      </c>
      <c r="BE1121" s="166">
        <v>0</v>
      </c>
      <c r="BF1121" s="166">
        <v>-1</v>
      </c>
      <c r="BG1121" s="166">
        <v>0</v>
      </c>
      <c r="BH1121" s="166">
        <v>0</v>
      </c>
      <c r="BI1121" s="166">
        <v>0</v>
      </c>
      <c r="BJ1121" s="166">
        <v>0</v>
      </c>
      <c r="BK1121" s="166">
        <v>0</v>
      </c>
      <c r="BL1121" s="166">
        <v>0</v>
      </c>
      <c r="BM1121" s="166">
        <v>0</v>
      </c>
      <c r="BN1121" s="166">
        <v>0</v>
      </c>
      <c r="BO1121" s="166">
        <v>0</v>
      </c>
      <c r="BP1121" s="166">
        <v>0</v>
      </c>
      <c r="BQ1121" s="81" t="s">
        <v>1758</v>
      </c>
      <c r="BZ1121" s="81" t="s">
        <v>155</v>
      </c>
      <c r="CA1121" s="81" t="s">
        <v>1937</v>
      </c>
      <c r="CC1121" s="167">
        <v>0</v>
      </c>
      <c r="CD1121" s="167">
        <f>$N1121/4</f>
        <v>0.25</v>
      </c>
      <c r="CE1121" s="167">
        <f>$N1121/4</f>
        <v>0.25</v>
      </c>
      <c r="CF1121" s="167">
        <f>$N1121/4</f>
        <v>0.25</v>
      </c>
      <c r="CG1121" s="167">
        <f>$N1121/4</f>
        <v>0.25</v>
      </c>
      <c r="CH1121" s="167">
        <v>0</v>
      </c>
      <c r="CI1121" s="167">
        <v>0</v>
      </c>
      <c r="CJ1121" s="167">
        <v>0</v>
      </c>
      <c r="CK1121" s="167">
        <v>0</v>
      </c>
      <c r="CL1121" s="167">
        <v>0</v>
      </c>
      <c r="CM1121" s="167">
        <v>0</v>
      </c>
      <c r="CN1121" s="167">
        <v>0</v>
      </c>
      <c r="CO1121" s="167">
        <v>0</v>
      </c>
      <c r="CP1121" s="167">
        <v>0</v>
      </c>
      <c r="CQ1121" s="167">
        <v>0</v>
      </c>
      <c r="CR1121" s="167">
        <v>0</v>
      </c>
      <c r="CS1121" s="167">
        <v>0</v>
      </c>
      <c r="CT1121" s="167">
        <v>0</v>
      </c>
      <c r="CU1121" s="167">
        <v>0</v>
      </c>
      <c r="CV1121" s="167">
        <v>0</v>
      </c>
      <c r="CW1121" s="167">
        <v>0</v>
      </c>
      <c r="CX1121" s="167">
        <f>SUM(CD1121:CH1121)</f>
        <v>1</v>
      </c>
      <c r="CY1121" s="167">
        <f>SUM(CD1121:CM1121)</f>
        <v>1</v>
      </c>
    </row>
    <row r="1122" spans="1:103" ht="12.75" customHeight="1" x14ac:dyDescent="0.2">
      <c r="A1122" s="81">
        <v>6695</v>
      </c>
      <c r="B1122" s="165" t="s">
        <v>1930</v>
      </c>
      <c r="C1122" s="165" t="s">
        <v>2919</v>
      </c>
      <c r="E1122" s="165" t="s">
        <v>2920</v>
      </c>
      <c r="G1122" s="81">
        <v>526188</v>
      </c>
      <c r="H1122" s="81">
        <v>172838</v>
      </c>
      <c r="I1122" s="165" t="s">
        <v>249</v>
      </c>
      <c r="L1122" s="166">
        <v>0</v>
      </c>
      <c r="M1122" s="166">
        <v>3</v>
      </c>
      <c r="N1122" s="166">
        <v>3</v>
      </c>
      <c r="O1122" s="166">
        <v>3</v>
      </c>
      <c r="P1122" s="166">
        <v>3</v>
      </c>
      <c r="R1122" s="165" t="s">
        <v>2921</v>
      </c>
      <c r="S1122" s="81" t="s">
        <v>113</v>
      </c>
      <c r="T1122" s="349">
        <v>42984</v>
      </c>
      <c r="U1122" s="349">
        <v>43083</v>
      </c>
      <c r="V1122" s="81" t="s">
        <v>155</v>
      </c>
      <c r="W1122" s="81" t="s">
        <v>114</v>
      </c>
      <c r="Y1122" s="81" t="s">
        <v>397</v>
      </c>
      <c r="Z1122" s="81" t="s">
        <v>116</v>
      </c>
      <c r="AA1122" s="81" t="s">
        <v>117</v>
      </c>
      <c r="AB1122" s="81" t="s">
        <v>218</v>
      </c>
      <c r="AC1122" s="166">
        <v>2.8000000864267301E-2</v>
      </c>
      <c r="AG1122" s="81" t="s">
        <v>238</v>
      </c>
      <c r="AH1122" s="81" t="s">
        <v>118</v>
      </c>
      <c r="AK1122" s="166">
        <v>0</v>
      </c>
      <c r="AM1122" s="166">
        <v>0</v>
      </c>
      <c r="AO1122" s="166">
        <v>0</v>
      </c>
      <c r="AP1122" s="166">
        <v>3</v>
      </c>
      <c r="AQ1122" s="166">
        <v>0</v>
      </c>
      <c r="AR1122" s="166">
        <v>0</v>
      </c>
      <c r="AS1122" s="166">
        <v>0</v>
      </c>
      <c r="AT1122" s="166">
        <v>0</v>
      </c>
      <c r="AU1122" s="166">
        <v>0</v>
      </c>
      <c r="AV1122" s="166">
        <v>0</v>
      </c>
      <c r="AW1122" s="166">
        <v>3</v>
      </c>
      <c r="AX1122" s="166">
        <v>0</v>
      </c>
      <c r="AY1122" s="166">
        <v>0</v>
      </c>
      <c r="AZ1122" s="166">
        <v>0</v>
      </c>
      <c r="BA1122" s="166">
        <v>0</v>
      </c>
      <c r="BB1122" s="166">
        <v>0</v>
      </c>
      <c r="BC1122" s="166">
        <v>0</v>
      </c>
      <c r="BD1122" s="166">
        <v>0</v>
      </c>
      <c r="BE1122" s="166">
        <v>0</v>
      </c>
      <c r="BF1122" s="166">
        <v>0</v>
      </c>
      <c r="BG1122" s="166">
        <v>0</v>
      </c>
      <c r="BH1122" s="166">
        <v>0</v>
      </c>
      <c r="BI1122" s="166">
        <v>0</v>
      </c>
      <c r="BJ1122" s="166">
        <v>0</v>
      </c>
      <c r="BK1122" s="166">
        <v>0</v>
      </c>
      <c r="BL1122" s="166">
        <v>0</v>
      </c>
      <c r="BM1122" s="166">
        <v>0</v>
      </c>
      <c r="BN1122" s="166">
        <v>0</v>
      </c>
      <c r="BO1122" s="166">
        <v>0</v>
      </c>
      <c r="BP1122" s="166">
        <v>0</v>
      </c>
      <c r="BQ1122" s="81" t="s">
        <v>1758</v>
      </c>
      <c r="BZ1122" s="81" t="s">
        <v>155</v>
      </c>
      <c r="CA1122" s="81">
        <v>4</v>
      </c>
      <c r="CC1122" s="167">
        <v>0</v>
      </c>
      <c r="CD1122" s="167">
        <v>0</v>
      </c>
      <c r="CE1122" s="167">
        <f>$N1122/5</f>
        <v>0.6</v>
      </c>
      <c r="CF1122" s="167">
        <f>$N1122/5</f>
        <v>0.6</v>
      </c>
      <c r="CG1122" s="167">
        <f>$N1122/5</f>
        <v>0.6</v>
      </c>
      <c r="CH1122" s="167">
        <f>$N1122/5</f>
        <v>0.6</v>
      </c>
      <c r="CI1122" s="167">
        <f>$N1122/5</f>
        <v>0.6</v>
      </c>
      <c r="CJ1122" s="167">
        <v>0</v>
      </c>
      <c r="CK1122" s="167">
        <v>0</v>
      </c>
      <c r="CL1122" s="167">
        <v>0</v>
      </c>
      <c r="CM1122" s="167">
        <v>0</v>
      </c>
      <c r="CN1122" s="167">
        <v>0</v>
      </c>
      <c r="CO1122" s="167">
        <v>0</v>
      </c>
      <c r="CP1122" s="167">
        <v>0</v>
      </c>
      <c r="CQ1122" s="167">
        <v>0</v>
      </c>
      <c r="CR1122" s="167">
        <v>0</v>
      </c>
      <c r="CS1122" s="167">
        <v>0</v>
      </c>
      <c r="CT1122" s="167">
        <v>0</v>
      </c>
      <c r="CU1122" s="167">
        <v>0</v>
      </c>
      <c r="CV1122" s="167">
        <v>0</v>
      </c>
      <c r="CW1122" s="167">
        <v>0</v>
      </c>
      <c r="CX1122" s="167">
        <f>SUM(CD1122:CH1122)</f>
        <v>2.4</v>
      </c>
      <c r="CY1122" s="167">
        <f>SUM(CD1122:CM1122)</f>
        <v>3</v>
      </c>
    </row>
    <row r="1123" spans="1:103" ht="12.75" customHeight="1" x14ac:dyDescent="0.2">
      <c r="A1123" s="81">
        <v>6707</v>
      </c>
      <c r="B1123" s="165" t="s">
        <v>1930</v>
      </c>
      <c r="C1123" s="165" t="s">
        <v>2922</v>
      </c>
      <c r="E1123" s="165" t="s">
        <v>2923</v>
      </c>
      <c r="G1123" s="81">
        <v>528529</v>
      </c>
      <c r="H1123" s="81">
        <v>173387</v>
      </c>
      <c r="I1123" s="165" t="s">
        <v>247</v>
      </c>
      <c r="L1123" s="166">
        <v>0</v>
      </c>
      <c r="M1123" s="166">
        <v>7</v>
      </c>
      <c r="N1123" s="166">
        <v>7</v>
      </c>
      <c r="O1123" s="166">
        <v>7</v>
      </c>
      <c r="P1123" s="166">
        <v>7</v>
      </c>
      <c r="R1123" s="165" t="s">
        <v>2924</v>
      </c>
      <c r="S1123" s="81" t="s">
        <v>270</v>
      </c>
      <c r="T1123" s="349">
        <v>43003</v>
      </c>
      <c r="U1123" s="349">
        <v>43059</v>
      </c>
      <c r="V1123" s="81" t="s">
        <v>155</v>
      </c>
      <c r="W1123" s="81" t="s">
        <v>114</v>
      </c>
      <c r="Y1123" s="81" t="s">
        <v>115</v>
      </c>
      <c r="Z1123" s="81" t="s">
        <v>310</v>
      </c>
      <c r="AA1123" s="81" t="s">
        <v>117</v>
      </c>
      <c r="AB1123" s="81" t="s">
        <v>399</v>
      </c>
      <c r="AC1123" s="166">
        <v>2.70000007003546E-2</v>
      </c>
      <c r="AG1123" s="81" t="s">
        <v>238</v>
      </c>
      <c r="AH1123" s="81" t="s">
        <v>118</v>
      </c>
      <c r="AK1123" s="166">
        <v>0</v>
      </c>
      <c r="AM1123" s="166">
        <v>0</v>
      </c>
      <c r="AO1123" s="166">
        <v>7</v>
      </c>
      <c r="AP1123" s="166">
        <v>0</v>
      </c>
      <c r="AQ1123" s="166">
        <v>0</v>
      </c>
      <c r="AR1123" s="166">
        <v>0</v>
      </c>
      <c r="AS1123" s="166">
        <v>0</v>
      </c>
      <c r="AT1123" s="166">
        <v>0</v>
      </c>
      <c r="AU1123" s="166">
        <v>0</v>
      </c>
      <c r="AV1123" s="166">
        <v>7</v>
      </c>
      <c r="AW1123" s="166">
        <v>0</v>
      </c>
      <c r="AX1123" s="166">
        <v>0</v>
      </c>
      <c r="AY1123" s="166">
        <v>0</v>
      </c>
      <c r="AZ1123" s="166">
        <v>0</v>
      </c>
      <c r="BA1123" s="166">
        <v>0</v>
      </c>
      <c r="BB1123" s="166">
        <v>0</v>
      </c>
      <c r="BC1123" s="166">
        <v>0</v>
      </c>
      <c r="BD1123" s="166">
        <v>0</v>
      </c>
      <c r="BE1123" s="166">
        <v>0</v>
      </c>
      <c r="BF1123" s="166">
        <v>0</v>
      </c>
      <c r="BG1123" s="166">
        <v>0</v>
      </c>
      <c r="BH1123" s="166">
        <v>0</v>
      </c>
      <c r="BI1123" s="166">
        <v>0</v>
      </c>
      <c r="BJ1123" s="166">
        <v>0</v>
      </c>
      <c r="BK1123" s="166">
        <v>0</v>
      </c>
      <c r="BL1123" s="166">
        <v>0</v>
      </c>
      <c r="BM1123" s="166">
        <v>0</v>
      </c>
      <c r="BN1123" s="166">
        <v>0</v>
      </c>
      <c r="BO1123" s="166">
        <v>0</v>
      </c>
      <c r="BP1123" s="166">
        <v>0</v>
      </c>
      <c r="BQ1123" s="81" t="s">
        <v>1757</v>
      </c>
      <c r="BR1123" s="81" t="s">
        <v>247</v>
      </c>
      <c r="BZ1123" s="81" t="s">
        <v>155</v>
      </c>
      <c r="CA1123" s="81" t="s">
        <v>3972</v>
      </c>
      <c r="CC1123" s="167">
        <v>0</v>
      </c>
      <c r="CD1123" s="167">
        <f>$N1123/4</f>
        <v>1.75</v>
      </c>
      <c r="CE1123" s="167">
        <f>$N1123/4</f>
        <v>1.75</v>
      </c>
      <c r="CF1123" s="167">
        <f>$N1123/4</f>
        <v>1.75</v>
      </c>
      <c r="CG1123" s="167">
        <f>$N1123/4</f>
        <v>1.75</v>
      </c>
      <c r="CH1123" s="167">
        <v>0</v>
      </c>
      <c r="CI1123" s="167">
        <v>0</v>
      </c>
      <c r="CJ1123" s="167">
        <v>0</v>
      </c>
      <c r="CK1123" s="167">
        <v>0</v>
      </c>
      <c r="CL1123" s="167">
        <v>0</v>
      </c>
      <c r="CM1123" s="167">
        <v>0</v>
      </c>
      <c r="CN1123" s="167">
        <v>0</v>
      </c>
      <c r="CO1123" s="167">
        <v>0</v>
      </c>
      <c r="CP1123" s="167">
        <v>0</v>
      </c>
      <c r="CQ1123" s="167">
        <v>0</v>
      </c>
      <c r="CR1123" s="167">
        <v>0</v>
      </c>
      <c r="CS1123" s="167">
        <v>0</v>
      </c>
      <c r="CT1123" s="167">
        <v>0</v>
      </c>
      <c r="CU1123" s="167">
        <v>0</v>
      </c>
      <c r="CV1123" s="167">
        <v>0</v>
      </c>
      <c r="CW1123" s="167">
        <v>0</v>
      </c>
      <c r="CX1123" s="167">
        <f>SUM(CD1123:CH1123)</f>
        <v>7</v>
      </c>
      <c r="CY1123" s="167">
        <f>SUM(CD1123:CM1123)</f>
        <v>7</v>
      </c>
    </row>
    <row r="1124" spans="1:103" ht="12.75" customHeight="1" x14ac:dyDescent="0.2">
      <c r="A1124" s="81">
        <v>6716</v>
      </c>
      <c r="B1124" s="165" t="s">
        <v>1930</v>
      </c>
      <c r="C1124" s="165" t="s">
        <v>2925</v>
      </c>
      <c r="E1124" s="165" t="s">
        <v>2926</v>
      </c>
      <c r="G1124" s="81">
        <v>525381</v>
      </c>
      <c r="H1124" s="81">
        <v>174614</v>
      </c>
      <c r="I1124" s="165" t="s">
        <v>258</v>
      </c>
      <c r="L1124" s="166">
        <v>0</v>
      </c>
      <c r="M1124" s="166">
        <v>8</v>
      </c>
      <c r="N1124" s="166">
        <v>8</v>
      </c>
      <c r="O1124" s="166">
        <v>8</v>
      </c>
      <c r="P1124" s="166">
        <v>8</v>
      </c>
      <c r="R1124" s="165" t="s">
        <v>2927</v>
      </c>
      <c r="S1124" s="81" t="s">
        <v>110</v>
      </c>
      <c r="T1124" s="349">
        <v>43018</v>
      </c>
      <c r="U1124" s="349">
        <v>43067</v>
      </c>
      <c r="V1124" s="81" t="s">
        <v>155</v>
      </c>
      <c r="W1124" s="81" t="s">
        <v>114</v>
      </c>
      <c r="Y1124" s="81" t="s">
        <v>115</v>
      </c>
      <c r="Z1124" s="81" t="s">
        <v>310</v>
      </c>
      <c r="AA1124" s="81" t="s">
        <v>117</v>
      </c>
      <c r="AB1124" s="81" t="s">
        <v>399</v>
      </c>
      <c r="AC1124" s="166">
        <v>1.7999999225139601E-2</v>
      </c>
      <c r="AG1124" s="81" t="s">
        <v>238</v>
      </c>
      <c r="AH1124" s="81" t="s">
        <v>118</v>
      </c>
      <c r="AK1124" s="166">
        <v>0</v>
      </c>
      <c r="AM1124" s="166">
        <v>0</v>
      </c>
      <c r="AO1124" s="166">
        <v>1</v>
      </c>
      <c r="AP1124" s="166">
        <v>5</v>
      </c>
      <c r="AQ1124" s="166">
        <v>2</v>
      </c>
      <c r="AR1124" s="166">
        <v>0</v>
      </c>
      <c r="AS1124" s="166">
        <v>0</v>
      </c>
      <c r="AT1124" s="166">
        <v>0</v>
      </c>
      <c r="AU1124" s="166">
        <v>0</v>
      </c>
      <c r="AV1124" s="166">
        <v>1</v>
      </c>
      <c r="AW1124" s="166">
        <v>5</v>
      </c>
      <c r="AX1124" s="166">
        <v>2</v>
      </c>
      <c r="AY1124" s="166">
        <v>0</v>
      </c>
      <c r="AZ1124" s="166">
        <v>0</v>
      </c>
      <c r="BA1124" s="166">
        <v>0</v>
      </c>
      <c r="BB1124" s="166">
        <v>0</v>
      </c>
      <c r="BC1124" s="166">
        <v>0</v>
      </c>
      <c r="BD1124" s="166">
        <v>0</v>
      </c>
      <c r="BE1124" s="166">
        <v>0</v>
      </c>
      <c r="BF1124" s="166">
        <v>0</v>
      </c>
      <c r="BG1124" s="166">
        <v>0</v>
      </c>
      <c r="BH1124" s="166">
        <v>0</v>
      </c>
      <c r="BI1124" s="166">
        <v>0</v>
      </c>
      <c r="BJ1124" s="166">
        <v>0</v>
      </c>
      <c r="BK1124" s="166">
        <v>0</v>
      </c>
      <c r="BL1124" s="166">
        <v>0</v>
      </c>
      <c r="BM1124" s="166">
        <v>0</v>
      </c>
      <c r="BN1124" s="166">
        <v>0</v>
      </c>
      <c r="BO1124" s="166">
        <v>0</v>
      </c>
      <c r="BP1124" s="166">
        <v>0</v>
      </c>
      <c r="BQ1124" s="81" t="s">
        <v>1758</v>
      </c>
      <c r="BR1124" s="81" t="s">
        <v>202</v>
      </c>
      <c r="BT1124" s="81" t="s">
        <v>155</v>
      </c>
      <c r="BZ1124" s="81" t="s">
        <v>155</v>
      </c>
      <c r="CA1124" s="81" t="s">
        <v>3972</v>
      </c>
      <c r="CC1124" s="167">
        <v>0</v>
      </c>
      <c r="CD1124" s="167">
        <f>$N1124/4</f>
        <v>2</v>
      </c>
      <c r="CE1124" s="167">
        <f>$N1124/4</f>
        <v>2</v>
      </c>
      <c r="CF1124" s="167">
        <f>$N1124/4</f>
        <v>2</v>
      </c>
      <c r="CG1124" s="167">
        <f>$N1124/4</f>
        <v>2</v>
      </c>
      <c r="CH1124" s="167">
        <v>0</v>
      </c>
      <c r="CI1124" s="167">
        <v>0</v>
      </c>
      <c r="CJ1124" s="167">
        <v>0</v>
      </c>
      <c r="CK1124" s="167">
        <v>0</v>
      </c>
      <c r="CL1124" s="167">
        <v>0</v>
      </c>
      <c r="CM1124" s="167">
        <v>0</v>
      </c>
      <c r="CN1124" s="167">
        <v>0</v>
      </c>
      <c r="CO1124" s="167">
        <v>0</v>
      </c>
      <c r="CP1124" s="167">
        <v>0</v>
      </c>
      <c r="CQ1124" s="167">
        <v>0</v>
      </c>
      <c r="CR1124" s="167">
        <v>0</v>
      </c>
      <c r="CS1124" s="167">
        <v>0</v>
      </c>
      <c r="CT1124" s="167">
        <v>0</v>
      </c>
      <c r="CU1124" s="167">
        <v>0</v>
      </c>
      <c r="CV1124" s="167">
        <v>0</v>
      </c>
      <c r="CW1124" s="167">
        <v>0</v>
      </c>
      <c r="CX1124" s="167">
        <f>SUM(CD1124:CH1124)</f>
        <v>8</v>
      </c>
      <c r="CY1124" s="167">
        <f>SUM(CD1124:CM1124)</f>
        <v>8</v>
      </c>
    </row>
    <row r="1125" spans="1:103" ht="12.75" customHeight="1" x14ac:dyDescent="0.2">
      <c r="A1125" s="81">
        <v>6729</v>
      </c>
      <c r="B1125" s="165" t="s">
        <v>1930</v>
      </c>
      <c r="C1125" s="165" t="s">
        <v>2928</v>
      </c>
      <c r="E1125" s="165" t="s">
        <v>2235</v>
      </c>
      <c r="G1125" s="81">
        <v>527455</v>
      </c>
      <c r="H1125" s="81">
        <v>175008</v>
      </c>
      <c r="I1125" s="165" t="s">
        <v>255</v>
      </c>
      <c r="L1125" s="166">
        <v>1</v>
      </c>
      <c r="M1125" s="166">
        <v>2</v>
      </c>
      <c r="N1125" s="166">
        <v>1</v>
      </c>
      <c r="O1125" s="166">
        <v>2</v>
      </c>
      <c r="P1125" s="166">
        <v>1</v>
      </c>
      <c r="R1125" s="165" t="s">
        <v>2929</v>
      </c>
      <c r="S1125" s="81" t="s">
        <v>113</v>
      </c>
      <c r="T1125" s="349">
        <v>43028</v>
      </c>
      <c r="U1125" s="349">
        <v>43084</v>
      </c>
      <c r="V1125" s="81" t="s">
        <v>155</v>
      </c>
      <c r="W1125" s="81" t="s">
        <v>114</v>
      </c>
      <c r="Y1125" s="81" t="s">
        <v>115</v>
      </c>
      <c r="Z1125" s="81" t="s">
        <v>398</v>
      </c>
      <c r="AA1125" s="81" t="s">
        <v>117</v>
      </c>
      <c r="AB1125" s="81" t="s">
        <v>220</v>
      </c>
      <c r="AC1125" s="166">
        <v>7.0000002160668399E-3</v>
      </c>
      <c r="AG1125" s="81" t="s">
        <v>238</v>
      </c>
      <c r="AH1125" s="81" t="s">
        <v>118</v>
      </c>
      <c r="AK1125" s="166">
        <v>0</v>
      </c>
      <c r="AM1125" s="166">
        <v>0</v>
      </c>
      <c r="AO1125" s="166">
        <v>0</v>
      </c>
      <c r="AP1125" s="166">
        <v>1</v>
      </c>
      <c r="AQ1125" s="166">
        <v>1</v>
      </c>
      <c r="AR1125" s="166">
        <v>-1</v>
      </c>
      <c r="AS1125" s="166">
        <v>0</v>
      </c>
      <c r="AT1125" s="166">
        <v>0</v>
      </c>
      <c r="AU1125" s="166">
        <v>0</v>
      </c>
      <c r="AV1125" s="166">
        <v>0</v>
      </c>
      <c r="AW1125" s="166">
        <v>1</v>
      </c>
      <c r="AX1125" s="166">
        <v>1</v>
      </c>
      <c r="AY1125" s="166">
        <v>-1</v>
      </c>
      <c r="AZ1125" s="166">
        <v>0</v>
      </c>
      <c r="BA1125" s="166">
        <v>0</v>
      </c>
      <c r="BB1125" s="166">
        <v>0</v>
      </c>
      <c r="BC1125" s="166">
        <v>0</v>
      </c>
      <c r="BD1125" s="166">
        <v>0</v>
      </c>
      <c r="BE1125" s="166">
        <v>0</v>
      </c>
      <c r="BF1125" s="166">
        <v>0</v>
      </c>
      <c r="BG1125" s="166">
        <v>0</v>
      </c>
      <c r="BH1125" s="166">
        <v>0</v>
      </c>
      <c r="BI1125" s="166">
        <v>0</v>
      </c>
      <c r="BJ1125" s="166">
        <v>0</v>
      </c>
      <c r="BK1125" s="166">
        <v>0</v>
      </c>
      <c r="BL1125" s="166">
        <v>0</v>
      </c>
      <c r="BM1125" s="166">
        <v>0</v>
      </c>
      <c r="BN1125" s="166">
        <v>0</v>
      </c>
      <c r="BO1125" s="166">
        <v>0</v>
      </c>
      <c r="BP1125" s="166">
        <v>0</v>
      </c>
      <c r="BQ1125" s="81" t="s">
        <v>1757</v>
      </c>
      <c r="BR1125" s="81" t="s">
        <v>160</v>
      </c>
      <c r="BZ1125" s="81" t="s">
        <v>155</v>
      </c>
      <c r="CA1125" s="81" t="s">
        <v>1937</v>
      </c>
      <c r="CC1125" s="167">
        <v>0</v>
      </c>
      <c r="CD1125" s="167">
        <f>$N1125/4</f>
        <v>0.25</v>
      </c>
      <c r="CE1125" s="167">
        <f>$N1125/4</f>
        <v>0.25</v>
      </c>
      <c r="CF1125" s="167">
        <f>$N1125/4</f>
        <v>0.25</v>
      </c>
      <c r="CG1125" s="167">
        <f>$N1125/4</f>
        <v>0.25</v>
      </c>
      <c r="CH1125" s="167">
        <v>0</v>
      </c>
      <c r="CI1125" s="167">
        <v>0</v>
      </c>
      <c r="CJ1125" s="167">
        <v>0</v>
      </c>
      <c r="CK1125" s="167">
        <v>0</v>
      </c>
      <c r="CL1125" s="167">
        <v>0</v>
      </c>
      <c r="CM1125" s="167">
        <v>0</v>
      </c>
      <c r="CN1125" s="167">
        <v>0</v>
      </c>
      <c r="CO1125" s="167">
        <v>0</v>
      </c>
      <c r="CP1125" s="167">
        <v>0</v>
      </c>
      <c r="CQ1125" s="167">
        <v>0</v>
      </c>
      <c r="CR1125" s="167">
        <v>0</v>
      </c>
      <c r="CS1125" s="167">
        <v>0</v>
      </c>
      <c r="CT1125" s="167">
        <v>0</v>
      </c>
      <c r="CU1125" s="167">
        <v>0</v>
      </c>
      <c r="CV1125" s="167">
        <v>0</v>
      </c>
      <c r="CW1125" s="167">
        <v>0</v>
      </c>
      <c r="CX1125" s="167">
        <f>SUM(CD1125:CH1125)</f>
        <v>1</v>
      </c>
      <c r="CY1125" s="167">
        <f>SUM(CD1125:CM1125)</f>
        <v>1</v>
      </c>
    </row>
    <row r="1126" spans="1:103" ht="12.75" customHeight="1" x14ac:dyDescent="0.2">
      <c r="A1126" s="81">
        <v>6730</v>
      </c>
      <c r="B1126" s="165" t="s">
        <v>1930</v>
      </c>
      <c r="C1126" s="165" t="s">
        <v>2930</v>
      </c>
      <c r="E1126" s="165" t="s">
        <v>2931</v>
      </c>
      <c r="G1126" s="81">
        <v>524317</v>
      </c>
      <c r="H1126" s="81">
        <v>174958</v>
      </c>
      <c r="I1126" s="165" t="s">
        <v>259</v>
      </c>
      <c r="L1126" s="166">
        <v>0</v>
      </c>
      <c r="M1126" s="166">
        <v>2</v>
      </c>
      <c r="N1126" s="166">
        <v>2</v>
      </c>
      <c r="O1126" s="166">
        <v>4</v>
      </c>
      <c r="P1126" s="166">
        <v>2</v>
      </c>
      <c r="R1126" s="165" t="s">
        <v>2932</v>
      </c>
      <c r="S1126" s="81" t="s">
        <v>113</v>
      </c>
      <c r="T1126" s="349">
        <v>43027</v>
      </c>
      <c r="U1126" s="349">
        <v>43188</v>
      </c>
      <c r="V1126" s="81" t="s">
        <v>155</v>
      </c>
      <c r="W1126" s="81" t="s">
        <v>114</v>
      </c>
      <c r="Y1126" s="81" t="s">
        <v>115</v>
      </c>
      <c r="Z1126" s="81" t="s">
        <v>398</v>
      </c>
      <c r="AA1126" s="81" t="s">
        <v>117</v>
      </c>
      <c r="AB1126" s="81" t="s">
        <v>220</v>
      </c>
      <c r="AC1126" s="166">
        <v>9.9999997764825804E-3</v>
      </c>
      <c r="AG1126" s="81" t="s">
        <v>238</v>
      </c>
      <c r="AH1126" s="81" t="s">
        <v>118</v>
      </c>
      <c r="AK1126" s="166">
        <v>0</v>
      </c>
      <c r="AM1126" s="166">
        <v>0</v>
      </c>
      <c r="AO1126" s="166">
        <v>0</v>
      </c>
      <c r="AP1126" s="166">
        <v>0</v>
      </c>
      <c r="AQ1126" s="166">
        <v>2</v>
      </c>
      <c r="AR1126" s="166">
        <v>0</v>
      </c>
      <c r="AS1126" s="166">
        <v>0</v>
      </c>
      <c r="AT1126" s="166">
        <v>0</v>
      </c>
      <c r="AU1126" s="166">
        <v>0</v>
      </c>
      <c r="AV1126" s="166">
        <v>0</v>
      </c>
      <c r="AW1126" s="166">
        <v>0</v>
      </c>
      <c r="AX1126" s="166">
        <v>2</v>
      </c>
      <c r="AY1126" s="166">
        <v>0</v>
      </c>
      <c r="AZ1126" s="166">
        <v>0</v>
      </c>
      <c r="BA1126" s="166">
        <v>0</v>
      </c>
      <c r="BB1126" s="166">
        <v>0</v>
      </c>
      <c r="BC1126" s="166">
        <v>0</v>
      </c>
      <c r="BD1126" s="166">
        <v>0</v>
      </c>
      <c r="BE1126" s="166">
        <v>0</v>
      </c>
      <c r="BF1126" s="166">
        <v>0</v>
      </c>
      <c r="BG1126" s="166">
        <v>0</v>
      </c>
      <c r="BH1126" s="166">
        <v>0</v>
      </c>
      <c r="BI1126" s="166">
        <v>0</v>
      </c>
      <c r="BJ1126" s="166">
        <v>0</v>
      </c>
      <c r="BK1126" s="166">
        <v>0</v>
      </c>
      <c r="BL1126" s="166">
        <v>0</v>
      </c>
      <c r="BM1126" s="166">
        <v>0</v>
      </c>
      <c r="BN1126" s="166">
        <v>0</v>
      </c>
      <c r="BO1126" s="166">
        <v>0</v>
      </c>
      <c r="BP1126" s="166">
        <v>0</v>
      </c>
      <c r="BQ1126" s="81" t="s">
        <v>1758</v>
      </c>
      <c r="BR1126" s="81" t="s">
        <v>161</v>
      </c>
      <c r="BV1126" s="81" t="s">
        <v>155</v>
      </c>
      <c r="BZ1126" s="81" t="s">
        <v>155</v>
      </c>
      <c r="CA1126" s="81" t="s">
        <v>1937</v>
      </c>
      <c r="CC1126" s="167">
        <v>0</v>
      </c>
      <c r="CD1126" s="167">
        <f>$N1126/4</f>
        <v>0.5</v>
      </c>
      <c r="CE1126" s="167">
        <f>$N1126/4</f>
        <v>0.5</v>
      </c>
      <c r="CF1126" s="167">
        <f>$N1126/4</f>
        <v>0.5</v>
      </c>
      <c r="CG1126" s="167">
        <f>$N1126/4</f>
        <v>0.5</v>
      </c>
      <c r="CH1126" s="167">
        <v>0</v>
      </c>
      <c r="CI1126" s="167">
        <v>0</v>
      </c>
      <c r="CJ1126" s="167">
        <v>0</v>
      </c>
      <c r="CK1126" s="167">
        <v>0</v>
      </c>
      <c r="CL1126" s="167">
        <v>0</v>
      </c>
      <c r="CM1126" s="167">
        <v>0</v>
      </c>
      <c r="CN1126" s="167">
        <v>0</v>
      </c>
      <c r="CO1126" s="167">
        <v>0</v>
      </c>
      <c r="CP1126" s="167">
        <v>0</v>
      </c>
      <c r="CQ1126" s="167">
        <v>0</v>
      </c>
      <c r="CR1126" s="167">
        <v>0</v>
      </c>
      <c r="CS1126" s="167">
        <v>0</v>
      </c>
      <c r="CT1126" s="167">
        <v>0</v>
      </c>
      <c r="CU1126" s="167">
        <v>0</v>
      </c>
      <c r="CV1126" s="167">
        <v>0</v>
      </c>
      <c r="CW1126" s="167">
        <v>0</v>
      </c>
      <c r="CX1126" s="167">
        <f>SUM(CD1126:CH1126)</f>
        <v>2</v>
      </c>
      <c r="CY1126" s="167">
        <f>SUM(CD1126:CM1126)</f>
        <v>2</v>
      </c>
    </row>
    <row r="1127" spans="1:103" ht="12.75" customHeight="1" x14ac:dyDescent="0.2">
      <c r="A1127" s="81">
        <v>6730</v>
      </c>
      <c r="B1127" s="165" t="s">
        <v>1930</v>
      </c>
      <c r="C1127" s="165" t="s">
        <v>2930</v>
      </c>
      <c r="E1127" s="165" t="s">
        <v>2931</v>
      </c>
      <c r="G1127" s="81">
        <v>524317</v>
      </c>
      <c r="H1127" s="81">
        <v>174958</v>
      </c>
      <c r="I1127" s="165" t="s">
        <v>259</v>
      </c>
      <c r="L1127" s="166">
        <v>2</v>
      </c>
      <c r="M1127" s="166">
        <v>2</v>
      </c>
      <c r="N1127" s="166">
        <v>0</v>
      </c>
      <c r="O1127" s="166">
        <v>4</v>
      </c>
      <c r="P1127" s="166">
        <v>2</v>
      </c>
      <c r="R1127" s="165" t="s">
        <v>2932</v>
      </c>
      <c r="S1127" s="81" t="s">
        <v>113</v>
      </c>
      <c r="T1127" s="349">
        <v>43027</v>
      </c>
      <c r="U1127" s="349">
        <v>43188</v>
      </c>
      <c r="V1127" s="81" t="s">
        <v>155</v>
      </c>
      <c r="W1127" s="81" t="s">
        <v>114</v>
      </c>
      <c r="Y1127" s="81" t="s">
        <v>115</v>
      </c>
      <c r="Z1127" s="81" t="s">
        <v>398</v>
      </c>
      <c r="AA1127" s="81" t="s">
        <v>117</v>
      </c>
      <c r="AB1127" s="81" t="s">
        <v>218</v>
      </c>
      <c r="AC1127" s="166">
        <v>8.9999996125698107E-3</v>
      </c>
      <c r="AG1127" s="81" t="s">
        <v>238</v>
      </c>
      <c r="AH1127" s="81" t="s">
        <v>118</v>
      </c>
      <c r="AK1127" s="166">
        <v>0</v>
      </c>
      <c r="AM1127" s="166">
        <v>0</v>
      </c>
      <c r="AO1127" s="166">
        <v>0</v>
      </c>
      <c r="AP1127" s="166">
        <v>1</v>
      </c>
      <c r="AQ1127" s="166">
        <v>-2</v>
      </c>
      <c r="AR1127" s="166">
        <v>1</v>
      </c>
      <c r="AS1127" s="166">
        <v>0</v>
      </c>
      <c r="AT1127" s="166">
        <v>0</v>
      </c>
      <c r="AU1127" s="166">
        <v>0</v>
      </c>
      <c r="AV1127" s="166">
        <v>0</v>
      </c>
      <c r="AW1127" s="166">
        <v>1</v>
      </c>
      <c r="AX1127" s="166">
        <v>-2</v>
      </c>
      <c r="AY1127" s="166">
        <v>1</v>
      </c>
      <c r="AZ1127" s="166">
        <v>0</v>
      </c>
      <c r="BA1127" s="166">
        <v>0</v>
      </c>
      <c r="BB1127" s="166">
        <v>0</v>
      </c>
      <c r="BC1127" s="166">
        <v>0</v>
      </c>
      <c r="BD1127" s="166">
        <v>0</v>
      </c>
      <c r="BE1127" s="166">
        <v>0</v>
      </c>
      <c r="BF1127" s="166">
        <v>0</v>
      </c>
      <c r="BG1127" s="166">
        <v>0</v>
      </c>
      <c r="BH1127" s="166">
        <v>0</v>
      </c>
      <c r="BI1127" s="166">
        <v>0</v>
      </c>
      <c r="BJ1127" s="166">
        <v>0</v>
      </c>
      <c r="BK1127" s="166">
        <v>0</v>
      </c>
      <c r="BL1127" s="166">
        <v>0</v>
      </c>
      <c r="BM1127" s="166">
        <v>0</v>
      </c>
      <c r="BN1127" s="166">
        <v>0</v>
      </c>
      <c r="BO1127" s="166">
        <v>0</v>
      </c>
      <c r="BP1127" s="166">
        <v>0</v>
      </c>
      <c r="BQ1127" s="81" t="s">
        <v>1758</v>
      </c>
      <c r="BR1127" s="81" t="s">
        <v>161</v>
      </c>
      <c r="BV1127" s="81" t="s">
        <v>155</v>
      </c>
      <c r="BZ1127" s="81" t="s">
        <v>155</v>
      </c>
      <c r="CA1127" s="81" t="s">
        <v>1937</v>
      </c>
      <c r="CC1127" s="167">
        <v>0</v>
      </c>
      <c r="CD1127" s="167">
        <f>$N1127/4</f>
        <v>0</v>
      </c>
      <c r="CE1127" s="167">
        <f>$N1127/4</f>
        <v>0</v>
      </c>
      <c r="CF1127" s="167">
        <f>$N1127/4</f>
        <v>0</v>
      </c>
      <c r="CG1127" s="167">
        <f>$N1127/4</f>
        <v>0</v>
      </c>
      <c r="CH1127" s="167">
        <v>0</v>
      </c>
      <c r="CI1127" s="167">
        <v>0</v>
      </c>
      <c r="CJ1127" s="167">
        <v>0</v>
      </c>
      <c r="CK1127" s="167">
        <v>0</v>
      </c>
      <c r="CL1127" s="167">
        <v>0</v>
      </c>
      <c r="CM1127" s="167">
        <v>0</v>
      </c>
      <c r="CN1127" s="167">
        <v>0</v>
      </c>
      <c r="CO1127" s="167">
        <v>0</v>
      </c>
      <c r="CP1127" s="167">
        <v>0</v>
      </c>
      <c r="CQ1127" s="167">
        <v>0</v>
      </c>
      <c r="CR1127" s="167">
        <v>0</v>
      </c>
      <c r="CS1127" s="167">
        <v>0</v>
      </c>
      <c r="CT1127" s="167">
        <v>0</v>
      </c>
      <c r="CU1127" s="167">
        <v>0</v>
      </c>
      <c r="CV1127" s="167">
        <v>0</v>
      </c>
      <c r="CW1127" s="167">
        <v>0</v>
      </c>
      <c r="CX1127" s="167">
        <f>SUM(CD1127:CH1127)</f>
        <v>0</v>
      </c>
      <c r="CY1127" s="167">
        <f>SUM(CD1127:CM1127)</f>
        <v>0</v>
      </c>
    </row>
    <row r="1128" spans="1:103" ht="12.75" customHeight="1" x14ac:dyDescent="0.2">
      <c r="A1128" s="81">
        <v>6731</v>
      </c>
      <c r="B1128" s="165" t="s">
        <v>1930</v>
      </c>
      <c r="C1128" s="165" t="s">
        <v>2955</v>
      </c>
      <c r="E1128" s="165" t="s">
        <v>2956</v>
      </c>
      <c r="G1128" s="81">
        <v>523924</v>
      </c>
      <c r="H1128" s="81">
        <v>175082</v>
      </c>
      <c r="I1128" s="165" t="s">
        <v>259</v>
      </c>
      <c r="L1128" s="166">
        <v>1</v>
      </c>
      <c r="M1128" s="166">
        <v>2</v>
      </c>
      <c r="N1128" s="166">
        <v>1</v>
      </c>
      <c r="O1128" s="166">
        <v>2</v>
      </c>
      <c r="P1128" s="166">
        <v>1</v>
      </c>
      <c r="R1128" s="165" t="s">
        <v>2957</v>
      </c>
      <c r="S1128" s="81" t="s">
        <v>113</v>
      </c>
      <c r="T1128" s="349">
        <v>43034</v>
      </c>
      <c r="U1128" s="349">
        <v>43088</v>
      </c>
      <c r="V1128" s="81" t="s">
        <v>155</v>
      </c>
      <c r="W1128" s="81" t="s">
        <v>114</v>
      </c>
      <c r="Y1128" s="81" t="s">
        <v>115</v>
      </c>
      <c r="Z1128" s="81" t="s">
        <v>119</v>
      </c>
      <c r="AA1128" s="81" t="s">
        <v>117</v>
      </c>
      <c r="AB1128" s="81" t="s">
        <v>220</v>
      </c>
      <c r="AC1128" s="166">
        <v>6.0000000521540598E-3</v>
      </c>
      <c r="AG1128" s="81" t="s">
        <v>238</v>
      </c>
      <c r="AH1128" s="81" t="s">
        <v>118</v>
      </c>
      <c r="AK1128" s="166">
        <v>0</v>
      </c>
      <c r="AM1128" s="166">
        <v>0</v>
      </c>
      <c r="AO1128" s="166">
        <v>0</v>
      </c>
      <c r="AP1128" s="166">
        <v>1</v>
      </c>
      <c r="AQ1128" s="166">
        <v>1</v>
      </c>
      <c r="AR1128" s="166">
        <v>-1</v>
      </c>
      <c r="AS1128" s="166">
        <v>0</v>
      </c>
      <c r="AT1128" s="166">
        <v>0</v>
      </c>
      <c r="AU1128" s="166">
        <v>0</v>
      </c>
      <c r="AV1128" s="166">
        <v>0</v>
      </c>
      <c r="AW1128" s="166">
        <v>1</v>
      </c>
      <c r="AX1128" s="166">
        <v>1</v>
      </c>
      <c r="AY1128" s="166">
        <v>-1</v>
      </c>
      <c r="AZ1128" s="166">
        <v>0</v>
      </c>
      <c r="BA1128" s="166">
        <v>0</v>
      </c>
      <c r="BB1128" s="166">
        <v>0</v>
      </c>
      <c r="BC1128" s="166">
        <v>0</v>
      </c>
      <c r="BD1128" s="166">
        <v>0</v>
      </c>
      <c r="BE1128" s="166">
        <v>0</v>
      </c>
      <c r="BF1128" s="166">
        <v>0</v>
      </c>
      <c r="BG1128" s="166">
        <v>0</v>
      </c>
      <c r="BH1128" s="166">
        <v>0</v>
      </c>
      <c r="BI1128" s="166">
        <v>0</v>
      </c>
      <c r="BJ1128" s="166">
        <v>0</v>
      </c>
      <c r="BK1128" s="166">
        <v>0</v>
      </c>
      <c r="BL1128" s="166">
        <v>0</v>
      </c>
      <c r="BM1128" s="166">
        <v>0</v>
      </c>
      <c r="BN1128" s="166">
        <v>0</v>
      </c>
      <c r="BO1128" s="166">
        <v>0</v>
      </c>
      <c r="BP1128" s="166">
        <v>0</v>
      </c>
      <c r="BQ1128" s="81" t="s">
        <v>1758</v>
      </c>
      <c r="BR1128" s="81" t="s">
        <v>161</v>
      </c>
      <c r="BZ1128" s="81" t="s">
        <v>155</v>
      </c>
      <c r="CA1128" s="81" t="s">
        <v>1937</v>
      </c>
      <c r="CC1128" s="167">
        <v>0</v>
      </c>
      <c r="CD1128" s="167">
        <f>$N1128/4</f>
        <v>0.25</v>
      </c>
      <c r="CE1128" s="167">
        <f>$N1128/4</f>
        <v>0.25</v>
      </c>
      <c r="CF1128" s="167">
        <f>$N1128/4</f>
        <v>0.25</v>
      </c>
      <c r="CG1128" s="167">
        <f>$N1128/4</f>
        <v>0.25</v>
      </c>
      <c r="CH1128" s="167">
        <v>0</v>
      </c>
      <c r="CI1128" s="167">
        <v>0</v>
      </c>
      <c r="CJ1128" s="167">
        <v>0</v>
      </c>
      <c r="CK1128" s="167">
        <v>0</v>
      </c>
      <c r="CL1128" s="167">
        <v>0</v>
      </c>
      <c r="CM1128" s="167">
        <v>0</v>
      </c>
      <c r="CN1128" s="167">
        <v>0</v>
      </c>
      <c r="CO1128" s="167">
        <v>0</v>
      </c>
      <c r="CP1128" s="167">
        <v>0</v>
      </c>
      <c r="CQ1128" s="167">
        <v>0</v>
      </c>
      <c r="CR1128" s="167">
        <v>0</v>
      </c>
      <c r="CS1128" s="167">
        <v>0</v>
      </c>
      <c r="CT1128" s="167">
        <v>0</v>
      </c>
      <c r="CU1128" s="167">
        <v>0</v>
      </c>
      <c r="CV1128" s="167">
        <v>0</v>
      </c>
      <c r="CW1128" s="167">
        <v>0</v>
      </c>
      <c r="CX1128" s="167">
        <f>SUM(CD1128:CH1128)</f>
        <v>1</v>
      </c>
      <c r="CY1128" s="167">
        <f>SUM(CD1128:CM1128)</f>
        <v>1</v>
      </c>
    </row>
    <row r="1129" spans="1:103" ht="12.75" customHeight="1" x14ac:dyDescent="0.2">
      <c r="A1129" s="81">
        <v>6732</v>
      </c>
      <c r="B1129" s="165" t="s">
        <v>1930</v>
      </c>
      <c r="C1129" s="165" t="s">
        <v>2936</v>
      </c>
      <c r="E1129" s="165" t="s">
        <v>2937</v>
      </c>
      <c r="G1129" s="81">
        <v>522795</v>
      </c>
      <c r="H1129" s="81">
        <v>175193</v>
      </c>
      <c r="I1129" s="165" t="s">
        <v>59</v>
      </c>
      <c r="L1129" s="166">
        <v>2</v>
      </c>
      <c r="M1129" s="166">
        <v>3</v>
      </c>
      <c r="N1129" s="166">
        <v>1</v>
      </c>
      <c r="O1129" s="166">
        <v>5</v>
      </c>
      <c r="P1129" s="166">
        <v>1</v>
      </c>
      <c r="R1129" s="165" t="s">
        <v>2938</v>
      </c>
      <c r="S1129" s="81" t="s">
        <v>113</v>
      </c>
      <c r="T1129" s="349">
        <v>43019</v>
      </c>
      <c r="U1129" s="349">
        <v>43063</v>
      </c>
      <c r="V1129" s="81" t="s">
        <v>155</v>
      </c>
      <c r="W1129" s="81" t="s">
        <v>114</v>
      </c>
      <c r="Y1129" s="81" t="s">
        <v>115</v>
      </c>
      <c r="Z1129" s="81" t="s">
        <v>398</v>
      </c>
      <c r="AA1129" s="81" t="s">
        <v>117</v>
      </c>
      <c r="AB1129" s="81" t="s">
        <v>218</v>
      </c>
      <c r="AC1129" s="166">
        <v>4.6999998390674598E-2</v>
      </c>
      <c r="AG1129" s="81" t="s">
        <v>238</v>
      </c>
      <c r="AH1129" s="81" t="s">
        <v>118</v>
      </c>
      <c r="AK1129" s="166">
        <v>0</v>
      </c>
      <c r="AM1129" s="166">
        <v>0</v>
      </c>
      <c r="AO1129" s="166">
        <v>0</v>
      </c>
      <c r="AP1129" s="166">
        <v>0</v>
      </c>
      <c r="AQ1129" s="166">
        <v>1</v>
      </c>
      <c r="AR1129" s="166">
        <v>0</v>
      </c>
      <c r="AS1129" s="166">
        <v>0</v>
      </c>
      <c r="AT1129" s="166">
        <v>0</v>
      </c>
      <c r="AU1129" s="166">
        <v>0</v>
      </c>
      <c r="AV1129" s="166">
        <v>0</v>
      </c>
      <c r="AW1129" s="166">
        <v>0</v>
      </c>
      <c r="AX1129" s="166">
        <v>1</v>
      </c>
      <c r="AY1129" s="166">
        <v>0</v>
      </c>
      <c r="AZ1129" s="166">
        <v>0</v>
      </c>
      <c r="BA1129" s="166">
        <v>0</v>
      </c>
      <c r="BB1129" s="166">
        <v>0</v>
      </c>
      <c r="BC1129" s="166">
        <v>0</v>
      </c>
      <c r="BD1129" s="166">
        <v>0</v>
      </c>
      <c r="BE1129" s="166">
        <v>0</v>
      </c>
      <c r="BF1129" s="166">
        <v>0</v>
      </c>
      <c r="BG1129" s="166">
        <v>0</v>
      </c>
      <c r="BH1129" s="166">
        <v>0</v>
      </c>
      <c r="BI1129" s="166">
        <v>0</v>
      </c>
      <c r="BJ1129" s="166">
        <v>0</v>
      </c>
      <c r="BK1129" s="166">
        <v>0</v>
      </c>
      <c r="BL1129" s="166">
        <v>0</v>
      </c>
      <c r="BM1129" s="166">
        <v>0</v>
      </c>
      <c r="BN1129" s="166">
        <v>0</v>
      </c>
      <c r="BO1129" s="166">
        <v>0</v>
      </c>
      <c r="BP1129" s="166">
        <v>0</v>
      </c>
      <c r="BQ1129" s="81" t="s">
        <v>1758</v>
      </c>
      <c r="BZ1129" s="81" t="s">
        <v>155</v>
      </c>
      <c r="CA1129" s="81" t="s">
        <v>1937</v>
      </c>
      <c r="CC1129" s="167">
        <v>0</v>
      </c>
      <c r="CD1129" s="167">
        <f>$N1129/4</f>
        <v>0.25</v>
      </c>
      <c r="CE1129" s="167">
        <f>$N1129/4</f>
        <v>0.25</v>
      </c>
      <c r="CF1129" s="167">
        <f>$N1129/4</f>
        <v>0.25</v>
      </c>
      <c r="CG1129" s="167">
        <f>$N1129/4</f>
        <v>0.25</v>
      </c>
      <c r="CH1129" s="167">
        <v>0</v>
      </c>
      <c r="CI1129" s="167">
        <v>0</v>
      </c>
      <c r="CJ1129" s="167">
        <v>0</v>
      </c>
      <c r="CK1129" s="167">
        <v>0</v>
      </c>
      <c r="CL1129" s="167">
        <v>0</v>
      </c>
      <c r="CM1129" s="167">
        <v>0</v>
      </c>
      <c r="CN1129" s="167">
        <v>0</v>
      </c>
      <c r="CO1129" s="167">
        <v>0</v>
      </c>
      <c r="CP1129" s="167">
        <v>0</v>
      </c>
      <c r="CQ1129" s="167">
        <v>0</v>
      </c>
      <c r="CR1129" s="167">
        <v>0</v>
      </c>
      <c r="CS1129" s="167">
        <v>0</v>
      </c>
      <c r="CT1129" s="167">
        <v>0</v>
      </c>
      <c r="CU1129" s="167">
        <v>0</v>
      </c>
      <c r="CV1129" s="167">
        <v>0</v>
      </c>
      <c r="CW1129" s="167">
        <v>0</v>
      </c>
      <c r="CX1129" s="167">
        <f>SUM(CD1129:CH1129)</f>
        <v>1</v>
      </c>
      <c r="CY1129" s="167">
        <f>SUM(CD1129:CM1129)</f>
        <v>1</v>
      </c>
    </row>
    <row r="1130" spans="1:103" ht="12.75" customHeight="1" x14ac:dyDescent="0.2">
      <c r="A1130" s="81">
        <v>6732</v>
      </c>
      <c r="B1130" s="165" t="s">
        <v>1930</v>
      </c>
      <c r="C1130" s="165" t="s">
        <v>2936</v>
      </c>
      <c r="E1130" s="165" t="s">
        <v>2937</v>
      </c>
      <c r="G1130" s="81">
        <v>522795</v>
      </c>
      <c r="H1130" s="81">
        <v>175193</v>
      </c>
      <c r="I1130" s="165" t="s">
        <v>59</v>
      </c>
      <c r="L1130" s="166">
        <v>2</v>
      </c>
      <c r="M1130" s="166">
        <v>2</v>
      </c>
      <c r="N1130" s="166">
        <v>0</v>
      </c>
      <c r="O1130" s="166">
        <v>5</v>
      </c>
      <c r="P1130" s="166">
        <v>1</v>
      </c>
      <c r="R1130" s="165" t="s">
        <v>2938</v>
      </c>
      <c r="S1130" s="81" t="s">
        <v>113</v>
      </c>
      <c r="T1130" s="349">
        <v>43019</v>
      </c>
      <c r="U1130" s="349">
        <v>43063</v>
      </c>
      <c r="V1130" s="81" t="s">
        <v>155</v>
      </c>
      <c r="W1130" s="81" t="s">
        <v>114</v>
      </c>
      <c r="Y1130" s="81" t="s">
        <v>115</v>
      </c>
      <c r="Z1130" s="81" t="s">
        <v>398</v>
      </c>
      <c r="AA1130" s="81" t="s">
        <v>117</v>
      </c>
      <c r="AB1130" s="81" t="s">
        <v>220</v>
      </c>
      <c r="AC1130" s="166">
        <v>3.0999999493360499E-2</v>
      </c>
      <c r="AG1130" s="81" t="s">
        <v>238</v>
      </c>
      <c r="AH1130" s="81" t="s">
        <v>118</v>
      </c>
      <c r="AK1130" s="166">
        <v>0</v>
      </c>
      <c r="AM1130" s="166">
        <v>0</v>
      </c>
      <c r="AO1130" s="166">
        <v>0</v>
      </c>
      <c r="AP1130" s="166">
        <v>-2</v>
      </c>
      <c r="AQ1130" s="166">
        <v>2</v>
      </c>
      <c r="AR1130" s="166">
        <v>0</v>
      </c>
      <c r="AS1130" s="166">
        <v>0</v>
      </c>
      <c r="AT1130" s="166">
        <v>0</v>
      </c>
      <c r="AU1130" s="166">
        <v>0</v>
      </c>
      <c r="AV1130" s="166">
        <v>0</v>
      </c>
      <c r="AW1130" s="166">
        <v>-2</v>
      </c>
      <c r="AX1130" s="166">
        <v>2</v>
      </c>
      <c r="AY1130" s="166">
        <v>0</v>
      </c>
      <c r="AZ1130" s="166">
        <v>0</v>
      </c>
      <c r="BA1130" s="166">
        <v>0</v>
      </c>
      <c r="BB1130" s="166">
        <v>0</v>
      </c>
      <c r="BC1130" s="166">
        <v>0</v>
      </c>
      <c r="BD1130" s="166">
        <v>0</v>
      </c>
      <c r="BE1130" s="166">
        <v>0</v>
      </c>
      <c r="BF1130" s="166">
        <v>0</v>
      </c>
      <c r="BG1130" s="166">
        <v>0</v>
      </c>
      <c r="BH1130" s="166">
        <v>0</v>
      </c>
      <c r="BI1130" s="166">
        <v>0</v>
      </c>
      <c r="BJ1130" s="166">
        <v>0</v>
      </c>
      <c r="BK1130" s="166">
        <v>0</v>
      </c>
      <c r="BL1130" s="166">
        <v>0</v>
      </c>
      <c r="BM1130" s="166">
        <v>0</v>
      </c>
      <c r="BN1130" s="166">
        <v>0</v>
      </c>
      <c r="BO1130" s="166">
        <v>0</v>
      </c>
      <c r="BP1130" s="166">
        <v>0</v>
      </c>
      <c r="BQ1130" s="81" t="s">
        <v>1758</v>
      </c>
      <c r="BZ1130" s="81" t="s">
        <v>155</v>
      </c>
      <c r="CA1130" s="81" t="s">
        <v>1937</v>
      </c>
      <c r="CC1130" s="167">
        <v>0</v>
      </c>
      <c r="CD1130" s="167">
        <f>$N1130/4</f>
        <v>0</v>
      </c>
      <c r="CE1130" s="167">
        <f>$N1130/4</f>
        <v>0</v>
      </c>
      <c r="CF1130" s="167">
        <f>$N1130/4</f>
        <v>0</v>
      </c>
      <c r="CG1130" s="167">
        <f>$N1130/4</f>
        <v>0</v>
      </c>
      <c r="CH1130" s="167">
        <v>0</v>
      </c>
      <c r="CI1130" s="167">
        <v>0</v>
      </c>
      <c r="CJ1130" s="167">
        <v>0</v>
      </c>
      <c r="CK1130" s="167">
        <v>0</v>
      </c>
      <c r="CL1130" s="167">
        <v>0</v>
      </c>
      <c r="CM1130" s="167">
        <v>0</v>
      </c>
      <c r="CN1130" s="167">
        <v>0</v>
      </c>
      <c r="CO1130" s="167">
        <v>0</v>
      </c>
      <c r="CP1130" s="167">
        <v>0</v>
      </c>
      <c r="CQ1130" s="167">
        <v>0</v>
      </c>
      <c r="CR1130" s="167">
        <v>0</v>
      </c>
      <c r="CS1130" s="167">
        <v>0</v>
      </c>
      <c r="CT1130" s="167">
        <v>0</v>
      </c>
      <c r="CU1130" s="167">
        <v>0</v>
      </c>
      <c r="CV1130" s="167">
        <v>0</v>
      </c>
      <c r="CW1130" s="167">
        <v>0</v>
      </c>
      <c r="CX1130" s="167">
        <f>SUM(CD1130:CH1130)</f>
        <v>0</v>
      </c>
      <c r="CY1130" s="167">
        <f>SUM(CD1130:CM1130)</f>
        <v>0</v>
      </c>
    </row>
    <row r="1131" spans="1:103" ht="12.75" customHeight="1" x14ac:dyDescent="0.2">
      <c r="A1131" s="81">
        <v>6734</v>
      </c>
      <c r="B1131" s="165" t="s">
        <v>1930</v>
      </c>
      <c r="C1131" s="165" t="s">
        <v>2939</v>
      </c>
      <c r="E1131" s="165" t="s">
        <v>2940</v>
      </c>
      <c r="G1131" s="81">
        <v>527954</v>
      </c>
      <c r="H1131" s="81">
        <v>171255</v>
      </c>
      <c r="I1131" s="165" t="s">
        <v>253</v>
      </c>
      <c r="L1131" s="166">
        <v>0</v>
      </c>
      <c r="M1131" s="166">
        <v>1</v>
      </c>
      <c r="N1131" s="166">
        <v>1</v>
      </c>
      <c r="O1131" s="166">
        <v>1</v>
      </c>
      <c r="P1131" s="166">
        <v>1</v>
      </c>
      <c r="R1131" s="165" t="s">
        <v>2941</v>
      </c>
      <c r="S1131" s="81" t="s">
        <v>113</v>
      </c>
      <c r="T1131" s="349">
        <v>43011</v>
      </c>
      <c r="U1131" s="349">
        <v>43153</v>
      </c>
      <c r="V1131" s="81" t="s">
        <v>155</v>
      </c>
      <c r="W1131" s="81" t="s">
        <v>114</v>
      </c>
      <c r="Y1131" s="81" t="s">
        <v>115</v>
      </c>
      <c r="Z1131" s="81" t="s">
        <v>398</v>
      </c>
      <c r="AA1131" s="81" t="s">
        <v>117</v>
      </c>
      <c r="AB1131" s="81" t="s">
        <v>336</v>
      </c>
      <c r="AC1131" s="166">
        <v>2.4000000208616298E-2</v>
      </c>
      <c r="AG1131" s="81" t="s">
        <v>238</v>
      </c>
      <c r="AH1131" s="81" t="s">
        <v>118</v>
      </c>
      <c r="AK1131" s="166">
        <v>0</v>
      </c>
      <c r="AM1131" s="166">
        <v>0</v>
      </c>
      <c r="AO1131" s="166">
        <v>0</v>
      </c>
      <c r="AP1131" s="166">
        <v>0</v>
      </c>
      <c r="AQ1131" s="166">
        <v>0</v>
      </c>
      <c r="AR1131" s="166">
        <v>0</v>
      </c>
      <c r="AS1131" s="166">
        <v>1</v>
      </c>
      <c r="AT1131" s="166">
        <v>0</v>
      </c>
      <c r="AU1131" s="166">
        <v>0</v>
      </c>
      <c r="AV1131" s="166">
        <v>0</v>
      </c>
      <c r="AW1131" s="166">
        <v>0</v>
      </c>
      <c r="AX1131" s="166">
        <v>0</v>
      </c>
      <c r="AY1131" s="166">
        <v>0</v>
      </c>
      <c r="AZ1131" s="166">
        <v>0</v>
      </c>
      <c r="BA1131" s="166">
        <v>0</v>
      </c>
      <c r="BB1131" s="166">
        <v>0</v>
      </c>
      <c r="BC1131" s="166">
        <v>0</v>
      </c>
      <c r="BD1131" s="166">
        <v>0</v>
      </c>
      <c r="BE1131" s="166">
        <v>0</v>
      </c>
      <c r="BF1131" s="166">
        <v>0</v>
      </c>
      <c r="BG1131" s="166">
        <v>1</v>
      </c>
      <c r="BH1131" s="166">
        <v>0</v>
      </c>
      <c r="BI1131" s="166">
        <v>0</v>
      </c>
      <c r="BJ1131" s="166">
        <v>0</v>
      </c>
      <c r="BK1131" s="166">
        <v>0</v>
      </c>
      <c r="BL1131" s="166">
        <v>0</v>
      </c>
      <c r="BM1131" s="166">
        <v>0</v>
      </c>
      <c r="BN1131" s="166">
        <v>0</v>
      </c>
      <c r="BO1131" s="166">
        <v>0</v>
      </c>
      <c r="BP1131" s="166">
        <v>0</v>
      </c>
      <c r="BQ1131" s="81" t="s">
        <v>1757</v>
      </c>
      <c r="BZ1131" s="81" t="s">
        <v>155</v>
      </c>
      <c r="CA1131" s="81" t="s">
        <v>1937</v>
      </c>
      <c r="CC1131" s="167">
        <v>0</v>
      </c>
      <c r="CD1131" s="167">
        <f>$N1131/4</f>
        <v>0.25</v>
      </c>
      <c r="CE1131" s="167">
        <f>$N1131/4</f>
        <v>0.25</v>
      </c>
      <c r="CF1131" s="167">
        <f>$N1131/4</f>
        <v>0.25</v>
      </c>
      <c r="CG1131" s="167">
        <f>$N1131/4</f>
        <v>0.25</v>
      </c>
      <c r="CH1131" s="167">
        <v>0</v>
      </c>
      <c r="CI1131" s="167">
        <v>0</v>
      </c>
      <c r="CJ1131" s="167">
        <v>0</v>
      </c>
      <c r="CK1131" s="167">
        <v>0</v>
      </c>
      <c r="CL1131" s="167">
        <v>0</v>
      </c>
      <c r="CM1131" s="167">
        <v>0</v>
      </c>
      <c r="CN1131" s="167">
        <v>0</v>
      </c>
      <c r="CO1131" s="167">
        <v>0</v>
      </c>
      <c r="CP1131" s="167">
        <v>0</v>
      </c>
      <c r="CQ1131" s="167">
        <v>0</v>
      </c>
      <c r="CR1131" s="167">
        <v>0</v>
      </c>
      <c r="CS1131" s="167">
        <v>0</v>
      </c>
      <c r="CT1131" s="167">
        <v>0</v>
      </c>
      <c r="CU1131" s="167">
        <v>0</v>
      </c>
      <c r="CV1131" s="167">
        <v>0</v>
      </c>
      <c r="CW1131" s="167">
        <v>0</v>
      </c>
      <c r="CX1131" s="167">
        <f>SUM(CD1131:CH1131)</f>
        <v>1</v>
      </c>
      <c r="CY1131" s="167">
        <f>SUM(CD1131:CM1131)</f>
        <v>1</v>
      </c>
    </row>
    <row r="1132" spans="1:103" ht="12.75" customHeight="1" x14ac:dyDescent="0.2">
      <c r="A1132" s="81">
        <v>6739</v>
      </c>
      <c r="B1132" s="165" t="s">
        <v>1930</v>
      </c>
      <c r="C1132" s="165" t="s">
        <v>3460</v>
      </c>
      <c r="E1132" s="165" t="s">
        <v>3458</v>
      </c>
      <c r="G1132" s="81">
        <v>528376</v>
      </c>
      <c r="H1132" s="81">
        <v>173160</v>
      </c>
      <c r="I1132" s="165" t="s">
        <v>254</v>
      </c>
      <c r="L1132" s="166">
        <v>0</v>
      </c>
      <c r="M1132" s="166">
        <v>71</v>
      </c>
      <c r="N1132" s="166">
        <v>71</v>
      </c>
      <c r="O1132" s="166">
        <v>71</v>
      </c>
      <c r="P1132" s="166">
        <v>71</v>
      </c>
      <c r="Q1132" s="81" t="s">
        <v>155</v>
      </c>
      <c r="R1132" s="165" t="s">
        <v>3461</v>
      </c>
      <c r="S1132" s="81" t="s">
        <v>270</v>
      </c>
      <c r="T1132" s="349">
        <v>43047</v>
      </c>
      <c r="U1132" s="349">
        <v>43089</v>
      </c>
      <c r="V1132" s="81" t="s">
        <v>155</v>
      </c>
      <c r="W1132" s="81" t="s">
        <v>114</v>
      </c>
      <c r="Y1132" s="81" t="s">
        <v>115</v>
      </c>
      <c r="Z1132" s="81" t="s">
        <v>310</v>
      </c>
      <c r="AA1132" s="81" t="s">
        <v>1764</v>
      </c>
      <c r="AB1132" s="81" t="s">
        <v>117</v>
      </c>
      <c r="AC1132" s="166">
        <v>0.25600001215934798</v>
      </c>
      <c r="AG1132" s="81" t="s">
        <v>238</v>
      </c>
      <c r="AH1132" s="81" t="s">
        <v>118</v>
      </c>
      <c r="AK1132" s="166">
        <v>0</v>
      </c>
      <c r="AM1132" s="166">
        <v>0</v>
      </c>
      <c r="AO1132" s="166">
        <v>33</v>
      </c>
      <c r="AP1132" s="166">
        <v>19</v>
      </c>
      <c r="AQ1132" s="166">
        <v>18</v>
      </c>
      <c r="AR1132" s="166">
        <v>1</v>
      </c>
      <c r="AS1132" s="166">
        <v>0</v>
      </c>
      <c r="AT1132" s="166">
        <v>0</v>
      </c>
      <c r="AU1132" s="166">
        <v>0</v>
      </c>
      <c r="AV1132" s="166">
        <v>33</v>
      </c>
      <c r="AW1132" s="166">
        <v>19</v>
      </c>
      <c r="AX1132" s="166">
        <v>18</v>
      </c>
      <c r="AY1132" s="166">
        <v>1</v>
      </c>
      <c r="AZ1132" s="166">
        <v>0</v>
      </c>
      <c r="BA1132" s="166">
        <v>0</v>
      </c>
      <c r="BB1132" s="166">
        <v>0</v>
      </c>
      <c r="BC1132" s="166">
        <v>0</v>
      </c>
      <c r="BD1132" s="166">
        <v>0</v>
      </c>
      <c r="BE1132" s="166">
        <v>0</v>
      </c>
      <c r="BF1132" s="166">
        <v>0</v>
      </c>
      <c r="BG1132" s="166">
        <v>0</v>
      </c>
      <c r="BH1132" s="166">
        <v>0</v>
      </c>
      <c r="BI1132" s="166">
        <v>0</v>
      </c>
      <c r="BJ1132" s="166">
        <v>0</v>
      </c>
      <c r="BK1132" s="166">
        <v>0</v>
      </c>
      <c r="BL1132" s="166">
        <v>0</v>
      </c>
      <c r="BM1132" s="166">
        <v>0</v>
      </c>
      <c r="BN1132" s="166">
        <v>0</v>
      </c>
      <c r="BO1132" s="166">
        <v>0</v>
      </c>
      <c r="BP1132" s="166">
        <v>0</v>
      </c>
      <c r="BQ1132" s="81" t="s">
        <v>1757</v>
      </c>
      <c r="BZ1132" s="81" t="s">
        <v>155</v>
      </c>
      <c r="CA1132" s="81" t="s">
        <v>3972</v>
      </c>
      <c r="CC1132" s="167">
        <v>0</v>
      </c>
      <c r="CD1132" s="167">
        <f>$N1132/4</f>
        <v>17.75</v>
      </c>
      <c r="CE1132" s="167">
        <f>$N1132/4</f>
        <v>17.75</v>
      </c>
      <c r="CF1132" s="167">
        <f>$N1132/4</f>
        <v>17.75</v>
      </c>
      <c r="CG1132" s="167">
        <f>$N1132/4</f>
        <v>17.75</v>
      </c>
      <c r="CH1132" s="167">
        <v>0</v>
      </c>
      <c r="CI1132" s="167">
        <v>0</v>
      </c>
      <c r="CJ1132" s="167">
        <v>0</v>
      </c>
      <c r="CK1132" s="167">
        <v>0</v>
      </c>
      <c r="CL1132" s="167">
        <v>0</v>
      </c>
      <c r="CM1132" s="167">
        <v>0</v>
      </c>
      <c r="CN1132" s="167">
        <v>0</v>
      </c>
      <c r="CO1132" s="167">
        <v>0</v>
      </c>
      <c r="CP1132" s="167">
        <v>0</v>
      </c>
      <c r="CQ1132" s="167">
        <v>0</v>
      </c>
      <c r="CR1132" s="167">
        <v>0</v>
      </c>
      <c r="CS1132" s="167">
        <v>0</v>
      </c>
      <c r="CT1132" s="167">
        <v>0</v>
      </c>
      <c r="CU1132" s="167">
        <v>0</v>
      </c>
      <c r="CV1132" s="167">
        <v>0</v>
      </c>
      <c r="CW1132" s="167">
        <v>0</v>
      </c>
      <c r="CX1132" s="167">
        <f>SUM(CD1132:CH1132)</f>
        <v>71</v>
      </c>
      <c r="CY1132" s="167">
        <f>SUM(CD1132:CM1132)</f>
        <v>71</v>
      </c>
    </row>
    <row r="1133" spans="1:103" ht="12.75" customHeight="1" x14ac:dyDescent="0.2">
      <c r="A1133" s="81">
        <v>6745</v>
      </c>
      <c r="B1133" s="165" t="s">
        <v>1930</v>
      </c>
      <c r="C1133" s="165" t="s">
        <v>2964</v>
      </c>
      <c r="E1133" s="165" t="s">
        <v>2965</v>
      </c>
      <c r="G1133" s="81">
        <v>527847</v>
      </c>
      <c r="H1133" s="81">
        <v>173159</v>
      </c>
      <c r="I1133" s="165" t="s">
        <v>254</v>
      </c>
      <c r="L1133" s="166">
        <v>3</v>
      </c>
      <c r="M1133" s="166">
        <v>1</v>
      </c>
      <c r="N1133" s="166">
        <v>-2</v>
      </c>
      <c r="O1133" s="166">
        <v>1</v>
      </c>
      <c r="P1133" s="166">
        <v>-2</v>
      </c>
      <c r="R1133" s="165" t="s">
        <v>2966</v>
      </c>
      <c r="S1133" s="81" t="s">
        <v>113</v>
      </c>
      <c r="T1133" s="349">
        <v>43056</v>
      </c>
      <c r="U1133" s="349">
        <v>43112</v>
      </c>
      <c r="V1133" s="81" t="s">
        <v>155</v>
      </c>
      <c r="W1133" s="81" t="s">
        <v>114</v>
      </c>
      <c r="Y1133" s="81" t="s">
        <v>115</v>
      </c>
      <c r="Z1133" s="81" t="s">
        <v>119</v>
      </c>
      <c r="AA1133" s="81" t="s">
        <v>117</v>
      </c>
      <c r="AB1133" s="81" t="s">
        <v>336</v>
      </c>
      <c r="AC1133" s="166">
        <v>2.8999999165535001E-2</v>
      </c>
      <c r="AG1133" s="81" t="s">
        <v>238</v>
      </c>
      <c r="AH1133" s="81" t="s">
        <v>118</v>
      </c>
      <c r="AK1133" s="166">
        <v>0</v>
      </c>
      <c r="AM1133" s="166">
        <v>0</v>
      </c>
      <c r="AO1133" s="166">
        <v>-1</v>
      </c>
      <c r="AP1133" s="166">
        <v>0</v>
      </c>
      <c r="AQ1133" s="166">
        <v>-2</v>
      </c>
      <c r="AR1133" s="166">
        <v>0</v>
      </c>
      <c r="AS1133" s="166">
        <v>1</v>
      </c>
      <c r="AT1133" s="166">
        <v>0</v>
      </c>
      <c r="AU1133" s="166">
        <v>0</v>
      </c>
      <c r="AV1133" s="166">
        <v>-1</v>
      </c>
      <c r="AW1133" s="166">
        <v>0</v>
      </c>
      <c r="AX1133" s="166">
        <v>-2</v>
      </c>
      <c r="AY1133" s="166">
        <v>0</v>
      </c>
      <c r="AZ1133" s="166">
        <v>0</v>
      </c>
      <c r="BA1133" s="166">
        <v>0</v>
      </c>
      <c r="BB1133" s="166">
        <v>0</v>
      </c>
      <c r="BC1133" s="166">
        <v>0</v>
      </c>
      <c r="BD1133" s="166">
        <v>0</v>
      </c>
      <c r="BE1133" s="166">
        <v>0</v>
      </c>
      <c r="BF1133" s="166">
        <v>0</v>
      </c>
      <c r="BG1133" s="166">
        <v>1</v>
      </c>
      <c r="BH1133" s="166">
        <v>0</v>
      </c>
      <c r="BI1133" s="166">
        <v>0</v>
      </c>
      <c r="BJ1133" s="166">
        <v>0</v>
      </c>
      <c r="BK1133" s="166">
        <v>0</v>
      </c>
      <c r="BL1133" s="166">
        <v>0</v>
      </c>
      <c r="BM1133" s="166">
        <v>0</v>
      </c>
      <c r="BN1133" s="166">
        <v>0</v>
      </c>
      <c r="BO1133" s="166">
        <v>0</v>
      </c>
      <c r="BP1133" s="166">
        <v>0</v>
      </c>
      <c r="BQ1133" s="81" t="s">
        <v>1757</v>
      </c>
      <c r="BZ1133" s="81" t="s">
        <v>155</v>
      </c>
      <c r="CA1133" s="81" t="s">
        <v>1937</v>
      </c>
      <c r="CC1133" s="167">
        <v>0</v>
      </c>
      <c r="CD1133" s="167">
        <f>$N1133/4</f>
        <v>-0.5</v>
      </c>
      <c r="CE1133" s="167">
        <f>$N1133/4</f>
        <v>-0.5</v>
      </c>
      <c r="CF1133" s="167">
        <f>$N1133/4</f>
        <v>-0.5</v>
      </c>
      <c r="CG1133" s="167">
        <f>$N1133/4</f>
        <v>-0.5</v>
      </c>
      <c r="CH1133" s="167">
        <v>0</v>
      </c>
      <c r="CI1133" s="167">
        <v>0</v>
      </c>
      <c r="CJ1133" s="167">
        <v>0</v>
      </c>
      <c r="CK1133" s="167">
        <v>0</v>
      </c>
      <c r="CL1133" s="167">
        <v>0</v>
      </c>
      <c r="CM1133" s="167">
        <v>0</v>
      </c>
      <c r="CN1133" s="167">
        <v>0</v>
      </c>
      <c r="CO1133" s="167">
        <v>0</v>
      </c>
      <c r="CP1133" s="167">
        <v>0</v>
      </c>
      <c r="CQ1133" s="167">
        <v>0</v>
      </c>
      <c r="CR1133" s="167">
        <v>0</v>
      </c>
      <c r="CS1133" s="167">
        <v>0</v>
      </c>
      <c r="CT1133" s="167">
        <v>0</v>
      </c>
      <c r="CU1133" s="167">
        <v>0</v>
      </c>
      <c r="CV1133" s="167">
        <v>0</v>
      </c>
      <c r="CW1133" s="167">
        <v>0</v>
      </c>
      <c r="CX1133" s="167">
        <f>SUM(CD1133:CH1133)</f>
        <v>-2</v>
      </c>
      <c r="CY1133" s="167">
        <f>SUM(CD1133:CM1133)</f>
        <v>-2</v>
      </c>
    </row>
    <row r="1134" spans="1:103" ht="12.75" customHeight="1" x14ac:dyDescent="0.2">
      <c r="A1134" s="81">
        <v>6748</v>
      </c>
      <c r="B1134" s="165" t="s">
        <v>1930</v>
      </c>
      <c r="C1134" s="165" t="s">
        <v>2942</v>
      </c>
      <c r="E1134" s="165" t="s">
        <v>3960</v>
      </c>
      <c r="F1134" s="165" t="s">
        <v>2943</v>
      </c>
      <c r="G1134" s="81">
        <v>524016</v>
      </c>
      <c r="H1134" s="81">
        <v>175204</v>
      </c>
      <c r="I1134" s="165" t="s">
        <v>259</v>
      </c>
      <c r="L1134" s="166">
        <v>5</v>
      </c>
      <c r="M1134" s="166">
        <v>5</v>
      </c>
      <c r="N1134" s="166">
        <v>0</v>
      </c>
      <c r="O1134" s="166">
        <v>9</v>
      </c>
      <c r="P1134" s="166">
        <v>4</v>
      </c>
      <c r="R1134" s="165" t="s">
        <v>2944</v>
      </c>
      <c r="S1134" s="81" t="s">
        <v>113</v>
      </c>
      <c r="T1134" s="349">
        <v>43056</v>
      </c>
      <c r="U1134" s="349">
        <v>43112</v>
      </c>
      <c r="V1134" s="81" t="s">
        <v>155</v>
      </c>
      <c r="W1134" s="81" t="s">
        <v>114</v>
      </c>
      <c r="Y1134" s="81" t="s">
        <v>115</v>
      </c>
      <c r="Z1134" s="81" t="s">
        <v>398</v>
      </c>
      <c r="AA1134" s="81" t="s">
        <v>117</v>
      </c>
      <c r="AB1134" s="81" t="s">
        <v>220</v>
      </c>
      <c r="AC1134" s="166">
        <v>4.3000001460313797E-2</v>
      </c>
      <c r="AG1134" s="81" t="s">
        <v>238</v>
      </c>
      <c r="AH1134" s="81" t="s">
        <v>118</v>
      </c>
      <c r="AK1134" s="166">
        <v>0</v>
      </c>
      <c r="AM1134" s="166">
        <v>0</v>
      </c>
      <c r="AO1134" s="166">
        <v>0</v>
      </c>
      <c r="AP1134" s="166">
        <v>-4</v>
      </c>
      <c r="AQ1134" s="166">
        <v>3</v>
      </c>
      <c r="AR1134" s="166">
        <v>1</v>
      </c>
      <c r="AS1134" s="166">
        <v>0</v>
      </c>
      <c r="AT1134" s="166">
        <v>0</v>
      </c>
      <c r="AU1134" s="166">
        <v>0</v>
      </c>
      <c r="AV1134" s="166">
        <v>0</v>
      </c>
      <c r="AW1134" s="166">
        <v>-4</v>
      </c>
      <c r="AX1134" s="166">
        <v>3</v>
      </c>
      <c r="AY1134" s="166">
        <v>1</v>
      </c>
      <c r="AZ1134" s="166">
        <v>0</v>
      </c>
      <c r="BA1134" s="166">
        <v>0</v>
      </c>
      <c r="BB1134" s="166">
        <v>0</v>
      </c>
      <c r="BC1134" s="166">
        <v>0</v>
      </c>
      <c r="BD1134" s="166">
        <v>0</v>
      </c>
      <c r="BE1134" s="166">
        <v>0</v>
      </c>
      <c r="BF1134" s="166">
        <v>0</v>
      </c>
      <c r="BG1134" s="166">
        <v>0</v>
      </c>
      <c r="BH1134" s="166">
        <v>0</v>
      </c>
      <c r="BI1134" s="166">
        <v>0</v>
      </c>
      <c r="BJ1134" s="166">
        <v>0</v>
      </c>
      <c r="BK1134" s="166">
        <v>0</v>
      </c>
      <c r="BL1134" s="166">
        <v>0</v>
      </c>
      <c r="BM1134" s="166">
        <v>0</v>
      </c>
      <c r="BN1134" s="166">
        <v>0</v>
      </c>
      <c r="BO1134" s="166">
        <v>0</v>
      </c>
      <c r="BP1134" s="166">
        <v>0</v>
      </c>
      <c r="BQ1134" s="81" t="s">
        <v>1758</v>
      </c>
      <c r="BR1134" s="81" t="s">
        <v>161</v>
      </c>
      <c r="BZ1134" s="81" t="s">
        <v>155</v>
      </c>
      <c r="CA1134" s="81" t="s">
        <v>1957</v>
      </c>
      <c r="CC1134" s="167">
        <v>0</v>
      </c>
      <c r="CD1134" s="167">
        <v>0</v>
      </c>
      <c r="CE1134" s="167">
        <f>N1134</f>
        <v>0</v>
      </c>
      <c r="CF1134" s="167">
        <v>0</v>
      </c>
      <c r="CG1134" s="167">
        <v>0</v>
      </c>
      <c r="CH1134" s="167">
        <v>0</v>
      </c>
      <c r="CI1134" s="167">
        <v>0</v>
      </c>
      <c r="CJ1134" s="167">
        <v>0</v>
      </c>
      <c r="CK1134" s="167">
        <v>0</v>
      </c>
      <c r="CL1134" s="167">
        <v>0</v>
      </c>
      <c r="CM1134" s="167">
        <v>0</v>
      </c>
      <c r="CN1134" s="167">
        <v>0</v>
      </c>
      <c r="CO1134" s="167">
        <v>0</v>
      </c>
      <c r="CP1134" s="167">
        <v>0</v>
      </c>
      <c r="CQ1134" s="167">
        <v>0</v>
      </c>
      <c r="CR1134" s="167">
        <v>0</v>
      </c>
      <c r="CS1134" s="167">
        <v>0</v>
      </c>
      <c r="CT1134" s="167">
        <v>0</v>
      </c>
      <c r="CU1134" s="167">
        <v>0</v>
      </c>
      <c r="CV1134" s="167">
        <v>0</v>
      </c>
      <c r="CW1134" s="167">
        <v>0</v>
      </c>
      <c r="CX1134" s="167">
        <f>SUM(CD1134:CH1134)</f>
        <v>0</v>
      </c>
      <c r="CY1134" s="167">
        <f>SUM(CD1134:CM1134)</f>
        <v>0</v>
      </c>
    </row>
    <row r="1135" spans="1:103" ht="12.75" customHeight="1" x14ac:dyDescent="0.2">
      <c r="A1135" s="81">
        <v>6748</v>
      </c>
      <c r="B1135" s="165" t="s">
        <v>1930</v>
      </c>
      <c r="C1135" s="165" t="s">
        <v>2942</v>
      </c>
      <c r="E1135" s="165" t="s">
        <v>3960</v>
      </c>
      <c r="F1135" s="165" t="s">
        <v>2945</v>
      </c>
      <c r="G1135" s="81">
        <v>524016</v>
      </c>
      <c r="H1135" s="81">
        <v>175204</v>
      </c>
      <c r="I1135" s="165" t="s">
        <v>259</v>
      </c>
      <c r="L1135" s="166">
        <v>0</v>
      </c>
      <c r="M1135" s="166">
        <v>4</v>
      </c>
      <c r="N1135" s="166">
        <v>4</v>
      </c>
      <c r="O1135" s="166">
        <v>9</v>
      </c>
      <c r="P1135" s="166">
        <v>4</v>
      </c>
      <c r="R1135" s="165" t="s">
        <v>2944</v>
      </c>
      <c r="S1135" s="81" t="s">
        <v>113</v>
      </c>
      <c r="T1135" s="349">
        <v>43056</v>
      </c>
      <c r="U1135" s="349">
        <v>43112</v>
      </c>
      <c r="V1135" s="81" t="s">
        <v>155</v>
      </c>
      <c r="W1135" s="81" t="s">
        <v>114</v>
      </c>
      <c r="Y1135" s="81" t="s">
        <v>115</v>
      </c>
      <c r="Z1135" s="81" t="s">
        <v>398</v>
      </c>
      <c r="AA1135" s="81" t="s">
        <v>117</v>
      </c>
      <c r="AB1135" s="81" t="s">
        <v>220</v>
      </c>
      <c r="AC1135" s="166">
        <v>3.4000001847744002E-2</v>
      </c>
      <c r="AG1135" s="81" t="s">
        <v>238</v>
      </c>
      <c r="AH1135" s="81" t="s">
        <v>118</v>
      </c>
      <c r="AK1135" s="166">
        <v>0</v>
      </c>
      <c r="AM1135" s="166">
        <v>0</v>
      </c>
      <c r="AO1135" s="166">
        <v>0</v>
      </c>
      <c r="AP1135" s="166">
        <v>0</v>
      </c>
      <c r="AQ1135" s="166">
        <v>3</v>
      </c>
      <c r="AR1135" s="166">
        <v>1</v>
      </c>
      <c r="AS1135" s="166">
        <v>0</v>
      </c>
      <c r="AT1135" s="166">
        <v>0</v>
      </c>
      <c r="AU1135" s="166">
        <v>0</v>
      </c>
      <c r="AV1135" s="166">
        <v>0</v>
      </c>
      <c r="AW1135" s="166">
        <v>0</v>
      </c>
      <c r="AX1135" s="166">
        <v>3</v>
      </c>
      <c r="AY1135" s="166">
        <v>1</v>
      </c>
      <c r="AZ1135" s="166">
        <v>0</v>
      </c>
      <c r="BA1135" s="166">
        <v>0</v>
      </c>
      <c r="BB1135" s="166">
        <v>0</v>
      </c>
      <c r="BC1135" s="166">
        <v>0</v>
      </c>
      <c r="BD1135" s="166">
        <v>0</v>
      </c>
      <c r="BE1135" s="166">
        <v>0</v>
      </c>
      <c r="BF1135" s="166">
        <v>0</v>
      </c>
      <c r="BG1135" s="166">
        <v>0</v>
      </c>
      <c r="BH1135" s="166">
        <v>0</v>
      </c>
      <c r="BI1135" s="166">
        <v>0</v>
      </c>
      <c r="BJ1135" s="166">
        <v>0</v>
      </c>
      <c r="BK1135" s="166">
        <v>0</v>
      </c>
      <c r="BL1135" s="166">
        <v>0</v>
      </c>
      <c r="BM1135" s="166">
        <v>0</v>
      </c>
      <c r="BN1135" s="166">
        <v>0</v>
      </c>
      <c r="BO1135" s="166">
        <v>0</v>
      </c>
      <c r="BP1135" s="166">
        <v>0</v>
      </c>
      <c r="BQ1135" s="81" t="s">
        <v>1758</v>
      </c>
      <c r="BR1135" s="81" t="s">
        <v>161</v>
      </c>
      <c r="BZ1135" s="81" t="s">
        <v>155</v>
      </c>
      <c r="CA1135" s="81" t="s">
        <v>1957</v>
      </c>
      <c r="CC1135" s="167">
        <v>0</v>
      </c>
      <c r="CD1135" s="167">
        <v>0</v>
      </c>
      <c r="CE1135" s="167">
        <f>N1135</f>
        <v>4</v>
      </c>
      <c r="CF1135" s="167">
        <v>0</v>
      </c>
      <c r="CG1135" s="167">
        <v>0</v>
      </c>
      <c r="CH1135" s="167">
        <v>0</v>
      </c>
      <c r="CI1135" s="167">
        <v>0</v>
      </c>
      <c r="CJ1135" s="167">
        <v>0</v>
      </c>
      <c r="CK1135" s="167">
        <v>0</v>
      </c>
      <c r="CL1135" s="167">
        <v>0</v>
      </c>
      <c r="CM1135" s="167">
        <v>0</v>
      </c>
      <c r="CN1135" s="167">
        <v>0</v>
      </c>
      <c r="CO1135" s="167">
        <v>0</v>
      </c>
      <c r="CP1135" s="167">
        <v>0</v>
      </c>
      <c r="CQ1135" s="167">
        <v>0</v>
      </c>
      <c r="CR1135" s="167">
        <v>0</v>
      </c>
      <c r="CS1135" s="167">
        <v>0</v>
      </c>
      <c r="CT1135" s="167">
        <v>0</v>
      </c>
      <c r="CU1135" s="167">
        <v>0</v>
      </c>
      <c r="CV1135" s="167">
        <v>0</v>
      </c>
      <c r="CW1135" s="167">
        <v>0</v>
      </c>
      <c r="CX1135" s="167">
        <f>SUM(CD1135:CH1135)</f>
        <v>4</v>
      </c>
      <c r="CY1135" s="167">
        <f>SUM(CD1135:CM1135)</f>
        <v>4</v>
      </c>
    </row>
    <row r="1136" spans="1:103" ht="12.75" customHeight="1" x14ac:dyDescent="0.2">
      <c r="A1136" s="81">
        <v>6751</v>
      </c>
      <c r="B1136" s="165" t="s">
        <v>1930</v>
      </c>
      <c r="C1136" s="165" t="s">
        <v>2946</v>
      </c>
      <c r="E1136" s="165" t="s">
        <v>2947</v>
      </c>
      <c r="G1136" s="81">
        <v>527935</v>
      </c>
      <c r="H1136" s="81">
        <v>175416</v>
      </c>
      <c r="I1136" s="165" t="s">
        <v>256</v>
      </c>
      <c r="L1136" s="166">
        <v>0</v>
      </c>
      <c r="M1136" s="166">
        <v>7</v>
      </c>
      <c r="N1136" s="166">
        <v>7</v>
      </c>
      <c r="O1136" s="166">
        <v>7</v>
      </c>
      <c r="P1136" s="166">
        <v>7</v>
      </c>
      <c r="R1136" s="165" t="s">
        <v>2948</v>
      </c>
      <c r="S1136" s="81" t="s">
        <v>113</v>
      </c>
      <c r="T1136" s="349">
        <v>43060</v>
      </c>
      <c r="U1136" s="349">
        <v>43164</v>
      </c>
      <c r="V1136" s="81" t="s">
        <v>155</v>
      </c>
      <c r="W1136" s="81" t="s">
        <v>114</v>
      </c>
      <c r="Y1136" s="81" t="s">
        <v>115</v>
      </c>
      <c r="Z1136" s="81" t="s">
        <v>398</v>
      </c>
      <c r="AA1136" s="81" t="s">
        <v>117</v>
      </c>
      <c r="AB1136" s="81" t="s">
        <v>311</v>
      </c>
      <c r="AC1136" s="166">
        <v>2.0999999716877899E-2</v>
      </c>
      <c r="AG1136" s="81" t="s">
        <v>238</v>
      </c>
      <c r="AH1136" s="81" t="s">
        <v>118</v>
      </c>
      <c r="AK1136" s="166">
        <v>0</v>
      </c>
      <c r="AM1136" s="166">
        <v>0</v>
      </c>
      <c r="AO1136" s="166">
        <v>4</v>
      </c>
      <c r="AP1136" s="166">
        <v>1</v>
      </c>
      <c r="AQ1136" s="166">
        <v>2</v>
      </c>
      <c r="AR1136" s="166">
        <v>0</v>
      </c>
      <c r="AS1136" s="166">
        <v>0</v>
      </c>
      <c r="AT1136" s="166">
        <v>0</v>
      </c>
      <c r="AU1136" s="166">
        <v>0</v>
      </c>
      <c r="AV1136" s="166">
        <v>4</v>
      </c>
      <c r="AW1136" s="166">
        <v>1</v>
      </c>
      <c r="AX1136" s="166">
        <v>2</v>
      </c>
      <c r="AY1136" s="166">
        <v>0</v>
      </c>
      <c r="AZ1136" s="166">
        <v>0</v>
      </c>
      <c r="BA1136" s="166">
        <v>0</v>
      </c>
      <c r="BB1136" s="166">
        <v>0</v>
      </c>
      <c r="BC1136" s="166">
        <v>0</v>
      </c>
      <c r="BD1136" s="166">
        <v>0</v>
      </c>
      <c r="BE1136" s="166">
        <v>0</v>
      </c>
      <c r="BF1136" s="166">
        <v>0</v>
      </c>
      <c r="BG1136" s="166">
        <v>0</v>
      </c>
      <c r="BH1136" s="166">
        <v>0</v>
      </c>
      <c r="BI1136" s="166">
        <v>0</v>
      </c>
      <c r="BJ1136" s="166">
        <v>0</v>
      </c>
      <c r="BK1136" s="166">
        <v>0</v>
      </c>
      <c r="BL1136" s="166">
        <v>0</v>
      </c>
      <c r="BM1136" s="166">
        <v>0</v>
      </c>
      <c r="BN1136" s="166">
        <v>0</v>
      </c>
      <c r="BO1136" s="166">
        <v>0</v>
      </c>
      <c r="BP1136" s="166">
        <v>0</v>
      </c>
      <c r="BQ1136" s="81" t="s">
        <v>1757</v>
      </c>
      <c r="BZ1136" s="81" t="s">
        <v>155</v>
      </c>
      <c r="CA1136" s="81" t="s">
        <v>3972</v>
      </c>
      <c r="CC1136" s="167">
        <v>0</v>
      </c>
      <c r="CD1136" s="167">
        <f>$N1136/4</f>
        <v>1.75</v>
      </c>
      <c r="CE1136" s="167">
        <f>$N1136/4</f>
        <v>1.75</v>
      </c>
      <c r="CF1136" s="167">
        <f>$N1136/4</f>
        <v>1.75</v>
      </c>
      <c r="CG1136" s="167">
        <f>$N1136/4</f>
        <v>1.75</v>
      </c>
      <c r="CH1136" s="167">
        <v>0</v>
      </c>
      <c r="CI1136" s="167">
        <v>0</v>
      </c>
      <c r="CJ1136" s="167">
        <v>0</v>
      </c>
      <c r="CK1136" s="167">
        <v>0</v>
      </c>
      <c r="CL1136" s="167">
        <v>0</v>
      </c>
      <c r="CM1136" s="167">
        <v>0</v>
      </c>
      <c r="CN1136" s="167">
        <v>0</v>
      </c>
      <c r="CO1136" s="167">
        <v>0</v>
      </c>
      <c r="CP1136" s="167">
        <v>0</v>
      </c>
      <c r="CQ1136" s="167">
        <v>0</v>
      </c>
      <c r="CR1136" s="167">
        <v>0</v>
      </c>
      <c r="CS1136" s="167">
        <v>0</v>
      </c>
      <c r="CT1136" s="167">
        <v>0</v>
      </c>
      <c r="CU1136" s="167">
        <v>0</v>
      </c>
      <c r="CV1136" s="167">
        <v>0</v>
      </c>
      <c r="CW1136" s="167">
        <v>0</v>
      </c>
      <c r="CX1136" s="167">
        <f>SUM(CD1136:CH1136)</f>
        <v>7</v>
      </c>
      <c r="CY1136" s="167">
        <f>SUM(CD1136:CM1136)</f>
        <v>7</v>
      </c>
    </row>
    <row r="1137" spans="1:103" ht="12.75" customHeight="1" x14ac:dyDescent="0.2">
      <c r="A1137" s="81">
        <v>6753</v>
      </c>
      <c r="B1137" s="165" t="s">
        <v>1930</v>
      </c>
      <c r="C1137" s="165" t="s">
        <v>2949</v>
      </c>
      <c r="E1137" s="165" t="s">
        <v>2950</v>
      </c>
      <c r="G1137" s="81">
        <v>525803</v>
      </c>
      <c r="H1137" s="81">
        <v>174168</v>
      </c>
      <c r="I1137" s="165" t="s">
        <v>251</v>
      </c>
      <c r="L1137" s="166">
        <v>0</v>
      </c>
      <c r="M1137" s="166">
        <v>1</v>
      </c>
      <c r="N1137" s="166">
        <v>1</v>
      </c>
      <c r="O1137" s="166">
        <v>1</v>
      </c>
      <c r="P1137" s="166">
        <v>1</v>
      </c>
      <c r="R1137" s="165" t="s">
        <v>2951</v>
      </c>
      <c r="S1137" s="81" t="s">
        <v>113</v>
      </c>
      <c r="T1137" s="349">
        <v>43066</v>
      </c>
      <c r="U1137" s="349">
        <v>43122</v>
      </c>
      <c r="V1137" s="81" t="s">
        <v>155</v>
      </c>
      <c r="W1137" s="81" t="s">
        <v>114</v>
      </c>
      <c r="Y1137" s="81" t="s">
        <v>115</v>
      </c>
      <c r="Z1137" s="81" t="s">
        <v>116</v>
      </c>
      <c r="AA1137" s="81" t="s">
        <v>117</v>
      </c>
      <c r="AB1137" s="81" t="s">
        <v>218</v>
      </c>
      <c r="AC1137" s="166">
        <v>8.9999996125698107E-3</v>
      </c>
      <c r="AG1137" s="81" t="s">
        <v>238</v>
      </c>
      <c r="AH1137" s="81" t="s">
        <v>118</v>
      </c>
      <c r="AK1137" s="166">
        <v>0</v>
      </c>
      <c r="AM1137" s="166">
        <v>0</v>
      </c>
      <c r="AO1137" s="166">
        <v>0</v>
      </c>
      <c r="AP1137" s="166">
        <v>0</v>
      </c>
      <c r="AQ1137" s="166">
        <v>0</v>
      </c>
      <c r="AR1137" s="166">
        <v>1</v>
      </c>
      <c r="AS1137" s="166">
        <v>0</v>
      </c>
      <c r="AT1137" s="166">
        <v>0</v>
      </c>
      <c r="AU1137" s="166">
        <v>0</v>
      </c>
      <c r="AV1137" s="166">
        <v>0</v>
      </c>
      <c r="AW1137" s="166">
        <v>0</v>
      </c>
      <c r="AX1137" s="166">
        <v>0</v>
      </c>
      <c r="AY1137" s="166">
        <v>0</v>
      </c>
      <c r="AZ1137" s="166">
        <v>0</v>
      </c>
      <c r="BA1137" s="166">
        <v>0</v>
      </c>
      <c r="BB1137" s="166">
        <v>0</v>
      </c>
      <c r="BC1137" s="166">
        <v>0</v>
      </c>
      <c r="BD1137" s="166">
        <v>0</v>
      </c>
      <c r="BE1137" s="166">
        <v>0</v>
      </c>
      <c r="BF1137" s="166">
        <v>1</v>
      </c>
      <c r="BG1137" s="166">
        <v>0</v>
      </c>
      <c r="BH1137" s="166">
        <v>0</v>
      </c>
      <c r="BI1137" s="166">
        <v>0</v>
      </c>
      <c r="BJ1137" s="166">
        <v>0</v>
      </c>
      <c r="BK1137" s="166">
        <v>0</v>
      </c>
      <c r="BL1137" s="166">
        <v>0</v>
      </c>
      <c r="BM1137" s="166">
        <v>0</v>
      </c>
      <c r="BN1137" s="166">
        <v>0</v>
      </c>
      <c r="BO1137" s="166">
        <v>0</v>
      </c>
      <c r="BP1137" s="166">
        <v>0</v>
      </c>
      <c r="BQ1137" s="81" t="s">
        <v>1758</v>
      </c>
      <c r="BZ1137" s="81" t="s">
        <v>155</v>
      </c>
      <c r="CA1137" s="81">
        <v>4</v>
      </c>
      <c r="CC1137" s="167">
        <v>0</v>
      </c>
      <c r="CD1137" s="167">
        <v>0</v>
      </c>
      <c r="CE1137" s="167">
        <f>$N1137/5</f>
        <v>0.2</v>
      </c>
      <c r="CF1137" s="167">
        <f>$N1137/5</f>
        <v>0.2</v>
      </c>
      <c r="CG1137" s="167">
        <f>$N1137/5</f>
        <v>0.2</v>
      </c>
      <c r="CH1137" s="167">
        <f>$N1137/5</f>
        <v>0.2</v>
      </c>
      <c r="CI1137" s="167">
        <f>$N1137/5</f>
        <v>0.2</v>
      </c>
      <c r="CJ1137" s="167">
        <v>0</v>
      </c>
      <c r="CK1137" s="167">
        <v>0</v>
      </c>
      <c r="CL1137" s="167">
        <v>0</v>
      </c>
      <c r="CM1137" s="167">
        <v>0</v>
      </c>
      <c r="CN1137" s="167">
        <v>0</v>
      </c>
      <c r="CO1137" s="167">
        <v>0</v>
      </c>
      <c r="CP1137" s="167">
        <v>0</v>
      </c>
      <c r="CQ1137" s="167">
        <v>0</v>
      </c>
      <c r="CR1137" s="167">
        <v>0</v>
      </c>
      <c r="CS1137" s="167">
        <v>0</v>
      </c>
      <c r="CT1137" s="167">
        <v>0</v>
      </c>
      <c r="CU1137" s="167">
        <v>0</v>
      </c>
      <c r="CV1137" s="167">
        <v>0</v>
      </c>
      <c r="CW1137" s="167">
        <v>0</v>
      </c>
      <c r="CX1137" s="167">
        <f>SUM(CD1137:CH1137)</f>
        <v>0.8</v>
      </c>
      <c r="CY1137" s="167">
        <f>SUM(CD1137:CM1137)</f>
        <v>1</v>
      </c>
    </row>
    <row r="1138" spans="1:103" ht="12.75" customHeight="1" x14ac:dyDescent="0.2">
      <c r="A1138" s="81">
        <v>6755</v>
      </c>
      <c r="B1138" s="165" t="s">
        <v>1930</v>
      </c>
      <c r="C1138" s="165" t="s">
        <v>2952</v>
      </c>
      <c r="E1138" s="165" t="s">
        <v>2953</v>
      </c>
      <c r="G1138" s="81">
        <v>526150</v>
      </c>
      <c r="H1138" s="81">
        <v>172704</v>
      </c>
      <c r="I1138" s="165" t="s">
        <v>249</v>
      </c>
      <c r="L1138" s="166">
        <v>0</v>
      </c>
      <c r="M1138" s="166">
        <v>1</v>
      </c>
      <c r="N1138" s="166">
        <v>1</v>
      </c>
      <c r="O1138" s="166">
        <v>1</v>
      </c>
      <c r="P1138" s="166">
        <v>1</v>
      </c>
      <c r="R1138" s="165" t="s">
        <v>2954</v>
      </c>
      <c r="S1138" s="81" t="s">
        <v>113</v>
      </c>
      <c r="T1138" s="349">
        <v>43027</v>
      </c>
      <c r="U1138" s="349">
        <v>43083</v>
      </c>
      <c r="V1138" s="81" t="s">
        <v>155</v>
      </c>
      <c r="W1138" s="81" t="s">
        <v>114</v>
      </c>
      <c r="Y1138" s="81" t="s">
        <v>115</v>
      </c>
      <c r="Z1138" s="81" t="s">
        <v>116</v>
      </c>
      <c r="AA1138" s="81" t="s">
        <v>117</v>
      </c>
      <c r="AB1138" s="81" t="s">
        <v>218</v>
      </c>
      <c r="AC1138" s="166">
        <v>7.0000002160668399E-3</v>
      </c>
      <c r="AG1138" s="81" t="s">
        <v>238</v>
      </c>
      <c r="AH1138" s="81" t="s">
        <v>118</v>
      </c>
      <c r="AK1138" s="166">
        <v>0</v>
      </c>
      <c r="AM1138" s="166">
        <v>0</v>
      </c>
      <c r="AO1138" s="166">
        <v>0</v>
      </c>
      <c r="AP1138" s="166">
        <v>1</v>
      </c>
      <c r="AQ1138" s="166">
        <v>0</v>
      </c>
      <c r="AR1138" s="166">
        <v>0</v>
      </c>
      <c r="AS1138" s="166">
        <v>0</v>
      </c>
      <c r="AT1138" s="166">
        <v>0</v>
      </c>
      <c r="AU1138" s="166">
        <v>0</v>
      </c>
      <c r="AV1138" s="166">
        <v>0</v>
      </c>
      <c r="AW1138" s="166">
        <v>0</v>
      </c>
      <c r="AX1138" s="166">
        <v>0</v>
      </c>
      <c r="AY1138" s="166">
        <v>0</v>
      </c>
      <c r="AZ1138" s="166">
        <v>0</v>
      </c>
      <c r="BA1138" s="166">
        <v>0</v>
      </c>
      <c r="BB1138" s="166">
        <v>0</v>
      </c>
      <c r="BC1138" s="166">
        <v>0</v>
      </c>
      <c r="BD1138" s="166">
        <v>1</v>
      </c>
      <c r="BE1138" s="166">
        <v>0</v>
      </c>
      <c r="BF1138" s="166">
        <v>0</v>
      </c>
      <c r="BG1138" s="166">
        <v>0</v>
      </c>
      <c r="BH1138" s="166">
        <v>0</v>
      </c>
      <c r="BI1138" s="166">
        <v>0</v>
      </c>
      <c r="BJ1138" s="166">
        <v>0</v>
      </c>
      <c r="BK1138" s="166">
        <v>0</v>
      </c>
      <c r="BL1138" s="166">
        <v>0</v>
      </c>
      <c r="BM1138" s="166">
        <v>0</v>
      </c>
      <c r="BN1138" s="166">
        <v>0</v>
      </c>
      <c r="BO1138" s="166">
        <v>0</v>
      </c>
      <c r="BP1138" s="166">
        <v>0</v>
      </c>
      <c r="BQ1138" s="81" t="s">
        <v>1758</v>
      </c>
      <c r="BZ1138" s="81" t="s">
        <v>155</v>
      </c>
      <c r="CA1138" s="81">
        <v>4</v>
      </c>
      <c r="CC1138" s="167">
        <v>0</v>
      </c>
      <c r="CD1138" s="167">
        <v>0</v>
      </c>
      <c r="CE1138" s="167">
        <f>$N1138/5</f>
        <v>0.2</v>
      </c>
      <c r="CF1138" s="167">
        <f>$N1138/5</f>
        <v>0.2</v>
      </c>
      <c r="CG1138" s="167">
        <f>$N1138/5</f>
        <v>0.2</v>
      </c>
      <c r="CH1138" s="167">
        <f>$N1138/5</f>
        <v>0.2</v>
      </c>
      <c r="CI1138" s="167">
        <f>$N1138/5</f>
        <v>0.2</v>
      </c>
      <c r="CJ1138" s="167">
        <v>0</v>
      </c>
      <c r="CK1138" s="167">
        <v>0</v>
      </c>
      <c r="CL1138" s="167">
        <v>0</v>
      </c>
      <c r="CM1138" s="167">
        <v>0</v>
      </c>
      <c r="CN1138" s="167">
        <v>0</v>
      </c>
      <c r="CO1138" s="167">
        <v>0</v>
      </c>
      <c r="CP1138" s="167">
        <v>0</v>
      </c>
      <c r="CQ1138" s="167">
        <v>0</v>
      </c>
      <c r="CR1138" s="167">
        <v>0</v>
      </c>
      <c r="CS1138" s="167">
        <v>0</v>
      </c>
      <c r="CT1138" s="167">
        <v>0</v>
      </c>
      <c r="CU1138" s="167">
        <v>0</v>
      </c>
      <c r="CV1138" s="167">
        <v>0</v>
      </c>
      <c r="CW1138" s="167">
        <v>0</v>
      </c>
      <c r="CX1138" s="167">
        <f>SUM(CD1138:CH1138)</f>
        <v>0.8</v>
      </c>
      <c r="CY1138" s="167">
        <f>SUM(CD1138:CM1138)</f>
        <v>1</v>
      </c>
    </row>
    <row r="1139" spans="1:103" ht="12.75" customHeight="1" x14ac:dyDescent="0.2">
      <c r="A1139" s="81">
        <v>6762</v>
      </c>
      <c r="B1139" s="165" t="s">
        <v>1930</v>
      </c>
      <c r="C1139" s="165" t="s">
        <v>2973</v>
      </c>
      <c r="E1139" s="165" t="s">
        <v>2974</v>
      </c>
      <c r="G1139" s="81">
        <v>529349</v>
      </c>
      <c r="H1139" s="81">
        <v>177575</v>
      </c>
      <c r="I1139" s="165" t="s">
        <v>240</v>
      </c>
      <c r="L1139" s="166">
        <v>3</v>
      </c>
      <c r="M1139" s="166">
        <v>1</v>
      </c>
      <c r="N1139" s="166">
        <v>-2</v>
      </c>
      <c r="O1139" s="166">
        <v>1</v>
      </c>
      <c r="P1139" s="166">
        <v>-2</v>
      </c>
      <c r="R1139" s="165" t="s">
        <v>2975</v>
      </c>
      <c r="S1139" s="81" t="s">
        <v>113</v>
      </c>
      <c r="T1139" s="349">
        <v>43082</v>
      </c>
      <c r="U1139" s="349">
        <v>43138</v>
      </c>
      <c r="V1139" s="81" t="s">
        <v>155</v>
      </c>
      <c r="W1139" s="81" t="s">
        <v>114</v>
      </c>
      <c r="Y1139" s="81" t="s">
        <v>115</v>
      </c>
      <c r="Z1139" s="81" t="s">
        <v>119</v>
      </c>
      <c r="AA1139" s="81" t="s">
        <v>117</v>
      </c>
      <c r="AB1139" s="81" t="s">
        <v>300</v>
      </c>
      <c r="AC1139" s="166">
        <v>1.00000004749745E-3</v>
      </c>
      <c r="AG1139" s="81" t="s">
        <v>238</v>
      </c>
      <c r="AH1139" s="81" t="s">
        <v>118</v>
      </c>
      <c r="AK1139" s="166">
        <v>0</v>
      </c>
      <c r="AM1139" s="166">
        <v>0</v>
      </c>
      <c r="AO1139" s="166">
        <v>0</v>
      </c>
      <c r="AP1139" s="166">
        <v>0</v>
      </c>
      <c r="AQ1139" s="166">
        <v>0</v>
      </c>
      <c r="AR1139" s="166">
        <v>-3</v>
      </c>
      <c r="AS1139" s="166">
        <v>0</v>
      </c>
      <c r="AT1139" s="166">
        <v>1</v>
      </c>
      <c r="AU1139" s="166">
        <v>0</v>
      </c>
      <c r="AV1139" s="166">
        <v>0</v>
      </c>
      <c r="AW1139" s="166">
        <v>0</v>
      </c>
      <c r="AX1139" s="166">
        <v>0</v>
      </c>
      <c r="AY1139" s="166">
        <v>-3</v>
      </c>
      <c r="AZ1139" s="166">
        <v>0</v>
      </c>
      <c r="BA1139" s="166">
        <v>1</v>
      </c>
      <c r="BB1139" s="166">
        <v>0</v>
      </c>
      <c r="BC1139" s="166">
        <v>0</v>
      </c>
      <c r="BD1139" s="166">
        <v>0</v>
      </c>
      <c r="BE1139" s="166">
        <v>0</v>
      </c>
      <c r="BF1139" s="166">
        <v>0</v>
      </c>
      <c r="BG1139" s="166">
        <v>0</v>
      </c>
      <c r="BH1139" s="166">
        <v>0</v>
      </c>
      <c r="BI1139" s="166">
        <v>0</v>
      </c>
      <c r="BJ1139" s="166">
        <v>0</v>
      </c>
      <c r="BK1139" s="166">
        <v>0</v>
      </c>
      <c r="BL1139" s="166">
        <v>0</v>
      </c>
      <c r="BM1139" s="166">
        <v>0</v>
      </c>
      <c r="BN1139" s="166">
        <v>0</v>
      </c>
      <c r="BO1139" s="166">
        <v>0</v>
      </c>
      <c r="BP1139" s="166">
        <v>0</v>
      </c>
      <c r="BQ1139" s="81" t="s">
        <v>1759</v>
      </c>
      <c r="BS1139" s="81" t="s">
        <v>155</v>
      </c>
      <c r="BZ1139" s="81" t="s">
        <v>155</v>
      </c>
      <c r="CA1139" s="81" t="s">
        <v>1937</v>
      </c>
      <c r="CC1139" s="167">
        <v>0</v>
      </c>
      <c r="CD1139" s="167">
        <f>$N1139/4</f>
        <v>-0.5</v>
      </c>
      <c r="CE1139" s="167">
        <f>$N1139/4</f>
        <v>-0.5</v>
      </c>
      <c r="CF1139" s="167">
        <f>$N1139/4</f>
        <v>-0.5</v>
      </c>
      <c r="CG1139" s="167">
        <f>$N1139/4</f>
        <v>-0.5</v>
      </c>
      <c r="CH1139" s="167">
        <v>0</v>
      </c>
      <c r="CI1139" s="167">
        <v>0</v>
      </c>
      <c r="CJ1139" s="167">
        <v>0</v>
      </c>
      <c r="CK1139" s="167">
        <v>0</v>
      </c>
      <c r="CL1139" s="167">
        <v>0</v>
      </c>
      <c r="CM1139" s="167">
        <v>0</v>
      </c>
      <c r="CN1139" s="167">
        <v>0</v>
      </c>
      <c r="CO1139" s="167">
        <v>0</v>
      </c>
      <c r="CP1139" s="167">
        <v>0</v>
      </c>
      <c r="CQ1139" s="167">
        <v>0</v>
      </c>
      <c r="CR1139" s="167">
        <v>0</v>
      </c>
      <c r="CS1139" s="167">
        <v>0</v>
      </c>
      <c r="CT1139" s="167">
        <v>0</v>
      </c>
      <c r="CU1139" s="167">
        <v>0</v>
      </c>
      <c r="CV1139" s="167">
        <v>0</v>
      </c>
      <c r="CW1139" s="167">
        <v>0</v>
      </c>
      <c r="CX1139" s="167">
        <f>SUM(CD1139:CH1139)</f>
        <v>-2</v>
      </c>
      <c r="CY1139" s="167">
        <f>SUM(CD1139:CM1139)</f>
        <v>-2</v>
      </c>
    </row>
    <row r="1140" spans="1:103" ht="12.75" customHeight="1" x14ac:dyDescent="0.2">
      <c r="A1140" s="81">
        <v>6768</v>
      </c>
      <c r="B1140" s="165" t="s">
        <v>1930</v>
      </c>
      <c r="C1140" s="165" t="s">
        <v>2958</v>
      </c>
      <c r="E1140" s="165" t="s">
        <v>2959</v>
      </c>
      <c r="G1140" s="81">
        <v>527850</v>
      </c>
      <c r="H1140" s="81">
        <v>174416</v>
      </c>
      <c r="I1140" s="165" t="s">
        <v>255</v>
      </c>
      <c r="L1140" s="166">
        <v>2</v>
      </c>
      <c r="M1140" s="166">
        <v>1</v>
      </c>
      <c r="N1140" s="166">
        <v>-1</v>
      </c>
      <c r="O1140" s="166">
        <v>1</v>
      </c>
      <c r="P1140" s="166">
        <v>-1</v>
      </c>
      <c r="R1140" s="165" t="s">
        <v>2960</v>
      </c>
      <c r="S1140" s="81" t="s">
        <v>113</v>
      </c>
      <c r="T1140" s="349">
        <v>43090</v>
      </c>
      <c r="U1140" s="349">
        <v>43146</v>
      </c>
      <c r="V1140" s="81" t="s">
        <v>155</v>
      </c>
      <c r="W1140" s="81" t="s">
        <v>114</v>
      </c>
      <c r="Y1140" s="81" t="s">
        <v>115</v>
      </c>
      <c r="Z1140" s="81" t="s">
        <v>398</v>
      </c>
      <c r="AA1140" s="81" t="s">
        <v>117</v>
      </c>
      <c r="AB1140" s="81" t="s">
        <v>336</v>
      </c>
      <c r="AC1140" s="166">
        <v>1.60000007599592E-2</v>
      </c>
      <c r="AG1140" s="81" t="s">
        <v>238</v>
      </c>
      <c r="AH1140" s="81" t="s">
        <v>118</v>
      </c>
      <c r="AK1140" s="166">
        <v>0</v>
      </c>
      <c r="AM1140" s="166">
        <v>0</v>
      </c>
      <c r="AO1140" s="166">
        <v>0</v>
      </c>
      <c r="AP1140" s="166">
        <v>0</v>
      </c>
      <c r="AQ1140" s="166">
        <v>-1</v>
      </c>
      <c r="AR1140" s="166">
        <v>-1</v>
      </c>
      <c r="AS1140" s="166">
        <v>0</v>
      </c>
      <c r="AT1140" s="166">
        <v>1</v>
      </c>
      <c r="AU1140" s="166">
        <v>0</v>
      </c>
      <c r="AV1140" s="166">
        <v>0</v>
      </c>
      <c r="AW1140" s="166">
        <v>0</v>
      </c>
      <c r="AX1140" s="166">
        <v>-1</v>
      </c>
      <c r="AY1140" s="166">
        <v>-1</v>
      </c>
      <c r="AZ1140" s="166">
        <v>0</v>
      </c>
      <c r="BA1140" s="166">
        <v>0</v>
      </c>
      <c r="BB1140" s="166">
        <v>0</v>
      </c>
      <c r="BC1140" s="166">
        <v>0</v>
      </c>
      <c r="BD1140" s="166">
        <v>0</v>
      </c>
      <c r="BE1140" s="166">
        <v>0</v>
      </c>
      <c r="BF1140" s="166">
        <v>0</v>
      </c>
      <c r="BG1140" s="166">
        <v>0</v>
      </c>
      <c r="BH1140" s="166">
        <v>1</v>
      </c>
      <c r="BI1140" s="166">
        <v>0</v>
      </c>
      <c r="BJ1140" s="166">
        <v>0</v>
      </c>
      <c r="BK1140" s="166">
        <v>0</v>
      </c>
      <c r="BL1140" s="166">
        <v>0</v>
      </c>
      <c r="BM1140" s="166">
        <v>0</v>
      </c>
      <c r="BN1140" s="166">
        <v>0</v>
      </c>
      <c r="BO1140" s="166">
        <v>0</v>
      </c>
      <c r="BP1140" s="166">
        <v>0</v>
      </c>
      <c r="BQ1140" s="81" t="s">
        <v>1757</v>
      </c>
      <c r="BZ1140" s="81" t="s">
        <v>155</v>
      </c>
      <c r="CA1140" s="81" t="s">
        <v>1937</v>
      </c>
      <c r="CC1140" s="167">
        <v>0</v>
      </c>
      <c r="CD1140" s="167">
        <f>$N1140/4</f>
        <v>-0.25</v>
      </c>
      <c r="CE1140" s="167">
        <f>$N1140/4</f>
        <v>-0.25</v>
      </c>
      <c r="CF1140" s="167">
        <f>$N1140/4</f>
        <v>-0.25</v>
      </c>
      <c r="CG1140" s="167">
        <f>$N1140/4</f>
        <v>-0.25</v>
      </c>
      <c r="CH1140" s="167">
        <v>0</v>
      </c>
      <c r="CI1140" s="167">
        <v>0</v>
      </c>
      <c r="CJ1140" s="167">
        <v>0</v>
      </c>
      <c r="CK1140" s="167">
        <v>0</v>
      </c>
      <c r="CL1140" s="167">
        <v>0</v>
      </c>
      <c r="CM1140" s="167">
        <v>0</v>
      </c>
      <c r="CN1140" s="167">
        <v>0</v>
      </c>
      <c r="CO1140" s="167">
        <v>0</v>
      </c>
      <c r="CP1140" s="167">
        <v>0</v>
      </c>
      <c r="CQ1140" s="167">
        <v>0</v>
      </c>
      <c r="CR1140" s="167">
        <v>0</v>
      </c>
      <c r="CS1140" s="167">
        <v>0</v>
      </c>
      <c r="CT1140" s="167">
        <v>0</v>
      </c>
      <c r="CU1140" s="167">
        <v>0</v>
      </c>
      <c r="CV1140" s="167">
        <v>0</v>
      </c>
      <c r="CW1140" s="167">
        <v>0</v>
      </c>
      <c r="CX1140" s="167">
        <f>SUM(CD1140:CH1140)</f>
        <v>-1</v>
      </c>
      <c r="CY1140" s="167">
        <f>SUM(CD1140:CM1140)</f>
        <v>-1</v>
      </c>
    </row>
    <row r="1141" spans="1:103" ht="12.75" customHeight="1" x14ac:dyDescent="0.2">
      <c r="A1141" s="81">
        <v>6775</v>
      </c>
      <c r="B1141" s="165" t="s">
        <v>1930</v>
      </c>
      <c r="C1141" s="165" t="s">
        <v>2961</v>
      </c>
      <c r="E1141" s="165" t="s">
        <v>2962</v>
      </c>
      <c r="G1141" s="81">
        <v>528543</v>
      </c>
      <c r="H1141" s="81">
        <v>175748</v>
      </c>
      <c r="I1141" s="165" t="s">
        <v>256</v>
      </c>
      <c r="L1141" s="166">
        <v>3</v>
      </c>
      <c r="M1141" s="166">
        <v>2</v>
      </c>
      <c r="N1141" s="166">
        <v>-1</v>
      </c>
      <c r="O1141" s="166">
        <v>3</v>
      </c>
      <c r="P1141" s="166">
        <v>0</v>
      </c>
      <c r="R1141" s="165" t="s">
        <v>2963</v>
      </c>
      <c r="S1141" s="81" t="s">
        <v>113</v>
      </c>
      <c r="T1141" s="349">
        <v>43089</v>
      </c>
      <c r="U1141" s="349">
        <v>43145</v>
      </c>
      <c r="V1141" s="81" t="s">
        <v>155</v>
      </c>
      <c r="W1141" s="81" t="s">
        <v>114</v>
      </c>
      <c r="Y1141" s="81" t="s">
        <v>115</v>
      </c>
      <c r="Z1141" s="81" t="s">
        <v>398</v>
      </c>
      <c r="AA1141" s="81" t="s">
        <v>117</v>
      </c>
      <c r="AB1141" s="81" t="s">
        <v>298</v>
      </c>
      <c r="AC1141" s="166">
        <v>7.0000002160668399E-3</v>
      </c>
      <c r="AG1141" s="81" t="s">
        <v>238</v>
      </c>
      <c r="AH1141" s="81" t="s">
        <v>118</v>
      </c>
      <c r="AK1141" s="166">
        <v>0</v>
      </c>
      <c r="AM1141" s="166">
        <v>0</v>
      </c>
      <c r="AO1141" s="166">
        <v>0</v>
      </c>
      <c r="AP1141" s="166">
        <v>-2</v>
      </c>
      <c r="AQ1141" s="166">
        <v>2</v>
      </c>
      <c r="AR1141" s="166">
        <v>-1</v>
      </c>
      <c r="AS1141" s="166">
        <v>0</v>
      </c>
      <c r="AT1141" s="166">
        <v>0</v>
      </c>
      <c r="AU1141" s="166">
        <v>0</v>
      </c>
      <c r="AV1141" s="166">
        <v>0</v>
      </c>
      <c r="AW1141" s="166">
        <v>-2</v>
      </c>
      <c r="AX1141" s="166">
        <v>2</v>
      </c>
      <c r="AY1141" s="166">
        <v>-1</v>
      </c>
      <c r="AZ1141" s="166">
        <v>0</v>
      </c>
      <c r="BA1141" s="166">
        <v>0</v>
      </c>
      <c r="BB1141" s="166">
        <v>0</v>
      </c>
      <c r="BC1141" s="166">
        <v>0</v>
      </c>
      <c r="BD1141" s="166">
        <v>0</v>
      </c>
      <c r="BE1141" s="166">
        <v>0</v>
      </c>
      <c r="BF1141" s="166">
        <v>0</v>
      </c>
      <c r="BG1141" s="166">
        <v>0</v>
      </c>
      <c r="BH1141" s="166">
        <v>0</v>
      </c>
      <c r="BI1141" s="166">
        <v>0</v>
      </c>
      <c r="BJ1141" s="166">
        <v>0</v>
      </c>
      <c r="BK1141" s="166">
        <v>0</v>
      </c>
      <c r="BL1141" s="166">
        <v>0</v>
      </c>
      <c r="BM1141" s="166">
        <v>0</v>
      </c>
      <c r="BN1141" s="166">
        <v>0</v>
      </c>
      <c r="BO1141" s="166">
        <v>0</v>
      </c>
      <c r="BP1141" s="166">
        <v>0</v>
      </c>
      <c r="BQ1141" s="81" t="s">
        <v>1757</v>
      </c>
      <c r="BZ1141" s="81" t="s">
        <v>155</v>
      </c>
      <c r="CA1141" s="81" t="s">
        <v>1937</v>
      </c>
      <c r="CC1141" s="167">
        <v>0</v>
      </c>
      <c r="CD1141" s="167">
        <f>$N1141/4</f>
        <v>-0.25</v>
      </c>
      <c r="CE1141" s="167">
        <f>$N1141/4</f>
        <v>-0.25</v>
      </c>
      <c r="CF1141" s="167">
        <f>$N1141/4</f>
        <v>-0.25</v>
      </c>
      <c r="CG1141" s="167">
        <f>$N1141/4</f>
        <v>-0.25</v>
      </c>
      <c r="CH1141" s="167">
        <v>0</v>
      </c>
      <c r="CI1141" s="167">
        <v>0</v>
      </c>
      <c r="CJ1141" s="167">
        <v>0</v>
      </c>
      <c r="CK1141" s="167">
        <v>0</v>
      </c>
      <c r="CL1141" s="167">
        <v>0</v>
      </c>
      <c r="CM1141" s="167">
        <v>0</v>
      </c>
      <c r="CN1141" s="167">
        <v>0</v>
      </c>
      <c r="CO1141" s="167">
        <v>0</v>
      </c>
      <c r="CP1141" s="167">
        <v>0</v>
      </c>
      <c r="CQ1141" s="167">
        <v>0</v>
      </c>
      <c r="CR1141" s="167">
        <v>0</v>
      </c>
      <c r="CS1141" s="167">
        <v>0</v>
      </c>
      <c r="CT1141" s="167">
        <v>0</v>
      </c>
      <c r="CU1141" s="167">
        <v>0</v>
      </c>
      <c r="CV1141" s="167">
        <v>0</v>
      </c>
      <c r="CW1141" s="167">
        <v>0</v>
      </c>
      <c r="CX1141" s="167">
        <f>SUM(CD1141:CH1141)</f>
        <v>-1</v>
      </c>
      <c r="CY1141" s="167">
        <f>SUM(CD1141:CM1141)</f>
        <v>-1</v>
      </c>
    </row>
    <row r="1142" spans="1:103" ht="12.75" customHeight="1" x14ac:dyDescent="0.2">
      <c r="A1142" s="81">
        <v>6775</v>
      </c>
      <c r="B1142" s="165" t="s">
        <v>1930</v>
      </c>
      <c r="C1142" s="165" t="s">
        <v>2961</v>
      </c>
      <c r="E1142" s="165" t="s">
        <v>2962</v>
      </c>
      <c r="G1142" s="81">
        <v>528543</v>
      </c>
      <c r="H1142" s="81">
        <v>175748</v>
      </c>
      <c r="I1142" s="165" t="s">
        <v>256</v>
      </c>
      <c r="L1142" s="166">
        <v>0</v>
      </c>
      <c r="M1142" s="166">
        <v>1</v>
      </c>
      <c r="N1142" s="166">
        <v>1</v>
      </c>
      <c r="O1142" s="166">
        <v>3</v>
      </c>
      <c r="P1142" s="166">
        <v>0</v>
      </c>
      <c r="R1142" s="165" t="s">
        <v>2963</v>
      </c>
      <c r="S1142" s="81" t="s">
        <v>113</v>
      </c>
      <c r="T1142" s="349">
        <v>43089</v>
      </c>
      <c r="U1142" s="349">
        <v>43145</v>
      </c>
      <c r="V1142" s="81" t="s">
        <v>155</v>
      </c>
      <c r="W1142" s="81" t="s">
        <v>114</v>
      </c>
      <c r="Y1142" s="81" t="s">
        <v>115</v>
      </c>
      <c r="Z1142" s="81" t="s">
        <v>398</v>
      </c>
      <c r="AA1142" s="81" t="s">
        <v>117</v>
      </c>
      <c r="AB1142" s="81" t="s">
        <v>218</v>
      </c>
      <c r="AC1142" s="166">
        <v>3.0000000260770299E-3</v>
      </c>
      <c r="AG1142" s="81" t="s">
        <v>238</v>
      </c>
      <c r="AH1142" s="81" t="s">
        <v>118</v>
      </c>
      <c r="AK1142" s="166">
        <v>0</v>
      </c>
      <c r="AM1142" s="166">
        <v>0</v>
      </c>
      <c r="AO1142" s="166">
        <v>0</v>
      </c>
      <c r="AP1142" s="166">
        <v>1</v>
      </c>
      <c r="AQ1142" s="166">
        <v>0</v>
      </c>
      <c r="AR1142" s="166">
        <v>0</v>
      </c>
      <c r="AS1142" s="166">
        <v>0</v>
      </c>
      <c r="AT1142" s="166">
        <v>0</v>
      </c>
      <c r="AU1142" s="166">
        <v>0</v>
      </c>
      <c r="AV1142" s="166">
        <v>0</v>
      </c>
      <c r="AW1142" s="166">
        <v>1</v>
      </c>
      <c r="AX1142" s="166">
        <v>0</v>
      </c>
      <c r="AY1142" s="166">
        <v>0</v>
      </c>
      <c r="AZ1142" s="166">
        <v>0</v>
      </c>
      <c r="BA1142" s="166">
        <v>0</v>
      </c>
      <c r="BB1142" s="166">
        <v>0</v>
      </c>
      <c r="BC1142" s="166">
        <v>0</v>
      </c>
      <c r="BD1142" s="166">
        <v>0</v>
      </c>
      <c r="BE1142" s="166">
        <v>0</v>
      </c>
      <c r="BF1142" s="166">
        <v>0</v>
      </c>
      <c r="BG1142" s="166">
        <v>0</v>
      </c>
      <c r="BH1142" s="166">
        <v>0</v>
      </c>
      <c r="BI1142" s="166">
        <v>0</v>
      </c>
      <c r="BJ1142" s="166">
        <v>0</v>
      </c>
      <c r="BK1142" s="166">
        <v>0</v>
      </c>
      <c r="BL1142" s="166">
        <v>0</v>
      </c>
      <c r="BM1142" s="166">
        <v>0</v>
      </c>
      <c r="BN1142" s="166">
        <v>0</v>
      </c>
      <c r="BO1142" s="166">
        <v>0</v>
      </c>
      <c r="BP1142" s="166">
        <v>0</v>
      </c>
      <c r="BQ1142" s="81" t="s">
        <v>1757</v>
      </c>
      <c r="BZ1142" s="81" t="s">
        <v>155</v>
      </c>
      <c r="CA1142" s="81" t="s">
        <v>1937</v>
      </c>
      <c r="CC1142" s="167">
        <v>0</v>
      </c>
      <c r="CD1142" s="167">
        <f>$N1142/4</f>
        <v>0.25</v>
      </c>
      <c r="CE1142" s="167">
        <f>$N1142/4</f>
        <v>0.25</v>
      </c>
      <c r="CF1142" s="167">
        <f>$N1142/4</f>
        <v>0.25</v>
      </c>
      <c r="CG1142" s="167">
        <f>$N1142/4</f>
        <v>0.25</v>
      </c>
      <c r="CH1142" s="167">
        <v>0</v>
      </c>
      <c r="CI1142" s="167">
        <v>0</v>
      </c>
      <c r="CJ1142" s="167">
        <v>0</v>
      </c>
      <c r="CK1142" s="167">
        <v>0</v>
      </c>
      <c r="CL1142" s="167">
        <v>0</v>
      </c>
      <c r="CM1142" s="167">
        <v>0</v>
      </c>
      <c r="CN1142" s="167">
        <v>0</v>
      </c>
      <c r="CO1142" s="167">
        <v>0</v>
      </c>
      <c r="CP1142" s="167">
        <v>0</v>
      </c>
      <c r="CQ1142" s="167">
        <v>0</v>
      </c>
      <c r="CR1142" s="167">
        <v>0</v>
      </c>
      <c r="CS1142" s="167">
        <v>0</v>
      </c>
      <c r="CT1142" s="167">
        <v>0</v>
      </c>
      <c r="CU1142" s="167">
        <v>0</v>
      </c>
      <c r="CV1142" s="167">
        <v>0</v>
      </c>
      <c r="CW1142" s="167">
        <v>0</v>
      </c>
      <c r="CX1142" s="167">
        <f>SUM(CD1142:CH1142)</f>
        <v>1</v>
      </c>
      <c r="CY1142" s="167">
        <f>SUM(CD1142:CM1142)</f>
        <v>1</v>
      </c>
    </row>
    <row r="1143" spans="1:103" ht="12.75" customHeight="1" x14ac:dyDescent="0.2">
      <c r="A1143" s="81">
        <v>6781</v>
      </c>
      <c r="B1143" s="165" t="s">
        <v>1930</v>
      </c>
      <c r="C1143" s="165" t="s">
        <v>2979</v>
      </c>
      <c r="E1143" s="165" t="s">
        <v>2980</v>
      </c>
      <c r="G1143" s="81">
        <v>527446</v>
      </c>
      <c r="H1143" s="81">
        <v>171022</v>
      </c>
      <c r="I1143" s="165" t="s">
        <v>253</v>
      </c>
      <c r="L1143" s="166">
        <v>0</v>
      </c>
      <c r="M1143" s="166">
        <v>1</v>
      </c>
      <c r="N1143" s="166">
        <v>1</v>
      </c>
      <c r="O1143" s="166">
        <v>1</v>
      </c>
      <c r="P1143" s="166">
        <v>1</v>
      </c>
      <c r="R1143" s="165" t="s">
        <v>2981</v>
      </c>
      <c r="S1143" s="81" t="s">
        <v>113</v>
      </c>
      <c r="T1143" s="349">
        <v>43108</v>
      </c>
      <c r="U1143" s="349">
        <v>43164</v>
      </c>
      <c r="V1143" s="81" t="s">
        <v>155</v>
      </c>
      <c r="W1143" s="81" t="s">
        <v>114</v>
      </c>
      <c r="Y1143" s="81" t="s">
        <v>115</v>
      </c>
      <c r="Z1143" s="81" t="s">
        <v>219</v>
      </c>
      <c r="AA1143" s="81" t="s">
        <v>117</v>
      </c>
      <c r="AB1143" s="81" t="s">
        <v>3889</v>
      </c>
      <c r="AC1143" s="166">
        <v>4.9999998882412902E-3</v>
      </c>
      <c r="AG1143" s="81" t="s">
        <v>238</v>
      </c>
      <c r="AH1143" s="81" t="s">
        <v>118</v>
      </c>
      <c r="AK1143" s="166">
        <v>0</v>
      </c>
      <c r="AM1143" s="166">
        <v>0</v>
      </c>
      <c r="AO1143" s="166">
        <v>0</v>
      </c>
      <c r="AP1143" s="166">
        <v>1</v>
      </c>
      <c r="AQ1143" s="166">
        <v>0</v>
      </c>
      <c r="AR1143" s="166">
        <v>0</v>
      </c>
      <c r="AS1143" s="166">
        <v>0</v>
      </c>
      <c r="AT1143" s="166">
        <v>0</v>
      </c>
      <c r="AU1143" s="166">
        <v>0</v>
      </c>
      <c r="AV1143" s="166">
        <v>0</v>
      </c>
      <c r="AW1143" s="166">
        <v>1</v>
      </c>
      <c r="AX1143" s="166">
        <v>0</v>
      </c>
      <c r="AY1143" s="166">
        <v>0</v>
      </c>
      <c r="AZ1143" s="166">
        <v>0</v>
      </c>
      <c r="BA1143" s="166">
        <v>0</v>
      </c>
      <c r="BB1143" s="166">
        <v>0</v>
      </c>
      <c r="BC1143" s="166">
        <v>0</v>
      </c>
      <c r="BD1143" s="166">
        <v>0</v>
      </c>
      <c r="BE1143" s="166">
        <v>0</v>
      </c>
      <c r="BF1143" s="166">
        <v>0</v>
      </c>
      <c r="BG1143" s="166">
        <v>0</v>
      </c>
      <c r="BH1143" s="166">
        <v>0</v>
      </c>
      <c r="BI1143" s="166">
        <v>0</v>
      </c>
      <c r="BJ1143" s="166">
        <v>0</v>
      </c>
      <c r="BK1143" s="166">
        <v>0</v>
      </c>
      <c r="BL1143" s="166">
        <v>0</v>
      </c>
      <c r="BM1143" s="166">
        <v>0</v>
      </c>
      <c r="BN1143" s="166">
        <v>0</v>
      </c>
      <c r="BO1143" s="166">
        <v>0</v>
      </c>
      <c r="BP1143" s="166">
        <v>0</v>
      </c>
      <c r="BQ1143" s="81" t="s">
        <v>1757</v>
      </c>
      <c r="BZ1143" s="81" t="s">
        <v>155</v>
      </c>
      <c r="CA1143" s="81" t="s">
        <v>1937</v>
      </c>
      <c r="CC1143" s="167">
        <v>0</v>
      </c>
      <c r="CD1143" s="167">
        <f>$N1143/4</f>
        <v>0.25</v>
      </c>
      <c r="CE1143" s="167">
        <f>$N1143/4</f>
        <v>0.25</v>
      </c>
      <c r="CF1143" s="167">
        <f>$N1143/4</f>
        <v>0.25</v>
      </c>
      <c r="CG1143" s="167">
        <f>$N1143/4</f>
        <v>0.25</v>
      </c>
      <c r="CH1143" s="167">
        <v>0</v>
      </c>
      <c r="CI1143" s="167">
        <v>0</v>
      </c>
      <c r="CJ1143" s="167">
        <v>0</v>
      </c>
      <c r="CK1143" s="167">
        <v>0</v>
      </c>
      <c r="CL1143" s="167">
        <v>0</v>
      </c>
      <c r="CM1143" s="167">
        <v>0</v>
      </c>
      <c r="CN1143" s="167">
        <v>0</v>
      </c>
      <c r="CO1143" s="167">
        <v>0</v>
      </c>
      <c r="CP1143" s="167">
        <v>0</v>
      </c>
      <c r="CQ1143" s="167">
        <v>0</v>
      </c>
      <c r="CR1143" s="167">
        <v>0</v>
      </c>
      <c r="CS1143" s="167">
        <v>0</v>
      </c>
      <c r="CT1143" s="167">
        <v>0</v>
      </c>
      <c r="CU1143" s="167">
        <v>0</v>
      </c>
      <c r="CV1143" s="167">
        <v>0</v>
      </c>
      <c r="CW1143" s="167">
        <v>0</v>
      </c>
      <c r="CX1143" s="167">
        <f>SUM(CD1143:CH1143)</f>
        <v>1</v>
      </c>
      <c r="CY1143" s="167">
        <f>SUM(CD1143:CM1143)</f>
        <v>1</v>
      </c>
    </row>
    <row r="1144" spans="1:103" ht="12.75" customHeight="1" x14ac:dyDescent="0.2">
      <c r="A1144" s="81">
        <v>6783</v>
      </c>
      <c r="B1144" s="165" t="s">
        <v>1930</v>
      </c>
      <c r="C1144" s="165" t="s">
        <v>2967</v>
      </c>
      <c r="E1144" s="165" t="s">
        <v>2968</v>
      </c>
      <c r="G1144" s="81">
        <v>527377</v>
      </c>
      <c r="H1144" s="81">
        <v>175261</v>
      </c>
      <c r="I1144" s="165" t="s">
        <v>255</v>
      </c>
      <c r="L1144" s="166">
        <v>0</v>
      </c>
      <c r="M1144" s="166">
        <v>3</v>
      </c>
      <c r="N1144" s="166">
        <v>3</v>
      </c>
      <c r="O1144" s="166">
        <v>3</v>
      </c>
      <c r="P1144" s="166">
        <v>3</v>
      </c>
      <c r="R1144" s="165" t="s">
        <v>2969</v>
      </c>
      <c r="S1144" s="81" t="s">
        <v>113</v>
      </c>
      <c r="T1144" s="349">
        <v>43105</v>
      </c>
      <c r="U1144" s="349">
        <v>43188</v>
      </c>
      <c r="V1144" s="81" t="s">
        <v>155</v>
      </c>
      <c r="W1144" s="81" t="s">
        <v>114</v>
      </c>
      <c r="Y1144" s="81" t="s">
        <v>115</v>
      </c>
      <c r="Z1144" s="81" t="s">
        <v>398</v>
      </c>
      <c r="AA1144" s="81" t="s">
        <v>117</v>
      </c>
      <c r="AB1144" s="81" t="s">
        <v>102</v>
      </c>
      <c r="AC1144" s="166">
        <v>4.0000001899898104E-3</v>
      </c>
      <c r="AG1144" s="81" t="s">
        <v>238</v>
      </c>
      <c r="AH1144" s="81" t="s">
        <v>118</v>
      </c>
      <c r="AK1144" s="166">
        <v>0</v>
      </c>
      <c r="AM1144" s="166">
        <v>0</v>
      </c>
      <c r="AO1144" s="166">
        <v>0</v>
      </c>
      <c r="AP1144" s="166">
        <v>2</v>
      </c>
      <c r="AQ1144" s="166">
        <v>1</v>
      </c>
      <c r="AR1144" s="166">
        <v>0</v>
      </c>
      <c r="AS1144" s="166">
        <v>0</v>
      </c>
      <c r="AT1144" s="166">
        <v>0</v>
      </c>
      <c r="AU1144" s="166">
        <v>0</v>
      </c>
      <c r="AV1144" s="166">
        <v>0</v>
      </c>
      <c r="AW1144" s="166">
        <v>2</v>
      </c>
      <c r="AX1144" s="166">
        <v>1</v>
      </c>
      <c r="AY1144" s="166">
        <v>0</v>
      </c>
      <c r="AZ1144" s="166">
        <v>0</v>
      </c>
      <c r="BA1144" s="166">
        <v>0</v>
      </c>
      <c r="BB1144" s="166">
        <v>0</v>
      </c>
      <c r="BC1144" s="166">
        <v>0</v>
      </c>
      <c r="BD1144" s="166">
        <v>0</v>
      </c>
      <c r="BE1144" s="166">
        <v>0</v>
      </c>
      <c r="BF1144" s="166">
        <v>0</v>
      </c>
      <c r="BG1144" s="166">
        <v>0</v>
      </c>
      <c r="BH1144" s="166">
        <v>0</v>
      </c>
      <c r="BI1144" s="166">
        <v>0</v>
      </c>
      <c r="BJ1144" s="166">
        <v>0</v>
      </c>
      <c r="BK1144" s="166">
        <v>0</v>
      </c>
      <c r="BL1144" s="166">
        <v>0</v>
      </c>
      <c r="BM1144" s="166">
        <v>0</v>
      </c>
      <c r="BN1144" s="166">
        <v>0</v>
      </c>
      <c r="BO1144" s="166">
        <v>0</v>
      </c>
      <c r="BP1144" s="166">
        <v>0</v>
      </c>
      <c r="BQ1144" s="81" t="s">
        <v>1757</v>
      </c>
      <c r="BR1144" s="81" t="s">
        <v>160</v>
      </c>
      <c r="BZ1144" s="81" t="s">
        <v>155</v>
      </c>
      <c r="CA1144" s="81" t="s">
        <v>1937</v>
      </c>
      <c r="CC1144" s="167">
        <v>0</v>
      </c>
      <c r="CD1144" s="167">
        <f>$N1144/4</f>
        <v>0.75</v>
      </c>
      <c r="CE1144" s="167">
        <f>$N1144/4</f>
        <v>0.75</v>
      </c>
      <c r="CF1144" s="167">
        <f>$N1144/4</f>
        <v>0.75</v>
      </c>
      <c r="CG1144" s="167">
        <f>$N1144/4</f>
        <v>0.75</v>
      </c>
      <c r="CH1144" s="167">
        <v>0</v>
      </c>
      <c r="CI1144" s="167">
        <v>0</v>
      </c>
      <c r="CJ1144" s="167">
        <v>0</v>
      </c>
      <c r="CK1144" s="167">
        <v>0</v>
      </c>
      <c r="CL1144" s="167">
        <v>0</v>
      </c>
      <c r="CM1144" s="167">
        <v>0</v>
      </c>
      <c r="CN1144" s="167">
        <v>0</v>
      </c>
      <c r="CO1144" s="167">
        <v>0</v>
      </c>
      <c r="CP1144" s="167">
        <v>0</v>
      </c>
      <c r="CQ1144" s="167">
        <v>0</v>
      </c>
      <c r="CR1144" s="167">
        <v>0</v>
      </c>
      <c r="CS1144" s="167">
        <v>0</v>
      </c>
      <c r="CT1144" s="167">
        <v>0</v>
      </c>
      <c r="CU1144" s="167">
        <v>0</v>
      </c>
      <c r="CV1144" s="167">
        <v>0</v>
      </c>
      <c r="CW1144" s="167">
        <v>0</v>
      </c>
      <c r="CX1144" s="167">
        <f>SUM(CD1144:CH1144)</f>
        <v>3</v>
      </c>
      <c r="CY1144" s="167">
        <f>SUM(CD1144:CM1144)</f>
        <v>3</v>
      </c>
    </row>
    <row r="1145" spans="1:103" ht="12.75" customHeight="1" x14ac:dyDescent="0.2">
      <c r="A1145" s="81">
        <v>6788</v>
      </c>
      <c r="B1145" s="165" t="s">
        <v>1930</v>
      </c>
      <c r="C1145" s="165" t="s">
        <v>2970</v>
      </c>
      <c r="E1145" s="165" t="s">
        <v>2971</v>
      </c>
      <c r="G1145" s="81">
        <v>527519</v>
      </c>
      <c r="H1145" s="81">
        <v>171164</v>
      </c>
      <c r="I1145" s="165" t="s">
        <v>253</v>
      </c>
      <c r="L1145" s="166">
        <v>0</v>
      </c>
      <c r="M1145" s="166">
        <v>1</v>
      </c>
      <c r="N1145" s="166">
        <v>1</v>
      </c>
      <c r="O1145" s="166">
        <v>1</v>
      </c>
      <c r="P1145" s="166">
        <v>1</v>
      </c>
      <c r="R1145" s="165" t="s">
        <v>2972</v>
      </c>
      <c r="S1145" s="81" t="s">
        <v>113</v>
      </c>
      <c r="T1145" s="349">
        <v>43112</v>
      </c>
      <c r="U1145" s="349">
        <v>43166</v>
      </c>
      <c r="V1145" s="81" t="s">
        <v>155</v>
      </c>
      <c r="W1145" s="81" t="s">
        <v>114</v>
      </c>
      <c r="Y1145" s="81" t="s">
        <v>115</v>
      </c>
      <c r="Z1145" s="81" t="s">
        <v>398</v>
      </c>
      <c r="AA1145" s="81" t="s">
        <v>117</v>
      </c>
      <c r="AB1145" s="81" t="s">
        <v>218</v>
      </c>
      <c r="AC1145" s="166">
        <v>6.0000000521540598E-3</v>
      </c>
      <c r="AG1145" s="81" t="s">
        <v>238</v>
      </c>
      <c r="AH1145" s="81" t="s">
        <v>118</v>
      </c>
      <c r="AK1145" s="166">
        <v>0</v>
      </c>
      <c r="AM1145" s="166">
        <v>0</v>
      </c>
      <c r="AO1145" s="166">
        <v>0</v>
      </c>
      <c r="AP1145" s="166">
        <v>1</v>
      </c>
      <c r="AQ1145" s="166">
        <v>0</v>
      </c>
      <c r="AR1145" s="166">
        <v>0</v>
      </c>
      <c r="AS1145" s="166">
        <v>0</v>
      </c>
      <c r="AT1145" s="166">
        <v>0</v>
      </c>
      <c r="AU1145" s="166">
        <v>0</v>
      </c>
      <c r="AV1145" s="166">
        <v>0</v>
      </c>
      <c r="AW1145" s="166">
        <v>1</v>
      </c>
      <c r="AX1145" s="166">
        <v>0</v>
      </c>
      <c r="AY1145" s="166">
        <v>0</v>
      </c>
      <c r="AZ1145" s="166">
        <v>0</v>
      </c>
      <c r="BA1145" s="166">
        <v>0</v>
      </c>
      <c r="BB1145" s="166">
        <v>0</v>
      </c>
      <c r="BC1145" s="166">
        <v>0</v>
      </c>
      <c r="BD1145" s="166">
        <v>0</v>
      </c>
      <c r="BE1145" s="166">
        <v>0</v>
      </c>
      <c r="BF1145" s="166">
        <v>0</v>
      </c>
      <c r="BG1145" s="166">
        <v>0</v>
      </c>
      <c r="BH1145" s="166">
        <v>0</v>
      </c>
      <c r="BI1145" s="166">
        <v>0</v>
      </c>
      <c r="BJ1145" s="166">
        <v>0</v>
      </c>
      <c r="BK1145" s="166">
        <v>0</v>
      </c>
      <c r="BL1145" s="166">
        <v>0</v>
      </c>
      <c r="BM1145" s="166">
        <v>0</v>
      </c>
      <c r="BN1145" s="166">
        <v>0</v>
      </c>
      <c r="BO1145" s="166">
        <v>0</v>
      </c>
      <c r="BP1145" s="166">
        <v>0</v>
      </c>
      <c r="BQ1145" s="81" t="s">
        <v>1757</v>
      </c>
      <c r="BZ1145" s="81" t="s">
        <v>155</v>
      </c>
      <c r="CA1145" s="81" t="s">
        <v>1937</v>
      </c>
      <c r="CC1145" s="167">
        <v>0</v>
      </c>
      <c r="CD1145" s="167">
        <f>$N1145/4</f>
        <v>0.25</v>
      </c>
      <c r="CE1145" s="167">
        <f>$N1145/4</f>
        <v>0.25</v>
      </c>
      <c r="CF1145" s="167">
        <f>$N1145/4</f>
        <v>0.25</v>
      </c>
      <c r="CG1145" s="167">
        <f>$N1145/4</f>
        <v>0.25</v>
      </c>
      <c r="CH1145" s="167">
        <v>0</v>
      </c>
      <c r="CI1145" s="167">
        <v>0</v>
      </c>
      <c r="CJ1145" s="167">
        <v>0</v>
      </c>
      <c r="CK1145" s="167">
        <v>0</v>
      </c>
      <c r="CL1145" s="167">
        <v>0</v>
      </c>
      <c r="CM1145" s="167">
        <v>0</v>
      </c>
      <c r="CN1145" s="167">
        <v>0</v>
      </c>
      <c r="CO1145" s="167">
        <v>0</v>
      </c>
      <c r="CP1145" s="167">
        <v>0</v>
      </c>
      <c r="CQ1145" s="167">
        <v>0</v>
      </c>
      <c r="CR1145" s="167">
        <v>0</v>
      </c>
      <c r="CS1145" s="167">
        <v>0</v>
      </c>
      <c r="CT1145" s="167">
        <v>0</v>
      </c>
      <c r="CU1145" s="167">
        <v>0</v>
      </c>
      <c r="CV1145" s="167">
        <v>0</v>
      </c>
      <c r="CW1145" s="167">
        <v>0</v>
      </c>
      <c r="CX1145" s="167">
        <f>SUM(CD1145:CH1145)</f>
        <v>1</v>
      </c>
      <c r="CY1145" s="167">
        <f>SUM(CD1145:CM1145)</f>
        <v>1</v>
      </c>
    </row>
    <row r="1146" spans="1:103" ht="12.75" customHeight="1" x14ac:dyDescent="0.2">
      <c r="A1146" s="81">
        <v>6797</v>
      </c>
      <c r="B1146" s="165" t="s">
        <v>1930</v>
      </c>
      <c r="C1146" s="165" t="s">
        <v>3441</v>
      </c>
      <c r="E1146" s="165" t="s">
        <v>3442</v>
      </c>
      <c r="G1146" s="81">
        <v>527076</v>
      </c>
      <c r="H1146" s="81">
        <v>173817</v>
      </c>
      <c r="I1146" s="165" t="s">
        <v>260</v>
      </c>
      <c r="L1146" s="166">
        <v>0</v>
      </c>
      <c r="M1146" s="166">
        <v>1</v>
      </c>
      <c r="N1146" s="166">
        <v>1</v>
      </c>
      <c r="O1146" s="166">
        <v>1</v>
      </c>
      <c r="P1146" s="166">
        <v>1</v>
      </c>
      <c r="R1146" s="165" t="s">
        <v>3443</v>
      </c>
      <c r="S1146" s="81" t="s">
        <v>113</v>
      </c>
      <c r="T1146" s="349">
        <v>43119</v>
      </c>
      <c r="U1146" s="349">
        <v>43172</v>
      </c>
      <c r="V1146" s="81" t="s">
        <v>155</v>
      </c>
      <c r="W1146" s="81" t="s">
        <v>114</v>
      </c>
      <c r="Y1146" s="81" t="s">
        <v>115</v>
      </c>
      <c r="Z1146" s="81" t="s">
        <v>310</v>
      </c>
      <c r="AA1146" s="81" t="s">
        <v>117</v>
      </c>
      <c r="AB1146" s="81" t="s">
        <v>311</v>
      </c>
      <c r="AC1146" s="166">
        <v>7.0000002160668399E-3</v>
      </c>
      <c r="AG1146" s="81" t="s">
        <v>238</v>
      </c>
      <c r="AH1146" s="81" t="s">
        <v>118</v>
      </c>
      <c r="AK1146" s="166">
        <v>0</v>
      </c>
      <c r="AM1146" s="166">
        <v>0</v>
      </c>
      <c r="AO1146" s="166">
        <v>0</v>
      </c>
      <c r="AP1146" s="166">
        <v>1</v>
      </c>
      <c r="AQ1146" s="166">
        <v>0</v>
      </c>
      <c r="AR1146" s="166">
        <v>0</v>
      </c>
      <c r="AS1146" s="166">
        <v>0</v>
      </c>
      <c r="AT1146" s="166">
        <v>0</v>
      </c>
      <c r="AU1146" s="166">
        <v>0</v>
      </c>
      <c r="AV1146" s="166">
        <v>0</v>
      </c>
      <c r="AW1146" s="166">
        <v>1</v>
      </c>
      <c r="AX1146" s="166">
        <v>0</v>
      </c>
      <c r="AY1146" s="166">
        <v>0</v>
      </c>
      <c r="AZ1146" s="166">
        <v>0</v>
      </c>
      <c r="BA1146" s="166">
        <v>0</v>
      </c>
      <c r="BB1146" s="166">
        <v>0</v>
      </c>
      <c r="BC1146" s="166">
        <v>0</v>
      </c>
      <c r="BD1146" s="166">
        <v>0</v>
      </c>
      <c r="BE1146" s="166">
        <v>0</v>
      </c>
      <c r="BF1146" s="166">
        <v>0</v>
      </c>
      <c r="BG1146" s="166">
        <v>0</v>
      </c>
      <c r="BH1146" s="166">
        <v>0</v>
      </c>
      <c r="BI1146" s="166">
        <v>0</v>
      </c>
      <c r="BJ1146" s="166">
        <v>0</v>
      </c>
      <c r="BK1146" s="166">
        <v>0</v>
      </c>
      <c r="BL1146" s="166">
        <v>0</v>
      </c>
      <c r="BM1146" s="166">
        <v>0</v>
      </c>
      <c r="BN1146" s="166">
        <v>0</v>
      </c>
      <c r="BO1146" s="166">
        <v>0</v>
      </c>
      <c r="BP1146" s="166">
        <v>0</v>
      </c>
      <c r="BQ1146" s="81" t="s">
        <v>1758</v>
      </c>
      <c r="BZ1146" s="81" t="s">
        <v>155</v>
      </c>
      <c r="CA1146" s="81" t="s">
        <v>1937</v>
      </c>
      <c r="CC1146" s="167">
        <v>0</v>
      </c>
      <c r="CD1146" s="167">
        <f>$N1146/4</f>
        <v>0.25</v>
      </c>
      <c r="CE1146" s="167">
        <f>$N1146/4</f>
        <v>0.25</v>
      </c>
      <c r="CF1146" s="167">
        <f>$N1146/4</f>
        <v>0.25</v>
      </c>
      <c r="CG1146" s="167">
        <f>$N1146/4</f>
        <v>0.25</v>
      </c>
      <c r="CH1146" s="167">
        <v>0</v>
      </c>
      <c r="CI1146" s="167">
        <v>0</v>
      </c>
      <c r="CJ1146" s="167">
        <v>0</v>
      </c>
      <c r="CK1146" s="167">
        <v>0</v>
      </c>
      <c r="CL1146" s="167">
        <v>0</v>
      </c>
      <c r="CM1146" s="167">
        <v>0</v>
      </c>
      <c r="CN1146" s="167">
        <v>0</v>
      </c>
      <c r="CO1146" s="167">
        <v>0</v>
      </c>
      <c r="CP1146" s="167">
        <v>0</v>
      </c>
      <c r="CQ1146" s="167">
        <v>0</v>
      </c>
      <c r="CR1146" s="167">
        <v>0</v>
      </c>
      <c r="CS1146" s="167">
        <v>0</v>
      </c>
      <c r="CT1146" s="167">
        <v>0</v>
      </c>
      <c r="CU1146" s="167">
        <v>0</v>
      </c>
      <c r="CV1146" s="167">
        <v>0</v>
      </c>
      <c r="CW1146" s="167">
        <v>0</v>
      </c>
      <c r="CX1146" s="167">
        <f>SUM(CD1146:CH1146)</f>
        <v>1</v>
      </c>
      <c r="CY1146" s="167">
        <f>SUM(CD1146:CM1146)</f>
        <v>1</v>
      </c>
    </row>
    <row r="1147" spans="1:103" ht="12.75" customHeight="1" x14ac:dyDescent="0.2">
      <c r="A1147" s="81">
        <v>6798</v>
      </c>
      <c r="B1147" s="165" t="s">
        <v>1930</v>
      </c>
      <c r="C1147" s="165" t="s">
        <v>2976</v>
      </c>
      <c r="E1147" s="165" t="s">
        <v>2977</v>
      </c>
      <c r="G1147" s="81">
        <v>527317</v>
      </c>
      <c r="H1147" s="81">
        <v>171519</v>
      </c>
      <c r="I1147" s="165" t="s">
        <v>242</v>
      </c>
      <c r="L1147" s="166">
        <v>0</v>
      </c>
      <c r="M1147" s="166">
        <v>1</v>
      </c>
      <c r="N1147" s="166">
        <v>1</v>
      </c>
      <c r="O1147" s="166">
        <v>1</v>
      </c>
      <c r="P1147" s="166">
        <v>1</v>
      </c>
      <c r="R1147" s="165" t="s">
        <v>2978</v>
      </c>
      <c r="S1147" s="81" t="s">
        <v>113</v>
      </c>
      <c r="T1147" s="349">
        <v>43038</v>
      </c>
      <c r="U1147" s="349">
        <v>43133</v>
      </c>
      <c r="V1147" s="81" t="s">
        <v>155</v>
      </c>
      <c r="W1147" s="81" t="s">
        <v>114</v>
      </c>
      <c r="Y1147" s="81" t="s">
        <v>115</v>
      </c>
      <c r="Z1147" s="81" t="s">
        <v>116</v>
      </c>
      <c r="AA1147" s="81" t="s">
        <v>117</v>
      </c>
      <c r="AB1147" s="81" t="s">
        <v>218</v>
      </c>
      <c r="AC1147" s="166">
        <v>3.0000000260770299E-3</v>
      </c>
      <c r="AG1147" s="81" t="s">
        <v>238</v>
      </c>
      <c r="AH1147" s="81" t="s">
        <v>118</v>
      </c>
      <c r="AK1147" s="166">
        <v>0</v>
      </c>
      <c r="AM1147" s="166">
        <v>0</v>
      </c>
      <c r="AO1147" s="166">
        <v>0</v>
      </c>
      <c r="AP1147" s="166">
        <v>0</v>
      </c>
      <c r="AQ1147" s="166">
        <v>1</v>
      </c>
      <c r="AR1147" s="166">
        <v>0</v>
      </c>
      <c r="AS1147" s="166">
        <v>0</v>
      </c>
      <c r="AT1147" s="166">
        <v>0</v>
      </c>
      <c r="AU1147" s="166">
        <v>0</v>
      </c>
      <c r="AV1147" s="166">
        <v>0</v>
      </c>
      <c r="AW1147" s="166">
        <v>0</v>
      </c>
      <c r="AX1147" s="166">
        <v>0</v>
      </c>
      <c r="AY1147" s="166">
        <v>0</v>
      </c>
      <c r="AZ1147" s="166">
        <v>0</v>
      </c>
      <c r="BA1147" s="166">
        <v>0</v>
      </c>
      <c r="BB1147" s="166">
        <v>0</v>
      </c>
      <c r="BC1147" s="166">
        <v>0</v>
      </c>
      <c r="BD1147" s="166">
        <v>0</v>
      </c>
      <c r="BE1147" s="166">
        <v>1</v>
      </c>
      <c r="BF1147" s="166">
        <v>0</v>
      </c>
      <c r="BG1147" s="166">
        <v>0</v>
      </c>
      <c r="BH1147" s="166">
        <v>0</v>
      </c>
      <c r="BI1147" s="166">
        <v>0</v>
      </c>
      <c r="BJ1147" s="166">
        <v>0</v>
      </c>
      <c r="BK1147" s="166">
        <v>0</v>
      </c>
      <c r="BL1147" s="166">
        <v>0</v>
      </c>
      <c r="BM1147" s="166">
        <v>0</v>
      </c>
      <c r="BN1147" s="166">
        <v>0</v>
      </c>
      <c r="BO1147" s="166">
        <v>0</v>
      </c>
      <c r="BP1147" s="166">
        <v>0</v>
      </c>
      <c r="BQ1147" s="81" t="s">
        <v>1757</v>
      </c>
      <c r="BZ1147" s="81" t="s">
        <v>155</v>
      </c>
      <c r="CA1147" s="81">
        <v>4</v>
      </c>
      <c r="CC1147" s="167">
        <v>0</v>
      </c>
      <c r="CD1147" s="167">
        <v>0</v>
      </c>
      <c r="CE1147" s="167">
        <f>$N1147/5</f>
        <v>0.2</v>
      </c>
      <c r="CF1147" s="167">
        <f>$N1147/5</f>
        <v>0.2</v>
      </c>
      <c r="CG1147" s="167">
        <f>$N1147/5</f>
        <v>0.2</v>
      </c>
      <c r="CH1147" s="167">
        <f>$N1147/5</f>
        <v>0.2</v>
      </c>
      <c r="CI1147" s="167">
        <f>$N1147/5</f>
        <v>0.2</v>
      </c>
      <c r="CJ1147" s="167">
        <v>0</v>
      </c>
      <c r="CK1147" s="167">
        <v>0</v>
      </c>
      <c r="CL1147" s="167">
        <v>0</v>
      </c>
      <c r="CM1147" s="167">
        <v>0</v>
      </c>
      <c r="CN1147" s="167">
        <v>0</v>
      </c>
      <c r="CO1147" s="167">
        <v>0</v>
      </c>
      <c r="CP1147" s="167">
        <v>0</v>
      </c>
      <c r="CQ1147" s="167">
        <v>0</v>
      </c>
      <c r="CR1147" s="167">
        <v>0</v>
      </c>
      <c r="CS1147" s="167">
        <v>0</v>
      </c>
      <c r="CT1147" s="167">
        <v>0</v>
      </c>
      <c r="CU1147" s="167">
        <v>0</v>
      </c>
      <c r="CV1147" s="167">
        <v>0</v>
      </c>
      <c r="CW1147" s="167">
        <v>0</v>
      </c>
      <c r="CX1147" s="167">
        <f>SUM(CD1147:CH1147)</f>
        <v>0.8</v>
      </c>
      <c r="CY1147" s="167">
        <f>SUM(CD1147:CM1147)</f>
        <v>1</v>
      </c>
    </row>
    <row r="1148" spans="1:103" ht="12.75" customHeight="1" x14ac:dyDescent="0.2">
      <c r="A1148" s="81">
        <v>6802</v>
      </c>
      <c r="B1148" s="165" t="s">
        <v>1930</v>
      </c>
      <c r="C1148" s="165" t="s">
        <v>3444</v>
      </c>
      <c r="E1148" s="165" t="s">
        <v>3445</v>
      </c>
      <c r="G1148" s="81">
        <v>527680</v>
      </c>
      <c r="H1148" s="81">
        <v>174924</v>
      </c>
      <c r="I1148" s="165" t="s">
        <v>255</v>
      </c>
      <c r="L1148" s="166">
        <v>0</v>
      </c>
      <c r="M1148" s="166">
        <v>1</v>
      </c>
      <c r="N1148" s="166">
        <v>1</v>
      </c>
      <c r="O1148" s="166">
        <v>1</v>
      </c>
      <c r="P1148" s="166">
        <v>1</v>
      </c>
      <c r="R1148" s="165" t="s">
        <v>3446</v>
      </c>
      <c r="S1148" s="81" t="s">
        <v>270</v>
      </c>
      <c r="T1148" s="349">
        <v>43133</v>
      </c>
      <c r="U1148" s="349">
        <v>43185</v>
      </c>
      <c r="V1148" s="81" t="s">
        <v>155</v>
      </c>
      <c r="W1148" s="81" t="s">
        <v>114</v>
      </c>
      <c r="Y1148" s="81" t="s">
        <v>115</v>
      </c>
      <c r="Z1148" s="81" t="s">
        <v>310</v>
      </c>
      <c r="AA1148" s="81" t="s">
        <v>117</v>
      </c>
      <c r="AB1148" s="81" t="s">
        <v>311</v>
      </c>
      <c r="AC1148" s="166">
        <v>2.0000000949949E-3</v>
      </c>
      <c r="AG1148" s="81" t="s">
        <v>238</v>
      </c>
      <c r="AH1148" s="81" t="s">
        <v>118</v>
      </c>
      <c r="AK1148" s="166">
        <v>0</v>
      </c>
      <c r="AM1148" s="166">
        <v>0</v>
      </c>
      <c r="AO1148" s="166">
        <v>1</v>
      </c>
      <c r="AP1148" s="166">
        <v>0</v>
      </c>
      <c r="AQ1148" s="166">
        <v>0</v>
      </c>
      <c r="AR1148" s="166">
        <v>0</v>
      </c>
      <c r="AS1148" s="166">
        <v>0</v>
      </c>
      <c r="AT1148" s="166">
        <v>0</v>
      </c>
      <c r="AU1148" s="166">
        <v>0</v>
      </c>
      <c r="AV1148" s="166">
        <v>1</v>
      </c>
      <c r="AW1148" s="166">
        <v>0</v>
      </c>
      <c r="AX1148" s="166">
        <v>0</v>
      </c>
      <c r="AY1148" s="166">
        <v>0</v>
      </c>
      <c r="AZ1148" s="166">
        <v>0</v>
      </c>
      <c r="BA1148" s="166">
        <v>0</v>
      </c>
      <c r="BB1148" s="166">
        <v>0</v>
      </c>
      <c r="BC1148" s="166">
        <v>0</v>
      </c>
      <c r="BD1148" s="166">
        <v>0</v>
      </c>
      <c r="BE1148" s="166">
        <v>0</v>
      </c>
      <c r="BF1148" s="166">
        <v>0</v>
      </c>
      <c r="BG1148" s="166">
        <v>0</v>
      </c>
      <c r="BH1148" s="166">
        <v>0</v>
      </c>
      <c r="BI1148" s="166">
        <v>0</v>
      </c>
      <c r="BJ1148" s="166">
        <v>0</v>
      </c>
      <c r="BK1148" s="166">
        <v>0</v>
      </c>
      <c r="BL1148" s="166">
        <v>0</v>
      </c>
      <c r="BM1148" s="166">
        <v>0</v>
      </c>
      <c r="BN1148" s="166">
        <v>0</v>
      </c>
      <c r="BO1148" s="166">
        <v>0</v>
      </c>
      <c r="BP1148" s="166">
        <v>0</v>
      </c>
      <c r="BQ1148" s="81" t="s">
        <v>1757</v>
      </c>
      <c r="BZ1148" s="81" t="s">
        <v>155</v>
      </c>
      <c r="CA1148" s="81" t="s">
        <v>1937</v>
      </c>
      <c r="CC1148" s="167">
        <v>0</v>
      </c>
      <c r="CD1148" s="167">
        <f>$N1148/4</f>
        <v>0.25</v>
      </c>
      <c r="CE1148" s="167">
        <f>$N1148/4</f>
        <v>0.25</v>
      </c>
      <c r="CF1148" s="167">
        <f>$N1148/4</f>
        <v>0.25</v>
      </c>
      <c r="CG1148" s="167">
        <f>$N1148/4</f>
        <v>0.25</v>
      </c>
      <c r="CH1148" s="167">
        <v>0</v>
      </c>
      <c r="CI1148" s="167">
        <v>0</v>
      </c>
      <c r="CJ1148" s="167">
        <v>0</v>
      </c>
      <c r="CK1148" s="167">
        <v>0</v>
      </c>
      <c r="CL1148" s="167">
        <v>0</v>
      </c>
      <c r="CM1148" s="167">
        <v>0</v>
      </c>
      <c r="CN1148" s="167">
        <v>0</v>
      </c>
      <c r="CO1148" s="167">
        <v>0</v>
      </c>
      <c r="CP1148" s="167">
        <v>0</v>
      </c>
      <c r="CQ1148" s="167">
        <v>0</v>
      </c>
      <c r="CR1148" s="167">
        <v>0</v>
      </c>
      <c r="CS1148" s="167">
        <v>0</v>
      </c>
      <c r="CT1148" s="167">
        <v>0</v>
      </c>
      <c r="CU1148" s="167">
        <v>0</v>
      </c>
      <c r="CV1148" s="167">
        <v>0</v>
      </c>
      <c r="CW1148" s="167">
        <v>0</v>
      </c>
      <c r="CX1148" s="167">
        <f>SUM(CD1148:CH1148)</f>
        <v>1</v>
      </c>
      <c r="CY1148" s="167">
        <f>SUM(CD1148:CM1148)</f>
        <v>1</v>
      </c>
    </row>
    <row r="1149" spans="1:103" ht="12.75" customHeight="1" x14ac:dyDescent="0.2">
      <c r="A1149" s="81">
        <v>6808</v>
      </c>
      <c r="B1149" s="165" t="s">
        <v>1930</v>
      </c>
      <c r="C1149" s="165" t="s">
        <v>2982</v>
      </c>
      <c r="E1149" s="165" t="s">
        <v>2983</v>
      </c>
      <c r="F1149" s="165" t="s">
        <v>1801</v>
      </c>
      <c r="G1149" s="81">
        <v>526942</v>
      </c>
      <c r="H1149" s="81">
        <v>175151</v>
      </c>
      <c r="I1149" s="165" t="s">
        <v>251</v>
      </c>
      <c r="L1149" s="166">
        <v>1</v>
      </c>
      <c r="M1149" s="166">
        <v>2</v>
      </c>
      <c r="N1149" s="166">
        <v>1</v>
      </c>
      <c r="O1149" s="166">
        <v>4</v>
      </c>
      <c r="P1149" s="166">
        <v>3</v>
      </c>
      <c r="R1149" s="165" t="s">
        <v>2984</v>
      </c>
      <c r="S1149" s="81" t="s">
        <v>113</v>
      </c>
      <c r="T1149" s="349">
        <v>43129</v>
      </c>
      <c r="U1149" s="349">
        <v>43179</v>
      </c>
      <c r="V1149" s="81" t="s">
        <v>155</v>
      </c>
      <c r="W1149" s="81" t="s">
        <v>114</v>
      </c>
      <c r="Y1149" s="81" t="s">
        <v>115</v>
      </c>
      <c r="Z1149" s="81" t="s">
        <v>398</v>
      </c>
      <c r="AA1149" s="81" t="s">
        <v>117</v>
      </c>
      <c r="AB1149" s="81" t="s">
        <v>220</v>
      </c>
      <c r="AC1149" s="166">
        <v>3.0000000260770299E-3</v>
      </c>
      <c r="AG1149" s="81" t="s">
        <v>238</v>
      </c>
      <c r="AH1149" s="81" t="s">
        <v>118</v>
      </c>
      <c r="AK1149" s="166">
        <v>0</v>
      </c>
      <c r="AM1149" s="166">
        <v>0</v>
      </c>
      <c r="AO1149" s="166">
        <v>0</v>
      </c>
      <c r="AP1149" s="166">
        <v>2</v>
      </c>
      <c r="AQ1149" s="166">
        <v>0</v>
      </c>
      <c r="AR1149" s="166">
        <v>-1</v>
      </c>
      <c r="AS1149" s="166">
        <v>0</v>
      </c>
      <c r="AT1149" s="166">
        <v>0</v>
      </c>
      <c r="AU1149" s="166">
        <v>0</v>
      </c>
      <c r="AV1149" s="166">
        <v>0</v>
      </c>
      <c r="AW1149" s="166">
        <v>2</v>
      </c>
      <c r="AX1149" s="166">
        <v>0</v>
      </c>
      <c r="AY1149" s="166">
        <v>-1</v>
      </c>
      <c r="AZ1149" s="166">
        <v>0</v>
      </c>
      <c r="BA1149" s="166">
        <v>0</v>
      </c>
      <c r="BB1149" s="166">
        <v>0</v>
      </c>
      <c r="BC1149" s="166">
        <v>0</v>
      </c>
      <c r="BD1149" s="166">
        <v>0</v>
      </c>
      <c r="BE1149" s="166">
        <v>0</v>
      </c>
      <c r="BF1149" s="166">
        <v>0</v>
      </c>
      <c r="BG1149" s="166">
        <v>0</v>
      </c>
      <c r="BH1149" s="166">
        <v>0</v>
      </c>
      <c r="BI1149" s="166">
        <v>0</v>
      </c>
      <c r="BJ1149" s="166">
        <v>0</v>
      </c>
      <c r="BK1149" s="166">
        <v>0</v>
      </c>
      <c r="BL1149" s="166">
        <v>0</v>
      </c>
      <c r="BM1149" s="166">
        <v>0</v>
      </c>
      <c r="BN1149" s="166">
        <v>0</v>
      </c>
      <c r="BO1149" s="166">
        <v>0</v>
      </c>
      <c r="BP1149" s="166">
        <v>0</v>
      </c>
      <c r="BQ1149" s="81" t="s">
        <v>1758</v>
      </c>
      <c r="BZ1149" s="81" t="s">
        <v>155</v>
      </c>
      <c r="CA1149" s="81" t="s">
        <v>1937</v>
      </c>
      <c r="CC1149" s="167">
        <v>0</v>
      </c>
      <c r="CD1149" s="167">
        <f>$N1149/4</f>
        <v>0.25</v>
      </c>
      <c r="CE1149" s="167">
        <f>$N1149/4</f>
        <v>0.25</v>
      </c>
      <c r="CF1149" s="167">
        <f>$N1149/4</f>
        <v>0.25</v>
      </c>
      <c r="CG1149" s="167">
        <f>$N1149/4</f>
        <v>0.25</v>
      </c>
      <c r="CH1149" s="167">
        <v>0</v>
      </c>
      <c r="CI1149" s="167">
        <v>0</v>
      </c>
      <c r="CJ1149" s="167">
        <v>0</v>
      </c>
      <c r="CK1149" s="167">
        <v>0</v>
      </c>
      <c r="CL1149" s="167">
        <v>0</v>
      </c>
      <c r="CM1149" s="167">
        <v>0</v>
      </c>
      <c r="CN1149" s="167">
        <v>0</v>
      </c>
      <c r="CO1149" s="167">
        <v>0</v>
      </c>
      <c r="CP1149" s="167">
        <v>0</v>
      </c>
      <c r="CQ1149" s="167">
        <v>0</v>
      </c>
      <c r="CR1149" s="167">
        <v>0</v>
      </c>
      <c r="CS1149" s="167">
        <v>0</v>
      </c>
      <c r="CT1149" s="167">
        <v>0</v>
      </c>
      <c r="CU1149" s="167">
        <v>0</v>
      </c>
      <c r="CV1149" s="167">
        <v>0</v>
      </c>
      <c r="CW1149" s="167">
        <v>0</v>
      </c>
      <c r="CX1149" s="167">
        <f>SUM(CD1149:CH1149)</f>
        <v>1</v>
      </c>
      <c r="CY1149" s="167">
        <f>SUM(CD1149:CM1149)</f>
        <v>1</v>
      </c>
    </row>
    <row r="1150" spans="1:103" ht="12.75" customHeight="1" x14ac:dyDescent="0.2">
      <c r="A1150" s="81">
        <v>6808</v>
      </c>
      <c r="B1150" s="165" t="s">
        <v>1930</v>
      </c>
      <c r="C1150" s="165" t="s">
        <v>2982</v>
      </c>
      <c r="E1150" s="165" t="s">
        <v>2983</v>
      </c>
      <c r="F1150" s="165" t="s">
        <v>1219</v>
      </c>
      <c r="G1150" s="81">
        <v>526942</v>
      </c>
      <c r="H1150" s="81">
        <v>175151</v>
      </c>
      <c r="I1150" s="165" t="s">
        <v>251</v>
      </c>
      <c r="L1150" s="166">
        <v>0</v>
      </c>
      <c r="M1150" s="166">
        <v>2</v>
      </c>
      <c r="N1150" s="166">
        <v>2</v>
      </c>
      <c r="O1150" s="166">
        <v>4</v>
      </c>
      <c r="P1150" s="166">
        <v>3</v>
      </c>
      <c r="R1150" s="165" t="s">
        <v>2984</v>
      </c>
      <c r="S1150" s="81" t="s">
        <v>113</v>
      </c>
      <c r="T1150" s="349">
        <v>43129</v>
      </c>
      <c r="U1150" s="349">
        <v>43179</v>
      </c>
      <c r="V1150" s="81" t="s">
        <v>155</v>
      </c>
      <c r="W1150" s="81" t="s">
        <v>114</v>
      </c>
      <c r="Y1150" s="81" t="s">
        <v>115</v>
      </c>
      <c r="Z1150" s="81" t="s">
        <v>398</v>
      </c>
      <c r="AA1150" s="81" t="s">
        <v>117</v>
      </c>
      <c r="AB1150" s="81" t="s">
        <v>218</v>
      </c>
      <c r="AC1150" s="166">
        <v>4.0000001899898104E-3</v>
      </c>
      <c r="AG1150" s="81" t="s">
        <v>238</v>
      </c>
      <c r="AH1150" s="81" t="s">
        <v>118</v>
      </c>
      <c r="AK1150" s="166">
        <v>0</v>
      </c>
      <c r="AM1150" s="166">
        <v>0</v>
      </c>
      <c r="AO1150" s="166">
        <v>0</v>
      </c>
      <c r="AP1150" s="166">
        <v>1</v>
      </c>
      <c r="AQ1150" s="166">
        <v>1</v>
      </c>
      <c r="AR1150" s="166">
        <v>0</v>
      </c>
      <c r="AS1150" s="166">
        <v>0</v>
      </c>
      <c r="AT1150" s="166">
        <v>0</v>
      </c>
      <c r="AU1150" s="166">
        <v>0</v>
      </c>
      <c r="AV1150" s="166">
        <v>0</v>
      </c>
      <c r="AW1150" s="166">
        <v>1</v>
      </c>
      <c r="AX1150" s="166">
        <v>1</v>
      </c>
      <c r="AY1150" s="166">
        <v>0</v>
      </c>
      <c r="AZ1150" s="166">
        <v>0</v>
      </c>
      <c r="BA1150" s="166">
        <v>0</v>
      </c>
      <c r="BB1150" s="166">
        <v>0</v>
      </c>
      <c r="BC1150" s="166">
        <v>0</v>
      </c>
      <c r="BD1150" s="166">
        <v>0</v>
      </c>
      <c r="BE1150" s="166">
        <v>0</v>
      </c>
      <c r="BF1150" s="166">
        <v>0</v>
      </c>
      <c r="BG1150" s="166">
        <v>0</v>
      </c>
      <c r="BH1150" s="166">
        <v>0</v>
      </c>
      <c r="BI1150" s="166">
        <v>0</v>
      </c>
      <c r="BJ1150" s="166">
        <v>0</v>
      </c>
      <c r="BK1150" s="166">
        <v>0</v>
      </c>
      <c r="BL1150" s="166">
        <v>0</v>
      </c>
      <c r="BM1150" s="166">
        <v>0</v>
      </c>
      <c r="BN1150" s="166">
        <v>0</v>
      </c>
      <c r="BO1150" s="166">
        <v>0</v>
      </c>
      <c r="BP1150" s="166">
        <v>0</v>
      </c>
      <c r="BQ1150" s="81" t="s">
        <v>1758</v>
      </c>
      <c r="BZ1150" s="81" t="s">
        <v>155</v>
      </c>
      <c r="CA1150" s="81" t="s">
        <v>1937</v>
      </c>
      <c r="CC1150" s="167">
        <v>0</v>
      </c>
      <c r="CD1150" s="167">
        <f>$N1150/4</f>
        <v>0.5</v>
      </c>
      <c r="CE1150" s="167">
        <f>$N1150/4</f>
        <v>0.5</v>
      </c>
      <c r="CF1150" s="167">
        <f>$N1150/4</f>
        <v>0.5</v>
      </c>
      <c r="CG1150" s="167">
        <f>$N1150/4</f>
        <v>0.5</v>
      </c>
      <c r="CH1150" s="167">
        <v>0</v>
      </c>
      <c r="CI1150" s="167">
        <v>0</v>
      </c>
      <c r="CJ1150" s="167">
        <v>0</v>
      </c>
      <c r="CK1150" s="167">
        <v>0</v>
      </c>
      <c r="CL1150" s="167">
        <v>0</v>
      </c>
      <c r="CM1150" s="167">
        <v>0</v>
      </c>
      <c r="CN1150" s="167">
        <v>0</v>
      </c>
      <c r="CO1150" s="167">
        <v>0</v>
      </c>
      <c r="CP1150" s="167">
        <v>0</v>
      </c>
      <c r="CQ1150" s="167">
        <v>0</v>
      </c>
      <c r="CR1150" s="167">
        <v>0</v>
      </c>
      <c r="CS1150" s="167">
        <v>0</v>
      </c>
      <c r="CT1150" s="167">
        <v>0</v>
      </c>
      <c r="CU1150" s="167">
        <v>0</v>
      </c>
      <c r="CV1150" s="167">
        <v>0</v>
      </c>
      <c r="CW1150" s="167">
        <v>0</v>
      </c>
      <c r="CX1150" s="167">
        <f>SUM(CD1150:CH1150)</f>
        <v>2</v>
      </c>
      <c r="CY1150" s="167">
        <f>SUM(CD1150:CM1150)</f>
        <v>2</v>
      </c>
    </row>
    <row r="1151" spans="1:103" ht="12.75" customHeight="1" x14ac:dyDescent="0.2">
      <c r="A1151" s="81">
        <v>6846</v>
      </c>
      <c r="B1151" s="165" t="s">
        <v>1930</v>
      </c>
      <c r="C1151" s="165" t="s">
        <v>2985</v>
      </c>
      <c r="E1151" s="165" t="s">
        <v>2370</v>
      </c>
      <c r="G1151" s="81">
        <v>527474</v>
      </c>
      <c r="H1151" s="81">
        <v>174921</v>
      </c>
      <c r="I1151" s="165" t="s">
        <v>255</v>
      </c>
      <c r="L1151" s="166">
        <v>0</v>
      </c>
      <c r="M1151" s="166">
        <v>1</v>
      </c>
      <c r="N1151" s="166">
        <v>1</v>
      </c>
      <c r="O1151" s="166">
        <v>1</v>
      </c>
      <c r="P1151" s="166">
        <v>1</v>
      </c>
      <c r="R1151" s="165" t="s">
        <v>2986</v>
      </c>
      <c r="S1151" s="81" t="s">
        <v>113</v>
      </c>
      <c r="T1151" s="349">
        <v>43047</v>
      </c>
      <c r="U1151" s="349">
        <v>43110</v>
      </c>
      <c r="V1151" s="81" t="s">
        <v>155</v>
      </c>
      <c r="W1151" s="81" t="s">
        <v>114</v>
      </c>
      <c r="Y1151" s="81" t="s">
        <v>115</v>
      </c>
      <c r="Z1151" s="81" t="s">
        <v>219</v>
      </c>
      <c r="AA1151" s="81" t="s">
        <v>117</v>
      </c>
      <c r="AB1151" s="81" t="s">
        <v>3889</v>
      </c>
      <c r="AC1151" s="166">
        <v>3.0000000260770299E-3</v>
      </c>
      <c r="AG1151" s="81" t="s">
        <v>238</v>
      </c>
      <c r="AH1151" s="81" t="s">
        <v>118</v>
      </c>
      <c r="AK1151" s="166">
        <v>0</v>
      </c>
      <c r="AM1151" s="166">
        <v>0</v>
      </c>
      <c r="AO1151" s="166">
        <v>0</v>
      </c>
      <c r="AP1151" s="166">
        <v>0</v>
      </c>
      <c r="AQ1151" s="166">
        <v>1</v>
      </c>
      <c r="AR1151" s="166">
        <v>0</v>
      </c>
      <c r="AS1151" s="166">
        <v>0</v>
      </c>
      <c r="AT1151" s="166">
        <v>0</v>
      </c>
      <c r="AU1151" s="166">
        <v>0</v>
      </c>
      <c r="AV1151" s="166">
        <v>0</v>
      </c>
      <c r="AW1151" s="166">
        <v>0</v>
      </c>
      <c r="AX1151" s="166">
        <v>1</v>
      </c>
      <c r="AY1151" s="166">
        <v>0</v>
      </c>
      <c r="AZ1151" s="166">
        <v>0</v>
      </c>
      <c r="BA1151" s="166">
        <v>0</v>
      </c>
      <c r="BB1151" s="166">
        <v>0</v>
      </c>
      <c r="BC1151" s="166">
        <v>0</v>
      </c>
      <c r="BD1151" s="166">
        <v>0</v>
      </c>
      <c r="BE1151" s="166">
        <v>0</v>
      </c>
      <c r="BF1151" s="166">
        <v>0</v>
      </c>
      <c r="BG1151" s="166">
        <v>0</v>
      </c>
      <c r="BH1151" s="166">
        <v>0</v>
      </c>
      <c r="BI1151" s="166">
        <v>0</v>
      </c>
      <c r="BJ1151" s="166">
        <v>0</v>
      </c>
      <c r="BK1151" s="166">
        <v>0</v>
      </c>
      <c r="BL1151" s="166">
        <v>0</v>
      </c>
      <c r="BM1151" s="166">
        <v>0</v>
      </c>
      <c r="BN1151" s="166">
        <v>0</v>
      </c>
      <c r="BO1151" s="166">
        <v>0</v>
      </c>
      <c r="BP1151" s="166">
        <v>0</v>
      </c>
      <c r="BQ1151" s="81" t="s">
        <v>1757</v>
      </c>
      <c r="BR1151" s="81" t="s">
        <v>160</v>
      </c>
      <c r="BZ1151" s="81" t="s">
        <v>155</v>
      </c>
      <c r="CA1151" s="81" t="s">
        <v>1937</v>
      </c>
      <c r="CC1151" s="167">
        <v>0</v>
      </c>
      <c r="CD1151" s="167">
        <f>$N1151/4</f>
        <v>0.25</v>
      </c>
      <c r="CE1151" s="167">
        <f>$N1151/4</f>
        <v>0.25</v>
      </c>
      <c r="CF1151" s="167">
        <f>$N1151/4</f>
        <v>0.25</v>
      </c>
      <c r="CG1151" s="167">
        <f>$N1151/4</f>
        <v>0.25</v>
      </c>
      <c r="CH1151" s="167">
        <v>0</v>
      </c>
      <c r="CI1151" s="167">
        <v>0</v>
      </c>
      <c r="CJ1151" s="167">
        <v>0</v>
      </c>
      <c r="CK1151" s="167">
        <v>0</v>
      </c>
      <c r="CL1151" s="167">
        <v>0</v>
      </c>
      <c r="CM1151" s="167">
        <v>0</v>
      </c>
      <c r="CN1151" s="167">
        <v>0</v>
      </c>
      <c r="CO1151" s="167">
        <v>0</v>
      </c>
      <c r="CP1151" s="167">
        <v>0</v>
      </c>
      <c r="CQ1151" s="167">
        <v>0</v>
      </c>
      <c r="CR1151" s="167">
        <v>0</v>
      </c>
      <c r="CS1151" s="167">
        <v>0</v>
      </c>
      <c r="CT1151" s="167">
        <v>0</v>
      </c>
      <c r="CU1151" s="167">
        <v>0</v>
      </c>
      <c r="CV1151" s="167">
        <v>0</v>
      </c>
      <c r="CW1151" s="167">
        <v>0</v>
      </c>
      <c r="CX1151" s="167">
        <f>SUM(CD1151:CH1151)</f>
        <v>1</v>
      </c>
      <c r="CY1151" s="167">
        <f>SUM(CD1151:CM1151)</f>
        <v>1</v>
      </c>
    </row>
    <row r="1152" spans="1:103" ht="12.75" customHeight="1" x14ac:dyDescent="0.2">
      <c r="A1152" s="81">
        <v>6912</v>
      </c>
      <c r="B1152" s="165" t="s">
        <v>1930</v>
      </c>
      <c r="C1152" s="165" t="s">
        <v>2987</v>
      </c>
      <c r="E1152" s="165" t="s">
        <v>2988</v>
      </c>
      <c r="G1152" s="81">
        <v>526829</v>
      </c>
      <c r="H1152" s="81">
        <v>172839</v>
      </c>
      <c r="I1152" s="165" t="s">
        <v>260</v>
      </c>
      <c r="L1152" s="166">
        <v>0</v>
      </c>
      <c r="M1152" s="166">
        <v>1</v>
      </c>
      <c r="N1152" s="166">
        <v>1</v>
      </c>
      <c r="O1152" s="166">
        <v>1</v>
      </c>
      <c r="P1152" s="166">
        <v>1</v>
      </c>
      <c r="R1152" s="165" t="s">
        <v>2989</v>
      </c>
      <c r="S1152" s="81" t="s">
        <v>113</v>
      </c>
      <c r="T1152" s="349">
        <v>42549</v>
      </c>
      <c r="U1152" s="349">
        <v>42605</v>
      </c>
      <c r="W1152" s="81" t="s">
        <v>114</v>
      </c>
      <c r="Y1152" s="81" t="s">
        <v>115</v>
      </c>
      <c r="Z1152" s="81" t="s">
        <v>116</v>
      </c>
      <c r="AA1152" s="81" t="s">
        <v>117</v>
      </c>
      <c r="AB1152" s="81" t="s">
        <v>218</v>
      </c>
      <c r="AC1152" s="166">
        <v>3.0000000260770299E-3</v>
      </c>
      <c r="AG1152" s="81" t="s">
        <v>238</v>
      </c>
      <c r="AH1152" s="81" t="s">
        <v>118</v>
      </c>
      <c r="AK1152" s="166">
        <v>0</v>
      </c>
      <c r="AM1152" s="166">
        <v>0</v>
      </c>
      <c r="AO1152" s="166">
        <v>1</v>
      </c>
      <c r="AP1152" s="166">
        <v>0</v>
      </c>
      <c r="AQ1152" s="166">
        <v>0</v>
      </c>
      <c r="AR1152" s="166">
        <v>0</v>
      </c>
      <c r="AS1152" s="166">
        <v>0</v>
      </c>
      <c r="AT1152" s="166">
        <v>0</v>
      </c>
      <c r="AU1152" s="166">
        <v>0</v>
      </c>
      <c r="AV1152" s="166">
        <v>1</v>
      </c>
      <c r="AW1152" s="166">
        <v>0</v>
      </c>
      <c r="AX1152" s="166">
        <v>0</v>
      </c>
      <c r="AY1152" s="166">
        <v>0</v>
      </c>
      <c r="AZ1152" s="166">
        <v>0</v>
      </c>
      <c r="BA1152" s="166">
        <v>0</v>
      </c>
      <c r="BB1152" s="166">
        <v>0</v>
      </c>
      <c r="BC1152" s="166">
        <v>0</v>
      </c>
      <c r="BD1152" s="166">
        <v>0</v>
      </c>
      <c r="BE1152" s="166">
        <v>0</v>
      </c>
      <c r="BF1152" s="166">
        <v>0</v>
      </c>
      <c r="BG1152" s="166">
        <v>0</v>
      </c>
      <c r="BH1152" s="166">
        <v>0</v>
      </c>
      <c r="BI1152" s="166">
        <v>0</v>
      </c>
      <c r="BJ1152" s="166">
        <v>0</v>
      </c>
      <c r="BK1152" s="166">
        <v>0</v>
      </c>
      <c r="BL1152" s="166">
        <v>0</v>
      </c>
      <c r="BM1152" s="166">
        <v>0</v>
      </c>
      <c r="BN1152" s="166">
        <v>0</v>
      </c>
      <c r="BO1152" s="166">
        <v>0</v>
      </c>
      <c r="BP1152" s="166">
        <v>0</v>
      </c>
      <c r="BQ1152" s="81" t="s">
        <v>1758</v>
      </c>
      <c r="BZ1152" s="81" t="s">
        <v>155</v>
      </c>
      <c r="CA1152" s="81">
        <v>4</v>
      </c>
      <c r="CC1152" s="167">
        <v>0</v>
      </c>
      <c r="CD1152" s="167">
        <v>0</v>
      </c>
      <c r="CE1152" s="167">
        <f>$N1152/5</f>
        <v>0.2</v>
      </c>
      <c r="CF1152" s="167">
        <f>$N1152/5</f>
        <v>0.2</v>
      </c>
      <c r="CG1152" s="167">
        <f>$N1152/5</f>
        <v>0.2</v>
      </c>
      <c r="CH1152" s="167">
        <f>$N1152/5</f>
        <v>0.2</v>
      </c>
      <c r="CI1152" s="167">
        <f>$N1152/5</f>
        <v>0.2</v>
      </c>
      <c r="CJ1152" s="167">
        <v>0</v>
      </c>
      <c r="CK1152" s="167">
        <v>0</v>
      </c>
      <c r="CL1152" s="167">
        <v>0</v>
      </c>
      <c r="CM1152" s="167">
        <v>0</v>
      </c>
      <c r="CN1152" s="167">
        <v>0</v>
      </c>
      <c r="CO1152" s="167">
        <v>0</v>
      </c>
      <c r="CP1152" s="167">
        <v>0</v>
      </c>
      <c r="CQ1152" s="167">
        <v>0</v>
      </c>
      <c r="CR1152" s="167">
        <v>0</v>
      </c>
      <c r="CS1152" s="167">
        <v>0</v>
      </c>
      <c r="CT1152" s="167">
        <v>0</v>
      </c>
      <c r="CU1152" s="167">
        <v>0</v>
      </c>
      <c r="CV1152" s="167">
        <v>0</v>
      </c>
      <c r="CW1152" s="167">
        <v>0</v>
      </c>
      <c r="CX1152" s="167">
        <f>SUM(CD1152:CH1152)</f>
        <v>0.8</v>
      </c>
      <c r="CY1152" s="167">
        <f>SUM(CD1152:CM1152)</f>
        <v>1</v>
      </c>
    </row>
    <row r="1153" spans="1:103" ht="12.75" customHeight="1" x14ac:dyDescent="0.2">
      <c r="A1153" s="81">
        <v>6922</v>
      </c>
      <c r="B1153" s="165" t="s">
        <v>1930</v>
      </c>
      <c r="C1153" s="165" t="s">
        <v>2990</v>
      </c>
      <c r="E1153" s="165" t="s">
        <v>2991</v>
      </c>
      <c r="G1153" s="81">
        <v>529004</v>
      </c>
      <c r="H1153" s="81">
        <v>171330</v>
      </c>
      <c r="I1153" s="165" t="s">
        <v>252</v>
      </c>
      <c r="L1153" s="166">
        <v>0</v>
      </c>
      <c r="M1153" s="166">
        <v>1</v>
      </c>
      <c r="N1153" s="166">
        <v>1</v>
      </c>
      <c r="O1153" s="166">
        <v>1</v>
      </c>
      <c r="P1153" s="166">
        <v>1</v>
      </c>
      <c r="R1153" s="165" t="s">
        <v>2992</v>
      </c>
      <c r="S1153" s="81" t="s">
        <v>113</v>
      </c>
      <c r="T1153" s="349">
        <v>42615</v>
      </c>
      <c r="U1153" s="349">
        <v>42656</v>
      </c>
      <c r="W1153" s="81" t="s">
        <v>114</v>
      </c>
      <c r="Y1153" s="81" t="s">
        <v>115</v>
      </c>
      <c r="Z1153" s="81" t="s">
        <v>116</v>
      </c>
      <c r="AA1153" s="81" t="s">
        <v>117</v>
      </c>
      <c r="AB1153" s="81" t="s">
        <v>218</v>
      </c>
      <c r="AC1153" s="166">
        <v>8.0000003799796104E-3</v>
      </c>
      <c r="AG1153" s="81" t="s">
        <v>238</v>
      </c>
      <c r="AH1153" s="81" t="s">
        <v>118</v>
      </c>
      <c r="AK1153" s="166">
        <v>0</v>
      </c>
      <c r="AM1153" s="166">
        <v>0</v>
      </c>
      <c r="AO1153" s="166">
        <v>0</v>
      </c>
      <c r="AP1153" s="166">
        <v>1</v>
      </c>
      <c r="AQ1153" s="166">
        <v>0</v>
      </c>
      <c r="AR1153" s="166">
        <v>0</v>
      </c>
      <c r="AS1153" s="166">
        <v>0</v>
      </c>
      <c r="AT1153" s="166">
        <v>0</v>
      </c>
      <c r="AU1153" s="166">
        <v>0</v>
      </c>
      <c r="AV1153" s="166">
        <v>0</v>
      </c>
      <c r="AW1153" s="166">
        <v>1</v>
      </c>
      <c r="AX1153" s="166">
        <v>0</v>
      </c>
      <c r="AY1153" s="166">
        <v>0</v>
      </c>
      <c r="AZ1153" s="166">
        <v>0</v>
      </c>
      <c r="BA1153" s="166">
        <v>0</v>
      </c>
      <c r="BB1153" s="166">
        <v>0</v>
      </c>
      <c r="BC1153" s="166">
        <v>0</v>
      </c>
      <c r="BD1153" s="166">
        <v>0</v>
      </c>
      <c r="BE1153" s="166">
        <v>0</v>
      </c>
      <c r="BF1153" s="166">
        <v>0</v>
      </c>
      <c r="BG1153" s="166">
        <v>0</v>
      </c>
      <c r="BH1153" s="166">
        <v>0</v>
      </c>
      <c r="BI1153" s="166">
        <v>0</v>
      </c>
      <c r="BJ1153" s="166">
        <v>0</v>
      </c>
      <c r="BK1153" s="166">
        <v>0</v>
      </c>
      <c r="BL1153" s="166">
        <v>0</v>
      </c>
      <c r="BM1153" s="166">
        <v>0</v>
      </c>
      <c r="BN1153" s="166">
        <v>0</v>
      </c>
      <c r="BO1153" s="166">
        <v>0</v>
      </c>
      <c r="BP1153" s="166">
        <v>0</v>
      </c>
      <c r="BQ1153" s="81" t="s">
        <v>1757</v>
      </c>
      <c r="BZ1153" s="81" t="s">
        <v>155</v>
      </c>
      <c r="CA1153" s="81">
        <v>4</v>
      </c>
      <c r="CC1153" s="167">
        <v>0</v>
      </c>
      <c r="CD1153" s="167">
        <v>0</v>
      </c>
      <c r="CE1153" s="167">
        <f>$N1153/5</f>
        <v>0.2</v>
      </c>
      <c r="CF1153" s="167">
        <f>$N1153/5</f>
        <v>0.2</v>
      </c>
      <c r="CG1153" s="167">
        <f>$N1153/5</f>
        <v>0.2</v>
      </c>
      <c r="CH1153" s="167">
        <f>$N1153/5</f>
        <v>0.2</v>
      </c>
      <c r="CI1153" s="167">
        <f>$N1153/5</f>
        <v>0.2</v>
      </c>
      <c r="CJ1153" s="167">
        <v>0</v>
      </c>
      <c r="CK1153" s="167">
        <v>0</v>
      </c>
      <c r="CL1153" s="167">
        <v>0</v>
      </c>
      <c r="CM1153" s="167">
        <v>0</v>
      </c>
      <c r="CN1153" s="167">
        <v>0</v>
      </c>
      <c r="CO1153" s="167">
        <v>0</v>
      </c>
      <c r="CP1153" s="167">
        <v>0</v>
      </c>
      <c r="CQ1153" s="167">
        <v>0</v>
      </c>
      <c r="CR1153" s="167">
        <v>0</v>
      </c>
      <c r="CS1153" s="167">
        <v>0</v>
      </c>
      <c r="CT1153" s="167">
        <v>0</v>
      </c>
      <c r="CU1153" s="167">
        <v>0</v>
      </c>
      <c r="CV1153" s="167">
        <v>0</v>
      </c>
      <c r="CW1153" s="167">
        <v>0</v>
      </c>
      <c r="CX1153" s="167">
        <f>SUM(CD1153:CH1153)</f>
        <v>0.8</v>
      </c>
      <c r="CY1153" s="167">
        <f>SUM(CD1153:CM1153)</f>
        <v>1</v>
      </c>
    </row>
    <row r="1154" spans="1:103" ht="12.75" customHeight="1" x14ac:dyDescent="0.2">
      <c r="A1154" s="81">
        <v>464</v>
      </c>
      <c r="B1154" s="165" t="s">
        <v>1952</v>
      </c>
      <c r="C1154" s="165" t="s">
        <v>1714</v>
      </c>
      <c r="D1154" s="165" t="s">
        <v>1715</v>
      </c>
      <c r="E1154" s="165" t="s">
        <v>1953</v>
      </c>
      <c r="G1154" s="81">
        <v>529375</v>
      </c>
      <c r="H1154" s="81">
        <v>177215</v>
      </c>
      <c r="I1154" s="165" t="s">
        <v>240</v>
      </c>
      <c r="L1154" s="166">
        <v>0</v>
      </c>
      <c r="M1154" s="166">
        <v>230</v>
      </c>
      <c r="N1154" s="166">
        <v>230</v>
      </c>
      <c r="O1154" s="166">
        <v>307</v>
      </c>
      <c r="P1154" s="166">
        <v>307</v>
      </c>
      <c r="Q1154" s="81" t="s">
        <v>155</v>
      </c>
      <c r="R1154" s="165" t="s">
        <v>1716</v>
      </c>
      <c r="S1154" s="81" t="s">
        <v>53</v>
      </c>
      <c r="T1154" s="349">
        <v>42338</v>
      </c>
      <c r="W1154" s="81" t="s">
        <v>114</v>
      </c>
      <c r="Y1154" s="81" t="s">
        <v>115</v>
      </c>
      <c r="Z1154" s="81" t="s">
        <v>116</v>
      </c>
      <c r="AA1154" s="81" t="s">
        <v>116</v>
      </c>
      <c r="AB1154" s="81" t="s">
        <v>117</v>
      </c>
      <c r="AC1154" s="166">
        <v>0</v>
      </c>
      <c r="AG1154" s="81" t="s">
        <v>238</v>
      </c>
      <c r="AH1154" s="81" t="s">
        <v>118</v>
      </c>
      <c r="AI1154" s="81" t="s">
        <v>1954</v>
      </c>
      <c r="AK1154" s="166">
        <v>0</v>
      </c>
      <c r="AM1154" s="166">
        <v>0</v>
      </c>
      <c r="AO1154" s="166">
        <v>1</v>
      </c>
      <c r="AP1154" s="166">
        <v>55</v>
      </c>
      <c r="AQ1154" s="166">
        <v>151</v>
      </c>
      <c r="AR1154" s="166">
        <v>22</v>
      </c>
      <c r="AS1154" s="166">
        <v>1</v>
      </c>
      <c r="AT1154" s="166">
        <v>0</v>
      </c>
      <c r="AU1154" s="166">
        <v>0</v>
      </c>
      <c r="AV1154" s="166">
        <v>1</v>
      </c>
      <c r="AW1154" s="166">
        <v>55</v>
      </c>
      <c r="AX1154" s="166">
        <v>151</v>
      </c>
      <c r="AY1154" s="166">
        <v>22</v>
      </c>
      <c r="AZ1154" s="166">
        <v>1</v>
      </c>
      <c r="BA1154" s="166">
        <v>0</v>
      </c>
      <c r="BB1154" s="166">
        <v>0</v>
      </c>
      <c r="BC1154" s="166">
        <v>0</v>
      </c>
      <c r="BD1154" s="166">
        <v>0</v>
      </c>
      <c r="BE1154" s="166">
        <v>0</v>
      </c>
      <c r="BF1154" s="166">
        <v>0</v>
      </c>
      <c r="BG1154" s="166">
        <v>0</v>
      </c>
      <c r="BH1154" s="166">
        <v>0</v>
      </c>
      <c r="BI1154" s="166">
        <v>0</v>
      </c>
      <c r="BJ1154" s="166">
        <v>0</v>
      </c>
      <c r="BK1154" s="166">
        <v>0</v>
      </c>
      <c r="BL1154" s="166">
        <v>0</v>
      </c>
      <c r="BM1154" s="166">
        <v>0</v>
      </c>
      <c r="BN1154" s="166">
        <v>0</v>
      </c>
      <c r="BO1154" s="166">
        <v>0</v>
      </c>
      <c r="BP1154" s="166">
        <v>0</v>
      </c>
      <c r="BQ1154" s="81" t="s">
        <v>1759</v>
      </c>
      <c r="BS1154" s="81" t="s">
        <v>155</v>
      </c>
      <c r="BZ1154" s="81" t="s">
        <v>155</v>
      </c>
      <c r="CA1154" s="81">
        <v>12</v>
      </c>
      <c r="CC1154" s="167">
        <v>0</v>
      </c>
      <c r="CD1154" s="167">
        <v>0</v>
      </c>
      <c r="CE1154" s="167">
        <v>0</v>
      </c>
      <c r="CF1154" s="167">
        <v>0</v>
      </c>
      <c r="CG1154" s="167">
        <v>0</v>
      </c>
      <c r="CH1154" s="167">
        <f>$N1154/2</f>
        <v>115</v>
      </c>
      <c r="CI1154" s="167">
        <f>$N1154/2</f>
        <v>115</v>
      </c>
      <c r="CJ1154" s="167">
        <v>0</v>
      </c>
      <c r="CK1154" s="167">
        <v>0</v>
      </c>
      <c r="CL1154" s="167">
        <v>0</v>
      </c>
      <c r="CM1154" s="167">
        <v>0</v>
      </c>
      <c r="CN1154" s="167">
        <v>0</v>
      </c>
      <c r="CO1154" s="167">
        <v>0</v>
      </c>
      <c r="CP1154" s="167">
        <v>0</v>
      </c>
      <c r="CQ1154" s="167">
        <v>0</v>
      </c>
      <c r="CR1154" s="167">
        <v>0</v>
      </c>
      <c r="CS1154" s="167">
        <v>0</v>
      </c>
      <c r="CT1154" s="167">
        <v>0</v>
      </c>
      <c r="CU1154" s="167">
        <v>0</v>
      </c>
      <c r="CV1154" s="167">
        <v>0</v>
      </c>
      <c r="CW1154" s="167">
        <v>0</v>
      </c>
      <c r="CX1154" s="167">
        <f>SUM(CD1154:CH1154)</f>
        <v>115</v>
      </c>
      <c r="CY1154" s="167">
        <f>SUM(CD1154:CM1154)</f>
        <v>230</v>
      </c>
    </row>
    <row r="1155" spans="1:103" ht="12.75" customHeight="1" x14ac:dyDescent="0.2">
      <c r="A1155" s="81">
        <v>464</v>
      </c>
      <c r="B1155" s="165" t="s">
        <v>1952</v>
      </c>
      <c r="C1155" s="165" t="s">
        <v>1714</v>
      </c>
      <c r="D1155" s="165" t="s">
        <v>1715</v>
      </c>
      <c r="E1155" s="165" t="s">
        <v>1953</v>
      </c>
      <c r="G1155" s="81">
        <v>529375</v>
      </c>
      <c r="H1155" s="81">
        <v>177215</v>
      </c>
      <c r="I1155" s="165" t="s">
        <v>240</v>
      </c>
      <c r="L1155" s="166">
        <v>0</v>
      </c>
      <c r="M1155" s="166">
        <v>57</v>
      </c>
      <c r="N1155" s="166">
        <v>57</v>
      </c>
      <c r="O1155" s="166">
        <v>307</v>
      </c>
      <c r="P1155" s="166">
        <v>307</v>
      </c>
      <c r="Q1155" s="81" t="s">
        <v>155</v>
      </c>
      <c r="R1155" s="165" t="s">
        <v>1716</v>
      </c>
      <c r="S1155" s="81" t="s">
        <v>53</v>
      </c>
      <c r="T1155" s="349">
        <v>42338</v>
      </c>
      <c r="W1155" s="81" t="s">
        <v>114</v>
      </c>
      <c r="Y1155" s="81" t="s">
        <v>115</v>
      </c>
      <c r="Z1155" s="81" t="s">
        <v>116</v>
      </c>
      <c r="AA1155" s="81" t="s">
        <v>116</v>
      </c>
      <c r="AB1155" s="81" t="s">
        <v>117</v>
      </c>
      <c r="AC1155" s="166">
        <v>0</v>
      </c>
      <c r="AG1155" s="81" t="s">
        <v>74</v>
      </c>
      <c r="AH1155" s="81" t="s">
        <v>880</v>
      </c>
      <c r="AI1155" s="81" t="s">
        <v>1954</v>
      </c>
      <c r="AK1155" s="166">
        <v>0</v>
      </c>
      <c r="AM1155" s="166">
        <v>0</v>
      </c>
      <c r="AO1155" s="166">
        <v>0</v>
      </c>
      <c r="AP1155" s="166">
        <v>22</v>
      </c>
      <c r="AQ1155" s="166">
        <v>35</v>
      </c>
      <c r="AR1155" s="166">
        <v>0</v>
      </c>
      <c r="AS1155" s="166">
        <v>0</v>
      </c>
      <c r="AT1155" s="166">
        <v>0</v>
      </c>
      <c r="AU1155" s="166">
        <v>0</v>
      </c>
      <c r="AV1155" s="166">
        <v>0</v>
      </c>
      <c r="AW1155" s="166">
        <v>22</v>
      </c>
      <c r="AX1155" s="166">
        <v>35</v>
      </c>
      <c r="AY1155" s="166">
        <v>0</v>
      </c>
      <c r="AZ1155" s="166">
        <v>0</v>
      </c>
      <c r="BA1155" s="166">
        <v>0</v>
      </c>
      <c r="BB1155" s="166">
        <v>0</v>
      </c>
      <c r="BC1155" s="166">
        <v>0</v>
      </c>
      <c r="BD1155" s="166">
        <v>0</v>
      </c>
      <c r="BE1155" s="166">
        <v>0</v>
      </c>
      <c r="BF1155" s="166">
        <v>0</v>
      </c>
      <c r="BG1155" s="166">
        <v>0</v>
      </c>
      <c r="BH1155" s="166">
        <v>0</v>
      </c>
      <c r="BI1155" s="166">
        <v>0</v>
      </c>
      <c r="BJ1155" s="166">
        <v>0</v>
      </c>
      <c r="BK1155" s="166">
        <v>0</v>
      </c>
      <c r="BL1155" s="166">
        <v>0</v>
      </c>
      <c r="BM1155" s="166">
        <v>0</v>
      </c>
      <c r="BN1155" s="166">
        <v>0</v>
      </c>
      <c r="BO1155" s="166">
        <v>0</v>
      </c>
      <c r="BP1155" s="166">
        <v>0</v>
      </c>
      <c r="BQ1155" s="81" t="s">
        <v>1759</v>
      </c>
      <c r="BS1155" s="81" t="s">
        <v>155</v>
      </c>
      <c r="BZ1155" s="81" t="s">
        <v>155</v>
      </c>
      <c r="CA1155" s="81">
        <v>12</v>
      </c>
      <c r="CC1155" s="167">
        <v>0</v>
      </c>
      <c r="CD1155" s="167">
        <v>0</v>
      </c>
      <c r="CE1155" s="167">
        <v>0</v>
      </c>
      <c r="CF1155" s="167">
        <v>0</v>
      </c>
      <c r="CG1155" s="167">
        <v>0</v>
      </c>
      <c r="CH1155" s="167">
        <f>$N1155/2</f>
        <v>28.5</v>
      </c>
      <c r="CI1155" s="167">
        <f>$N1155/2</f>
        <v>28.5</v>
      </c>
      <c r="CJ1155" s="167">
        <v>0</v>
      </c>
      <c r="CK1155" s="167">
        <v>0</v>
      </c>
      <c r="CL1155" s="167">
        <v>0</v>
      </c>
      <c r="CM1155" s="167">
        <v>0</v>
      </c>
      <c r="CN1155" s="167">
        <v>0</v>
      </c>
      <c r="CO1155" s="167">
        <v>0</v>
      </c>
      <c r="CP1155" s="167">
        <v>0</v>
      </c>
      <c r="CQ1155" s="167">
        <v>0</v>
      </c>
      <c r="CR1155" s="167">
        <v>0</v>
      </c>
      <c r="CS1155" s="167">
        <v>0</v>
      </c>
      <c r="CT1155" s="167">
        <v>0</v>
      </c>
      <c r="CU1155" s="167">
        <v>0</v>
      </c>
      <c r="CV1155" s="167">
        <v>0</v>
      </c>
      <c r="CW1155" s="167">
        <v>0</v>
      </c>
      <c r="CX1155" s="167">
        <f>SUM(CD1155:CH1155)</f>
        <v>28.5</v>
      </c>
      <c r="CY1155" s="167">
        <f>SUM(CD1155:CM1155)</f>
        <v>57</v>
      </c>
    </row>
    <row r="1156" spans="1:103" ht="12.75" customHeight="1" x14ac:dyDescent="0.2">
      <c r="A1156" s="81">
        <v>464</v>
      </c>
      <c r="B1156" s="165" t="s">
        <v>1952</v>
      </c>
      <c r="C1156" s="165" t="s">
        <v>1714</v>
      </c>
      <c r="D1156" s="165" t="s">
        <v>1715</v>
      </c>
      <c r="E1156" s="165" t="s">
        <v>1953</v>
      </c>
      <c r="G1156" s="81">
        <v>529375</v>
      </c>
      <c r="H1156" s="81">
        <v>177215</v>
      </c>
      <c r="I1156" s="165" t="s">
        <v>240</v>
      </c>
      <c r="L1156" s="166">
        <v>0</v>
      </c>
      <c r="M1156" s="166">
        <v>20</v>
      </c>
      <c r="N1156" s="166">
        <v>20</v>
      </c>
      <c r="O1156" s="166">
        <v>307</v>
      </c>
      <c r="P1156" s="166">
        <v>307</v>
      </c>
      <c r="Q1156" s="81" t="s">
        <v>155</v>
      </c>
      <c r="R1156" s="165" t="s">
        <v>1716</v>
      </c>
      <c r="S1156" s="81" t="s">
        <v>53</v>
      </c>
      <c r="T1156" s="349">
        <v>42338</v>
      </c>
      <c r="W1156" s="81" t="s">
        <v>114</v>
      </c>
      <c r="Y1156" s="81" t="s">
        <v>115</v>
      </c>
      <c r="Z1156" s="81" t="s">
        <v>116</v>
      </c>
      <c r="AA1156" s="81" t="s">
        <v>116</v>
      </c>
      <c r="AB1156" s="81" t="s">
        <v>117</v>
      </c>
      <c r="AC1156" s="166">
        <v>0</v>
      </c>
      <c r="AG1156" s="81" t="s">
        <v>154</v>
      </c>
      <c r="AH1156" s="81" t="s">
        <v>276</v>
      </c>
      <c r="AI1156" s="81" t="s">
        <v>1954</v>
      </c>
      <c r="AK1156" s="166">
        <v>0</v>
      </c>
      <c r="AM1156" s="166">
        <v>0</v>
      </c>
      <c r="AO1156" s="166">
        <v>1</v>
      </c>
      <c r="AP1156" s="166">
        <v>7</v>
      </c>
      <c r="AQ1156" s="166">
        <v>8</v>
      </c>
      <c r="AR1156" s="166">
        <v>4</v>
      </c>
      <c r="AS1156" s="166">
        <v>0</v>
      </c>
      <c r="AT1156" s="166">
        <v>0</v>
      </c>
      <c r="AU1156" s="166">
        <v>0</v>
      </c>
      <c r="AV1156" s="166">
        <v>1</v>
      </c>
      <c r="AW1156" s="166">
        <v>7</v>
      </c>
      <c r="AX1156" s="166">
        <v>8</v>
      </c>
      <c r="AY1156" s="166">
        <v>4</v>
      </c>
      <c r="AZ1156" s="166">
        <v>0</v>
      </c>
      <c r="BA1156" s="166">
        <v>0</v>
      </c>
      <c r="BB1156" s="166">
        <v>0</v>
      </c>
      <c r="BC1156" s="166">
        <v>0</v>
      </c>
      <c r="BD1156" s="166">
        <v>0</v>
      </c>
      <c r="BE1156" s="166">
        <v>0</v>
      </c>
      <c r="BF1156" s="166">
        <v>0</v>
      </c>
      <c r="BG1156" s="166">
        <v>0</v>
      </c>
      <c r="BH1156" s="166">
        <v>0</v>
      </c>
      <c r="BI1156" s="166">
        <v>0</v>
      </c>
      <c r="BJ1156" s="166">
        <v>0</v>
      </c>
      <c r="BK1156" s="166">
        <v>0</v>
      </c>
      <c r="BL1156" s="166">
        <v>0</v>
      </c>
      <c r="BM1156" s="166">
        <v>0</v>
      </c>
      <c r="BN1156" s="166">
        <v>0</v>
      </c>
      <c r="BO1156" s="166">
        <v>0</v>
      </c>
      <c r="BP1156" s="166">
        <v>0</v>
      </c>
      <c r="BQ1156" s="81" t="s">
        <v>1759</v>
      </c>
      <c r="BS1156" s="81" t="s">
        <v>155</v>
      </c>
      <c r="BZ1156" s="81" t="s">
        <v>155</v>
      </c>
      <c r="CA1156" s="81">
        <v>12</v>
      </c>
      <c r="CC1156" s="167">
        <v>0</v>
      </c>
      <c r="CD1156" s="167">
        <v>0</v>
      </c>
      <c r="CE1156" s="167">
        <v>0</v>
      </c>
      <c r="CF1156" s="167">
        <v>0</v>
      </c>
      <c r="CG1156" s="167">
        <v>0</v>
      </c>
      <c r="CH1156" s="167">
        <f>$N1156/2</f>
        <v>10</v>
      </c>
      <c r="CI1156" s="167">
        <f>$N1156/2</f>
        <v>10</v>
      </c>
      <c r="CJ1156" s="167">
        <v>0</v>
      </c>
      <c r="CK1156" s="167">
        <v>0</v>
      </c>
      <c r="CL1156" s="167">
        <v>0</v>
      </c>
      <c r="CM1156" s="167">
        <v>0</v>
      </c>
      <c r="CN1156" s="167">
        <v>0</v>
      </c>
      <c r="CO1156" s="167">
        <v>0</v>
      </c>
      <c r="CP1156" s="167">
        <v>0</v>
      </c>
      <c r="CQ1156" s="167">
        <v>0</v>
      </c>
      <c r="CR1156" s="167">
        <v>0</v>
      </c>
      <c r="CS1156" s="167">
        <v>0</v>
      </c>
      <c r="CT1156" s="167">
        <v>0</v>
      </c>
      <c r="CU1156" s="167">
        <v>0</v>
      </c>
      <c r="CV1156" s="167">
        <v>0</v>
      </c>
      <c r="CW1156" s="167">
        <v>0</v>
      </c>
      <c r="CX1156" s="167">
        <f>SUM(CD1156:CH1156)</f>
        <v>10</v>
      </c>
      <c r="CY1156" s="167">
        <f>SUM(CD1156:CM1156)</f>
        <v>20</v>
      </c>
    </row>
    <row r="1157" spans="1:103" ht="12.75" customHeight="1" x14ac:dyDescent="0.2">
      <c r="A1157" s="81">
        <v>1952</v>
      </c>
      <c r="B1157" s="165" t="s">
        <v>1952</v>
      </c>
      <c r="C1157" s="165" t="s">
        <v>1958</v>
      </c>
      <c r="E1157" s="165" t="s">
        <v>1959</v>
      </c>
      <c r="F1157" s="165" t="s">
        <v>1960</v>
      </c>
      <c r="G1157" s="81">
        <v>528781</v>
      </c>
      <c r="H1157" s="81">
        <v>177000</v>
      </c>
      <c r="I1157" s="165" t="s">
        <v>240</v>
      </c>
      <c r="L1157" s="166">
        <v>0</v>
      </c>
      <c r="M1157" s="166">
        <v>2</v>
      </c>
      <c r="N1157" s="166">
        <v>2</v>
      </c>
      <c r="O1157" s="166">
        <v>24</v>
      </c>
      <c r="P1157" s="166">
        <v>24</v>
      </c>
      <c r="Q1157" s="81" t="s">
        <v>155</v>
      </c>
      <c r="R1157" s="165" t="s">
        <v>1961</v>
      </c>
      <c r="S1157" s="81" t="s">
        <v>53</v>
      </c>
      <c r="T1157" s="349">
        <v>42657</v>
      </c>
      <c r="W1157" s="81" t="s">
        <v>114</v>
      </c>
      <c r="Y1157" s="81" t="s">
        <v>115</v>
      </c>
      <c r="Z1157" s="81" t="s">
        <v>116</v>
      </c>
      <c r="AA1157" s="81" t="s">
        <v>116</v>
      </c>
      <c r="AB1157" s="81" t="s">
        <v>117</v>
      </c>
      <c r="AC1157" s="166">
        <v>1.30000002682209E-2</v>
      </c>
      <c r="AG1157" s="81" t="s">
        <v>238</v>
      </c>
      <c r="AH1157" s="81" t="s">
        <v>118</v>
      </c>
      <c r="AK1157" s="166">
        <v>0</v>
      </c>
      <c r="AL1157" s="166">
        <v>2</v>
      </c>
      <c r="AM1157" s="166">
        <v>0</v>
      </c>
      <c r="AN1157" s="166">
        <v>0</v>
      </c>
      <c r="AO1157" s="166">
        <v>0</v>
      </c>
      <c r="AP1157" s="166">
        <v>1</v>
      </c>
      <c r="AQ1157" s="166">
        <v>1</v>
      </c>
      <c r="AR1157" s="166">
        <v>0</v>
      </c>
      <c r="AS1157" s="166">
        <v>0</v>
      </c>
      <c r="AT1157" s="166">
        <v>0</v>
      </c>
      <c r="AU1157" s="166">
        <v>0</v>
      </c>
      <c r="AV1157" s="166">
        <v>0</v>
      </c>
      <c r="AW1157" s="166">
        <v>1</v>
      </c>
      <c r="AX1157" s="166">
        <v>1</v>
      </c>
      <c r="AY1157" s="166">
        <v>0</v>
      </c>
      <c r="AZ1157" s="166">
        <v>0</v>
      </c>
      <c r="BA1157" s="166">
        <v>0</v>
      </c>
      <c r="BB1157" s="166">
        <v>0</v>
      </c>
      <c r="BC1157" s="166">
        <v>0</v>
      </c>
      <c r="BD1157" s="166">
        <v>0</v>
      </c>
      <c r="BE1157" s="166">
        <v>0</v>
      </c>
      <c r="BF1157" s="166">
        <v>0</v>
      </c>
      <c r="BG1157" s="166">
        <v>0</v>
      </c>
      <c r="BH1157" s="166">
        <v>0</v>
      </c>
      <c r="BI1157" s="166">
        <v>0</v>
      </c>
      <c r="BJ1157" s="166">
        <v>0</v>
      </c>
      <c r="BK1157" s="166">
        <v>0</v>
      </c>
      <c r="BL1157" s="166">
        <v>0</v>
      </c>
      <c r="BM1157" s="166">
        <v>0</v>
      </c>
      <c r="BN1157" s="166">
        <v>0</v>
      </c>
      <c r="BO1157" s="166">
        <v>0</v>
      </c>
      <c r="BP1157" s="166">
        <v>0</v>
      </c>
      <c r="BQ1157" s="81" t="s">
        <v>1759</v>
      </c>
      <c r="BS1157" s="81" t="s">
        <v>155</v>
      </c>
      <c r="BZ1157" s="81" t="s">
        <v>3991</v>
      </c>
      <c r="CA1157" s="81">
        <v>15</v>
      </c>
      <c r="CB1157" s="165" t="s">
        <v>3993</v>
      </c>
      <c r="CC1157" s="167">
        <v>0</v>
      </c>
      <c r="CD1157" s="167">
        <v>0</v>
      </c>
      <c r="CE1157" s="167">
        <v>0</v>
      </c>
      <c r="CF1157" s="167">
        <v>0</v>
      </c>
      <c r="CG1157" s="167">
        <v>0</v>
      </c>
      <c r="CH1157" s="167">
        <v>0</v>
      </c>
      <c r="CI1157" s="167">
        <v>0</v>
      </c>
      <c r="CJ1157" s="167">
        <v>0</v>
      </c>
      <c r="CK1157" s="167">
        <v>0</v>
      </c>
      <c r="CL1157" s="167">
        <v>0</v>
      </c>
      <c r="CM1157" s="167">
        <v>0</v>
      </c>
      <c r="CN1157" s="167">
        <v>0</v>
      </c>
      <c r="CO1157" s="167">
        <v>0</v>
      </c>
      <c r="CP1157" s="167">
        <v>0</v>
      </c>
      <c r="CQ1157" s="167">
        <v>0</v>
      </c>
      <c r="CR1157" s="167">
        <v>0</v>
      </c>
      <c r="CS1157" s="167">
        <v>0</v>
      </c>
      <c r="CT1157" s="167">
        <v>0</v>
      </c>
      <c r="CU1157" s="167">
        <v>0</v>
      </c>
      <c r="CV1157" s="167">
        <v>0</v>
      </c>
      <c r="CW1157" s="167">
        <v>0</v>
      </c>
      <c r="CX1157" s="167">
        <f>SUM(CD1157:CH1157)</f>
        <v>0</v>
      </c>
      <c r="CY1157" s="167">
        <f>SUM(CD1157:CM1157)</f>
        <v>0</v>
      </c>
    </row>
    <row r="1158" spans="1:103" ht="12.75" customHeight="1" x14ac:dyDescent="0.2">
      <c r="A1158" s="81">
        <v>1952</v>
      </c>
      <c r="B1158" s="165" t="s">
        <v>1952</v>
      </c>
      <c r="C1158" s="165" t="s">
        <v>1958</v>
      </c>
      <c r="E1158" s="165" t="s">
        <v>1959</v>
      </c>
      <c r="F1158" s="165" t="s">
        <v>1962</v>
      </c>
      <c r="G1158" s="81">
        <v>528781</v>
      </c>
      <c r="H1158" s="81">
        <v>177000</v>
      </c>
      <c r="I1158" s="165" t="s">
        <v>240</v>
      </c>
      <c r="L1158" s="166">
        <v>0</v>
      </c>
      <c r="M1158" s="166">
        <v>4</v>
      </c>
      <c r="N1158" s="166">
        <v>4</v>
      </c>
      <c r="O1158" s="166">
        <v>24</v>
      </c>
      <c r="P1158" s="166">
        <v>24</v>
      </c>
      <c r="Q1158" s="81" t="s">
        <v>155</v>
      </c>
      <c r="R1158" s="165" t="s">
        <v>1961</v>
      </c>
      <c r="S1158" s="81" t="s">
        <v>53</v>
      </c>
      <c r="T1158" s="349">
        <v>42657</v>
      </c>
      <c r="W1158" s="81" t="s">
        <v>114</v>
      </c>
      <c r="Y1158" s="81" t="s">
        <v>115</v>
      </c>
      <c r="Z1158" s="81" t="s">
        <v>116</v>
      </c>
      <c r="AA1158" s="81" t="s">
        <v>116</v>
      </c>
      <c r="AB1158" s="81" t="s">
        <v>117</v>
      </c>
      <c r="AC1158" s="166">
        <v>2.60000005364418E-2</v>
      </c>
      <c r="AG1158" s="81" t="s">
        <v>238</v>
      </c>
      <c r="AH1158" s="81" t="s">
        <v>118</v>
      </c>
      <c r="AK1158" s="166">
        <v>0</v>
      </c>
      <c r="AL1158" s="166">
        <v>1</v>
      </c>
      <c r="AM1158" s="166">
        <v>0</v>
      </c>
      <c r="AN1158" s="166">
        <v>3</v>
      </c>
      <c r="AO1158" s="166">
        <v>0</v>
      </c>
      <c r="AP1158" s="166">
        <v>0</v>
      </c>
      <c r="AQ1158" s="166">
        <v>4</v>
      </c>
      <c r="AR1158" s="166">
        <v>0</v>
      </c>
      <c r="AS1158" s="166">
        <v>0</v>
      </c>
      <c r="AT1158" s="166">
        <v>0</v>
      </c>
      <c r="AU1158" s="166">
        <v>0</v>
      </c>
      <c r="AV1158" s="166">
        <v>0</v>
      </c>
      <c r="AW1158" s="166">
        <v>0</v>
      </c>
      <c r="AX1158" s="166">
        <v>4</v>
      </c>
      <c r="AY1158" s="166">
        <v>0</v>
      </c>
      <c r="AZ1158" s="166">
        <v>0</v>
      </c>
      <c r="BA1158" s="166">
        <v>0</v>
      </c>
      <c r="BB1158" s="166">
        <v>0</v>
      </c>
      <c r="BC1158" s="166">
        <v>0</v>
      </c>
      <c r="BD1158" s="166">
        <v>0</v>
      </c>
      <c r="BE1158" s="166">
        <v>0</v>
      </c>
      <c r="BF1158" s="166">
        <v>0</v>
      </c>
      <c r="BG1158" s="166">
        <v>0</v>
      </c>
      <c r="BH1158" s="166">
        <v>0</v>
      </c>
      <c r="BI1158" s="166">
        <v>0</v>
      </c>
      <c r="BJ1158" s="166">
        <v>0</v>
      </c>
      <c r="BK1158" s="166">
        <v>0</v>
      </c>
      <c r="BL1158" s="166">
        <v>0</v>
      </c>
      <c r="BM1158" s="166">
        <v>0</v>
      </c>
      <c r="BN1158" s="166">
        <v>0</v>
      </c>
      <c r="BO1158" s="166">
        <v>0</v>
      </c>
      <c r="BP1158" s="166">
        <v>0</v>
      </c>
      <c r="BQ1158" s="81" t="s">
        <v>1759</v>
      </c>
      <c r="BS1158" s="81" t="s">
        <v>155</v>
      </c>
      <c r="BZ1158" s="81" t="s">
        <v>3991</v>
      </c>
      <c r="CA1158" s="81">
        <v>15</v>
      </c>
      <c r="CB1158" s="165" t="s">
        <v>3993</v>
      </c>
      <c r="CC1158" s="167">
        <v>0</v>
      </c>
      <c r="CD1158" s="167">
        <v>0</v>
      </c>
      <c r="CE1158" s="167">
        <v>0</v>
      </c>
      <c r="CF1158" s="167">
        <v>0</v>
      </c>
      <c r="CG1158" s="167">
        <v>0</v>
      </c>
      <c r="CH1158" s="167">
        <v>0</v>
      </c>
      <c r="CI1158" s="167">
        <v>0</v>
      </c>
      <c r="CJ1158" s="167">
        <v>0</v>
      </c>
      <c r="CK1158" s="167">
        <v>0</v>
      </c>
      <c r="CL1158" s="167">
        <v>0</v>
      </c>
      <c r="CM1158" s="167">
        <v>0</v>
      </c>
      <c r="CN1158" s="167">
        <v>0</v>
      </c>
      <c r="CO1158" s="167">
        <v>0</v>
      </c>
      <c r="CP1158" s="167">
        <v>0</v>
      </c>
      <c r="CQ1158" s="167">
        <v>0</v>
      </c>
      <c r="CR1158" s="167">
        <v>0</v>
      </c>
      <c r="CS1158" s="167">
        <v>0</v>
      </c>
      <c r="CT1158" s="167">
        <v>0</v>
      </c>
      <c r="CU1158" s="167">
        <v>0</v>
      </c>
      <c r="CV1158" s="167">
        <v>0</v>
      </c>
      <c r="CW1158" s="167">
        <v>0</v>
      </c>
      <c r="CX1158" s="167">
        <f>SUM(CD1158:CH1158)</f>
        <v>0</v>
      </c>
      <c r="CY1158" s="167">
        <f>SUM(CD1158:CM1158)</f>
        <v>0</v>
      </c>
    </row>
    <row r="1159" spans="1:103" ht="12.75" customHeight="1" x14ac:dyDescent="0.2">
      <c r="A1159" s="81">
        <v>1952</v>
      </c>
      <c r="B1159" s="165" t="s">
        <v>1952</v>
      </c>
      <c r="C1159" s="165" t="s">
        <v>1958</v>
      </c>
      <c r="E1159" s="165" t="s">
        <v>1959</v>
      </c>
      <c r="F1159" s="165" t="s">
        <v>1963</v>
      </c>
      <c r="G1159" s="81">
        <v>528781</v>
      </c>
      <c r="H1159" s="81">
        <v>177000</v>
      </c>
      <c r="I1159" s="165" t="s">
        <v>240</v>
      </c>
      <c r="L1159" s="166">
        <v>0</v>
      </c>
      <c r="M1159" s="166">
        <v>4</v>
      </c>
      <c r="N1159" s="166">
        <v>4</v>
      </c>
      <c r="O1159" s="166">
        <v>24</v>
      </c>
      <c r="P1159" s="166">
        <v>24</v>
      </c>
      <c r="Q1159" s="81" t="s">
        <v>155</v>
      </c>
      <c r="R1159" s="165" t="s">
        <v>1961</v>
      </c>
      <c r="S1159" s="81" t="s">
        <v>53</v>
      </c>
      <c r="T1159" s="349">
        <v>42657</v>
      </c>
      <c r="W1159" s="81" t="s">
        <v>114</v>
      </c>
      <c r="Y1159" s="81" t="s">
        <v>115</v>
      </c>
      <c r="Z1159" s="81" t="s">
        <v>116</v>
      </c>
      <c r="AA1159" s="81" t="s">
        <v>116</v>
      </c>
      <c r="AB1159" s="81" t="s">
        <v>117</v>
      </c>
      <c r="AC1159" s="166">
        <v>2.60000005364418E-2</v>
      </c>
      <c r="AG1159" s="81" t="s">
        <v>238</v>
      </c>
      <c r="AH1159" s="81" t="s">
        <v>118</v>
      </c>
      <c r="AK1159" s="166">
        <v>0</v>
      </c>
      <c r="AM1159" s="166">
        <v>0</v>
      </c>
      <c r="AO1159" s="166">
        <v>0</v>
      </c>
      <c r="AP1159" s="166">
        <v>0</v>
      </c>
      <c r="AQ1159" s="166">
        <v>4</v>
      </c>
      <c r="AR1159" s="166">
        <v>0</v>
      </c>
      <c r="AS1159" s="166">
        <v>0</v>
      </c>
      <c r="AT1159" s="166">
        <v>0</v>
      </c>
      <c r="AU1159" s="166">
        <v>0</v>
      </c>
      <c r="AV1159" s="166">
        <v>0</v>
      </c>
      <c r="AW1159" s="166">
        <v>0</v>
      </c>
      <c r="AX1159" s="166">
        <v>4</v>
      </c>
      <c r="AY1159" s="166">
        <v>0</v>
      </c>
      <c r="AZ1159" s="166">
        <v>0</v>
      </c>
      <c r="BA1159" s="166">
        <v>0</v>
      </c>
      <c r="BB1159" s="166">
        <v>0</v>
      </c>
      <c r="BC1159" s="166">
        <v>0</v>
      </c>
      <c r="BD1159" s="166">
        <v>0</v>
      </c>
      <c r="BE1159" s="166">
        <v>0</v>
      </c>
      <c r="BF1159" s="166">
        <v>0</v>
      </c>
      <c r="BG1159" s="166">
        <v>0</v>
      </c>
      <c r="BH1159" s="166">
        <v>0</v>
      </c>
      <c r="BI1159" s="166">
        <v>0</v>
      </c>
      <c r="BJ1159" s="166">
        <v>0</v>
      </c>
      <c r="BK1159" s="166">
        <v>0</v>
      </c>
      <c r="BL1159" s="166">
        <v>0</v>
      </c>
      <c r="BM1159" s="166">
        <v>0</v>
      </c>
      <c r="BN1159" s="166">
        <v>0</v>
      </c>
      <c r="BO1159" s="166">
        <v>0</v>
      </c>
      <c r="BP1159" s="166">
        <v>0</v>
      </c>
      <c r="BQ1159" s="81" t="s">
        <v>1759</v>
      </c>
      <c r="BS1159" s="81" t="s">
        <v>155</v>
      </c>
      <c r="BZ1159" s="81" t="s">
        <v>3991</v>
      </c>
      <c r="CA1159" s="81">
        <v>15</v>
      </c>
      <c r="CB1159" s="165" t="s">
        <v>3993</v>
      </c>
      <c r="CC1159" s="167">
        <v>0</v>
      </c>
      <c r="CD1159" s="167">
        <v>0</v>
      </c>
      <c r="CE1159" s="167">
        <v>0</v>
      </c>
      <c r="CF1159" s="167">
        <v>0</v>
      </c>
      <c r="CG1159" s="167">
        <v>0</v>
      </c>
      <c r="CH1159" s="167">
        <v>0</v>
      </c>
      <c r="CI1159" s="167">
        <v>0</v>
      </c>
      <c r="CJ1159" s="167">
        <v>0</v>
      </c>
      <c r="CK1159" s="167">
        <v>0</v>
      </c>
      <c r="CL1159" s="167">
        <v>0</v>
      </c>
      <c r="CM1159" s="167">
        <v>0</v>
      </c>
      <c r="CN1159" s="167">
        <v>0</v>
      </c>
      <c r="CO1159" s="167">
        <v>0</v>
      </c>
      <c r="CP1159" s="167">
        <v>0</v>
      </c>
      <c r="CQ1159" s="167">
        <v>0</v>
      </c>
      <c r="CR1159" s="167">
        <v>0</v>
      </c>
      <c r="CS1159" s="167">
        <v>0</v>
      </c>
      <c r="CT1159" s="167">
        <v>0</v>
      </c>
      <c r="CU1159" s="167">
        <v>0</v>
      </c>
      <c r="CV1159" s="167">
        <v>0</v>
      </c>
      <c r="CW1159" s="167">
        <v>0</v>
      </c>
      <c r="CX1159" s="167">
        <f>SUM(CD1159:CH1159)</f>
        <v>0</v>
      </c>
      <c r="CY1159" s="167">
        <f>SUM(CD1159:CM1159)</f>
        <v>0</v>
      </c>
    </row>
    <row r="1160" spans="1:103" ht="12.75" customHeight="1" x14ac:dyDescent="0.2">
      <c r="A1160" s="81">
        <v>1952</v>
      </c>
      <c r="B1160" s="165" t="s">
        <v>1952</v>
      </c>
      <c r="C1160" s="165" t="s">
        <v>1958</v>
      </c>
      <c r="E1160" s="165" t="s">
        <v>1959</v>
      </c>
      <c r="F1160" s="165" t="s">
        <v>1964</v>
      </c>
      <c r="G1160" s="81">
        <v>528781</v>
      </c>
      <c r="H1160" s="81">
        <v>177000</v>
      </c>
      <c r="I1160" s="165" t="s">
        <v>240</v>
      </c>
      <c r="L1160" s="166">
        <v>0</v>
      </c>
      <c r="M1160" s="166">
        <v>4</v>
      </c>
      <c r="N1160" s="166">
        <v>4</v>
      </c>
      <c r="O1160" s="166">
        <v>24</v>
      </c>
      <c r="P1160" s="166">
        <v>24</v>
      </c>
      <c r="Q1160" s="81" t="s">
        <v>155</v>
      </c>
      <c r="R1160" s="165" t="s">
        <v>1961</v>
      </c>
      <c r="S1160" s="81" t="s">
        <v>53</v>
      </c>
      <c r="T1160" s="349">
        <v>42657</v>
      </c>
      <c r="W1160" s="81" t="s">
        <v>114</v>
      </c>
      <c r="Y1160" s="81" t="s">
        <v>115</v>
      </c>
      <c r="Z1160" s="81" t="s">
        <v>116</v>
      </c>
      <c r="AA1160" s="81" t="s">
        <v>116</v>
      </c>
      <c r="AB1160" s="81" t="s">
        <v>117</v>
      </c>
      <c r="AC1160" s="166">
        <v>2.5000000372528999E-2</v>
      </c>
      <c r="AG1160" s="81" t="s">
        <v>238</v>
      </c>
      <c r="AH1160" s="81" t="s">
        <v>118</v>
      </c>
      <c r="AK1160" s="166">
        <v>0</v>
      </c>
      <c r="AM1160" s="166">
        <v>0</v>
      </c>
      <c r="AO1160" s="166">
        <v>0</v>
      </c>
      <c r="AP1160" s="166">
        <v>0</v>
      </c>
      <c r="AQ1160" s="166">
        <v>4</v>
      </c>
      <c r="AR1160" s="166">
        <v>0</v>
      </c>
      <c r="AS1160" s="166">
        <v>0</v>
      </c>
      <c r="AT1160" s="166">
        <v>0</v>
      </c>
      <c r="AU1160" s="166">
        <v>0</v>
      </c>
      <c r="AV1160" s="166">
        <v>0</v>
      </c>
      <c r="AW1160" s="166">
        <v>0</v>
      </c>
      <c r="AX1160" s="166">
        <v>4</v>
      </c>
      <c r="AY1160" s="166">
        <v>0</v>
      </c>
      <c r="AZ1160" s="166">
        <v>0</v>
      </c>
      <c r="BA1160" s="166">
        <v>0</v>
      </c>
      <c r="BB1160" s="166">
        <v>0</v>
      </c>
      <c r="BC1160" s="166">
        <v>0</v>
      </c>
      <c r="BD1160" s="166">
        <v>0</v>
      </c>
      <c r="BE1160" s="166">
        <v>0</v>
      </c>
      <c r="BF1160" s="166">
        <v>0</v>
      </c>
      <c r="BG1160" s="166">
        <v>0</v>
      </c>
      <c r="BH1160" s="166">
        <v>0</v>
      </c>
      <c r="BI1160" s="166">
        <v>0</v>
      </c>
      <c r="BJ1160" s="166">
        <v>0</v>
      </c>
      <c r="BK1160" s="166">
        <v>0</v>
      </c>
      <c r="BL1160" s="166">
        <v>0</v>
      </c>
      <c r="BM1160" s="166">
        <v>0</v>
      </c>
      <c r="BN1160" s="166">
        <v>0</v>
      </c>
      <c r="BO1160" s="166">
        <v>0</v>
      </c>
      <c r="BP1160" s="166">
        <v>0</v>
      </c>
      <c r="BQ1160" s="81" t="s">
        <v>1759</v>
      </c>
      <c r="BS1160" s="81" t="s">
        <v>155</v>
      </c>
      <c r="BZ1160" s="81" t="s">
        <v>3991</v>
      </c>
      <c r="CA1160" s="81">
        <v>15</v>
      </c>
      <c r="CB1160" s="165" t="s">
        <v>3993</v>
      </c>
      <c r="CC1160" s="167">
        <v>0</v>
      </c>
      <c r="CD1160" s="167">
        <v>0</v>
      </c>
      <c r="CE1160" s="167">
        <v>0</v>
      </c>
      <c r="CF1160" s="167">
        <v>0</v>
      </c>
      <c r="CG1160" s="167">
        <v>0</v>
      </c>
      <c r="CH1160" s="167">
        <v>0</v>
      </c>
      <c r="CI1160" s="167">
        <v>0</v>
      </c>
      <c r="CJ1160" s="167">
        <v>0</v>
      </c>
      <c r="CK1160" s="167">
        <v>0</v>
      </c>
      <c r="CL1160" s="167">
        <v>0</v>
      </c>
      <c r="CM1160" s="167">
        <v>0</v>
      </c>
      <c r="CN1160" s="167">
        <v>0</v>
      </c>
      <c r="CO1160" s="167">
        <v>0</v>
      </c>
      <c r="CP1160" s="167">
        <v>0</v>
      </c>
      <c r="CQ1160" s="167">
        <v>0</v>
      </c>
      <c r="CR1160" s="167">
        <v>0</v>
      </c>
      <c r="CS1160" s="167">
        <v>0</v>
      </c>
      <c r="CT1160" s="167">
        <v>0</v>
      </c>
      <c r="CU1160" s="167">
        <v>0</v>
      </c>
      <c r="CV1160" s="167">
        <v>0</v>
      </c>
      <c r="CW1160" s="167">
        <v>0</v>
      </c>
      <c r="CX1160" s="167">
        <f>SUM(CD1160:CH1160)</f>
        <v>0</v>
      </c>
      <c r="CY1160" s="167">
        <f>SUM(CD1160:CM1160)</f>
        <v>0</v>
      </c>
    </row>
    <row r="1161" spans="1:103" ht="12.75" customHeight="1" x14ac:dyDescent="0.2">
      <c r="A1161" s="81">
        <v>1952</v>
      </c>
      <c r="B1161" s="165" t="s">
        <v>1952</v>
      </c>
      <c r="C1161" s="165" t="s">
        <v>1958</v>
      </c>
      <c r="E1161" s="165" t="s">
        <v>1959</v>
      </c>
      <c r="F1161" s="165" t="s">
        <v>1965</v>
      </c>
      <c r="G1161" s="81">
        <v>528781</v>
      </c>
      <c r="H1161" s="81">
        <v>177000</v>
      </c>
      <c r="I1161" s="165" t="s">
        <v>240</v>
      </c>
      <c r="L1161" s="166">
        <v>0</v>
      </c>
      <c r="M1161" s="166">
        <v>4</v>
      </c>
      <c r="N1161" s="166">
        <v>4</v>
      </c>
      <c r="O1161" s="166">
        <v>24</v>
      </c>
      <c r="P1161" s="166">
        <v>24</v>
      </c>
      <c r="Q1161" s="81" t="s">
        <v>155</v>
      </c>
      <c r="R1161" s="165" t="s">
        <v>1961</v>
      </c>
      <c r="S1161" s="81" t="s">
        <v>53</v>
      </c>
      <c r="T1161" s="349">
        <v>42657</v>
      </c>
      <c r="W1161" s="81" t="s">
        <v>114</v>
      </c>
      <c r="Y1161" s="81" t="s">
        <v>115</v>
      </c>
      <c r="Z1161" s="81" t="s">
        <v>116</v>
      </c>
      <c r="AA1161" s="81" t="s">
        <v>116</v>
      </c>
      <c r="AB1161" s="81" t="s">
        <v>117</v>
      </c>
      <c r="AC1161" s="166">
        <v>2.5000000372528999E-2</v>
      </c>
      <c r="AG1161" s="81" t="s">
        <v>238</v>
      </c>
      <c r="AH1161" s="81" t="s">
        <v>118</v>
      </c>
      <c r="AK1161" s="166">
        <v>0</v>
      </c>
      <c r="AM1161" s="166">
        <v>0</v>
      </c>
      <c r="AO1161" s="166">
        <v>0</v>
      </c>
      <c r="AP1161" s="166">
        <v>0</v>
      </c>
      <c r="AQ1161" s="166">
        <v>4</v>
      </c>
      <c r="AR1161" s="166">
        <v>0</v>
      </c>
      <c r="AS1161" s="166">
        <v>0</v>
      </c>
      <c r="AT1161" s="166">
        <v>0</v>
      </c>
      <c r="AU1161" s="166">
        <v>0</v>
      </c>
      <c r="AV1161" s="166">
        <v>0</v>
      </c>
      <c r="AW1161" s="166">
        <v>0</v>
      </c>
      <c r="AX1161" s="166">
        <v>4</v>
      </c>
      <c r="AY1161" s="166">
        <v>0</v>
      </c>
      <c r="AZ1161" s="166">
        <v>0</v>
      </c>
      <c r="BA1161" s="166">
        <v>0</v>
      </c>
      <c r="BB1161" s="166">
        <v>0</v>
      </c>
      <c r="BC1161" s="166">
        <v>0</v>
      </c>
      <c r="BD1161" s="166">
        <v>0</v>
      </c>
      <c r="BE1161" s="166">
        <v>0</v>
      </c>
      <c r="BF1161" s="166">
        <v>0</v>
      </c>
      <c r="BG1161" s="166">
        <v>0</v>
      </c>
      <c r="BH1161" s="166">
        <v>0</v>
      </c>
      <c r="BI1161" s="166">
        <v>0</v>
      </c>
      <c r="BJ1161" s="166">
        <v>0</v>
      </c>
      <c r="BK1161" s="166">
        <v>0</v>
      </c>
      <c r="BL1161" s="166">
        <v>0</v>
      </c>
      <c r="BM1161" s="166">
        <v>0</v>
      </c>
      <c r="BN1161" s="166">
        <v>0</v>
      </c>
      <c r="BO1161" s="166">
        <v>0</v>
      </c>
      <c r="BP1161" s="166">
        <v>0</v>
      </c>
      <c r="BQ1161" s="81" t="s">
        <v>1759</v>
      </c>
      <c r="BS1161" s="81" t="s">
        <v>155</v>
      </c>
      <c r="BZ1161" s="81" t="s">
        <v>3991</v>
      </c>
      <c r="CA1161" s="81">
        <v>15</v>
      </c>
      <c r="CB1161" s="165" t="s">
        <v>3993</v>
      </c>
      <c r="CC1161" s="167">
        <v>0</v>
      </c>
      <c r="CD1161" s="167">
        <v>0</v>
      </c>
      <c r="CE1161" s="167">
        <v>0</v>
      </c>
      <c r="CF1161" s="167">
        <v>0</v>
      </c>
      <c r="CG1161" s="167">
        <v>0</v>
      </c>
      <c r="CH1161" s="167">
        <v>0</v>
      </c>
      <c r="CI1161" s="167">
        <v>0</v>
      </c>
      <c r="CJ1161" s="167">
        <v>0</v>
      </c>
      <c r="CK1161" s="167">
        <v>0</v>
      </c>
      <c r="CL1161" s="167">
        <v>0</v>
      </c>
      <c r="CM1161" s="167">
        <v>0</v>
      </c>
      <c r="CN1161" s="167">
        <v>0</v>
      </c>
      <c r="CO1161" s="167">
        <v>0</v>
      </c>
      <c r="CP1161" s="167">
        <v>0</v>
      </c>
      <c r="CQ1161" s="167">
        <v>0</v>
      </c>
      <c r="CR1161" s="167">
        <v>0</v>
      </c>
      <c r="CS1161" s="167">
        <v>0</v>
      </c>
      <c r="CT1161" s="167">
        <v>0</v>
      </c>
      <c r="CU1161" s="167">
        <v>0</v>
      </c>
      <c r="CV1161" s="167">
        <v>0</v>
      </c>
      <c r="CW1161" s="167">
        <v>0</v>
      </c>
      <c r="CX1161" s="167">
        <f>SUM(CD1161:CH1161)</f>
        <v>0</v>
      </c>
      <c r="CY1161" s="167">
        <f>SUM(CD1161:CM1161)</f>
        <v>0</v>
      </c>
    </row>
    <row r="1162" spans="1:103" ht="12.75" customHeight="1" x14ac:dyDescent="0.2">
      <c r="A1162" s="81">
        <v>1952</v>
      </c>
      <c r="B1162" s="165" t="s">
        <v>1952</v>
      </c>
      <c r="C1162" s="165" t="s">
        <v>1958</v>
      </c>
      <c r="E1162" s="165" t="s">
        <v>1959</v>
      </c>
      <c r="F1162" s="165" t="s">
        <v>1966</v>
      </c>
      <c r="G1162" s="81">
        <v>528781</v>
      </c>
      <c r="H1162" s="81">
        <v>177000</v>
      </c>
      <c r="I1162" s="165" t="s">
        <v>240</v>
      </c>
      <c r="L1162" s="166">
        <v>0</v>
      </c>
      <c r="M1162" s="166">
        <v>4</v>
      </c>
      <c r="N1162" s="166">
        <v>4</v>
      </c>
      <c r="O1162" s="166">
        <v>24</v>
      </c>
      <c r="P1162" s="166">
        <v>24</v>
      </c>
      <c r="Q1162" s="81" t="s">
        <v>155</v>
      </c>
      <c r="R1162" s="165" t="s">
        <v>1961</v>
      </c>
      <c r="S1162" s="81" t="s">
        <v>53</v>
      </c>
      <c r="T1162" s="349">
        <v>42657</v>
      </c>
      <c r="W1162" s="81" t="s">
        <v>114</v>
      </c>
      <c r="Y1162" s="81" t="s">
        <v>115</v>
      </c>
      <c r="Z1162" s="81" t="s">
        <v>116</v>
      </c>
      <c r="AA1162" s="81" t="s">
        <v>116</v>
      </c>
      <c r="AB1162" s="81" t="s">
        <v>117</v>
      </c>
      <c r="AC1162" s="166">
        <v>2.5000000372528999E-2</v>
      </c>
      <c r="AG1162" s="81" t="s">
        <v>238</v>
      </c>
      <c r="AH1162" s="81" t="s">
        <v>118</v>
      </c>
      <c r="AK1162" s="166">
        <v>0</v>
      </c>
      <c r="AM1162" s="166">
        <v>0</v>
      </c>
      <c r="AO1162" s="166">
        <v>0</v>
      </c>
      <c r="AP1162" s="166">
        <v>0</v>
      </c>
      <c r="AQ1162" s="166">
        <v>4</v>
      </c>
      <c r="AR1162" s="166">
        <v>0</v>
      </c>
      <c r="AS1162" s="166">
        <v>0</v>
      </c>
      <c r="AT1162" s="166">
        <v>0</v>
      </c>
      <c r="AU1162" s="166">
        <v>0</v>
      </c>
      <c r="AV1162" s="166">
        <v>0</v>
      </c>
      <c r="AW1162" s="166">
        <v>0</v>
      </c>
      <c r="AX1162" s="166">
        <v>4</v>
      </c>
      <c r="AY1162" s="166">
        <v>0</v>
      </c>
      <c r="AZ1162" s="166">
        <v>0</v>
      </c>
      <c r="BA1162" s="166">
        <v>0</v>
      </c>
      <c r="BB1162" s="166">
        <v>0</v>
      </c>
      <c r="BC1162" s="166">
        <v>0</v>
      </c>
      <c r="BD1162" s="166">
        <v>0</v>
      </c>
      <c r="BE1162" s="166">
        <v>0</v>
      </c>
      <c r="BF1162" s="166">
        <v>0</v>
      </c>
      <c r="BG1162" s="166">
        <v>0</v>
      </c>
      <c r="BH1162" s="166">
        <v>0</v>
      </c>
      <c r="BI1162" s="166">
        <v>0</v>
      </c>
      <c r="BJ1162" s="166">
        <v>0</v>
      </c>
      <c r="BK1162" s="166">
        <v>0</v>
      </c>
      <c r="BL1162" s="166">
        <v>0</v>
      </c>
      <c r="BM1162" s="166">
        <v>0</v>
      </c>
      <c r="BN1162" s="166">
        <v>0</v>
      </c>
      <c r="BO1162" s="166">
        <v>0</v>
      </c>
      <c r="BP1162" s="166">
        <v>0</v>
      </c>
      <c r="BQ1162" s="81" t="s">
        <v>1759</v>
      </c>
      <c r="BS1162" s="81" t="s">
        <v>155</v>
      </c>
      <c r="BZ1162" s="81" t="s">
        <v>3991</v>
      </c>
      <c r="CA1162" s="81">
        <v>15</v>
      </c>
      <c r="CB1162" s="165" t="s">
        <v>3993</v>
      </c>
      <c r="CC1162" s="167">
        <v>0</v>
      </c>
      <c r="CD1162" s="167">
        <v>0</v>
      </c>
      <c r="CE1162" s="167">
        <v>0</v>
      </c>
      <c r="CF1162" s="167">
        <v>0</v>
      </c>
      <c r="CG1162" s="167">
        <v>0</v>
      </c>
      <c r="CH1162" s="167">
        <v>0</v>
      </c>
      <c r="CI1162" s="167">
        <v>0</v>
      </c>
      <c r="CJ1162" s="167">
        <v>0</v>
      </c>
      <c r="CK1162" s="167">
        <v>0</v>
      </c>
      <c r="CL1162" s="167">
        <v>0</v>
      </c>
      <c r="CM1162" s="167">
        <v>0</v>
      </c>
      <c r="CN1162" s="167">
        <v>0</v>
      </c>
      <c r="CO1162" s="167">
        <v>0</v>
      </c>
      <c r="CP1162" s="167">
        <v>0</v>
      </c>
      <c r="CQ1162" s="167">
        <v>0</v>
      </c>
      <c r="CR1162" s="167">
        <v>0</v>
      </c>
      <c r="CS1162" s="167">
        <v>0</v>
      </c>
      <c r="CT1162" s="167">
        <v>0</v>
      </c>
      <c r="CU1162" s="167">
        <v>0</v>
      </c>
      <c r="CV1162" s="167">
        <v>0</v>
      </c>
      <c r="CW1162" s="167">
        <v>0</v>
      </c>
      <c r="CX1162" s="167">
        <f>SUM(CD1162:CH1162)</f>
        <v>0</v>
      </c>
      <c r="CY1162" s="167">
        <f>SUM(CD1162:CM1162)</f>
        <v>0</v>
      </c>
    </row>
    <row r="1163" spans="1:103" ht="12.75" customHeight="1" x14ac:dyDescent="0.2">
      <c r="A1163" s="81">
        <v>1952</v>
      </c>
      <c r="B1163" s="165" t="s">
        <v>1952</v>
      </c>
      <c r="C1163" s="165" t="s">
        <v>1958</v>
      </c>
      <c r="E1163" s="165" t="s">
        <v>1959</v>
      </c>
      <c r="F1163" s="165" t="s">
        <v>1969</v>
      </c>
      <c r="G1163" s="81">
        <v>528781</v>
      </c>
      <c r="H1163" s="81">
        <v>177000</v>
      </c>
      <c r="I1163" s="165" t="s">
        <v>240</v>
      </c>
      <c r="L1163" s="166">
        <v>0</v>
      </c>
      <c r="M1163" s="166">
        <v>2</v>
      </c>
      <c r="N1163" s="166">
        <v>2</v>
      </c>
      <c r="O1163" s="166">
        <v>24</v>
      </c>
      <c r="P1163" s="166">
        <v>24</v>
      </c>
      <c r="Q1163" s="81" t="s">
        <v>155</v>
      </c>
      <c r="R1163" s="165" t="s">
        <v>1961</v>
      </c>
      <c r="S1163" s="81" t="s">
        <v>53</v>
      </c>
      <c r="T1163" s="349">
        <v>42657</v>
      </c>
      <c r="W1163" s="81" t="s">
        <v>114</v>
      </c>
      <c r="Y1163" s="81" t="s">
        <v>115</v>
      </c>
      <c r="Z1163" s="81" t="s">
        <v>116</v>
      </c>
      <c r="AA1163" s="81" t="s">
        <v>116</v>
      </c>
      <c r="AB1163" s="81" t="s">
        <v>117</v>
      </c>
      <c r="AC1163" s="166">
        <v>1.30000002682209E-2</v>
      </c>
      <c r="AG1163" s="81" t="s">
        <v>238</v>
      </c>
      <c r="AH1163" s="81" t="s">
        <v>118</v>
      </c>
      <c r="AK1163" s="166">
        <v>0</v>
      </c>
      <c r="AM1163" s="166">
        <v>0</v>
      </c>
      <c r="AO1163" s="166">
        <v>0</v>
      </c>
      <c r="AP1163" s="166">
        <v>0</v>
      </c>
      <c r="AQ1163" s="166">
        <v>2</v>
      </c>
      <c r="AR1163" s="166">
        <v>0</v>
      </c>
      <c r="AS1163" s="166">
        <v>0</v>
      </c>
      <c r="AT1163" s="166">
        <v>0</v>
      </c>
      <c r="AU1163" s="166">
        <v>0</v>
      </c>
      <c r="AV1163" s="166">
        <v>0</v>
      </c>
      <c r="AW1163" s="166">
        <v>0</v>
      </c>
      <c r="AX1163" s="166">
        <v>2</v>
      </c>
      <c r="AY1163" s="166">
        <v>0</v>
      </c>
      <c r="AZ1163" s="166">
        <v>0</v>
      </c>
      <c r="BA1163" s="166">
        <v>0</v>
      </c>
      <c r="BB1163" s="166">
        <v>0</v>
      </c>
      <c r="BC1163" s="166">
        <v>0</v>
      </c>
      <c r="BD1163" s="166">
        <v>0</v>
      </c>
      <c r="BE1163" s="166">
        <v>0</v>
      </c>
      <c r="BF1163" s="166">
        <v>0</v>
      </c>
      <c r="BG1163" s="166">
        <v>0</v>
      </c>
      <c r="BH1163" s="166">
        <v>0</v>
      </c>
      <c r="BI1163" s="166">
        <v>0</v>
      </c>
      <c r="BJ1163" s="166">
        <v>0</v>
      </c>
      <c r="BK1163" s="166">
        <v>0</v>
      </c>
      <c r="BL1163" s="166">
        <v>0</v>
      </c>
      <c r="BM1163" s="166">
        <v>0</v>
      </c>
      <c r="BN1163" s="166">
        <v>0</v>
      </c>
      <c r="BO1163" s="166">
        <v>0</v>
      </c>
      <c r="BP1163" s="166">
        <v>0</v>
      </c>
      <c r="BQ1163" s="81" t="s">
        <v>1759</v>
      </c>
      <c r="BS1163" s="81" t="s">
        <v>155</v>
      </c>
      <c r="BZ1163" s="81" t="s">
        <v>3991</v>
      </c>
      <c r="CA1163" s="81">
        <v>15</v>
      </c>
      <c r="CB1163" s="165" t="s">
        <v>3993</v>
      </c>
      <c r="CC1163" s="167">
        <v>0</v>
      </c>
      <c r="CD1163" s="167">
        <v>0</v>
      </c>
      <c r="CE1163" s="167">
        <v>0</v>
      </c>
      <c r="CF1163" s="167">
        <v>0</v>
      </c>
      <c r="CG1163" s="167">
        <v>0</v>
      </c>
      <c r="CH1163" s="167">
        <v>0</v>
      </c>
      <c r="CI1163" s="167">
        <v>0</v>
      </c>
      <c r="CJ1163" s="167">
        <v>0</v>
      </c>
      <c r="CK1163" s="167">
        <v>0</v>
      </c>
      <c r="CL1163" s="167">
        <v>0</v>
      </c>
      <c r="CM1163" s="167">
        <v>0</v>
      </c>
      <c r="CN1163" s="167">
        <v>0</v>
      </c>
      <c r="CO1163" s="167">
        <v>0</v>
      </c>
      <c r="CP1163" s="167">
        <v>0</v>
      </c>
      <c r="CQ1163" s="167">
        <v>0</v>
      </c>
      <c r="CR1163" s="167">
        <v>0</v>
      </c>
      <c r="CS1163" s="167">
        <v>0</v>
      </c>
      <c r="CT1163" s="167">
        <v>0</v>
      </c>
      <c r="CU1163" s="167">
        <v>0</v>
      </c>
      <c r="CV1163" s="167">
        <v>0</v>
      </c>
      <c r="CW1163" s="167">
        <v>0</v>
      </c>
      <c r="CX1163" s="167">
        <f>SUM(CD1163:CH1163)</f>
        <v>0</v>
      </c>
      <c r="CY1163" s="167">
        <f>SUM(CD1163:CM1163)</f>
        <v>0</v>
      </c>
    </row>
    <row r="1164" spans="1:103" ht="12.75" customHeight="1" x14ac:dyDescent="0.2">
      <c r="A1164" s="81">
        <v>3519</v>
      </c>
      <c r="B1164" s="165" t="s">
        <v>1952</v>
      </c>
      <c r="C1164" s="165" t="s">
        <v>1617</v>
      </c>
      <c r="E1164" s="165" t="s">
        <v>2790</v>
      </c>
      <c r="G1164" s="81">
        <v>525782</v>
      </c>
      <c r="H1164" s="81">
        <v>175172</v>
      </c>
      <c r="I1164" s="165" t="s">
        <v>251</v>
      </c>
      <c r="L1164" s="166">
        <v>0</v>
      </c>
      <c r="M1164" s="166">
        <v>336</v>
      </c>
      <c r="N1164" s="166">
        <v>336</v>
      </c>
      <c r="O1164" s="166">
        <v>517</v>
      </c>
      <c r="P1164" s="166">
        <v>517</v>
      </c>
      <c r="Q1164" s="81" t="s">
        <v>155</v>
      </c>
      <c r="R1164" s="165" t="s">
        <v>1618</v>
      </c>
      <c r="S1164" s="81" t="s">
        <v>53</v>
      </c>
      <c r="T1164" s="349">
        <v>42766</v>
      </c>
      <c r="W1164" s="81" t="s">
        <v>114</v>
      </c>
      <c r="Y1164" s="81" t="s">
        <v>115</v>
      </c>
      <c r="Z1164" s="81" t="s">
        <v>116</v>
      </c>
      <c r="AA1164" s="81" t="s">
        <v>116</v>
      </c>
      <c r="AB1164" s="81" t="s">
        <v>117</v>
      </c>
      <c r="AC1164" s="166">
        <v>0</v>
      </c>
      <c r="AG1164" s="81" t="s">
        <v>238</v>
      </c>
      <c r="AH1164" s="81" t="s">
        <v>118</v>
      </c>
      <c r="AI1164" s="81" t="s">
        <v>2791</v>
      </c>
      <c r="AK1164" s="166">
        <v>336</v>
      </c>
      <c r="AM1164" s="166">
        <v>34</v>
      </c>
      <c r="AO1164" s="166">
        <v>0</v>
      </c>
      <c r="AP1164" s="166">
        <v>77</v>
      </c>
      <c r="AQ1164" s="166">
        <v>221</v>
      </c>
      <c r="AR1164" s="166">
        <v>38</v>
      </c>
      <c r="AS1164" s="166">
        <v>0</v>
      </c>
      <c r="AT1164" s="166">
        <v>0</v>
      </c>
      <c r="AU1164" s="166">
        <v>0</v>
      </c>
      <c r="AV1164" s="166">
        <v>0</v>
      </c>
      <c r="AW1164" s="166">
        <v>77</v>
      </c>
      <c r="AX1164" s="166">
        <v>221</v>
      </c>
      <c r="AY1164" s="166">
        <v>38</v>
      </c>
      <c r="AZ1164" s="166">
        <v>0</v>
      </c>
      <c r="BA1164" s="166">
        <v>0</v>
      </c>
      <c r="BB1164" s="166">
        <v>0</v>
      </c>
      <c r="BC1164" s="166">
        <v>0</v>
      </c>
      <c r="BD1164" s="166">
        <v>0</v>
      </c>
      <c r="BE1164" s="166">
        <v>0</v>
      </c>
      <c r="BF1164" s="166">
        <v>0</v>
      </c>
      <c r="BG1164" s="166">
        <v>0</v>
      </c>
      <c r="BH1164" s="166">
        <v>0</v>
      </c>
      <c r="BI1164" s="166">
        <v>0</v>
      </c>
      <c r="BJ1164" s="166">
        <v>0</v>
      </c>
      <c r="BK1164" s="166">
        <v>0</v>
      </c>
      <c r="BL1164" s="166">
        <v>0</v>
      </c>
      <c r="BM1164" s="166">
        <v>0</v>
      </c>
      <c r="BN1164" s="166">
        <v>0</v>
      </c>
      <c r="BO1164" s="166">
        <v>0</v>
      </c>
      <c r="BP1164" s="166">
        <v>0</v>
      </c>
      <c r="BQ1164" s="81" t="s">
        <v>1758</v>
      </c>
      <c r="BT1164" s="81" t="s">
        <v>155</v>
      </c>
      <c r="BZ1164" s="81" t="s">
        <v>155</v>
      </c>
      <c r="CA1164" s="81" t="s">
        <v>3968</v>
      </c>
      <c r="CC1164" s="167">
        <v>0</v>
      </c>
      <c r="CD1164" s="167">
        <v>0</v>
      </c>
      <c r="CE1164" s="167">
        <v>0</v>
      </c>
      <c r="CF1164" s="167">
        <v>0</v>
      </c>
      <c r="CG1164" s="167">
        <v>0</v>
      </c>
      <c r="CH1164" s="167">
        <f>$N1164/3</f>
        <v>112</v>
      </c>
      <c r="CI1164" s="167">
        <f>$N1164/3</f>
        <v>112</v>
      </c>
      <c r="CJ1164" s="167">
        <f>$N1164/3</f>
        <v>112</v>
      </c>
      <c r="CK1164" s="167">
        <v>0</v>
      </c>
      <c r="CL1164" s="167">
        <v>0</v>
      </c>
      <c r="CM1164" s="167">
        <v>0</v>
      </c>
      <c r="CN1164" s="167">
        <v>0</v>
      </c>
      <c r="CO1164" s="167">
        <v>0</v>
      </c>
      <c r="CP1164" s="167">
        <v>0</v>
      </c>
      <c r="CQ1164" s="167">
        <v>0</v>
      </c>
      <c r="CR1164" s="167">
        <v>0</v>
      </c>
      <c r="CS1164" s="167">
        <v>0</v>
      </c>
      <c r="CT1164" s="167">
        <v>0</v>
      </c>
      <c r="CU1164" s="167">
        <v>0</v>
      </c>
      <c r="CV1164" s="167">
        <v>0</v>
      </c>
      <c r="CW1164" s="167">
        <v>0</v>
      </c>
      <c r="CX1164" s="167">
        <f>SUM(CD1164:CH1164)</f>
        <v>112</v>
      </c>
      <c r="CY1164" s="167">
        <f>SUM(CD1164:CM1164)</f>
        <v>336</v>
      </c>
    </row>
    <row r="1165" spans="1:103" ht="12.75" customHeight="1" x14ac:dyDescent="0.2">
      <c r="A1165" s="81">
        <v>3519</v>
      </c>
      <c r="B1165" s="165" t="s">
        <v>1952</v>
      </c>
      <c r="C1165" s="165" t="s">
        <v>1617</v>
      </c>
      <c r="E1165" s="165" t="s">
        <v>2790</v>
      </c>
      <c r="G1165" s="81">
        <v>525782</v>
      </c>
      <c r="H1165" s="81">
        <v>175172</v>
      </c>
      <c r="I1165" s="165" t="s">
        <v>251</v>
      </c>
      <c r="L1165" s="166">
        <v>0</v>
      </c>
      <c r="M1165" s="166">
        <v>181</v>
      </c>
      <c r="N1165" s="166">
        <v>181</v>
      </c>
      <c r="O1165" s="166">
        <v>517</v>
      </c>
      <c r="P1165" s="166">
        <v>517</v>
      </c>
      <c r="Q1165" s="81" t="s">
        <v>155</v>
      </c>
      <c r="R1165" s="165" t="s">
        <v>1618</v>
      </c>
      <c r="S1165" s="81" t="s">
        <v>53</v>
      </c>
      <c r="T1165" s="349">
        <v>42766</v>
      </c>
      <c r="W1165" s="81" t="s">
        <v>114</v>
      </c>
      <c r="Y1165" s="81" t="s">
        <v>115</v>
      </c>
      <c r="Z1165" s="81" t="s">
        <v>116</v>
      </c>
      <c r="AA1165" s="81" t="s">
        <v>116</v>
      </c>
      <c r="AB1165" s="81" t="s">
        <v>117</v>
      </c>
      <c r="AC1165" s="166">
        <v>0</v>
      </c>
      <c r="AG1165" s="81" t="s">
        <v>74</v>
      </c>
      <c r="AH1165" s="81" t="s">
        <v>880</v>
      </c>
      <c r="AI1165" s="81" t="s">
        <v>2791</v>
      </c>
      <c r="AK1165" s="166">
        <v>181</v>
      </c>
      <c r="AM1165" s="166">
        <v>18</v>
      </c>
      <c r="AO1165" s="166">
        <v>0</v>
      </c>
      <c r="AP1165" s="166">
        <v>46</v>
      </c>
      <c r="AQ1165" s="166">
        <v>118</v>
      </c>
      <c r="AR1165" s="166">
        <v>17</v>
      </c>
      <c r="AS1165" s="166">
        <v>0</v>
      </c>
      <c r="AT1165" s="166">
        <v>0</v>
      </c>
      <c r="AU1165" s="166">
        <v>0</v>
      </c>
      <c r="AV1165" s="166">
        <v>0</v>
      </c>
      <c r="AW1165" s="166">
        <v>46</v>
      </c>
      <c r="AX1165" s="166">
        <v>118</v>
      </c>
      <c r="AY1165" s="166">
        <v>17</v>
      </c>
      <c r="AZ1165" s="166">
        <v>0</v>
      </c>
      <c r="BA1165" s="166">
        <v>0</v>
      </c>
      <c r="BB1165" s="166">
        <v>0</v>
      </c>
      <c r="BC1165" s="166">
        <v>0</v>
      </c>
      <c r="BD1165" s="166">
        <v>0</v>
      </c>
      <c r="BE1165" s="166">
        <v>0</v>
      </c>
      <c r="BF1165" s="166">
        <v>0</v>
      </c>
      <c r="BG1165" s="166">
        <v>0</v>
      </c>
      <c r="BH1165" s="166">
        <v>0</v>
      </c>
      <c r="BI1165" s="166">
        <v>0</v>
      </c>
      <c r="BJ1165" s="166">
        <v>0</v>
      </c>
      <c r="BK1165" s="166">
        <v>0</v>
      </c>
      <c r="BL1165" s="166">
        <v>0</v>
      </c>
      <c r="BM1165" s="166">
        <v>0</v>
      </c>
      <c r="BN1165" s="166">
        <v>0</v>
      </c>
      <c r="BO1165" s="166">
        <v>0</v>
      </c>
      <c r="BP1165" s="166">
        <v>0</v>
      </c>
      <c r="BQ1165" s="81" t="s">
        <v>1758</v>
      </c>
      <c r="BT1165" s="81" t="s">
        <v>155</v>
      </c>
      <c r="BZ1165" s="81" t="s">
        <v>155</v>
      </c>
      <c r="CA1165" s="81" t="s">
        <v>3968</v>
      </c>
      <c r="CC1165" s="167">
        <v>0</v>
      </c>
      <c r="CD1165" s="167">
        <v>0</v>
      </c>
      <c r="CE1165" s="167">
        <v>0</v>
      </c>
      <c r="CF1165" s="167">
        <v>0</v>
      </c>
      <c r="CG1165" s="167">
        <v>0</v>
      </c>
      <c r="CH1165" s="167">
        <f>$N1165/3</f>
        <v>60.333333333333336</v>
      </c>
      <c r="CI1165" s="167">
        <f>$N1165/3</f>
        <v>60.333333333333336</v>
      </c>
      <c r="CJ1165" s="167">
        <f>$N1165/3</f>
        <v>60.333333333333336</v>
      </c>
      <c r="CK1165" s="167">
        <v>0</v>
      </c>
      <c r="CL1165" s="167">
        <v>0</v>
      </c>
      <c r="CM1165" s="167">
        <v>0</v>
      </c>
      <c r="CN1165" s="167">
        <v>0</v>
      </c>
      <c r="CO1165" s="167">
        <v>0</v>
      </c>
      <c r="CP1165" s="167">
        <v>0</v>
      </c>
      <c r="CQ1165" s="167">
        <v>0</v>
      </c>
      <c r="CR1165" s="167">
        <v>0</v>
      </c>
      <c r="CS1165" s="167">
        <v>0</v>
      </c>
      <c r="CT1165" s="167">
        <v>0</v>
      </c>
      <c r="CU1165" s="167">
        <v>0</v>
      </c>
      <c r="CV1165" s="167">
        <v>0</v>
      </c>
      <c r="CW1165" s="167">
        <v>0</v>
      </c>
      <c r="CX1165" s="167">
        <f>SUM(CD1165:CH1165)</f>
        <v>60.333333333333336</v>
      </c>
      <c r="CY1165" s="167">
        <f>SUM(CD1165:CM1165)</f>
        <v>181</v>
      </c>
    </row>
    <row r="1166" spans="1:103" ht="12.75" customHeight="1" x14ac:dyDescent="0.2">
      <c r="A1166" s="81">
        <v>3519</v>
      </c>
      <c r="B1166" s="165" t="s">
        <v>1952</v>
      </c>
      <c r="C1166" s="165" t="s">
        <v>1617</v>
      </c>
      <c r="E1166" s="165" t="s">
        <v>2790</v>
      </c>
      <c r="G1166" s="81">
        <v>525782</v>
      </c>
      <c r="H1166" s="81">
        <v>175172</v>
      </c>
      <c r="I1166" s="165" t="s">
        <v>251</v>
      </c>
      <c r="L1166" s="166">
        <v>0</v>
      </c>
      <c r="M1166" s="166">
        <v>0</v>
      </c>
      <c r="N1166" s="166">
        <v>0</v>
      </c>
      <c r="O1166" s="166">
        <v>517</v>
      </c>
      <c r="P1166" s="166">
        <v>517</v>
      </c>
      <c r="Q1166" s="81" t="s">
        <v>155</v>
      </c>
      <c r="R1166" s="165" t="s">
        <v>1618</v>
      </c>
      <c r="S1166" s="81" t="s">
        <v>53</v>
      </c>
      <c r="T1166" s="349">
        <v>42766</v>
      </c>
      <c r="W1166" s="81" t="s">
        <v>114</v>
      </c>
      <c r="Y1166" s="81" t="s">
        <v>115</v>
      </c>
      <c r="Z1166" s="81" t="s">
        <v>116</v>
      </c>
      <c r="AA1166" s="81" t="s">
        <v>116</v>
      </c>
      <c r="AB1166" s="81" t="s">
        <v>117</v>
      </c>
      <c r="AC1166" s="166">
        <v>0</v>
      </c>
      <c r="AG1166" s="81" t="s">
        <v>154</v>
      </c>
      <c r="AH1166" s="81" t="s">
        <v>276</v>
      </c>
      <c r="AI1166" s="81" t="s">
        <v>2791</v>
      </c>
      <c r="AK1166" s="166">
        <v>0</v>
      </c>
      <c r="AM1166" s="166">
        <v>0</v>
      </c>
      <c r="AO1166" s="166">
        <v>0</v>
      </c>
      <c r="AP1166" s="166">
        <v>0</v>
      </c>
      <c r="AQ1166" s="166">
        <v>0</v>
      </c>
      <c r="AR1166" s="166">
        <v>0</v>
      </c>
      <c r="AS1166" s="166">
        <v>0</v>
      </c>
      <c r="AT1166" s="166">
        <v>0</v>
      </c>
      <c r="AU1166" s="166">
        <v>0</v>
      </c>
      <c r="AV1166" s="166">
        <v>0</v>
      </c>
      <c r="AW1166" s="166">
        <v>0</v>
      </c>
      <c r="AX1166" s="166">
        <v>0</v>
      </c>
      <c r="AY1166" s="166">
        <v>0</v>
      </c>
      <c r="AZ1166" s="166">
        <v>0</v>
      </c>
      <c r="BA1166" s="166">
        <v>0</v>
      </c>
      <c r="BB1166" s="166">
        <v>0</v>
      </c>
      <c r="BC1166" s="166">
        <v>0</v>
      </c>
      <c r="BD1166" s="166">
        <v>0</v>
      </c>
      <c r="BE1166" s="166">
        <v>0</v>
      </c>
      <c r="BF1166" s="166">
        <v>0</v>
      </c>
      <c r="BG1166" s="166">
        <v>0</v>
      </c>
      <c r="BH1166" s="166">
        <v>0</v>
      </c>
      <c r="BI1166" s="166">
        <v>0</v>
      </c>
      <c r="BJ1166" s="166">
        <v>0</v>
      </c>
      <c r="BK1166" s="166">
        <v>0</v>
      </c>
      <c r="BL1166" s="166">
        <v>0</v>
      </c>
      <c r="BM1166" s="166">
        <v>0</v>
      </c>
      <c r="BN1166" s="166">
        <v>0</v>
      </c>
      <c r="BO1166" s="166">
        <v>0</v>
      </c>
      <c r="BP1166" s="166">
        <v>0</v>
      </c>
      <c r="BQ1166" s="81" t="s">
        <v>1758</v>
      </c>
      <c r="BT1166" s="81" t="s">
        <v>155</v>
      </c>
      <c r="BZ1166" s="81" t="s">
        <v>155</v>
      </c>
      <c r="CA1166" s="81" t="s">
        <v>3968</v>
      </c>
      <c r="CC1166" s="167">
        <v>0</v>
      </c>
      <c r="CD1166" s="167">
        <v>0</v>
      </c>
      <c r="CE1166" s="167">
        <v>0</v>
      </c>
      <c r="CF1166" s="167">
        <v>0</v>
      </c>
      <c r="CG1166" s="167">
        <v>0</v>
      </c>
      <c r="CH1166" s="167">
        <f>$N1166/3</f>
        <v>0</v>
      </c>
      <c r="CI1166" s="167">
        <f>$N1166/3</f>
        <v>0</v>
      </c>
      <c r="CJ1166" s="167">
        <f>$N1166/3</f>
        <v>0</v>
      </c>
      <c r="CK1166" s="167">
        <v>0</v>
      </c>
      <c r="CL1166" s="167">
        <v>0</v>
      </c>
      <c r="CM1166" s="167">
        <v>0</v>
      </c>
      <c r="CN1166" s="167">
        <v>0</v>
      </c>
      <c r="CO1166" s="167">
        <v>0</v>
      </c>
      <c r="CP1166" s="167">
        <v>0</v>
      </c>
      <c r="CQ1166" s="167">
        <v>0</v>
      </c>
      <c r="CR1166" s="167">
        <v>0</v>
      </c>
      <c r="CS1166" s="167">
        <v>0</v>
      </c>
      <c r="CT1166" s="167">
        <v>0</v>
      </c>
      <c r="CU1166" s="167">
        <v>0</v>
      </c>
      <c r="CV1166" s="167">
        <v>0</v>
      </c>
      <c r="CW1166" s="167">
        <v>0</v>
      </c>
      <c r="CX1166" s="167">
        <f>SUM(CD1166:CH1166)</f>
        <v>0</v>
      </c>
      <c r="CY1166" s="167">
        <f>SUM(CD1166:CM1166)</f>
        <v>0</v>
      </c>
    </row>
    <row r="1167" spans="1:103" ht="12.75" customHeight="1" x14ac:dyDescent="0.2">
      <c r="A1167" s="81">
        <v>3522</v>
      </c>
      <c r="B1167" s="165" t="s">
        <v>1952</v>
      </c>
      <c r="C1167" s="165" t="s">
        <v>1584</v>
      </c>
      <c r="E1167" s="165" t="s">
        <v>2995</v>
      </c>
      <c r="G1167" s="81">
        <v>525912</v>
      </c>
      <c r="H1167" s="81">
        <v>175143</v>
      </c>
      <c r="I1167" s="165" t="s">
        <v>251</v>
      </c>
      <c r="L1167" s="166">
        <v>0</v>
      </c>
      <c r="M1167" s="166">
        <v>264</v>
      </c>
      <c r="N1167" s="166">
        <v>264</v>
      </c>
      <c r="O1167" s="166">
        <v>348</v>
      </c>
      <c r="P1167" s="166">
        <v>348</v>
      </c>
      <c r="Q1167" s="81" t="s">
        <v>155</v>
      </c>
      <c r="R1167" s="165" t="s">
        <v>1585</v>
      </c>
      <c r="S1167" s="81" t="s">
        <v>53</v>
      </c>
      <c r="T1167" s="349">
        <v>42739</v>
      </c>
      <c r="W1167" s="81" t="s">
        <v>114</v>
      </c>
      <c r="Y1167" s="81" t="s">
        <v>115</v>
      </c>
      <c r="Z1167" s="81" t="s">
        <v>116</v>
      </c>
      <c r="AA1167" s="81" t="s">
        <v>116</v>
      </c>
      <c r="AB1167" s="81" t="s">
        <v>117</v>
      </c>
      <c r="AC1167" s="166">
        <v>0</v>
      </c>
      <c r="AG1167" s="81" t="s">
        <v>238</v>
      </c>
      <c r="AH1167" s="81" t="s">
        <v>118</v>
      </c>
      <c r="AI1167" s="81" t="s">
        <v>2996</v>
      </c>
      <c r="AK1167" s="166">
        <v>264</v>
      </c>
      <c r="AM1167" s="166">
        <v>26</v>
      </c>
      <c r="AO1167" s="166">
        <v>0</v>
      </c>
      <c r="AP1167" s="166">
        <v>114</v>
      </c>
      <c r="AQ1167" s="166">
        <v>127</v>
      </c>
      <c r="AR1167" s="166">
        <v>23</v>
      </c>
      <c r="AS1167" s="166">
        <v>0</v>
      </c>
      <c r="AT1167" s="166">
        <v>0</v>
      </c>
      <c r="AU1167" s="166">
        <v>0</v>
      </c>
      <c r="AV1167" s="166">
        <v>0</v>
      </c>
      <c r="AW1167" s="166">
        <v>114</v>
      </c>
      <c r="AX1167" s="166">
        <v>127</v>
      </c>
      <c r="AY1167" s="166">
        <v>23</v>
      </c>
      <c r="AZ1167" s="166">
        <v>0</v>
      </c>
      <c r="BA1167" s="166">
        <v>0</v>
      </c>
      <c r="BB1167" s="166">
        <v>0</v>
      </c>
      <c r="BC1167" s="166">
        <v>0</v>
      </c>
      <c r="BD1167" s="166">
        <v>0</v>
      </c>
      <c r="BE1167" s="166">
        <v>0</v>
      </c>
      <c r="BF1167" s="166">
        <v>0</v>
      </c>
      <c r="BG1167" s="166">
        <v>0</v>
      </c>
      <c r="BH1167" s="166">
        <v>0</v>
      </c>
      <c r="BI1167" s="166">
        <v>0</v>
      </c>
      <c r="BJ1167" s="166">
        <v>0</v>
      </c>
      <c r="BK1167" s="166">
        <v>0</v>
      </c>
      <c r="BL1167" s="166">
        <v>0</v>
      </c>
      <c r="BM1167" s="166">
        <v>0</v>
      </c>
      <c r="BN1167" s="166">
        <v>0</v>
      </c>
      <c r="BO1167" s="166">
        <v>0</v>
      </c>
      <c r="BP1167" s="166">
        <v>0</v>
      </c>
      <c r="BQ1167" s="81" t="s">
        <v>1758</v>
      </c>
      <c r="BT1167" s="81" t="s">
        <v>155</v>
      </c>
      <c r="BZ1167" s="81" t="s">
        <v>155</v>
      </c>
      <c r="CA1167" s="81" t="s">
        <v>3968</v>
      </c>
      <c r="CC1167" s="167">
        <v>0</v>
      </c>
      <c r="CD1167" s="167">
        <v>0</v>
      </c>
      <c r="CE1167" s="167">
        <v>0</v>
      </c>
      <c r="CF1167" s="167">
        <v>0</v>
      </c>
      <c r="CG1167" s="167">
        <v>0</v>
      </c>
      <c r="CH1167" s="167">
        <f>$N1167/3</f>
        <v>88</v>
      </c>
      <c r="CI1167" s="167">
        <f>$N1167/3</f>
        <v>88</v>
      </c>
      <c r="CJ1167" s="167">
        <f>$N1167/3</f>
        <v>88</v>
      </c>
      <c r="CK1167" s="167">
        <v>0</v>
      </c>
      <c r="CL1167" s="167">
        <v>0</v>
      </c>
      <c r="CM1167" s="167">
        <v>0</v>
      </c>
      <c r="CN1167" s="167">
        <v>0</v>
      </c>
      <c r="CO1167" s="167">
        <v>0</v>
      </c>
      <c r="CP1167" s="167">
        <v>0</v>
      </c>
      <c r="CQ1167" s="167">
        <v>0</v>
      </c>
      <c r="CR1167" s="167">
        <v>0</v>
      </c>
      <c r="CS1167" s="167">
        <v>0</v>
      </c>
      <c r="CT1167" s="167">
        <v>0</v>
      </c>
      <c r="CU1167" s="167">
        <v>0</v>
      </c>
      <c r="CV1167" s="167">
        <v>0</v>
      </c>
      <c r="CW1167" s="167">
        <v>0</v>
      </c>
      <c r="CX1167" s="167">
        <f>SUM(CD1167:CH1167)</f>
        <v>88</v>
      </c>
      <c r="CY1167" s="167">
        <f>SUM(CD1167:CM1167)</f>
        <v>264</v>
      </c>
    </row>
    <row r="1168" spans="1:103" ht="12.75" customHeight="1" x14ac:dyDescent="0.2">
      <c r="A1168" s="81">
        <v>3522</v>
      </c>
      <c r="B1168" s="165" t="s">
        <v>1952</v>
      </c>
      <c r="C1168" s="165" t="s">
        <v>1584</v>
      </c>
      <c r="E1168" s="165" t="s">
        <v>2995</v>
      </c>
      <c r="G1168" s="81">
        <v>525912</v>
      </c>
      <c r="H1168" s="81">
        <v>175143</v>
      </c>
      <c r="I1168" s="165" t="s">
        <v>251</v>
      </c>
      <c r="L1168" s="166">
        <v>0</v>
      </c>
      <c r="M1168" s="166">
        <v>84</v>
      </c>
      <c r="N1168" s="166">
        <v>84</v>
      </c>
      <c r="O1168" s="166">
        <v>348</v>
      </c>
      <c r="P1168" s="166">
        <v>348</v>
      </c>
      <c r="Q1168" s="81" t="s">
        <v>155</v>
      </c>
      <c r="R1168" s="165" t="s">
        <v>1585</v>
      </c>
      <c r="S1168" s="81" t="s">
        <v>53</v>
      </c>
      <c r="T1168" s="349">
        <v>42739</v>
      </c>
      <c r="W1168" s="81" t="s">
        <v>114</v>
      </c>
      <c r="Y1168" s="81" t="s">
        <v>115</v>
      </c>
      <c r="Z1168" s="81" t="s">
        <v>116</v>
      </c>
      <c r="AA1168" s="81" t="s">
        <v>116</v>
      </c>
      <c r="AB1168" s="81" t="s">
        <v>117</v>
      </c>
      <c r="AC1168" s="166">
        <v>0</v>
      </c>
      <c r="AG1168" s="81" t="s">
        <v>74</v>
      </c>
      <c r="AH1168" s="81" t="s">
        <v>990</v>
      </c>
      <c r="AI1168" s="81" t="s">
        <v>2996</v>
      </c>
      <c r="AK1168" s="166">
        <v>84</v>
      </c>
      <c r="AM1168" s="166">
        <v>9</v>
      </c>
      <c r="AO1168" s="166">
        <v>0</v>
      </c>
      <c r="AP1168" s="166">
        <v>44</v>
      </c>
      <c r="AQ1168" s="166">
        <v>40</v>
      </c>
      <c r="AR1168" s="166">
        <v>0</v>
      </c>
      <c r="AS1168" s="166">
        <v>0</v>
      </c>
      <c r="AT1168" s="166">
        <v>0</v>
      </c>
      <c r="AU1168" s="166">
        <v>0</v>
      </c>
      <c r="AV1168" s="166">
        <v>0</v>
      </c>
      <c r="AW1168" s="166">
        <v>44</v>
      </c>
      <c r="AX1168" s="166">
        <v>40</v>
      </c>
      <c r="AY1168" s="166">
        <v>0</v>
      </c>
      <c r="AZ1168" s="166">
        <v>0</v>
      </c>
      <c r="BA1168" s="166">
        <v>0</v>
      </c>
      <c r="BB1168" s="166">
        <v>0</v>
      </c>
      <c r="BC1168" s="166">
        <v>0</v>
      </c>
      <c r="BD1168" s="166">
        <v>0</v>
      </c>
      <c r="BE1168" s="166">
        <v>0</v>
      </c>
      <c r="BF1168" s="166">
        <v>0</v>
      </c>
      <c r="BG1168" s="166">
        <v>0</v>
      </c>
      <c r="BH1168" s="166">
        <v>0</v>
      </c>
      <c r="BI1168" s="166">
        <v>0</v>
      </c>
      <c r="BJ1168" s="166">
        <v>0</v>
      </c>
      <c r="BK1168" s="166">
        <v>0</v>
      </c>
      <c r="BL1168" s="166">
        <v>0</v>
      </c>
      <c r="BM1168" s="166">
        <v>0</v>
      </c>
      <c r="BN1168" s="166">
        <v>0</v>
      </c>
      <c r="BO1168" s="166">
        <v>0</v>
      </c>
      <c r="BP1168" s="166">
        <v>0</v>
      </c>
      <c r="BQ1168" s="81" t="s">
        <v>1758</v>
      </c>
      <c r="BT1168" s="81" t="s">
        <v>155</v>
      </c>
      <c r="BZ1168" s="81" t="s">
        <v>155</v>
      </c>
      <c r="CA1168" s="81" t="s">
        <v>3968</v>
      </c>
      <c r="CC1168" s="167">
        <v>0</v>
      </c>
      <c r="CD1168" s="167">
        <v>0</v>
      </c>
      <c r="CE1168" s="167">
        <v>0</v>
      </c>
      <c r="CF1168" s="167">
        <v>0</v>
      </c>
      <c r="CG1168" s="167">
        <v>0</v>
      </c>
      <c r="CH1168" s="167">
        <f>$N1168/3</f>
        <v>28</v>
      </c>
      <c r="CI1168" s="167">
        <f>$N1168/3</f>
        <v>28</v>
      </c>
      <c r="CJ1168" s="167">
        <f>$N1168/3</f>
        <v>28</v>
      </c>
      <c r="CK1168" s="167">
        <v>0</v>
      </c>
      <c r="CL1168" s="167">
        <v>0</v>
      </c>
      <c r="CM1168" s="167">
        <v>0</v>
      </c>
      <c r="CN1168" s="167">
        <v>0</v>
      </c>
      <c r="CO1168" s="167">
        <v>0</v>
      </c>
      <c r="CP1168" s="167">
        <v>0</v>
      </c>
      <c r="CQ1168" s="167">
        <v>0</v>
      </c>
      <c r="CR1168" s="167">
        <v>0</v>
      </c>
      <c r="CS1168" s="167">
        <v>0</v>
      </c>
      <c r="CT1168" s="167">
        <v>0</v>
      </c>
      <c r="CU1168" s="167">
        <v>0</v>
      </c>
      <c r="CV1168" s="167">
        <v>0</v>
      </c>
      <c r="CW1168" s="167">
        <v>0</v>
      </c>
      <c r="CX1168" s="167">
        <f>SUM(CD1168:CH1168)</f>
        <v>28</v>
      </c>
      <c r="CY1168" s="167">
        <f>SUM(CD1168:CM1168)</f>
        <v>84</v>
      </c>
    </row>
    <row r="1169" spans="1:103" ht="12.75" customHeight="1" x14ac:dyDescent="0.2">
      <c r="A1169" s="81">
        <v>3526</v>
      </c>
      <c r="B1169" s="165" t="s">
        <v>1952</v>
      </c>
      <c r="C1169" s="165" t="s">
        <v>2997</v>
      </c>
      <c r="E1169" s="165" t="s">
        <v>2998</v>
      </c>
      <c r="F1169" s="165" t="s">
        <v>2468</v>
      </c>
      <c r="G1169" s="81">
        <v>526547</v>
      </c>
      <c r="H1169" s="81">
        <v>175744</v>
      </c>
      <c r="I1169" s="165" t="s">
        <v>257</v>
      </c>
      <c r="L1169" s="166">
        <v>0</v>
      </c>
      <c r="M1169" s="166">
        <v>54</v>
      </c>
      <c r="N1169" s="166">
        <v>54</v>
      </c>
      <c r="O1169" s="166">
        <v>299</v>
      </c>
      <c r="P1169" s="166">
        <v>299</v>
      </c>
      <c r="Q1169" s="81" t="s">
        <v>155</v>
      </c>
      <c r="R1169" s="165" t="s">
        <v>2999</v>
      </c>
      <c r="S1169" s="81" t="s">
        <v>53</v>
      </c>
      <c r="T1169" s="349">
        <v>42951</v>
      </c>
      <c r="W1169" s="81" t="s">
        <v>114</v>
      </c>
      <c r="Y1169" s="81" t="s">
        <v>115</v>
      </c>
      <c r="Z1169" s="81" t="s">
        <v>116</v>
      </c>
      <c r="AA1169" s="81" t="s">
        <v>116</v>
      </c>
      <c r="AB1169" s="81" t="s">
        <v>117</v>
      </c>
      <c r="AC1169" s="166">
        <v>0.123000003397465</v>
      </c>
      <c r="AG1169" s="81" t="s">
        <v>238</v>
      </c>
      <c r="AH1169" s="81" t="s">
        <v>118</v>
      </c>
      <c r="AI1169" s="81" t="s">
        <v>3000</v>
      </c>
      <c r="AK1169" s="166">
        <v>0</v>
      </c>
      <c r="AM1169" s="166">
        <v>0</v>
      </c>
      <c r="AO1169" s="166">
        <v>0</v>
      </c>
      <c r="AP1169" s="166">
        <v>8</v>
      </c>
      <c r="AQ1169" s="166">
        <v>42</v>
      </c>
      <c r="AR1169" s="166">
        <v>4</v>
      </c>
      <c r="AS1169" s="166">
        <v>0</v>
      </c>
      <c r="AT1169" s="166">
        <v>0</v>
      </c>
      <c r="AU1169" s="166">
        <v>0</v>
      </c>
      <c r="AV1169" s="166">
        <v>0</v>
      </c>
      <c r="AW1169" s="166">
        <v>8</v>
      </c>
      <c r="AX1169" s="166">
        <v>42</v>
      </c>
      <c r="AY1169" s="166">
        <v>4</v>
      </c>
      <c r="AZ1169" s="166">
        <v>0</v>
      </c>
      <c r="BA1169" s="166">
        <v>0</v>
      </c>
      <c r="BB1169" s="166">
        <v>0</v>
      </c>
      <c r="BC1169" s="166">
        <v>0</v>
      </c>
      <c r="BD1169" s="166">
        <v>0</v>
      </c>
      <c r="BE1169" s="166">
        <v>0</v>
      </c>
      <c r="BF1169" s="166">
        <v>0</v>
      </c>
      <c r="BG1169" s="166">
        <v>0</v>
      </c>
      <c r="BH1169" s="166">
        <v>0</v>
      </c>
      <c r="BI1169" s="166">
        <v>0</v>
      </c>
      <c r="BJ1169" s="166">
        <v>0</v>
      </c>
      <c r="BK1169" s="166">
        <v>0</v>
      </c>
      <c r="BL1169" s="166">
        <v>0</v>
      </c>
      <c r="BM1169" s="166">
        <v>0</v>
      </c>
      <c r="BN1169" s="166">
        <v>0</v>
      </c>
      <c r="BO1169" s="166">
        <v>0</v>
      </c>
      <c r="BP1169" s="166">
        <v>0</v>
      </c>
      <c r="BQ1169" s="81" t="s">
        <v>1757</v>
      </c>
      <c r="BX1169" s="81" t="s">
        <v>155</v>
      </c>
      <c r="BZ1169" s="81" t="s">
        <v>3991</v>
      </c>
      <c r="CA1169" s="81">
        <v>15</v>
      </c>
      <c r="CB1169" s="165" t="s">
        <v>3996</v>
      </c>
      <c r="CC1169" s="167">
        <v>0</v>
      </c>
      <c r="CD1169" s="167">
        <v>0</v>
      </c>
      <c r="CE1169" s="167">
        <v>0</v>
      </c>
      <c r="CF1169" s="167">
        <v>0</v>
      </c>
      <c r="CG1169" s="167">
        <v>0</v>
      </c>
      <c r="CH1169" s="167">
        <v>0</v>
      </c>
      <c r="CI1169" s="167">
        <v>0</v>
      </c>
      <c r="CJ1169" s="167">
        <v>0</v>
      </c>
      <c r="CK1169" s="167">
        <v>0</v>
      </c>
      <c r="CL1169" s="167">
        <v>0</v>
      </c>
      <c r="CM1169" s="167">
        <v>0</v>
      </c>
      <c r="CN1169" s="167">
        <v>0</v>
      </c>
      <c r="CO1169" s="167">
        <v>0</v>
      </c>
      <c r="CP1169" s="167">
        <v>0</v>
      </c>
      <c r="CQ1169" s="167">
        <v>0</v>
      </c>
      <c r="CR1169" s="167">
        <v>0</v>
      </c>
      <c r="CS1169" s="167">
        <v>0</v>
      </c>
      <c r="CT1169" s="167">
        <v>0</v>
      </c>
      <c r="CU1169" s="167">
        <v>0</v>
      </c>
      <c r="CV1169" s="167">
        <v>0</v>
      </c>
      <c r="CW1169" s="167">
        <v>0</v>
      </c>
      <c r="CX1169" s="167">
        <f>SUM(CD1169:CH1169)</f>
        <v>0</v>
      </c>
      <c r="CY1169" s="167">
        <f>SUM(CD1169:CM1169)</f>
        <v>0</v>
      </c>
    </row>
    <row r="1170" spans="1:103" ht="12.75" customHeight="1" x14ac:dyDescent="0.2">
      <c r="A1170" s="81">
        <v>3526</v>
      </c>
      <c r="B1170" s="165" t="s">
        <v>1952</v>
      </c>
      <c r="C1170" s="165" t="s">
        <v>2997</v>
      </c>
      <c r="E1170" s="165" t="s">
        <v>2998</v>
      </c>
      <c r="F1170" s="165" t="s">
        <v>2468</v>
      </c>
      <c r="G1170" s="81">
        <v>526547</v>
      </c>
      <c r="H1170" s="81">
        <v>175744</v>
      </c>
      <c r="I1170" s="165" t="s">
        <v>257</v>
      </c>
      <c r="L1170" s="166">
        <v>0</v>
      </c>
      <c r="M1170" s="166">
        <v>13</v>
      </c>
      <c r="N1170" s="166">
        <v>13</v>
      </c>
      <c r="O1170" s="166">
        <v>299</v>
      </c>
      <c r="P1170" s="166">
        <v>299</v>
      </c>
      <c r="Q1170" s="81" t="s">
        <v>155</v>
      </c>
      <c r="R1170" s="165" t="s">
        <v>2999</v>
      </c>
      <c r="S1170" s="81" t="s">
        <v>53</v>
      </c>
      <c r="T1170" s="349">
        <v>42951</v>
      </c>
      <c r="W1170" s="81" t="s">
        <v>114</v>
      </c>
      <c r="Y1170" s="81" t="s">
        <v>115</v>
      </c>
      <c r="Z1170" s="81" t="s">
        <v>116</v>
      </c>
      <c r="AA1170" s="81" t="s">
        <v>116</v>
      </c>
      <c r="AB1170" s="81" t="s">
        <v>117</v>
      </c>
      <c r="AC1170" s="166">
        <v>2.8000000864267301E-2</v>
      </c>
      <c r="AG1170" s="81" t="s">
        <v>74</v>
      </c>
      <c r="AH1170" s="81" t="s">
        <v>990</v>
      </c>
      <c r="AI1170" s="81" t="s">
        <v>3000</v>
      </c>
      <c r="AK1170" s="166">
        <v>0</v>
      </c>
      <c r="AM1170" s="166">
        <v>0</v>
      </c>
      <c r="AO1170" s="166">
        <v>0</v>
      </c>
      <c r="AP1170" s="166">
        <v>9</v>
      </c>
      <c r="AQ1170" s="166">
        <v>4</v>
      </c>
      <c r="AR1170" s="166">
        <v>0</v>
      </c>
      <c r="AS1170" s="166">
        <v>0</v>
      </c>
      <c r="AT1170" s="166">
        <v>0</v>
      </c>
      <c r="AU1170" s="166">
        <v>0</v>
      </c>
      <c r="AV1170" s="166">
        <v>0</v>
      </c>
      <c r="AW1170" s="166">
        <v>9</v>
      </c>
      <c r="AX1170" s="166">
        <v>4</v>
      </c>
      <c r="AY1170" s="166">
        <v>0</v>
      </c>
      <c r="AZ1170" s="166">
        <v>0</v>
      </c>
      <c r="BA1170" s="166">
        <v>0</v>
      </c>
      <c r="BB1170" s="166">
        <v>0</v>
      </c>
      <c r="BC1170" s="166">
        <v>0</v>
      </c>
      <c r="BD1170" s="166">
        <v>0</v>
      </c>
      <c r="BE1170" s="166">
        <v>0</v>
      </c>
      <c r="BF1170" s="166">
        <v>0</v>
      </c>
      <c r="BG1170" s="166">
        <v>0</v>
      </c>
      <c r="BH1170" s="166">
        <v>0</v>
      </c>
      <c r="BI1170" s="166">
        <v>0</v>
      </c>
      <c r="BJ1170" s="166">
        <v>0</v>
      </c>
      <c r="BK1170" s="166">
        <v>0</v>
      </c>
      <c r="BL1170" s="166">
        <v>0</v>
      </c>
      <c r="BM1170" s="166">
        <v>0</v>
      </c>
      <c r="BN1170" s="166">
        <v>0</v>
      </c>
      <c r="BO1170" s="166">
        <v>0</v>
      </c>
      <c r="BP1170" s="166">
        <v>0</v>
      </c>
      <c r="BQ1170" s="81" t="s">
        <v>1757</v>
      </c>
      <c r="BX1170" s="81" t="s">
        <v>155</v>
      </c>
      <c r="BZ1170" s="81" t="s">
        <v>3991</v>
      </c>
      <c r="CA1170" s="81">
        <v>15</v>
      </c>
      <c r="CB1170" s="165" t="s">
        <v>3996</v>
      </c>
      <c r="CC1170" s="167">
        <v>0</v>
      </c>
      <c r="CD1170" s="167">
        <v>0</v>
      </c>
      <c r="CE1170" s="167">
        <v>0</v>
      </c>
      <c r="CF1170" s="167">
        <v>0</v>
      </c>
      <c r="CG1170" s="167">
        <v>0</v>
      </c>
      <c r="CH1170" s="167">
        <v>0</v>
      </c>
      <c r="CI1170" s="167">
        <v>0</v>
      </c>
      <c r="CJ1170" s="167">
        <v>0</v>
      </c>
      <c r="CK1170" s="167">
        <v>0</v>
      </c>
      <c r="CL1170" s="167">
        <v>0</v>
      </c>
      <c r="CM1170" s="167">
        <v>0</v>
      </c>
      <c r="CN1170" s="167">
        <v>0</v>
      </c>
      <c r="CO1170" s="167">
        <v>0</v>
      </c>
      <c r="CP1170" s="167">
        <v>0</v>
      </c>
      <c r="CQ1170" s="167">
        <v>0</v>
      </c>
      <c r="CR1170" s="167">
        <v>0</v>
      </c>
      <c r="CS1170" s="167">
        <v>0</v>
      </c>
      <c r="CT1170" s="167">
        <v>0</v>
      </c>
      <c r="CU1170" s="167">
        <v>0</v>
      </c>
      <c r="CV1170" s="167">
        <v>0</v>
      </c>
      <c r="CW1170" s="167">
        <v>0</v>
      </c>
      <c r="CX1170" s="167">
        <f>SUM(CD1170:CH1170)</f>
        <v>0</v>
      </c>
      <c r="CY1170" s="167">
        <f>SUM(CD1170:CM1170)</f>
        <v>0</v>
      </c>
    </row>
    <row r="1171" spans="1:103" ht="12.75" customHeight="1" x14ac:dyDescent="0.2">
      <c r="A1171" s="81">
        <v>3526</v>
      </c>
      <c r="B1171" s="165" t="s">
        <v>1952</v>
      </c>
      <c r="C1171" s="165" t="s">
        <v>2997</v>
      </c>
      <c r="E1171" s="165" t="s">
        <v>2998</v>
      </c>
      <c r="F1171" s="165" t="s">
        <v>2470</v>
      </c>
      <c r="G1171" s="81">
        <v>526547</v>
      </c>
      <c r="H1171" s="81">
        <v>175744</v>
      </c>
      <c r="I1171" s="165" t="s">
        <v>257</v>
      </c>
      <c r="L1171" s="166">
        <v>0</v>
      </c>
      <c r="M1171" s="166">
        <v>73</v>
      </c>
      <c r="N1171" s="166">
        <v>73</v>
      </c>
      <c r="O1171" s="166">
        <v>299</v>
      </c>
      <c r="P1171" s="166">
        <v>299</v>
      </c>
      <c r="Q1171" s="81" t="s">
        <v>155</v>
      </c>
      <c r="R1171" s="165" t="s">
        <v>2999</v>
      </c>
      <c r="S1171" s="81" t="s">
        <v>53</v>
      </c>
      <c r="T1171" s="349">
        <v>42951</v>
      </c>
      <c r="W1171" s="81" t="s">
        <v>114</v>
      </c>
      <c r="Y1171" s="81" t="s">
        <v>115</v>
      </c>
      <c r="Z1171" s="81" t="s">
        <v>116</v>
      </c>
      <c r="AA1171" s="81" t="s">
        <v>116</v>
      </c>
      <c r="AB1171" s="81" t="s">
        <v>117</v>
      </c>
      <c r="AC1171" s="166">
        <v>0.158000007271767</v>
      </c>
      <c r="AG1171" s="81" t="s">
        <v>238</v>
      </c>
      <c r="AH1171" s="81" t="s">
        <v>118</v>
      </c>
      <c r="AI1171" s="81" t="s">
        <v>3000</v>
      </c>
      <c r="AK1171" s="166">
        <v>0</v>
      </c>
      <c r="AM1171" s="166">
        <v>0</v>
      </c>
      <c r="AO1171" s="166">
        <v>0</v>
      </c>
      <c r="AP1171" s="166">
        <v>6</v>
      </c>
      <c r="AQ1171" s="166">
        <v>58</v>
      </c>
      <c r="AR1171" s="166">
        <v>9</v>
      </c>
      <c r="AS1171" s="166">
        <v>0</v>
      </c>
      <c r="AT1171" s="166">
        <v>0</v>
      </c>
      <c r="AU1171" s="166">
        <v>0</v>
      </c>
      <c r="AV1171" s="166">
        <v>0</v>
      </c>
      <c r="AW1171" s="166">
        <v>6</v>
      </c>
      <c r="AX1171" s="166">
        <v>58</v>
      </c>
      <c r="AY1171" s="166">
        <v>9</v>
      </c>
      <c r="AZ1171" s="166">
        <v>0</v>
      </c>
      <c r="BA1171" s="166">
        <v>0</v>
      </c>
      <c r="BB1171" s="166">
        <v>0</v>
      </c>
      <c r="BC1171" s="166">
        <v>0</v>
      </c>
      <c r="BD1171" s="166">
        <v>0</v>
      </c>
      <c r="BE1171" s="166">
        <v>0</v>
      </c>
      <c r="BF1171" s="166">
        <v>0</v>
      </c>
      <c r="BG1171" s="166">
        <v>0</v>
      </c>
      <c r="BH1171" s="166">
        <v>0</v>
      </c>
      <c r="BI1171" s="166">
        <v>0</v>
      </c>
      <c r="BJ1171" s="166">
        <v>0</v>
      </c>
      <c r="BK1171" s="166">
        <v>0</v>
      </c>
      <c r="BL1171" s="166">
        <v>0</v>
      </c>
      <c r="BM1171" s="166">
        <v>0</v>
      </c>
      <c r="BN1171" s="166">
        <v>0</v>
      </c>
      <c r="BO1171" s="166">
        <v>0</v>
      </c>
      <c r="BP1171" s="166">
        <v>0</v>
      </c>
      <c r="BQ1171" s="81" t="s">
        <v>1757</v>
      </c>
      <c r="BX1171" s="81" t="s">
        <v>155</v>
      </c>
      <c r="BZ1171" s="81" t="s">
        <v>3991</v>
      </c>
      <c r="CA1171" s="81">
        <v>15</v>
      </c>
      <c r="CB1171" s="165" t="s">
        <v>3996</v>
      </c>
      <c r="CC1171" s="167">
        <v>0</v>
      </c>
      <c r="CD1171" s="167">
        <v>0</v>
      </c>
      <c r="CE1171" s="167">
        <v>0</v>
      </c>
      <c r="CF1171" s="167">
        <v>0</v>
      </c>
      <c r="CG1171" s="167">
        <v>0</v>
      </c>
      <c r="CH1171" s="167">
        <v>0</v>
      </c>
      <c r="CI1171" s="167">
        <v>0</v>
      </c>
      <c r="CJ1171" s="167">
        <v>0</v>
      </c>
      <c r="CK1171" s="167">
        <v>0</v>
      </c>
      <c r="CL1171" s="167">
        <v>0</v>
      </c>
      <c r="CM1171" s="167">
        <v>0</v>
      </c>
      <c r="CN1171" s="167">
        <v>0</v>
      </c>
      <c r="CO1171" s="167">
        <v>0</v>
      </c>
      <c r="CP1171" s="167">
        <v>0</v>
      </c>
      <c r="CQ1171" s="167">
        <v>0</v>
      </c>
      <c r="CR1171" s="167">
        <v>0</v>
      </c>
      <c r="CS1171" s="167">
        <v>0</v>
      </c>
      <c r="CT1171" s="167">
        <v>0</v>
      </c>
      <c r="CU1171" s="167">
        <v>0</v>
      </c>
      <c r="CV1171" s="167">
        <v>0</v>
      </c>
      <c r="CW1171" s="167">
        <v>0</v>
      </c>
      <c r="CX1171" s="167">
        <f>SUM(CD1171:CH1171)</f>
        <v>0</v>
      </c>
      <c r="CY1171" s="167">
        <f>SUM(CD1171:CM1171)</f>
        <v>0</v>
      </c>
    </row>
    <row r="1172" spans="1:103" ht="12.75" customHeight="1" x14ac:dyDescent="0.2">
      <c r="A1172" s="81">
        <v>3526</v>
      </c>
      <c r="B1172" s="165" t="s">
        <v>1952</v>
      </c>
      <c r="C1172" s="165" t="s">
        <v>2997</v>
      </c>
      <c r="E1172" s="165" t="s">
        <v>2998</v>
      </c>
      <c r="F1172" s="165" t="s">
        <v>2470</v>
      </c>
      <c r="G1172" s="81">
        <v>526547</v>
      </c>
      <c r="H1172" s="81">
        <v>175744</v>
      </c>
      <c r="I1172" s="165" t="s">
        <v>257</v>
      </c>
      <c r="L1172" s="166">
        <v>0</v>
      </c>
      <c r="M1172" s="166">
        <v>29</v>
      </c>
      <c r="N1172" s="166">
        <v>29</v>
      </c>
      <c r="O1172" s="166">
        <v>299</v>
      </c>
      <c r="P1172" s="166">
        <v>299</v>
      </c>
      <c r="Q1172" s="81" t="s">
        <v>155</v>
      </c>
      <c r="R1172" s="165" t="s">
        <v>2999</v>
      </c>
      <c r="S1172" s="81" t="s">
        <v>53</v>
      </c>
      <c r="T1172" s="349">
        <v>42951</v>
      </c>
      <c r="W1172" s="81" t="s">
        <v>114</v>
      </c>
      <c r="Y1172" s="81" t="s">
        <v>115</v>
      </c>
      <c r="Z1172" s="81" t="s">
        <v>116</v>
      </c>
      <c r="AA1172" s="81" t="s">
        <v>116</v>
      </c>
      <c r="AB1172" s="81" t="s">
        <v>117</v>
      </c>
      <c r="AC1172" s="166">
        <v>6.1999998986720997E-2</v>
      </c>
      <c r="AG1172" s="81" t="s">
        <v>74</v>
      </c>
      <c r="AH1172" s="81" t="s">
        <v>990</v>
      </c>
      <c r="AI1172" s="81" t="s">
        <v>3000</v>
      </c>
      <c r="AK1172" s="166">
        <v>0</v>
      </c>
      <c r="AM1172" s="166">
        <v>0</v>
      </c>
      <c r="AO1172" s="166">
        <v>0</v>
      </c>
      <c r="AP1172" s="166">
        <v>20</v>
      </c>
      <c r="AQ1172" s="166">
        <v>9</v>
      </c>
      <c r="AR1172" s="166">
        <v>0</v>
      </c>
      <c r="AS1172" s="166">
        <v>0</v>
      </c>
      <c r="AT1172" s="166">
        <v>0</v>
      </c>
      <c r="AU1172" s="166">
        <v>0</v>
      </c>
      <c r="AV1172" s="166">
        <v>0</v>
      </c>
      <c r="AW1172" s="166">
        <v>20</v>
      </c>
      <c r="AX1172" s="166">
        <v>9</v>
      </c>
      <c r="AY1172" s="166">
        <v>0</v>
      </c>
      <c r="AZ1172" s="166">
        <v>0</v>
      </c>
      <c r="BA1172" s="166">
        <v>0</v>
      </c>
      <c r="BB1172" s="166">
        <v>0</v>
      </c>
      <c r="BC1172" s="166">
        <v>0</v>
      </c>
      <c r="BD1172" s="166">
        <v>0</v>
      </c>
      <c r="BE1172" s="166">
        <v>0</v>
      </c>
      <c r="BF1172" s="166">
        <v>0</v>
      </c>
      <c r="BG1172" s="166">
        <v>0</v>
      </c>
      <c r="BH1172" s="166">
        <v>0</v>
      </c>
      <c r="BI1172" s="166">
        <v>0</v>
      </c>
      <c r="BJ1172" s="166">
        <v>0</v>
      </c>
      <c r="BK1172" s="166">
        <v>0</v>
      </c>
      <c r="BL1172" s="166">
        <v>0</v>
      </c>
      <c r="BM1172" s="166">
        <v>0</v>
      </c>
      <c r="BN1172" s="166">
        <v>0</v>
      </c>
      <c r="BO1172" s="166">
        <v>0</v>
      </c>
      <c r="BP1172" s="166">
        <v>0</v>
      </c>
      <c r="BQ1172" s="81" t="s">
        <v>1757</v>
      </c>
      <c r="BX1172" s="81" t="s">
        <v>155</v>
      </c>
      <c r="BZ1172" s="81" t="s">
        <v>3991</v>
      </c>
      <c r="CA1172" s="81">
        <v>15</v>
      </c>
      <c r="CB1172" s="165" t="s">
        <v>3996</v>
      </c>
      <c r="CC1172" s="167">
        <v>0</v>
      </c>
      <c r="CD1172" s="167">
        <v>0</v>
      </c>
      <c r="CE1172" s="167">
        <v>0</v>
      </c>
      <c r="CF1172" s="167">
        <v>0</v>
      </c>
      <c r="CG1172" s="167">
        <v>0</v>
      </c>
      <c r="CH1172" s="167">
        <v>0</v>
      </c>
      <c r="CI1172" s="167">
        <v>0</v>
      </c>
      <c r="CJ1172" s="167">
        <v>0</v>
      </c>
      <c r="CK1172" s="167">
        <v>0</v>
      </c>
      <c r="CL1172" s="167">
        <v>0</v>
      </c>
      <c r="CM1172" s="167">
        <v>0</v>
      </c>
      <c r="CN1172" s="167">
        <v>0</v>
      </c>
      <c r="CO1172" s="167">
        <v>0</v>
      </c>
      <c r="CP1172" s="167">
        <v>0</v>
      </c>
      <c r="CQ1172" s="167">
        <v>0</v>
      </c>
      <c r="CR1172" s="167">
        <v>0</v>
      </c>
      <c r="CS1172" s="167">
        <v>0</v>
      </c>
      <c r="CT1172" s="167">
        <v>0</v>
      </c>
      <c r="CU1172" s="167">
        <v>0</v>
      </c>
      <c r="CV1172" s="167">
        <v>0</v>
      </c>
      <c r="CW1172" s="167">
        <v>0</v>
      </c>
      <c r="CX1172" s="167">
        <f>SUM(CD1172:CH1172)</f>
        <v>0</v>
      </c>
      <c r="CY1172" s="167">
        <f>SUM(CD1172:CM1172)</f>
        <v>0</v>
      </c>
    </row>
    <row r="1173" spans="1:103" ht="12.75" customHeight="1" x14ac:dyDescent="0.2">
      <c r="A1173" s="81">
        <v>3526</v>
      </c>
      <c r="B1173" s="165" t="s">
        <v>1952</v>
      </c>
      <c r="C1173" s="165" t="s">
        <v>2997</v>
      </c>
      <c r="E1173" s="165" t="s">
        <v>2998</v>
      </c>
      <c r="F1173" s="165" t="s">
        <v>3001</v>
      </c>
      <c r="G1173" s="81">
        <v>526547</v>
      </c>
      <c r="H1173" s="81">
        <v>175744</v>
      </c>
      <c r="I1173" s="165" t="s">
        <v>257</v>
      </c>
      <c r="L1173" s="166">
        <v>0</v>
      </c>
      <c r="M1173" s="166">
        <v>130</v>
      </c>
      <c r="N1173" s="166">
        <v>130</v>
      </c>
      <c r="O1173" s="166">
        <v>299</v>
      </c>
      <c r="P1173" s="166">
        <v>299</v>
      </c>
      <c r="Q1173" s="81" t="s">
        <v>155</v>
      </c>
      <c r="R1173" s="165" t="s">
        <v>2999</v>
      </c>
      <c r="S1173" s="81" t="s">
        <v>53</v>
      </c>
      <c r="T1173" s="349">
        <v>42951</v>
      </c>
      <c r="W1173" s="81" t="s">
        <v>114</v>
      </c>
      <c r="Y1173" s="81" t="s">
        <v>115</v>
      </c>
      <c r="Z1173" s="81" t="s">
        <v>116</v>
      </c>
      <c r="AA1173" s="81" t="s">
        <v>116</v>
      </c>
      <c r="AB1173" s="81" t="s">
        <v>117</v>
      </c>
      <c r="AC1173" s="166">
        <v>0.28299999237060502</v>
      </c>
      <c r="AG1173" s="81" t="s">
        <v>238</v>
      </c>
      <c r="AH1173" s="81" t="s">
        <v>118</v>
      </c>
      <c r="AI1173" s="81" t="s">
        <v>3000</v>
      </c>
      <c r="AK1173" s="166">
        <v>0</v>
      </c>
      <c r="AM1173" s="166">
        <v>0</v>
      </c>
      <c r="AO1173" s="166">
        <v>0</v>
      </c>
      <c r="AP1173" s="166">
        <v>40</v>
      </c>
      <c r="AQ1173" s="166">
        <v>76</v>
      </c>
      <c r="AR1173" s="166">
        <v>12</v>
      </c>
      <c r="AS1173" s="166">
        <v>0</v>
      </c>
      <c r="AT1173" s="166">
        <v>0</v>
      </c>
      <c r="AU1173" s="166">
        <v>2</v>
      </c>
      <c r="AV1173" s="166">
        <v>0</v>
      </c>
      <c r="AW1173" s="166">
        <v>40</v>
      </c>
      <c r="AX1173" s="166">
        <v>76</v>
      </c>
      <c r="AY1173" s="166">
        <v>12</v>
      </c>
      <c r="AZ1173" s="166">
        <v>0</v>
      </c>
      <c r="BA1173" s="166">
        <v>0</v>
      </c>
      <c r="BB1173" s="166">
        <v>2</v>
      </c>
      <c r="BC1173" s="166">
        <v>0</v>
      </c>
      <c r="BD1173" s="166">
        <v>0</v>
      </c>
      <c r="BE1173" s="166">
        <v>0</v>
      </c>
      <c r="BF1173" s="166">
        <v>0</v>
      </c>
      <c r="BG1173" s="166">
        <v>0</v>
      </c>
      <c r="BH1173" s="166">
        <v>0</v>
      </c>
      <c r="BI1173" s="166">
        <v>0</v>
      </c>
      <c r="BJ1173" s="166">
        <v>0</v>
      </c>
      <c r="BK1173" s="166">
        <v>0</v>
      </c>
      <c r="BL1173" s="166">
        <v>0</v>
      </c>
      <c r="BM1173" s="166">
        <v>0</v>
      </c>
      <c r="BN1173" s="166">
        <v>0</v>
      </c>
      <c r="BO1173" s="166">
        <v>0</v>
      </c>
      <c r="BP1173" s="166">
        <v>0</v>
      </c>
      <c r="BQ1173" s="81" t="s">
        <v>1757</v>
      </c>
      <c r="BX1173" s="81" t="s">
        <v>155</v>
      </c>
      <c r="BZ1173" s="81" t="s">
        <v>3991</v>
      </c>
      <c r="CA1173" s="81">
        <v>15</v>
      </c>
      <c r="CB1173" s="165" t="s">
        <v>3996</v>
      </c>
      <c r="CC1173" s="167">
        <v>0</v>
      </c>
      <c r="CD1173" s="167">
        <v>0</v>
      </c>
      <c r="CE1173" s="167">
        <v>0</v>
      </c>
      <c r="CF1173" s="167">
        <v>0</v>
      </c>
      <c r="CG1173" s="167">
        <v>0</v>
      </c>
      <c r="CH1173" s="167">
        <v>0</v>
      </c>
      <c r="CI1173" s="167">
        <v>0</v>
      </c>
      <c r="CJ1173" s="167">
        <v>0</v>
      </c>
      <c r="CK1173" s="167">
        <v>0</v>
      </c>
      <c r="CL1173" s="167">
        <v>0</v>
      </c>
      <c r="CM1173" s="167">
        <v>0</v>
      </c>
      <c r="CN1173" s="167">
        <v>0</v>
      </c>
      <c r="CO1173" s="167">
        <v>0</v>
      </c>
      <c r="CP1173" s="167">
        <v>0</v>
      </c>
      <c r="CQ1173" s="167">
        <v>0</v>
      </c>
      <c r="CR1173" s="167">
        <v>0</v>
      </c>
      <c r="CS1173" s="167">
        <v>0</v>
      </c>
      <c r="CT1173" s="167">
        <v>0</v>
      </c>
      <c r="CU1173" s="167">
        <v>0</v>
      </c>
      <c r="CV1173" s="167">
        <v>0</v>
      </c>
      <c r="CW1173" s="167">
        <v>0</v>
      </c>
      <c r="CX1173" s="167">
        <f>SUM(CD1173:CH1173)</f>
        <v>0</v>
      </c>
      <c r="CY1173" s="167">
        <f>SUM(CD1173:CM1173)</f>
        <v>0</v>
      </c>
    </row>
    <row r="1174" spans="1:103" ht="12.75" customHeight="1" x14ac:dyDescent="0.2">
      <c r="A1174" s="81">
        <v>3980</v>
      </c>
      <c r="B1174" s="165" t="s">
        <v>1952</v>
      </c>
      <c r="C1174" s="165" t="s">
        <v>1732</v>
      </c>
      <c r="E1174" s="165" t="s">
        <v>3025</v>
      </c>
      <c r="G1174" s="81">
        <v>526592</v>
      </c>
      <c r="H1174" s="81">
        <v>175883</v>
      </c>
      <c r="I1174" s="165" t="s">
        <v>257</v>
      </c>
      <c r="L1174" s="166">
        <v>0</v>
      </c>
      <c r="M1174" s="166">
        <v>108</v>
      </c>
      <c r="N1174" s="166">
        <v>108</v>
      </c>
      <c r="O1174" s="166">
        <v>136</v>
      </c>
      <c r="P1174" s="166">
        <v>136</v>
      </c>
      <c r="Q1174" s="81" t="s">
        <v>155</v>
      </c>
      <c r="R1174" s="165" t="s">
        <v>1733</v>
      </c>
      <c r="S1174" s="81" t="s">
        <v>53</v>
      </c>
      <c r="T1174" s="349">
        <v>42788</v>
      </c>
      <c r="W1174" s="81" t="s">
        <v>114</v>
      </c>
      <c r="Y1174" s="81" t="s">
        <v>115</v>
      </c>
      <c r="Z1174" s="81" t="s">
        <v>116</v>
      </c>
      <c r="AA1174" s="81" t="s">
        <v>116</v>
      </c>
      <c r="AB1174" s="81" t="s">
        <v>117</v>
      </c>
      <c r="AC1174" s="166">
        <v>0.354999989271164</v>
      </c>
      <c r="AG1174" s="81" t="s">
        <v>238</v>
      </c>
      <c r="AH1174" s="81" t="s">
        <v>118</v>
      </c>
      <c r="AI1174" s="81" t="s">
        <v>3026</v>
      </c>
      <c r="AK1174" s="166">
        <v>108</v>
      </c>
      <c r="AM1174" s="166">
        <v>8</v>
      </c>
      <c r="AO1174" s="166">
        <v>0</v>
      </c>
      <c r="AP1174" s="166">
        <v>24</v>
      </c>
      <c r="AQ1174" s="166">
        <v>64</v>
      </c>
      <c r="AR1174" s="166">
        <v>20</v>
      </c>
      <c r="AS1174" s="166">
        <v>0</v>
      </c>
      <c r="AT1174" s="166">
        <v>0</v>
      </c>
      <c r="AU1174" s="166">
        <v>0</v>
      </c>
      <c r="AV1174" s="166">
        <v>0</v>
      </c>
      <c r="AW1174" s="166">
        <v>24</v>
      </c>
      <c r="AX1174" s="166">
        <v>64</v>
      </c>
      <c r="AY1174" s="166">
        <v>20</v>
      </c>
      <c r="AZ1174" s="166">
        <v>0</v>
      </c>
      <c r="BA1174" s="166">
        <v>0</v>
      </c>
      <c r="BB1174" s="166">
        <v>0</v>
      </c>
      <c r="BC1174" s="166">
        <v>0</v>
      </c>
      <c r="BD1174" s="166">
        <v>0</v>
      </c>
      <c r="BE1174" s="166">
        <v>0</v>
      </c>
      <c r="BF1174" s="166">
        <v>0</v>
      </c>
      <c r="BG1174" s="166">
        <v>0</v>
      </c>
      <c r="BH1174" s="166">
        <v>0</v>
      </c>
      <c r="BI1174" s="166">
        <v>0</v>
      </c>
      <c r="BJ1174" s="166">
        <v>0</v>
      </c>
      <c r="BK1174" s="166">
        <v>0</v>
      </c>
      <c r="BL1174" s="166">
        <v>0</v>
      </c>
      <c r="BM1174" s="166">
        <v>0</v>
      </c>
      <c r="BN1174" s="166">
        <v>0</v>
      </c>
      <c r="BO1174" s="166">
        <v>0</v>
      </c>
      <c r="BP1174" s="166">
        <v>0</v>
      </c>
      <c r="BQ1174" s="81" t="s">
        <v>1757</v>
      </c>
      <c r="BX1174" s="81" t="s">
        <v>155</v>
      </c>
      <c r="BZ1174" s="81" t="s">
        <v>155</v>
      </c>
      <c r="CA1174" s="81" t="s">
        <v>3936</v>
      </c>
      <c r="CC1174" s="167">
        <v>0</v>
      </c>
      <c r="CD1174" s="167">
        <f>$N1174/5</f>
        <v>21.6</v>
      </c>
      <c r="CE1174" s="167">
        <f>$N1174/5</f>
        <v>21.6</v>
      </c>
      <c r="CF1174" s="167">
        <f>$N1174/5</f>
        <v>21.6</v>
      </c>
      <c r="CG1174" s="167">
        <f>$N1174/5</f>
        <v>21.6</v>
      </c>
      <c r="CH1174" s="167">
        <f>$N1174/5</f>
        <v>21.6</v>
      </c>
      <c r="CI1174" s="167">
        <v>0</v>
      </c>
      <c r="CJ1174" s="167">
        <v>0</v>
      </c>
      <c r="CK1174" s="167">
        <v>0</v>
      </c>
      <c r="CL1174" s="167">
        <v>0</v>
      </c>
      <c r="CM1174" s="167">
        <v>0</v>
      </c>
      <c r="CN1174" s="167">
        <v>0</v>
      </c>
      <c r="CO1174" s="167">
        <v>0</v>
      </c>
      <c r="CP1174" s="167">
        <v>0</v>
      </c>
      <c r="CQ1174" s="167">
        <v>0</v>
      </c>
      <c r="CR1174" s="167">
        <v>0</v>
      </c>
      <c r="CS1174" s="167">
        <v>0</v>
      </c>
      <c r="CT1174" s="167">
        <v>0</v>
      </c>
      <c r="CU1174" s="167">
        <v>0</v>
      </c>
      <c r="CV1174" s="167">
        <v>0</v>
      </c>
      <c r="CW1174" s="167">
        <v>0</v>
      </c>
      <c r="CX1174" s="167">
        <f>SUM(CD1174:CH1174)</f>
        <v>108</v>
      </c>
      <c r="CY1174" s="167">
        <f>SUM(CD1174:CM1174)</f>
        <v>108</v>
      </c>
    </row>
    <row r="1175" spans="1:103" ht="12.75" customHeight="1" x14ac:dyDescent="0.2">
      <c r="A1175" s="81">
        <v>3980</v>
      </c>
      <c r="B1175" s="165" t="s">
        <v>1952</v>
      </c>
      <c r="C1175" s="165" t="s">
        <v>1732</v>
      </c>
      <c r="E1175" s="165" t="s">
        <v>3025</v>
      </c>
      <c r="G1175" s="81">
        <v>526592</v>
      </c>
      <c r="H1175" s="81">
        <v>175883</v>
      </c>
      <c r="I1175" s="165" t="s">
        <v>257</v>
      </c>
      <c r="L1175" s="166">
        <v>0</v>
      </c>
      <c r="M1175" s="166">
        <v>28</v>
      </c>
      <c r="N1175" s="166">
        <v>28</v>
      </c>
      <c r="O1175" s="166">
        <v>136</v>
      </c>
      <c r="P1175" s="166">
        <v>136</v>
      </c>
      <c r="Q1175" s="81" t="s">
        <v>155</v>
      </c>
      <c r="R1175" s="165" t="s">
        <v>1733</v>
      </c>
      <c r="S1175" s="81" t="s">
        <v>53</v>
      </c>
      <c r="T1175" s="349">
        <v>42788</v>
      </c>
      <c r="W1175" s="81" t="s">
        <v>114</v>
      </c>
      <c r="Y1175" s="81" t="s">
        <v>115</v>
      </c>
      <c r="Z1175" s="81" t="s">
        <v>116</v>
      </c>
      <c r="AA1175" s="81" t="s">
        <v>116</v>
      </c>
      <c r="AB1175" s="81" t="s">
        <v>117</v>
      </c>
      <c r="AC1175" s="166">
        <v>7.5000002980232197E-2</v>
      </c>
      <c r="AG1175" s="81" t="s">
        <v>74</v>
      </c>
      <c r="AH1175" s="81" t="s">
        <v>990</v>
      </c>
      <c r="AI1175" s="81" t="s">
        <v>3026</v>
      </c>
      <c r="AK1175" s="166">
        <v>28</v>
      </c>
      <c r="AM1175" s="166">
        <v>6</v>
      </c>
      <c r="AO1175" s="166">
        <v>0</v>
      </c>
      <c r="AP1175" s="166">
        <v>12</v>
      </c>
      <c r="AQ1175" s="166">
        <v>16</v>
      </c>
      <c r="AR1175" s="166">
        <v>0</v>
      </c>
      <c r="AS1175" s="166">
        <v>0</v>
      </c>
      <c r="AT1175" s="166">
        <v>0</v>
      </c>
      <c r="AU1175" s="166">
        <v>0</v>
      </c>
      <c r="AV1175" s="166">
        <v>0</v>
      </c>
      <c r="AW1175" s="166">
        <v>12</v>
      </c>
      <c r="AX1175" s="166">
        <v>16</v>
      </c>
      <c r="AY1175" s="166">
        <v>0</v>
      </c>
      <c r="AZ1175" s="166">
        <v>0</v>
      </c>
      <c r="BA1175" s="166">
        <v>0</v>
      </c>
      <c r="BB1175" s="166">
        <v>0</v>
      </c>
      <c r="BC1175" s="166">
        <v>0</v>
      </c>
      <c r="BD1175" s="166">
        <v>0</v>
      </c>
      <c r="BE1175" s="166">
        <v>0</v>
      </c>
      <c r="BF1175" s="166">
        <v>0</v>
      </c>
      <c r="BG1175" s="166">
        <v>0</v>
      </c>
      <c r="BH1175" s="166">
        <v>0</v>
      </c>
      <c r="BI1175" s="166">
        <v>0</v>
      </c>
      <c r="BJ1175" s="166">
        <v>0</v>
      </c>
      <c r="BK1175" s="166">
        <v>0</v>
      </c>
      <c r="BL1175" s="166">
        <v>0</v>
      </c>
      <c r="BM1175" s="166">
        <v>0</v>
      </c>
      <c r="BN1175" s="166">
        <v>0</v>
      </c>
      <c r="BO1175" s="166">
        <v>0</v>
      </c>
      <c r="BP1175" s="166">
        <v>0</v>
      </c>
      <c r="BQ1175" s="81" t="s">
        <v>1757</v>
      </c>
      <c r="BX1175" s="81" t="s">
        <v>155</v>
      </c>
      <c r="BZ1175" s="81" t="s">
        <v>155</v>
      </c>
      <c r="CA1175" s="81" t="s">
        <v>3936</v>
      </c>
      <c r="CC1175" s="167">
        <v>0</v>
      </c>
      <c r="CD1175" s="167">
        <f>$N1175/5</f>
        <v>5.6</v>
      </c>
      <c r="CE1175" s="167">
        <f>$N1175/5</f>
        <v>5.6</v>
      </c>
      <c r="CF1175" s="167">
        <f>$N1175/5</f>
        <v>5.6</v>
      </c>
      <c r="CG1175" s="167">
        <f>$N1175/5</f>
        <v>5.6</v>
      </c>
      <c r="CH1175" s="167">
        <f>$N1175/5</f>
        <v>5.6</v>
      </c>
      <c r="CI1175" s="167">
        <v>0</v>
      </c>
      <c r="CJ1175" s="167">
        <v>0</v>
      </c>
      <c r="CK1175" s="167">
        <v>0</v>
      </c>
      <c r="CL1175" s="167">
        <v>0</v>
      </c>
      <c r="CM1175" s="167">
        <v>0</v>
      </c>
      <c r="CN1175" s="167">
        <v>0</v>
      </c>
      <c r="CO1175" s="167">
        <v>0</v>
      </c>
      <c r="CP1175" s="167">
        <v>0</v>
      </c>
      <c r="CQ1175" s="167">
        <v>0</v>
      </c>
      <c r="CR1175" s="167">
        <v>0</v>
      </c>
      <c r="CS1175" s="167">
        <v>0</v>
      </c>
      <c r="CT1175" s="167">
        <v>0</v>
      </c>
      <c r="CU1175" s="167">
        <v>0</v>
      </c>
      <c r="CV1175" s="167">
        <v>0</v>
      </c>
      <c r="CW1175" s="167">
        <v>0</v>
      </c>
      <c r="CX1175" s="167">
        <f>SUM(CD1175:CH1175)</f>
        <v>28</v>
      </c>
      <c r="CY1175" s="167">
        <f>SUM(CD1175:CM1175)</f>
        <v>28</v>
      </c>
    </row>
    <row r="1176" spans="1:103" ht="12.75" customHeight="1" x14ac:dyDescent="0.2">
      <c r="A1176" s="81">
        <v>6404</v>
      </c>
      <c r="B1176" s="165" t="s">
        <v>1952</v>
      </c>
      <c r="C1176" s="165" t="s">
        <v>3433</v>
      </c>
      <c r="E1176" s="165" t="s">
        <v>3432</v>
      </c>
      <c r="G1176" s="81">
        <v>526552</v>
      </c>
      <c r="H1176" s="81">
        <v>172073</v>
      </c>
      <c r="I1176" s="165" t="s">
        <v>249</v>
      </c>
      <c r="L1176" s="166">
        <v>1</v>
      </c>
      <c r="M1176" s="166">
        <v>10</v>
      </c>
      <c r="N1176" s="166">
        <v>9</v>
      </c>
      <c r="O1176" s="166">
        <v>10</v>
      </c>
      <c r="P1176" s="166">
        <v>9</v>
      </c>
      <c r="Q1176" s="81" t="s">
        <v>155</v>
      </c>
      <c r="R1176" s="165" t="s">
        <v>3434</v>
      </c>
      <c r="S1176" s="81" t="s">
        <v>53</v>
      </c>
      <c r="T1176" s="349">
        <v>42933</v>
      </c>
      <c r="W1176" s="81" t="s">
        <v>114</v>
      </c>
      <c r="Y1176" s="81" t="s">
        <v>115</v>
      </c>
      <c r="Z1176" s="81" t="s">
        <v>116</v>
      </c>
      <c r="AA1176" s="81" t="s">
        <v>116</v>
      </c>
      <c r="AB1176" s="81" t="s">
        <v>117</v>
      </c>
      <c r="AC1176" s="166">
        <v>1.7999999225139601E-2</v>
      </c>
      <c r="AG1176" s="81" t="s">
        <v>238</v>
      </c>
      <c r="AH1176" s="81" t="s">
        <v>118</v>
      </c>
      <c r="AK1176" s="166">
        <v>0</v>
      </c>
      <c r="AL1176" s="166">
        <v>9</v>
      </c>
      <c r="AM1176" s="166">
        <v>0</v>
      </c>
      <c r="AN1176" s="166">
        <v>1</v>
      </c>
      <c r="AO1176" s="166">
        <v>0</v>
      </c>
      <c r="AP1176" s="166">
        <v>4</v>
      </c>
      <c r="AQ1176" s="166">
        <v>5</v>
      </c>
      <c r="AR1176" s="166">
        <v>0</v>
      </c>
      <c r="AS1176" s="166">
        <v>0</v>
      </c>
      <c r="AT1176" s="166">
        <v>0</v>
      </c>
      <c r="AU1176" s="166">
        <v>0</v>
      </c>
      <c r="AV1176" s="166">
        <v>0</v>
      </c>
      <c r="AW1176" s="166">
        <v>4</v>
      </c>
      <c r="AX1176" s="166">
        <v>6</v>
      </c>
      <c r="AY1176" s="166">
        <v>0</v>
      </c>
      <c r="AZ1176" s="166">
        <v>0</v>
      </c>
      <c r="BA1176" s="166">
        <v>0</v>
      </c>
      <c r="BB1176" s="166">
        <v>0</v>
      </c>
      <c r="BC1176" s="166">
        <v>0</v>
      </c>
      <c r="BD1176" s="166">
        <v>0</v>
      </c>
      <c r="BE1176" s="166">
        <v>-1</v>
      </c>
      <c r="BF1176" s="166">
        <v>0</v>
      </c>
      <c r="BG1176" s="166">
        <v>0</v>
      </c>
      <c r="BH1176" s="166">
        <v>0</v>
      </c>
      <c r="BI1176" s="166">
        <v>0</v>
      </c>
      <c r="BJ1176" s="166">
        <v>0</v>
      </c>
      <c r="BK1176" s="166">
        <v>0</v>
      </c>
      <c r="BL1176" s="166">
        <v>0</v>
      </c>
      <c r="BM1176" s="166">
        <v>0</v>
      </c>
      <c r="BN1176" s="166">
        <v>0</v>
      </c>
      <c r="BO1176" s="166">
        <v>0</v>
      </c>
      <c r="BP1176" s="166">
        <v>0</v>
      </c>
      <c r="BQ1176" s="81" t="s">
        <v>1758</v>
      </c>
      <c r="BZ1176" s="81" t="s">
        <v>3991</v>
      </c>
      <c r="CA1176" s="81">
        <v>15</v>
      </c>
      <c r="CB1176" s="165" t="s">
        <v>4004</v>
      </c>
      <c r="CC1176" s="167">
        <v>0</v>
      </c>
      <c r="CD1176" s="167">
        <v>0</v>
      </c>
      <c r="CE1176" s="167">
        <v>0</v>
      </c>
      <c r="CF1176" s="167">
        <v>0</v>
      </c>
      <c r="CG1176" s="167">
        <v>0</v>
      </c>
      <c r="CH1176" s="167">
        <v>0</v>
      </c>
      <c r="CI1176" s="167">
        <v>0</v>
      </c>
      <c r="CJ1176" s="167">
        <v>0</v>
      </c>
      <c r="CK1176" s="167">
        <v>0</v>
      </c>
      <c r="CL1176" s="167">
        <v>0</v>
      </c>
      <c r="CM1176" s="167">
        <v>0</v>
      </c>
      <c r="CN1176" s="167">
        <v>0</v>
      </c>
      <c r="CO1176" s="167">
        <v>0</v>
      </c>
      <c r="CP1176" s="167">
        <v>0</v>
      </c>
      <c r="CQ1176" s="167">
        <v>0</v>
      </c>
      <c r="CR1176" s="167">
        <v>0</v>
      </c>
      <c r="CS1176" s="167">
        <v>0</v>
      </c>
      <c r="CT1176" s="167">
        <v>0</v>
      </c>
      <c r="CU1176" s="167">
        <v>0</v>
      </c>
      <c r="CV1176" s="167">
        <v>0</v>
      </c>
      <c r="CW1176" s="167">
        <v>0</v>
      </c>
      <c r="CX1176" s="167">
        <f>SUM(CD1176:CH1176)</f>
        <v>0</v>
      </c>
      <c r="CY1176" s="167">
        <f>SUM(CD1176:CM1176)</f>
        <v>0</v>
      </c>
    </row>
    <row r="1177" spans="1:103" ht="12.75" customHeight="1" x14ac:dyDescent="0.2">
      <c r="A1177" s="81">
        <v>6478</v>
      </c>
      <c r="B1177" s="165" t="s">
        <v>1952</v>
      </c>
      <c r="C1177" s="165" t="s">
        <v>1554</v>
      </c>
      <c r="D1177" s="165" t="s">
        <v>1555</v>
      </c>
      <c r="E1177" s="165" t="s">
        <v>3437</v>
      </c>
      <c r="G1177" s="81">
        <v>528953</v>
      </c>
      <c r="H1177" s="81">
        <v>177092</v>
      </c>
      <c r="I1177" s="165" t="s">
        <v>240</v>
      </c>
      <c r="L1177" s="166">
        <v>0</v>
      </c>
      <c r="M1177" s="166">
        <v>128</v>
      </c>
      <c r="N1177" s="166">
        <v>128</v>
      </c>
      <c r="O1177" s="166">
        <v>162</v>
      </c>
      <c r="P1177" s="166">
        <v>162</v>
      </c>
      <c r="Q1177" s="81" t="s">
        <v>155</v>
      </c>
      <c r="R1177" s="165" t="s">
        <v>1557</v>
      </c>
      <c r="S1177" s="81" t="s">
        <v>53</v>
      </c>
      <c r="T1177" s="349">
        <v>42628</v>
      </c>
      <c r="W1177" s="81" t="s">
        <v>114</v>
      </c>
      <c r="Y1177" s="81" t="s">
        <v>115</v>
      </c>
      <c r="Z1177" s="81" t="s">
        <v>116</v>
      </c>
      <c r="AA1177" s="81" t="s">
        <v>116</v>
      </c>
      <c r="AB1177" s="81" t="s">
        <v>117</v>
      </c>
      <c r="AC1177" s="166">
        <v>0</v>
      </c>
      <c r="AG1177" s="81" t="s">
        <v>238</v>
      </c>
      <c r="AH1177" s="81" t="s">
        <v>118</v>
      </c>
      <c r="AK1177" s="166">
        <v>130</v>
      </c>
      <c r="AM1177" s="166">
        <v>13</v>
      </c>
      <c r="AO1177" s="166">
        <v>0</v>
      </c>
      <c r="AP1177" s="166">
        <v>31</v>
      </c>
      <c r="AQ1177" s="166">
        <v>86</v>
      </c>
      <c r="AR1177" s="166">
        <v>11</v>
      </c>
      <c r="AS1177" s="166">
        <v>0</v>
      </c>
      <c r="AT1177" s="166">
        <v>0</v>
      </c>
      <c r="AU1177" s="166">
        <v>0</v>
      </c>
      <c r="AV1177" s="166">
        <v>0</v>
      </c>
      <c r="AW1177" s="166">
        <v>31</v>
      </c>
      <c r="AX1177" s="166">
        <v>86</v>
      </c>
      <c r="AY1177" s="166">
        <v>11</v>
      </c>
      <c r="AZ1177" s="166">
        <v>0</v>
      </c>
      <c r="BA1177" s="166">
        <v>0</v>
      </c>
      <c r="BB1177" s="166">
        <v>0</v>
      </c>
      <c r="BC1177" s="166">
        <v>0</v>
      </c>
      <c r="BD1177" s="166">
        <v>0</v>
      </c>
      <c r="BE1177" s="166">
        <v>0</v>
      </c>
      <c r="BF1177" s="166">
        <v>0</v>
      </c>
      <c r="BG1177" s="166">
        <v>0</v>
      </c>
      <c r="BH1177" s="166">
        <v>0</v>
      </c>
      <c r="BI1177" s="166">
        <v>0</v>
      </c>
      <c r="BJ1177" s="166">
        <v>0</v>
      </c>
      <c r="BK1177" s="166">
        <v>0</v>
      </c>
      <c r="BL1177" s="166">
        <v>0</v>
      </c>
      <c r="BM1177" s="166">
        <v>0</v>
      </c>
      <c r="BN1177" s="166">
        <v>0</v>
      </c>
      <c r="BO1177" s="166">
        <v>0</v>
      </c>
      <c r="BP1177" s="166">
        <v>0</v>
      </c>
      <c r="BQ1177" s="81" t="s">
        <v>1759</v>
      </c>
      <c r="BS1177" s="81" t="s">
        <v>155</v>
      </c>
      <c r="BZ1177" s="81" t="s">
        <v>155</v>
      </c>
      <c r="CA1177" s="81">
        <v>12</v>
      </c>
      <c r="CC1177" s="167">
        <v>0</v>
      </c>
      <c r="CD1177" s="167">
        <v>0</v>
      </c>
      <c r="CE1177" s="167">
        <v>0</v>
      </c>
      <c r="CF1177" s="167">
        <v>0</v>
      </c>
      <c r="CG1177" s="167">
        <f>N1177</f>
        <v>128</v>
      </c>
      <c r="CH1177" s="167">
        <v>0</v>
      </c>
      <c r="CI1177" s="167">
        <v>0</v>
      </c>
      <c r="CJ1177" s="167">
        <v>0</v>
      </c>
      <c r="CK1177" s="167">
        <v>0</v>
      </c>
      <c r="CL1177" s="167">
        <v>0</v>
      </c>
      <c r="CM1177" s="167">
        <v>0</v>
      </c>
      <c r="CN1177" s="167">
        <v>0</v>
      </c>
      <c r="CO1177" s="167">
        <v>0</v>
      </c>
      <c r="CP1177" s="167">
        <v>0</v>
      </c>
      <c r="CQ1177" s="167">
        <v>0</v>
      </c>
      <c r="CR1177" s="167">
        <v>0</v>
      </c>
      <c r="CS1177" s="167">
        <v>0</v>
      </c>
      <c r="CT1177" s="167">
        <v>0</v>
      </c>
      <c r="CU1177" s="167">
        <v>0</v>
      </c>
      <c r="CV1177" s="167">
        <v>0</v>
      </c>
      <c r="CW1177" s="167">
        <v>0</v>
      </c>
      <c r="CX1177" s="167">
        <f>SUM(CD1177:CH1177)</f>
        <v>128</v>
      </c>
      <c r="CY1177" s="167">
        <f>SUM(CD1177:CM1177)</f>
        <v>128</v>
      </c>
    </row>
    <row r="1178" spans="1:103" ht="12.75" customHeight="1" x14ac:dyDescent="0.2">
      <c r="A1178" s="81">
        <v>6478</v>
      </c>
      <c r="B1178" s="165" t="s">
        <v>1952</v>
      </c>
      <c r="C1178" s="165" t="s">
        <v>1554</v>
      </c>
      <c r="D1178" s="165" t="s">
        <v>1555</v>
      </c>
      <c r="E1178" s="165" t="s">
        <v>3437</v>
      </c>
      <c r="G1178" s="81">
        <v>528953</v>
      </c>
      <c r="H1178" s="81">
        <v>177092</v>
      </c>
      <c r="I1178" s="165" t="s">
        <v>240</v>
      </c>
      <c r="L1178" s="166">
        <v>0</v>
      </c>
      <c r="M1178" s="166">
        <v>34</v>
      </c>
      <c r="N1178" s="166">
        <v>34</v>
      </c>
      <c r="O1178" s="166">
        <v>162</v>
      </c>
      <c r="P1178" s="166">
        <v>162</v>
      </c>
      <c r="Q1178" s="81" t="s">
        <v>155</v>
      </c>
      <c r="R1178" s="165" t="s">
        <v>1557</v>
      </c>
      <c r="S1178" s="81" t="s">
        <v>53</v>
      </c>
      <c r="T1178" s="349">
        <v>42628</v>
      </c>
      <c r="W1178" s="81" t="s">
        <v>114</v>
      </c>
      <c r="Y1178" s="81" t="s">
        <v>115</v>
      </c>
      <c r="Z1178" s="81" t="s">
        <v>116</v>
      </c>
      <c r="AA1178" s="81" t="s">
        <v>116</v>
      </c>
      <c r="AB1178" s="81" t="s">
        <v>117</v>
      </c>
      <c r="AC1178" s="166">
        <v>0</v>
      </c>
      <c r="AG1178" s="81" t="s">
        <v>74</v>
      </c>
      <c r="AH1178" s="81" t="s">
        <v>990</v>
      </c>
      <c r="AK1178" s="166">
        <v>44</v>
      </c>
      <c r="AM1178" s="166">
        <v>4</v>
      </c>
      <c r="AO1178" s="166">
        <v>0</v>
      </c>
      <c r="AP1178" s="166">
        <v>17</v>
      </c>
      <c r="AQ1178" s="166">
        <v>17</v>
      </c>
      <c r="AR1178" s="166">
        <v>0</v>
      </c>
      <c r="AS1178" s="166">
        <v>0</v>
      </c>
      <c r="AT1178" s="166">
        <v>0</v>
      </c>
      <c r="AU1178" s="166">
        <v>0</v>
      </c>
      <c r="AV1178" s="166">
        <v>0</v>
      </c>
      <c r="AW1178" s="166">
        <v>17</v>
      </c>
      <c r="AX1178" s="166">
        <v>17</v>
      </c>
      <c r="AY1178" s="166">
        <v>0</v>
      </c>
      <c r="AZ1178" s="166">
        <v>0</v>
      </c>
      <c r="BA1178" s="166">
        <v>0</v>
      </c>
      <c r="BB1178" s="166">
        <v>0</v>
      </c>
      <c r="BC1178" s="166">
        <v>0</v>
      </c>
      <c r="BD1178" s="166">
        <v>0</v>
      </c>
      <c r="BE1178" s="166">
        <v>0</v>
      </c>
      <c r="BF1178" s="166">
        <v>0</v>
      </c>
      <c r="BG1178" s="166">
        <v>0</v>
      </c>
      <c r="BH1178" s="166">
        <v>0</v>
      </c>
      <c r="BI1178" s="166">
        <v>0</v>
      </c>
      <c r="BJ1178" s="166">
        <v>0</v>
      </c>
      <c r="BK1178" s="166">
        <v>0</v>
      </c>
      <c r="BL1178" s="166">
        <v>0</v>
      </c>
      <c r="BM1178" s="166">
        <v>0</v>
      </c>
      <c r="BN1178" s="166">
        <v>0</v>
      </c>
      <c r="BO1178" s="166">
        <v>0</v>
      </c>
      <c r="BP1178" s="166">
        <v>0</v>
      </c>
      <c r="BQ1178" s="81" t="s">
        <v>1759</v>
      </c>
      <c r="BS1178" s="81" t="s">
        <v>155</v>
      </c>
      <c r="BZ1178" s="81" t="s">
        <v>155</v>
      </c>
      <c r="CA1178" s="81">
        <v>12</v>
      </c>
      <c r="CC1178" s="167">
        <v>0</v>
      </c>
      <c r="CD1178" s="167">
        <v>0</v>
      </c>
      <c r="CE1178" s="167">
        <v>0</v>
      </c>
      <c r="CF1178" s="167">
        <v>0</v>
      </c>
      <c r="CG1178" s="167">
        <f>N1178</f>
        <v>34</v>
      </c>
      <c r="CH1178" s="167">
        <v>0</v>
      </c>
      <c r="CI1178" s="167">
        <v>0</v>
      </c>
      <c r="CJ1178" s="167">
        <v>0</v>
      </c>
      <c r="CK1178" s="167">
        <v>0</v>
      </c>
      <c r="CL1178" s="167">
        <v>0</v>
      </c>
      <c r="CM1178" s="167">
        <v>0</v>
      </c>
      <c r="CN1178" s="167">
        <v>0</v>
      </c>
      <c r="CO1178" s="167">
        <v>0</v>
      </c>
      <c r="CP1178" s="167">
        <v>0</v>
      </c>
      <c r="CQ1178" s="167">
        <v>0</v>
      </c>
      <c r="CR1178" s="167">
        <v>0</v>
      </c>
      <c r="CS1178" s="167">
        <v>0</v>
      </c>
      <c r="CT1178" s="167">
        <v>0</v>
      </c>
      <c r="CU1178" s="167">
        <v>0</v>
      </c>
      <c r="CV1178" s="167">
        <v>0</v>
      </c>
      <c r="CW1178" s="167">
        <v>0</v>
      </c>
      <c r="CX1178" s="167">
        <f>SUM(CD1178:CH1178)</f>
        <v>34</v>
      </c>
      <c r="CY1178" s="167">
        <f>SUM(CD1178:CM1178)</f>
        <v>34</v>
      </c>
    </row>
    <row r="1179" spans="1:103" ht="12.75" customHeight="1" x14ac:dyDescent="0.2">
      <c r="A1179" s="81">
        <v>6499</v>
      </c>
      <c r="B1179" s="165" t="s">
        <v>1952</v>
      </c>
      <c r="C1179" s="165" t="s">
        <v>1562</v>
      </c>
      <c r="E1179" s="165" t="s">
        <v>3034</v>
      </c>
      <c r="G1179" s="81">
        <v>529152</v>
      </c>
      <c r="H1179" s="81">
        <v>176426</v>
      </c>
      <c r="I1179" s="165" t="s">
        <v>240</v>
      </c>
      <c r="L1179" s="166">
        <v>1</v>
      </c>
      <c r="M1179" s="166">
        <v>4</v>
      </c>
      <c r="N1179" s="166">
        <v>3</v>
      </c>
      <c r="O1179" s="166">
        <v>4</v>
      </c>
      <c r="P1179" s="166">
        <v>3</v>
      </c>
      <c r="R1179" s="165" t="s">
        <v>1563</v>
      </c>
      <c r="S1179" s="81" t="s">
        <v>53</v>
      </c>
      <c r="T1179" s="349">
        <v>42669</v>
      </c>
      <c r="W1179" s="81" t="s">
        <v>114</v>
      </c>
      <c r="Y1179" s="81" t="s">
        <v>115</v>
      </c>
      <c r="Z1179" s="81" t="s">
        <v>116</v>
      </c>
      <c r="AA1179" s="81" t="s">
        <v>117</v>
      </c>
      <c r="AB1179" s="81" t="s">
        <v>218</v>
      </c>
      <c r="AC1179" s="166">
        <v>9.9999997764825804E-3</v>
      </c>
      <c r="AG1179" s="81" t="s">
        <v>238</v>
      </c>
      <c r="AH1179" s="81" t="s">
        <v>118</v>
      </c>
      <c r="AK1179" s="166">
        <v>9</v>
      </c>
      <c r="AM1179" s="166">
        <v>0</v>
      </c>
      <c r="AO1179" s="166">
        <v>0</v>
      </c>
      <c r="AP1179" s="166">
        <v>0</v>
      </c>
      <c r="AQ1179" s="166">
        <v>1</v>
      </c>
      <c r="AR1179" s="166">
        <v>2</v>
      </c>
      <c r="AS1179" s="166">
        <v>0</v>
      </c>
      <c r="AT1179" s="166">
        <v>0</v>
      </c>
      <c r="AU1179" s="166">
        <v>0</v>
      </c>
      <c r="AV1179" s="166">
        <v>0</v>
      </c>
      <c r="AW1179" s="166">
        <v>0</v>
      </c>
      <c r="AX1179" s="166">
        <v>1</v>
      </c>
      <c r="AY1179" s="166">
        <v>3</v>
      </c>
      <c r="AZ1179" s="166">
        <v>0</v>
      </c>
      <c r="BA1179" s="166">
        <v>0</v>
      </c>
      <c r="BB1179" s="166">
        <v>0</v>
      </c>
      <c r="BC1179" s="166">
        <v>0</v>
      </c>
      <c r="BD1179" s="166">
        <v>0</v>
      </c>
      <c r="BE1179" s="166">
        <v>0</v>
      </c>
      <c r="BF1179" s="166">
        <v>-1</v>
      </c>
      <c r="BG1179" s="166">
        <v>0</v>
      </c>
      <c r="BH1179" s="166">
        <v>0</v>
      </c>
      <c r="BI1179" s="166">
        <v>0</v>
      </c>
      <c r="BJ1179" s="166">
        <v>0</v>
      </c>
      <c r="BK1179" s="166">
        <v>0</v>
      </c>
      <c r="BL1179" s="166">
        <v>0</v>
      </c>
      <c r="BM1179" s="166">
        <v>0</v>
      </c>
      <c r="BN1179" s="166">
        <v>0</v>
      </c>
      <c r="BO1179" s="166">
        <v>0</v>
      </c>
      <c r="BP1179" s="166">
        <v>0</v>
      </c>
      <c r="BQ1179" s="81" t="s">
        <v>1759</v>
      </c>
      <c r="BS1179" s="81" t="s">
        <v>155</v>
      </c>
      <c r="BZ1179" s="81" t="s">
        <v>155</v>
      </c>
      <c r="CA1179" s="81">
        <v>4</v>
      </c>
      <c r="CC1179" s="167">
        <v>0</v>
      </c>
      <c r="CD1179" s="167">
        <v>0</v>
      </c>
      <c r="CE1179" s="167">
        <f>$N1179/5</f>
        <v>0.6</v>
      </c>
      <c r="CF1179" s="167">
        <f>$N1179/5</f>
        <v>0.6</v>
      </c>
      <c r="CG1179" s="167">
        <f>$N1179/5</f>
        <v>0.6</v>
      </c>
      <c r="CH1179" s="167">
        <f>$N1179/5</f>
        <v>0.6</v>
      </c>
      <c r="CI1179" s="167">
        <f>$N1179/5</f>
        <v>0.6</v>
      </c>
      <c r="CJ1179" s="167">
        <v>0</v>
      </c>
      <c r="CK1179" s="167">
        <v>0</v>
      </c>
      <c r="CL1179" s="167">
        <v>0</v>
      </c>
      <c r="CM1179" s="167">
        <v>0</v>
      </c>
      <c r="CN1179" s="167">
        <v>0</v>
      </c>
      <c r="CO1179" s="167">
        <v>0</v>
      </c>
      <c r="CP1179" s="167">
        <v>0</v>
      </c>
      <c r="CQ1179" s="167">
        <v>0</v>
      </c>
      <c r="CR1179" s="167">
        <v>0</v>
      </c>
      <c r="CS1179" s="167">
        <v>0</v>
      </c>
      <c r="CT1179" s="167">
        <v>0</v>
      </c>
      <c r="CU1179" s="167">
        <v>0</v>
      </c>
      <c r="CV1179" s="167">
        <v>0</v>
      </c>
      <c r="CW1179" s="167">
        <v>0</v>
      </c>
      <c r="CX1179" s="167">
        <f>SUM(CD1179:CH1179)</f>
        <v>2.4</v>
      </c>
      <c r="CY1179" s="167">
        <f>SUM(CD1179:CM1179)</f>
        <v>3</v>
      </c>
    </row>
    <row r="1180" spans="1:103" ht="12.75" customHeight="1" x14ac:dyDescent="0.2">
      <c r="A1180" s="81">
        <v>6505</v>
      </c>
      <c r="B1180" s="165" t="s">
        <v>1952</v>
      </c>
      <c r="C1180" s="165" t="s">
        <v>1724</v>
      </c>
      <c r="D1180" s="165" t="s">
        <v>876</v>
      </c>
      <c r="E1180" s="165" t="s">
        <v>3440</v>
      </c>
      <c r="F1180" s="165" t="s">
        <v>1294</v>
      </c>
      <c r="G1180" s="81">
        <v>526483</v>
      </c>
      <c r="H1180" s="81">
        <v>175747</v>
      </c>
      <c r="I1180" s="165" t="s">
        <v>257</v>
      </c>
      <c r="L1180" s="166">
        <v>0</v>
      </c>
      <c r="M1180" s="166">
        <v>85</v>
      </c>
      <c r="N1180" s="166">
        <v>85</v>
      </c>
      <c r="O1180" s="166">
        <v>127</v>
      </c>
      <c r="P1180" s="166">
        <v>125</v>
      </c>
      <c r="Q1180" s="81" t="s">
        <v>155</v>
      </c>
      <c r="R1180" s="165" t="s">
        <v>1725</v>
      </c>
      <c r="S1180" s="81" t="s">
        <v>53</v>
      </c>
      <c r="T1180" s="349">
        <v>42650</v>
      </c>
      <c r="W1180" s="81" t="s">
        <v>114</v>
      </c>
      <c r="Y1180" s="81" t="s">
        <v>115</v>
      </c>
      <c r="Z1180" s="81" t="s">
        <v>116</v>
      </c>
      <c r="AA1180" s="81" t="s">
        <v>116</v>
      </c>
      <c r="AB1180" s="81" t="s">
        <v>117</v>
      </c>
      <c r="AC1180" s="166">
        <v>0.20000000298023199</v>
      </c>
      <c r="AG1180" s="81" t="s">
        <v>238</v>
      </c>
      <c r="AH1180" s="81" t="s">
        <v>118</v>
      </c>
      <c r="AK1180" s="166">
        <v>0</v>
      </c>
      <c r="AM1180" s="166">
        <v>0</v>
      </c>
      <c r="AO1180" s="166">
        <v>0</v>
      </c>
      <c r="AP1180" s="166">
        <v>14</v>
      </c>
      <c r="AQ1180" s="166">
        <v>68</v>
      </c>
      <c r="AR1180" s="166">
        <v>3</v>
      </c>
      <c r="AS1180" s="166">
        <v>0</v>
      </c>
      <c r="AT1180" s="166">
        <v>0</v>
      </c>
      <c r="AU1180" s="166">
        <v>0</v>
      </c>
      <c r="AV1180" s="166">
        <v>0</v>
      </c>
      <c r="AW1180" s="166">
        <v>14</v>
      </c>
      <c r="AX1180" s="166">
        <v>68</v>
      </c>
      <c r="AY1180" s="166">
        <v>3</v>
      </c>
      <c r="AZ1180" s="166">
        <v>0</v>
      </c>
      <c r="BA1180" s="166">
        <v>0</v>
      </c>
      <c r="BB1180" s="166">
        <v>0</v>
      </c>
      <c r="BC1180" s="166">
        <v>0</v>
      </c>
      <c r="BD1180" s="166">
        <v>0</v>
      </c>
      <c r="BE1180" s="166">
        <v>0</v>
      </c>
      <c r="BF1180" s="166">
        <v>0</v>
      </c>
      <c r="BG1180" s="166">
        <v>0</v>
      </c>
      <c r="BH1180" s="166">
        <v>0</v>
      </c>
      <c r="BI1180" s="166">
        <v>0</v>
      </c>
      <c r="BJ1180" s="166">
        <v>0</v>
      </c>
      <c r="BK1180" s="166">
        <v>0</v>
      </c>
      <c r="BL1180" s="166">
        <v>0</v>
      </c>
      <c r="BM1180" s="166">
        <v>0</v>
      </c>
      <c r="BN1180" s="166">
        <v>0</v>
      </c>
      <c r="BO1180" s="166">
        <v>0</v>
      </c>
      <c r="BP1180" s="166">
        <v>0</v>
      </c>
      <c r="BQ1180" s="81" t="s">
        <v>1757</v>
      </c>
      <c r="BX1180" s="81" t="s">
        <v>155</v>
      </c>
      <c r="BZ1180" s="81" t="s">
        <v>3991</v>
      </c>
      <c r="CA1180" s="81">
        <v>15</v>
      </c>
      <c r="CB1180" s="165" t="s">
        <v>4013</v>
      </c>
      <c r="CC1180" s="167">
        <v>0</v>
      </c>
      <c r="CD1180" s="167">
        <v>0</v>
      </c>
      <c r="CE1180" s="167">
        <v>0</v>
      </c>
      <c r="CF1180" s="167">
        <v>0</v>
      </c>
      <c r="CG1180" s="167">
        <v>0</v>
      </c>
      <c r="CH1180" s="167">
        <v>0</v>
      </c>
      <c r="CI1180" s="167">
        <v>0</v>
      </c>
      <c r="CJ1180" s="167">
        <v>0</v>
      </c>
      <c r="CK1180" s="167">
        <v>0</v>
      </c>
      <c r="CL1180" s="167">
        <v>0</v>
      </c>
      <c r="CM1180" s="167">
        <v>0</v>
      </c>
      <c r="CN1180" s="167">
        <v>0</v>
      </c>
      <c r="CO1180" s="167">
        <v>0</v>
      </c>
      <c r="CP1180" s="167">
        <v>0</v>
      </c>
      <c r="CQ1180" s="167">
        <v>0</v>
      </c>
      <c r="CR1180" s="167">
        <v>0</v>
      </c>
      <c r="CS1180" s="167">
        <v>0</v>
      </c>
      <c r="CT1180" s="167">
        <v>0</v>
      </c>
      <c r="CU1180" s="167">
        <v>0</v>
      </c>
      <c r="CV1180" s="167">
        <v>0</v>
      </c>
      <c r="CW1180" s="167">
        <v>0</v>
      </c>
      <c r="CX1180" s="167">
        <f>SUM(CD1180:CH1180)</f>
        <v>0</v>
      </c>
      <c r="CY1180" s="167">
        <f>SUM(CD1180:CM1180)</f>
        <v>0</v>
      </c>
    </row>
    <row r="1181" spans="1:103" ht="12.75" customHeight="1" x14ac:dyDescent="0.2">
      <c r="A1181" s="81">
        <v>6505</v>
      </c>
      <c r="B1181" s="165" t="s">
        <v>1952</v>
      </c>
      <c r="C1181" s="165" t="s">
        <v>1724</v>
      </c>
      <c r="D1181" s="165" t="s">
        <v>876</v>
      </c>
      <c r="E1181" s="165" t="s">
        <v>3440</v>
      </c>
      <c r="F1181" s="165" t="s">
        <v>1231</v>
      </c>
      <c r="G1181" s="81">
        <v>526483</v>
      </c>
      <c r="H1181" s="81">
        <v>175747</v>
      </c>
      <c r="I1181" s="165" t="s">
        <v>257</v>
      </c>
      <c r="L1181" s="166">
        <v>0</v>
      </c>
      <c r="M1181" s="166">
        <v>17</v>
      </c>
      <c r="N1181" s="166">
        <v>17</v>
      </c>
      <c r="O1181" s="166">
        <v>127</v>
      </c>
      <c r="P1181" s="166">
        <v>125</v>
      </c>
      <c r="Q1181" s="81" t="s">
        <v>155</v>
      </c>
      <c r="R1181" s="165" t="s">
        <v>1725</v>
      </c>
      <c r="S1181" s="81" t="s">
        <v>53</v>
      </c>
      <c r="T1181" s="349">
        <v>42650</v>
      </c>
      <c r="W1181" s="81" t="s">
        <v>114</v>
      </c>
      <c r="Y1181" s="81" t="s">
        <v>115</v>
      </c>
      <c r="Z1181" s="81" t="s">
        <v>116</v>
      </c>
      <c r="AA1181" s="81" t="s">
        <v>116</v>
      </c>
      <c r="AB1181" s="81" t="s">
        <v>117</v>
      </c>
      <c r="AC1181" s="166">
        <v>3.9999999105930301E-2</v>
      </c>
      <c r="AG1181" s="81" t="s">
        <v>74</v>
      </c>
      <c r="AH1181" s="81" t="s">
        <v>880</v>
      </c>
      <c r="AK1181" s="166">
        <v>0</v>
      </c>
      <c r="AM1181" s="166">
        <v>0</v>
      </c>
      <c r="AO1181" s="166">
        <v>0</v>
      </c>
      <c r="AP1181" s="166">
        <v>7</v>
      </c>
      <c r="AQ1181" s="166">
        <v>10</v>
      </c>
      <c r="AR1181" s="166">
        <v>0</v>
      </c>
      <c r="AS1181" s="166">
        <v>0</v>
      </c>
      <c r="AT1181" s="166">
        <v>0</v>
      </c>
      <c r="AU1181" s="166">
        <v>0</v>
      </c>
      <c r="AV1181" s="166">
        <v>0</v>
      </c>
      <c r="AW1181" s="166">
        <v>7</v>
      </c>
      <c r="AX1181" s="166">
        <v>10</v>
      </c>
      <c r="AY1181" s="166">
        <v>0</v>
      </c>
      <c r="AZ1181" s="166">
        <v>0</v>
      </c>
      <c r="BA1181" s="166">
        <v>0</v>
      </c>
      <c r="BB1181" s="166">
        <v>0</v>
      </c>
      <c r="BC1181" s="166">
        <v>0</v>
      </c>
      <c r="BD1181" s="166">
        <v>0</v>
      </c>
      <c r="BE1181" s="166">
        <v>0</v>
      </c>
      <c r="BF1181" s="166">
        <v>0</v>
      </c>
      <c r="BG1181" s="166">
        <v>0</v>
      </c>
      <c r="BH1181" s="166">
        <v>0</v>
      </c>
      <c r="BI1181" s="166">
        <v>0</v>
      </c>
      <c r="BJ1181" s="166">
        <v>0</v>
      </c>
      <c r="BK1181" s="166">
        <v>0</v>
      </c>
      <c r="BL1181" s="166">
        <v>0</v>
      </c>
      <c r="BM1181" s="166">
        <v>0</v>
      </c>
      <c r="BN1181" s="166">
        <v>0</v>
      </c>
      <c r="BO1181" s="166">
        <v>0</v>
      </c>
      <c r="BP1181" s="166">
        <v>0</v>
      </c>
      <c r="BQ1181" s="81" t="s">
        <v>1757</v>
      </c>
      <c r="BX1181" s="81" t="s">
        <v>155</v>
      </c>
      <c r="BZ1181" s="81" t="s">
        <v>3991</v>
      </c>
      <c r="CA1181" s="81">
        <v>15</v>
      </c>
      <c r="CB1181" s="165" t="s">
        <v>4013</v>
      </c>
      <c r="CC1181" s="167">
        <v>0</v>
      </c>
      <c r="CD1181" s="167">
        <v>0</v>
      </c>
      <c r="CE1181" s="167">
        <v>0</v>
      </c>
      <c r="CF1181" s="167">
        <v>0</v>
      </c>
      <c r="CG1181" s="167">
        <v>0</v>
      </c>
      <c r="CH1181" s="167">
        <v>0</v>
      </c>
      <c r="CI1181" s="167">
        <v>0</v>
      </c>
      <c r="CJ1181" s="167">
        <v>0</v>
      </c>
      <c r="CK1181" s="167">
        <v>0</v>
      </c>
      <c r="CL1181" s="167">
        <v>0</v>
      </c>
      <c r="CM1181" s="167">
        <v>0</v>
      </c>
      <c r="CN1181" s="167">
        <v>0</v>
      </c>
      <c r="CO1181" s="167">
        <v>0</v>
      </c>
      <c r="CP1181" s="167">
        <v>0</v>
      </c>
      <c r="CQ1181" s="167">
        <v>0</v>
      </c>
      <c r="CR1181" s="167">
        <v>0</v>
      </c>
      <c r="CS1181" s="167">
        <v>0</v>
      </c>
      <c r="CT1181" s="167">
        <v>0</v>
      </c>
      <c r="CU1181" s="167">
        <v>0</v>
      </c>
      <c r="CV1181" s="167">
        <v>0</v>
      </c>
      <c r="CW1181" s="167">
        <v>0</v>
      </c>
      <c r="CX1181" s="167">
        <f>SUM(CD1181:CH1181)</f>
        <v>0</v>
      </c>
      <c r="CY1181" s="167">
        <f>SUM(CD1181:CM1181)</f>
        <v>0</v>
      </c>
    </row>
    <row r="1182" spans="1:103" ht="12.75" customHeight="1" x14ac:dyDescent="0.2">
      <c r="A1182" s="81">
        <v>6505</v>
      </c>
      <c r="B1182" s="165" t="s">
        <v>1952</v>
      </c>
      <c r="C1182" s="165" t="s">
        <v>1724</v>
      </c>
      <c r="D1182" s="165" t="s">
        <v>876</v>
      </c>
      <c r="E1182" s="165" t="s">
        <v>3440</v>
      </c>
      <c r="F1182" s="165" t="s">
        <v>1231</v>
      </c>
      <c r="G1182" s="81">
        <v>526483</v>
      </c>
      <c r="H1182" s="81">
        <v>175747</v>
      </c>
      <c r="I1182" s="165" t="s">
        <v>257</v>
      </c>
      <c r="L1182" s="166">
        <v>0</v>
      </c>
      <c r="M1182" s="166">
        <v>15</v>
      </c>
      <c r="N1182" s="166">
        <v>15</v>
      </c>
      <c r="O1182" s="166">
        <v>127</v>
      </c>
      <c r="P1182" s="166">
        <v>125</v>
      </c>
      <c r="Q1182" s="81" t="s">
        <v>155</v>
      </c>
      <c r="R1182" s="165" t="s">
        <v>1725</v>
      </c>
      <c r="S1182" s="81" t="s">
        <v>53</v>
      </c>
      <c r="T1182" s="349">
        <v>42650</v>
      </c>
      <c r="W1182" s="81" t="s">
        <v>114</v>
      </c>
      <c r="Y1182" s="81" t="s">
        <v>115</v>
      </c>
      <c r="Z1182" s="81" t="s">
        <v>116</v>
      </c>
      <c r="AA1182" s="81" t="s">
        <v>116</v>
      </c>
      <c r="AB1182" s="81" t="s">
        <v>117</v>
      </c>
      <c r="AC1182" s="166">
        <v>3.5000000149011598E-2</v>
      </c>
      <c r="AG1182" s="81" t="s">
        <v>238</v>
      </c>
      <c r="AH1182" s="81" t="s">
        <v>118</v>
      </c>
      <c r="AK1182" s="166">
        <v>0</v>
      </c>
      <c r="AM1182" s="166">
        <v>0</v>
      </c>
      <c r="AO1182" s="166">
        <v>0</v>
      </c>
      <c r="AP1182" s="166">
        <v>3</v>
      </c>
      <c r="AQ1182" s="166">
        <v>10</v>
      </c>
      <c r="AR1182" s="166">
        <v>2</v>
      </c>
      <c r="AS1182" s="166">
        <v>0</v>
      </c>
      <c r="AT1182" s="166">
        <v>0</v>
      </c>
      <c r="AU1182" s="166">
        <v>0</v>
      </c>
      <c r="AV1182" s="166">
        <v>0</v>
      </c>
      <c r="AW1182" s="166">
        <v>3</v>
      </c>
      <c r="AX1182" s="166">
        <v>10</v>
      </c>
      <c r="AY1182" s="166">
        <v>2</v>
      </c>
      <c r="AZ1182" s="166">
        <v>0</v>
      </c>
      <c r="BA1182" s="166">
        <v>0</v>
      </c>
      <c r="BB1182" s="166">
        <v>0</v>
      </c>
      <c r="BC1182" s="166">
        <v>0</v>
      </c>
      <c r="BD1182" s="166">
        <v>0</v>
      </c>
      <c r="BE1182" s="166">
        <v>0</v>
      </c>
      <c r="BF1182" s="166">
        <v>0</v>
      </c>
      <c r="BG1182" s="166">
        <v>0</v>
      </c>
      <c r="BH1182" s="166">
        <v>0</v>
      </c>
      <c r="BI1182" s="166">
        <v>0</v>
      </c>
      <c r="BJ1182" s="166">
        <v>0</v>
      </c>
      <c r="BK1182" s="166">
        <v>0</v>
      </c>
      <c r="BL1182" s="166">
        <v>0</v>
      </c>
      <c r="BM1182" s="166">
        <v>0</v>
      </c>
      <c r="BN1182" s="166">
        <v>0</v>
      </c>
      <c r="BO1182" s="166">
        <v>0</v>
      </c>
      <c r="BP1182" s="166">
        <v>0</v>
      </c>
      <c r="BQ1182" s="81" t="s">
        <v>1757</v>
      </c>
      <c r="BX1182" s="81" t="s">
        <v>155</v>
      </c>
      <c r="BZ1182" s="81" t="s">
        <v>3991</v>
      </c>
      <c r="CA1182" s="81">
        <v>15</v>
      </c>
      <c r="CB1182" s="165" t="s">
        <v>4013</v>
      </c>
      <c r="CC1182" s="167">
        <v>0</v>
      </c>
      <c r="CD1182" s="167">
        <v>0</v>
      </c>
      <c r="CE1182" s="167">
        <v>0</v>
      </c>
      <c r="CF1182" s="167">
        <v>0</v>
      </c>
      <c r="CG1182" s="167">
        <v>0</v>
      </c>
      <c r="CH1182" s="167">
        <v>0</v>
      </c>
      <c r="CI1182" s="167">
        <v>0</v>
      </c>
      <c r="CJ1182" s="167">
        <v>0</v>
      </c>
      <c r="CK1182" s="167">
        <v>0</v>
      </c>
      <c r="CL1182" s="167">
        <v>0</v>
      </c>
      <c r="CM1182" s="167">
        <v>0</v>
      </c>
      <c r="CN1182" s="167">
        <v>0</v>
      </c>
      <c r="CO1182" s="167">
        <v>0</v>
      </c>
      <c r="CP1182" s="167">
        <v>0</v>
      </c>
      <c r="CQ1182" s="167">
        <v>0</v>
      </c>
      <c r="CR1182" s="167">
        <v>0</v>
      </c>
      <c r="CS1182" s="167">
        <v>0</v>
      </c>
      <c r="CT1182" s="167">
        <v>0</v>
      </c>
      <c r="CU1182" s="167">
        <v>0</v>
      </c>
      <c r="CV1182" s="167">
        <v>0</v>
      </c>
      <c r="CW1182" s="167">
        <v>0</v>
      </c>
      <c r="CX1182" s="167">
        <f>SUM(CD1182:CH1182)</f>
        <v>0</v>
      </c>
      <c r="CY1182" s="167">
        <f>SUM(CD1182:CM1182)</f>
        <v>0</v>
      </c>
    </row>
    <row r="1183" spans="1:103" ht="12.75" customHeight="1" x14ac:dyDescent="0.2">
      <c r="A1183" s="81">
        <v>6505</v>
      </c>
      <c r="B1183" s="165" t="s">
        <v>1952</v>
      </c>
      <c r="C1183" s="165" t="s">
        <v>1724</v>
      </c>
      <c r="D1183" s="165" t="s">
        <v>876</v>
      </c>
      <c r="E1183" s="165" t="s">
        <v>3440</v>
      </c>
      <c r="F1183" s="165" t="s">
        <v>1726</v>
      </c>
      <c r="G1183" s="81">
        <v>526483</v>
      </c>
      <c r="H1183" s="81">
        <v>175747</v>
      </c>
      <c r="I1183" s="165" t="s">
        <v>257</v>
      </c>
      <c r="L1183" s="166">
        <v>2</v>
      </c>
      <c r="M1183" s="166">
        <v>10</v>
      </c>
      <c r="N1183" s="166">
        <v>8</v>
      </c>
      <c r="O1183" s="166">
        <v>127</v>
      </c>
      <c r="P1183" s="166">
        <v>125</v>
      </c>
      <c r="Q1183" s="81" t="s">
        <v>155</v>
      </c>
      <c r="R1183" s="165" t="s">
        <v>1725</v>
      </c>
      <c r="S1183" s="81" t="s">
        <v>53</v>
      </c>
      <c r="T1183" s="349">
        <v>42650</v>
      </c>
      <c r="W1183" s="81" t="s">
        <v>114</v>
      </c>
      <c r="Y1183" s="81" t="s">
        <v>115</v>
      </c>
      <c r="Z1183" s="81" t="s">
        <v>116</v>
      </c>
      <c r="AA1183" s="81" t="s">
        <v>116</v>
      </c>
      <c r="AB1183" s="81" t="s">
        <v>117</v>
      </c>
      <c r="AC1183" s="166">
        <v>2.3000000044703501E-2</v>
      </c>
      <c r="AG1183" s="81" t="s">
        <v>238</v>
      </c>
      <c r="AH1183" s="81" t="s">
        <v>118</v>
      </c>
      <c r="AK1183" s="166">
        <v>0</v>
      </c>
      <c r="AM1183" s="166">
        <v>0</v>
      </c>
      <c r="AO1183" s="166">
        <v>0</v>
      </c>
      <c r="AP1183" s="166">
        <v>0</v>
      </c>
      <c r="AQ1183" s="166">
        <v>6</v>
      </c>
      <c r="AR1183" s="166">
        <v>1</v>
      </c>
      <c r="AS1183" s="166">
        <v>1</v>
      </c>
      <c r="AT1183" s="166">
        <v>0</v>
      </c>
      <c r="AU1183" s="166">
        <v>0</v>
      </c>
      <c r="AV1183" s="166">
        <v>0</v>
      </c>
      <c r="AW1183" s="166">
        <v>0</v>
      </c>
      <c r="AX1183" s="166">
        <v>6</v>
      </c>
      <c r="AY1183" s="166">
        <v>1</v>
      </c>
      <c r="AZ1183" s="166">
        <v>1</v>
      </c>
      <c r="BA1183" s="166">
        <v>0</v>
      </c>
      <c r="BB1183" s="166">
        <v>0</v>
      </c>
      <c r="BC1183" s="166">
        <v>0</v>
      </c>
      <c r="BD1183" s="166">
        <v>0</v>
      </c>
      <c r="BE1183" s="166">
        <v>0</v>
      </c>
      <c r="BF1183" s="166">
        <v>0</v>
      </c>
      <c r="BG1183" s="166">
        <v>0</v>
      </c>
      <c r="BH1183" s="166">
        <v>0</v>
      </c>
      <c r="BI1183" s="166">
        <v>0</v>
      </c>
      <c r="BJ1183" s="166">
        <v>0</v>
      </c>
      <c r="BK1183" s="166">
        <v>0</v>
      </c>
      <c r="BL1183" s="166">
        <v>0</v>
      </c>
      <c r="BM1183" s="166">
        <v>0</v>
      </c>
      <c r="BN1183" s="166">
        <v>0</v>
      </c>
      <c r="BO1183" s="166">
        <v>0</v>
      </c>
      <c r="BP1183" s="166">
        <v>0</v>
      </c>
      <c r="BQ1183" s="81" t="s">
        <v>1757</v>
      </c>
      <c r="BX1183" s="81" t="s">
        <v>155</v>
      </c>
      <c r="BZ1183" s="81" t="s">
        <v>3991</v>
      </c>
      <c r="CA1183" s="81">
        <v>15</v>
      </c>
      <c r="CB1183" s="165" t="s">
        <v>4013</v>
      </c>
      <c r="CC1183" s="167">
        <v>0</v>
      </c>
      <c r="CD1183" s="167">
        <v>0</v>
      </c>
      <c r="CE1183" s="167">
        <v>0</v>
      </c>
      <c r="CF1183" s="167">
        <v>0</v>
      </c>
      <c r="CG1183" s="167">
        <v>0</v>
      </c>
      <c r="CH1183" s="167">
        <v>0</v>
      </c>
      <c r="CI1183" s="167">
        <v>0</v>
      </c>
      <c r="CJ1183" s="167">
        <v>0</v>
      </c>
      <c r="CK1183" s="167">
        <v>0</v>
      </c>
      <c r="CL1183" s="167">
        <v>0</v>
      </c>
      <c r="CM1183" s="167">
        <v>0</v>
      </c>
      <c r="CN1183" s="167">
        <v>0</v>
      </c>
      <c r="CO1183" s="167">
        <v>0</v>
      </c>
      <c r="CP1183" s="167">
        <v>0</v>
      </c>
      <c r="CQ1183" s="167">
        <v>0</v>
      </c>
      <c r="CR1183" s="167">
        <v>0</v>
      </c>
      <c r="CS1183" s="167">
        <v>0</v>
      </c>
      <c r="CT1183" s="167">
        <v>0</v>
      </c>
      <c r="CU1183" s="167">
        <v>0</v>
      </c>
      <c r="CV1183" s="167">
        <v>0</v>
      </c>
      <c r="CW1183" s="167">
        <v>0</v>
      </c>
      <c r="CX1183" s="167">
        <f>SUM(CD1183:CH1183)</f>
        <v>0</v>
      </c>
      <c r="CY1183" s="167">
        <f>SUM(CD1183:CM1183)</f>
        <v>0</v>
      </c>
    </row>
    <row r="1184" spans="1:103" ht="12.75" customHeight="1" x14ac:dyDescent="0.2">
      <c r="A1184" s="81">
        <v>6515</v>
      </c>
      <c r="B1184" s="165" t="s">
        <v>1952</v>
      </c>
      <c r="C1184" s="165" t="s">
        <v>1576</v>
      </c>
      <c r="E1184" s="165" t="s">
        <v>3041</v>
      </c>
      <c r="G1184" s="81">
        <v>523349</v>
      </c>
      <c r="H1184" s="81">
        <v>175914</v>
      </c>
      <c r="I1184" s="165" t="s">
        <v>259</v>
      </c>
      <c r="L1184" s="166">
        <v>0</v>
      </c>
      <c r="M1184" s="166">
        <v>9</v>
      </c>
      <c r="N1184" s="166">
        <v>9</v>
      </c>
      <c r="O1184" s="166">
        <v>9</v>
      </c>
      <c r="P1184" s="166">
        <v>9</v>
      </c>
      <c r="R1184" s="165" t="s">
        <v>1577</v>
      </c>
      <c r="S1184" s="81" t="s">
        <v>53</v>
      </c>
      <c r="T1184" s="349">
        <v>42689</v>
      </c>
      <c r="W1184" s="81" t="s">
        <v>114</v>
      </c>
      <c r="Y1184" s="81" t="s">
        <v>115</v>
      </c>
      <c r="Z1184" s="81" t="s">
        <v>219</v>
      </c>
      <c r="AA1184" s="81" t="s">
        <v>117</v>
      </c>
      <c r="AB1184" s="81" t="s">
        <v>3889</v>
      </c>
      <c r="AC1184" s="166">
        <v>0.14800000190734899</v>
      </c>
      <c r="AG1184" s="81" t="s">
        <v>154</v>
      </c>
      <c r="AH1184" s="81" t="s">
        <v>312</v>
      </c>
      <c r="AK1184" s="166">
        <v>0</v>
      </c>
      <c r="AM1184" s="166">
        <v>0</v>
      </c>
      <c r="AO1184" s="166">
        <v>2</v>
      </c>
      <c r="AP1184" s="166">
        <v>7</v>
      </c>
      <c r="AQ1184" s="166">
        <v>0</v>
      </c>
      <c r="AR1184" s="166">
        <v>0</v>
      </c>
      <c r="AS1184" s="166">
        <v>0</v>
      </c>
      <c r="AT1184" s="166">
        <v>0</v>
      </c>
      <c r="AU1184" s="166">
        <v>0</v>
      </c>
      <c r="AV1184" s="166">
        <v>2</v>
      </c>
      <c r="AW1184" s="166">
        <v>7</v>
      </c>
      <c r="AX1184" s="166">
        <v>0</v>
      </c>
      <c r="AY1184" s="166">
        <v>0</v>
      </c>
      <c r="AZ1184" s="166">
        <v>0</v>
      </c>
      <c r="BA1184" s="166">
        <v>0</v>
      </c>
      <c r="BB1184" s="166">
        <v>0</v>
      </c>
      <c r="BC1184" s="166">
        <v>0</v>
      </c>
      <c r="BD1184" s="166">
        <v>0</v>
      </c>
      <c r="BE1184" s="166">
        <v>0</v>
      </c>
      <c r="BF1184" s="166">
        <v>0</v>
      </c>
      <c r="BG1184" s="166">
        <v>0</v>
      </c>
      <c r="BH1184" s="166">
        <v>0</v>
      </c>
      <c r="BI1184" s="166">
        <v>0</v>
      </c>
      <c r="BJ1184" s="166">
        <v>0</v>
      </c>
      <c r="BK1184" s="166">
        <v>0</v>
      </c>
      <c r="BL1184" s="166">
        <v>0</v>
      </c>
      <c r="BM1184" s="166">
        <v>0</v>
      </c>
      <c r="BN1184" s="166">
        <v>0</v>
      </c>
      <c r="BO1184" s="166">
        <v>0</v>
      </c>
      <c r="BP1184" s="166">
        <v>0</v>
      </c>
      <c r="BQ1184" s="81" t="s">
        <v>1758</v>
      </c>
      <c r="BZ1184" s="81" t="s">
        <v>155</v>
      </c>
      <c r="CA1184" s="81" t="s">
        <v>3972</v>
      </c>
      <c r="CC1184" s="167">
        <v>0</v>
      </c>
      <c r="CD1184" s="167">
        <f>$N1184/4</f>
        <v>2.25</v>
      </c>
      <c r="CE1184" s="167">
        <f>$N1184/4</f>
        <v>2.25</v>
      </c>
      <c r="CF1184" s="167">
        <f>$N1184/4</f>
        <v>2.25</v>
      </c>
      <c r="CG1184" s="167">
        <f>$N1184/4</f>
        <v>2.25</v>
      </c>
      <c r="CH1184" s="167">
        <v>0</v>
      </c>
      <c r="CI1184" s="167">
        <v>0</v>
      </c>
      <c r="CJ1184" s="167">
        <v>0</v>
      </c>
      <c r="CK1184" s="167">
        <v>0</v>
      </c>
      <c r="CL1184" s="167">
        <v>0</v>
      </c>
      <c r="CM1184" s="167">
        <v>0</v>
      </c>
      <c r="CN1184" s="167">
        <v>0</v>
      </c>
      <c r="CO1184" s="167">
        <v>0</v>
      </c>
      <c r="CP1184" s="167">
        <v>0</v>
      </c>
      <c r="CQ1184" s="167">
        <v>0</v>
      </c>
      <c r="CR1184" s="167">
        <v>0</v>
      </c>
      <c r="CS1184" s="167">
        <v>0</v>
      </c>
      <c r="CT1184" s="167">
        <v>0</v>
      </c>
      <c r="CU1184" s="167">
        <v>0</v>
      </c>
      <c r="CV1184" s="167">
        <v>0</v>
      </c>
      <c r="CW1184" s="167">
        <v>0</v>
      </c>
      <c r="CX1184" s="167">
        <f>SUM(CD1184:CH1184)</f>
        <v>9</v>
      </c>
      <c r="CY1184" s="167">
        <f>SUM(CD1184:CM1184)</f>
        <v>9</v>
      </c>
    </row>
    <row r="1185" spans="1:103" ht="12.75" customHeight="1" x14ac:dyDescent="0.2">
      <c r="A1185" s="81">
        <v>213</v>
      </c>
      <c r="B1185" s="165" t="s">
        <v>1955</v>
      </c>
      <c r="C1185" s="165" t="s">
        <v>2008</v>
      </c>
      <c r="E1185" s="165" t="s">
        <v>1935</v>
      </c>
      <c r="G1185" s="81">
        <v>523620</v>
      </c>
      <c r="H1185" s="81">
        <v>175154</v>
      </c>
      <c r="I1185" s="165" t="s">
        <v>250</v>
      </c>
      <c r="L1185" s="166">
        <v>0</v>
      </c>
      <c r="M1185" s="166">
        <v>4</v>
      </c>
      <c r="N1185" s="166">
        <v>4</v>
      </c>
      <c r="O1185" s="166">
        <v>4</v>
      </c>
      <c r="P1185" s="166">
        <v>4</v>
      </c>
      <c r="R1185" s="165" t="s">
        <v>2009</v>
      </c>
      <c r="S1185" s="81" t="s">
        <v>121</v>
      </c>
      <c r="T1185" s="349">
        <v>43032</v>
      </c>
      <c r="W1185" s="81" t="s">
        <v>114</v>
      </c>
      <c r="Y1185" s="81" t="s">
        <v>115</v>
      </c>
      <c r="Z1185" s="81" t="s">
        <v>219</v>
      </c>
      <c r="AA1185" s="81" t="s">
        <v>117</v>
      </c>
      <c r="AB1185" s="81" t="s">
        <v>3889</v>
      </c>
      <c r="AC1185" s="166">
        <v>1.2000000104308101E-2</v>
      </c>
      <c r="AG1185" s="81" t="s">
        <v>238</v>
      </c>
      <c r="AH1185" s="81" t="s">
        <v>118</v>
      </c>
      <c r="AK1185" s="166">
        <v>0</v>
      </c>
      <c r="AM1185" s="166">
        <v>0</v>
      </c>
      <c r="AO1185" s="166">
        <v>0</v>
      </c>
      <c r="AP1185" s="166">
        <v>0</v>
      </c>
      <c r="AQ1185" s="166">
        <v>4</v>
      </c>
      <c r="AR1185" s="166">
        <v>0</v>
      </c>
      <c r="AS1185" s="166">
        <v>0</v>
      </c>
      <c r="AT1185" s="166">
        <v>0</v>
      </c>
      <c r="AU1185" s="166">
        <v>0</v>
      </c>
      <c r="AV1185" s="166">
        <v>0</v>
      </c>
      <c r="AW1185" s="166">
        <v>0</v>
      </c>
      <c r="AX1185" s="166">
        <v>4</v>
      </c>
      <c r="AY1185" s="166">
        <v>0</v>
      </c>
      <c r="AZ1185" s="166">
        <v>0</v>
      </c>
      <c r="BA1185" s="166">
        <v>0</v>
      </c>
      <c r="BB1185" s="166">
        <v>0</v>
      </c>
      <c r="BC1185" s="166">
        <v>0</v>
      </c>
      <c r="BD1185" s="166">
        <v>0</v>
      </c>
      <c r="BE1185" s="166">
        <v>0</v>
      </c>
      <c r="BF1185" s="166">
        <v>0</v>
      </c>
      <c r="BG1185" s="166">
        <v>0</v>
      </c>
      <c r="BH1185" s="166">
        <v>0</v>
      </c>
      <c r="BI1185" s="166">
        <v>0</v>
      </c>
      <c r="BJ1185" s="166">
        <v>0</v>
      </c>
      <c r="BK1185" s="166">
        <v>0</v>
      </c>
      <c r="BL1185" s="166">
        <v>0</v>
      </c>
      <c r="BM1185" s="166">
        <v>0</v>
      </c>
      <c r="BN1185" s="166">
        <v>0</v>
      </c>
      <c r="BO1185" s="166">
        <v>0</v>
      </c>
      <c r="BP1185" s="166">
        <v>0</v>
      </c>
      <c r="BQ1185" s="81" t="s">
        <v>1758</v>
      </c>
      <c r="BR1185" s="81" t="s">
        <v>161</v>
      </c>
      <c r="BZ1185" s="81" t="s">
        <v>155</v>
      </c>
      <c r="CA1185" s="81">
        <v>10</v>
      </c>
      <c r="CC1185" s="167">
        <v>0</v>
      </c>
      <c r="CD1185" s="167">
        <v>0</v>
      </c>
      <c r="CE1185" s="167">
        <v>0</v>
      </c>
      <c r="CF1185" s="167">
        <v>0</v>
      </c>
      <c r="CG1185" s="167">
        <v>0</v>
      </c>
      <c r="CH1185" s="167">
        <f>$N1185/3</f>
        <v>1.3333333333333333</v>
      </c>
      <c r="CI1185" s="167">
        <f>$N1185/3</f>
        <v>1.3333333333333333</v>
      </c>
      <c r="CJ1185" s="167">
        <f>$N1185/3</f>
        <v>1.3333333333333333</v>
      </c>
      <c r="CK1185" s="167">
        <v>0</v>
      </c>
      <c r="CL1185" s="167">
        <v>0</v>
      </c>
      <c r="CM1185" s="167">
        <v>0</v>
      </c>
      <c r="CN1185" s="167">
        <v>0</v>
      </c>
      <c r="CO1185" s="167">
        <v>0</v>
      </c>
      <c r="CP1185" s="167">
        <v>0</v>
      </c>
      <c r="CQ1185" s="167">
        <v>0</v>
      </c>
      <c r="CR1185" s="167">
        <v>0</v>
      </c>
      <c r="CS1185" s="167">
        <v>0</v>
      </c>
      <c r="CT1185" s="167">
        <v>0</v>
      </c>
      <c r="CU1185" s="167">
        <v>0</v>
      </c>
      <c r="CV1185" s="167">
        <v>0</v>
      </c>
      <c r="CW1185" s="167">
        <v>0</v>
      </c>
      <c r="CX1185" s="167">
        <f>SUM(CD1185:CH1185)</f>
        <v>1.3333333333333333</v>
      </c>
      <c r="CY1185" s="167">
        <f>SUM(CD1185:CM1185)</f>
        <v>4</v>
      </c>
    </row>
    <row r="1186" spans="1:103" ht="12.75" customHeight="1" x14ac:dyDescent="0.2">
      <c r="A1186" s="81">
        <v>463</v>
      </c>
      <c r="B1186" s="165" t="s">
        <v>1955</v>
      </c>
      <c r="C1186" s="165" t="s">
        <v>2010</v>
      </c>
      <c r="E1186" s="165" t="s">
        <v>2011</v>
      </c>
      <c r="G1186" s="81">
        <v>527418</v>
      </c>
      <c r="H1186" s="81">
        <v>176670</v>
      </c>
      <c r="I1186" s="165" t="s">
        <v>257</v>
      </c>
      <c r="L1186" s="166">
        <v>0</v>
      </c>
      <c r="M1186" s="166">
        <v>2</v>
      </c>
      <c r="N1186" s="166">
        <v>2</v>
      </c>
      <c r="O1186" s="166">
        <v>2</v>
      </c>
      <c r="P1186" s="166">
        <v>2</v>
      </c>
      <c r="R1186" s="165" t="s">
        <v>2012</v>
      </c>
      <c r="S1186" s="81" t="s">
        <v>121</v>
      </c>
      <c r="T1186" s="349">
        <v>43133</v>
      </c>
      <c r="W1186" s="81" t="s">
        <v>114</v>
      </c>
      <c r="Y1186" s="81" t="s">
        <v>397</v>
      </c>
      <c r="Z1186" s="81" t="s">
        <v>116</v>
      </c>
      <c r="AA1186" s="81" t="s">
        <v>117</v>
      </c>
      <c r="AB1186" s="81" t="s">
        <v>218</v>
      </c>
      <c r="AC1186" s="166">
        <v>3.7999998778104803E-2</v>
      </c>
      <c r="AG1186" s="81" t="s">
        <v>238</v>
      </c>
      <c r="AH1186" s="81" t="s">
        <v>118</v>
      </c>
      <c r="AK1186" s="166">
        <v>0</v>
      </c>
      <c r="AM1186" s="166">
        <v>0</v>
      </c>
      <c r="AO1186" s="166">
        <v>0</v>
      </c>
      <c r="AP1186" s="166">
        <v>0</v>
      </c>
      <c r="AQ1186" s="166">
        <v>0</v>
      </c>
      <c r="AR1186" s="166">
        <v>2</v>
      </c>
      <c r="AS1186" s="166">
        <v>0</v>
      </c>
      <c r="AT1186" s="166">
        <v>0</v>
      </c>
      <c r="AU1186" s="166">
        <v>0</v>
      </c>
      <c r="AV1186" s="166">
        <v>0</v>
      </c>
      <c r="AW1186" s="166">
        <v>0</v>
      </c>
      <c r="AX1186" s="166">
        <v>0</v>
      </c>
      <c r="AY1186" s="166">
        <v>0</v>
      </c>
      <c r="AZ1186" s="166">
        <v>0</v>
      </c>
      <c r="BA1186" s="166">
        <v>0</v>
      </c>
      <c r="BB1186" s="166">
        <v>0</v>
      </c>
      <c r="BC1186" s="166">
        <v>0</v>
      </c>
      <c r="BD1186" s="166">
        <v>0</v>
      </c>
      <c r="BE1186" s="166">
        <v>0</v>
      </c>
      <c r="BF1186" s="166">
        <v>2</v>
      </c>
      <c r="BG1186" s="166">
        <v>0</v>
      </c>
      <c r="BH1186" s="166">
        <v>0</v>
      </c>
      <c r="BI1186" s="166">
        <v>0</v>
      </c>
      <c r="BJ1186" s="166">
        <v>0</v>
      </c>
      <c r="BK1186" s="166">
        <v>0</v>
      </c>
      <c r="BL1186" s="166">
        <v>0</v>
      </c>
      <c r="BM1186" s="166">
        <v>0</v>
      </c>
      <c r="BN1186" s="166">
        <v>0</v>
      </c>
      <c r="BO1186" s="166">
        <v>0</v>
      </c>
      <c r="BP1186" s="166">
        <v>0</v>
      </c>
      <c r="BQ1186" s="81" t="s">
        <v>1757</v>
      </c>
      <c r="BZ1186" s="81" t="s">
        <v>155</v>
      </c>
      <c r="CA1186" s="81">
        <v>6</v>
      </c>
      <c r="CC1186" s="167">
        <v>0</v>
      </c>
      <c r="CD1186" s="167">
        <v>0</v>
      </c>
      <c r="CE1186" s="167">
        <v>0</v>
      </c>
      <c r="CF1186" s="167">
        <v>0</v>
      </c>
      <c r="CG1186" s="167">
        <v>0</v>
      </c>
      <c r="CH1186" s="167">
        <f>$N1186/3</f>
        <v>0.66666666666666663</v>
      </c>
      <c r="CI1186" s="167">
        <f>$N1186/3</f>
        <v>0.66666666666666663</v>
      </c>
      <c r="CJ1186" s="167">
        <f>$N1186/3</f>
        <v>0.66666666666666663</v>
      </c>
      <c r="CK1186" s="167">
        <v>0</v>
      </c>
      <c r="CL1186" s="167">
        <v>0</v>
      </c>
      <c r="CM1186" s="167">
        <v>0</v>
      </c>
      <c r="CN1186" s="167">
        <v>0</v>
      </c>
      <c r="CO1186" s="167">
        <v>0</v>
      </c>
      <c r="CP1186" s="167">
        <v>0</v>
      </c>
      <c r="CQ1186" s="167">
        <v>0</v>
      </c>
      <c r="CR1186" s="167">
        <v>0</v>
      </c>
      <c r="CS1186" s="167">
        <v>0</v>
      </c>
      <c r="CT1186" s="167">
        <v>0</v>
      </c>
      <c r="CU1186" s="167">
        <v>0</v>
      </c>
      <c r="CV1186" s="167">
        <v>0</v>
      </c>
      <c r="CW1186" s="167">
        <v>0</v>
      </c>
      <c r="CX1186" s="167">
        <f>SUM(CD1186:CH1186)</f>
        <v>0.66666666666666663</v>
      </c>
      <c r="CY1186" s="167">
        <f>SUM(CD1186:CM1186)</f>
        <v>2</v>
      </c>
    </row>
    <row r="1187" spans="1:103" ht="12.75" customHeight="1" x14ac:dyDescent="0.2">
      <c r="A1187" s="81">
        <v>473</v>
      </c>
      <c r="B1187" s="165" t="s">
        <v>1955</v>
      </c>
      <c r="C1187" s="165" t="s">
        <v>2013</v>
      </c>
      <c r="E1187" s="165" t="s">
        <v>2014</v>
      </c>
      <c r="G1187" s="81">
        <v>527472</v>
      </c>
      <c r="H1187" s="81">
        <v>171903</v>
      </c>
      <c r="I1187" s="165" t="s">
        <v>242</v>
      </c>
      <c r="L1187" s="166">
        <v>0</v>
      </c>
      <c r="M1187" s="166">
        <v>2</v>
      </c>
      <c r="N1187" s="166">
        <v>2</v>
      </c>
      <c r="O1187" s="166">
        <v>2</v>
      </c>
      <c r="P1187" s="166">
        <v>2</v>
      </c>
      <c r="R1187" s="165" t="s">
        <v>2015</v>
      </c>
      <c r="S1187" s="81" t="s">
        <v>121</v>
      </c>
      <c r="T1187" s="349">
        <v>43180</v>
      </c>
      <c r="W1187" s="81" t="s">
        <v>114</v>
      </c>
      <c r="Y1187" s="81" t="s">
        <v>115</v>
      </c>
      <c r="Z1187" s="81" t="s">
        <v>116</v>
      </c>
      <c r="AA1187" s="81" t="s">
        <v>117</v>
      </c>
      <c r="AB1187" s="81" t="s">
        <v>218</v>
      </c>
      <c r="AC1187" s="166">
        <v>1.09999999403954E-2</v>
      </c>
      <c r="AG1187" s="81" t="s">
        <v>238</v>
      </c>
      <c r="AH1187" s="81" t="s">
        <v>118</v>
      </c>
      <c r="AK1187" s="166">
        <v>0</v>
      </c>
      <c r="AM1187" s="166">
        <v>0</v>
      </c>
      <c r="AO1187" s="166">
        <v>0</v>
      </c>
      <c r="AP1187" s="166">
        <v>1</v>
      </c>
      <c r="AQ1187" s="166">
        <v>0</v>
      </c>
      <c r="AR1187" s="166">
        <v>1</v>
      </c>
      <c r="AS1187" s="166">
        <v>0</v>
      </c>
      <c r="AT1187" s="166">
        <v>0</v>
      </c>
      <c r="AU1187" s="166">
        <v>0</v>
      </c>
      <c r="AV1187" s="166">
        <v>0</v>
      </c>
      <c r="AW1187" s="166">
        <v>0</v>
      </c>
      <c r="AX1187" s="166">
        <v>0</v>
      </c>
      <c r="AY1187" s="166">
        <v>0</v>
      </c>
      <c r="AZ1187" s="166">
        <v>0</v>
      </c>
      <c r="BA1187" s="166">
        <v>0</v>
      </c>
      <c r="BB1187" s="166">
        <v>0</v>
      </c>
      <c r="BC1187" s="166">
        <v>0</v>
      </c>
      <c r="BD1187" s="166">
        <v>1</v>
      </c>
      <c r="BE1187" s="166">
        <v>0</v>
      </c>
      <c r="BF1187" s="166">
        <v>1</v>
      </c>
      <c r="BG1187" s="166">
        <v>0</v>
      </c>
      <c r="BH1187" s="166">
        <v>0</v>
      </c>
      <c r="BI1187" s="166">
        <v>0</v>
      </c>
      <c r="BJ1187" s="166">
        <v>0</v>
      </c>
      <c r="BK1187" s="166">
        <v>0</v>
      </c>
      <c r="BL1187" s="166">
        <v>0</v>
      </c>
      <c r="BM1187" s="166">
        <v>0</v>
      </c>
      <c r="BN1187" s="166">
        <v>0</v>
      </c>
      <c r="BO1187" s="166">
        <v>0</v>
      </c>
      <c r="BP1187" s="166">
        <v>0</v>
      </c>
      <c r="BQ1187" s="81" t="s">
        <v>1757</v>
      </c>
      <c r="BZ1187" s="81" t="s">
        <v>155</v>
      </c>
      <c r="CA1187" s="81">
        <v>6</v>
      </c>
      <c r="CC1187" s="167">
        <v>0</v>
      </c>
      <c r="CD1187" s="167">
        <v>0</v>
      </c>
      <c r="CE1187" s="167">
        <v>0</v>
      </c>
      <c r="CF1187" s="167">
        <v>0</v>
      </c>
      <c r="CG1187" s="167">
        <v>0</v>
      </c>
      <c r="CH1187" s="167">
        <f>$N1187/3</f>
        <v>0.66666666666666663</v>
      </c>
      <c r="CI1187" s="167">
        <f>$N1187/3</f>
        <v>0.66666666666666663</v>
      </c>
      <c r="CJ1187" s="167">
        <f>$N1187/3</f>
        <v>0.66666666666666663</v>
      </c>
      <c r="CK1187" s="167">
        <v>0</v>
      </c>
      <c r="CL1187" s="167">
        <v>0</v>
      </c>
      <c r="CM1187" s="167">
        <v>0</v>
      </c>
      <c r="CN1187" s="167">
        <v>0</v>
      </c>
      <c r="CO1187" s="167">
        <v>0</v>
      </c>
      <c r="CP1187" s="167">
        <v>0</v>
      </c>
      <c r="CQ1187" s="167">
        <v>0</v>
      </c>
      <c r="CR1187" s="167">
        <v>0</v>
      </c>
      <c r="CS1187" s="167">
        <v>0</v>
      </c>
      <c r="CT1187" s="167">
        <v>0</v>
      </c>
      <c r="CU1187" s="167">
        <v>0</v>
      </c>
      <c r="CV1187" s="167">
        <v>0</v>
      </c>
      <c r="CW1187" s="167">
        <v>0</v>
      </c>
      <c r="CX1187" s="167">
        <f>SUM(CD1187:CH1187)</f>
        <v>0.66666666666666663</v>
      </c>
      <c r="CY1187" s="167">
        <f>SUM(CD1187:CM1187)</f>
        <v>2</v>
      </c>
    </row>
    <row r="1188" spans="1:103" ht="12.75" customHeight="1" x14ac:dyDescent="0.2">
      <c r="A1188" s="81">
        <v>536</v>
      </c>
      <c r="B1188" s="165" t="s">
        <v>1955</v>
      </c>
      <c r="C1188" s="165" t="s">
        <v>1578</v>
      </c>
      <c r="E1188" s="165" t="s">
        <v>1956</v>
      </c>
      <c r="G1188" s="81">
        <v>525441</v>
      </c>
      <c r="H1188" s="81">
        <v>174750</v>
      </c>
      <c r="I1188" s="165" t="s">
        <v>251</v>
      </c>
      <c r="L1188" s="166">
        <v>4</v>
      </c>
      <c r="M1188" s="166">
        <v>20</v>
      </c>
      <c r="N1188" s="166">
        <v>16</v>
      </c>
      <c r="O1188" s="166">
        <v>22</v>
      </c>
      <c r="P1188" s="166">
        <v>18</v>
      </c>
      <c r="Q1188" s="81" t="s">
        <v>155</v>
      </c>
      <c r="R1188" s="165" t="s">
        <v>1579</v>
      </c>
      <c r="S1188" s="81" t="s">
        <v>121</v>
      </c>
      <c r="T1188" s="349">
        <v>42761</v>
      </c>
      <c r="W1188" s="81" t="s">
        <v>114</v>
      </c>
      <c r="Y1188" s="81" t="s">
        <v>115</v>
      </c>
      <c r="Z1188" s="81" t="s">
        <v>116</v>
      </c>
      <c r="AA1188" s="81" t="s">
        <v>116</v>
      </c>
      <c r="AB1188" s="81" t="s">
        <v>117</v>
      </c>
      <c r="AC1188" s="166">
        <v>4.5000001788139302E-2</v>
      </c>
      <c r="AG1188" s="81" t="s">
        <v>238</v>
      </c>
      <c r="AH1188" s="81" t="s">
        <v>118</v>
      </c>
      <c r="AK1188" s="166">
        <v>19</v>
      </c>
      <c r="AM1188" s="166">
        <v>1</v>
      </c>
      <c r="AO1188" s="166">
        <v>3</v>
      </c>
      <c r="AP1188" s="166">
        <v>2</v>
      </c>
      <c r="AQ1188" s="166">
        <v>9</v>
      </c>
      <c r="AR1188" s="166">
        <v>2</v>
      </c>
      <c r="AS1188" s="166">
        <v>0</v>
      </c>
      <c r="AT1188" s="166">
        <v>0</v>
      </c>
      <c r="AU1188" s="166">
        <v>0</v>
      </c>
      <c r="AV1188" s="166">
        <v>3</v>
      </c>
      <c r="AW1188" s="166">
        <v>2</v>
      </c>
      <c r="AX1188" s="166">
        <v>9</v>
      </c>
      <c r="AY1188" s="166">
        <v>2</v>
      </c>
      <c r="AZ1188" s="166">
        <v>0</v>
      </c>
      <c r="BA1188" s="166">
        <v>0</v>
      </c>
      <c r="BB1188" s="166">
        <v>0</v>
      </c>
      <c r="BC1188" s="166">
        <v>0</v>
      </c>
      <c r="BD1188" s="166">
        <v>0</v>
      </c>
      <c r="BE1188" s="166">
        <v>0</v>
      </c>
      <c r="BF1188" s="166">
        <v>0</v>
      </c>
      <c r="BG1188" s="166">
        <v>0</v>
      </c>
      <c r="BH1188" s="166">
        <v>0</v>
      </c>
      <c r="BI1188" s="166">
        <v>0</v>
      </c>
      <c r="BJ1188" s="166">
        <v>0</v>
      </c>
      <c r="BK1188" s="166">
        <v>0</v>
      </c>
      <c r="BL1188" s="166">
        <v>0</v>
      </c>
      <c r="BM1188" s="166">
        <v>0</v>
      </c>
      <c r="BN1188" s="166">
        <v>0</v>
      </c>
      <c r="BO1188" s="166">
        <v>0</v>
      </c>
      <c r="BP1188" s="166">
        <v>0</v>
      </c>
      <c r="BQ1188" s="81" t="s">
        <v>1758</v>
      </c>
      <c r="BR1188" s="81" t="s">
        <v>202</v>
      </c>
      <c r="BT1188" s="81" t="s">
        <v>155</v>
      </c>
      <c r="BZ1188" s="81" t="s">
        <v>3991</v>
      </c>
      <c r="CA1188" s="81">
        <v>15</v>
      </c>
      <c r="CB1188" s="165" t="s">
        <v>3992</v>
      </c>
      <c r="CC1188" s="167">
        <v>0</v>
      </c>
      <c r="CD1188" s="167">
        <v>0</v>
      </c>
      <c r="CE1188" s="167">
        <v>0</v>
      </c>
      <c r="CF1188" s="167">
        <v>0</v>
      </c>
      <c r="CG1188" s="167">
        <v>0</v>
      </c>
      <c r="CH1188" s="167">
        <v>0</v>
      </c>
      <c r="CI1188" s="167">
        <v>0</v>
      </c>
      <c r="CJ1188" s="167">
        <v>0</v>
      </c>
      <c r="CK1188" s="167">
        <v>0</v>
      </c>
      <c r="CL1188" s="167">
        <v>0</v>
      </c>
      <c r="CM1188" s="167">
        <v>0</v>
      </c>
      <c r="CN1188" s="167">
        <v>0</v>
      </c>
      <c r="CO1188" s="167">
        <v>0</v>
      </c>
      <c r="CP1188" s="167">
        <v>0</v>
      </c>
      <c r="CQ1188" s="167">
        <v>0</v>
      </c>
      <c r="CR1188" s="167">
        <v>0</v>
      </c>
      <c r="CS1188" s="167">
        <v>0</v>
      </c>
      <c r="CT1188" s="167">
        <v>0</v>
      </c>
      <c r="CU1188" s="167">
        <v>0</v>
      </c>
      <c r="CV1188" s="167">
        <v>0</v>
      </c>
      <c r="CW1188" s="167">
        <v>0</v>
      </c>
      <c r="CX1188" s="167">
        <f>SUM(CD1188:CH1188)</f>
        <v>0</v>
      </c>
      <c r="CY1188" s="167">
        <f>SUM(CD1188:CM1188)</f>
        <v>0</v>
      </c>
    </row>
    <row r="1189" spans="1:103" ht="12.75" customHeight="1" x14ac:dyDescent="0.2">
      <c r="A1189" s="81">
        <v>536</v>
      </c>
      <c r="B1189" s="165" t="s">
        <v>1955</v>
      </c>
      <c r="C1189" s="165" t="s">
        <v>1578</v>
      </c>
      <c r="E1189" s="165" t="s">
        <v>1956</v>
      </c>
      <c r="G1189" s="81">
        <v>525441</v>
      </c>
      <c r="H1189" s="81">
        <v>174750</v>
      </c>
      <c r="I1189" s="165" t="s">
        <v>251</v>
      </c>
      <c r="L1189" s="166">
        <v>0</v>
      </c>
      <c r="M1189" s="166">
        <v>2</v>
      </c>
      <c r="N1189" s="166">
        <v>2</v>
      </c>
      <c r="O1189" s="166">
        <v>22</v>
      </c>
      <c r="P1189" s="166">
        <v>18</v>
      </c>
      <c r="Q1189" s="81" t="s">
        <v>155</v>
      </c>
      <c r="R1189" s="165" t="s">
        <v>1579</v>
      </c>
      <c r="S1189" s="81" t="s">
        <v>121</v>
      </c>
      <c r="T1189" s="349">
        <v>42761</v>
      </c>
      <c r="W1189" s="81" t="s">
        <v>114</v>
      </c>
      <c r="Y1189" s="81" t="s">
        <v>115</v>
      </c>
      <c r="Z1189" s="81" t="s">
        <v>116</v>
      </c>
      <c r="AA1189" s="81" t="s">
        <v>116</v>
      </c>
      <c r="AB1189" s="81" t="s">
        <v>117</v>
      </c>
      <c r="AC1189" s="166">
        <v>4.9999998882412902E-3</v>
      </c>
      <c r="AG1189" s="81" t="s">
        <v>74</v>
      </c>
      <c r="AH1189" s="81" t="s">
        <v>880</v>
      </c>
      <c r="AK1189" s="166">
        <v>2</v>
      </c>
      <c r="AM1189" s="166">
        <v>0</v>
      </c>
      <c r="AO1189" s="166">
        <v>0</v>
      </c>
      <c r="AP1189" s="166">
        <v>2</v>
      </c>
      <c r="AQ1189" s="166">
        <v>0</v>
      </c>
      <c r="AR1189" s="166">
        <v>0</v>
      </c>
      <c r="AS1189" s="166">
        <v>0</v>
      </c>
      <c r="AT1189" s="166">
        <v>0</v>
      </c>
      <c r="AU1189" s="166">
        <v>0</v>
      </c>
      <c r="AV1189" s="166">
        <v>0</v>
      </c>
      <c r="AW1189" s="166">
        <v>2</v>
      </c>
      <c r="AX1189" s="166">
        <v>0</v>
      </c>
      <c r="AY1189" s="166">
        <v>0</v>
      </c>
      <c r="AZ1189" s="166">
        <v>0</v>
      </c>
      <c r="BA1189" s="166">
        <v>0</v>
      </c>
      <c r="BB1189" s="166">
        <v>0</v>
      </c>
      <c r="BC1189" s="166">
        <v>0</v>
      </c>
      <c r="BD1189" s="166">
        <v>0</v>
      </c>
      <c r="BE1189" s="166">
        <v>0</v>
      </c>
      <c r="BF1189" s="166">
        <v>0</v>
      </c>
      <c r="BG1189" s="166">
        <v>0</v>
      </c>
      <c r="BH1189" s="166">
        <v>0</v>
      </c>
      <c r="BI1189" s="166">
        <v>0</v>
      </c>
      <c r="BJ1189" s="166">
        <v>0</v>
      </c>
      <c r="BK1189" s="166">
        <v>0</v>
      </c>
      <c r="BL1189" s="166">
        <v>0</v>
      </c>
      <c r="BM1189" s="166">
        <v>0</v>
      </c>
      <c r="BN1189" s="166">
        <v>0</v>
      </c>
      <c r="BO1189" s="166">
        <v>0</v>
      </c>
      <c r="BP1189" s="166">
        <v>0</v>
      </c>
      <c r="BQ1189" s="81" t="s">
        <v>1758</v>
      </c>
      <c r="BR1189" s="81" t="s">
        <v>202</v>
      </c>
      <c r="BT1189" s="81" t="s">
        <v>155</v>
      </c>
      <c r="BZ1189" s="81" t="s">
        <v>3991</v>
      </c>
      <c r="CA1189" s="81">
        <v>15</v>
      </c>
      <c r="CB1189" s="165" t="s">
        <v>3992</v>
      </c>
      <c r="CC1189" s="167">
        <v>0</v>
      </c>
      <c r="CD1189" s="167">
        <v>0</v>
      </c>
      <c r="CE1189" s="167">
        <v>0</v>
      </c>
      <c r="CF1189" s="167">
        <v>0</v>
      </c>
      <c r="CG1189" s="167">
        <v>0</v>
      </c>
      <c r="CH1189" s="167">
        <v>0</v>
      </c>
      <c r="CI1189" s="167">
        <v>0</v>
      </c>
      <c r="CJ1189" s="167">
        <v>0</v>
      </c>
      <c r="CK1189" s="167">
        <v>0</v>
      </c>
      <c r="CL1189" s="167">
        <v>0</v>
      </c>
      <c r="CM1189" s="167">
        <v>0</v>
      </c>
      <c r="CN1189" s="167">
        <v>0</v>
      </c>
      <c r="CO1189" s="167">
        <v>0</v>
      </c>
      <c r="CP1189" s="167">
        <v>0</v>
      </c>
      <c r="CQ1189" s="167">
        <v>0</v>
      </c>
      <c r="CR1189" s="167">
        <v>0</v>
      </c>
      <c r="CS1189" s="167">
        <v>0</v>
      </c>
      <c r="CT1189" s="167">
        <v>0</v>
      </c>
      <c r="CU1189" s="167">
        <v>0</v>
      </c>
      <c r="CV1189" s="167">
        <v>0</v>
      </c>
      <c r="CW1189" s="167">
        <v>0</v>
      </c>
      <c r="CX1189" s="167">
        <f>SUM(CD1189:CH1189)</f>
        <v>0</v>
      </c>
      <c r="CY1189" s="167">
        <f>SUM(CD1189:CM1189)</f>
        <v>0</v>
      </c>
    </row>
    <row r="1190" spans="1:103" ht="12.75" customHeight="1" x14ac:dyDescent="0.2">
      <c r="A1190" s="81">
        <v>560</v>
      </c>
      <c r="B1190" s="165" t="s">
        <v>1955</v>
      </c>
      <c r="C1190" s="165" t="s">
        <v>2016</v>
      </c>
      <c r="E1190" s="165" t="s">
        <v>2017</v>
      </c>
      <c r="G1190" s="81">
        <v>525002</v>
      </c>
      <c r="H1190" s="81">
        <v>174627</v>
      </c>
      <c r="I1190" s="165" t="s">
        <v>251</v>
      </c>
      <c r="L1190" s="166">
        <v>0</v>
      </c>
      <c r="M1190" s="166">
        <v>1</v>
      </c>
      <c r="N1190" s="166">
        <v>1</v>
      </c>
      <c r="O1190" s="166">
        <v>1</v>
      </c>
      <c r="P1190" s="166">
        <v>1</v>
      </c>
      <c r="R1190" s="165" t="s">
        <v>2018</v>
      </c>
      <c r="S1190" s="81" t="s">
        <v>121</v>
      </c>
      <c r="T1190" s="349">
        <v>43047</v>
      </c>
      <c r="W1190" s="81" t="s">
        <v>365</v>
      </c>
      <c r="Y1190" s="81" t="s">
        <v>115</v>
      </c>
      <c r="Z1190" s="81" t="s">
        <v>219</v>
      </c>
      <c r="AA1190" s="81" t="s">
        <v>117</v>
      </c>
      <c r="AB1190" s="81" t="s">
        <v>3889</v>
      </c>
      <c r="AC1190" s="166">
        <v>3.0000000260770299E-3</v>
      </c>
      <c r="AG1190" s="81" t="s">
        <v>238</v>
      </c>
      <c r="AH1190" s="81" t="s">
        <v>118</v>
      </c>
      <c r="AK1190" s="166">
        <v>0</v>
      </c>
      <c r="AM1190" s="166">
        <v>0</v>
      </c>
      <c r="AO1190" s="166">
        <v>0</v>
      </c>
      <c r="AP1190" s="166">
        <v>1</v>
      </c>
      <c r="AQ1190" s="166">
        <v>0</v>
      </c>
      <c r="AR1190" s="166">
        <v>0</v>
      </c>
      <c r="AS1190" s="166">
        <v>0</v>
      </c>
      <c r="AT1190" s="166">
        <v>0</v>
      </c>
      <c r="AU1190" s="166">
        <v>0</v>
      </c>
      <c r="AV1190" s="166">
        <v>0</v>
      </c>
      <c r="AW1190" s="166">
        <v>1</v>
      </c>
      <c r="AX1190" s="166">
        <v>0</v>
      </c>
      <c r="AY1190" s="166">
        <v>0</v>
      </c>
      <c r="AZ1190" s="166">
        <v>0</v>
      </c>
      <c r="BA1190" s="166">
        <v>0</v>
      </c>
      <c r="BB1190" s="166">
        <v>0</v>
      </c>
      <c r="BC1190" s="166">
        <v>0</v>
      </c>
      <c r="BD1190" s="166">
        <v>0</v>
      </c>
      <c r="BE1190" s="166">
        <v>0</v>
      </c>
      <c r="BF1190" s="166">
        <v>0</v>
      </c>
      <c r="BG1190" s="166">
        <v>0</v>
      </c>
      <c r="BH1190" s="166">
        <v>0</v>
      </c>
      <c r="BI1190" s="166">
        <v>0</v>
      </c>
      <c r="BJ1190" s="166">
        <v>0</v>
      </c>
      <c r="BK1190" s="166">
        <v>0</v>
      </c>
      <c r="BL1190" s="166">
        <v>0</v>
      </c>
      <c r="BM1190" s="166">
        <v>0</v>
      </c>
      <c r="BN1190" s="166">
        <v>0</v>
      </c>
      <c r="BO1190" s="166">
        <v>0</v>
      </c>
      <c r="BP1190" s="166">
        <v>0</v>
      </c>
      <c r="BQ1190" s="81" t="s">
        <v>1758</v>
      </c>
      <c r="BZ1190" s="81" t="s">
        <v>155</v>
      </c>
      <c r="CA1190" s="81">
        <v>10</v>
      </c>
      <c r="CC1190" s="167">
        <v>0</v>
      </c>
      <c r="CD1190" s="167">
        <v>0</v>
      </c>
      <c r="CE1190" s="167">
        <v>0</v>
      </c>
      <c r="CF1190" s="167">
        <v>0</v>
      </c>
      <c r="CG1190" s="167">
        <v>0</v>
      </c>
      <c r="CH1190" s="167">
        <f>$N1190/3</f>
        <v>0.33333333333333331</v>
      </c>
      <c r="CI1190" s="167">
        <f>$N1190/3</f>
        <v>0.33333333333333331</v>
      </c>
      <c r="CJ1190" s="167">
        <f>$N1190/3</f>
        <v>0.33333333333333331</v>
      </c>
      <c r="CK1190" s="167">
        <v>0</v>
      </c>
      <c r="CL1190" s="167">
        <v>0</v>
      </c>
      <c r="CM1190" s="167">
        <v>0</v>
      </c>
      <c r="CN1190" s="167">
        <v>0</v>
      </c>
      <c r="CO1190" s="167">
        <v>0</v>
      </c>
      <c r="CP1190" s="167">
        <v>0</v>
      </c>
      <c r="CQ1190" s="167">
        <v>0</v>
      </c>
      <c r="CR1190" s="167">
        <v>0</v>
      </c>
      <c r="CS1190" s="167">
        <v>0</v>
      </c>
      <c r="CT1190" s="167">
        <v>0</v>
      </c>
      <c r="CU1190" s="167">
        <v>0</v>
      </c>
      <c r="CV1190" s="167">
        <v>0</v>
      </c>
      <c r="CW1190" s="167">
        <v>0</v>
      </c>
      <c r="CX1190" s="167">
        <f>SUM(CD1190:CH1190)</f>
        <v>0.33333333333333331</v>
      </c>
      <c r="CY1190" s="167">
        <f>SUM(CD1190:CM1190)</f>
        <v>1</v>
      </c>
    </row>
    <row r="1191" spans="1:103" ht="12.75" customHeight="1" x14ac:dyDescent="0.2">
      <c r="A1191" s="81">
        <v>700</v>
      </c>
      <c r="B1191" s="165" t="s">
        <v>1955</v>
      </c>
      <c r="C1191" s="165" t="s">
        <v>2019</v>
      </c>
      <c r="E1191" s="165" t="s">
        <v>2020</v>
      </c>
      <c r="G1191" s="81">
        <v>528024</v>
      </c>
      <c r="H1191" s="81">
        <v>173250</v>
      </c>
      <c r="I1191" s="165" t="s">
        <v>254</v>
      </c>
      <c r="L1191" s="166">
        <v>1</v>
      </c>
      <c r="M1191" s="166">
        <v>4</v>
      </c>
      <c r="N1191" s="166">
        <v>3</v>
      </c>
      <c r="O1191" s="166">
        <v>4</v>
      </c>
      <c r="P1191" s="166">
        <v>3</v>
      </c>
      <c r="R1191" s="165" t="s">
        <v>2021</v>
      </c>
      <c r="S1191" s="81" t="s">
        <v>121</v>
      </c>
      <c r="T1191" s="349">
        <v>43180</v>
      </c>
      <c r="W1191" s="81" t="s">
        <v>114</v>
      </c>
      <c r="Y1191" s="81" t="s">
        <v>115</v>
      </c>
      <c r="Z1191" s="81" t="s">
        <v>398</v>
      </c>
      <c r="AA1191" s="81" t="s">
        <v>117</v>
      </c>
      <c r="AB1191" s="81" t="s">
        <v>220</v>
      </c>
      <c r="AC1191" s="166">
        <v>2.9999999329447701E-2</v>
      </c>
      <c r="AG1191" s="81" t="s">
        <v>238</v>
      </c>
      <c r="AH1191" s="81" t="s">
        <v>118</v>
      </c>
      <c r="AK1191" s="166">
        <v>0</v>
      </c>
      <c r="AM1191" s="166">
        <v>0</v>
      </c>
      <c r="AO1191" s="166">
        <v>1</v>
      </c>
      <c r="AP1191" s="166">
        <v>0</v>
      </c>
      <c r="AQ1191" s="166">
        <v>0</v>
      </c>
      <c r="AR1191" s="166">
        <v>2</v>
      </c>
      <c r="AS1191" s="166">
        <v>0</v>
      </c>
      <c r="AT1191" s="166">
        <v>0</v>
      </c>
      <c r="AU1191" s="166">
        <v>0</v>
      </c>
      <c r="AV1191" s="166">
        <v>1</v>
      </c>
      <c r="AW1191" s="166">
        <v>0</v>
      </c>
      <c r="AX1191" s="166">
        <v>0</v>
      </c>
      <c r="AY1191" s="166">
        <v>2</v>
      </c>
      <c r="AZ1191" s="166">
        <v>0</v>
      </c>
      <c r="BA1191" s="166">
        <v>0</v>
      </c>
      <c r="BB1191" s="166">
        <v>0</v>
      </c>
      <c r="BC1191" s="166">
        <v>0</v>
      </c>
      <c r="BD1191" s="166">
        <v>0</v>
      </c>
      <c r="BE1191" s="166">
        <v>0</v>
      </c>
      <c r="BF1191" s="166">
        <v>0</v>
      </c>
      <c r="BG1191" s="166">
        <v>0</v>
      </c>
      <c r="BH1191" s="166">
        <v>0</v>
      </c>
      <c r="BI1191" s="166">
        <v>0</v>
      </c>
      <c r="BJ1191" s="166">
        <v>0</v>
      </c>
      <c r="BK1191" s="166">
        <v>0</v>
      </c>
      <c r="BL1191" s="166">
        <v>0</v>
      </c>
      <c r="BM1191" s="166">
        <v>0</v>
      </c>
      <c r="BN1191" s="166">
        <v>0</v>
      </c>
      <c r="BO1191" s="166">
        <v>0</v>
      </c>
      <c r="BP1191" s="166">
        <v>0</v>
      </c>
      <c r="BQ1191" s="81" t="s">
        <v>1757</v>
      </c>
      <c r="BZ1191" s="81" t="s">
        <v>155</v>
      </c>
      <c r="CA1191" s="81">
        <v>10</v>
      </c>
      <c r="CC1191" s="167">
        <v>0</v>
      </c>
      <c r="CD1191" s="167">
        <v>0</v>
      </c>
      <c r="CE1191" s="167">
        <v>0</v>
      </c>
      <c r="CF1191" s="167">
        <v>0</v>
      </c>
      <c r="CG1191" s="167">
        <v>0</v>
      </c>
      <c r="CH1191" s="167">
        <f>$N1191/3</f>
        <v>1</v>
      </c>
      <c r="CI1191" s="167">
        <f>$N1191/3</f>
        <v>1</v>
      </c>
      <c r="CJ1191" s="167">
        <f>$N1191/3</f>
        <v>1</v>
      </c>
      <c r="CK1191" s="167">
        <v>0</v>
      </c>
      <c r="CL1191" s="167">
        <v>0</v>
      </c>
      <c r="CM1191" s="167">
        <v>0</v>
      </c>
      <c r="CN1191" s="167">
        <v>0</v>
      </c>
      <c r="CO1191" s="167">
        <v>0</v>
      </c>
      <c r="CP1191" s="167">
        <v>0</v>
      </c>
      <c r="CQ1191" s="167">
        <v>0</v>
      </c>
      <c r="CR1191" s="167">
        <v>0</v>
      </c>
      <c r="CS1191" s="167">
        <v>0</v>
      </c>
      <c r="CT1191" s="167">
        <v>0</v>
      </c>
      <c r="CU1191" s="167">
        <v>0</v>
      </c>
      <c r="CV1191" s="167">
        <v>0</v>
      </c>
      <c r="CW1191" s="167">
        <v>0</v>
      </c>
      <c r="CX1191" s="167">
        <f>SUM(CD1191:CH1191)</f>
        <v>1</v>
      </c>
      <c r="CY1191" s="167">
        <f>SUM(CD1191:CM1191)</f>
        <v>3</v>
      </c>
    </row>
    <row r="1192" spans="1:103" ht="12.75" customHeight="1" x14ac:dyDescent="0.2">
      <c r="A1192" s="81">
        <v>786</v>
      </c>
      <c r="B1192" s="165" t="s">
        <v>1955</v>
      </c>
      <c r="C1192" s="165" t="s">
        <v>2022</v>
      </c>
      <c r="E1192" s="165" t="s">
        <v>2023</v>
      </c>
      <c r="G1192" s="81">
        <v>529441</v>
      </c>
      <c r="H1192" s="81">
        <v>171210</v>
      </c>
      <c r="I1192" s="165" t="s">
        <v>252</v>
      </c>
      <c r="L1192" s="166">
        <v>0</v>
      </c>
      <c r="M1192" s="166">
        <v>1</v>
      </c>
      <c r="N1192" s="166">
        <v>1</v>
      </c>
      <c r="O1192" s="166">
        <v>1</v>
      </c>
      <c r="P1192" s="166">
        <v>1</v>
      </c>
      <c r="R1192" s="165" t="s">
        <v>2024</v>
      </c>
      <c r="S1192" s="81" t="s">
        <v>121</v>
      </c>
      <c r="T1192" s="349">
        <v>43153</v>
      </c>
      <c r="W1192" s="81" t="s">
        <v>114</v>
      </c>
      <c r="Y1192" s="81" t="s">
        <v>115</v>
      </c>
      <c r="Z1192" s="81" t="s">
        <v>219</v>
      </c>
      <c r="AA1192" s="81" t="s">
        <v>117</v>
      </c>
      <c r="AB1192" s="81" t="s">
        <v>3889</v>
      </c>
      <c r="AC1192" s="166">
        <v>4.9999998882412902E-3</v>
      </c>
      <c r="AG1192" s="81" t="s">
        <v>238</v>
      </c>
      <c r="AH1192" s="81" t="s">
        <v>118</v>
      </c>
      <c r="AK1192" s="166">
        <v>0</v>
      </c>
      <c r="AM1192" s="166">
        <v>0</v>
      </c>
      <c r="AO1192" s="166">
        <v>1</v>
      </c>
      <c r="AP1192" s="166">
        <v>0</v>
      </c>
      <c r="AQ1192" s="166">
        <v>0</v>
      </c>
      <c r="AR1192" s="166">
        <v>0</v>
      </c>
      <c r="AS1192" s="166">
        <v>0</v>
      </c>
      <c r="AT1192" s="166">
        <v>0</v>
      </c>
      <c r="AU1192" s="166">
        <v>0</v>
      </c>
      <c r="AV1192" s="166">
        <v>1</v>
      </c>
      <c r="AW1192" s="166">
        <v>0</v>
      </c>
      <c r="AX1192" s="166">
        <v>0</v>
      </c>
      <c r="AY1192" s="166">
        <v>0</v>
      </c>
      <c r="AZ1192" s="166">
        <v>0</v>
      </c>
      <c r="BA1192" s="166">
        <v>0</v>
      </c>
      <c r="BB1192" s="166">
        <v>0</v>
      </c>
      <c r="BC1192" s="166">
        <v>0</v>
      </c>
      <c r="BD1192" s="166">
        <v>0</v>
      </c>
      <c r="BE1192" s="166">
        <v>0</v>
      </c>
      <c r="BF1192" s="166">
        <v>0</v>
      </c>
      <c r="BG1192" s="166">
        <v>0</v>
      </c>
      <c r="BH1192" s="166">
        <v>0</v>
      </c>
      <c r="BI1192" s="166">
        <v>0</v>
      </c>
      <c r="BJ1192" s="166">
        <v>0</v>
      </c>
      <c r="BK1192" s="166">
        <v>0</v>
      </c>
      <c r="BL1192" s="166">
        <v>0</v>
      </c>
      <c r="BM1192" s="166">
        <v>0</v>
      </c>
      <c r="BN1192" s="166">
        <v>0</v>
      </c>
      <c r="BO1192" s="166">
        <v>0</v>
      </c>
      <c r="BP1192" s="166">
        <v>0</v>
      </c>
      <c r="BQ1192" s="81" t="s">
        <v>1757</v>
      </c>
      <c r="BZ1192" s="81" t="s">
        <v>155</v>
      </c>
      <c r="CA1192" s="81">
        <v>10</v>
      </c>
      <c r="CC1192" s="167">
        <v>0</v>
      </c>
      <c r="CD1192" s="167">
        <v>0</v>
      </c>
      <c r="CE1192" s="167">
        <v>0</v>
      </c>
      <c r="CF1192" s="167">
        <v>0</v>
      </c>
      <c r="CG1192" s="167">
        <v>0</v>
      </c>
      <c r="CH1192" s="167">
        <f>$N1192/3</f>
        <v>0.33333333333333331</v>
      </c>
      <c r="CI1192" s="167">
        <f>$N1192/3</f>
        <v>0.33333333333333331</v>
      </c>
      <c r="CJ1192" s="167">
        <f>$N1192/3</f>
        <v>0.33333333333333331</v>
      </c>
      <c r="CK1192" s="167">
        <v>0</v>
      </c>
      <c r="CL1192" s="167">
        <v>0</v>
      </c>
      <c r="CM1192" s="167">
        <v>0</v>
      </c>
      <c r="CN1192" s="167">
        <v>0</v>
      </c>
      <c r="CO1192" s="167">
        <v>0</v>
      </c>
      <c r="CP1192" s="167">
        <v>0</v>
      </c>
      <c r="CQ1192" s="167">
        <v>0</v>
      </c>
      <c r="CR1192" s="167">
        <v>0</v>
      </c>
      <c r="CS1192" s="167">
        <v>0</v>
      </c>
      <c r="CT1192" s="167">
        <v>0</v>
      </c>
      <c r="CU1192" s="167">
        <v>0</v>
      </c>
      <c r="CV1192" s="167">
        <v>0</v>
      </c>
      <c r="CW1192" s="167">
        <v>0</v>
      </c>
      <c r="CX1192" s="167">
        <f>SUM(CD1192:CH1192)</f>
        <v>0.33333333333333331</v>
      </c>
      <c r="CY1192" s="167">
        <f>SUM(CD1192:CM1192)</f>
        <v>1</v>
      </c>
    </row>
    <row r="1193" spans="1:103" ht="12.75" customHeight="1" x14ac:dyDescent="0.2">
      <c r="A1193" s="81">
        <v>911</v>
      </c>
      <c r="B1193" s="165" t="s">
        <v>1955</v>
      </c>
      <c r="C1193" s="165" t="s">
        <v>2025</v>
      </c>
      <c r="E1193" s="165" t="s">
        <v>2026</v>
      </c>
      <c r="G1193" s="81">
        <v>526146</v>
      </c>
      <c r="H1193" s="81">
        <v>172566</v>
      </c>
      <c r="I1193" s="165" t="s">
        <v>249</v>
      </c>
      <c r="L1193" s="166">
        <v>1</v>
      </c>
      <c r="M1193" s="166">
        <v>1</v>
      </c>
      <c r="N1193" s="166">
        <v>0</v>
      </c>
      <c r="O1193" s="166">
        <v>2</v>
      </c>
      <c r="P1193" s="166">
        <v>1</v>
      </c>
      <c r="R1193" s="165" t="s">
        <v>2027</v>
      </c>
      <c r="S1193" s="81" t="s">
        <v>121</v>
      </c>
      <c r="T1193" s="349">
        <v>43168</v>
      </c>
      <c r="W1193" s="81" t="s">
        <v>114</v>
      </c>
      <c r="Y1193" s="81" t="s">
        <v>115</v>
      </c>
      <c r="Z1193" s="81" t="s">
        <v>398</v>
      </c>
      <c r="AA1193" s="81" t="s">
        <v>117</v>
      </c>
      <c r="AB1193" s="81" t="s">
        <v>220</v>
      </c>
      <c r="AC1193" s="166">
        <v>8.9999996125698107E-3</v>
      </c>
      <c r="AG1193" s="81" t="s">
        <v>238</v>
      </c>
      <c r="AH1193" s="81" t="s">
        <v>118</v>
      </c>
      <c r="AK1193" s="166">
        <v>0</v>
      </c>
      <c r="AM1193" s="166">
        <v>0</v>
      </c>
      <c r="AN1193" s="166">
        <v>1</v>
      </c>
      <c r="AO1193" s="166">
        <v>0</v>
      </c>
      <c r="AP1193" s="166">
        <v>-1</v>
      </c>
      <c r="AQ1193" s="166">
        <v>1</v>
      </c>
      <c r="AR1193" s="166">
        <v>0</v>
      </c>
      <c r="AS1193" s="166">
        <v>0</v>
      </c>
      <c r="AT1193" s="166">
        <v>0</v>
      </c>
      <c r="AU1193" s="166">
        <v>0</v>
      </c>
      <c r="AV1193" s="166">
        <v>0</v>
      </c>
      <c r="AW1193" s="166">
        <v>-1</v>
      </c>
      <c r="AX1193" s="166">
        <v>1</v>
      </c>
      <c r="AY1193" s="166">
        <v>0</v>
      </c>
      <c r="AZ1193" s="166">
        <v>0</v>
      </c>
      <c r="BA1193" s="166">
        <v>0</v>
      </c>
      <c r="BB1193" s="166">
        <v>0</v>
      </c>
      <c r="BC1193" s="166">
        <v>0</v>
      </c>
      <c r="BD1193" s="166">
        <v>0</v>
      </c>
      <c r="BE1193" s="166">
        <v>0</v>
      </c>
      <c r="BF1193" s="166">
        <v>0</v>
      </c>
      <c r="BG1193" s="166">
        <v>0</v>
      </c>
      <c r="BH1193" s="166">
        <v>0</v>
      </c>
      <c r="BI1193" s="166">
        <v>0</v>
      </c>
      <c r="BJ1193" s="166">
        <v>0</v>
      </c>
      <c r="BK1193" s="166">
        <v>0</v>
      </c>
      <c r="BL1193" s="166">
        <v>0</v>
      </c>
      <c r="BM1193" s="166">
        <v>0</v>
      </c>
      <c r="BN1193" s="166">
        <v>0</v>
      </c>
      <c r="BO1193" s="166">
        <v>0</v>
      </c>
      <c r="BP1193" s="166">
        <v>0</v>
      </c>
      <c r="BQ1193" s="81" t="s">
        <v>1758</v>
      </c>
      <c r="BZ1193" s="81" t="s">
        <v>155</v>
      </c>
      <c r="CA1193" s="81">
        <v>10</v>
      </c>
      <c r="CC1193" s="167">
        <v>0</v>
      </c>
      <c r="CD1193" s="167">
        <v>0</v>
      </c>
      <c r="CE1193" s="167">
        <v>0</v>
      </c>
      <c r="CF1193" s="167">
        <v>0</v>
      </c>
      <c r="CG1193" s="167">
        <v>0</v>
      </c>
      <c r="CH1193" s="167">
        <f>$N1193/3</f>
        <v>0</v>
      </c>
      <c r="CI1193" s="167">
        <f>$N1193/3</f>
        <v>0</v>
      </c>
      <c r="CJ1193" s="167">
        <f>$N1193/3</f>
        <v>0</v>
      </c>
      <c r="CK1193" s="167">
        <v>0</v>
      </c>
      <c r="CL1193" s="167">
        <v>0</v>
      </c>
      <c r="CM1193" s="167">
        <v>0</v>
      </c>
      <c r="CN1193" s="167">
        <v>0</v>
      </c>
      <c r="CO1193" s="167">
        <v>0</v>
      </c>
      <c r="CP1193" s="167">
        <v>0</v>
      </c>
      <c r="CQ1193" s="167">
        <v>0</v>
      </c>
      <c r="CR1193" s="167">
        <v>0</v>
      </c>
      <c r="CS1193" s="167">
        <v>0</v>
      </c>
      <c r="CT1193" s="167">
        <v>0</v>
      </c>
      <c r="CU1193" s="167">
        <v>0</v>
      </c>
      <c r="CV1193" s="167">
        <v>0</v>
      </c>
      <c r="CW1193" s="167">
        <v>0</v>
      </c>
      <c r="CX1193" s="167">
        <f>SUM(CD1193:CH1193)</f>
        <v>0</v>
      </c>
      <c r="CY1193" s="167">
        <f>SUM(CD1193:CM1193)</f>
        <v>0</v>
      </c>
    </row>
    <row r="1194" spans="1:103" ht="12.75" customHeight="1" x14ac:dyDescent="0.2">
      <c r="A1194" s="81">
        <v>911</v>
      </c>
      <c r="B1194" s="165" t="s">
        <v>1955</v>
      </c>
      <c r="C1194" s="165" t="s">
        <v>2025</v>
      </c>
      <c r="E1194" s="165" t="s">
        <v>2026</v>
      </c>
      <c r="G1194" s="81">
        <v>526146</v>
      </c>
      <c r="H1194" s="81">
        <v>172566</v>
      </c>
      <c r="I1194" s="165" t="s">
        <v>249</v>
      </c>
      <c r="L1194" s="166">
        <v>0</v>
      </c>
      <c r="M1194" s="166">
        <v>1</v>
      </c>
      <c r="N1194" s="166">
        <v>1</v>
      </c>
      <c r="O1194" s="166">
        <v>2</v>
      </c>
      <c r="P1194" s="166">
        <v>1</v>
      </c>
      <c r="R1194" s="165" t="s">
        <v>2027</v>
      </c>
      <c r="S1194" s="81" t="s">
        <v>121</v>
      </c>
      <c r="T1194" s="349">
        <v>43168</v>
      </c>
      <c r="W1194" s="81" t="s">
        <v>114</v>
      </c>
      <c r="Y1194" s="81" t="s">
        <v>115</v>
      </c>
      <c r="Z1194" s="81" t="s">
        <v>398</v>
      </c>
      <c r="AA1194" s="81" t="s">
        <v>117</v>
      </c>
      <c r="AB1194" s="81" t="s">
        <v>218</v>
      </c>
      <c r="AC1194" s="166">
        <v>6.0000000521540598E-3</v>
      </c>
      <c r="AG1194" s="81" t="s">
        <v>238</v>
      </c>
      <c r="AH1194" s="81" t="s">
        <v>118</v>
      </c>
      <c r="AK1194" s="166">
        <v>0</v>
      </c>
      <c r="AL1194" s="166">
        <v>1</v>
      </c>
      <c r="AM1194" s="166">
        <v>0</v>
      </c>
      <c r="AO1194" s="166">
        <v>0</v>
      </c>
      <c r="AP1194" s="166">
        <v>1</v>
      </c>
      <c r="AQ1194" s="166">
        <v>0</v>
      </c>
      <c r="AR1194" s="166">
        <v>0</v>
      </c>
      <c r="AS1194" s="166">
        <v>0</v>
      </c>
      <c r="AT1194" s="166">
        <v>0</v>
      </c>
      <c r="AU1194" s="166">
        <v>0</v>
      </c>
      <c r="AV1194" s="166">
        <v>0</v>
      </c>
      <c r="AW1194" s="166">
        <v>1</v>
      </c>
      <c r="AX1194" s="166">
        <v>0</v>
      </c>
      <c r="AY1194" s="166">
        <v>0</v>
      </c>
      <c r="AZ1194" s="166">
        <v>0</v>
      </c>
      <c r="BA1194" s="166">
        <v>0</v>
      </c>
      <c r="BB1194" s="166">
        <v>0</v>
      </c>
      <c r="BC1194" s="166">
        <v>0</v>
      </c>
      <c r="BD1194" s="166">
        <v>0</v>
      </c>
      <c r="BE1194" s="166">
        <v>0</v>
      </c>
      <c r="BF1194" s="166">
        <v>0</v>
      </c>
      <c r="BG1194" s="166">
        <v>0</v>
      </c>
      <c r="BH1194" s="166">
        <v>0</v>
      </c>
      <c r="BI1194" s="166">
        <v>0</v>
      </c>
      <c r="BJ1194" s="166">
        <v>0</v>
      </c>
      <c r="BK1194" s="166">
        <v>0</v>
      </c>
      <c r="BL1194" s="166">
        <v>0</v>
      </c>
      <c r="BM1194" s="166">
        <v>0</v>
      </c>
      <c r="BN1194" s="166">
        <v>0</v>
      </c>
      <c r="BO1194" s="166">
        <v>0</v>
      </c>
      <c r="BP1194" s="166">
        <v>0</v>
      </c>
      <c r="BQ1194" s="81" t="s">
        <v>1758</v>
      </c>
      <c r="BZ1194" s="81" t="s">
        <v>155</v>
      </c>
      <c r="CA1194" s="81">
        <v>10</v>
      </c>
      <c r="CC1194" s="167">
        <v>0</v>
      </c>
      <c r="CD1194" s="167">
        <v>0</v>
      </c>
      <c r="CE1194" s="167">
        <v>0</v>
      </c>
      <c r="CF1194" s="167">
        <v>0</v>
      </c>
      <c r="CG1194" s="167">
        <v>0</v>
      </c>
      <c r="CH1194" s="167">
        <f>$N1194/3</f>
        <v>0.33333333333333331</v>
      </c>
      <c r="CI1194" s="167">
        <f>$N1194/3</f>
        <v>0.33333333333333331</v>
      </c>
      <c r="CJ1194" s="167">
        <f>$N1194/3</f>
        <v>0.33333333333333331</v>
      </c>
      <c r="CK1194" s="167">
        <v>0</v>
      </c>
      <c r="CL1194" s="167">
        <v>0</v>
      </c>
      <c r="CM1194" s="167">
        <v>0</v>
      </c>
      <c r="CN1194" s="167">
        <v>0</v>
      </c>
      <c r="CO1194" s="167">
        <v>0</v>
      </c>
      <c r="CP1194" s="167">
        <v>0</v>
      </c>
      <c r="CQ1194" s="167">
        <v>0</v>
      </c>
      <c r="CR1194" s="167">
        <v>0</v>
      </c>
      <c r="CS1194" s="167">
        <v>0</v>
      </c>
      <c r="CT1194" s="167">
        <v>0</v>
      </c>
      <c r="CU1194" s="167">
        <v>0</v>
      </c>
      <c r="CV1194" s="167">
        <v>0</v>
      </c>
      <c r="CW1194" s="167">
        <v>0</v>
      </c>
      <c r="CX1194" s="167">
        <f>SUM(CD1194:CH1194)</f>
        <v>0.33333333333333331</v>
      </c>
      <c r="CY1194" s="167">
        <f>SUM(CD1194:CM1194)</f>
        <v>1</v>
      </c>
    </row>
    <row r="1195" spans="1:103" ht="12.75" customHeight="1" x14ac:dyDescent="0.2">
      <c r="A1195" s="81">
        <v>1587</v>
      </c>
      <c r="B1195" s="165" t="s">
        <v>1955</v>
      </c>
      <c r="C1195" s="165" t="s">
        <v>2028</v>
      </c>
      <c r="E1195" s="165" t="s">
        <v>2029</v>
      </c>
      <c r="G1195" s="81">
        <v>526103</v>
      </c>
      <c r="H1195" s="81">
        <v>173307</v>
      </c>
      <c r="I1195" s="165" t="s">
        <v>249</v>
      </c>
      <c r="L1195" s="166">
        <v>0</v>
      </c>
      <c r="M1195" s="166">
        <v>1</v>
      </c>
      <c r="N1195" s="166">
        <v>1</v>
      </c>
      <c r="O1195" s="166">
        <v>1</v>
      </c>
      <c r="P1195" s="166">
        <v>1</v>
      </c>
      <c r="R1195" s="165" t="s">
        <v>2030</v>
      </c>
      <c r="S1195" s="81" t="s">
        <v>121</v>
      </c>
      <c r="T1195" s="349">
        <v>43168</v>
      </c>
      <c r="W1195" s="81" t="s">
        <v>114</v>
      </c>
      <c r="Y1195" s="81" t="s">
        <v>115</v>
      </c>
      <c r="Z1195" s="81" t="s">
        <v>398</v>
      </c>
      <c r="AA1195" s="81" t="s">
        <v>117</v>
      </c>
      <c r="AB1195" s="81" t="s">
        <v>399</v>
      </c>
      <c r="AC1195" s="166">
        <v>0</v>
      </c>
      <c r="AG1195" s="81" t="s">
        <v>238</v>
      </c>
      <c r="AH1195" s="81" t="s">
        <v>118</v>
      </c>
      <c r="AK1195" s="166">
        <v>0</v>
      </c>
      <c r="AM1195" s="166">
        <v>0</v>
      </c>
      <c r="AO1195" s="166">
        <v>0</v>
      </c>
      <c r="AP1195" s="166">
        <v>0</v>
      </c>
      <c r="AQ1195" s="166">
        <v>1</v>
      </c>
      <c r="AR1195" s="166">
        <v>0</v>
      </c>
      <c r="AS1195" s="166">
        <v>0</v>
      </c>
      <c r="AT1195" s="166">
        <v>0</v>
      </c>
      <c r="AU1195" s="166">
        <v>0</v>
      </c>
      <c r="AV1195" s="166">
        <v>0</v>
      </c>
      <c r="AW1195" s="166">
        <v>0</v>
      </c>
      <c r="AX1195" s="166">
        <v>1</v>
      </c>
      <c r="AY1195" s="166">
        <v>0</v>
      </c>
      <c r="AZ1195" s="166">
        <v>0</v>
      </c>
      <c r="BA1195" s="166">
        <v>0</v>
      </c>
      <c r="BB1195" s="166">
        <v>0</v>
      </c>
      <c r="BC1195" s="166">
        <v>0</v>
      </c>
      <c r="BD1195" s="166">
        <v>0</v>
      </c>
      <c r="BE1195" s="166">
        <v>0</v>
      </c>
      <c r="BF1195" s="166">
        <v>0</v>
      </c>
      <c r="BG1195" s="166">
        <v>0</v>
      </c>
      <c r="BH1195" s="166">
        <v>0</v>
      </c>
      <c r="BI1195" s="166">
        <v>0</v>
      </c>
      <c r="BJ1195" s="166">
        <v>0</v>
      </c>
      <c r="BK1195" s="166">
        <v>0</v>
      </c>
      <c r="BL1195" s="166">
        <v>0</v>
      </c>
      <c r="BM1195" s="166">
        <v>0</v>
      </c>
      <c r="BN1195" s="166">
        <v>0</v>
      </c>
      <c r="BO1195" s="166">
        <v>0</v>
      </c>
      <c r="BP1195" s="166">
        <v>0</v>
      </c>
      <c r="BQ1195" s="81" t="s">
        <v>1758</v>
      </c>
      <c r="BZ1195" s="81" t="s">
        <v>155</v>
      </c>
      <c r="CA1195" s="81">
        <v>10</v>
      </c>
      <c r="CC1195" s="167">
        <v>0</v>
      </c>
      <c r="CD1195" s="167">
        <v>0</v>
      </c>
      <c r="CE1195" s="167">
        <v>0</v>
      </c>
      <c r="CF1195" s="167">
        <v>0</v>
      </c>
      <c r="CG1195" s="167">
        <v>0</v>
      </c>
      <c r="CH1195" s="167">
        <f>$N1195/3</f>
        <v>0.33333333333333331</v>
      </c>
      <c r="CI1195" s="167">
        <f>$N1195/3</f>
        <v>0.33333333333333331</v>
      </c>
      <c r="CJ1195" s="167">
        <f>$N1195/3</f>
        <v>0.33333333333333331</v>
      </c>
      <c r="CK1195" s="167">
        <v>0</v>
      </c>
      <c r="CL1195" s="167">
        <v>0</v>
      </c>
      <c r="CM1195" s="167">
        <v>0</v>
      </c>
      <c r="CN1195" s="167">
        <v>0</v>
      </c>
      <c r="CO1195" s="167">
        <v>0</v>
      </c>
      <c r="CP1195" s="167">
        <v>0</v>
      </c>
      <c r="CQ1195" s="167">
        <v>0</v>
      </c>
      <c r="CR1195" s="167">
        <v>0</v>
      </c>
      <c r="CS1195" s="167">
        <v>0</v>
      </c>
      <c r="CT1195" s="167">
        <v>0</v>
      </c>
      <c r="CU1195" s="167">
        <v>0</v>
      </c>
      <c r="CV1195" s="167">
        <v>0</v>
      </c>
      <c r="CW1195" s="167">
        <v>0</v>
      </c>
      <c r="CX1195" s="167">
        <f>SUM(CD1195:CH1195)</f>
        <v>0.33333333333333331</v>
      </c>
      <c r="CY1195" s="167">
        <f>SUM(CD1195:CM1195)</f>
        <v>1</v>
      </c>
    </row>
    <row r="1196" spans="1:103" ht="12.75" customHeight="1" x14ac:dyDescent="0.2">
      <c r="A1196" s="81">
        <v>1836</v>
      </c>
      <c r="B1196" s="165" t="s">
        <v>1955</v>
      </c>
      <c r="C1196" s="165" t="s">
        <v>2031</v>
      </c>
      <c r="D1196" s="165" t="s">
        <v>2032</v>
      </c>
      <c r="E1196" s="165" t="s">
        <v>2033</v>
      </c>
      <c r="G1196" s="81">
        <v>525361</v>
      </c>
      <c r="H1196" s="81">
        <v>174644</v>
      </c>
      <c r="I1196" s="165" t="s">
        <v>258</v>
      </c>
      <c r="L1196" s="166">
        <v>1</v>
      </c>
      <c r="M1196" s="166">
        <v>2</v>
      </c>
      <c r="N1196" s="166">
        <v>1</v>
      </c>
      <c r="O1196" s="166">
        <v>2</v>
      </c>
      <c r="P1196" s="166">
        <v>1</v>
      </c>
      <c r="R1196" s="165" t="s">
        <v>2034</v>
      </c>
      <c r="S1196" s="81" t="s">
        <v>121</v>
      </c>
      <c r="T1196" s="349">
        <v>43181</v>
      </c>
      <c r="W1196" s="81" t="s">
        <v>114</v>
      </c>
      <c r="Y1196" s="81" t="s">
        <v>115</v>
      </c>
      <c r="Z1196" s="81" t="s">
        <v>119</v>
      </c>
      <c r="AA1196" s="81" t="s">
        <v>117</v>
      </c>
      <c r="AB1196" s="81" t="s">
        <v>220</v>
      </c>
      <c r="AC1196" s="166">
        <v>8.0000003799796104E-3</v>
      </c>
      <c r="AG1196" s="81" t="s">
        <v>238</v>
      </c>
      <c r="AH1196" s="81" t="s">
        <v>118</v>
      </c>
      <c r="AK1196" s="166">
        <v>0</v>
      </c>
      <c r="AM1196" s="166">
        <v>0</v>
      </c>
      <c r="AO1196" s="166">
        <v>2</v>
      </c>
      <c r="AP1196" s="166">
        <v>-1</v>
      </c>
      <c r="AQ1196" s="166">
        <v>0</v>
      </c>
      <c r="AR1196" s="166">
        <v>0</v>
      </c>
      <c r="AS1196" s="166">
        <v>0</v>
      </c>
      <c r="AT1196" s="166">
        <v>0</v>
      </c>
      <c r="AU1196" s="166">
        <v>0</v>
      </c>
      <c r="AV1196" s="166">
        <v>2</v>
      </c>
      <c r="AW1196" s="166">
        <v>-1</v>
      </c>
      <c r="AX1196" s="166">
        <v>0</v>
      </c>
      <c r="AY1196" s="166">
        <v>0</v>
      </c>
      <c r="AZ1196" s="166">
        <v>0</v>
      </c>
      <c r="BA1196" s="166">
        <v>0</v>
      </c>
      <c r="BB1196" s="166">
        <v>0</v>
      </c>
      <c r="BC1196" s="166">
        <v>0</v>
      </c>
      <c r="BD1196" s="166">
        <v>0</v>
      </c>
      <c r="BE1196" s="166">
        <v>0</v>
      </c>
      <c r="BF1196" s="166">
        <v>0</v>
      </c>
      <c r="BG1196" s="166">
        <v>0</v>
      </c>
      <c r="BH1196" s="166">
        <v>0</v>
      </c>
      <c r="BI1196" s="166">
        <v>0</v>
      </c>
      <c r="BJ1196" s="166">
        <v>0</v>
      </c>
      <c r="BK1196" s="166">
        <v>0</v>
      </c>
      <c r="BL1196" s="166">
        <v>0</v>
      </c>
      <c r="BM1196" s="166">
        <v>0</v>
      </c>
      <c r="BN1196" s="166">
        <v>0</v>
      </c>
      <c r="BO1196" s="166">
        <v>0</v>
      </c>
      <c r="BP1196" s="166">
        <v>0</v>
      </c>
      <c r="BQ1196" s="81" t="s">
        <v>1758</v>
      </c>
      <c r="BR1196" s="81" t="s">
        <v>202</v>
      </c>
      <c r="BT1196" s="81" t="s">
        <v>155</v>
      </c>
      <c r="BZ1196" s="81" t="s">
        <v>155</v>
      </c>
      <c r="CA1196" s="81">
        <v>10</v>
      </c>
      <c r="CC1196" s="167">
        <v>0</v>
      </c>
      <c r="CD1196" s="167">
        <v>0</v>
      </c>
      <c r="CE1196" s="167">
        <v>0</v>
      </c>
      <c r="CF1196" s="167">
        <v>0</v>
      </c>
      <c r="CG1196" s="167">
        <v>0</v>
      </c>
      <c r="CH1196" s="167">
        <f>$N1196/3</f>
        <v>0.33333333333333331</v>
      </c>
      <c r="CI1196" s="167">
        <f>$N1196/3</f>
        <v>0.33333333333333331</v>
      </c>
      <c r="CJ1196" s="167">
        <f>$N1196/3</f>
        <v>0.33333333333333331</v>
      </c>
      <c r="CK1196" s="167">
        <v>0</v>
      </c>
      <c r="CL1196" s="167">
        <v>0</v>
      </c>
      <c r="CM1196" s="167">
        <v>0</v>
      </c>
      <c r="CN1196" s="167">
        <v>0</v>
      </c>
      <c r="CO1196" s="167">
        <v>0</v>
      </c>
      <c r="CP1196" s="167">
        <v>0</v>
      </c>
      <c r="CQ1196" s="167">
        <v>0</v>
      </c>
      <c r="CR1196" s="167">
        <v>0</v>
      </c>
      <c r="CS1196" s="167">
        <v>0</v>
      </c>
      <c r="CT1196" s="167">
        <v>0</v>
      </c>
      <c r="CU1196" s="167">
        <v>0</v>
      </c>
      <c r="CV1196" s="167">
        <v>0</v>
      </c>
      <c r="CW1196" s="167">
        <v>0</v>
      </c>
      <c r="CX1196" s="167">
        <f>SUM(CD1196:CH1196)</f>
        <v>0.33333333333333331</v>
      </c>
      <c r="CY1196" s="167">
        <f>SUM(CD1196:CM1196)</f>
        <v>1</v>
      </c>
    </row>
    <row r="1197" spans="1:103" ht="12.75" customHeight="1" x14ac:dyDescent="0.2">
      <c r="A1197" s="81">
        <v>1847</v>
      </c>
      <c r="B1197" s="165" t="s">
        <v>1955</v>
      </c>
      <c r="C1197" s="165" t="s">
        <v>2035</v>
      </c>
      <c r="D1197" s="165" t="s">
        <v>2036</v>
      </c>
      <c r="E1197" s="165" t="s">
        <v>2037</v>
      </c>
      <c r="G1197" s="81">
        <v>527213</v>
      </c>
      <c r="H1197" s="81">
        <v>170860</v>
      </c>
      <c r="I1197" s="165" t="s">
        <v>253</v>
      </c>
      <c r="L1197" s="166">
        <v>0</v>
      </c>
      <c r="M1197" s="166">
        <v>1</v>
      </c>
      <c r="N1197" s="166">
        <v>1</v>
      </c>
      <c r="O1197" s="166">
        <v>1</v>
      </c>
      <c r="P1197" s="166">
        <v>1</v>
      </c>
      <c r="R1197" s="165" t="s">
        <v>2038</v>
      </c>
      <c r="S1197" s="81" t="s">
        <v>296</v>
      </c>
      <c r="T1197" s="349">
        <v>42877</v>
      </c>
      <c r="U1197" s="349">
        <v>42933</v>
      </c>
      <c r="V1197" s="81" t="s">
        <v>155</v>
      </c>
      <c r="W1197" s="81" t="s">
        <v>365</v>
      </c>
      <c r="Y1197" s="81" t="s">
        <v>397</v>
      </c>
      <c r="Z1197" s="81" t="s">
        <v>116</v>
      </c>
      <c r="AA1197" s="81" t="s">
        <v>117</v>
      </c>
      <c r="AB1197" s="81" t="s">
        <v>218</v>
      </c>
      <c r="AC1197" s="166">
        <v>3.4000001847744002E-2</v>
      </c>
      <c r="AG1197" s="81" t="s">
        <v>238</v>
      </c>
      <c r="AH1197" s="81" t="s">
        <v>118</v>
      </c>
      <c r="AK1197" s="166">
        <v>1</v>
      </c>
      <c r="AM1197" s="166">
        <v>0</v>
      </c>
      <c r="AO1197" s="166">
        <v>0</v>
      </c>
      <c r="AP1197" s="166">
        <v>0</v>
      </c>
      <c r="AQ1197" s="166">
        <v>1</v>
      </c>
      <c r="AR1197" s="166">
        <v>0</v>
      </c>
      <c r="AS1197" s="166">
        <v>0</v>
      </c>
      <c r="AT1197" s="166">
        <v>0</v>
      </c>
      <c r="AU1197" s="166">
        <v>0</v>
      </c>
      <c r="AV1197" s="166">
        <v>0</v>
      </c>
      <c r="AW1197" s="166">
        <v>0</v>
      </c>
      <c r="AX1197" s="166">
        <v>0</v>
      </c>
      <c r="AY1197" s="166">
        <v>0</v>
      </c>
      <c r="AZ1197" s="166">
        <v>0</v>
      </c>
      <c r="BA1197" s="166">
        <v>0</v>
      </c>
      <c r="BB1197" s="166">
        <v>0</v>
      </c>
      <c r="BC1197" s="166">
        <v>0</v>
      </c>
      <c r="BD1197" s="166">
        <v>0</v>
      </c>
      <c r="BE1197" s="166">
        <v>1</v>
      </c>
      <c r="BF1197" s="166">
        <v>0</v>
      </c>
      <c r="BG1197" s="166">
        <v>0</v>
      </c>
      <c r="BH1197" s="166">
        <v>0</v>
      </c>
      <c r="BI1197" s="166">
        <v>0</v>
      </c>
      <c r="BJ1197" s="166">
        <v>0</v>
      </c>
      <c r="BK1197" s="166">
        <v>0</v>
      </c>
      <c r="BL1197" s="166">
        <v>0</v>
      </c>
      <c r="BM1197" s="166">
        <v>0</v>
      </c>
      <c r="BN1197" s="166">
        <v>0</v>
      </c>
      <c r="BO1197" s="166">
        <v>0</v>
      </c>
      <c r="BP1197" s="166">
        <v>0</v>
      </c>
      <c r="BQ1197" s="81" t="s">
        <v>1757</v>
      </c>
      <c r="BZ1197" s="81" t="s">
        <v>155</v>
      </c>
      <c r="CA1197" s="81">
        <v>6</v>
      </c>
      <c r="CC1197" s="167">
        <v>0</v>
      </c>
      <c r="CD1197" s="167">
        <v>0</v>
      </c>
      <c r="CE1197" s="167">
        <v>0</v>
      </c>
      <c r="CF1197" s="167">
        <v>0</v>
      </c>
      <c r="CG1197" s="167">
        <v>0</v>
      </c>
      <c r="CH1197" s="167">
        <f>$N1197/3</f>
        <v>0.33333333333333331</v>
      </c>
      <c r="CI1197" s="167">
        <f>$N1197/3</f>
        <v>0.33333333333333331</v>
      </c>
      <c r="CJ1197" s="167">
        <f>$N1197/3</f>
        <v>0.33333333333333331</v>
      </c>
      <c r="CK1197" s="167">
        <v>0</v>
      </c>
      <c r="CL1197" s="167">
        <v>0</v>
      </c>
      <c r="CM1197" s="167">
        <v>0</v>
      </c>
      <c r="CN1197" s="167">
        <v>0</v>
      </c>
      <c r="CO1197" s="167">
        <v>0</v>
      </c>
      <c r="CP1197" s="167">
        <v>0</v>
      </c>
      <c r="CQ1197" s="167">
        <v>0</v>
      </c>
      <c r="CR1197" s="167">
        <v>0</v>
      </c>
      <c r="CS1197" s="167">
        <v>0</v>
      </c>
      <c r="CT1197" s="167">
        <v>0</v>
      </c>
      <c r="CU1197" s="167">
        <v>0</v>
      </c>
      <c r="CV1197" s="167">
        <v>0</v>
      </c>
      <c r="CW1197" s="167">
        <v>0</v>
      </c>
      <c r="CX1197" s="167">
        <f>SUM(CD1197:CH1197)</f>
        <v>0.33333333333333331</v>
      </c>
      <c r="CY1197" s="167">
        <f>SUM(CD1197:CM1197)</f>
        <v>1</v>
      </c>
    </row>
    <row r="1198" spans="1:103" ht="12.75" customHeight="1" x14ac:dyDescent="0.2">
      <c r="A1198" s="81">
        <v>1867</v>
      </c>
      <c r="B1198" s="165" t="s">
        <v>1955</v>
      </c>
      <c r="C1198" s="165" t="s">
        <v>2039</v>
      </c>
      <c r="E1198" s="165" t="s">
        <v>2040</v>
      </c>
      <c r="G1198" s="81">
        <v>526162</v>
      </c>
      <c r="H1198" s="81">
        <v>172667</v>
      </c>
      <c r="I1198" s="165" t="s">
        <v>249</v>
      </c>
      <c r="L1198" s="166">
        <v>0</v>
      </c>
      <c r="M1198" s="166">
        <v>5</v>
      </c>
      <c r="N1198" s="166">
        <v>5</v>
      </c>
      <c r="O1198" s="166">
        <v>5</v>
      </c>
      <c r="P1198" s="166">
        <v>5</v>
      </c>
      <c r="R1198" s="165" t="s">
        <v>2041</v>
      </c>
      <c r="S1198" s="81" t="s">
        <v>121</v>
      </c>
      <c r="T1198" s="349">
        <v>43117</v>
      </c>
      <c r="W1198" s="81" t="s">
        <v>114</v>
      </c>
      <c r="Y1198" s="81" t="s">
        <v>115</v>
      </c>
      <c r="Z1198" s="81" t="s">
        <v>116</v>
      </c>
      <c r="AA1198" s="81" t="s">
        <v>117</v>
      </c>
      <c r="AB1198" s="81" t="s">
        <v>218</v>
      </c>
      <c r="AC1198" s="166">
        <v>2.9999999329447701E-2</v>
      </c>
      <c r="AG1198" s="81" t="s">
        <v>238</v>
      </c>
      <c r="AH1198" s="81" t="s">
        <v>118</v>
      </c>
      <c r="AK1198" s="166">
        <v>0</v>
      </c>
      <c r="AM1198" s="166">
        <v>0</v>
      </c>
      <c r="AO1198" s="166">
        <v>0</v>
      </c>
      <c r="AP1198" s="166">
        <v>1</v>
      </c>
      <c r="AQ1198" s="166">
        <v>4</v>
      </c>
      <c r="AR1198" s="166">
        <v>0</v>
      </c>
      <c r="AS1198" s="166">
        <v>0</v>
      </c>
      <c r="AT1198" s="166">
        <v>0</v>
      </c>
      <c r="AU1198" s="166">
        <v>0</v>
      </c>
      <c r="AV1198" s="166">
        <v>0</v>
      </c>
      <c r="AW1198" s="166">
        <v>1</v>
      </c>
      <c r="AX1198" s="166">
        <v>1</v>
      </c>
      <c r="AY1198" s="166">
        <v>0</v>
      </c>
      <c r="AZ1198" s="166">
        <v>0</v>
      </c>
      <c r="BA1198" s="166">
        <v>0</v>
      </c>
      <c r="BB1198" s="166">
        <v>0</v>
      </c>
      <c r="BC1198" s="166">
        <v>0</v>
      </c>
      <c r="BD1198" s="166">
        <v>0</v>
      </c>
      <c r="BE1198" s="166">
        <v>3</v>
      </c>
      <c r="BF1198" s="166">
        <v>0</v>
      </c>
      <c r="BG1198" s="166">
        <v>0</v>
      </c>
      <c r="BH1198" s="166">
        <v>0</v>
      </c>
      <c r="BI1198" s="166">
        <v>0</v>
      </c>
      <c r="BJ1198" s="166">
        <v>0</v>
      </c>
      <c r="BK1198" s="166">
        <v>0</v>
      </c>
      <c r="BL1198" s="166">
        <v>0</v>
      </c>
      <c r="BM1198" s="166">
        <v>0</v>
      </c>
      <c r="BN1198" s="166">
        <v>0</v>
      </c>
      <c r="BO1198" s="166">
        <v>0</v>
      </c>
      <c r="BP1198" s="166">
        <v>0</v>
      </c>
      <c r="BQ1198" s="81" t="s">
        <v>1758</v>
      </c>
      <c r="BZ1198" s="81" t="s">
        <v>155</v>
      </c>
      <c r="CA1198" s="81">
        <v>6</v>
      </c>
      <c r="CC1198" s="167">
        <v>0</v>
      </c>
      <c r="CD1198" s="167">
        <v>0</v>
      </c>
      <c r="CE1198" s="167">
        <v>0</v>
      </c>
      <c r="CF1198" s="167">
        <v>0</v>
      </c>
      <c r="CG1198" s="167">
        <v>0</v>
      </c>
      <c r="CH1198" s="167">
        <f>$N1198/3</f>
        <v>1.6666666666666667</v>
      </c>
      <c r="CI1198" s="167">
        <f>$N1198/3</f>
        <v>1.6666666666666667</v>
      </c>
      <c r="CJ1198" s="167">
        <f>$N1198/3</f>
        <v>1.6666666666666667</v>
      </c>
      <c r="CK1198" s="167">
        <v>0</v>
      </c>
      <c r="CL1198" s="167">
        <v>0</v>
      </c>
      <c r="CM1198" s="167">
        <v>0</v>
      </c>
      <c r="CN1198" s="167">
        <v>0</v>
      </c>
      <c r="CO1198" s="167">
        <v>0</v>
      </c>
      <c r="CP1198" s="167">
        <v>0</v>
      </c>
      <c r="CQ1198" s="167">
        <v>0</v>
      </c>
      <c r="CR1198" s="167">
        <v>0</v>
      </c>
      <c r="CS1198" s="167">
        <v>0</v>
      </c>
      <c r="CT1198" s="167">
        <v>0</v>
      </c>
      <c r="CU1198" s="167">
        <v>0</v>
      </c>
      <c r="CV1198" s="167">
        <v>0</v>
      </c>
      <c r="CW1198" s="167">
        <v>0</v>
      </c>
      <c r="CX1198" s="167">
        <f>SUM(CD1198:CH1198)</f>
        <v>1.6666666666666667</v>
      </c>
      <c r="CY1198" s="167">
        <f>SUM(CD1198:CM1198)</f>
        <v>5</v>
      </c>
    </row>
    <row r="1199" spans="1:103" ht="12.75" customHeight="1" x14ac:dyDescent="0.2">
      <c r="A1199" s="81">
        <v>1998</v>
      </c>
      <c r="B1199" s="165" t="s">
        <v>1955</v>
      </c>
      <c r="C1199" s="165" t="s">
        <v>2042</v>
      </c>
      <c r="E1199" s="165" t="s">
        <v>2043</v>
      </c>
      <c r="G1199" s="81">
        <v>529304</v>
      </c>
      <c r="H1199" s="81">
        <v>172598</v>
      </c>
      <c r="I1199" s="165" t="s">
        <v>248</v>
      </c>
      <c r="L1199" s="166">
        <v>0</v>
      </c>
      <c r="M1199" s="166">
        <v>1</v>
      </c>
      <c r="N1199" s="166">
        <v>1</v>
      </c>
      <c r="O1199" s="166">
        <v>1</v>
      </c>
      <c r="P1199" s="166">
        <v>1</v>
      </c>
      <c r="R1199" s="165" t="s">
        <v>2044</v>
      </c>
      <c r="S1199" s="81" t="s">
        <v>121</v>
      </c>
      <c r="T1199" s="349">
        <v>43048</v>
      </c>
      <c r="W1199" s="81" t="s">
        <v>114</v>
      </c>
      <c r="Y1199" s="81" t="s">
        <v>115</v>
      </c>
      <c r="Z1199" s="81" t="s">
        <v>116</v>
      </c>
      <c r="AA1199" s="81" t="s">
        <v>117</v>
      </c>
      <c r="AB1199" s="81" t="s">
        <v>218</v>
      </c>
      <c r="AC1199" s="166">
        <v>7.9000003635883304E-2</v>
      </c>
      <c r="AG1199" s="81" t="s">
        <v>238</v>
      </c>
      <c r="AH1199" s="81" t="s">
        <v>118</v>
      </c>
      <c r="AK1199" s="166">
        <v>0</v>
      </c>
      <c r="AM1199" s="166">
        <v>0</v>
      </c>
      <c r="AO1199" s="166">
        <v>0</v>
      </c>
      <c r="AP1199" s="166">
        <v>0</v>
      </c>
      <c r="AQ1199" s="166">
        <v>0</v>
      </c>
      <c r="AR1199" s="166">
        <v>0</v>
      </c>
      <c r="AS1199" s="166">
        <v>1</v>
      </c>
      <c r="AT1199" s="166">
        <v>0</v>
      </c>
      <c r="AU1199" s="166">
        <v>0</v>
      </c>
      <c r="AV1199" s="166">
        <v>0</v>
      </c>
      <c r="AW1199" s="166">
        <v>0</v>
      </c>
      <c r="AX1199" s="166">
        <v>0</v>
      </c>
      <c r="AY1199" s="166">
        <v>0</v>
      </c>
      <c r="AZ1199" s="166">
        <v>0</v>
      </c>
      <c r="BA1199" s="166">
        <v>0</v>
      </c>
      <c r="BB1199" s="166">
        <v>0</v>
      </c>
      <c r="BC1199" s="166">
        <v>0</v>
      </c>
      <c r="BD1199" s="166">
        <v>0</v>
      </c>
      <c r="BE1199" s="166">
        <v>0</v>
      </c>
      <c r="BF1199" s="166">
        <v>0</v>
      </c>
      <c r="BG1199" s="166">
        <v>1</v>
      </c>
      <c r="BH1199" s="166">
        <v>0</v>
      </c>
      <c r="BI1199" s="166">
        <v>0</v>
      </c>
      <c r="BJ1199" s="166">
        <v>0</v>
      </c>
      <c r="BK1199" s="166">
        <v>0</v>
      </c>
      <c r="BL1199" s="166">
        <v>0</v>
      </c>
      <c r="BM1199" s="166">
        <v>0</v>
      </c>
      <c r="BN1199" s="166">
        <v>0</v>
      </c>
      <c r="BO1199" s="166">
        <v>0</v>
      </c>
      <c r="BP1199" s="166">
        <v>0</v>
      </c>
      <c r="BQ1199" s="81" t="s">
        <v>1757</v>
      </c>
      <c r="BZ1199" s="81" t="s">
        <v>3991</v>
      </c>
      <c r="CA1199" s="81">
        <v>15</v>
      </c>
      <c r="CB1199" s="165" t="s">
        <v>3994</v>
      </c>
      <c r="CC1199" s="167">
        <v>0</v>
      </c>
      <c r="CD1199" s="167">
        <v>0</v>
      </c>
      <c r="CE1199" s="167">
        <v>0</v>
      </c>
      <c r="CF1199" s="167">
        <v>0</v>
      </c>
      <c r="CG1199" s="167">
        <v>0</v>
      </c>
      <c r="CH1199" s="167">
        <v>0</v>
      </c>
      <c r="CI1199" s="167">
        <v>0</v>
      </c>
      <c r="CJ1199" s="167">
        <v>0</v>
      </c>
      <c r="CK1199" s="167">
        <v>0</v>
      </c>
      <c r="CL1199" s="167">
        <v>0</v>
      </c>
      <c r="CM1199" s="167">
        <v>0</v>
      </c>
      <c r="CN1199" s="167">
        <v>0</v>
      </c>
      <c r="CO1199" s="167">
        <v>0</v>
      </c>
      <c r="CP1199" s="167">
        <v>0</v>
      </c>
      <c r="CQ1199" s="167">
        <v>0</v>
      </c>
      <c r="CR1199" s="167">
        <v>0</v>
      </c>
      <c r="CS1199" s="167">
        <v>0</v>
      </c>
      <c r="CT1199" s="167">
        <v>0</v>
      </c>
      <c r="CU1199" s="167">
        <v>0</v>
      </c>
      <c r="CV1199" s="167">
        <v>0</v>
      </c>
      <c r="CW1199" s="167">
        <v>0</v>
      </c>
      <c r="CX1199" s="167">
        <f>SUM(CD1199:CH1199)</f>
        <v>0</v>
      </c>
      <c r="CY1199" s="167">
        <f>SUM(CD1199:CM1199)</f>
        <v>0</v>
      </c>
    </row>
    <row r="1200" spans="1:103" ht="12.75" customHeight="1" x14ac:dyDescent="0.2">
      <c r="A1200" s="81">
        <v>2202</v>
      </c>
      <c r="B1200" s="165" t="s">
        <v>1955</v>
      </c>
      <c r="C1200" s="165" t="s">
        <v>2045</v>
      </c>
      <c r="E1200" s="165" t="s">
        <v>2046</v>
      </c>
      <c r="G1200" s="81">
        <v>528351</v>
      </c>
      <c r="H1200" s="81">
        <v>173235</v>
      </c>
      <c r="I1200" s="165" t="s">
        <v>254</v>
      </c>
      <c r="L1200" s="166">
        <v>0</v>
      </c>
      <c r="M1200" s="166">
        <v>2</v>
      </c>
      <c r="N1200" s="166">
        <v>2</v>
      </c>
      <c r="O1200" s="166">
        <v>2</v>
      </c>
      <c r="P1200" s="166">
        <v>2</v>
      </c>
      <c r="R1200" s="165" t="s">
        <v>2047</v>
      </c>
      <c r="S1200" s="81" t="s">
        <v>121</v>
      </c>
      <c r="T1200" s="349">
        <v>43188</v>
      </c>
      <c r="W1200" s="81" t="s">
        <v>114</v>
      </c>
      <c r="Y1200" s="81" t="s">
        <v>115</v>
      </c>
      <c r="Z1200" s="81" t="s">
        <v>116</v>
      </c>
      <c r="AA1200" s="81" t="s">
        <v>117</v>
      </c>
      <c r="AB1200" s="81" t="s">
        <v>218</v>
      </c>
      <c r="AC1200" s="166">
        <v>8.0000003799796104E-3</v>
      </c>
      <c r="AG1200" s="81" t="s">
        <v>238</v>
      </c>
      <c r="AH1200" s="81" t="s">
        <v>118</v>
      </c>
      <c r="AK1200" s="166">
        <v>0</v>
      </c>
      <c r="AM1200" s="166">
        <v>0</v>
      </c>
      <c r="AO1200" s="166">
        <v>0</v>
      </c>
      <c r="AP1200" s="166">
        <v>2</v>
      </c>
      <c r="AQ1200" s="166">
        <v>0</v>
      </c>
      <c r="AR1200" s="166">
        <v>0</v>
      </c>
      <c r="AS1200" s="166">
        <v>0</v>
      </c>
      <c r="AT1200" s="166">
        <v>0</v>
      </c>
      <c r="AU1200" s="166">
        <v>0</v>
      </c>
      <c r="AV1200" s="166">
        <v>0</v>
      </c>
      <c r="AW1200" s="166">
        <v>2</v>
      </c>
      <c r="AX1200" s="166">
        <v>0</v>
      </c>
      <c r="AY1200" s="166">
        <v>0</v>
      </c>
      <c r="AZ1200" s="166">
        <v>0</v>
      </c>
      <c r="BA1200" s="166">
        <v>0</v>
      </c>
      <c r="BB1200" s="166">
        <v>0</v>
      </c>
      <c r="BC1200" s="166">
        <v>0</v>
      </c>
      <c r="BD1200" s="166">
        <v>0</v>
      </c>
      <c r="BE1200" s="166">
        <v>0</v>
      </c>
      <c r="BF1200" s="166">
        <v>0</v>
      </c>
      <c r="BG1200" s="166">
        <v>0</v>
      </c>
      <c r="BH1200" s="166">
        <v>0</v>
      </c>
      <c r="BI1200" s="166">
        <v>0</v>
      </c>
      <c r="BJ1200" s="166">
        <v>0</v>
      </c>
      <c r="BK1200" s="166">
        <v>0</v>
      </c>
      <c r="BL1200" s="166">
        <v>0</v>
      </c>
      <c r="BM1200" s="166">
        <v>0</v>
      </c>
      <c r="BN1200" s="166">
        <v>0</v>
      </c>
      <c r="BO1200" s="166">
        <v>0</v>
      </c>
      <c r="BP1200" s="166">
        <v>0</v>
      </c>
      <c r="BQ1200" s="81" t="s">
        <v>1757</v>
      </c>
      <c r="BZ1200" s="81" t="s">
        <v>3991</v>
      </c>
      <c r="CA1200" s="81">
        <v>15</v>
      </c>
      <c r="CB1200" s="165" t="s">
        <v>3995</v>
      </c>
      <c r="CC1200" s="167">
        <v>0</v>
      </c>
      <c r="CD1200" s="167">
        <v>0</v>
      </c>
      <c r="CE1200" s="167">
        <v>0</v>
      </c>
      <c r="CF1200" s="167">
        <v>0</v>
      </c>
      <c r="CG1200" s="167">
        <v>0</v>
      </c>
      <c r="CH1200" s="167">
        <v>0</v>
      </c>
      <c r="CI1200" s="167">
        <v>0</v>
      </c>
      <c r="CJ1200" s="167">
        <v>0</v>
      </c>
      <c r="CK1200" s="167">
        <v>0</v>
      </c>
      <c r="CL1200" s="167">
        <v>0</v>
      </c>
      <c r="CM1200" s="167">
        <v>0</v>
      </c>
      <c r="CN1200" s="167">
        <v>0</v>
      </c>
      <c r="CO1200" s="167">
        <v>0</v>
      </c>
      <c r="CP1200" s="167">
        <v>0</v>
      </c>
      <c r="CQ1200" s="167">
        <v>0</v>
      </c>
      <c r="CR1200" s="167">
        <v>0</v>
      </c>
      <c r="CS1200" s="167">
        <v>0</v>
      </c>
      <c r="CT1200" s="167">
        <v>0</v>
      </c>
      <c r="CU1200" s="167">
        <v>0</v>
      </c>
      <c r="CV1200" s="167">
        <v>0</v>
      </c>
      <c r="CW1200" s="167">
        <v>0</v>
      </c>
      <c r="CX1200" s="167">
        <f>SUM(CD1200:CH1200)</f>
        <v>0</v>
      </c>
      <c r="CY1200" s="167">
        <f>SUM(CD1200:CM1200)</f>
        <v>0</v>
      </c>
    </row>
    <row r="1201" spans="1:103" ht="12.75" customHeight="1" x14ac:dyDescent="0.2">
      <c r="A1201" s="81">
        <v>2390</v>
      </c>
      <c r="B1201" s="165" t="s">
        <v>1955</v>
      </c>
      <c r="C1201" s="165" t="s">
        <v>2048</v>
      </c>
      <c r="D1201" s="165" t="s">
        <v>151</v>
      </c>
      <c r="E1201" s="165" t="s">
        <v>2049</v>
      </c>
      <c r="G1201" s="81">
        <v>525245</v>
      </c>
      <c r="H1201" s="81">
        <v>174192</v>
      </c>
      <c r="I1201" s="165" t="s">
        <v>258</v>
      </c>
      <c r="L1201" s="166">
        <v>0</v>
      </c>
      <c r="M1201" s="166">
        <v>1</v>
      </c>
      <c r="N1201" s="166">
        <v>1</v>
      </c>
      <c r="O1201" s="166">
        <v>1</v>
      </c>
      <c r="P1201" s="166">
        <v>1</v>
      </c>
      <c r="R1201" s="165" t="s">
        <v>2050</v>
      </c>
      <c r="S1201" s="81" t="s">
        <v>121</v>
      </c>
      <c r="T1201" s="349">
        <v>43063</v>
      </c>
      <c r="W1201" s="81" t="s">
        <v>114</v>
      </c>
      <c r="Y1201" s="81" t="s">
        <v>397</v>
      </c>
      <c r="Z1201" s="81" t="s">
        <v>116</v>
      </c>
      <c r="AA1201" s="81" t="s">
        <v>117</v>
      </c>
      <c r="AB1201" s="81" t="s">
        <v>218</v>
      </c>
      <c r="AC1201" s="166">
        <v>1.7000000923872001E-2</v>
      </c>
      <c r="AG1201" s="81" t="s">
        <v>238</v>
      </c>
      <c r="AH1201" s="81" t="s">
        <v>118</v>
      </c>
      <c r="AK1201" s="166">
        <v>0</v>
      </c>
      <c r="AM1201" s="166">
        <v>0</v>
      </c>
      <c r="AO1201" s="166">
        <v>0</v>
      </c>
      <c r="AP1201" s="166">
        <v>0</v>
      </c>
      <c r="AQ1201" s="166">
        <v>0</v>
      </c>
      <c r="AR1201" s="166">
        <v>0</v>
      </c>
      <c r="AS1201" s="166">
        <v>1</v>
      </c>
      <c r="AT1201" s="166">
        <v>0</v>
      </c>
      <c r="AU1201" s="166">
        <v>0</v>
      </c>
      <c r="AV1201" s="166">
        <v>0</v>
      </c>
      <c r="AW1201" s="166">
        <v>0</v>
      </c>
      <c r="AX1201" s="166">
        <v>0</v>
      </c>
      <c r="AY1201" s="166">
        <v>0</v>
      </c>
      <c r="AZ1201" s="166">
        <v>0</v>
      </c>
      <c r="BA1201" s="166">
        <v>0</v>
      </c>
      <c r="BB1201" s="166">
        <v>0</v>
      </c>
      <c r="BC1201" s="166">
        <v>0</v>
      </c>
      <c r="BD1201" s="166">
        <v>0</v>
      </c>
      <c r="BE1201" s="166">
        <v>0</v>
      </c>
      <c r="BF1201" s="166">
        <v>0</v>
      </c>
      <c r="BG1201" s="166">
        <v>1</v>
      </c>
      <c r="BH1201" s="166">
        <v>0</v>
      </c>
      <c r="BI1201" s="166">
        <v>0</v>
      </c>
      <c r="BJ1201" s="166">
        <v>0</v>
      </c>
      <c r="BK1201" s="166">
        <v>0</v>
      </c>
      <c r="BL1201" s="166">
        <v>0</v>
      </c>
      <c r="BM1201" s="166">
        <v>0</v>
      </c>
      <c r="BN1201" s="166">
        <v>0</v>
      </c>
      <c r="BO1201" s="166">
        <v>0</v>
      </c>
      <c r="BP1201" s="166">
        <v>0</v>
      </c>
      <c r="BQ1201" s="81" t="s">
        <v>1758</v>
      </c>
      <c r="BZ1201" s="81" t="s">
        <v>155</v>
      </c>
      <c r="CA1201" s="81">
        <v>6</v>
      </c>
      <c r="CC1201" s="167">
        <v>0</v>
      </c>
      <c r="CD1201" s="167">
        <v>0</v>
      </c>
      <c r="CE1201" s="167">
        <v>0</v>
      </c>
      <c r="CF1201" s="167">
        <v>0</v>
      </c>
      <c r="CG1201" s="167">
        <v>0</v>
      </c>
      <c r="CH1201" s="167">
        <f>$N1201/3</f>
        <v>0.33333333333333331</v>
      </c>
      <c r="CI1201" s="167">
        <f>$N1201/3</f>
        <v>0.33333333333333331</v>
      </c>
      <c r="CJ1201" s="167">
        <f>$N1201/3</f>
        <v>0.33333333333333331</v>
      </c>
      <c r="CK1201" s="167">
        <v>0</v>
      </c>
      <c r="CL1201" s="167">
        <v>0</v>
      </c>
      <c r="CM1201" s="167">
        <v>0</v>
      </c>
      <c r="CN1201" s="167">
        <v>0</v>
      </c>
      <c r="CO1201" s="167">
        <v>0</v>
      </c>
      <c r="CP1201" s="167">
        <v>0</v>
      </c>
      <c r="CQ1201" s="167">
        <v>0</v>
      </c>
      <c r="CR1201" s="167">
        <v>0</v>
      </c>
      <c r="CS1201" s="167">
        <v>0</v>
      </c>
      <c r="CT1201" s="167">
        <v>0</v>
      </c>
      <c r="CU1201" s="167">
        <v>0</v>
      </c>
      <c r="CV1201" s="167">
        <v>0</v>
      </c>
      <c r="CW1201" s="167">
        <v>0</v>
      </c>
      <c r="CX1201" s="167">
        <f>SUM(CD1201:CH1201)</f>
        <v>0.33333333333333331</v>
      </c>
      <c r="CY1201" s="167">
        <f>SUM(CD1201:CM1201)</f>
        <v>1</v>
      </c>
    </row>
    <row r="1202" spans="1:103" ht="12.75" customHeight="1" x14ac:dyDescent="0.2">
      <c r="A1202" s="81">
        <v>2504</v>
      </c>
      <c r="B1202" s="165" t="s">
        <v>1955</v>
      </c>
      <c r="C1202" s="165" t="s">
        <v>2051</v>
      </c>
      <c r="D1202" s="165" t="s">
        <v>2052</v>
      </c>
      <c r="E1202" s="165" t="s">
        <v>2053</v>
      </c>
      <c r="G1202" s="81">
        <v>524835</v>
      </c>
      <c r="H1202" s="81">
        <v>173907</v>
      </c>
      <c r="I1202" s="165" t="s">
        <v>250</v>
      </c>
      <c r="L1202" s="166">
        <v>0</v>
      </c>
      <c r="M1202" s="166">
        <v>1</v>
      </c>
      <c r="N1202" s="166">
        <v>1</v>
      </c>
      <c r="O1202" s="166">
        <v>1</v>
      </c>
      <c r="P1202" s="166">
        <v>1</v>
      </c>
      <c r="R1202" s="165" t="s">
        <v>2054</v>
      </c>
      <c r="S1202" s="81" t="s">
        <v>121</v>
      </c>
      <c r="T1202" s="349">
        <v>43075</v>
      </c>
      <c r="W1202" s="81" t="s">
        <v>114</v>
      </c>
      <c r="Y1202" s="81" t="s">
        <v>115</v>
      </c>
      <c r="Z1202" s="81" t="s">
        <v>116</v>
      </c>
      <c r="AA1202" s="81" t="s">
        <v>117</v>
      </c>
      <c r="AB1202" s="81" t="s">
        <v>218</v>
      </c>
      <c r="AC1202" s="166">
        <v>4.9999998882412902E-3</v>
      </c>
      <c r="AG1202" s="81" t="s">
        <v>238</v>
      </c>
      <c r="AH1202" s="81" t="s">
        <v>118</v>
      </c>
      <c r="AK1202" s="166">
        <v>0</v>
      </c>
      <c r="AM1202" s="166">
        <v>0</v>
      </c>
      <c r="AO1202" s="166">
        <v>0</v>
      </c>
      <c r="AP1202" s="166">
        <v>1</v>
      </c>
      <c r="AQ1202" s="166">
        <v>0</v>
      </c>
      <c r="AR1202" s="166">
        <v>0</v>
      </c>
      <c r="AS1202" s="166">
        <v>0</v>
      </c>
      <c r="AT1202" s="166">
        <v>0</v>
      </c>
      <c r="AU1202" s="166">
        <v>0</v>
      </c>
      <c r="AV1202" s="166">
        <v>0</v>
      </c>
      <c r="AW1202" s="166">
        <v>0</v>
      </c>
      <c r="AX1202" s="166">
        <v>0</v>
      </c>
      <c r="AY1202" s="166">
        <v>0</v>
      </c>
      <c r="AZ1202" s="166">
        <v>0</v>
      </c>
      <c r="BA1202" s="166">
        <v>0</v>
      </c>
      <c r="BB1202" s="166">
        <v>0</v>
      </c>
      <c r="BC1202" s="166">
        <v>0</v>
      </c>
      <c r="BD1202" s="166">
        <v>1</v>
      </c>
      <c r="BE1202" s="166">
        <v>0</v>
      </c>
      <c r="BF1202" s="166">
        <v>0</v>
      </c>
      <c r="BG1202" s="166">
        <v>0</v>
      </c>
      <c r="BH1202" s="166">
        <v>0</v>
      </c>
      <c r="BI1202" s="166">
        <v>0</v>
      </c>
      <c r="BJ1202" s="166">
        <v>0</v>
      </c>
      <c r="BK1202" s="166">
        <v>0</v>
      </c>
      <c r="BL1202" s="166">
        <v>0</v>
      </c>
      <c r="BM1202" s="166">
        <v>0</v>
      </c>
      <c r="BN1202" s="166">
        <v>0</v>
      </c>
      <c r="BO1202" s="166">
        <v>0</v>
      </c>
      <c r="BP1202" s="166">
        <v>0</v>
      </c>
      <c r="BQ1202" s="81" t="s">
        <v>1758</v>
      </c>
      <c r="BZ1202" s="81" t="s">
        <v>155</v>
      </c>
      <c r="CA1202" s="81">
        <v>6</v>
      </c>
      <c r="CC1202" s="167">
        <v>0</v>
      </c>
      <c r="CD1202" s="167">
        <v>0</v>
      </c>
      <c r="CE1202" s="167">
        <v>0</v>
      </c>
      <c r="CF1202" s="167">
        <v>0</v>
      </c>
      <c r="CG1202" s="167">
        <v>0</v>
      </c>
      <c r="CH1202" s="167">
        <f>$N1202/3</f>
        <v>0.33333333333333331</v>
      </c>
      <c r="CI1202" s="167">
        <f>$N1202/3</f>
        <v>0.33333333333333331</v>
      </c>
      <c r="CJ1202" s="167">
        <f>$N1202/3</f>
        <v>0.33333333333333331</v>
      </c>
      <c r="CK1202" s="167">
        <v>0</v>
      </c>
      <c r="CL1202" s="167">
        <v>0</v>
      </c>
      <c r="CM1202" s="167">
        <v>0</v>
      </c>
      <c r="CN1202" s="167">
        <v>0</v>
      </c>
      <c r="CO1202" s="167">
        <v>0</v>
      </c>
      <c r="CP1202" s="167">
        <v>0</v>
      </c>
      <c r="CQ1202" s="167">
        <v>0</v>
      </c>
      <c r="CR1202" s="167">
        <v>0</v>
      </c>
      <c r="CS1202" s="167">
        <v>0</v>
      </c>
      <c r="CT1202" s="167">
        <v>0</v>
      </c>
      <c r="CU1202" s="167">
        <v>0</v>
      </c>
      <c r="CV1202" s="167">
        <v>0</v>
      </c>
      <c r="CW1202" s="167">
        <v>0</v>
      </c>
      <c r="CX1202" s="167">
        <f>SUM(CD1202:CH1202)</f>
        <v>0.33333333333333331</v>
      </c>
      <c r="CY1202" s="167">
        <f>SUM(CD1202:CM1202)</f>
        <v>1</v>
      </c>
    </row>
    <row r="1203" spans="1:103" ht="12.75" customHeight="1" x14ac:dyDescent="0.2">
      <c r="A1203" s="81">
        <v>2589</v>
      </c>
      <c r="B1203" s="165" t="s">
        <v>1955</v>
      </c>
      <c r="C1203" s="165" t="s">
        <v>2055</v>
      </c>
      <c r="E1203" s="165" t="s">
        <v>2056</v>
      </c>
      <c r="G1203" s="81">
        <v>528730</v>
      </c>
      <c r="H1203" s="81">
        <v>176714</v>
      </c>
      <c r="I1203" s="165" t="s">
        <v>240</v>
      </c>
      <c r="L1203" s="166">
        <v>0</v>
      </c>
      <c r="M1203" s="166">
        <v>1</v>
      </c>
      <c r="N1203" s="166">
        <v>1</v>
      </c>
      <c r="O1203" s="166">
        <v>1</v>
      </c>
      <c r="P1203" s="166">
        <v>1</v>
      </c>
      <c r="R1203" s="165" t="s">
        <v>2057</v>
      </c>
      <c r="S1203" s="81" t="s">
        <v>121</v>
      </c>
      <c r="T1203" s="349">
        <v>43123</v>
      </c>
      <c r="W1203" s="81" t="s">
        <v>114</v>
      </c>
      <c r="Y1203" s="81" t="s">
        <v>115</v>
      </c>
      <c r="Z1203" s="81" t="s">
        <v>398</v>
      </c>
      <c r="AA1203" s="81" t="s">
        <v>117</v>
      </c>
      <c r="AB1203" s="81" t="s">
        <v>336</v>
      </c>
      <c r="AC1203" s="166">
        <v>8.0000003799796104E-3</v>
      </c>
      <c r="AG1203" s="81" t="s">
        <v>238</v>
      </c>
      <c r="AH1203" s="81" t="s">
        <v>118</v>
      </c>
      <c r="AK1203" s="166">
        <v>0</v>
      </c>
      <c r="AM1203" s="166">
        <v>0</v>
      </c>
      <c r="AO1203" s="166">
        <v>0</v>
      </c>
      <c r="AP1203" s="166">
        <v>0</v>
      </c>
      <c r="AQ1203" s="166">
        <v>0</v>
      </c>
      <c r="AR1203" s="166">
        <v>0</v>
      </c>
      <c r="AS1203" s="166">
        <v>1</v>
      </c>
      <c r="AT1203" s="166">
        <v>0</v>
      </c>
      <c r="AU1203" s="166">
        <v>0</v>
      </c>
      <c r="AV1203" s="166">
        <v>0</v>
      </c>
      <c r="AW1203" s="166">
        <v>0</v>
      </c>
      <c r="AX1203" s="166">
        <v>0</v>
      </c>
      <c r="AY1203" s="166">
        <v>0</v>
      </c>
      <c r="AZ1203" s="166">
        <v>0</v>
      </c>
      <c r="BA1203" s="166">
        <v>0</v>
      </c>
      <c r="BB1203" s="166">
        <v>0</v>
      </c>
      <c r="BC1203" s="166">
        <v>0</v>
      </c>
      <c r="BD1203" s="166">
        <v>0</v>
      </c>
      <c r="BE1203" s="166">
        <v>0</v>
      </c>
      <c r="BF1203" s="166">
        <v>0</v>
      </c>
      <c r="BG1203" s="166">
        <v>1</v>
      </c>
      <c r="BH1203" s="166">
        <v>0</v>
      </c>
      <c r="BI1203" s="166">
        <v>0</v>
      </c>
      <c r="BJ1203" s="166">
        <v>0</v>
      </c>
      <c r="BK1203" s="166">
        <v>0</v>
      </c>
      <c r="BL1203" s="166">
        <v>0</v>
      </c>
      <c r="BM1203" s="166">
        <v>0</v>
      </c>
      <c r="BN1203" s="166">
        <v>0</v>
      </c>
      <c r="BO1203" s="166">
        <v>0</v>
      </c>
      <c r="BP1203" s="166">
        <v>0</v>
      </c>
      <c r="BQ1203" s="81" t="s">
        <v>1757</v>
      </c>
      <c r="BZ1203" s="81" t="s">
        <v>155</v>
      </c>
      <c r="CA1203" s="81">
        <v>10</v>
      </c>
      <c r="CC1203" s="167">
        <v>0</v>
      </c>
      <c r="CD1203" s="167">
        <v>0</v>
      </c>
      <c r="CE1203" s="167">
        <v>0</v>
      </c>
      <c r="CF1203" s="167">
        <v>0</v>
      </c>
      <c r="CG1203" s="167">
        <v>0</v>
      </c>
      <c r="CH1203" s="167">
        <f>$N1203/3</f>
        <v>0.33333333333333331</v>
      </c>
      <c r="CI1203" s="167">
        <f>$N1203/3</f>
        <v>0.33333333333333331</v>
      </c>
      <c r="CJ1203" s="167">
        <f>$N1203/3</f>
        <v>0.33333333333333331</v>
      </c>
      <c r="CK1203" s="167">
        <v>0</v>
      </c>
      <c r="CL1203" s="167">
        <v>0</v>
      </c>
      <c r="CM1203" s="167">
        <v>0</v>
      </c>
      <c r="CN1203" s="167">
        <v>0</v>
      </c>
      <c r="CO1203" s="167">
        <v>0</v>
      </c>
      <c r="CP1203" s="167">
        <v>0</v>
      </c>
      <c r="CQ1203" s="167">
        <v>0</v>
      </c>
      <c r="CR1203" s="167">
        <v>0</v>
      </c>
      <c r="CS1203" s="167">
        <v>0</v>
      </c>
      <c r="CT1203" s="167">
        <v>0</v>
      </c>
      <c r="CU1203" s="167">
        <v>0</v>
      </c>
      <c r="CV1203" s="167">
        <v>0</v>
      </c>
      <c r="CW1203" s="167">
        <v>0</v>
      </c>
      <c r="CX1203" s="167">
        <f>SUM(CD1203:CH1203)</f>
        <v>0.33333333333333331</v>
      </c>
      <c r="CY1203" s="167">
        <f>SUM(CD1203:CM1203)</f>
        <v>1</v>
      </c>
    </row>
    <row r="1204" spans="1:103" ht="12.75" customHeight="1" x14ac:dyDescent="0.2">
      <c r="A1204" s="81">
        <v>2681</v>
      </c>
      <c r="B1204" s="165" t="s">
        <v>1955</v>
      </c>
      <c r="C1204" s="165" t="s">
        <v>2058</v>
      </c>
      <c r="E1204" s="165" t="s">
        <v>2059</v>
      </c>
      <c r="G1204" s="81">
        <v>526030</v>
      </c>
      <c r="H1204" s="81">
        <v>174684</v>
      </c>
      <c r="I1204" s="165" t="s">
        <v>251</v>
      </c>
      <c r="L1204" s="166">
        <v>0</v>
      </c>
      <c r="M1204" s="166">
        <v>1</v>
      </c>
      <c r="N1204" s="166">
        <v>1</v>
      </c>
      <c r="O1204" s="166">
        <v>1</v>
      </c>
      <c r="P1204" s="166">
        <v>1</v>
      </c>
      <c r="R1204" s="165" t="s">
        <v>2060</v>
      </c>
      <c r="S1204" s="81" t="s">
        <v>121</v>
      </c>
      <c r="T1204" s="349">
        <v>43119</v>
      </c>
      <c r="W1204" s="81" t="s">
        <v>114</v>
      </c>
      <c r="Y1204" s="81" t="s">
        <v>115</v>
      </c>
      <c r="Z1204" s="81" t="s">
        <v>310</v>
      </c>
      <c r="AA1204" s="81" t="s">
        <v>117</v>
      </c>
      <c r="AB1204" s="81" t="s">
        <v>102</v>
      </c>
      <c r="AC1204" s="166">
        <v>4.0000001899898104E-3</v>
      </c>
      <c r="AG1204" s="81" t="s">
        <v>238</v>
      </c>
      <c r="AH1204" s="81" t="s">
        <v>118</v>
      </c>
      <c r="AK1204" s="166">
        <v>0</v>
      </c>
      <c r="AM1204" s="166">
        <v>0</v>
      </c>
      <c r="AO1204" s="166">
        <v>0</v>
      </c>
      <c r="AP1204" s="166">
        <v>1</v>
      </c>
      <c r="AQ1204" s="166">
        <v>0</v>
      </c>
      <c r="AR1204" s="166">
        <v>0</v>
      </c>
      <c r="AS1204" s="166">
        <v>0</v>
      </c>
      <c r="AT1204" s="166">
        <v>0</v>
      </c>
      <c r="AU1204" s="166">
        <v>0</v>
      </c>
      <c r="AV1204" s="166">
        <v>0</v>
      </c>
      <c r="AW1204" s="166">
        <v>1</v>
      </c>
      <c r="AX1204" s="166">
        <v>0</v>
      </c>
      <c r="AY1204" s="166">
        <v>0</v>
      </c>
      <c r="AZ1204" s="166">
        <v>0</v>
      </c>
      <c r="BA1204" s="166">
        <v>0</v>
      </c>
      <c r="BB1204" s="166">
        <v>0</v>
      </c>
      <c r="BC1204" s="166">
        <v>0</v>
      </c>
      <c r="BD1204" s="166">
        <v>0</v>
      </c>
      <c r="BE1204" s="166">
        <v>0</v>
      </c>
      <c r="BF1204" s="166">
        <v>0</v>
      </c>
      <c r="BG1204" s="166">
        <v>0</v>
      </c>
      <c r="BH1204" s="166">
        <v>0</v>
      </c>
      <c r="BI1204" s="166">
        <v>0</v>
      </c>
      <c r="BJ1204" s="166">
        <v>0</v>
      </c>
      <c r="BK1204" s="166">
        <v>0</v>
      </c>
      <c r="BL1204" s="166">
        <v>0</v>
      </c>
      <c r="BM1204" s="166">
        <v>0</v>
      </c>
      <c r="BN1204" s="166">
        <v>0</v>
      </c>
      <c r="BO1204" s="166">
        <v>0</v>
      </c>
      <c r="BP1204" s="166">
        <v>0</v>
      </c>
      <c r="BQ1204" s="81" t="s">
        <v>1758</v>
      </c>
      <c r="BZ1204" s="81" t="s">
        <v>155</v>
      </c>
      <c r="CA1204" s="81">
        <v>10</v>
      </c>
      <c r="CC1204" s="167">
        <v>0</v>
      </c>
      <c r="CD1204" s="167">
        <v>0</v>
      </c>
      <c r="CE1204" s="167">
        <v>0</v>
      </c>
      <c r="CF1204" s="167">
        <v>0</v>
      </c>
      <c r="CG1204" s="167">
        <v>0</v>
      </c>
      <c r="CH1204" s="167">
        <f>$N1204/3</f>
        <v>0.33333333333333331</v>
      </c>
      <c r="CI1204" s="167">
        <f>$N1204/3</f>
        <v>0.33333333333333331</v>
      </c>
      <c r="CJ1204" s="167">
        <f>$N1204/3</f>
        <v>0.33333333333333331</v>
      </c>
      <c r="CK1204" s="167">
        <v>0</v>
      </c>
      <c r="CL1204" s="167">
        <v>0</v>
      </c>
      <c r="CM1204" s="167">
        <v>0</v>
      </c>
      <c r="CN1204" s="167">
        <v>0</v>
      </c>
      <c r="CO1204" s="167">
        <v>0</v>
      </c>
      <c r="CP1204" s="167">
        <v>0</v>
      </c>
      <c r="CQ1204" s="167">
        <v>0</v>
      </c>
      <c r="CR1204" s="167">
        <v>0</v>
      </c>
      <c r="CS1204" s="167">
        <v>0</v>
      </c>
      <c r="CT1204" s="167">
        <v>0</v>
      </c>
      <c r="CU1204" s="167">
        <v>0</v>
      </c>
      <c r="CV1204" s="167">
        <v>0</v>
      </c>
      <c r="CW1204" s="167">
        <v>0</v>
      </c>
      <c r="CX1204" s="167">
        <f>SUM(CD1204:CH1204)</f>
        <v>0.33333333333333331</v>
      </c>
      <c r="CY1204" s="167">
        <f>SUM(CD1204:CM1204)</f>
        <v>1</v>
      </c>
    </row>
    <row r="1205" spans="1:103" ht="12.75" customHeight="1" x14ac:dyDescent="0.2">
      <c r="A1205" s="81">
        <v>2708</v>
      </c>
      <c r="B1205" s="165" t="s">
        <v>1955</v>
      </c>
      <c r="C1205" s="165" t="s">
        <v>2061</v>
      </c>
      <c r="E1205" s="165" t="s">
        <v>2062</v>
      </c>
      <c r="G1205" s="81">
        <v>528946</v>
      </c>
      <c r="H1205" s="81">
        <v>172480</v>
      </c>
      <c r="I1205" s="165" t="s">
        <v>248</v>
      </c>
      <c r="L1205" s="166">
        <v>0</v>
      </c>
      <c r="M1205" s="166">
        <v>1</v>
      </c>
      <c r="N1205" s="166">
        <v>1</v>
      </c>
      <c r="O1205" s="166">
        <v>1</v>
      </c>
      <c r="P1205" s="166">
        <v>1</v>
      </c>
      <c r="R1205" s="165" t="s">
        <v>2063</v>
      </c>
      <c r="S1205" s="81" t="s">
        <v>121</v>
      </c>
      <c r="T1205" s="349">
        <v>43147</v>
      </c>
      <c r="W1205" s="81" t="s">
        <v>114</v>
      </c>
      <c r="Y1205" s="81" t="s">
        <v>115</v>
      </c>
      <c r="Z1205" s="81" t="s">
        <v>116</v>
      </c>
      <c r="AA1205" s="81" t="s">
        <v>117</v>
      </c>
      <c r="AB1205" s="81" t="s">
        <v>218</v>
      </c>
      <c r="AC1205" s="166">
        <v>8.9999996125698107E-3</v>
      </c>
      <c r="AG1205" s="81" t="s">
        <v>238</v>
      </c>
      <c r="AH1205" s="81" t="s">
        <v>118</v>
      </c>
      <c r="AK1205" s="166">
        <v>0</v>
      </c>
      <c r="AL1205" s="166">
        <v>1</v>
      </c>
      <c r="AM1205" s="166">
        <v>0</v>
      </c>
      <c r="AO1205" s="166">
        <v>0</v>
      </c>
      <c r="AP1205" s="166">
        <v>1</v>
      </c>
      <c r="AQ1205" s="166">
        <v>0</v>
      </c>
      <c r="AR1205" s="166">
        <v>0</v>
      </c>
      <c r="AS1205" s="166">
        <v>0</v>
      </c>
      <c r="AT1205" s="166">
        <v>0</v>
      </c>
      <c r="AU1205" s="166">
        <v>0</v>
      </c>
      <c r="AV1205" s="166">
        <v>0</v>
      </c>
      <c r="AW1205" s="166">
        <v>0</v>
      </c>
      <c r="AX1205" s="166">
        <v>0</v>
      </c>
      <c r="AY1205" s="166">
        <v>0</v>
      </c>
      <c r="AZ1205" s="166">
        <v>0</v>
      </c>
      <c r="BA1205" s="166">
        <v>0</v>
      </c>
      <c r="BB1205" s="166">
        <v>0</v>
      </c>
      <c r="BC1205" s="166">
        <v>0</v>
      </c>
      <c r="BD1205" s="166">
        <v>1</v>
      </c>
      <c r="BE1205" s="166">
        <v>0</v>
      </c>
      <c r="BF1205" s="166">
        <v>0</v>
      </c>
      <c r="BG1205" s="166">
        <v>0</v>
      </c>
      <c r="BH1205" s="166">
        <v>0</v>
      </c>
      <c r="BI1205" s="166">
        <v>0</v>
      </c>
      <c r="BJ1205" s="166">
        <v>0</v>
      </c>
      <c r="BK1205" s="166">
        <v>0</v>
      </c>
      <c r="BL1205" s="166">
        <v>0</v>
      </c>
      <c r="BM1205" s="166">
        <v>0</v>
      </c>
      <c r="BN1205" s="166">
        <v>0</v>
      </c>
      <c r="BO1205" s="166">
        <v>0</v>
      </c>
      <c r="BP1205" s="166">
        <v>0</v>
      </c>
      <c r="BQ1205" s="81" t="s">
        <v>1757</v>
      </c>
      <c r="BZ1205" s="81" t="s">
        <v>155</v>
      </c>
      <c r="CA1205" s="81">
        <v>6</v>
      </c>
      <c r="CC1205" s="167">
        <v>0</v>
      </c>
      <c r="CD1205" s="167">
        <v>0</v>
      </c>
      <c r="CE1205" s="167">
        <v>0</v>
      </c>
      <c r="CF1205" s="167">
        <v>0</v>
      </c>
      <c r="CG1205" s="167">
        <v>0</v>
      </c>
      <c r="CH1205" s="167">
        <f>$N1205/3</f>
        <v>0.33333333333333331</v>
      </c>
      <c r="CI1205" s="167">
        <f>$N1205/3</f>
        <v>0.33333333333333331</v>
      </c>
      <c r="CJ1205" s="167">
        <f>$N1205/3</f>
        <v>0.33333333333333331</v>
      </c>
      <c r="CK1205" s="167">
        <v>0</v>
      </c>
      <c r="CL1205" s="167">
        <v>0</v>
      </c>
      <c r="CM1205" s="167">
        <v>0</v>
      </c>
      <c r="CN1205" s="167">
        <v>0</v>
      </c>
      <c r="CO1205" s="167">
        <v>0</v>
      </c>
      <c r="CP1205" s="167">
        <v>0</v>
      </c>
      <c r="CQ1205" s="167">
        <v>0</v>
      </c>
      <c r="CR1205" s="167">
        <v>0</v>
      </c>
      <c r="CS1205" s="167">
        <v>0</v>
      </c>
      <c r="CT1205" s="167">
        <v>0</v>
      </c>
      <c r="CU1205" s="167">
        <v>0</v>
      </c>
      <c r="CV1205" s="167">
        <v>0</v>
      </c>
      <c r="CW1205" s="167">
        <v>0</v>
      </c>
      <c r="CX1205" s="167">
        <f>SUM(CD1205:CH1205)</f>
        <v>0.33333333333333331</v>
      </c>
      <c r="CY1205" s="167">
        <f>SUM(CD1205:CM1205)</f>
        <v>1</v>
      </c>
    </row>
    <row r="1206" spans="1:103" ht="12.75" customHeight="1" x14ac:dyDescent="0.2">
      <c r="A1206" s="81">
        <v>2946</v>
      </c>
      <c r="B1206" s="165" t="s">
        <v>1955</v>
      </c>
      <c r="C1206" s="165" t="s">
        <v>2064</v>
      </c>
      <c r="E1206" s="165" t="s">
        <v>2065</v>
      </c>
      <c r="G1206" s="81">
        <v>523254</v>
      </c>
      <c r="H1206" s="81">
        <v>176072</v>
      </c>
      <c r="I1206" s="165" t="s">
        <v>259</v>
      </c>
      <c r="L1206" s="166">
        <v>0</v>
      </c>
      <c r="M1206" s="166">
        <v>2</v>
      </c>
      <c r="N1206" s="166">
        <v>2</v>
      </c>
      <c r="O1206" s="166">
        <v>2</v>
      </c>
      <c r="P1206" s="166">
        <v>2</v>
      </c>
      <c r="R1206" s="165" t="s">
        <v>2066</v>
      </c>
      <c r="S1206" s="81" t="s">
        <v>121</v>
      </c>
      <c r="T1206" s="349">
        <v>43076</v>
      </c>
      <c r="W1206" s="81" t="s">
        <v>114</v>
      </c>
      <c r="Y1206" s="81" t="s">
        <v>115</v>
      </c>
      <c r="Z1206" s="81" t="s">
        <v>116</v>
      </c>
      <c r="AA1206" s="81" t="s">
        <v>117</v>
      </c>
      <c r="AB1206" s="81" t="s">
        <v>218</v>
      </c>
      <c r="AC1206" s="166">
        <v>2.0999999716877899E-2</v>
      </c>
      <c r="AG1206" s="81" t="s">
        <v>238</v>
      </c>
      <c r="AH1206" s="81" t="s">
        <v>118</v>
      </c>
      <c r="AK1206" s="166">
        <v>0</v>
      </c>
      <c r="AM1206" s="166">
        <v>0</v>
      </c>
      <c r="AO1206" s="166">
        <v>0</v>
      </c>
      <c r="AP1206" s="166">
        <v>0</v>
      </c>
      <c r="AQ1206" s="166">
        <v>0</v>
      </c>
      <c r="AR1206" s="166">
        <v>0</v>
      </c>
      <c r="AS1206" s="166">
        <v>2</v>
      </c>
      <c r="AT1206" s="166">
        <v>0</v>
      </c>
      <c r="AU1206" s="166">
        <v>0</v>
      </c>
      <c r="AV1206" s="166">
        <v>0</v>
      </c>
      <c r="AW1206" s="166">
        <v>0</v>
      </c>
      <c r="AX1206" s="166">
        <v>0</v>
      </c>
      <c r="AY1206" s="166">
        <v>0</v>
      </c>
      <c r="AZ1206" s="166">
        <v>0</v>
      </c>
      <c r="BA1206" s="166">
        <v>0</v>
      </c>
      <c r="BB1206" s="166">
        <v>0</v>
      </c>
      <c r="BC1206" s="166">
        <v>0</v>
      </c>
      <c r="BD1206" s="166">
        <v>0</v>
      </c>
      <c r="BE1206" s="166">
        <v>0</v>
      </c>
      <c r="BF1206" s="166">
        <v>0</v>
      </c>
      <c r="BG1206" s="166">
        <v>2</v>
      </c>
      <c r="BH1206" s="166">
        <v>0</v>
      </c>
      <c r="BI1206" s="166">
        <v>0</v>
      </c>
      <c r="BJ1206" s="166">
        <v>0</v>
      </c>
      <c r="BK1206" s="166">
        <v>0</v>
      </c>
      <c r="BL1206" s="166">
        <v>0</v>
      </c>
      <c r="BM1206" s="166">
        <v>0</v>
      </c>
      <c r="BN1206" s="166">
        <v>0</v>
      </c>
      <c r="BO1206" s="166">
        <v>0</v>
      </c>
      <c r="BP1206" s="166">
        <v>0</v>
      </c>
      <c r="BQ1206" s="81" t="s">
        <v>1758</v>
      </c>
      <c r="BZ1206" s="81" t="s">
        <v>155</v>
      </c>
      <c r="CA1206" s="81">
        <v>6</v>
      </c>
      <c r="CC1206" s="167">
        <v>0</v>
      </c>
      <c r="CD1206" s="167">
        <v>0</v>
      </c>
      <c r="CE1206" s="167">
        <v>0</v>
      </c>
      <c r="CF1206" s="167">
        <v>0</v>
      </c>
      <c r="CG1206" s="167">
        <v>0</v>
      </c>
      <c r="CH1206" s="167">
        <f>$N1206/3</f>
        <v>0.66666666666666663</v>
      </c>
      <c r="CI1206" s="167">
        <f>$N1206/3</f>
        <v>0.66666666666666663</v>
      </c>
      <c r="CJ1206" s="167">
        <f>$N1206/3</f>
        <v>0.66666666666666663</v>
      </c>
      <c r="CK1206" s="167">
        <v>0</v>
      </c>
      <c r="CL1206" s="167">
        <v>0</v>
      </c>
      <c r="CM1206" s="167">
        <v>0</v>
      </c>
      <c r="CN1206" s="167">
        <v>0</v>
      </c>
      <c r="CO1206" s="167">
        <v>0</v>
      </c>
      <c r="CP1206" s="167">
        <v>0</v>
      </c>
      <c r="CQ1206" s="167">
        <v>0</v>
      </c>
      <c r="CR1206" s="167">
        <v>0</v>
      </c>
      <c r="CS1206" s="167">
        <v>0</v>
      </c>
      <c r="CT1206" s="167">
        <v>0</v>
      </c>
      <c r="CU1206" s="167">
        <v>0</v>
      </c>
      <c r="CV1206" s="167">
        <v>0</v>
      </c>
      <c r="CW1206" s="167">
        <v>0</v>
      </c>
      <c r="CX1206" s="167">
        <f>SUM(CD1206:CH1206)</f>
        <v>0.66666666666666663</v>
      </c>
      <c r="CY1206" s="167">
        <f>SUM(CD1206:CM1206)</f>
        <v>2</v>
      </c>
    </row>
    <row r="1207" spans="1:103" ht="12.75" customHeight="1" x14ac:dyDescent="0.2">
      <c r="A1207" s="81">
        <v>3090</v>
      </c>
      <c r="B1207" s="165" t="s">
        <v>1955</v>
      </c>
      <c r="C1207" s="165" t="s">
        <v>1649</v>
      </c>
      <c r="E1207" s="165" t="s">
        <v>2067</v>
      </c>
      <c r="G1207" s="81">
        <v>525209</v>
      </c>
      <c r="H1207" s="81">
        <v>173685</v>
      </c>
      <c r="I1207" s="165" t="s">
        <v>258</v>
      </c>
      <c r="L1207" s="166">
        <v>0</v>
      </c>
      <c r="M1207" s="166">
        <v>1</v>
      </c>
      <c r="N1207" s="166">
        <v>1</v>
      </c>
      <c r="O1207" s="166">
        <v>1</v>
      </c>
      <c r="P1207" s="166">
        <v>1</v>
      </c>
      <c r="R1207" s="165" t="s">
        <v>1650</v>
      </c>
      <c r="S1207" s="81" t="s">
        <v>296</v>
      </c>
      <c r="T1207" s="349">
        <v>42796</v>
      </c>
      <c r="U1207" s="349">
        <v>42894</v>
      </c>
      <c r="V1207" s="81" t="s">
        <v>155</v>
      </c>
      <c r="W1207" s="81" t="s">
        <v>365</v>
      </c>
      <c r="Y1207" s="81" t="s">
        <v>115</v>
      </c>
      <c r="Z1207" s="81" t="s">
        <v>219</v>
      </c>
      <c r="AA1207" s="81" t="s">
        <v>117</v>
      </c>
      <c r="AB1207" s="81" t="s">
        <v>3889</v>
      </c>
      <c r="AC1207" s="166">
        <v>4.0000001899898104E-3</v>
      </c>
      <c r="AG1207" s="81" t="s">
        <v>238</v>
      </c>
      <c r="AH1207" s="81" t="s">
        <v>118</v>
      </c>
      <c r="AK1207" s="166">
        <v>0</v>
      </c>
      <c r="AM1207" s="166">
        <v>0</v>
      </c>
      <c r="AO1207" s="166">
        <v>0</v>
      </c>
      <c r="AP1207" s="166">
        <v>1</v>
      </c>
      <c r="AQ1207" s="166">
        <v>0</v>
      </c>
      <c r="AR1207" s="166">
        <v>0</v>
      </c>
      <c r="AS1207" s="166">
        <v>0</v>
      </c>
      <c r="AT1207" s="166">
        <v>0</v>
      </c>
      <c r="AU1207" s="166">
        <v>0</v>
      </c>
      <c r="AV1207" s="166">
        <v>0</v>
      </c>
      <c r="AW1207" s="166">
        <v>1</v>
      </c>
      <c r="AX1207" s="166">
        <v>0</v>
      </c>
      <c r="AY1207" s="166">
        <v>0</v>
      </c>
      <c r="AZ1207" s="166">
        <v>0</v>
      </c>
      <c r="BA1207" s="166">
        <v>0</v>
      </c>
      <c r="BB1207" s="166">
        <v>0</v>
      </c>
      <c r="BC1207" s="166">
        <v>0</v>
      </c>
      <c r="BD1207" s="166">
        <v>0</v>
      </c>
      <c r="BE1207" s="166">
        <v>0</v>
      </c>
      <c r="BF1207" s="166">
        <v>0</v>
      </c>
      <c r="BG1207" s="166">
        <v>0</v>
      </c>
      <c r="BH1207" s="166">
        <v>0</v>
      </c>
      <c r="BI1207" s="166">
        <v>0</v>
      </c>
      <c r="BJ1207" s="166">
        <v>0</v>
      </c>
      <c r="BK1207" s="166">
        <v>0</v>
      </c>
      <c r="BL1207" s="166">
        <v>0</v>
      </c>
      <c r="BM1207" s="166">
        <v>0</v>
      </c>
      <c r="BN1207" s="166">
        <v>0</v>
      </c>
      <c r="BO1207" s="166">
        <v>0</v>
      </c>
      <c r="BP1207" s="166">
        <v>0</v>
      </c>
      <c r="BQ1207" s="81" t="s">
        <v>1758</v>
      </c>
      <c r="BZ1207" s="81" t="s">
        <v>155</v>
      </c>
      <c r="CA1207" s="81">
        <v>10</v>
      </c>
      <c r="CC1207" s="167">
        <v>0</v>
      </c>
      <c r="CD1207" s="167">
        <v>0</v>
      </c>
      <c r="CE1207" s="167">
        <v>0</v>
      </c>
      <c r="CF1207" s="167">
        <v>0</v>
      </c>
      <c r="CG1207" s="167">
        <v>0</v>
      </c>
      <c r="CH1207" s="167">
        <f>$N1207/3</f>
        <v>0.33333333333333331</v>
      </c>
      <c r="CI1207" s="167">
        <f>$N1207/3</f>
        <v>0.33333333333333331</v>
      </c>
      <c r="CJ1207" s="167">
        <f>$N1207/3</f>
        <v>0.33333333333333331</v>
      </c>
      <c r="CK1207" s="167">
        <v>0</v>
      </c>
      <c r="CL1207" s="167">
        <v>0</v>
      </c>
      <c r="CM1207" s="167">
        <v>0</v>
      </c>
      <c r="CN1207" s="167">
        <v>0</v>
      </c>
      <c r="CO1207" s="167">
        <v>0</v>
      </c>
      <c r="CP1207" s="167">
        <v>0</v>
      </c>
      <c r="CQ1207" s="167">
        <v>0</v>
      </c>
      <c r="CR1207" s="167">
        <v>0</v>
      </c>
      <c r="CS1207" s="167">
        <v>0</v>
      </c>
      <c r="CT1207" s="167">
        <v>0</v>
      </c>
      <c r="CU1207" s="167">
        <v>0</v>
      </c>
      <c r="CV1207" s="167">
        <v>0</v>
      </c>
      <c r="CW1207" s="167">
        <v>0</v>
      </c>
      <c r="CX1207" s="167">
        <f>SUM(CD1207:CH1207)</f>
        <v>0.33333333333333331</v>
      </c>
      <c r="CY1207" s="167">
        <f>SUM(CD1207:CM1207)</f>
        <v>1</v>
      </c>
    </row>
    <row r="1208" spans="1:103" ht="12.75" customHeight="1" x14ac:dyDescent="0.2">
      <c r="A1208" s="81">
        <v>3344</v>
      </c>
      <c r="B1208" s="165" t="s">
        <v>1955</v>
      </c>
      <c r="C1208" s="165" t="s">
        <v>2068</v>
      </c>
      <c r="E1208" s="165" t="s">
        <v>2069</v>
      </c>
      <c r="G1208" s="81">
        <v>527574</v>
      </c>
      <c r="H1208" s="81">
        <v>171313</v>
      </c>
      <c r="I1208" s="165" t="s">
        <v>253</v>
      </c>
      <c r="L1208" s="166">
        <v>1</v>
      </c>
      <c r="M1208" s="166">
        <v>4</v>
      </c>
      <c r="N1208" s="166">
        <v>3</v>
      </c>
      <c r="O1208" s="166">
        <v>4</v>
      </c>
      <c r="P1208" s="166">
        <v>3</v>
      </c>
      <c r="R1208" s="165" t="s">
        <v>2070</v>
      </c>
      <c r="S1208" s="81" t="s">
        <v>121</v>
      </c>
      <c r="T1208" s="349">
        <v>43186</v>
      </c>
      <c r="W1208" s="81" t="s">
        <v>114</v>
      </c>
      <c r="Y1208" s="81" t="s">
        <v>115</v>
      </c>
      <c r="Z1208" s="81" t="s">
        <v>398</v>
      </c>
      <c r="AA1208" s="81" t="s">
        <v>117</v>
      </c>
      <c r="AB1208" s="81" t="s">
        <v>220</v>
      </c>
      <c r="AC1208" s="166">
        <v>0</v>
      </c>
      <c r="AG1208" s="81" t="s">
        <v>238</v>
      </c>
      <c r="AH1208" s="81" t="s">
        <v>118</v>
      </c>
      <c r="AK1208" s="166">
        <v>0</v>
      </c>
      <c r="AM1208" s="166">
        <v>0</v>
      </c>
      <c r="AO1208" s="166">
        <v>0</v>
      </c>
      <c r="AP1208" s="166">
        <v>4</v>
      </c>
      <c r="AQ1208" s="166">
        <v>0</v>
      </c>
      <c r="AR1208" s="166">
        <v>0</v>
      </c>
      <c r="AS1208" s="166">
        <v>-1</v>
      </c>
      <c r="AT1208" s="166">
        <v>0</v>
      </c>
      <c r="AU1208" s="166">
        <v>0</v>
      </c>
      <c r="AV1208" s="166">
        <v>0</v>
      </c>
      <c r="AW1208" s="166">
        <v>4</v>
      </c>
      <c r="AX1208" s="166">
        <v>0</v>
      </c>
      <c r="AY1208" s="166">
        <v>0</v>
      </c>
      <c r="AZ1208" s="166">
        <v>-1</v>
      </c>
      <c r="BA1208" s="166">
        <v>0</v>
      </c>
      <c r="BB1208" s="166">
        <v>0</v>
      </c>
      <c r="BC1208" s="166">
        <v>0</v>
      </c>
      <c r="BD1208" s="166">
        <v>0</v>
      </c>
      <c r="BE1208" s="166">
        <v>0</v>
      </c>
      <c r="BF1208" s="166">
        <v>0</v>
      </c>
      <c r="BG1208" s="166">
        <v>0</v>
      </c>
      <c r="BH1208" s="166">
        <v>0</v>
      </c>
      <c r="BI1208" s="166">
        <v>0</v>
      </c>
      <c r="BJ1208" s="166">
        <v>0</v>
      </c>
      <c r="BK1208" s="166">
        <v>0</v>
      </c>
      <c r="BL1208" s="166">
        <v>0</v>
      </c>
      <c r="BM1208" s="166">
        <v>0</v>
      </c>
      <c r="BN1208" s="166">
        <v>0</v>
      </c>
      <c r="BO1208" s="166">
        <v>0</v>
      </c>
      <c r="BP1208" s="166">
        <v>0</v>
      </c>
      <c r="BQ1208" s="81" t="s">
        <v>1757</v>
      </c>
      <c r="BR1208" s="81" t="s">
        <v>242</v>
      </c>
      <c r="BZ1208" s="81" t="s">
        <v>155</v>
      </c>
      <c r="CA1208" s="81">
        <v>10</v>
      </c>
      <c r="CC1208" s="167">
        <v>0</v>
      </c>
      <c r="CD1208" s="167">
        <v>0</v>
      </c>
      <c r="CE1208" s="167">
        <v>0</v>
      </c>
      <c r="CF1208" s="167">
        <v>0</v>
      </c>
      <c r="CG1208" s="167">
        <v>0</v>
      </c>
      <c r="CH1208" s="167">
        <f>$N1208/3</f>
        <v>1</v>
      </c>
      <c r="CI1208" s="167">
        <f>$N1208/3</f>
        <v>1</v>
      </c>
      <c r="CJ1208" s="167">
        <f>$N1208/3</f>
        <v>1</v>
      </c>
      <c r="CK1208" s="167">
        <v>0</v>
      </c>
      <c r="CL1208" s="167">
        <v>0</v>
      </c>
      <c r="CM1208" s="167">
        <v>0</v>
      </c>
      <c r="CN1208" s="167">
        <v>0</v>
      </c>
      <c r="CO1208" s="167">
        <v>0</v>
      </c>
      <c r="CP1208" s="167">
        <v>0</v>
      </c>
      <c r="CQ1208" s="167">
        <v>0</v>
      </c>
      <c r="CR1208" s="167">
        <v>0</v>
      </c>
      <c r="CS1208" s="167">
        <v>0</v>
      </c>
      <c r="CT1208" s="167">
        <v>0</v>
      </c>
      <c r="CU1208" s="167">
        <v>0</v>
      </c>
      <c r="CV1208" s="167">
        <v>0</v>
      </c>
      <c r="CW1208" s="167">
        <v>0</v>
      </c>
      <c r="CX1208" s="167">
        <f>SUM(CD1208:CH1208)</f>
        <v>1</v>
      </c>
      <c r="CY1208" s="167">
        <f>SUM(CD1208:CM1208)</f>
        <v>3</v>
      </c>
    </row>
    <row r="1209" spans="1:103" ht="12.75" customHeight="1" x14ac:dyDescent="0.2">
      <c r="A1209" s="81">
        <v>3568</v>
      </c>
      <c r="B1209" s="165" t="s">
        <v>1955</v>
      </c>
      <c r="C1209" s="165" t="s">
        <v>2071</v>
      </c>
      <c r="E1209" s="165" t="s">
        <v>2072</v>
      </c>
      <c r="G1209" s="81">
        <v>521152</v>
      </c>
      <c r="H1209" s="81">
        <v>174359</v>
      </c>
      <c r="I1209" s="165" t="s">
        <v>877</v>
      </c>
      <c r="L1209" s="166">
        <v>0</v>
      </c>
      <c r="M1209" s="166">
        <v>1</v>
      </c>
      <c r="N1209" s="166">
        <v>1</v>
      </c>
      <c r="O1209" s="166">
        <v>1</v>
      </c>
      <c r="P1209" s="166">
        <v>1</v>
      </c>
      <c r="R1209" s="165" t="s">
        <v>2073</v>
      </c>
      <c r="S1209" s="81" t="s">
        <v>121</v>
      </c>
      <c r="T1209" s="349">
        <v>43153</v>
      </c>
      <c r="W1209" s="81" t="s">
        <v>114</v>
      </c>
      <c r="Y1209" s="81" t="s">
        <v>115</v>
      </c>
      <c r="Z1209" s="81" t="s">
        <v>116</v>
      </c>
      <c r="AA1209" s="81" t="s">
        <v>117</v>
      </c>
      <c r="AB1209" s="81" t="s">
        <v>218</v>
      </c>
      <c r="AC1209" s="166">
        <v>6.3000001013279003E-2</v>
      </c>
      <c r="AG1209" s="81" t="s">
        <v>238</v>
      </c>
      <c r="AH1209" s="81" t="s">
        <v>118</v>
      </c>
      <c r="AK1209" s="166">
        <v>0</v>
      </c>
      <c r="AL1209" s="166">
        <v>1</v>
      </c>
      <c r="AM1209" s="166">
        <v>0</v>
      </c>
      <c r="AO1209" s="166">
        <v>0</v>
      </c>
      <c r="AP1209" s="166">
        <v>0</v>
      </c>
      <c r="AQ1209" s="166">
        <v>0</v>
      </c>
      <c r="AR1209" s="166">
        <v>0</v>
      </c>
      <c r="AS1209" s="166">
        <v>0</v>
      </c>
      <c r="AT1209" s="166">
        <v>1</v>
      </c>
      <c r="AU1209" s="166">
        <v>0</v>
      </c>
      <c r="AV1209" s="166">
        <v>0</v>
      </c>
      <c r="AW1209" s="166">
        <v>0</v>
      </c>
      <c r="AX1209" s="166">
        <v>0</v>
      </c>
      <c r="AY1209" s="166">
        <v>0</v>
      </c>
      <c r="AZ1209" s="166">
        <v>0</v>
      </c>
      <c r="BA1209" s="166">
        <v>0</v>
      </c>
      <c r="BB1209" s="166">
        <v>0</v>
      </c>
      <c r="BC1209" s="166">
        <v>0</v>
      </c>
      <c r="BD1209" s="166">
        <v>0</v>
      </c>
      <c r="BE1209" s="166">
        <v>0</v>
      </c>
      <c r="BF1209" s="166">
        <v>0</v>
      </c>
      <c r="BG1209" s="166">
        <v>0</v>
      </c>
      <c r="BH1209" s="166">
        <v>1</v>
      </c>
      <c r="BI1209" s="166">
        <v>0</v>
      </c>
      <c r="BJ1209" s="166">
        <v>0</v>
      </c>
      <c r="BK1209" s="166">
        <v>0</v>
      </c>
      <c r="BL1209" s="166">
        <v>0</v>
      </c>
      <c r="BM1209" s="166">
        <v>0</v>
      </c>
      <c r="BN1209" s="166">
        <v>0</v>
      </c>
      <c r="BO1209" s="166">
        <v>0</v>
      </c>
      <c r="BP1209" s="166">
        <v>0</v>
      </c>
      <c r="BQ1209" s="81" t="s">
        <v>1758</v>
      </c>
      <c r="BZ1209" s="81" t="s">
        <v>3991</v>
      </c>
      <c r="CA1209" s="81">
        <v>15</v>
      </c>
      <c r="CB1209" s="165" t="s">
        <v>3997</v>
      </c>
      <c r="CC1209" s="167">
        <v>0</v>
      </c>
      <c r="CD1209" s="167">
        <v>0</v>
      </c>
      <c r="CE1209" s="167">
        <v>0</v>
      </c>
      <c r="CF1209" s="167">
        <v>0</v>
      </c>
      <c r="CG1209" s="167">
        <v>0</v>
      </c>
      <c r="CH1209" s="167">
        <v>0</v>
      </c>
      <c r="CI1209" s="167">
        <v>0</v>
      </c>
      <c r="CJ1209" s="167">
        <v>0</v>
      </c>
      <c r="CK1209" s="167">
        <v>0</v>
      </c>
      <c r="CL1209" s="167">
        <v>0</v>
      </c>
      <c r="CM1209" s="167">
        <v>0</v>
      </c>
      <c r="CN1209" s="167">
        <v>0</v>
      </c>
      <c r="CO1209" s="167">
        <v>0</v>
      </c>
      <c r="CP1209" s="167">
        <v>0</v>
      </c>
      <c r="CQ1209" s="167">
        <v>0</v>
      </c>
      <c r="CR1209" s="167">
        <v>0</v>
      </c>
      <c r="CS1209" s="167">
        <v>0</v>
      </c>
      <c r="CT1209" s="167">
        <v>0</v>
      </c>
      <c r="CU1209" s="167">
        <v>0</v>
      </c>
      <c r="CV1209" s="167">
        <v>0</v>
      </c>
      <c r="CW1209" s="167">
        <v>0</v>
      </c>
      <c r="CX1209" s="167">
        <f>SUM(CD1209:CH1209)</f>
        <v>0</v>
      </c>
      <c r="CY1209" s="167">
        <f>SUM(CD1209:CM1209)</f>
        <v>0</v>
      </c>
    </row>
    <row r="1210" spans="1:103" ht="12.75" customHeight="1" x14ac:dyDescent="0.2">
      <c r="A1210" s="81">
        <v>3588</v>
      </c>
      <c r="B1210" s="165" t="s">
        <v>1955</v>
      </c>
      <c r="C1210" s="165" t="s">
        <v>2074</v>
      </c>
      <c r="E1210" s="165" t="s">
        <v>2075</v>
      </c>
      <c r="G1210" s="81">
        <v>528283</v>
      </c>
      <c r="H1210" s="81">
        <v>175682</v>
      </c>
      <c r="I1210" s="165" t="s">
        <v>256</v>
      </c>
      <c r="L1210" s="166">
        <v>1</v>
      </c>
      <c r="M1210" s="166">
        <v>9</v>
      </c>
      <c r="N1210" s="166">
        <v>8</v>
      </c>
      <c r="O1210" s="166">
        <v>9</v>
      </c>
      <c r="P1210" s="166">
        <v>8</v>
      </c>
      <c r="R1210" s="165" t="s">
        <v>2076</v>
      </c>
      <c r="S1210" s="81" t="s">
        <v>121</v>
      </c>
      <c r="T1210" s="349">
        <v>43070</v>
      </c>
      <c r="W1210" s="81" t="s">
        <v>114</v>
      </c>
      <c r="Y1210" s="81" t="s">
        <v>115</v>
      </c>
      <c r="Z1210" s="81" t="s">
        <v>398</v>
      </c>
      <c r="AA1210" s="81" t="s">
        <v>117</v>
      </c>
      <c r="AB1210" s="81" t="s">
        <v>220</v>
      </c>
      <c r="AC1210" s="166">
        <v>1.4999999664723899E-2</v>
      </c>
      <c r="AG1210" s="81" t="s">
        <v>238</v>
      </c>
      <c r="AH1210" s="81" t="s">
        <v>118</v>
      </c>
      <c r="AK1210" s="166">
        <v>0</v>
      </c>
      <c r="AM1210" s="166">
        <v>0</v>
      </c>
      <c r="AO1210" s="166">
        <v>9</v>
      </c>
      <c r="AP1210" s="166">
        <v>0</v>
      </c>
      <c r="AQ1210" s="166">
        <v>0</v>
      </c>
      <c r="AR1210" s="166">
        <v>0</v>
      </c>
      <c r="AS1210" s="166">
        <v>-1</v>
      </c>
      <c r="AT1210" s="166">
        <v>0</v>
      </c>
      <c r="AU1210" s="166">
        <v>0</v>
      </c>
      <c r="AV1210" s="166">
        <v>9</v>
      </c>
      <c r="AW1210" s="166">
        <v>0</v>
      </c>
      <c r="AX1210" s="166">
        <v>0</v>
      </c>
      <c r="AY1210" s="166">
        <v>0</v>
      </c>
      <c r="AZ1210" s="166">
        <v>-1</v>
      </c>
      <c r="BA1210" s="166">
        <v>0</v>
      </c>
      <c r="BB1210" s="166">
        <v>0</v>
      </c>
      <c r="BC1210" s="166">
        <v>0</v>
      </c>
      <c r="BD1210" s="166">
        <v>0</v>
      </c>
      <c r="BE1210" s="166">
        <v>0</v>
      </c>
      <c r="BF1210" s="166">
        <v>0</v>
      </c>
      <c r="BG1210" s="166">
        <v>0</v>
      </c>
      <c r="BH1210" s="166">
        <v>0</v>
      </c>
      <c r="BI1210" s="166">
        <v>0</v>
      </c>
      <c r="BJ1210" s="166">
        <v>0</v>
      </c>
      <c r="BK1210" s="166">
        <v>0</v>
      </c>
      <c r="BL1210" s="166">
        <v>0</v>
      </c>
      <c r="BM1210" s="166">
        <v>0</v>
      </c>
      <c r="BN1210" s="166">
        <v>0</v>
      </c>
      <c r="BO1210" s="166">
        <v>0</v>
      </c>
      <c r="BP1210" s="166">
        <v>0</v>
      </c>
      <c r="BQ1210" s="81" t="s">
        <v>1757</v>
      </c>
      <c r="BZ1210" s="81" t="s">
        <v>155</v>
      </c>
      <c r="CA1210" s="81">
        <v>10</v>
      </c>
      <c r="CC1210" s="167">
        <v>0</v>
      </c>
      <c r="CD1210" s="167">
        <v>0</v>
      </c>
      <c r="CE1210" s="167">
        <v>0</v>
      </c>
      <c r="CF1210" s="167">
        <v>0</v>
      </c>
      <c r="CG1210" s="167">
        <v>0</v>
      </c>
      <c r="CH1210" s="167">
        <f>$N1210/3</f>
        <v>2.6666666666666665</v>
      </c>
      <c r="CI1210" s="167">
        <f>$N1210/3</f>
        <v>2.6666666666666665</v>
      </c>
      <c r="CJ1210" s="167">
        <f>$N1210/3</f>
        <v>2.6666666666666665</v>
      </c>
      <c r="CK1210" s="167">
        <v>0</v>
      </c>
      <c r="CL1210" s="167">
        <v>0</v>
      </c>
      <c r="CM1210" s="167">
        <v>0</v>
      </c>
      <c r="CN1210" s="167">
        <v>0</v>
      </c>
      <c r="CO1210" s="167">
        <v>0</v>
      </c>
      <c r="CP1210" s="167">
        <v>0</v>
      </c>
      <c r="CQ1210" s="167">
        <v>0</v>
      </c>
      <c r="CR1210" s="167">
        <v>0</v>
      </c>
      <c r="CS1210" s="167">
        <v>0</v>
      </c>
      <c r="CT1210" s="167">
        <v>0</v>
      </c>
      <c r="CU1210" s="167">
        <v>0</v>
      </c>
      <c r="CV1210" s="167">
        <v>0</v>
      </c>
      <c r="CW1210" s="167">
        <v>0</v>
      </c>
      <c r="CX1210" s="167">
        <f>SUM(CD1210:CH1210)</f>
        <v>2.6666666666666665</v>
      </c>
      <c r="CY1210" s="167">
        <f>SUM(CD1210:CM1210)</f>
        <v>8</v>
      </c>
    </row>
    <row r="1211" spans="1:103" ht="12.75" customHeight="1" x14ac:dyDescent="0.2">
      <c r="A1211" s="81">
        <v>3745</v>
      </c>
      <c r="B1211" s="165" t="s">
        <v>1955</v>
      </c>
      <c r="C1211" s="165" t="s">
        <v>3002</v>
      </c>
      <c r="D1211" s="165" t="s">
        <v>439</v>
      </c>
      <c r="E1211" s="165" t="s">
        <v>3003</v>
      </c>
      <c r="F1211" s="165" t="s">
        <v>2468</v>
      </c>
      <c r="G1211" s="81">
        <v>529291</v>
      </c>
      <c r="H1211" s="81">
        <v>171210</v>
      </c>
      <c r="I1211" s="165" t="s">
        <v>252</v>
      </c>
      <c r="L1211" s="166">
        <v>0</v>
      </c>
      <c r="M1211" s="166">
        <v>6</v>
      </c>
      <c r="N1211" s="166">
        <v>6</v>
      </c>
      <c r="O1211" s="166">
        <v>22</v>
      </c>
      <c r="P1211" s="166">
        <v>22</v>
      </c>
      <c r="Q1211" s="81" t="s">
        <v>155</v>
      </c>
      <c r="R1211" s="165" t="s">
        <v>3004</v>
      </c>
      <c r="S1211" s="81" t="s">
        <v>121</v>
      </c>
      <c r="T1211" s="349">
        <v>43164</v>
      </c>
      <c r="W1211" s="81" t="s">
        <v>114</v>
      </c>
      <c r="Y1211" s="81" t="s">
        <v>115</v>
      </c>
      <c r="Z1211" s="81" t="s">
        <v>116</v>
      </c>
      <c r="AA1211" s="81" t="s">
        <v>116</v>
      </c>
      <c r="AB1211" s="81" t="s">
        <v>117</v>
      </c>
      <c r="AC1211" s="166">
        <v>4.80000004172325E-2</v>
      </c>
      <c r="AG1211" s="81" t="s">
        <v>238</v>
      </c>
      <c r="AH1211" s="81" t="s">
        <v>118</v>
      </c>
      <c r="AK1211" s="166">
        <v>0</v>
      </c>
      <c r="AM1211" s="166">
        <v>0</v>
      </c>
      <c r="AO1211" s="166">
        <v>0</v>
      </c>
      <c r="AP1211" s="166">
        <v>3</v>
      </c>
      <c r="AQ1211" s="166">
        <v>3</v>
      </c>
      <c r="AR1211" s="166">
        <v>0</v>
      </c>
      <c r="AS1211" s="166">
        <v>0</v>
      </c>
      <c r="AT1211" s="166">
        <v>0</v>
      </c>
      <c r="AU1211" s="166">
        <v>0</v>
      </c>
      <c r="AV1211" s="166">
        <v>0</v>
      </c>
      <c r="AW1211" s="166">
        <v>3</v>
      </c>
      <c r="AX1211" s="166">
        <v>3</v>
      </c>
      <c r="AY1211" s="166">
        <v>0</v>
      </c>
      <c r="AZ1211" s="166">
        <v>0</v>
      </c>
      <c r="BA1211" s="166">
        <v>0</v>
      </c>
      <c r="BB1211" s="166">
        <v>0</v>
      </c>
      <c r="BC1211" s="166">
        <v>0</v>
      </c>
      <c r="BD1211" s="166">
        <v>0</v>
      </c>
      <c r="BE1211" s="166">
        <v>0</v>
      </c>
      <c r="BF1211" s="166">
        <v>0</v>
      </c>
      <c r="BG1211" s="166">
        <v>0</v>
      </c>
      <c r="BH1211" s="166">
        <v>0</v>
      </c>
      <c r="BI1211" s="166">
        <v>0</v>
      </c>
      <c r="BJ1211" s="166">
        <v>0</v>
      </c>
      <c r="BK1211" s="166">
        <v>0</v>
      </c>
      <c r="BL1211" s="166">
        <v>0</v>
      </c>
      <c r="BM1211" s="166">
        <v>0</v>
      </c>
      <c r="BN1211" s="166">
        <v>0</v>
      </c>
      <c r="BO1211" s="166">
        <v>0</v>
      </c>
      <c r="BP1211" s="166">
        <v>0</v>
      </c>
      <c r="BQ1211" s="81" t="s">
        <v>1757</v>
      </c>
      <c r="BZ1211" s="81" t="s">
        <v>3991</v>
      </c>
      <c r="CA1211" s="81">
        <v>15</v>
      </c>
      <c r="CB1211" s="165" t="s">
        <v>3998</v>
      </c>
      <c r="CC1211" s="167">
        <v>0</v>
      </c>
      <c r="CD1211" s="167">
        <v>0</v>
      </c>
      <c r="CE1211" s="167">
        <v>0</v>
      </c>
      <c r="CF1211" s="167">
        <v>0</v>
      </c>
      <c r="CG1211" s="167">
        <v>0</v>
      </c>
      <c r="CH1211" s="167">
        <v>0</v>
      </c>
      <c r="CI1211" s="167">
        <v>0</v>
      </c>
      <c r="CJ1211" s="167">
        <v>0</v>
      </c>
      <c r="CK1211" s="167">
        <v>0</v>
      </c>
      <c r="CL1211" s="167">
        <v>0</v>
      </c>
      <c r="CM1211" s="167">
        <v>0</v>
      </c>
      <c r="CN1211" s="167">
        <v>0</v>
      </c>
      <c r="CO1211" s="167">
        <v>0</v>
      </c>
      <c r="CP1211" s="167">
        <v>0</v>
      </c>
      <c r="CQ1211" s="167">
        <v>0</v>
      </c>
      <c r="CR1211" s="167">
        <v>0</v>
      </c>
      <c r="CS1211" s="167">
        <v>0</v>
      </c>
      <c r="CT1211" s="167">
        <v>0</v>
      </c>
      <c r="CU1211" s="167">
        <v>0</v>
      </c>
      <c r="CV1211" s="167">
        <v>0</v>
      </c>
      <c r="CW1211" s="167">
        <v>0</v>
      </c>
      <c r="CX1211" s="167">
        <f>SUM(CD1211:CH1211)</f>
        <v>0</v>
      </c>
      <c r="CY1211" s="167">
        <f>SUM(CD1211:CM1211)</f>
        <v>0</v>
      </c>
    </row>
    <row r="1212" spans="1:103" ht="12.75" customHeight="1" x14ac:dyDescent="0.2">
      <c r="A1212" s="81">
        <v>3745</v>
      </c>
      <c r="B1212" s="165" t="s">
        <v>1955</v>
      </c>
      <c r="C1212" s="165" t="s">
        <v>3002</v>
      </c>
      <c r="D1212" s="165" t="s">
        <v>439</v>
      </c>
      <c r="E1212" s="165" t="s">
        <v>3003</v>
      </c>
      <c r="F1212" s="165" t="s">
        <v>2470</v>
      </c>
      <c r="G1212" s="81">
        <v>529291</v>
      </c>
      <c r="H1212" s="81">
        <v>171210</v>
      </c>
      <c r="I1212" s="165" t="s">
        <v>252</v>
      </c>
      <c r="L1212" s="166">
        <v>0</v>
      </c>
      <c r="M1212" s="166">
        <v>6</v>
      </c>
      <c r="N1212" s="166">
        <v>6</v>
      </c>
      <c r="O1212" s="166">
        <v>22</v>
      </c>
      <c r="P1212" s="166">
        <v>22</v>
      </c>
      <c r="Q1212" s="81" t="s">
        <v>155</v>
      </c>
      <c r="R1212" s="165" t="s">
        <v>3004</v>
      </c>
      <c r="S1212" s="81" t="s">
        <v>121</v>
      </c>
      <c r="T1212" s="349">
        <v>43164</v>
      </c>
      <c r="W1212" s="81" t="s">
        <v>114</v>
      </c>
      <c r="Y1212" s="81" t="s">
        <v>115</v>
      </c>
      <c r="Z1212" s="81" t="s">
        <v>116</v>
      </c>
      <c r="AA1212" s="81" t="s">
        <v>116</v>
      </c>
      <c r="AB1212" s="81" t="s">
        <v>117</v>
      </c>
      <c r="AC1212" s="166">
        <v>7.1999996900558499E-2</v>
      </c>
      <c r="AG1212" s="81" t="s">
        <v>238</v>
      </c>
      <c r="AH1212" s="81" t="s">
        <v>118</v>
      </c>
      <c r="AK1212" s="166">
        <v>0</v>
      </c>
      <c r="AM1212" s="166">
        <v>0</v>
      </c>
      <c r="AO1212" s="166">
        <v>0</v>
      </c>
      <c r="AP1212" s="166">
        <v>0</v>
      </c>
      <c r="AQ1212" s="166">
        <v>0</v>
      </c>
      <c r="AR1212" s="166">
        <v>6</v>
      </c>
      <c r="AS1212" s="166">
        <v>0</v>
      </c>
      <c r="AT1212" s="166">
        <v>0</v>
      </c>
      <c r="AU1212" s="166">
        <v>0</v>
      </c>
      <c r="AV1212" s="166">
        <v>0</v>
      </c>
      <c r="AW1212" s="166">
        <v>0</v>
      </c>
      <c r="AX1212" s="166">
        <v>0</v>
      </c>
      <c r="AY1212" s="166">
        <v>0</v>
      </c>
      <c r="AZ1212" s="166">
        <v>0</v>
      </c>
      <c r="BA1212" s="166">
        <v>0</v>
      </c>
      <c r="BB1212" s="166">
        <v>0</v>
      </c>
      <c r="BC1212" s="166">
        <v>0</v>
      </c>
      <c r="BD1212" s="166">
        <v>0</v>
      </c>
      <c r="BE1212" s="166">
        <v>0</v>
      </c>
      <c r="BF1212" s="166">
        <v>6</v>
      </c>
      <c r="BG1212" s="166">
        <v>0</v>
      </c>
      <c r="BH1212" s="166">
        <v>0</v>
      </c>
      <c r="BI1212" s="166">
        <v>0</v>
      </c>
      <c r="BJ1212" s="166">
        <v>0</v>
      </c>
      <c r="BK1212" s="166">
        <v>0</v>
      </c>
      <c r="BL1212" s="166">
        <v>0</v>
      </c>
      <c r="BM1212" s="166">
        <v>0</v>
      </c>
      <c r="BN1212" s="166">
        <v>0</v>
      </c>
      <c r="BO1212" s="166">
        <v>0</v>
      </c>
      <c r="BP1212" s="166">
        <v>0</v>
      </c>
      <c r="BQ1212" s="81" t="s">
        <v>1757</v>
      </c>
      <c r="BZ1212" s="81" t="s">
        <v>3991</v>
      </c>
      <c r="CA1212" s="81">
        <v>15</v>
      </c>
      <c r="CB1212" s="165" t="s">
        <v>3998</v>
      </c>
      <c r="CC1212" s="167">
        <v>0</v>
      </c>
      <c r="CD1212" s="167">
        <v>0</v>
      </c>
      <c r="CE1212" s="167">
        <v>0</v>
      </c>
      <c r="CF1212" s="167">
        <v>0</v>
      </c>
      <c r="CG1212" s="167">
        <v>0</v>
      </c>
      <c r="CH1212" s="167">
        <v>0</v>
      </c>
      <c r="CI1212" s="167">
        <v>0</v>
      </c>
      <c r="CJ1212" s="167">
        <v>0</v>
      </c>
      <c r="CK1212" s="167">
        <v>0</v>
      </c>
      <c r="CL1212" s="167">
        <v>0</v>
      </c>
      <c r="CM1212" s="167">
        <v>0</v>
      </c>
      <c r="CN1212" s="167">
        <v>0</v>
      </c>
      <c r="CO1212" s="167">
        <v>0</v>
      </c>
      <c r="CP1212" s="167">
        <v>0</v>
      </c>
      <c r="CQ1212" s="167">
        <v>0</v>
      </c>
      <c r="CR1212" s="167">
        <v>0</v>
      </c>
      <c r="CS1212" s="167">
        <v>0</v>
      </c>
      <c r="CT1212" s="167">
        <v>0</v>
      </c>
      <c r="CU1212" s="167">
        <v>0</v>
      </c>
      <c r="CV1212" s="167">
        <v>0</v>
      </c>
      <c r="CW1212" s="167">
        <v>0</v>
      </c>
      <c r="CX1212" s="167">
        <f>SUM(CD1212:CH1212)</f>
        <v>0</v>
      </c>
      <c r="CY1212" s="167">
        <f>SUM(CD1212:CM1212)</f>
        <v>0</v>
      </c>
    </row>
    <row r="1213" spans="1:103" ht="12.75" customHeight="1" x14ac:dyDescent="0.2">
      <c r="A1213" s="81">
        <v>3745</v>
      </c>
      <c r="B1213" s="165" t="s">
        <v>1955</v>
      </c>
      <c r="C1213" s="165" t="s">
        <v>3002</v>
      </c>
      <c r="D1213" s="165" t="s">
        <v>439</v>
      </c>
      <c r="E1213" s="165" t="s">
        <v>3003</v>
      </c>
      <c r="F1213" s="165" t="s">
        <v>3001</v>
      </c>
      <c r="G1213" s="81">
        <v>529291</v>
      </c>
      <c r="H1213" s="81">
        <v>171210</v>
      </c>
      <c r="I1213" s="165" t="s">
        <v>252</v>
      </c>
      <c r="L1213" s="166">
        <v>0</v>
      </c>
      <c r="M1213" s="166">
        <v>10</v>
      </c>
      <c r="N1213" s="166">
        <v>10</v>
      </c>
      <c r="O1213" s="166">
        <v>22</v>
      </c>
      <c r="P1213" s="166">
        <v>22</v>
      </c>
      <c r="Q1213" s="81" t="s">
        <v>155</v>
      </c>
      <c r="R1213" s="165" t="s">
        <v>3004</v>
      </c>
      <c r="S1213" s="81" t="s">
        <v>121</v>
      </c>
      <c r="T1213" s="349">
        <v>43164</v>
      </c>
      <c r="W1213" s="81" t="s">
        <v>114</v>
      </c>
      <c r="Y1213" s="81" t="s">
        <v>115</v>
      </c>
      <c r="Z1213" s="81" t="s">
        <v>116</v>
      </c>
      <c r="AA1213" s="81" t="s">
        <v>116</v>
      </c>
      <c r="AB1213" s="81" t="s">
        <v>117</v>
      </c>
      <c r="AC1213" s="166">
        <v>7.8000001609325395E-2</v>
      </c>
      <c r="AG1213" s="81" t="s">
        <v>238</v>
      </c>
      <c r="AH1213" s="81" t="s">
        <v>118</v>
      </c>
      <c r="AK1213" s="166">
        <v>0</v>
      </c>
      <c r="AM1213" s="166">
        <v>0</v>
      </c>
      <c r="AO1213" s="166">
        <v>0</v>
      </c>
      <c r="AP1213" s="166">
        <v>4</v>
      </c>
      <c r="AQ1213" s="166">
        <v>6</v>
      </c>
      <c r="AR1213" s="166">
        <v>0</v>
      </c>
      <c r="AS1213" s="166">
        <v>0</v>
      </c>
      <c r="AT1213" s="166">
        <v>0</v>
      </c>
      <c r="AU1213" s="166">
        <v>0</v>
      </c>
      <c r="AV1213" s="166">
        <v>0</v>
      </c>
      <c r="AW1213" s="166">
        <v>4</v>
      </c>
      <c r="AX1213" s="166">
        <v>6</v>
      </c>
      <c r="AY1213" s="166">
        <v>0</v>
      </c>
      <c r="AZ1213" s="166">
        <v>0</v>
      </c>
      <c r="BA1213" s="166">
        <v>0</v>
      </c>
      <c r="BB1213" s="166">
        <v>0</v>
      </c>
      <c r="BC1213" s="166">
        <v>0</v>
      </c>
      <c r="BD1213" s="166">
        <v>0</v>
      </c>
      <c r="BE1213" s="166">
        <v>0</v>
      </c>
      <c r="BF1213" s="166">
        <v>0</v>
      </c>
      <c r="BG1213" s="166">
        <v>0</v>
      </c>
      <c r="BH1213" s="166">
        <v>0</v>
      </c>
      <c r="BI1213" s="166">
        <v>0</v>
      </c>
      <c r="BJ1213" s="166">
        <v>0</v>
      </c>
      <c r="BK1213" s="166">
        <v>0</v>
      </c>
      <c r="BL1213" s="166">
        <v>0</v>
      </c>
      <c r="BM1213" s="166">
        <v>0</v>
      </c>
      <c r="BN1213" s="166">
        <v>0</v>
      </c>
      <c r="BO1213" s="166">
        <v>0</v>
      </c>
      <c r="BP1213" s="166">
        <v>0</v>
      </c>
      <c r="BQ1213" s="81" t="s">
        <v>1757</v>
      </c>
      <c r="BZ1213" s="81" t="s">
        <v>3991</v>
      </c>
      <c r="CA1213" s="81">
        <v>15</v>
      </c>
      <c r="CB1213" s="165" t="s">
        <v>3998</v>
      </c>
      <c r="CC1213" s="167">
        <v>0</v>
      </c>
      <c r="CD1213" s="167">
        <v>0</v>
      </c>
      <c r="CE1213" s="167">
        <v>0</v>
      </c>
      <c r="CF1213" s="167">
        <v>0</v>
      </c>
      <c r="CG1213" s="167">
        <v>0</v>
      </c>
      <c r="CH1213" s="167">
        <v>0</v>
      </c>
      <c r="CI1213" s="167">
        <v>0</v>
      </c>
      <c r="CJ1213" s="167">
        <v>0</v>
      </c>
      <c r="CK1213" s="167">
        <v>0</v>
      </c>
      <c r="CL1213" s="167">
        <v>0</v>
      </c>
      <c r="CM1213" s="167">
        <v>0</v>
      </c>
      <c r="CN1213" s="167">
        <v>0</v>
      </c>
      <c r="CO1213" s="167">
        <v>0</v>
      </c>
      <c r="CP1213" s="167">
        <v>0</v>
      </c>
      <c r="CQ1213" s="167">
        <v>0</v>
      </c>
      <c r="CR1213" s="167">
        <v>0</v>
      </c>
      <c r="CS1213" s="167">
        <v>0</v>
      </c>
      <c r="CT1213" s="167">
        <v>0</v>
      </c>
      <c r="CU1213" s="167">
        <v>0</v>
      </c>
      <c r="CV1213" s="167">
        <v>0</v>
      </c>
      <c r="CW1213" s="167">
        <v>0</v>
      </c>
      <c r="CX1213" s="167">
        <f>SUM(CD1213:CH1213)</f>
        <v>0</v>
      </c>
      <c r="CY1213" s="167">
        <f>SUM(CD1213:CM1213)</f>
        <v>0</v>
      </c>
    </row>
    <row r="1214" spans="1:103" ht="12.75" customHeight="1" x14ac:dyDescent="0.2">
      <c r="A1214" s="81">
        <v>3837</v>
      </c>
      <c r="B1214" s="165" t="s">
        <v>1955</v>
      </c>
      <c r="C1214" s="165" t="s">
        <v>2077</v>
      </c>
      <c r="E1214" s="165" t="s">
        <v>2078</v>
      </c>
      <c r="G1214" s="81">
        <v>525943</v>
      </c>
      <c r="H1214" s="81">
        <v>173455</v>
      </c>
      <c r="I1214" s="165" t="s">
        <v>249</v>
      </c>
      <c r="L1214" s="166">
        <v>1</v>
      </c>
      <c r="M1214" s="166">
        <v>1</v>
      </c>
      <c r="N1214" s="166">
        <v>0</v>
      </c>
      <c r="O1214" s="166">
        <v>1</v>
      </c>
      <c r="P1214" s="166">
        <v>0</v>
      </c>
      <c r="R1214" s="165" t="s">
        <v>2079</v>
      </c>
      <c r="S1214" s="81" t="s">
        <v>121</v>
      </c>
      <c r="T1214" s="349">
        <v>43116</v>
      </c>
      <c r="W1214" s="81" t="s">
        <v>114</v>
      </c>
      <c r="Y1214" s="81" t="s">
        <v>115</v>
      </c>
      <c r="Z1214" s="81" t="s">
        <v>398</v>
      </c>
      <c r="AA1214" s="81" t="s">
        <v>117</v>
      </c>
      <c r="AB1214" s="81" t="s">
        <v>220</v>
      </c>
      <c r="AC1214" s="166">
        <v>4.9999998882412902E-3</v>
      </c>
      <c r="AG1214" s="81" t="s">
        <v>238</v>
      </c>
      <c r="AH1214" s="81" t="s">
        <v>118</v>
      </c>
      <c r="AK1214" s="166">
        <v>0</v>
      </c>
      <c r="AM1214" s="166">
        <v>0</v>
      </c>
      <c r="AO1214" s="166">
        <v>0</v>
      </c>
      <c r="AP1214" s="166">
        <v>1</v>
      </c>
      <c r="AQ1214" s="166">
        <v>0</v>
      </c>
      <c r="AR1214" s="166">
        <v>-1</v>
      </c>
      <c r="AS1214" s="166">
        <v>0</v>
      </c>
      <c r="AT1214" s="166">
        <v>0</v>
      </c>
      <c r="AU1214" s="166">
        <v>0</v>
      </c>
      <c r="AV1214" s="166">
        <v>0</v>
      </c>
      <c r="AW1214" s="166">
        <v>1</v>
      </c>
      <c r="AX1214" s="166">
        <v>0</v>
      </c>
      <c r="AY1214" s="166">
        <v>-1</v>
      </c>
      <c r="AZ1214" s="166">
        <v>0</v>
      </c>
      <c r="BA1214" s="166">
        <v>0</v>
      </c>
      <c r="BB1214" s="166">
        <v>0</v>
      </c>
      <c r="BC1214" s="166">
        <v>0</v>
      </c>
      <c r="BD1214" s="166">
        <v>0</v>
      </c>
      <c r="BE1214" s="166">
        <v>0</v>
      </c>
      <c r="BF1214" s="166">
        <v>0</v>
      </c>
      <c r="BG1214" s="166">
        <v>0</v>
      </c>
      <c r="BH1214" s="166">
        <v>0</v>
      </c>
      <c r="BI1214" s="166">
        <v>0</v>
      </c>
      <c r="BJ1214" s="166">
        <v>0</v>
      </c>
      <c r="BK1214" s="166">
        <v>0</v>
      </c>
      <c r="BL1214" s="166">
        <v>0</v>
      </c>
      <c r="BM1214" s="166">
        <v>0</v>
      </c>
      <c r="BN1214" s="166">
        <v>0</v>
      </c>
      <c r="BO1214" s="166">
        <v>0</v>
      </c>
      <c r="BP1214" s="166">
        <v>0</v>
      </c>
      <c r="BQ1214" s="81" t="s">
        <v>1758</v>
      </c>
      <c r="BZ1214" s="81" t="s">
        <v>155</v>
      </c>
      <c r="CA1214" s="81">
        <v>10</v>
      </c>
      <c r="CC1214" s="167">
        <v>0</v>
      </c>
      <c r="CD1214" s="167">
        <v>0</v>
      </c>
      <c r="CE1214" s="167">
        <v>0</v>
      </c>
      <c r="CF1214" s="167">
        <v>0</v>
      </c>
      <c r="CG1214" s="167">
        <v>0</v>
      </c>
      <c r="CH1214" s="167">
        <f>$N1214/3</f>
        <v>0</v>
      </c>
      <c r="CI1214" s="167">
        <f>$N1214/3</f>
        <v>0</v>
      </c>
      <c r="CJ1214" s="167">
        <f>$N1214/3</f>
        <v>0</v>
      </c>
      <c r="CK1214" s="167">
        <v>0</v>
      </c>
      <c r="CL1214" s="167">
        <v>0</v>
      </c>
      <c r="CM1214" s="167">
        <v>0</v>
      </c>
      <c r="CN1214" s="167">
        <v>0</v>
      </c>
      <c r="CO1214" s="167">
        <v>0</v>
      </c>
      <c r="CP1214" s="167">
        <v>0</v>
      </c>
      <c r="CQ1214" s="167">
        <v>0</v>
      </c>
      <c r="CR1214" s="167">
        <v>0</v>
      </c>
      <c r="CS1214" s="167">
        <v>0</v>
      </c>
      <c r="CT1214" s="167">
        <v>0</v>
      </c>
      <c r="CU1214" s="167">
        <v>0</v>
      </c>
      <c r="CV1214" s="167">
        <v>0</v>
      </c>
      <c r="CW1214" s="167">
        <v>0</v>
      </c>
      <c r="CX1214" s="167">
        <f>SUM(CD1214:CH1214)</f>
        <v>0</v>
      </c>
      <c r="CY1214" s="167">
        <f>SUM(CD1214:CM1214)</f>
        <v>0</v>
      </c>
    </row>
    <row r="1215" spans="1:103" ht="12.75" customHeight="1" x14ac:dyDescent="0.2">
      <c r="A1215" s="81">
        <v>3961</v>
      </c>
      <c r="B1215" s="165" t="s">
        <v>1955</v>
      </c>
      <c r="C1215" s="165" t="s">
        <v>3021</v>
      </c>
      <c r="E1215" s="165" t="s">
        <v>3022</v>
      </c>
      <c r="G1215" s="81">
        <v>527645</v>
      </c>
      <c r="H1215" s="81">
        <v>171873</v>
      </c>
      <c r="I1215" s="165" t="s">
        <v>242</v>
      </c>
      <c r="L1215" s="166">
        <v>0</v>
      </c>
      <c r="M1215" s="166">
        <v>31</v>
      </c>
      <c r="N1215" s="166">
        <v>31</v>
      </c>
      <c r="O1215" s="166">
        <v>47</v>
      </c>
      <c r="P1215" s="166">
        <v>47</v>
      </c>
      <c r="Q1215" s="81" t="s">
        <v>155</v>
      </c>
      <c r="R1215" s="165" t="s">
        <v>3023</v>
      </c>
      <c r="S1215" s="81" t="s">
        <v>121</v>
      </c>
      <c r="T1215" s="349">
        <v>42971</v>
      </c>
      <c r="W1215" s="81" t="s">
        <v>114</v>
      </c>
      <c r="Y1215" s="81" t="s">
        <v>115</v>
      </c>
      <c r="Z1215" s="81" t="s">
        <v>116</v>
      </c>
      <c r="AA1215" s="81" t="s">
        <v>116</v>
      </c>
      <c r="AB1215" s="81" t="s">
        <v>117</v>
      </c>
      <c r="AC1215" s="166">
        <v>0.31999999284744302</v>
      </c>
      <c r="AG1215" s="81" t="s">
        <v>238</v>
      </c>
      <c r="AH1215" s="81" t="s">
        <v>118</v>
      </c>
      <c r="AI1215" s="81" t="s">
        <v>3024</v>
      </c>
      <c r="AK1215" s="166">
        <v>0</v>
      </c>
      <c r="AM1215" s="166">
        <v>0</v>
      </c>
      <c r="AO1215" s="166">
        <v>0</v>
      </c>
      <c r="AP1215" s="166">
        <v>17</v>
      </c>
      <c r="AQ1215" s="166">
        <v>13</v>
      </c>
      <c r="AR1215" s="166">
        <v>1</v>
      </c>
      <c r="AS1215" s="166">
        <v>0</v>
      </c>
      <c r="AT1215" s="166">
        <v>0</v>
      </c>
      <c r="AU1215" s="166">
        <v>0</v>
      </c>
      <c r="AV1215" s="166">
        <v>0</v>
      </c>
      <c r="AW1215" s="166">
        <v>17</v>
      </c>
      <c r="AX1215" s="166">
        <v>13</v>
      </c>
      <c r="AY1215" s="166">
        <v>1</v>
      </c>
      <c r="AZ1215" s="166">
        <v>0</v>
      </c>
      <c r="BA1215" s="166">
        <v>0</v>
      </c>
      <c r="BB1215" s="166">
        <v>0</v>
      </c>
      <c r="BC1215" s="166">
        <v>0</v>
      </c>
      <c r="BD1215" s="166">
        <v>0</v>
      </c>
      <c r="BE1215" s="166">
        <v>0</v>
      </c>
      <c r="BF1215" s="166">
        <v>0</v>
      </c>
      <c r="BG1215" s="166">
        <v>0</v>
      </c>
      <c r="BH1215" s="166">
        <v>0</v>
      </c>
      <c r="BI1215" s="166">
        <v>0</v>
      </c>
      <c r="BJ1215" s="166">
        <v>0</v>
      </c>
      <c r="BK1215" s="166">
        <v>0</v>
      </c>
      <c r="BL1215" s="166">
        <v>0</v>
      </c>
      <c r="BM1215" s="166">
        <v>0</v>
      </c>
      <c r="BN1215" s="166">
        <v>0</v>
      </c>
      <c r="BO1215" s="166">
        <v>0</v>
      </c>
      <c r="BP1215" s="166">
        <v>0</v>
      </c>
      <c r="BQ1215" s="81" t="s">
        <v>1757</v>
      </c>
      <c r="BR1215" s="81" t="s">
        <v>242</v>
      </c>
      <c r="BZ1215" s="81" t="s">
        <v>155</v>
      </c>
      <c r="CA1215" s="81">
        <v>6</v>
      </c>
      <c r="CC1215" s="167">
        <v>0</v>
      </c>
      <c r="CD1215" s="167">
        <v>0</v>
      </c>
      <c r="CE1215" s="167">
        <v>0</v>
      </c>
      <c r="CF1215" s="167">
        <v>0</v>
      </c>
      <c r="CG1215" s="167">
        <v>0</v>
      </c>
      <c r="CH1215" s="167">
        <f>$N1215/3</f>
        <v>10.333333333333334</v>
      </c>
      <c r="CI1215" s="167">
        <f>$N1215/3</f>
        <v>10.333333333333334</v>
      </c>
      <c r="CJ1215" s="167">
        <f>$N1215/3</f>
        <v>10.333333333333334</v>
      </c>
      <c r="CK1215" s="167">
        <v>0</v>
      </c>
      <c r="CL1215" s="167">
        <v>0</v>
      </c>
      <c r="CM1215" s="167">
        <v>0</v>
      </c>
      <c r="CN1215" s="167">
        <v>0</v>
      </c>
      <c r="CO1215" s="167">
        <v>0</v>
      </c>
      <c r="CP1215" s="167">
        <v>0</v>
      </c>
      <c r="CQ1215" s="167">
        <v>0</v>
      </c>
      <c r="CR1215" s="167">
        <v>0</v>
      </c>
      <c r="CS1215" s="167">
        <v>0</v>
      </c>
      <c r="CT1215" s="167">
        <v>0</v>
      </c>
      <c r="CU1215" s="167">
        <v>0</v>
      </c>
      <c r="CV1215" s="167">
        <v>0</v>
      </c>
      <c r="CW1215" s="167">
        <v>0</v>
      </c>
      <c r="CX1215" s="167">
        <f>SUM(CD1215:CH1215)</f>
        <v>10.333333333333334</v>
      </c>
      <c r="CY1215" s="167">
        <f>SUM(CD1215:CM1215)</f>
        <v>31</v>
      </c>
    </row>
    <row r="1216" spans="1:103" ht="12.75" customHeight="1" x14ac:dyDescent="0.2">
      <c r="A1216" s="81">
        <v>3961</v>
      </c>
      <c r="B1216" s="165" t="s">
        <v>1955</v>
      </c>
      <c r="C1216" s="165" t="s">
        <v>3021</v>
      </c>
      <c r="E1216" s="165" t="s">
        <v>3022</v>
      </c>
      <c r="G1216" s="81">
        <v>527645</v>
      </c>
      <c r="H1216" s="81">
        <v>171873</v>
      </c>
      <c r="I1216" s="165" t="s">
        <v>242</v>
      </c>
      <c r="L1216" s="166">
        <v>0</v>
      </c>
      <c r="M1216" s="166">
        <v>9</v>
      </c>
      <c r="N1216" s="166">
        <v>9</v>
      </c>
      <c r="O1216" s="166">
        <v>47</v>
      </c>
      <c r="P1216" s="166">
        <v>47</v>
      </c>
      <c r="Q1216" s="81" t="s">
        <v>155</v>
      </c>
      <c r="R1216" s="165" t="s">
        <v>3023</v>
      </c>
      <c r="S1216" s="81" t="s">
        <v>121</v>
      </c>
      <c r="T1216" s="349">
        <v>42971</v>
      </c>
      <c r="W1216" s="81" t="s">
        <v>114</v>
      </c>
      <c r="Y1216" s="81" t="s">
        <v>115</v>
      </c>
      <c r="Z1216" s="81" t="s">
        <v>116</v>
      </c>
      <c r="AA1216" s="81" t="s">
        <v>116</v>
      </c>
      <c r="AB1216" s="81" t="s">
        <v>117</v>
      </c>
      <c r="AC1216" s="166">
        <v>9.3000002205371898E-2</v>
      </c>
      <c r="AG1216" s="81" t="s">
        <v>154</v>
      </c>
      <c r="AH1216" s="81" t="s">
        <v>312</v>
      </c>
      <c r="AI1216" s="81" t="s">
        <v>3024</v>
      </c>
      <c r="AK1216" s="166">
        <v>0</v>
      </c>
      <c r="AM1216" s="166">
        <v>0</v>
      </c>
      <c r="AO1216" s="166">
        <v>0</v>
      </c>
      <c r="AP1216" s="166">
        <v>3</v>
      </c>
      <c r="AQ1216" s="166">
        <v>3</v>
      </c>
      <c r="AR1216" s="166">
        <v>3</v>
      </c>
      <c r="AS1216" s="166">
        <v>0</v>
      </c>
      <c r="AT1216" s="166">
        <v>0</v>
      </c>
      <c r="AU1216" s="166">
        <v>0</v>
      </c>
      <c r="AV1216" s="166">
        <v>0</v>
      </c>
      <c r="AW1216" s="166">
        <v>3</v>
      </c>
      <c r="AX1216" s="166">
        <v>3</v>
      </c>
      <c r="AY1216" s="166">
        <v>3</v>
      </c>
      <c r="AZ1216" s="166">
        <v>0</v>
      </c>
      <c r="BA1216" s="166">
        <v>0</v>
      </c>
      <c r="BB1216" s="166">
        <v>0</v>
      </c>
      <c r="BC1216" s="166">
        <v>0</v>
      </c>
      <c r="BD1216" s="166">
        <v>0</v>
      </c>
      <c r="BE1216" s="166">
        <v>0</v>
      </c>
      <c r="BF1216" s="166">
        <v>0</v>
      </c>
      <c r="BG1216" s="166">
        <v>0</v>
      </c>
      <c r="BH1216" s="166">
        <v>0</v>
      </c>
      <c r="BI1216" s="166">
        <v>0</v>
      </c>
      <c r="BJ1216" s="166">
        <v>0</v>
      </c>
      <c r="BK1216" s="166">
        <v>0</v>
      </c>
      <c r="BL1216" s="166">
        <v>0</v>
      </c>
      <c r="BM1216" s="166">
        <v>0</v>
      </c>
      <c r="BN1216" s="166">
        <v>0</v>
      </c>
      <c r="BO1216" s="166">
        <v>0</v>
      </c>
      <c r="BP1216" s="166">
        <v>0</v>
      </c>
      <c r="BQ1216" s="81" t="s">
        <v>1757</v>
      </c>
      <c r="BR1216" s="81" t="s">
        <v>242</v>
      </c>
      <c r="BZ1216" s="81" t="s">
        <v>155</v>
      </c>
      <c r="CA1216" s="81">
        <v>6</v>
      </c>
      <c r="CC1216" s="167">
        <v>0</v>
      </c>
      <c r="CD1216" s="167">
        <v>0</v>
      </c>
      <c r="CE1216" s="167">
        <v>0</v>
      </c>
      <c r="CF1216" s="167">
        <v>0</v>
      </c>
      <c r="CG1216" s="167">
        <v>0</v>
      </c>
      <c r="CH1216" s="167">
        <f>$N1216/3</f>
        <v>3</v>
      </c>
      <c r="CI1216" s="167">
        <f>$N1216/3</f>
        <v>3</v>
      </c>
      <c r="CJ1216" s="167">
        <f>$N1216/3</f>
        <v>3</v>
      </c>
      <c r="CK1216" s="167">
        <v>0</v>
      </c>
      <c r="CL1216" s="167">
        <v>0</v>
      </c>
      <c r="CM1216" s="167">
        <v>0</v>
      </c>
      <c r="CN1216" s="167">
        <v>0</v>
      </c>
      <c r="CO1216" s="167">
        <v>0</v>
      </c>
      <c r="CP1216" s="167">
        <v>0</v>
      </c>
      <c r="CQ1216" s="167">
        <v>0</v>
      </c>
      <c r="CR1216" s="167">
        <v>0</v>
      </c>
      <c r="CS1216" s="167">
        <v>0</v>
      </c>
      <c r="CT1216" s="167">
        <v>0</v>
      </c>
      <c r="CU1216" s="167">
        <v>0</v>
      </c>
      <c r="CV1216" s="167">
        <v>0</v>
      </c>
      <c r="CW1216" s="167">
        <v>0</v>
      </c>
      <c r="CX1216" s="167">
        <f>SUM(CD1216:CH1216)</f>
        <v>3</v>
      </c>
      <c r="CY1216" s="167">
        <f>SUM(CD1216:CM1216)</f>
        <v>9</v>
      </c>
    </row>
    <row r="1217" spans="1:103" ht="12.75" customHeight="1" x14ac:dyDescent="0.2">
      <c r="A1217" s="81">
        <v>3961</v>
      </c>
      <c r="B1217" s="165" t="s">
        <v>1955</v>
      </c>
      <c r="C1217" s="165" t="s">
        <v>3021</v>
      </c>
      <c r="E1217" s="165" t="s">
        <v>3022</v>
      </c>
      <c r="G1217" s="81">
        <v>527645</v>
      </c>
      <c r="H1217" s="81">
        <v>171873</v>
      </c>
      <c r="I1217" s="165" t="s">
        <v>242</v>
      </c>
      <c r="L1217" s="166">
        <v>0</v>
      </c>
      <c r="M1217" s="166">
        <v>7</v>
      </c>
      <c r="N1217" s="166">
        <v>7</v>
      </c>
      <c r="O1217" s="166">
        <v>47</v>
      </c>
      <c r="P1217" s="166">
        <v>47</v>
      </c>
      <c r="Q1217" s="81" t="s">
        <v>155</v>
      </c>
      <c r="R1217" s="165" t="s">
        <v>3023</v>
      </c>
      <c r="S1217" s="81" t="s">
        <v>121</v>
      </c>
      <c r="T1217" s="349">
        <v>42971</v>
      </c>
      <c r="W1217" s="81" t="s">
        <v>114</v>
      </c>
      <c r="Y1217" s="81" t="s">
        <v>115</v>
      </c>
      <c r="Z1217" s="81" t="s">
        <v>116</v>
      </c>
      <c r="AA1217" s="81" t="s">
        <v>116</v>
      </c>
      <c r="AB1217" s="81" t="s">
        <v>117</v>
      </c>
      <c r="AC1217" s="166">
        <v>7.1999996900558499E-2</v>
      </c>
      <c r="AG1217" s="81" t="s">
        <v>238</v>
      </c>
      <c r="AH1217" s="81" t="s">
        <v>118</v>
      </c>
      <c r="AI1217" s="81" t="s">
        <v>3024</v>
      </c>
      <c r="AK1217" s="166">
        <v>0</v>
      </c>
      <c r="AM1217" s="166">
        <v>0</v>
      </c>
      <c r="AN1217" s="166">
        <v>5</v>
      </c>
      <c r="AO1217" s="166">
        <v>0</v>
      </c>
      <c r="AP1217" s="166">
        <v>3</v>
      </c>
      <c r="AQ1217" s="166">
        <v>3</v>
      </c>
      <c r="AR1217" s="166">
        <v>1</v>
      </c>
      <c r="AS1217" s="166">
        <v>0</v>
      </c>
      <c r="AT1217" s="166">
        <v>0</v>
      </c>
      <c r="AU1217" s="166">
        <v>0</v>
      </c>
      <c r="AV1217" s="166">
        <v>0</v>
      </c>
      <c r="AW1217" s="166">
        <v>3</v>
      </c>
      <c r="AX1217" s="166">
        <v>3</v>
      </c>
      <c r="AY1217" s="166">
        <v>1</v>
      </c>
      <c r="AZ1217" s="166">
        <v>0</v>
      </c>
      <c r="BA1217" s="166">
        <v>0</v>
      </c>
      <c r="BB1217" s="166">
        <v>0</v>
      </c>
      <c r="BC1217" s="166">
        <v>0</v>
      </c>
      <c r="BD1217" s="166">
        <v>0</v>
      </c>
      <c r="BE1217" s="166">
        <v>0</v>
      </c>
      <c r="BF1217" s="166">
        <v>0</v>
      </c>
      <c r="BG1217" s="166">
        <v>0</v>
      </c>
      <c r="BH1217" s="166">
        <v>0</v>
      </c>
      <c r="BI1217" s="166">
        <v>0</v>
      </c>
      <c r="BJ1217" s="166">
        <v>0</v>
      </c>
      <c r="BK1217" s="166">
        <v>0</v>
      </c>
      <c r="BL1217" s="166">
        <v>0</v>
      </c>
      <c r="BM1217" s="166">
        <v>0</v>
      </c>
      <c r="BN1217" s="166">
        <v>0</v>
      </c>
      <c r="BO1217" s="166">
        <v>0</v>
      </c>
      <c r="BP1217" s="166">
        <v>0</v>
      </c>
      <c r="BQ1217" s="81" t="s">
        <v>1757</v>
      </c>
      <c r="BR1217" s="81" t="s">
        <v>242</v>
      </c>
      <c r="BZ1217" s="81" t="s">
        <v>155</v>
      </c>
      <c r="CA1217" s="81">
        <v>6</v>
      </c>
      <c r="CC1217" s="167">
        <v>0</v>
      </c>
      <c r="CD1217" s="167">
        <v>0</v>
      </c>
      <c r="CE1217" s="167">
        <v>0</v>
      </c>
      <c r="CF1217" s="167">
        <v>0</v>
      </c>
      <c r="CG1217" s="167">
        <v>0</v>
      </c>
      <c r="CH1217" s="167">
        <f>$N1217/3</f>
        <v>2.3333333333333335</v>
      </c>
      <c r="CI1217" s="167">
        <f>$N1217/3</f>
        <v>2.3333333333333335</v>
      </c>
      <c r="CJ1217" s="167">
        <f>$N1217/3</f>
        <v>2.3333333333333335</v>
      </c>
      <c r="CK1217" s="167">
        <v>0</v>
      </c>
      <c r="CL1217" s="167">
        <v>0</v>
      </c>
      <c r="CM1217" s="167">
        <v>0</v>
      </c>
      <c r="CN1217" s="167">
        <v>0</v>
      </c>
      <c r="CO1217" s="167">
        <v>0</v>
      </c>
      <c r="CP1217" s="167">
        <v>0</v>
      </c>
      <c r="CQ1217" s="167">
        <v>0</v>
      </c>
      <c r="CR1217" s="167">
        <v>0</v>
      </c>
      <c r="CS1217" s="167">
        <v>0</v>
      </c>
      <c r="CT1217" s="167">
        <v>0</v>
      </c>
      <c r="CU1217" s="167">
        <v>0</v>
      </c>
      <c r="CV1217" s="167">
        <v>0</v>
      </c>
      <c r="CW1217" s="167">
        <v>0</v>
      </c>
      <c r="CX1217" s="167">
        <f>SUM(CD1217:CH1217)</f>
        <v>2.3333333333333335</v>
      </c>
      <c r="CY1217" s="167">
        <f>SUM(CD1217:CM1217)</f>
        <v>7</v>
      </c>
    </row>
    <row r="1218" spans="1:103" ht="12.75" customHeight="1" x14ac:dyDescent="0.2">
      <c r="A1218" s="81">
        <v>4084</v>
      </c>
      <c r="B1218" s="165" t="s">
        <v>1955</v>
      </c>
      <c r="C1218" s="165" t="s">
        <v>2084</v>
      </c>
      <c r="E1218" s="165" t="s">
        <v>2085</v>
      </c>
      <c r="G1218" s="81">
        <v>527971</v>
      </c>
      <c r="H1218" s="81">
        <v>172408</v>
      </c>
      <c r="I1218" s="165" t="s">
        <v>254</v>
      </c>
      <c r="L1218" s="166">
        <v>1</v>
      </c>
      <c r="M1218" s="166">
        <v>1</v>
      </c>
      <c r="N1218" s="166">
        <v>0</v>
      </c>
      <c r="O1218" s="166">
        <v>3</v>
      </c>
      <c r="P1218" s="166">
        <v>2</v>
      </c>
      <c r="R1218" s="165" t="s">
        <v>2086</v>
      </c>
      <c r="S1218" s="81" t="s">
        <v>121</v>
      </c>
      <c r="T1218" s="349">
        <v>43115</v>
      </c>
      <c r="W1218" s="81" t="s">
        <v>114</v>
      </c>
      <c r="Y1218" s="81" t="s">
        <v>115</v>
      </c>
      <c r="Z1218" s="81" t="s">
        <v>398</v>
      </c>
      <c r="AA1218" s="81" t="s">
        <v>117</v>
      </c>
      <c r="AB1218" s="81" t="s">
        <v>220</v>
      </c>
      <c r="AC1218" s="166">
        <v>3.0000000260770299E-3</v>
      </c>
      <c r="AG1218" s="81" t="s">
        <v>238</v>
      </c>
      <c r="AH1218" s="81" t="s">
        <v>118</v>
      </c>
      <c r="AK1218" s="166">
        <v>0</v>
      </c>
      <c r="AM1218" s="166">
        <v>0</v>
      </c>
      <c r="AO1218" s="166">
        <v>-1</v>
      </c>
      <c r="AP1218" s="166">
        <v>1</v>
      </c>
      <c r="AQ1218" s="166">
        <v>0</v>
      </c>
      <c r="AR1218" s="166">
        <v>0</v>
      </c>
      <c r="AS1218" s="166">
        <v>0</v>
      </c>
      <c r="AT1218" s="166">
        <v>0</v>
      </c>
      <c r="AU1218" s="166">
        <v>0</v>
      </c>
      <c r="AV1218" s="166">
        <v>-1</v>
      </c>
      <c r="AW1218" s="166">
        <v>1</v>
      </c>
      <c r="AX1218" s="166">
        <v>0</v>
      </c>
      <c r="AY1218" s="166">
        <v>0</v>
      </c>
      <c r="AZ1218" s="166">
        <v>0</v>
      </c>
      <c r="BA1218" s="166">
        <v>0</v>
      </c>
      <c r="BB1218" s="166">
        <v>0</v>
      </c>
      <c r="BC1218" s="166">
        <v>0</v>
      </c>
      <c r="BD1218" s="166">
        <v>0</v>
      </c>
      <c r="BE1218" s="166">
        <v>0</v>
      </c>
      <c r="BF1218" s="166">
        <v>0</v>
      </c>
      <c r="BG1218" s="166">
        <v>0</v>
      </c>
      <c r="BH1218" s="166">
        <v>0</v>
      </c>
      <c r="BI1218" s="166">
        <v>0</v>
      </c>
      <c r="BJ1218" s="166">
        <v>0</v>
      </c>
      <c r="BK1218" s="166">
        <v>0</v>
      </c>
      <c r="BL1218" s="166">
        <v>0</v>
      </c>
      <c r="BM1218" s="166">
        <v>0</v>
      </c>
      <c r="BN1218" s="166">
        <v>0</v>
      </c>
      <c r="BO1218" s="166">
        <v>0</v>
      </c>
      <c r="BP1218" s="166">
        <v>0</v>
      </c>
      <c r="BQ1218" s="81" t="s">
        <v>1757</v>
      </c>
      <c r="BZ1218" s="81" t="s">
        <v>155</v>
      </c>
      <c r="CA1218" s="81">
        <v>10</v>
      </c>
      <c r="CC1218" s="167">
        <v>0</v>
      </c>
      <c r="CD1218" s="167">
        <v>0</v>
      </c>
      <c r="CE1218" s="167">
        <v>0</v>
      </c>
      <c r="CF1218" s="167">
        <v>0</v>
      </c>
      <c r="CG1218" s="167">
        <v>0</v>
      </c>
      <c r="CH1218" s="167">
        <f>$N1218/3</f>
        <v>0</v>
      </c>
      <c r="CI1218" s="167">
        <f>$N1218/3</f>
        <v>0</v>
      </c>
      <c r="CJ1218" s="167">
        <f>$N1218/3</f>
        <v>0</v>
      </c>
      <c r="CK1218" s="167">
        <v>0</v>
      </c>
      <c r="CL1218" s="167">
        <v>0</v>
      </c>
      <c r="CM1218" s="167">
        <v>0</v>
      </c>
      <c r="CN1218" s="167">
        <v>0</v>
      </c>
      <c r="CO1218" s="167">
        <v>0</v>
      </c>
      <c r="CP1218" s="167">
        <v>0</v>
      </c>
      <c r="CQ1218" s="167">
        <v>0</v>
      </c>
      <c r="CR1218" s="167">
        <v>0</v>
      </c>
      <c r="CS1218" s="167">
        <v>0</v>
      </c>
      <c r="CT1218" s="167">
        <v>0</v>
      </c>
      <c r="CU1218" s="167">
        <v>0</v>
      </c>
      <c r="CV1218" s="167">
        <v>0</v>
      </c>
      <c r="CW1218" s="167">
        <v>0</v>
      </c>
      <c r="CX1218" s="167">
        <f>SUM(CD1218:CH1218)</f>
        <v>0</v>
      </c>
      <c r="CY1218" s="167">
        <f>SUM(CD1218:CM1218)</f>
        <v>0</v>
      </c>
    </row>
    <row r="1219" spans="1:103" ht="12.75" customHeight="1" x14ac:dyDescent="0.2">
      <c r="A1219" s="81">
        <v>4084</v>
      </c>
      <c r="B1219" s="165" t="s">
        <v>1955</v>
      </c>
      <c r="C1219" s="165" t="s">
        <v>2084</v>
      </c>
      <c r="E1219" s="165" t="s">
        <v>2085</v>
      </c>
      <c r="G1219" s="81">
        <v>527971</v>
      </c>
      <c r="H1219" s="81">
        <v>172408</v>
      </c>
      <c r="I1219" s="165" t="s">
        <v>254</v>
      </c>
      <c r="L1219" s="166">
        <v>0</v>
      </c>
      <c r="M1219" s="166">
        <v>1</v>
      </c>
      <c r="N1219" s="166">
        <v>1</v>
      </c>
      <c r="O1219" s="166">
        <v>3</v>
      </c>
      <c r="P1219" s="166">
        <v>2</v>
      </c>
      <c r="R1219" s="165" t="s">
        <v>2086</v>
      </c>
      <c r="S1219" s="81" t="s">
        <v>121</v>
      </c>
      <c r="T1219" s="349">
        <v>43115</v>
      </c>
      <c r="W1219" s="81" t="s">
        <v>114</v>
      </c>
      <c r="Y1219" s="81" t="s">
        <v>115</v>
      </c>
      <c r="Z1219" s="81" t="s">
        <v>398</v>
      </c>
      <c r="AA1219" s="81" t="s">
        <v>117</v>
      </c>
      <c r="AB1219" s="81" t="s">
        <v>218</v>
      </c>
      <c r="AC1219" s="166">
        <v>3.0000000260770299E-3</v>
      </c>
      <c r="AG1219" s="81" t="s">
        <v>238</v>
      </c>
      <c r="AH1219" s="81" t="s">
        <v>118</v>
      </c>
      <c r="AK1219" s="166">
        <v>0</v>
      </c>
      <c r="AM1219" s="166">
        <v>0</v>
      </c>
      <c r="AO1219" s="166">
        <v>1</v>
      </c>
      <c r="AP1219" s="166">
        <v>0</v>
      </c>
      <c r="AQ1219" s="166">
        <v>0</v>
      </c>
      <c r="AR1219" s="166">
        <v>0</v>
      </c>
      <c r="AS1219" s="166">
        <v>0</v>
      </c>
      <c r="AT1219" s="166">
        <v>0</v>
      </c>
      <c r="AU1219" s="166">
        <v>0</v>
      </c>
      <c r="AV1219" s="166">
        <v>1</v>
      </c>
      <c r="AW1219" s="166">
        <v>0</v>
      </c>
      <c r="AX1219" s="166">
        <v>0</v>
      </c>
      <c r="AY1219" s="166">
        <v>0</v>
      </c>
      <c r="AZ1219" s="166">
        <v>0</v>
      </c>
      <c r="BA1219" s="166">
        <v>0</v>
      </c>
      <c r="BB1219" s="166">
        <v>0</v>
      </c>
      <c r="BC1219" s="166">
        <v>0</v>
      </c>
      <c r="BD1219" s="166">
        <v>0</v>
      </c>
      <c r="BE1219" s="166">
        <v>0</v>
      </c>
      <c r="BF1219" s="166">
        <v>0</v>
      </c>
      <c r="BG1219" s="166">
        <v>0</v>
      </c>
      <c r="BH1219" s="166">
        <v>0</v>
      </c>
      <c r="BI1219" s="166">
        <v>0</v>
      </c>
      <c r="BJ1219" s="166">
        <v>0</v>
      </c>
      <c r="BK1219" s="166">
        <v>0</v>
      </c>
      <c r="BL1219" s="166">
        <v>0</v>
      </c>
      <c r="BM1219" s="166">
        <v>0</v>
      </c>
      <c r="BN1219" s="166">
        <v>0</v>
      </c>
      <c r="BO1219" s="166">
        <v>0</v>
      </c>
      <c r="BP1219" s="166">
        <v>0</v>
      </c>
      <c r="BQ1219" s="81" t="s">
        <v>1757</v>
      </c>
      <c r="BZ1219" s="81" t="s">
        <v>155</v>
      </c>
      <c r="CA1219" s="81">
        <v>10</v>
      </c>
      <c r="CC1219" s="167">
        <v>0</v>
      </c>
      <c r="CD1219" s="167">
        <v>0</v>
      </c>
      <c r="CE1219" s="167">
        <v>0</v>
      </c>
      <c r="CF1219" s="167">
        <v>0</v>
      </c>
      <c r="CG1219" s="167">
        <v>0</v>
      </c>
      <c r="CH1219" s="167">
        <f>$N1219/3</f>
        <v>0.33333333333333331</v>
      </c>
      <c r="CI1219" s="167">
        <f>$N1219/3</f>
        <v>0.33333333333333331</v>
      </c>
      <c r="CJ1219" s="167">
        <f>$N1219/3</f>
        <v>0.33333333333333331</v>
      </c>
      <c r="CK1219" s="167">
        <v>0</v>
      </c>
      <c r="CL1219" s="167">
        <v>0</v>
      </c>
      <c r="CM1219" s="167">
        <v>0</v>
      </c>
      <c r="CN1219" s="167">
        <v>0</v>
      </c>
      <c r="CO1219" s="167">
        <v>0</v>
      </c>
      <c r="CP1219" s="167">
        <v>0</v>
      </c>
      <c r="CQ1219" s="167">
        <v>0</v>
      </c>
      <c r="CR1219" s="167">
        <v>0</v>
      </c>
      <c r="CS1219" s="167">
        <v>0</v>
      </c>
      <c r="CT1219" s="167">
        <v>0</v>
      </c>
      <c r="CU1219" s="167">
        <v>0</v>
      </c>
      <c r="CV1219" s="167">
        <v>0</v>
      </c>
      <c r="CW1219" s="167">
        <v>0</v>
      </c>
      <c r="CX1219" s="167">
        <f>SUM(CD1219:CH1219)</f>
        <v>0.33333333333333331</v>
      </c>
      <c r="CY1219" s="167">
        <f>SUM(CD1219:CM1219)</f>
        <v>1</v>
      </c>
    </row>
    <row r="1220" spans="1:103" ht="12.75" customHeight="1" x14ac:dyDescent="0.2">
      <c r="A1220" s="81">
        <v>4084</v>
      </c>
      <c r="B1220" s="165" t="s">
        <v>1955</v>
      </c>
      <c r="C1220" s="165" t="s">
        <v>2084</v>
      </c>
      <c r="E1220" s="165" t="s">
        <v>2085</v>
      </c>
      <c r="G1220" s="81">
        <v>527971</v>
      </c>
      <c r="H1220" s="81">
        <v>172408</v>
      </c>
      <c r="I1220" s="165" t="s">
        <v>254</v>
      </c>
      <c r="L1220" s="166">
        <v>0</v>
      </c>
      <c r="M1220" s="166">
        <v>1</v>
      </c>
      <c r="N1220" s="166">
        <v>1</v>
      </c>
      <c r="O1220" s="166">
        <v>3</v>
      </c>
      <c r="P1220" s="166">
        <v>2</v>
      </c>
      <c r="R1220" s="165" t="s">
        <v>2086</v>
      </c>
      <c r="S1220" s="81" t="s">
        <v>121</v>
      </c>
      <c r="T1220" s="349">
        <v>43115</v>
      </c>
      <c r="W1220" s="81" t="s">
        <v>114</v>
      </c>
      <c r="Y1220" s="81" t="s">
        <v>115</v>
      </c>
      <c r="Z1220" s="81" t="s">
        <v>398</v>
      </c>
      <c r="AA1220" s="81" t="s">
        <v>117</v>
      </c>
      <c r="AB1220" s="81" t="s">
        <v>102</v>
      </c>
      <c r="AC1220" s="166">
        <v>3.0000000260770299E-3</v>
      </c>
      <c r="AG1220" s="81" t="s">
        <v>238</v>
      </c>
      <c r="AH1220" s="81" t="s">
        <v>118</v>
      </c>
      <c r="AK1220" s="166">
        <v>0</v>
      </c>
      <c r="AM1220" s="166">
        <v>0</v>
      </c>
      <c r="AN1220" s="166">
        <v>1</v>
      </c>
      <c r="AO1220" s="166">
        <v>0</v>
      </c>
      <c r="AP1220" s="166">
        <v>1</v>
      </c>
      <c r="AQ1220" s="166">
        <v>0</v>
      </c>
      <c r="AR1220" s="166">
        <v>0</v>
      </c>
      <c r="AS1220" s="166">
        <v>0</v>
      </c>
      <c r="AT1220" s="166">
        <v>0</v>
      </c>
      <c r="AU1220" s="166">
        <v>0</v>
      </c>
      <c r="AV1220" s="166">
        <v>0</v>
      </c>
      <c r="AW1220" s="166">
        <v>1</v>
      </c>
      <c r="AX1220" s="166">
        <v>0</v>
      </c>
      <c r="AY1220" s="166">
        <v>0</v>
      </c>
      <c r="AZ1220" s="166">
        <v>0</v>
      </c>
      <c r="BA1220" s="166">
        <v>0</v>
      </c>
      <c r="BB1220" s="166">
        <v>0</v>
      </c>
      <c r="BC1220" s="166">
        <v>0</v>
      </c>
      <c r="BD1220" s="166">
        <v>0</v>
      </c>
      <c r="BE1220" s="166">
        <v>0</v>
      </c>
      <c r="BF1220" s="166">
        <v>0</v>
      </c>
      <c r="BG1220" s="166">
        <v>0</v>
      </c>
      <c r="BH1220" s="166">
        <v>0</v>
      </c>
      <c r="BI1220" s="166">
        <v>0</v>
      </c>
      <c r="BJ1220" s="166">
        <v>0</v>
      </c>
      <c r="BK1220" s="166">
        <v>0</v>
      </c>
      <c r="BL1220" s="166">
        <v>0</v>
      </c>
      <c r="BM1220" s="166">
        <v>0</v>
      </c>
      <c r="BN1220" s="166">
        <v>0</v>
      </c>
      <c r="BO1220" s="166">
        <v>0</v>
      </c>
      <c r="BP1220" s="166">
        <v>0</v>
      </c>
      <c r="BQ1220" s="81" t="s">
        <v>1757</v>
      </c>
      <c r="BZ1220" s="81" t="s">
        <v>155</v>
      </c>
      <c r="CA1220" s="81">
        <v>10</v>
      </c>
      <c r="CC1220" s="167">
        <v>0</v>
      </c>
      <c r="CD1220" s="167">
        <v>0</v>
      </c>
      <c r="CE1220" s="167">
        <v>0</v>
      </c>
      <c r="CF1220" s="167">
        <v>0</v>
      </c>
      <c r="CG1220" s="167">
        <v>0</v>
      </c>
      <c r="CH1220" s="167">
        <f>$N1220/3</f>
        <v>0.33333333333333331</v>
      </c>
      <c r="CI1220" s="167">
        <f>$N1220/3</f>
        <v>0.33333333333333331</v>
      </c>
      <c r="CJ1220" s="167">
        <f>$N1220/3</f>
        <v>0.33333333333333331</v>
      </c>
      <c r="CK1220" s="167">
        <v>0</v>
      </c>
      <c r="CL1220" s="167">
        <v>0</v>
      </c>
      <c r="CM1220" s="167">
        <v>0</v>
      </c>
      <c r="CN1220" s="167">
        <v>0</v>
      </c>
      <c r="CO1220" s="167">
        <v>0</v>
      </c>
      <c r="CP1220" s="167">
        <v>0</v>
      </c>
      <c r="CQ1220" s="167">
        <v>0</v>
      </c>
      <c r="CR1220" s="167">
        <v>0</v>
      </c>
      <c r="CS1220" s="167">
        <v>0</v>
      </c>
      <c r="CT1220" s="167">
        <v>0</v>
      </c>
      <c r="CU1220" s="167">
        <v>0</v>
      </c>
      <c r="CV1220" s="167">
        <v>0</v>
      </c>
      <c r="CW1220" s="167">
        <v>0</v>
      </c>
      <c r="CX1220" s="167">
        <f>SUM(CD1220:CH1220)</f>
        <v>0.33333333333333331</v>
      </c>
      <c r="CY1220" s="167">
        <f>SUM(CD1220:CM1220)</f>
        <v>1</v>
      </c>
    </row>
    <row r="1221" spans="1:103" ht="12.75" customHeight="1" x14ac:dyDescent="0.2">
      <c r="A1221" s="81">
        <v>4167</v>
      </c>
      <c r="B1221" s="165" t="s">
        <v>1955</v>
      </c>
      <c r="C1221" s="165" t="s">
        <v>2087</v>
      </c>
      <c r="E1221" s="165" t="s">
        <v>2088</v>
      </c>
      <c r="G1221" s="81">
        <v>522501</v>
      </c>
      <c r="H1221" s="81">
        <v>173758</v>
      </c>
      <c r="I1221" s="165" t="s">
        <v>877</v>
      </c>
      <c r="L1221" s="166">
        <v>0</v>
      </c>
      <c r="M1221" s="166">
        <v>5</v>
      </c>
      <c r="N1221" s="166">
        <v>5</v>
      </c>
      <c r="O1221" s="166">
        <v>5</v>
      </c>
      <c r="P1221" s="166">
        <v>5</v>
      </c>
      <c r="R1221" s="165" t="s">
        <v>2089</v>
      </c>
      <c r="S1221" s="81" t="s">
        <v>296</v>
      </c>
      <c r="T1221" s="349">
        <v>42989</v>
      </c>
      <c r="U1221" s="349">
        <v>43046</v>
      </c>
      <c r="V1221" s="81" t="s">
        <v>155</v>
      </c>
      <c r="W1221" s="81" t="s">
        <v>365</v>
      </c>
      <c r="Y1221" s="81" t="s">
        <v>115</v>
      </c>
      <c r="Z1221" s="81" t="s">
        <v>398</v>
      </c>
      <c r="AA1221" s="81" t="s">
        <v>117</v>
      </c>
      <c r="AB1221" s="81" t="s">
        <v>399</v>
      </c>
      <c r="AC1221" s="166">
        <v>3.7999998778104803E-2</v>
      </c>
      <c r="AG1221" s="81" t="s">
        <v>238</v>
      </c>
      <c r="AH1221" s="81" t="s">
        <v>118</v>
      </c>
      <c r="AK1221" s="166">
        <v>0</v>
      </c>
      <c r="AM1221" s="166">
        <v>0</v>
      </c>
      <c r="AO1221" s="166">
        <v>0</v>
      </c>
      <c r="AP1221" s="166">
        <v>0</v>
      </c>
      <c r="AQ1221" s="166">
        <v>5</v>
      </c>
      <c r="AR1221" s="166">
        <v>0</v>
      </c>
      <c r="AS1221" s="166">
        <v>0</v>
      </c>
      <c r="AT1221" s="166">
        <v>0</v>
      </c>
      <c r="AU1221" s="166">
        <v>0</v>
      </c>
      <c r="AV1221" s="166">
        <v>0</v>
      </c>
      <c r="AW1221" s="166">
        <v>0</v>
      </c>
      <c r="AX1221" s="166">
        <v>5</v>
      </c>
      <c r="AY1221" s="166">
        <v>0</v>
      </c>
      <c r="AZ1221" s="166">
        <v>0</v>
      </c>
      <c r="BA1221" s="166">
        <v>0</v>
      </c>
      <c r="BB1221" s="166">
        <v>0</v>
      </c>
      <c r="BC1221" s="166">
        <v>0</v>
      </c>
      <c r="BD1221" s="166">
        <v>0</v>
      </c>
      <c r="BE1221" s="166">
        <v>0</v>
      </c>
      <c r="BF1221" s="166">
        <v>0</v>
      </c>
      <c r="BG1221" s="166">
        <v>0</v>
      </c>
      <c r="BH1221" s="166">
        <v>0</v>
      </c>
      <c r="BI1221" s="166">
        <v>0</v>
      </c>
      <c r="BJ1221" s="166">
        <v>0</v>
      </c>
      <c r="BK1221" s="166">
        <v>0</v>
      </c>
      <c r="BL1221" s="166">
        <v>0</v>
      </c>
      <c r="BM1221" s="166">
        <v>0</v>
      </c>
      <c r="BN1221" s="166">
        <v>0</v>
      </c>
      <c r="BO1221" s="166">
        <v>0</v>
      </c>
      <c r="BP1221" s="166">
        <v>0</v>
      </c>
      <c r="BQ1221" s="81" t="s">
        <v>1758</v>
      </c>
      <c r="BZ1221" s="81" t="s">
        <v>155</v>
      </c>
      <c r="CA1221" s="81">
        <v>10</v>
      </c>
      <c r="CC1221" s="167">
        <v>0</v>
      </c>
      <c r="CD1221" s="167">
        <v>0</v>
      </c>
      <c r="CE1221" s="167">
        <v>0</v>
      </c>
      <c r="CF1221" s="167">
        <v>0</v>
      </c>
      <c r="CG1221" s="167">
        <v>0</v>
      </c>
      <c r="CH1221" s="167">
        <f>$N1221/3</f>
        <v>1.6666666666666667</v>
      </c>
      <c r="CI1221" s="167">
        <f>$N1221/3</f>
        <v>1.6666666666666667</v>
      </c>
      <c r="CJ1221" s="167">
        <f>$N1221/3</f>
        <v>1.6666666666666667</v>
      </c>
      <c r="CK1221" s="167">
        <v>0</v>
      </c>
      <c r="CL1221" s="167">
        <v>0</v>
      </c>
      <c r="CM1221" s="167">
        <v>0</v>
      </c>
      <c r="CN1221" s="167">
        <v>0</v>
      </c>
      <c r="CO1221" s="167">
        <v>0</v>
      </c>
      <c r="CP1221" s="167">
        <v>0</v>
      </c>
      <c r="CQ1221" s="167">
        <v>0</v>
      </c>
      <c r="CR1221" s="167">
        <v>0</v>
      </c>
      <c r="CS1221" s="167">
        <v>0</v>
      </c>
      <c r="CT1221" s="167">
        <v>0</v>
      </c>
      <c r="CU1221" s="167">
        <v>0</v>
      </c>
      <c r="CV1221" s="167">
        <v>0</v>
      </c>
      <c r="CW1221" s="167">
        <v>0</v>
      </c>
      <c r="CX1221" s="167">
        <f>SUM(CD1221:CH1221)</f>
        <v>1.6666666666666667</v>
      </c>
      <c r="CY1221" s="167">
        <f>SUM(CD1221:CM1221)</f>
        <v>5</v>
      </c>
    </row>
    <row r="1222" spans="1:103" ht="12.75" customHeight="1" x14ac:dyDescent="0.2">
      <c r="A1222" s="81">
        <v>4167</v>
      </c>
      <c r="B1222" s="165" t="s">
        <v>1955</v>
      </c>
      <c r="C1222" s="165" t="s">
        <v>2090</v>
      </c>
      <c r="E1222" s="165" t="s">
        <v>2088</v>
      </c>
      <c r="G1222" s="81">
        <v>522501</v>
      </c>
      <c r="H1222" s="81">
        <v>173758</v>
      </c>
      <c r="I1222" s="165" t="s">
        <v>877</v>
      </c>
      <c r="L1222" s="166">
        <v>0</v>
      </c>
      <c r="M1222" s="166">
        <v>2</v>
      </c>
      <c r="N1222" s="166">
        <v>2</v>
      </c>
      <c r="O1222" s="166">
        <v>4</v>
      </c>
      <c r="P1222" s="166">
        <v>4</v>
      </c>
      <c r="R1222" s="165" t="s">
        <v>2091</v>
      </c>
      <c r="S1222" s="81" t="s">
        <v>121</v>
      </c>
      <c r="T1222" s="349">
        <v>43181</v>
      </c>
      <c r="W1222" s="81" t="s">
        <v>114</v>
      </c>
      <c r="Y1222" s="81" t="s">
        <v>115</v>
      </c>
      <c r="Z1222" s="81" t="s">
        <v>398</v>
      </c>
      <c r="AA1222" s="81" t="s">
        <v>117</v>
      </c>
      <c r="AB1222" s="81" t="s">
        <v>399</v>
      </c>
      <c r="AC1222" s="166">
        <v>1.8999999389052401E-2</v>
      </c>
      <c r="AG1222" s="81" t="s">
        <v>238</v>
      </c>
      <c r="AH1222" s="81" t="s">
        <v>118</v>
      </c>
      <c r="AK1222" s="166">
        <v>0</v>
      </c>
      <c r="AM1222" s="166">
        <v>0</v>
      </c>
      <c r="AO1222" s="166">
        <v>0</v>
      </c>
      <c r="AP1222" s="166">
        <v>0</v>
      </c>
      <c r="AQ1222" s="166">
        <v>2</v>
      </c>
      <c r="AR1222" s="166">
        <v>0</v>
      </c>
      <c r="AS1222" s="166">
        <v>0</v>
      </c>
      <c r="AT1222" s="166">
        <v>0</v>
      </c>
      <c r="AU1222" s="166">
        <v>0</v>
      </c>
      <c r="AV1222" s="166">
        <v>0</v>
      </c>
      <c r="AW1222" s="166">
        <v>0</v>
      </c>
      <c r="AX1222" s="166">
        <v>2</v>
      </c>
      <c r="AY1222" s="166">
        <v>0</v>
      </c>
      <c r="AZ1222" s="166">
        <v>0</v>
      </c>
      <c r="BA1222" s="166">
        <v>0</v>
      </c>
      <c r="BB1222" s="166">
        <v>0</v>
      </c>
      <c r="BC1222" s="166">
        <v>0</v>
      </c>
      <c r="BD1222" s="166">
        <v>0</v>
      </c>
      <c r="BE1222" s="166">
        <v>0</v>
      </c>
      <c r="BF1222" s="166">
        <v>0</v>
      </c>
      <c r="BG1222" s="166">
        <v>0</v>
      </c>
      <c r="BH1222" s="166">
        <v>0</v>
      </c>
      <c r="BI1222" s="166">
        <v>0</v>
      </c>
      <c r="BJ1222" s="166">
        <v>0</v>
      </c>
      <c r="BK1222" s="166">
        <v>0</v>
      </c>
      <c r="BL1222" s="166">
        <v>0</v>
      </c>
      <c r="BM1222" s="166">
        <v>0</v>
      </c>
      <c r="BN1222" s="166">
        <v>0</v>
      </c>
      <c r="BO1222" s="166">
        <v>0</v>
      </c>
      <c r="BP1222" s="166">
        <v>0</v>
      </c>
      <c r="BQ1222" s="81" t="s">
        <v>1758</v>
      </c>
      <c r="BZ1222" s="81" t="s">
        <v>155</v>
      </c>
      <c r="CA1222" s="81">
        <v>10</v>
      </c>
      <c r="CC1222" s="167">
        <v>0</v>
      </c>
      <c r="CD1222" s="167">
        <v>0</v>
      </c>
      <c r="CE1222" s="167">
        <v>0</v>
      </c>
      <c r="CF1222" s="167">
        <v>0</v>
      </c>
      <c r="CG1222" s="167">
        <v>0</v>
      </c>
      <c r="CH1222" s="167">
        <f>$N1222/3</f>
        <v>0.66666666666666663</v>
      </c>
      <c r="CI1222" s="167">
        <f>$N1222/3</f>
        <v>0.66666666666666663</v>
      </c>
      <c r="CJ1222" s="167">
        <f>$N1222/3</f>
        <v>0.66666666666666663</v>
      </c>
      <c r="CK1222" s="167">
        <v>0</v>
      </c>
      <c r="CL1222" s="167">
        <v>0</v>
      </c>
      <c r="CM1222" s="167">
        <v>0</v>
      </c>
      <c r="CN1222" s="167">
        <v>0</v>
      </c>
      <c r="CO1222" s="167">
        <v>0</v>
      </c>
      <c r="CP1222" s="167">
        <v>0</v>
      </c>
      <c r="CQ1222" s="167">
        <v>0</v>
      </c>
      <c r="CR1222" s="167">
        <v>0</v>
      </c>
      <c r="CS1222" s="167">
        <v>0</v>
      </c>
      <c r="CT1222" s="167">
        <v>0</v>
      </c>
      <c r="CU1222" s="167">
        <v>0</v>
      </c>
      <c r="CV1222" s="167">
        <v>0</v>
      </c>
      <c r="CW1222" s="167">
        <v>0</v>
      </c>
      <c r="CX1222" s="167">
        <f>SUM(CD1222:CH1222)</f>
        <v>0.66666666666666663</v>
      </c>
      <c r="CY1222" s="167">
        <f>SUM(CD1222:CM1222)</f>
        <v>2</v>
      </c>
    </row>
    <row r="1223" spans="1:103" ht="12.75" customHeight="1" x14ac:dyDescent="0.2">
      <c r="A1223" s="81">
        <v>4167</v>
      </c>
      <c r="B1223" s="165" t="s">
        <v>1955</v>
      </c>
      <c r="C1223" s="165" t="s">
        <v>2090</v>
      </c>
      <c r="E1223" s="165" t="s">
        <v>2088</v>
      </c>
      <c r="G1223" s="81">
        <v>522501</v>
      </c>
      <c r="H1223" s="81">
        <v>173758</v>
      </c>
      <c r="I1223" s="165" t="s">
        <v>877</v>
      </c>
      <c r="L1223" s="166">
        <v>0</v>
      </c>
      <c r="M1223" s="166">
        <v>1</v>
      </c>
      <c r="N1223" s="166">
        <v>1</v>
      </c>
      <c r="O1223" s="166">
        <v>4</v>
      </c>
      <c r="P1223" s="166">
        <v>4</v>
      </c>
      <c r="R1223" s="165" t="s">
        <v>2091</v>
      </c>
      <c r="S1223" s="81" t="s">
        <v>121</v>
      </c>
      <c r="T1223" s="349">
        <v>43181</v>
      </c>
      <c r="W1223" s="81" t="s">
        <v>114</v>
      </c>
      <c r="Y1223" s="81" t="s">
        <v>115</v>
      </c>
      <c r="Z1223" s="81" t="s">
        <v>398</v>
      </c>
      <c r="AA1223" s="81" t="s">
        <v>117</v>
      </c>
      <c r="AB1223" s="81" t="s">
        <v>311</v>
      </c>
      <c r="AC1223" s="166">
        <v>9.9999997764825804E-3</v>
      </c>
      <c r="AG1223" s="81" t="s">
        <v>238</v>
      </c>
      <c r="AH1223" s="81" t="s">
        <v>118</v>
      </c>
      <c r="AK1223" s="166">
        <v>0</v>
      </c>
      <c r="AM1223" s="166">
        <v>0</v>
      </c>
      <c r="AO1223" s="166">
        <v>0</v>
      </c>
      <c r="AP1223" s="166">
        <v>0</v>
      </c>
      <c r="AQ1223" s="166">
        <v>1</v>
      </c>
      <c r="AR1223" s="166">
        <v>0</v>
      </c>
      <c r="AS1223" s="166">
        <v>0</v>
      </c>
      <c r="AT1223" s="166">
        <v>0</v>
      </c>
      <c r="AU1223" s="166">
        <v>0</v>
      </c>
      <c r="AV1223" s="166">
        <v>0</v>
      </c>
      <c r="AW1223" s="166">
        <v>0</v>
      </c>
      <c r="AX1223" s="166">
        <v>1</v>
      </c>
      <c r="AY1223" s="166">
        <v>0</v>
      </c>
      <c r="AZ1223" s="166">
        <v>0</v>
      </c>
      <c r="BA1223" s="166">
        <v>0</v>
      </c>
      <c r="BB1223" s="166">
        <v>0</v>
      </c>
      <c r="BC1223" s="166">
        <v>0</v>
      </c>
      <c r="BD1223" s="166">
        <v>0</v>
      </c>
      <c r="BE1223" s="166">
        <v>0</v>
      </c>
      <c r="BF1223" s="166">
        <v>0</v>
      </c>
      <c r="BG1223" s="166">
        <v>0</v>
      </c>
      <c r="BH1223" s="166">
        <v>0</v>
      </c>
      <c r="BI1223" s="166">
        <v>0</v>
      </c>
      <c r="BJ1223" s="166">
        <v>0</v>
      </c>
      <c r="BK1223" s="166">
        <v>0</v>
      </c>
      <c r="BL1223" s="166">
        <v>0</v>
      </c>
      <c r="BM1223" s="166">
        <v>0</v>
      </c>
      <c r="BN1223" s="166">
        <v>0</v>
      </c>
      <c r="BO1223" s="166">
        <v>0</v>
      </c>
      <c r="BP1223" s="166">
        <v>0</v>
      </c>
      <c r="BQ1223" s="81" t="s">
        <v>1758</v>
      </c>
      <c r="BZ1223" s="81" t="s">
        <v>155</v>
      </c>
      <c r="CA1223" s="81">
        <v>10</v>
      </c>
      <c r="CC1223" s="167">
        <v>0</v>
      </c>
      <c r="CD1223" s="167">
        <v>0</v>
      </c>
      <c r="CE1223" s="167">
        <v>0</v>
      </c>
      <c r="CF1223" s="167">
        <v>0</v>
      </c>
      <c r="CG1223" s="167">
        <v>0</v>
      </c>
      <c r="CH1223" s="167">
        <f>$N1223/3</f>
        <v>0.33333333333333331</v>
      </c>
      <c r="CI1223" s="167">
        <f>$N1223/3</f>
        <v>0.33333333333333331</v>
      </c>
      <c r="CJ1223" s="167">
        <f>$N1223/3</f>
        <v>0.33333333333333331</v>
      </c>
      <c r="CK1223" s="167">
        <v>0</v>
      </c>
      <c r="CL1223" s="167">
        <v>0</v>
      </c>
      <c r="CM1223" s="167">
        <v>0</v>
      </c>
      <c r="CN1223" s="167">
        <v>0</v>
      </c>
      <c r="CO1223" s="167">
        <v>0</v>
      </c>
      <c r="CP1223" s="167">
        <v>0</v>
      </c>
      <c r="CQ1223" s="167">
        <v>0</v>
      </c>
      <c r="CR1223" s="167">
        <v>0</v>
      </c>
      <c r="CS1223" s="167">
        <v>0</v>
      </c>
      <c r="CT1223" s="167">
        <v>0</v>
      </c>
      <c r="CU1223" s="167">
        <v>0</v>
      </c>
      <c r="CV1223" s="167">
        <v>0</v>
      </c>
      <c r="CW1223" s="167">
        <v>0</v>
      </c>
      <c r="CX1223" s="167">
        <f>SUM(CD1223:CH1223)</f>
        <v>0.33333333333333331</v>
      </c>
      <c r="CY1223" s="167">
        <f>SUM(CD1223:CM1223)</f>
        <v>1</v>
      </c>
    </row>
    <row r="1224" spans="1:103" ht="12.75" customHeight="1" x14ac:dyDescent="0.2">
      <c r="A1224" s="81">
        <v>4167</v>
      </c>
      <c r="B1224" s="165" t="s">
        <v>1955</v>
      </c>
      <c r="C1224" s="165" t="s">
        <v>2090</v>
      </c>
      <c r="E1224" s="165" t="s">
        <v>2088</v>
      </c>
      <c r="G1224" s="81">
        <v>522501</v>
      </c>
      <c r="H1224" s="81">
        <v>173758</v>
      </c>
      <c r="I1224" s="165" t="s">
        <v>877</v>
      </c>
      <c r="L1224" s="166">
        <v>0</v>
      </c>
      <c r="M1224" s="166">
        <v>1</v>
      </c>
      <c r="N1224" s="166">
        <v>1</v>
      </c>
      <c r="O1224" s="166">
        <v>4</v>
      </c>
      <c r="P1224" s="166">
        <v>4</v>
      </c>
      <c r="R1224" s="165" t="s">
        <v>2091</v>
      </c>
      <c r="S1224" s="81" t="s">
        <v>121</v>
      </c>
      <c r="T1224" s="349">
        <v>43181</v>
      </c>
      <c r="W1224" s="81" t="s">
        <v>114</v>
      </c>
      <c r="Y1224" s="81" t="s">
        <v>115</v>
      </c>
      <c r="Z1224" s="81" t="s">
        <v>398</v>
      </c>
      <c r="AA1224" s="81" t="s">
        <v>117</v>
      </c>
      <c r="AB1224" s="81" t="s">
        <v>218</v>
      </c>
      <c r="AC1224" s="166">
        <v>8.9999996125698107E-3</v>
      </c>
      <c r="AG1224" s="81" t="s">
        <v>238</v>
      </c>
      <c r="AH1224" s="81" t="s">
        <v>118</v>
      </c>
      <c r="AK1224" s="166">
        <v>0</v>
      </c>
      <c r="AM1224" s="166">
        <v>0</v>
      </c>
      <c r="AO1224" s="166">
        <v>0</v>
      </c>
      <c r="AP1224" s="166">
        <v>0</v>
      </c>
      <c r="AQ1224" s="166">
        <v>1</v>
      </c>
      <c r="AR1224" s="166">
        <v>0</v>
      </c>
      <c r="AS1224" s="166">
        <v>0</v>
      </c>
      <c r="AT1224" s="166">
        <v>0</v>
      </c>
      <c r="AU1224" s="166">
        <v>0</v>
      </c>
      <c r="AV1224" s="166">
        <v>0</v>
      </c>
      <c r="AW1224" s="166">
        <v>0</v>
      </c>
      <c r="AX1224" s="166">
        <v>1</v>
      </c>
      <c r="AY1224" s="166">
        <v>0</v>
      </c>
      <c r="AZ1224" s="166">
        <v>0</v>
      </c>
      <c r="BA1224" s="166">
        <v>0</v>
      </c>
      <c r="BB1224" s="166">
        <v>0</v>
      </c>
      <c r="BC1224" s="166">
        <v>0</v>
      </c>
      <c r="BD1224" s="166">
        <v>0</v>
      </c>
      <c r="BE1224" s="166">
        <v>0</v>
      </c>
      <c r="BF1224" s="166">
        <v>0</v>
      </c>
      <c r="BG1224" s="166">
        <v>0</v>
      </c>
      <c r="BH1224" s="166">
        <v>0</v>
      </c>
      <c r="BI1224" s="166">
        <v>0</v>
      </c>
      <c r="BJ1224" s="166">
        <v>0</v>
      </c>
      <c r="BK1224" s="166">
        <v>0</v>
      </c>
      <c r="BL1224" s="166">
        <v>0</v>
      </c>
      <c r="BM1224" s="166">
        <v>0</v>
      </c>
      <c r="BN1224" s="166">
        <v>0</v>
      </c>
      <c r="BO1224" s="166">
        <v>0</v>
      </c>
      <c r="BP1224" s="166">
        <v>0</v>
      </c>
      <c r="BQ1224" s="81" t="s">
        <v>1758</v>
      </c>
      <c r="BZ1224" s="81" t="s">
        <v>155</v>
      </c>
      <c r="CA1224" s="81">
        <v>10</v>
      </c>
      <c r="CC1224" s="167">
        <v>0</v>
      </c>
      <c r="CD1224" s="167">
        <v>0</v>
      </c>
      <c r="CE1224" s="167">
        <v>0</v>
      </c>
      <c r="CF1224" s="167">
        <v>0</v>
      </c>
      <c r="CG1224" s="167">
        <v>0</v>
      </c>
      <c r="CH1224" s="167">
        <f>$N1224/3</f>
        <v>0.33333333333333331</v>
      </c>
      <c r="CI1224" s="167">
        <f>$N1224/3</f>
        <v>0.33333333333333331</v>
      </c>
      <c r="CJ1224" s="167">
        <f>$N1224/3</f>
        <v>0.33333333333333331</v>
      </c>
      <c r="CK1224" s="167">
        <v>0</v>
      </c>
      <c r="CL1224" s="167">
        <v>0</v>
      </c>
      <c r="CM1224" s="167">
        <v>0</v>
      </c>
      <c r="CN1224" s="167">
        <v>0</v>
      </c>
      <c r="CO1224" s="167">
        <v>0</v>
      </c>
      <c r="CP1224" s="167">
        <v>0</v>
      </c>
      <c r="CQ1224" s="167">
        <v>0</v>
      </c>
      <c r="CR1224" s="167">
        <v>0</v>
      </c>
      <c r="CS1224" s="167">
        <v>0</v>
      </c>
      <c r="CT1224" s="167">
        <v>0</v>
      </c>
      <c r="CU1224" s="167">
        <v>0</v>
      </c>
      <c r="CV1224" s="167">
        <v>0</v>
      </c>
      <c r="CW1224" s="167">
        <v>0</v>
      </c>
      <c r="CX1224" s="167">
        <f>SUM(CD1224:CH1224)</f>
        <v>0.33333333333333331</v>
      </c>
      <c r="CY1224" s="167">
        <f>SUM(CD1224:CM1224)</f>
        <v>1</v>
      </c>
    </row>
    <row r="1225" spans="1:103" ht="12.75" customHeight="1" x14ac:dyDescent="0.2">
      <c r="A1225" s="81">
        <v>4345</v>
      </c>
      <c r="B1225" s="165" t="s">
        <v>1955</v>
      </c>
      <c r="C1225" s="165" t="s">
        <v>2092</v>
      </c>
      <c r="E1225" s="165" t="s">
        <v>2093</v>
      </c>
      <c r="F1225" s="165" t="s">
        <v>2095</v>
      </c>
      <c r="G1225" s="81">
        <v>527940</v>
      </c>
      <c r="H1225" s="81">
        <v>172391</v>
      </c>
      <c r="I1225" s="165" t="s">
        <v>254</v>
      </c>
      <c r="L1225" s="166">
        <v>0</v>
      </c>
      <c r="M1225" s="166">
        <v>1</v>
      </c>
      <c r="N1225" s="166">
        <v>1</v>
      </c>
      <c r="O1225" s="166">
        <v>3</v>
      </c>
      <c r="P1225" s="166">
        <v>2</v>
      </c>
      <c r="R1225" s="165" t="s">
        <v>2094</v>
      </c>
      <c r="S1225" s="81" t="s">
        <v>121</v>
      </c>
      <c r="T1225" s="349">
        <v>43181</v>
      </c>
      <c r="W1225" s="81" t="s">
        <v>114</v>
      </c>
      <c r="Y1225" s="81" t="s">
        <v>115</v>
      </c>
      <c r="Z1225" s="81" t="s">
        <v>398</v>
      </c>
      <c r="AA1225" s="81" t="s">
        <v>117</v>
      </c>
      <c r="AB1225" s="81" t="s">
        <v>218</v>
      </c>
      <c r="AC1225" s="166">
        <v>4.0000001899898104E-3</v>
      </c>
      <c r="AG1225" s="81" t="s">
        <v>238</v>
      </c>
      <c r="AH1225" s="81" t="s">
        <v>118</v>
      </c>
      <c r="AK1225" s="166">
        <v>0</v>
      </c>
      <c r="AM1225" s="166">
        <v>0</v>
      </c>
      <c r="AO1225" s="166">
        <v>0</v>
      </c>
      <c r="AP1225" s="166">
        <v>0</v>
      </c>
      <c r="AQ1225" s="166">
        <v>1</v>
      </c>
      <c r="AR1225" s="166">
        <v>0</v>
      </c>
      <c r="AS1225" s="166">
        <v>0</v>
      </c>
      <c r="AT1225" s="166">
        <v>0</v>
      </c>
      <c r="AU1225" s="166">
        <v>0</v>
      </c>
      <c r="AV1225" s="166">
        <v>0</v>
      </c>
      <c r="AW1225" s="166">
        <v>0</v>
      </c>
      <c r="AX1225" s="166">
        <v>1</v>
      </c>
      <c r="AY1225" s="166">
        <v>0</v>
      </c>
      <c r="AZ1225" s="166">
        <v>0</v>
      </c>
      <c r="BA1225" s="166">
        <v>0</v>
      </c>
      <c r="BB1225" s="166">
        <v>0</v>
      </c>
      <c r="BC1225" s="166">
        <v>0</v>
      </c>
      <c r="BD1225" s="166">
        <v>0</v>
      </c>
      <c r="BE1225" s="166">
        <v>0</v>
      </c>
      <c r="BF1225" s="166">
        <v>0</v>
      </c>
      <c r="BG1225" s="166">
        <v>0</v>
      </c>
      <c r="BH1225" s="166">
        <v>0</v>
      </c>
      <c r="BI1225" s="166">
        <v>0</v>
      </c>
      <c r="BJ1225" s="166">
        <v>0</v>
      </c>
      <c r="BK1225" s="166">
        <v>0</v>
      </c>
      <c r="BL1225" s="166">
        <v>0</v>
      </c>
      <c r="BM1225" s="166">
        <v>0</v>
      </c>
      <c r="BN1225" s="166">
        <v>0</v>
      </c>
      <c r="BO1225" s="166">
        <v>0</v>
      </c>
      <c r="BP1225" s="166">
        <v>0</v>
      </c>
      <c r="BQ1225" s="81" t="s">
        <v>1757</v>
      </c>
      <c r="BZ1225" s="81" t="s">
        <v>155</v>
      </c>
      <c r="CA1225" s="81">
        <v>10</v>
      </c>
      <c r="CC1225" s="167">
        <v>0</v>
      </c>
      <c r="CD1225" s="167">
        <v>0</v>
      </c>
      <c r="CE1225" s="167">
        <v>0</v>
      </c>
      <c r="CF1225" s="167">
        <v>0</v>
      </c>
      <c r="CG1225" s="167">
        <v>0</v>
      </c>
      <c r="CH1225" s="167">
        <f>$N1225/3</f>
        <v>0.33333333333333331</v>
      </c>
      <c r="CI1225" s="167">
        <f>$N1225/3</f>
        <v>0.33333333333333331</v>
      </c>
      <c r="CJ1225" s="167">
        <f>$N1225/3</f>
        <v>0.33333333333333331</v>
      </c>
      <c r="CK1225" s="167">
        <v>0</v>
      </c>
      <c r="CL1225" s="167">
        <v>0</v>
      </c>
      <c r="CM1225" s="167">
        <v>0</v>
      </c>
      <c r="CN1225" s="167">
        <v>0</v>
      </c>
      <c r="CO1225" s="167">
        <v>0</v>
      </c>
      <c r="CP1225" s="167">
        <v>0</v>
      </c>
      <c r="CQ1225" s="167">
        <v>0</v>
      </c>
      <c r="CR1225" s="167">
        <v>0</v>
      </c>
      <c r="CS1225" s="167">
        <v>0</v>
      </c>
      <c r="CT1225" s="167">
        <v>0</v>
      </c>
      <c r="CU1225" s="167">
        <v>0</v>
      </c>
      <c r="CV1225" s="167">
        <v>0</v>
      </c>
      <c r="CW1225" s="167">
        <v>0</v>
      </c>
      <c r="CX1225" s="167">
        <f>SUM(CD1225:CH1225)</f>
        <v>0.33333333333333331</v>
      </c>
      <c r="CY1225" s="167">
        <f>SUM(CD1225:CM1225)</f>
        <v>1</v>
      </c>
    </row>
    <row r="1226" spans="1:103" ht="12.75" customHeight="1" x14ac:dyDescent="0.2">
      <c r="A1226" s="81">
        <v>4345</v>
      </c>
      <c r="B1226" s="165" t="s">
        <v>1955</v>
      </c>
      <c r="C1226" s="165" t="s">
        <v>2092</v>
      </c>
      <c r="E1226" s="165" t="s">
        <v>2093</v>
      </c>
      <c r="G1226" s="81">
        <v>527940</v>
      </c>
      <c r="H1226" s="81">
        <v>172391</v>
      </c>
      <c r="I1226" s="165" t="s">
        <v>254</v>
      </c>
      <c r="L1226" s="166">
        <v>1</v>
      </c>
      <c r="M1226" s="166">
        <v>2</v>
      </c>
      <c r="N1226" s="166">
        <v>1</v>
      </c>
      <c r="O1226" s="166">
        <v>3</v>
      </c>
      <c r="P1226" s="166">
        <v>2</v>
      </c>
      <c r="R1226" s="165" t="s">
        <v>2094</v>
      </c>
      <c r="S1226" s="81" t="s">
        <v>121</v>
      </c>
      <c r="T1226" s="349">
        <v>43181</v>
      </c>
      <c r="W1226" s="81" t="s">
        <v>114</v>
      </c>
      <c r="Y1226" s="81" t="s">
        <v>115</v>
      </c>
      <c r="Z1226" s="81" t="s">
        <v>398</v>
      </c>
      <c r="AA1226" s="81" t="s">
        <v>117</v>
      </c>
      <c r="AB1226" s="81" t="s">
        <v>220</v>
      </c>
      <c r="AC1226" s="166">
        <v>7.0000002160668399E-3</v>
      </c>
      <c r="AG1226" s="81" t="s">
        <v>238</v>
      </c>
      <c r="AH1226" s="81" t="s">
        <v>118</v>
      </c>
      <c r="AK1226" s="166">
        <v>0</v>
      </c>
      <c r="AM1226" s="166">
        <v>0</v>
      </c>
      <c r="AO1226" s="166">
        <v>0</v>
      </c>
      <c r="AP1226" s="166">
        <v>1</v>
      </c>
      <c r="AQ1226" s="166">
        <v>1</v>
      </c>
      <c r="AR1226" s="166">
        <v>-1</v>
      </c>
      <c r="AS1226" s="166">
        <v>0</v>
      </c>
      <c r="AT1226" s="166">
        <v>0</v>
      </c>
      <c r="AU1226" s="166">
        <v>0</v>
      </c>
      <c r="AV1226" s="166">
        <v>0</v>
      </c>
      <c r="AW1226" s="166">
        <v>1</v>
      </c>
      <c r="AX1226" s="166">
        <v>1</v>
      </c>
      <c r="AY1226" s="166">
        <v>-1</v>
      </c>
      <c r="AZ1226" s="166">
        <v>0</v>
      </c>
      <c r="BA1226" s="166">
        <v>0</v>
      </c>
      <c r="BB1226" s="166">
        <v>0</v>
      </c>
      <c r="BC1226" s="166">
        <v>0</v>
      </c>
      <c r="BD1226" s="166">
        <v>0</v>
      </c>
      <c r="BE1226" s="166">
        <v>0</v>
      </c>
      <c r="BF1226" s="166">
        <v>0</v>
      </c>
      <c r="BG1226" s="166">
        <v>0</v>
      </c>
      <c r="BH1226" s="166">
        <v>0</v>
      </c>
      <c r="BI1226" s="166">
        <v>0</v>
      </c>
      <c r="BJ1226" s="166">
        <v>0</v>
      </c>
      <c r="BK1226" s="166">
        <v>0</v>
      </c>
      <c r="BL1226" s="166">
        <v>0</v>
      </c>
      <c r="BM1226" s="166">
        <v>0</v>
      </c>
      <c r="BN1226" s="166">
        <v>0</v>
      </c>
      <c r="BO1226" s="166">
        <v>0</v>
      </c>
      <c r="BP1226" s="166">
        <v>0</v>
      </c>
      <c r="BQ1226" s="81" t="s">
        <v>1757</v>
      </c>
      <c r="BZ1226" s="81" t="s">
        <v>155</v>
      </c>
      <c r="CA1226" s="81">
        <v>10</v>
      </c>
      <c r="CC1226" s="167">
        <v>0</v>
      </c>
      <c r="CD1226" s="167">
        <v>0</v>
      </c>
      <c r="CE1226" s="167">
        <v>0</v>
      </c>
      <c r="CF1226" s="167">
        <v>0</v>
      </c>
      <c r="CG1226" s="167">
        <v>0</v>
      </c>
      <c r="CH1226" s="167">
        <f>$N1226/3</f>
        <v>0.33333333333333331</v>
      </c>
      <c r="CI1226" s="167">
        <f>$N1226/3</f>
        <v>0.33333333333333331</v>
      </c>
      <c r="CJ1226" s="167">
        <f>$N1226/3</f>
        <v>0.33333333333333331</v>
      </c>
      <c r="CK1226" s="167">
        <v>0</v>
      </c>
      <c r="CL1226" s="167">
        <v>0</v>
      </c>
      <c r="CM1226" s="167">
        <v>0</v>
      </c>
      <c r="CN1226" s="167">
        <v>0</v>
      </c>
      <c r="CO1226" s="167">
        <v>0</v>
      </c>
      <c r="CP1226" s="167">
        <v>0</v>
      </c>
      <c r="CQ1226" s="167">
        <v>0</v>
      </c>
      <c r="CR1226" s="167">
        <v>0</v>
      </c>
      <c r="CS1226" s="167">
        <v>0</v>
      </c>
      <c r="CT1226" s="167">
        <v>0</v>
      </c>
      <c r="CU1226" s="167">
        <v>0</v>
      </c>
      <c r="CV1226" s="167">
        <v>0</v>
      </c>
      <c r="CW1226" s="167">
        <v>0</v>
      </c>
      <c r="CX1226" s="167">
        <f>SUM(CD1226:CH1226)</f>
        <v>0.33333333333333331</v>
      </c>
      <c r="CY1226" s="167">
        <f>SUM(CD1226:CM1226)</f>
        <v>1</v>
      </c>
    </row>
    <row r="1227" spans="1:103" ht="12.75" customHeight="1" x14ac:dyDescent="0.2">
      <c r="A1227" s="81">
        <v>4592</v>
      </c>
      <c r="B1227" s="165" t="s">
        <v>1955</v>
      </c>
      <c r="C1227" s="165" t="s">
        <v>3036</v>
      </c>
      <c r="E1227" s="165" t="s">
        <v>3037</v>
      </c>
      <c r="F1227" s="165" t="s">
        <v>3038</v>
      </c>
      <c r="G1227" s="81">
        <v>525349</v>
      </c>
      <c r="H1227" s="81">
        <v>174610</v>
      </c>
      <c r="I1227" s="165" t="s">
        <v>258</v>
      </c>
      <c r="L1227" s="166">
        <v>0</v>
      </c>
      <c r="M1227" s="166">
        <v>5</v>
      </c>
      <c r="N1227" s="166">
        <v>5</v>
      </c>
      <c r="O1227" s="166">
        <v>9</v>
      </c>
      <c r="P1227" s="166">
        <v>9</v>
      </c>
      <c r="R1227" s="165" t="s">
        <v>3039</v>
      </c>
      <c r="S1227" s="81" t="s">
        <v>121</v>
      </c>
      <c r="T1227" s="349">
        <v>43154</v>
      </c>
      <c r="W1227" s="81" t="s">
        <v>114</v>
      </c>
      <c r="Y1227" s="81" t="s">
        <v>115</v>
      </c>
      <c r="Z1227" s="81" t="s">
        <v>219</v>
      </c>
      <c r="AA1227" s="81" t="s">
        <v>117</v>
      </c>
      <c r="AB1227" s="81" t="s">
        <v>3889</v>
      </c>
      <c r="AC1227" s="166">
        <v>7.0000002160668399E-3</v>
      </c>
      <c r="AG1227" s="81" t="s">
        <v>238</v>
      </c>
      <c r="AH1227" s="81" t="s">
        <v>118</v>
      </c>
      <c r="AK1227" s="166">
        <v>0</v>
      </c>
      <c r="AM1227" s="166">
        <v>0</v>
      </c>
      <c r="AO1227" s="166">
        <v>0</v>
      </c>
      <c r="AP1227" s="166">
        <v>2</v>
      </c>
      <c r="AQ1227" s="166">
        <v>3</v>
      </c>
      <c r="AR1227" s="166">
        <v>0</v>
      </c>
      <c r="AS1227" s="166">
        <v>0</v>
      </c>
      <c r="AT1227" s="166">
        <v>0</v>
      </c>
      <c r="AU1227" s="166">
        <v>0</v>
      </c>
      <c r="AV1227" s="166">
        <v>0</v>
      </c>
      <c r="AW1227" s="166">
        <v>2</v>
      </c>
      <c r="AX1227" s="166">
        <v>3</v>
      </c>
      <c r="AY1227" s="166">
        <v>0</v>
      </c>
      <c r="AZ1227" s="166">
        <v>0</v>
      </c>
      <c r="BA1227" s="166">
        <v>0</v>
      </c>
      <c r="BB1227" s="166">
        <v>0</v>
      </c>
      <c r="BC1227" s="166">
        <v>0</v>
      </c>
      <c r="BD1227" s="166">
        <v>0</v>
      </c>
      <c r="BE1227" s="166">
        <v>0</v>
      </c>
      <c r="BF1227" s="166">
        <v>0</v>
      </c>
      <c r="BG1227" s="166">
        <v>0</v>
      </c>
      <c r="BH1227" s="166">
        <v>0</v>
      </c>
      <c r="BI1227" s="166">
        <v>0</v>
      </c>
      <c r="BJ1227" s="166">
        <v>0</v>
      </c>
      <c r="BK1227" s="166">
        <v>0</v>
      </c>
      <c r="BL1227" s="166">
        <v>0</v>
      </c>
      <c r="BM1227" s="166">
        <v>0</v>
      </c>
      <c r="BN1227" s="166">
        <v>0</v>
      </c>
      <c r="BO1227" s="166">
        <v>0</v>
      </c>
      <c r="BP1227" s="166">
        <v>0</v>
      </c>
      <c r="BQ1227" s="81" t="s">
        <v>1758</v>
      </c>
      <c r="BR1227" s="81" t="s">
        <v>202</v>
      </c>
      <c r="BT1227" s="81" t="s">
        <v>155</v>
      </c>
      <c r="BZ1227" s="81" t="s">
        <v>155</v>
      </c>
      <c r="CA1227" s="81">
        <v>10</v>
      </c>
      <c r="CC1227" s="167">
        <v>0</v>
      </c>
      <c r="CD1227" s="167">
        <v>0</v>
      </c>
      <c r="CE1227" s="167">
        <v>0</v>
      </c>
      <c r="CF1227" s="167">
        <v>0</v>
      </c>
      <c r="CG1227" s="167">
        <v>0</v>
      </c>
      <c r="CH1227" s="167">
        <f>$N1227/3</f>
        <v>1.6666666666666667</v>
      </c>
      <c r="CI1227" s="167">
        <f>$N1227/3</f>
        <v>1.6666666666666667</v>
      </c>
      <c r="CJ1227" s="167">
        <f>$N1227/3</f>
        <v>1.6666666666666667</v>
      </c>
      <c r="CK1227" s="167">
        <v>0</v>
      </c>
      <c r="CL1227" s="167">
        <v>0</v>
      </c>
      <c r="CM1227" s="167">
        <v>0</v>
      </c>
      <c r="CN1227" s="167">
        <v>0</v>
      </c>
      <c r="CO1227" s="167">
        <v>0</v>
      </c>
      <c r="CP1227" s="167">
        <v>0</v>
      </c>
      <c r="CQ1227" s="167">
        <v>0</v>
      </c>
      <c r="CR1227" s="167">
        <v>0</v>
      </c>
      <c r="CS1227" s="167">
        <v>0</v>
      </c>
      <c r="CT1227" s="167">
        <v>0</v>
      </c>
      <c r="CU1227" s="167">
        <v>0</v>
      </c>
      <c r="CV1227" s="167">
        <v>0</v>
      </c>
      <c r="CW1227" s="167">
        <v>0</v>
      </c>
      <c r="CX1227" s="167">
        <f>SUM(CD1227:CH1227)</f>
        <v>1.6666666666666667</v>
      </c>
      <c r="CY1227" s="167">
        <f>SUM(CD1227:CM1227)</f>
        <v>5</v>
      </c>
    </row>
    <row r="1228" spans="1:103" ht="12.75" customHeight="1" x14ac:dyDescent="0.2">
      <c r="A1228" s="81">
        <v>4592</v>
      </c>
      <c r="B1228" s="165" t="s">
        <v>1955</v>
      </c>
      <c r="C1228" s="165" t="s">
        <v>3036</v>
      </c>
      <c r="E1228" s="165" t="s">
        <v>3037</v>
      </c>
      <c r="F1228" s="165" t="s">
        <v>3040</v>
      </c>
      <c r="G1228" s="81">
        <v>525349</v>
      </c>
      <c r="H1228" s="81">
        <v>174610</v>
      </c>
      <c r="I1228" s="165" t="s">
        <v>258</v>
      </c>
      <c r="L1228" s="166">
        <v>0</v>
      </c>
      <c r="M1228" s="166">
        <v>4</v>
      </c>
      <c r="N1228" s="166">
        <v>4</v>
      </c>
      <c r="O1228" s="166">
        <v>9</v>
      </c>
      <c r="P1228" s="166">
        <v>9</v>
      </c>
      <c r="R1228" s="165" t="s">
        <v>3039</v>
      </c>
      <c r="S1228" s="81" t="s">
        <v>121</v>
      </c>
      <c r="T1228" s="349">
        <v>43154</v>
      </c>
      <c r="W1228" s="81" t="s">
        <v>114</v>
      </c>
      <c r="Y1228" s="81" t="s">
        <v>115</v>
      </c>
      <c r="Z1228" s="81" t="s">
        <v>219</v>
      </c>
      <c r="AA1228" s="81" t="s">
        <v>117</v>
      </c>
      <c r="AB1228" s="81" t="s">
        <v>3889</v>
      </c>
      <c r="AC1228" s="166">
        <v>4.9999998882412902E-3</v>
      </c>
      <c r="AG1228" s="81" t="s">
        <v>238</v>
      </c>
      <c r="AH1228" s="81" t="s">
        <v>118</v>
      </c>
      <c r="AK1228" s="166">
        <v>0</v>
      </c>
      <c r="AM1228" s="166">
        <v>0</v>
      </c>
      <c r="AO1228" s="166">
        <v>0</v>
      </c>
      <c r="AP1228" s="166">
        <v>2</v>
      </c>
      <c r="AQ1228" s="166">
        <v>2</v>
      </c>
      <c r="AR1228" s="166">
        <v>0</v>
      </c>
      <c r="AS1228" s="166">
        <v>0</v>
      </c>
      <c r="AT1228" s="166">
        <v>0</v>
      </c>
      <c r="AU1228" s="166">
        <v>0</v>
      </c>
      <c r="AV1228" s="166">
        <v>0</v>
      </c>
      <c r="AW1228" s="166">
        <v>2</v>
      </c>
      <c r="AX1228" s="166">
        <v>2</v>
      </c>
      <c r="AY1228" s="166">
        <v>0</v>
      </c>
      <c r="AZ1228" s="166">
        <v>0</v>
      </c>
      <c r="BA1228" s="166">
        <v>0</v>
      </c>
      <c r="BB1228" s="166">
        <v>0</v>
      </c>
      <c r="BC1228" s="166">
        <v>0</v>
      </c>
      <c r="BD1228" s="166">
        <v>0</v>
      </c>
      <c r="BE1228" s="166">
        <v>0</v>
      </c>
      <c r="BF1228" s="166">
        <v>0</v>
      </c>
      <c r="BG1228" s="166">
        <v>0</v>
      </c>
      <c r="BH1228" s="166">
        <v>0</v>
      </c>
      <c r="BI1228" s="166">
        <v>0</v>
      </c>
      <c r="BJ1228" s="166">
        <v>0</v>
      </c>
      <c r="BK1228" s="166">
        <v>0</v>
      </c>
      <c r="BL1228" s="166">
        <v>0</v>
      </c>
      <c r="BM1228" s="166">
        <v>0</v>
      </c>
      <c r="BN1228" s="166">
        <v>0</v>
      </c>
      <c r="BO1228" s="166">
        <v>0</v>
      </c>
      <c r="BP1228" s="166">
        <v>0</v>
      </c>
      <c r="BQ1228" s="81" t="s">
        <v>1758</v>
      </c>
      <c r="BR1228" s="81" t="s">
        <v>202</v>
      </c>
      <c r="BT1228" s="81" t="s">
        <v>155</v>
      </c>
      <c r="BZ1228" s="81" t="s">
        <v>155</v>
      </c>
      <c r="CA1228" s="81">
        <v>10</v>
      </c>
      <c r="CC1228" s="167">
        <v>0</v>
      </c>
      <c r="CD1228" s="167">
        <v>0</v>
      </c>
      <c r="CE1228" s="167">
        <v>0</v>
      </c>
      <c r="CF1228" s="167">
        <v>0</v>
      </c>
      <c r="CG1228" s="167">
        <v>0</v>
      </c>
      <c r="CH1228" s="167">
        <f>$N1228/3</f>
        <v>1.3333333333333333</v>
      </c>
      <c r="CI1228" s="167">
        <f>$N1228/3</f>
        <v>1.3333333333333333</v>
      </c>
      <c r="CJ1228" s="167">
        <f>$N1228/3</f>
        <v>1.3333333333333333</v>
      </c>
      <c r="CK1228" s="167">
        <v>0</v>
      </c>
      <c r="CL1228" s="167">
        <v>0</v>
      </c>
      <c r="CM1228" s="167">
        <v>0</v>
      </c>
      <c r="CN1228" s="167">
        <v>0</v>
      </c>
      <c r="CO1228" s="167">
        <v>0</v>
      </c>
      <c r="CP1228" s="167">
        <v>0</v>
      </c>
      <c r="CQ1228" s="167">
        <v>0</v>
      </c>
      <c r="CR1228" s="167">
        <v>0</v>
      </c>
      <c r="CS1228" s="167">
        <v>0</v>
      </c>
      <c r="CT1228" s="167">
        <v>0</v>
      </c>
      <c r="CU1228" s="167">
        <v>0</v>
      </c>
      <c r="CV1228" s="167">
        <v>0</v>
      </c>
      <c r="CW1228" s="167">
        <v>0</v>
      </c>
      <c r="CX1228" s="167">
        <f>SUM(CD1228:CH1228)</f>
        <v>1.3333333333333333</v>
      </c>
      <c r="CY1228" s="167">
        <f>SUM(CD1228:CM1228)</f>
        <v>4</v>
      </c>
    </row>
    <row r="1229" spans="1:103" ht="12.75" customHeight="1" x14ac:dyDescent="0.2">
      <c r="A1229" s="81">
        <v>4643</v>
      </c>
      <c r="B1229" s="165" t="s">
        <v>1955</v>
      </c>
      <c r="C1229" s="165" t="s">
        <v>2097</v>
      </c>
      <c r="E1229" s="165" t="s">
        <v>2098</v>
      </c>
      <c r="G1229" s="81">
        <v>528560</v>
      </c>
      <c r="H1229" s="81">
        <v>173342</v>
      </c>
      <c r="I1229" s="165" t="s">
        <v>247</v>
      </c>
      <c r="L1229" s="166">
        <v>1</v>
      </c>
      <c r="M1229" s="166">
        <v>2</v>
      </c>
      <c r="N1229" s="166">
        <v>1</v>
      </c>
      <c r="O1229" s="166">
        <v>2</v>
      </c>
      <c r="P1229" s="166">
        <v>1</v>
      </c>
      <c r="R1229" s="165" t="s">
        <v>2099</v>
      </c>
      <c r="S1229" s="81" t="s">
        <v>121</v>
      </c>
      <c r="T1229" s="349">
        <v>43124</v>
      </c>
      <c r="W1229" s="81" t="s">
        <v>114</v>
      </c>
      <c r="Y1229" s="81" t="s">
        <v>115</v>
      </c>
      <c r="Z1229" s="81" t="s">
        <v>119</v>
      </c>
      <c r="AA1229" s="81" t="s">
        <v>117</v>
      </c>
      <c r="AB1229" s="81" t="s">
        <v>220</v>
      </c>
      <c r="AC1229" s="166">
        <v>4.0000001899898104E-3</v>
      </c>
      <c r="AG1229" s="81" t="s">
        <v>238</v>
      </c>
      <c r="AH1229" s="81" t="s">
        <v>118</v>
      </c>
      <c r="AK1229" s="166">
        <v>0</v>
      </c>
      <c r="AM1229" s="166">
        <v>0</v>
      </c>
      <c r="AO1229" s="166">
        <v>1</v>
      </c>
      <c r="AP1229" s="166">
        <v>1</v>
      </c>
      <c r="AQ1229" s="166">
        <v>-1</v>
      </c>
      <c r="AR1229" s="166">
        <v>0</v>
      </c>
      <c r="AS1229" s="166">
        <v>0</v>
      </c>
      <c r="AT1229" s="166">
        <v>0</v>
      </c>
      <c r="AU1229" s="166">
        <v>0</v>
      </c>
      <c r="AV1229" s="166">
        <v>1</v>
      </c>
      <c r="AW1229" s="166">
        <v>1</v>
      </c>
      <c r="AX1229" s="166">
        <v>-1</v>
      </c>
      <c r="AY1229" s="166">
        <v>0</v>
      </c>
      <c r="AZ1229" s="166">
        <v>0</v>
      </c>
      <c r="BA1229" s="166">
        <v>0</v>
      </c>
      <c r="BB1229" s="166">
        <v>0</v>
      </c>
      <c r="BC1229" s="166">
        <v>0</v>
      </c>
      <c r="BD1229" s="166">
        <v>0</v>
      </c>
      <c r="BE1229" s="166">
        <v>0</v>
      </c>
      <c r="BF1229" s="166">
        <v>0</v>
      </c>
      <c r="BG1229" s="166">
        <v>0</v>
      </c>
      <c r="BH1229" s="166">
        <v>0</v>
      </c>
      <c r="BI1229" s="166">
        <v>0</v>
      </c>
      <c r="BJ1229" s="166">
        <v>0</v>
      </c>
      <c r="BK1229" s="166">
        <v>0</v>
      </c>
      <c r="BL1229" s="166">
        <v>0</v>
      </c>
      <c r="BM1229" s="166">
        <v>0</v>
      </c>
      <c r="BN1229" s="166">
        <v>0</v>
      </c>
      <c r="BO1229" s="166">
        <v>0</v>
      </c>
      <c r="BP1229" s="166">
        <v>0</v>
      </c>
      <c r="BQ1229" s="81" t="s">
        <v>1757</v>
      </c>
      <c r="BR1229" s="81" t="s">
        <v>247</v>
      </c>
      <c r="BZ1229" s="81" t="s">
        <v>155</v>
      </c>
      <c r="CA1229" s="81">
        <v>10</v>
      </c>
      <c r="CC1229" s="167">
        <v>0</v>
      </c>
      <c r="CD1229" s="167">
        <v>0</v>
      </c>
      <c r="CE1229" s="167">
        <v>0</v>
      </c>
      <c r="CF1229" s="167">
        <v>0</v>
      </c>
      <c r="CG1229" s="167">
        <v>0</v>
      </c>
      <c r="CH1229" s="167">
        <f>$N1229/3</f>
        <v>0.33333333333333331</v>
      </c>
      <c r="CI1229" s="167">
        <f>$N1229/3</f>
        <v>0.33333333333333331</v>
      </c>
      <c r="CJ1229" s="167">
        <f>$N1229/3</f>
        <v>0.33333333333333331</v>
      </c>
      <c r="CK1229" s="167">
        <v>0</v>
      </c>
      <c r="CL1229" s="167">
        <v>0</v>
      </c>
      <c r="CM1229" s="167">
        <v>0</v>
      </c>
      <c r="CN1229" s="167">
        <v>0</v>
      </c>
      <c r="CO1229" s="167">
        <v>0</v>
      </c>
      <c r="CP1229" s="167">
        <v>0</v>
      </c>
      <c r="CQ1229" s="167">
        <v>0</v>
      </c>
      <c r="CR1229" s="167">
        <v>0</v>
      </c>
      <c r="CS1229" s="167">
        <v>0</v>
      </c>
      <c r="CT1229" s="167">
        <v>0</v>
      </c>
      <c r="CU1229" s="167">
        <v>0</v>
      </c>
      <c r="CV1229" s="167">
        <v>0</v>
      </c>
      <c r="CW1229" s="167">
        <v>0</v>
      </c>
      <c r="CX1229" s="167">
        <f>SUM(CD1229:CH1229)</f>
        <v>0.33333333333333331</v>
      </c>
      <c r="CY1229" s="167">
        <f>SUM(CD1229:CM1229)</f>
        <v>1</v>
      </c>
    </row>
    <row r="1230" spans="1:103" ht="12.75" customHeight="1" x14ac:dyDescent="0.2">
      <c r="A1230" s="81">
        <v>4750</v>
      </c>
      <c r="B1230" s="165" t="s">
        <v>1955</v>
      </c>
      <c r="C1230" s="165" t="s">
        <v>2100</v>
      </c>
      <c r="E1230" s="165" t="s">
        <v>2101</v>
      </c>
      <c r="G1230" s="81">
        <v>525522</v>
      </c>
      <c r="H1230" s="81">
        <v>174660</v>
      </c>
      <c r="I1230" s="165" t="s">
        <v>258</v>
      </c>
      <c r="L1230" s="166">
        <v>0</v>
      </c>
      <c r="M1230" s="166">
        <v>6</v>
      </c>
      <c r="N1230" s="166">
        <v>6</v>
      </c>
      <c r="O1230" s="166">
        <v>6</v>
      </c>
      <c r="P1230" s="166">
        <v>6</v>
      </c>
      <c r="R1230" s="165" t="s">
        <v>2102</v>
      </c>
      <c r="S1230" s="81" t="s">
        <v>121</v>
      </c>
      <c r="T1230" s="349">
        <v>43180</v>
      </c>
      <c r="W1230" s="81" t="s">
        <v>114</v>
      </c>
      <c r="Y1230" s="81" t="s">
        <v>115</v>
      </c>
      <c r="Z1230" s="81" t="s">
        <v>398</v>
      </c>
      <c r="AA1230" s="81" t="s">
        <v>117</v>
      </c>
      <c r="AB1230" s="81" t="s">
        <v>218</v>
      </c>
      <c r="AC1230" s="166">
        <v>1.8999999389052401E-2</v>
      </c>
      <c r="AG1230" s="81" t="s">
        <v>238</v>
      </c>
      <c r="AH1230" s="81" t="s">
        <v>118</v>
      </c>
      <c r="AK1230" s="166">
        <v>0</v>
      </c>
      <c r="AL1230" s="166">
        <v>6</v>
      </c>
      <c r="AM1230" s="166">
        <v>0</v>
      </c>
      <c r="AO1230" s="166">
        <v>1</v>
      </c>
      <c r="AP1230" s="166">
        <v>1</v>
      </c>
      <c r="AQ1230" s="166">
        <v>4</v>
      </c>
      <c r="AR1230" s="166">
        <v>0</v>
      </c>
      <c r="AS1230" s="166">
        <v>0</v>
      </c>
      <c r="AT1230" s="166">
        <v>0</v>
      </c>
      <c r="AU1230" s="166">
        <v>0</v>
      </c>
      <c r="AV1230" s="166">
        <v>1</v>
      </c>
      <c r="AW1230" s="166">
        <v>1</v>
      </c>
      <c r="AX1230" s="166">
        <v>4</v>
      </c>
      <c r="AY1230" s="166">
        <v>0</v>
      </c>
      <c r="AZ1230" s="166">
        <v>0</v>
      </c>
      <c r="BA1230" s="166">
        <v>0</v>
      </c>
      <c r="BB1230" s="166">
        <v>0</v>
      </c>
      <c r="BC1230" s="166">
        <v>0</v>
      </c>
      <c r="BD1230" s="166">
        <v>0</v>
      </c>
      <c r="BE1230" s="166">
        <v>0</v>
      </c>
      <c r="BF1230" s="166">
        <v>0</v>
      </c>
      <c r="BG1230" s="166">
        <v>0</v>
      </c>
      <c r="BH1230" s="166">
        <v>0</v>
      </c>
      <c r="BI1230" s="166">
        <v>0</v>
      </c>
      <c r="BJ1230" s="166">
        <v>0</v>
      </c>
      <c r="BK1230" s="166">
        <v>0</v>
      </c>
      <c r="BL1230" s="166">
        <v>0</v>
      </c>
      <c r="BM1230" s="166">
        <v>0</v>
      </c>
      <c r="BN1230" s="166">
        <v>0</v>
      </c>
      <c r="BO1230" s="166">
        <v>0</v>
      </c>
      <c r="BP1230" s="166">
        <v>0</v>
      </c>
      <c r="BQ1230" s="81" t="s">
        <v>1758</v>
      </c>
      <c r="BR1230" s="81" t="s">
        <v>202</v>
      </c>
      <c r="BT1230" s="81" t="s">
        <v>155</v>
      </c>
      <c r="BZ1230" s="81" t="s">
        <v>155</v>
      </c>
      <c r="CA1230" s="81">
        <v>10</v>
      </c>
      <c r="CC1230" s="167">
        <v>0</v>
      </c>
      <c r="CD1230" s="167">
        <v>0</v>
      </c>
      <c r="CE1230" s="167">
        <v>0</v>
      </c>
      <c r="CF1230" s="167">
        <v>0</v>
      </c>
      <c r="CG1230" s="167">
        <v>0</v>
      </c>
      <c r="CH1230" s="167">
        <f>$N1230/3</f>
        <v>2</v>
      </c>
      <c r="CI1230" s="167">
        <f>$N1230/3</f>
        <v>2</v>
      </c>
      <c r="CJ1230" s="167">
        <f>$N1230/3</f>
        <v>2</v>
      </c>
      <c r="CK1230" s="167">
        <v>0</v>
      </c>
      <c r="CL1230" s="167">
        <v>0</v>
      </c>
      <c r="CM1230" s="167">
        <v>0</v>
      </c>
      <c r="CN1230" s="167">
        <v>0</v>
      </c>
      <c r="CO1230" s="167">
        <v>0</v>
      </c>
      <c r="CP1230" s="167">
        <v>0</v>
      </c>
      <c r="CQ1230" s="167">
        <v>0</v>
      </c>
      <c r="CR1230" s="167">
        <v>0</v>
      </c>
      <c r="CS1230" s="167">
        <v>0</v>
      </c>
      <c r="CT1230" s="167">
        <v>0</v>
      </c>
      <c r="CU1230" s="167">
        <v>0</v>
      </c>
      <c r="CV1230" s="167">
        <v>0</v>
      </c>
      <c r="CW1230" s="167">
        <v>0</v>
      </c>
      <c r="CX1230" s="167">
        <f>SUM(CD1230:CH1230)</f>
        <v>2</v>
      </c>
      <c r="CY1230" s="167">
        <f>SUM(CD1230:CM1230)</f>
        <v>6</v>
      </c>
    </row>
    <row r="1231" spans="1:103" ht="12.75" customHeight="1" x14ac:dyDescent="0.2">
      <c r="A1231" s="81">
        <v>4775</v>
      </c>
      <c r="B1231" s="165" t="s">
        <v>1955</v>
      </c>
      <c r="C1231" s="165" t="s">
        <v>2103</v>
      </c>
      <c r="E1231" s="165" t="s">
        <v>2104</v>
      </c>
      <c r="G1231" s="81">
        <v>521333</v>
      </c>
      <c r="H1231" s="81">
        <v>174425</v>
      </c>
      <c r="I1231" s="165" t="s">
        <v>877</v>
      </c>
      <c r="L1231" s="166">
        <v>3</v>
      </c>
      <c r="M1231" s="166">
        <v>8</v>
      </c>
      <c r="N1231" s="166">
        <v>5</v>
      </c>
      <c r="O1231" s="166">
        <v>8</v>
      </c>
      <c r="P1231" s="166">
        <v>5</v>
      </c>
      <c r="R1231" s="165" t="s">
        <v>2105</v>
      </c>
      <c r="S1231" s="81" t="s">
        <v>121</v>
      </c>
      <c r="T1231" s="349">
        <v>43082</v>
      </c>
      <c r="W1231" s="81" t="s">
        <v>114</v>
      </c>
      <c r="Y1231" s="81" t="s">
        <v>115</v>
      </c>
      <c r="Z1231" s="81" t="s">
        <v>398</v>
      </c>
      <c r="AA1231" s="81" t="s">
        <v>117</v>
      </c>
      <c r="AB1231" s="81" t="s">
        <v>218</v>
      </c>
      <c r="AC1231" s="166">
        <v>0</v>
      </c>
      <c r="AG1231" s="81" t="s">
        <v>238</v>
      </c>
      <c r="AH1231" s="81" t="s">
        <v>118</v>
      </c>
      <c r="AK1231" s="166">
        <v>0</v>
      </c>
      <c r="AM1231" s="166">
        <v>0</v>
      </c>
      <c r="AO1231" s="166">
        <v>1</v>
      </c>
      <c r="AP1231" s="166">
        <v>2</v>
      </c>
      <c r="AQ1231" s="166">
        <v>-1</v>
      </c>
      <c r="AR1231" s="166">
        <v>4</v>
      </c>
      <c r="AS1231" s="166">
        <v>-2</v>
      </c>
      <c r="AT1231" s="166">
        <v>1</v>
      </c>
      <c r="AU1231" s="166">
        <v>0</v>
      </c>
      <c r="AV1231" s="166">
        <v>1</v>
      </c>
      <c r="AW1231" s="166">
        <v>2</v>
      </c>
      <c r="AX1231" s="166">
        <v>-1</v>
      </c>
      <c r="AY1231" s="166">
        <v>0</v>
      </c>
      <c r="AZ1231" s="166">
        <v>-1</v>
      </c>
      <c r="BA1231" s="166">
        <v>0</v>
      </c>
      <c r="BB1231" s="166">
        <v>0</v>
      </c>
      <c r="BC1231" s="166">
        <v>0</v>
      </c>
      <c r="BD1231" s="166">
        <v>0</v>
      </c>
      <c r="BE1231" s="166">
        <v>0</v>
      </c>
      <c r="BF1231" s="166">
        <v>4</v>
      </c>
      <c r="BG1231" s="166">
        <v>-1</v>
      </c>
      <c r="BH1231" s="166">
        <v>1</v>
      </c>
      <c r="BI1231" s="166">
        <v>0</v>
      </c>
      <c r="BJ1231" s="166">
        <v>0</v>
      </c>
      <c r="BK1231" s="166">
        <v>0</v>
      </c>
      <c r="BL1231" s="166">
        <v>0</v>
      </c>
      <c r="BM1231" s="166">
        <v>0</v>
      </c>
      <c r="BN1231" s="166">
        <v>0</v>
      </c>
      <c r="BO1231" s="166">
        <v>0</v>
      </c>
      <c r="BP1231" s="166">
        <v>0</v>
      </c>
      <c r="BQ1231" s="81" t="s">
        <v>1758</v>
      </c>
      <c r="BZ1231" s="81" t="s">
        <v>155</v>
      </c>
      <c r="CA1231" s="81">
        <v>10</v>
      </c>
      <c r="CC1231" s="167">
        <v>0</v>
      </c>
      <c r="CD1231" s="167">
        <v>0</v>
      </c>
      <c r="CE1231" s="167">
        <v>0</v>
      </c>
      <c r="CF1231" s="167">
        <v>0</v>
      </c>
      <c r="CG1231" s="167">
        <v>0</v>
      </c>
      <c r="CH1231" s="167">
        <f>$N1231/3</f>
        <v>1.6666666666666667</v>
      </c>
      <c r="CI1231" s="167">
        <f>$N1231/3</f>
        <v>1.6666666666666667</v>
      </c>
      <c r="CJ1231" s="167">
        <f>$N1231/3</f>
        <v>1.6666666666666667</v>
      </c>
      <c r="CK1231" s="167">
        <v>0</v>
      </c>
      <c r="CL1231" s="167">
        <v>0</v>
      </c>
      <c r="CM1231" s="167">
        <v>0</v>
      </c>
      <c r="CN1231" s="167">
        <v>0</v>
      </c>
      <c r="CO1231" s="167">
        <v>0</v>
      </c>
      <c r="CP1231" s="167">
        <v>0</v>
      </c>
      <c r="CQ1231" s="167">
        <v>0</v>
      </c>
      <c r="CR1231" s="167">
        <v>0</v>
      </c>
      <c r="CS1231" s="167">
        <v>0</v>
      </c>
      <c r="CT1231" s="167">
        <v>0</v>
      </c>
      <c r="CU1231" s="167">
        <v>0</v>
      </c>
      <c r="CV1231" s="167">
        <v>0</v>
      </c>
      <c r="CW1231" s="167">
        <v>0</v>
      </c>
      <c r="CX1231" s="167">
        <f>SUM(CD1231:CH1231)</f>
        <v>1.6666666666666667</v>
      </c>
      <c r="CY1231" s="167">
        <f>SUM(CD1231:CM1231)</f>
        <v>5</v>
      </c>
    </row>
    <row r="1232" spans="1:103" ht="12.75" customHeight="1" x14ac:dyDescent="0.2">
      <c r="A1232" s="81">
        <v>4797</v>
      </c>
      <c r="B1232" s="165" t="s">
        <v>1955</v>
      </c>
      <c r="C1232" s="165" t="s">
        <v>2106</v>
      </c>
      <c r="D1232" s="165" t="s">
        <v>2107</v>
      </c>
      <c r="E1232" s="165" t="s">
        <v>2108</v>
      </c>
      <c r="G1232" s="81">
        <v>527293</v>
      </c>
      <c r="H1232" s="81">
        <v>177185</v>
      </c>
      <c r="I1232" s="165" t="s">
        <v>257</v>
      </c>
      <c r="L1232" s="166">
        <v>0</v>
      </c>
      <c r="M1232" s="166">
        <v>1</v>
      </c>
      <c r="N1232" s="166">
        <v>1</v>
      </c>
      <c r="O1232" s="166">
        <v>1</v>
      </c>
      <c r="P1232" s="166">
        <v>1</v>
      </c>
      <c r="R1232" s="165" t="s">
        <v>2109</v>
      </c>
      <c r="S1232" s="81" t="s">
        <v>802</v>
      </c>
      <c r="T1232" s="349">
        <v>43151</v>
      </c>
      <c r="W1232" s="81" t="s">
        <v>114</v>
      </c>
      <c r="Y1232" s="81" t="s">
        <v>115</v>
      </c>
      <c r="Z1232" s="81" t="s">
        <v>310</v>
      </c>
      <c r="AA1232" s="81" t="s">
        <v>117</v>
      </c>
      <c r="AB1232" s="81" t="s">
        <v>399</v>
      </c>
      <c r="AC1232" s="166">
        <v>0</v>
      </c>
      <c r="AG1232" s="81" t="s">
        <v>238</v>
      </c>
      <c r="AH1232" s="81" t="s">
        <v>118</v>
      </c>
      <c r="AK1232" s="166">
        <v>0</v>
      </c>
      <c r="AM1232" s="166">
        <v>0</v>
      </c>
      <c r="AO1232" s="166">
        <v>0</v>
      </c>
      <c r="AP1232" s="166">
        <v>0</v>
      </c>
      <c r="AQ1232" s="166">
        <v>1</v>
      </c>
      <c r="AR1232" s="166">
        <v>0</v>
      </c>
      <c r="AS1232" s="166">
        <v>0</v>
      </c>
      <c r="AT1232" s="166">
        <v>0</v>
      </c>
      <c r="AU1232" s="166">
        <v>0</v>
      </c>
      <c r="AV1232" s="166">
        <v>0</v>
      </c>
      <c r="AW1232" s="166">
        <v>0</v>
      </c>
      <c r="AX1232" s="166">
        <v>1</v>
      </c>
      <c r="AY1232" s="166">
        <v>0</v>
      </c>
      <c r="AZ1232" s="166">
        <v>0</v>
      </c>
      <c r="BA1232" s="166">
        <v>0</v>
      </c>
      <c r="BB1232" s="166">
        <v>0</v>
      </c>
      <c r="BC1232" s="166">
        <v>0</v>
      </c>
      <c r="BD1232" s="166">
        <v>0</v>
      </c>
      <c r="BE1232" s="166">
        <v>0</v>
      </c>
      <c r="BF1232" s="166">
        <v>0</v>
      </c>
      <c r="BG1232" s="166">
        <v>0</v>
      </c>
      <c r="BH1232" s="166">
        <v>0</v>
      </c>
      <c r="BI1232" s="166">
        <v>0</v>
      </c>
      <c r="BJ1232" s="166">
        <v>0</v>
      </c>
      <c r="BK1232" s="166">
        <v>0</v>
      </c>
      <c r="BL1232" s="166">
        <v>0</v>
      </c>
      <c r="BM1232" s="166">
        <v>0</v>
      </c>
      <c r="BN1232" s="166">
        <v>0</v>
      </c>
      <c r="BO1232" s="166">
        <v>0</v>
      </c>
      <c r="BP1232" s="166">
        <v>0</v>
      </c>
      <c r="BQ1232" s="81" t="s">
        <v>1757</v>
      </c>
      <c r="BX1232" s="81" t="s">
        <v>155</v>
      </c>
      <c r="BZ1232" s="81" t="s">
        <v>155</v>
      </c>
      <c r="CA1232" s="81">
        <v>10</v>
      </c>
      <c r="CC1232" s="167">
        <v>0</v>
      </c>
      <c r="CD1232" s="167">
        <v>0</v>
      </c>
      <c r="CE1232" s="167">
        <v>0</v>
      </c>
      <c r="CF1232" s="167">
        <v>0</v>
      </c>
      <c r="CG1232" s="167">
        <v>0</v>
      </c>
      <c r="CH1232" s="167">
        <f>$N1232/3</f>
        <v>0.33333333333333331</v>
      </c>
      <c r="CI1232" s="167">
        <f>$N1232/3</f>
        <v>0.33333333333333331</v>
      </c>
      <c r="CJ1232" s="167">
        <f>$N1232/3</f>
        <v>0.33333333333333331</v>
      </c>
      <c r="CK1232" s="167">
        <v>0</v>
      </c>
      <c r="CL1232" s="167">
        <v>0</v>
      </c>
      <c r="CM1232" s="167">
        <v>0</v>
      </c>
      <c r="CN1232" s="167">
        <v>0</v>
      </c>
      <c r="CO1232" s="167">
        <v>0</v>
      </c>
      <c r="CP1232" s="167">
        <v>0</v>
      </c>
      <c r="CQ1232" s="167">
        <v>0</v>
      </c>
      <c r="CR1232" s="167">
        <v>0</v>
      </c>
      <c r="CS1232" s="167">
        <v>0</v>
      </c>
      <c r="CT1232" s="167">
        <v>0</v>
      </c>
      <c r="CU1232" s="167">
        <v>0</v>
      </c>
      <c r="CV1232" s="167">
        <v>0</v>
      </c>
      <c r="CW1232" s="167">
        <v>0</v>
      </c>
      <c r="CX1232" s="167">
        <f>SUM(CD1232:CH1232)</f>
        <v>0.33333333333333331</v>
      </c>
      <c r="CY1232" s="167">
        <f>SUM(CD1232:CM1232)</f>
        <v>1</v>
      </c>
    </row>
    <row r="1233" spans="1:103" ht="12.75" customHeight="1" x14ac:dyDescent="0.2">
      <c r="A1233" s="81">
        <v>4980</v>
      </c>
      <c r="B1233" s="165" t="s">
        <v>1955</v>
      </c>
      <c r="C1233" s="165" t="s">
        <v>2110</v>
      </c>
      <c r="D1233" s="165" t="s">
        <v>2107</v>
      </c>
      <c r="E1233" s="165" t="s">
        <v>2111</v>
      </c>
      <c r="G1233" s="81">
        <v>527292</v>
      </c>
      <c r="H1233" s="81">
        <v>177189</v>
      </c>
      <c r="I1233" s="165" t="s">
        <v>257</v>
      </c>
      <c r="L1233" s="166">
        <v>0</v>
      </c>
      <c r="M1233" s="166">
        <v>1</v>
      </c>
      <c r="N1233" s="166">
        <v>1</v>
      </c>
      <c r="O1233" s="166">
        <v>1</v>
      </c>
      <c r="P1233" s="166">
        <v>1</v>
      </c>
      <c r="R1233" s="165" t="s">
        <v>2112</v>
      </c>
      <c r="S1233" s="81" t="s">
        <v>802</v>
      </c>
      <c r="T1233" s="349">
        <v>43151</v>
      </c>
      <c r="W1233" s="81" t="s">
        <v>114</v>
      </c>
      <c r="Y1233" s="81" t="s">
        <v>115</v>
      </c>
      <c r="Z1233" s="81" t="s">
        <v>310</v>
      </c>
      <c r="AA1233" s="81" t="s">
        <v>117</v>
      </c>
      <c r="AB1233" s="81" t="s">
        <v>399</v>
      </c>
      <c r="AC1233" s="166">
        <v>0</v>
      </c>
      <c r="AG1233" s="81" t="s">
        <v>238</v>
      </c>
      <c r="AH1233" s="81" t="s">
        <v>118</v>
      </c>
      <c r="AK1233" s="166">
        <v>0</v>
      </c>
      <c r="AM1233" s="166">
        <v>0</v>
      </c>
      <c r="AO1233" s="166">
        <v>0</v>
      </c>
      <c r="AP1233" s="166">
        <v>1</v>
      </c>
      <c r="AQ1233" s="166">
        <v>0</v>
      </c>
      <c r="AR1233" s="166">
        <v>0</v>
      </c>
      <c r="AS1233" s="166">
        <v>0</v>
      </c>
      <c r="AT1233" s="166">
        <v>0</v>
      </c>
      <c r="AU1233" s="166">
        <v>0</v>
      </c>
      <c r="AV1233" s="166">
        <v>0</v>
      </c>
      <c r="AW1233" s="166">
        <v>1</v>
      </c>
      <c r="AX1233" s="166">
        <v>0</v>
      </c>
      <c r="AY1233" s="166">
        <v>0</v>
      </c>
      <c r="AZ1233" s="166">
        <v>0</v>
      </c>
      <c r="BA1233" s="166">
        <v>0</v>
      </c>
      <c r="BB1233" s="166">
        <v>0</v>
      </c>
      <c r="BC1233" s="166">
        <v>0</v>
      </c>
      <c r="BD1233" s="166">
        <v>0</v>
      </c>
      <c r="BE1233" s="166">
        <v>0</v>
      </c>
      <c r="BF1233" s="166">
        <v>0</v>
      </c>
      <c r="BG1233" s="166">
        <v>0</v>
      </c>
      <c r="BH1233" s="166">
        <v>0</v>
      </c>
      <c r="BI1233" s="166">
        <v>0</v>
      </c>
      <c r="BJ1233" s="166">
        <v>0</v>
      </c>
      <c r="BK1233" s="166">
        <v>0</v>
      </c>
      <c r="BL1233" s="166">
        <v>0</v>
      </c>
      <c r="BM1233" s="166">
        <v>0</v>
      </c>
      <c r="BN1233" s="166">
        <v>0</v>
      </c>
      <c r="BO1233" s="166">
        <v>0</v>
      </c>
      <c r="BP1233" s="166">
        <v>0</v>
      </c>
      <c r="BQ1233" s="81" t="s">
        <v>1757</v>
      </c>
      <c r="BX1233" s="81" t="s">
        <v>155</v>
      </c>
      <c r="BZ1233" s="81" t="s">
        <v>155</v>
      </c>
      <c r="CA1233" s="81">
        <v>10</v>
      </c>
      <c r="CC1233" s="167">
        <v>0</v>
      </c>
      <c r="CD1233" s="167">
        <v>0</v>
      </c>
      <c r="CE1233" s="167">
        <v>0</v>
      </c>
      <c r="CF1233" s="167">
        <v>0</v>
      </c>
      <c r="CG1233" s="167">
        <v>0</v>
      </c>
      <c r="CH1233" s="167">
        <f>$N1233/3</f>
        <v>0.33333333333333331</v>
      </c>
      <c r="CI1233" s="167">
        <f>$N1233/3</f>
        <v>0.33333333333333331</v>
      </c>
      <c r="CJ1233" s="167">
        <f>$N1233/3</f>
        <v>0.33333333333333331</v>
      </c>
      <c r="CK1233" s="167">
        <v>0</v>
      </c>
      <c r="CL1233" s="167">
        <v>0</v>
      </c>
      <c r="CM1233" s="167">
        <v>0</v>
      </c>
      <c r="CN1233" s="167">
        <v>0</v>
      </c>
      <c r="CO1233" s="167">
        <v>0</v>
      </c>
      <c r="CP1233" s="167">
        <v>0</v>
      </c>
      <c r="CQ1233" s="167">
        <v>0</v>
      </c>
      <c r="CR1233" s="167">
        <v>0</v>
      </c>
      <c r="CS1233" s="167">
        <v>0</v>
      </c>
      <c r="CT1233" s="167">
        <v>0</v>
      </c>
      <c r="CU1233" s="167">
        <v>0</v>
      </c>
      <c r="CV1233" s="167">
        <v>0</v>
      </c>
      <c r="CW1233" s="167">
        <v>0</v>
      </c>
      <c r="CX1233" s="167">
        <f>SUM(CD1233:CH1233)</f>
        <v>0.33333333333333331</v>
      </c>
      <c r="CY1233" s="167">
        <f>SUM(CD1233:CM1233)</f>
        <v>1</v>
      </c>
    </row>
    <row r="1234" spans="1:103" ht="12.75" customHeight="1" x14ac:dyDescent="0.2">
      <c r="A1234" s="81">
        <v>4984</v>
      </c>
      <c r="B1234" s="165" t="s">
        <v>1955</v>
      </c>
      <c r="C1234" s="165" t="s">
        <v>2113</v>
      </c>
      <c r="E1234" s="165" t="s">
        <v>2114</v>
      </c>
      <c r="G1234" s="81">
        <v>524707</v>
      </c>
      <c r="H1234" s="81">
        <v>173200</v>
      </c>
      <c r="I1234" s="165" t="s">
        <v>111</v>
      </c>
      <c r="L1234" s="166">
        <v>1</v>
      </c>
      <c r="M1234" s="166">
        <v>8</v>
      </c>
      <c r="N1234" s="166">
        <v>7</v>
      </c>
      <c r="O1234" s="166">
        <v>8</v>
      </c>
      <c r="P1234" s="166">
        <v>7</v>
      </c>
      <c r="R1234" s="165" t="s">
        <v>2115</v>
      </c>
      <c r="S1234" s="81" t="s">
        <v>121</v>
      </c>
      <c r="T1234" s="349">
        <v>43139</v>
      </c>
      <c r="W1234" s="81" t="s">
        <v>114</v>
      </c>
      <c r="Y1234" s="81" t="s">
        <v>115</v>
      </c>
      <c r="Z1234" s="81" t="s">
        <v>116</v>
      </c>
      <c r="AA1234" s="81" t="s">
        <v>117</v>
      </c>
      <c r="AB1234" s="81" t="s">
        <v>218</v>
      </c>
      <c r="AC1234" s="166">
        <v>5.2999999374151202E-2</v>
      </c>
      <c r="AG1234" s="81" t="s">
        <v>238</v>
      </c>
      <c r="AH1234" s="81" t="s">
        <v>118</v>
      </c>
      <c r="AK1234" s="166">
        <v>0</v>
      </c>
      <c r="AM1234" s="166">
        <v>0</v>
      </c>
      <c r="AO1234" s="166">
        <v>1</v>
      </c>
      <c r="AP1234" s="166">
        <v>1</v>
      </c>
      <c r="AQ1234" s="166">
        <v>5</v>
      </c>
      <c r="AR1234" s="166">
        <v>1</v>
      </c>
      <c r="AS1234" s="166">
        <v>-1</v>
      </c>
      <c r="AT1234" s="166">
        <v>0</v>
      </c>
      <c r="AU1234" s="166">
        <v>0</v>
      </c>
      <c r="AV1234" s="166">
        <v>1</v>
      </c>
      <c r="AW1234" s="166">
        <v>1</v>
      </c>
      <c r="AX1234" s="166">
        <v>5</v>
      </c>
      <c r="AY1234" s="166">
        <v>1</v>
      </c>
      <c r="AZ1234" s="166">
        <v>-1</v>
      </c>
      <c r="BA1234" s="166">
        <v>0</v>
      </c>
      <c r="BB1234" s="166">
        <v>0</v>
      </c>
      <c r="BC1234" s="166">
        <v>0</v>
      </c>
      <c r="BD1234" s="166">
        <v>0</v>
      </c>
      <c r="BE1234" s="166">
        <v>0</v>
      </c>
      <c r="BF1234" s="166">
        <v>0</v>
      </c>
      <c r="BG1234" s="166">
        <v>0</v>
      </c>
      <c r="BH1234" s="166">
        <v>0</v>
      </c>
      <c r="BI1234" s="166">
        <v>0</v>
      </c>
      <c r="BJ1234" s="166">
        <v>0</v>
      </c>
      <c r="BK1234" s="166">
        <v>0</v>
      </c>
      <c r="BL1234" s="166">
        <v>0</v>
      </c>
      <c r="BM1234" s="166">
        <v>0</v>
      </c>
      <c r="BN1234" s="166">
        <v>0</v>
      </c>
      <c r="BO1234" s="166">
        <v>0</v>
      </c>
      <c r="BP1234" s="166">
        <v>0</v>
      </c>
      <c r="BQ1234" s="81" t="s">
        <v>1758</v>
      </c>
      <c r="BZ1234" s="81" t="s">
        <v>155</v>
      </c>
      <c r="CA1234" s="81">
        <v>6</v>
      </c>
      <c r="CC1234" s="167">
        <v>0</v>
      </c>
      <c r="CD1234" s="167">
        <v>0</v>
      </c>
      <c r="CE1234" s="167">
        <v>0</v>
      </c>
      <c r="CF1234" s="167">
        <v>0</v>
      </c>
      <c r="CG1234" s="167">
        <v>0</v>
      </c>
      <c r="CH1234" s="167">
        <f>$N1234/3</f>
        <v>2.3333333333333335</v>
      </c>
      <c r="CI1234" s="167">
        <f>$N1234/3</f>
        <v>2.3333333333333335</v>
      </c>
      <c r="CJ1234" s="167">
        <f>$N1234/3</f>
        <v>2.3333333333333335</v>
      </c>
      <c r="CK1234" s="167">
        <v>0</v>
      </c>
      <c r="CL1234" s="167">
        <v>0</v>
      </c>
      <c r="CM1234" s="167">
        <v>0</v>
      </c>
      <c r="CN1234" s="167">
        <v>0</v>
      </c>
      <c r="CO1234" s="167">
        <v>0</v>
      </c>
      <c r="CP1234" s="167">
        <v>0</v>
      </c>
      <c r="CQ1234" s="167">
        <v>0</v>
      </c>
      <c r="CR1234" s="167">
        <v>0</v>
      </c>
      <c r="CS1234" s="167">
        <v>0</v>
      </c>
      <c r="CT1234" s="167">
        <v>0</v>
      </c>
      <c r="CU1234" s="167">
        <v>0</v>
      </c>
      <c r="CV1234" s="167">
        <v>0</v>
      </c>
      <c r="CW1234" s="167">
        <v>0</v>
      </c>
      <c r="CX1234" s="167">
        <f>SUM(CD1234:CH1234)</f>
        <v>2.3333333333333335</v>
      </c>
      <c r="CY1234" s="167">
        <f>SUM(CD1234:CM1234)</f>
        <v>7</v>
      </c>
    </row>
    <row r="1235" spans="1:103" ht="12.75" customHeight="1" x14ac:dyDescent="0.2">
      <c r="A1235" s="81">
        <v>5119</v>
      </c>
      <c r="B1235" s="165" t="s">
        <v>1955</v>
      </c>
      <c r="C1235" s="165" t="s">
        <v>1560</v>
      </c>
      <c r="E1235" s="165" t="s">
        <v>2116</v>
      </c>
      <c r="G1235" s="81">
        <v>527391</v>
      </c>
      <c r="H1235" s="81">
        <v>171805</v>
      </c>
      <c r="I1235" s="165" t="s">
        <v>242</v>
      </c>
      <c r="L1235" s="166">
        <v>0</v>
      </c>
      <c r="M1235" s="166">
        <v>7</v>
      </c>
      <c r="N1235" s="166">
        <v>7</v>
      </c>
      <c r="O1235" s="166">
        <v>7</v>
      </c>
      <c r="P1235" s="166">
        <v>7</v>
      </c>
      <c r="R1235" s="165" t="s">
        <v>1561</v>
      </c>
      <c r="S1235" s="81" t="s">
        <v>296</v>
      </c>
      <c r="T1235" s="349">
        <v>42643</v>
      </c>
      <c r="U1235" s="349">
        <v>42699</v>
      </c>
      <c r="W1235" s="81" t="s">
        <v>365</v>
      </c>
      <c r="Y1235" s="81" t="s">
        <v>115</v>
      </c>
      <c r="Z1235" s="81" t="s">
        <v>116</v>
      </c>
      <c r="AA1235" s="81" t="s">
        <v>117</v>
      </c>
      <c r="AB1235" s="81" t="s">
        <v>218</v>
      </c>
      <c r="AC1235" s="166">
        <v>1.7999999225139601E-2</v>
      </c>
      <c r="AG1235" s="81" t="s">
        <v>238</v>
      </c>
      <c r="AH1235" s="81" t="s">
        <v>118</v>
      </c>
      <c r="AK1235" s="166">
        <v>0</v>
      </c>
      <c r="AM1235" s="166">
        <v>0</v>
      </c>
      <c r="AO1235" s="166">
        <v>0</v>
      </c>
      <c r="AP1235" s="166">
        <v>3</v>
      </c>
      <c r="AQ1235" s="166">
        <v>2</v>
      </c>
      <c r="AR1235" s="166">
        <v>2</v>
      </c>
      <c r="AS1235" s="166">
        <v>0</v>
      </c>
      <c r="AT1235" s="166">
        <v>0</v>
      </c>
      <c r="AU1235" s="166">
        <v>0</v>
      </c>
      <c r="AV1235" s="166">
        <v>0</v>
      </c>
      <c r="AW1235" s="166">
        <v>3</v>
      </c>
      <c r="AX1235" s="166">
        <v>2</v>
      </c>
      <c r="AY1235" s="166">
        <v>2</v>
      </c>
      <c r="AZ1235" s="166">
        <v>0</v>
      </c>
      <c r="BA1235" s="166">
        <v>0</v>
      </c>
      <c r="BB1235" s="166">
        <v>0</v>
      </c>
      <c r="BC1235" s="166">
        <v>0</v>
      </c>
      <c r="BD1235" s="166">
        <v>0</v>
      </c>
      <c r="BE1235" s="166">
        <v>0</v>
      </c>
      <c r="BF1235" s="166">
        <v>0</v>
      </c>
      <c r="BG1235" s="166">
        <v>0</v>
      </c>
      <c r="BH1235" s="166">
        <v>0</v>
      </c>
      <c r="BI1235" s="166">
        <v>0</v>
      </c>
      <c r="BJ1235" s="166">
        <v>0</v>
      </c>
      <c r="BK1235" s="166">
        <v>0</v>
      </c>
      <c r="BL1235" s="166">
        <v>0</v>
      </c>
      <c r="BM1235" s="166">
        <v>0</v>
      </c>
      <c r="BN1235" s="166">
        <v>0</v>
      </c>
      <c r="BO1235" s="166">
        <v>0</v>
      </c>
      <c r="BP1235" s="166">
        <v>0</v>
      </c>
      <c r="BQ1235" s="81" t="s">
        <v>1757</v>
      </c>
      <c r="BZ1235" s="81" t="s">
        <v>3991</v>
      </c>
      <c r="CA1235" s="81">
        <v>15</v>
      </c>
      <c r="CB1235" s="165" t="s">
        <v>3999</v>
      </c>
      <c r="CC1235" s="167">
        <v>0</v>
      </c>
      <c r="CD1235" s="167">
        <v>0</v>
      </c>
      <c r="CE1235" s="167">
        <v>0</v>
      </c>
      <c r="CF1235" s="167">
        <v>0</v>
      </c>
      <c r="CG1235" s="167">
        <v>0</v>
      </c>
      <c r="CH1235" s="167">
        <v>0</v>
      </c>
      <c r="CI1235" s="167">
        <v>0</v>
      </c>
      <c r="CJ1235" s="167">
        <v>0</v>
      </c>
      <c r="CK1235" s="167">
        <v>0</v>
      </c>
      <c r="CL1235" s="167">
        <v>0</v>
      </c>
      <c r="CM1235" s="167">
        <v>0</v>
      </c>
      <c r="CN1235" s="167">
        <v>0</v>
      </c>
      <c r="CO1235" s="167">
        <v>0</v>
      </c>
      <c r="CP1235" s="167">
        <v>0</v>
      </c>
      <c r="CQ1235" s="167">
        <v>0</v>
      </c>
      <c r="CR1235" s="167">
        <v>0</v>
      </c>
      <c r="CS1235" s="167">
        <v>0</v>
      </c>
      <c r="CT1235" s="167">
        <v>0</v>
      </c>
      <c r="CU1235" s="167">
        <v>0</v>
      </c>
      <c r="CV1235" s="167">
        <v>0</v>
      </c>
      <c r="CW1235" s="167">
        <v>0</v>
      </c>
      <c r="CX1235" s="167">
        <f>SUM(CD1235:CH1235)</f>
        <v>0</v>
      </c>
      <c r="CY1235" s="167">
        <f>SUM(CD1235:CM1235)</f>
        <v>0</v>
      </c>
    </row>
    <row r="1236" spans="1:103" ht="12.75" customHeight="1" x14ac:dyDescent="0.2">
      <c r="A1236" s="81">
        <v>5207</v>
      </c>
      <c r="B1236" s="165" t="s">
        <v>1955</v>
      </c>
      <c r="C1236" s="165" t="s">
        <v>1588</v>
      </c>
      <c r="E1236" s="165" t="s">
        <v>2117</v>
      </c>
      <c r="G1236" s="81">
        <v>528921</v>
      </c>
      <c r="H1236" s="81">
        <v>173548</v>
      </c>
      <c r="I1236" s="165" t="s">
        <v>247</v>
      </c>
      <c r="L1236" s="166">
        <v>0</v>
      </c>
      <c r="M1236" s="166">
        <v>1</v>
      </c>
      <c r="N1236" s="166">
        <v>1</v>
      </c>
      <c r="O1236" s="166">
        <v>1</v>
      </c>
      <c r="P1236" s="166">
        <v>1</v>
      </c>
      <c r="R1236" s="165" t="s">
        <v>1589</v>
      </c>
      <c r="S1236" s="81" t="s">
        <v>296</v>
      </c>
      <c r="T1236" s="349">
        <v>42741</v>
      </c>
      <c r="U1236" s="349">
        <v>42907</v>
      </c>
      <c r="V1236" s="81" t="s">
        <v>155</v>
      </c>
      <c r="W1236" s="81" t="s">
        <v>365</v>
      </c>
      <c r="Y1236" s="81" t="s">
        <v>115</v>
      </c>
      <c r="Z1236" s="81" t="s">
        <v>219</v>
      </c>
      <c r="AA1236" s="81" t="s">
        <v>117</v>
      </c>
      <c r="AB1236" s="81" t="s">
        <v>3889</v>
      </c>
      <c r="AC1236" s="166">
        <v>8.9999996125698107E-3</v>
      </c>
      <c r="AG1236" s="81" t="s">
        <v>238</v>
      </c>
      <c r="AH1236" s="81" t="s">
        <v>118</v>
      </c>
      <c r="AK1236" s="166">
        <v>0</v>
      </c>
      <c r="AM1236" s="166">
        <v>0</v>
      </c>
      <c r="AO1236" s="166">
        <v>0</v>
      </c>
      <c r="AP1236" s="166">
        <v>1</v>
      </c>
      <c r="AQ1236" s="166">
        <v>0</v>
      </c>
      <c r="AR1236" s="166">
        <v>0</v>
      </c>
      <c r="AS1236" s="166">
        <v>0</v>
      </c>
      <c r="AT1236" s="166">
        <v>0</v>
      </c>
      <c r="AU1236" s="166">
        <v>0</v>
      </c>
      <c r="AV1236" s="166">
        <v>0</v>
      </c>
      <c r="AW1236" s="166">
        <v>1</v>
      </c>
      <c r="AX1236" s="166">
        <v>0</v>
      </c>
      <c r="AY1236" s="166">
        <v>0</v>
      </c>
      <c r="AZ1236" s="166">
        <v>0</v>
      </c>
      <c r="BA1236" s="166">
        <v>0</v>
      </c>
      <c r="BB1236" s="166">
        <v>0</v>
      </c>
      <c r="BC1236" s="166">
        <v>0</v>
      </c>
      <c r="BD1236" s="166">
        <v>0</v>
      </c>
      <c r="BE1236" s="166">
        <v>0</v>
      </c>
      <c r="BF1236" s="166">
        <v>0</v>
      </c>
      <c r="BG1236" s="166">
        <v>0</v>
      </c>
      <c r="BH1236" s="166">
        <v>0</v>
      </c>
      <c r="BI1236" s="166">
        <v>0</v>
      </c>
      <c r="BJ1236" s="166">
        <v>0</v>
      </c>
      <c r="BK1236" s="166">
        <v>0</v>
      </c>
      <c r="BL1236" s="166">
        <v>0</v>
      </c>
      <c r="BM1236" s="166">
        <v>0</v>
      </c>
      <c r="BN1236" s="166">
        <v>0</v>
      </c>
      <c r="BO1236" s="166">
        <v>0</v>
      </c>
      <c r="BP1236" s="166">
        <v>0</v>
      </c>
      <c r="BQ1236" s="81" t="s">
        <v>1757</v>
      </c>
      <c r="BZ1236" s="81" t="s">
        <v>155</v>
      </c>
      <c r="CA1236" s="81">
        <v>10</v>
      </c>
      <c r="CC1236" s="167">
        <v>0</v>
      </c>
      <c r="CD1236" s="167">
        <v>0</v>
      </c>
      <c r="CE1236" s="167">
        <v>0</v>
      </c>
      <c r="CF1236" s="167">
        <v>0</v>
      </c>
      <c r="CG1236" s="167">
        <v>0</v>
      </c>
      <c r="CH1236" s="167">
        <f>$N1236/3</f>
        <v>0.33333333333333331</v>
      </c>
      <c r="CI1236" s="167">
        <f>$N1236/3</f>
        <v>0.33333333333333331</v>
      </c>
      <c r="CJ1236" s="167">
        <f>$N1236/3</f>
        <v>0.33333333333333331</v>
      </c>
      <c r="CK1236" s="167">
        <v>0</v>
      </c>
      <c r="CL1236" s="167">
        <v>0</v>
      </c>
      <c r="CM1236" s="167">
        <v>0</v>
      </c>
      <c r="CN1236" s="167">
        <v>0</v>
      </c>
      <c r="CO1236" s="167">
        <v>0</v>
      </c>
      <c r="CP1236" s="167">
        <v>0</v>
      </c>
      <c r="CQ1236" s="167">
        <v>0</v>
      </c>
      <c r="CR1236" s="167">
        <v>0</v>
      </c>
      <c r="CS1236" s="167">
        <v>0</v>
      </c>
      <c r="CT1236" s="167">
        <v>0</v>
      </c>
      <c r="CU1236" s="167">
        <v>0</v>
      </c>
      <c r="CV1236" s="167">
        <v>0</v>
      </c>
      <c r="CW1236" s="167">
        <v>0</v>
      </c>
      <c r="CX1236" s="167">
        <f>SUM(CD1236:CH1236)</f>
        <v>0.33333333333333331</v>
      </c>
      <c r="CY1236" s="167">
        <f>SUM(CD1236:CM1236)</f>
        <v>1</v>
      </c>
    </row>
    <row r="1237" spans="1:103" ht="12.75" customHeight="1" x14ac:dyDescent="0.2">
      <c r="A1237" s="81">
        <v>5381</v>
      </c>
      <c r="B1237" s="165" t="s">
        <v>1955</v>
      </c>
      <c r="C1237" s="165" t="s">
        <v>3338</v>
      </c>
      <c r="E1237" s="165" t="s">
        <v>3339</v>
      </c>
      <c r="G1237" s="81">
        <v>526820</v>
      </c>
      <c r="H1237" s="81">
        <v>176155</v>
      </c>
      <c r="I1237" s="165" t="s">
        <v>257</v>
      </c>
      <c r="L1237" s="166">
        <v>0</v>
      </c>
      <c r="M1237" s="166">
        <v>53</v>
      </c>
      <c r="N1237" s="166">
        <v>53</v>
      </c>
      <c r="O1237" s="166">
        <v>82</v>
      </c>
      <c r="P1237" s="166">
        <v>82</v>
      </c>
      <c r="Q1237" s="81" t="s">
        <v>155</v>
      </c>
      <c r="R1237" s="165" t="s">
        <v>3340</v>
      </c>
      <c r="S1237" s="81" t="s">
        <v>121</v>
      </c>
      <c r="T1237" s="349">
        <v>43027</v>
      </c>
      <c r="W1237" s="81" t="s">
        <v>114</v>
      </c>
      <c r="Y1237" s="81" t="s">
        <v>115</v>
      </c>
      <c r="Z1237" s="81" t="s">
        <v>116</v>
      </c>
      <c r="AA1237" s="81" t="s">
        <v>116</v>
      </c>
      <c r="AB1237" s="81" t="s">
        <v>117</v>
      </c>
      <c r="AC1237" s="166">
        <v>0</v>
      </c>
      <c r="AG1237" s="81" t="s">
        <v>238</v>
      </c>
      <c r="AH1237" s="81" t="s">
        <v>118</v>
      </c>
      <c r="AI1237" s="81" t="s">
        <v>3341</v>
      </c>
      <c r="AK1237" s="166">
        <v>0</v>
      </c>
      <c r="AM1237" s="166">
        <v>0</v>
      </c>
      <c r="AO1237" s="166">
        <v>1</v>
      </c>
      <c r="AP1237" s="166">
        <v>13</v>
      </c>
      <c r="AQ1237" s="166">
        <v>31</v>
      </c>
      <c r="AR1237" s="166">
        <v>8</v>
      </c>
      <c r="AS1237" s="166">
        <v>0</v>
      </c>
      <c r="AT1237" s="166">
        <v>0</v>
      </c>
      <c r="AU1237" s="166">
        <v>0</v>
      </c>
      <c r="AV1237" s="166">
        <v>1</v>
      </c>
      <c r="AW1237" s="166">
        <v>13</v>
      </c>
      <c r="AX1237" s="166">
        <v>31</v>
      </c>
      <c r="AY1237" s="166">
        <v>8</v>
      </c>
      <c r="AZ1237" s="166">
        <v>0</v>
      </c>
      <c r="BA1237" s="166">
        <v>0</v>
      </c>
      <c r="BB1237" s="166">
        <v>0</v>
      </c>
      <c r="BC1237" s="166">
        <v>0</v>
      </c>
      <c r="BD1237" s="166">
        <v>0</v>
      </c>
      <c r="BE1237" s="166">
        <v>0</v>
      </c>
      <c r="BF1237" s="166">
        <v>0</v>
      </c>
      <c r="BG1237" s="166">
        <v>0</v>
      </c>
      <c r="BH1237" s="166">
        <v>0</v>
      </c>
      <c r="BI1237" s="166">
        <v>0</v>
      </c>
      <c r="BJ1237" s="166">
        <v>0</v>
      </c>
      <c r="BK1237" s="166">
        <v>0</v>
      </c>
      <c r="BL1237" s="166">
        <v>0</v>
      </c>
      <c r="BM1237" s="166">
        <v>0</v>
      </c>
      <c r="BN1237" s="166">
        <v>0</v>
      </c>
      <c r="BO1237" s="166">
        <v>0</v>
      </c>
      <c r="BP1237" s="166">
        <v>0</v>
      </c>
      <c r="BQ1237" s="81" t="s">
        <v>1757</v>
      </c>
      <c r="BZ1237" s="81" t="s">
        <v>155</v>
      </c>
      <c r="CA1237" s="81">
        <v>6</v>
      </c>
      <c r="CC1237" s="167">
        <v>0</v>
      </c>
      <c r="CD1237" s="167">
        <v>0</v>
      </c>
      <c r="CE1237" s="167">
        <v>0</v>
      </c>
      <c r="CF1237" s="167">
        <v>0</v>
      </c>
      <c r="CG1237" s="167">
        <v>0</v>
      </c>
      <c r="CH1237" s="167">
        <f>$N1237/3</f>
        <v>17.666666666666668</v>
      </c>
      <c r="CI1237" s="167">
        <f>$N1237/3</f>
        <v>17.666666666666668</v>
      </c>
      <c r="CJ1237" s="167">
        <f>$N1237/3</f>
        <v>17.666666666666668</v>
      </c>
      <c r="CK1237" s="167">
        <v>0</v>
      </c>
      <c r="CL1237" s="167">
        <v>0</v>
      </c>
      <c r="CM1237" s="167">
        <v>0</v>
      </c>
      <c r="CN1237" s="167">
        <v>0</v>
      </c>
      <c r="CO1237" s="167">
        <v>0</v>
      </c>
      <c r="CP1237" s="167">
        <v>0</v>
      </c>
      <c r="CQ1237" s="167">
        <v>0</v>
      </c>
      <c r="CR1237" s="167">
        <v>0</v>
      </c>
      <c r="CS1237" s="167">
        <v>0</v>
      </c>
      <c r="CT1237" s="167">
        <v>0</v>
      </c>
      <c r="CU1237" s="167">
        <v>0</v>
      </c>
      <c r="CV1237" s="167">
        <v>0</v>
      </c>
      <c r="CW1237" s="167">
        <v>0</v>
      </c>
      <c r="CX1237" s="167">
        <f>SUM(CD1237:CH1237)</f>
        <v>17.666666666666668</v>
      </c>
      <c r="CY1237" s="167">
        <f>SUM(CD1237:CM1237)</f>
        <v>53</v>
      </c>
    </row>
    <row r="1238" spans="1:103" ht="12.75" customHeight="1" x14ac:dyDescent="0.2">
      <c r="A1238" s="81">
        <v>5381</v>
      </c>
      <c r="B1238" s="165" t="s">
        <v>1955</v>
      </c>
      <c r="C1238" s="165" t="s">
        <v>3338</v>
      </c>
      <c r="E1238" s="165" t="s">
        <v>3339</v>
      </c>
      <c r="G1238" s="81">
        <v>526820</v>
      </c>
      <c r="H1238" s="81">
        <v>176155</v>
      </c>
      <c r="I1238" s="165" t="s">
        <v>257</v>
      </c>
      <c r="L1238" s="166">
        <v>0</v>
      </c>
      <c r="M1238" s="166">
        <v>29</v>
      </c>
      <c r="N1238" s="166">
        <v>29</v>
      </c>
      <c r="O1238" s="166">
        <v>82</v>
      </c>
      <c r="P1238" s="166">
        <v>82</v>
      </c>
      <c r="Q1238" s="81" t="s">
        <v>155</v>
      </c>
      <c r="R1238" s="165" t="s">
        <v>3340</v>
      </c>
      <c r="S1238" s="81" t="s">
        <v>121</v>
      </c>
      <c r="T1238" s="349">
        <v>43027</v>
      </c>
      <c r="W1238" s="81" t="s">
        <v>114</v>
      </c>
      <c r="Y1238" s="81" t="s">
        <v>115</v>
      </c>
      <c r="Z1238" s="81" t="s">
        <v>116</v>
      </c>
      <c r="AA1238" s="81" t="s">
        <v>116</v>
      </c>
      <c r="AB1238" s="81" t="s">
        <v>117</v>
      </c>
      <c r="AC1238" s="166">
        <v>0</v>
      </c>
      <c r="AG1238" s="81" t="s">
        <v>74</v>
      </c>
      <c r="AH1238" s="81" t="s">
        <v>990</v>
      </c>
      <c r="AI1238" s="81" t="s">
        <v>3341</v>
      </c>
      <c r="AK1238" s="166">
        <v>0</v>
      </c>
      <c r="AM1238" s="166">
        <v>0</v>
      </c>
      <c r="AO1238" s="166">
        <v>0</v>
      </c>
      <c r="AP1238" s="166">
        <v>15</v>
      </c>
      <c r="AQ1238" s="166">
        <v>14</v>
      </c>
      <c r="AR1238" s="166">
        <v>0</v>
      </c>
      <c r="AS1238" s="166">
        <v>0</v>
      </c>
      <c r="AT1238" s="166">
        <v>0</v>
      </c>
      <c r="AU1238" s="166">
        <v>0</v>
      </c>
      <c r="AV1238" s="166">
        <v>0</v>
      </c>
      <c r="AW1238" s="166">
        <v>15</v>
      </c>
      <c r="AX1238" s="166">
        <v>14</v>
      </c>
      <c r="AY1238" s="166">
        <v>0</v>
      </c>
      <c r="AZ1238" s="166">
        <v>0</v>
      </c>
      <c r="BA1238" s="166">
        <v>0</v>
      </c>
      <c r="BB1238" s="166">
        <v>0</v>
      </c>
      <c r="BC1238" s="166">
        <v>0</v>
      </c>
      <c r="BD1238" s="166">
        <v>0</v>
      </c>
      <c r="BE1238" s="166">
        <v>0</v>
      </c>
      <c r="BF1238" s="166">
        <v>0</v>
      </c>
      <c r="BG1238" s="166">
        <v>0</v>
      </c>
      <c r="BH1238" s="166">
        <v>0</v>
      </c>
      <c r="BI1238" s="166">
        <v>0</v>
      </c>
      <c r="BJ1238" s="166">
        <v>0</v>
      </c>
      <c r="BK1238" s="166">
        <v>0</v>
      </c>
      <c r="BL1238" s="166">
        <v>0</v>
      </c>
      <c r="BM1238" s="166">
        <v>0</v>
      </c>
      <c r="BN1238" s="166">
        <v>0</v>
      </c>
      <c r="BO1238" s="166">
        <v>0</v>
      </c>
      <c r="BP1238" s="166">
        <v>0</v>
      </c>
      <c r="BQ1238" s="81" t="s">
        <v>1757</v>
      </c>
      <c r="BZ1238" s="81" t="s">
        <v>155</v>
      </c>
      <c r="CA1238" s="81">
        <v>6</v>
      </c>
      <c r="CC1238" s="167">
        <v>0</v>
      </c>
      <c r="CD1238" s="167">
        <v>0</v>
      </c>
      <c r="CE1238" s="167">
        <v>0</v>
      </c>
      <c r="CF1238" s="167">
        <v>0</v>
      </c>
      <c r="CG1238" s="167">
        <v>0</v>
      </c>
      <c r="CH1238" s="167">
        <f>$N1238/3</f>
        <v>9.6666666666666661</v>
      </c>
      <c r="CI1238" s="167">
        <f>$N1238/3</f>
        <v>9.6666666666666661</v>
      </c>
      <c r="CJ1238" s="167">
        <f>$N1238/3</f>
        <v>9.6666666666666661</v>
      </c>
      <c r="CK1238" s="167">
        <v>0</v>
      </c>
      <c r="CL1238" s="167">
        <v>0</v>
      </c>
      <c r="CM1238" s="167">
        <v>0</v>
      </c>
      <c r="CN1238" s="167">
        <v>0</v>
      </c>
      <c r="CO1238" s="167">
        <v>0</v>
      </c>
      <c r="CP1238" s="167">
        <v>0</v>
      </c>
      <c r="CQ1238" s="167">
        <v>0</v>
      </c>
      <c r="CR1238" s="167">
        <v>0</v>
      </c>
      <c r="CS1238" s="167">
        <v>0</v>
      </c>
      <c r="CT1238" s="167">
        <v>0</v>
      </c>
      <c r="CU1238" s="167">
        <v>0</v>
      </c>
      <c r="CV1238" s="167">
        <v>0</v>
      </c>
      <c r="CW1238" s="167">
        <v>0</v>
      </c>
      <c r="CX1238" s="167">
        <f>SUM(CD1238:CH1238)</f>
        <v>9.6666666666666661</v>
      </c>
      <c r="CY1238" s="167">
        <f>SUM(CD1238:CM1238)</f>
        <v>29</v>
      </c>
    </row>
    <row r="1239" spans="1:103" ht="12.75" customHeight="1" x14ac:dyDescent="0.2">
      <c r="A1239" s="81">
        <v>5552</v>
      </c>
      <c r="B1239" s="165" t="s">
        <v>1955</v>
      </c>
      <c r="C1239" s="165" t="s">
        <v>2118</v>
      </c>
      <c r="E1239" s="165" t="s">
        <v>2119</v>
      </c>
      <c r="G1239" s="81">
        <v>525905</v>
      </c>
      <c r="H1239" s="81">
        <v>173024</v>
      </c>
      <c r="I1239" s="165" t="s">
        <v>249</v>
      </c>
      <c r="L1239" s="166">
        <v>0</v>
      </c>
      <c r="M1239" s="166">
        <v>2</v>
      </c>
      <c r="N1239" s="166">
        <v>2</v>
      </c>
      <c r="O1239" s="166">
        <v>2</v>
      </c>
      <c r="P1239" s="166">
        <v>2</v>
      </c>
      <c r="R1239" s="165" t="s">
        <v>2120</v>
      </c>
      <c r="S1239" s="81" t="s">
        <v>121</v>
      </c>
      <c r="T1239" s="349">
        <v>43074</v>
      </c>
      <c r="W1239" s="81" t="s">
        <v>114</v>
      </c>
      <c r="Y1239" s="81" t="s">
        <v>115</v>
      </c>
      <c r="Z1239" s="81" t="s">
        <v>310</v>
      </c>
      <c r="AA1239" s="81" t="s">
        <v>117</v>
      </c>
      <c r="AB1239" s="81" t="s">
        <v>311</v>
      </c>
      <c r="AC1239" s="166">
        <v>8.9999996125698107E-3</v>
      </c>
      <c r="AG1239" s="81" t="s">
        <v>238</v>
      </c>
      <c r="AH1239" s="81" t="s">
        <v>118</v>
      </c>
      <c r="AK1239" s="166">
        <v>0</v>
      </c>
      <c r="AM1239" s="166">
        <v>0</v>
      </c>
      <c r="AO1239" s="166">
        <v>0</v>
      </c>
      <c r="AP1239" s="166">
        <v>2</v>
      </c>
      <c r="AQ1239" s="166">
        <v>0</v>
      </c>
      <c r="AR1239" s="166">
        <v>0</v>
      </c>
      <c r="AS1239" s="166">
        <v>0</v>
      </c>
      <c r="AT1239" s="166">
        <v>0</v>
      </c>
      <c r="AU1239" s="166">
        <v>0</v>
      </c>
      <c r="AV1239" s="166">
        <v>0</v>
      </c>
      <c r="AW1239" s="166">
        <v>2</v>
      </c>
      <c r="AX1239" s="166">
        <v>0</v>
      </c>
      <c r="AY1239" s="166">
        <v>0</v>
      </c>
      <c r="AZ1239" s="166">
        <v>0</v>
      </c>
      <c r="BA1239" s="166">
        <v>0</v>
      </c>
      <c r="BB1239" s="166">
        <v>0</v>
      </c>
      <c r="BC1239" s="166">
        <v>0</v>
      </c>
      <c r="BD1239" s="166">
        <v>0</v>
      </c>
      <c r="BE1239" s="166">
        <v>0</v>
      </c>
      <c r="BF1239" s="166">
        <v>0</v>
      </c>
      <c r="BG1239" s="166">
        <v>0</v>
      </c>
      <c r="BH1239" s="166">
        <v>0</v>
      </c>
      <c r="BI1239" s="166">
        <v>0</v>
      </c>
      <c r="BJ1239" s="166">
        <v>0</v>
      </c>
      <c r="BK1239" s="166">
        <v>0</v>
      </c>
      <c r="BL1239" s="166">
        <v>0</v>
      </c>
      <c r="BM1239" s="166">
        <v>0</v>
      </c>
      <c r="BN1239" s="166">
        <v>0</v>
      </c>
      <c r="BO1239" s="166">
        <v>0</v>
      </c>
      <c r="BP1239" s="166">
        <v>0</v>
      </c>
      <c r="BQ1239" s="81" t="s">
        <v>1758</v>
      </c>
      <c r="BY1239" s="81" t="s">
        <v>155</v>
      </c>
      <c r="BZ1239" s="81" t="s">
        <v>155</v>
      </c>
      <c r="CA1239" s="81">
        <v>10</v>
      </c>
      <c r="CC1239" s="167">
        <v>0</v>
      </c>
      <c r="CD1239" s="167">
        <v>0</v>
      </c>
      <c r="CE1239" s="167">
        <v>0</v>
      </c>
      <c r="CF1239" s="167">
        <v>0</v>
      </c>
      <c r="CG1239" s="167">
        <v>0</v>
      </c>
      <c r="CH1239" s="167">
        <f>$N1239/3</f>
        <v>0.66666666666666663</v>
      </c>
      <c r="CI1239" s="167">
        <f>$N1239/3</f>
        <v>0.66666666666666663</v>
      </c>
      <c r="CJ1239" s="167">
        <f>$N1239/3</f>
        <v>0.66666666666666663</v>
      </c>
      <c r="CK1239" s="167">
        <v>0</v>
      </c>
      <c r="CL1239" s="167">
        <v>0</v>
      </c>
      <c r="CM1239" s="167">
        <v>0</v>
      </c>
      <c r="CN1239" s="167">
        <v>0</v>
      </c>
      <c r="CO1239" s="167">
        <v>0</v>
      </c>
      <c r="CP1239" s="167">
        <v>0</v>
      </c>
      <c r="CQ1239" s="167">
        <v>0</v>
      </c>
      <c r="CR1239" s="167">
        <v>0</v>
      </c>
      <c r="CS1239" s="167">
        <v>0</v>
      </c>
      <c r="CT1239" s="167">
        <v>0</v>
      </c>
      <c r="CU1239" s="167">
        <v>0</v>
      </c>
      <c r="CV1239" s="167">
        <v>0</v>
      </c>
      <c r="CW1239" s="167">
        <v>0</v>
      </c>
      <c r="CX1239" s="167">
        <f>SUM(CD1239:CH1239)</f>
        <v>0.66666666666666663</v>
      </c>
      <c r="CY1239" s="167">
        <f>SUM(CD1239:CM1239)</f>
        <v>2</v>
      </c>
    </row>
    <row r="1240" spans="1:103" ht="12.75" customHeight="1" x14ac:dyDescent="0.2">
      <c r="A1240" s="81">
        <v>5615</v>
      </c>
      <c r="B1240" s="165" t="s">
        <v>1955</v>
      </c>
      <c r="C1240" s="165" t="s">
        <v>2121</v>
      </c>
      <c r="E1240" s="165" t="s">
        <v>2122</v>
      </c>
      <c r="G1240" s="81">
        <v>527098</v>
      </c>
      <c r="H1240" s="81">
        <v>170956</v>
      </c>
      <c r="I1240" s="165" t="s">
        <v>242</v>
      </c>
      <c r="L1240" s="166">
        <v>0</v>
      </c>
      <c r="M1240" s="166">
        <v>1</v>
      </c>
      <c r="N1240" s="166">
        <v>1</v>
      </c>
      <c r="O1240" s="166">
        <v>1</v>
      </c>
      <c r="P1240" s="166">
        <v>1</v>
      </c>
      <c r="R1240" s="165" t="s">
        <v>2123</v>
      </c>
      <c r="S1240" s="81" t="s">
        <v>121</v>
      </c>
      <c r="T1240" s="349">
        <v>43151</v>
      </c>
      <c r="W1240" s="81" t="s">
        <v>114</v>
      </c>
      <c r="Y1240" s="81" t="s">
        <v>115</v>
      </c>
      <c r="Z1240" s="81" t="s">
        <v>116</v>
      </c>
      <c r="AA1240" s="81" t="s">
        <v>117</v>
      </c>
      <c r="AB1240" s="81" t="s">
        <v>218</v>
      </c>
      <c r="AC1240" s="166">
        <v>1.4000000432133701E-2</v>
      </c>
      <c r="AG1240" s="81" t="s">
        <v>238</v>
      </c>
      <c r="AH1240" s="81" t="s">
        <v>118</v>
      </c>
      <c r="AK1240" s="166">
        <v>0</v>
      </c>
      <c r="AM1240" s="166">
        <v>0</v>
      </c>
      <c r="AO1240" s="166">
        <v>0</v>
      </c>
      <c r="AP1240" s="166">
        <v>0</v>
      </c>
      <c r="AQ1240" s="166">
        <v>1</v>
      </c>
      <c r="AR1240" s="166">
        <v>0</v>
      </c>
      <c r="AS1240" s="166">
        <v>0</v>
      </c>
      <c r="AT1240" s="166">
        <v>0</v>
      </c>
      <c r="AU1240" s="166">
        <v>0</v>
      </c>
      <c r="AV1240" s="166">
        <v>0</v>
      </c>
      <c r="AW1240" s="166">
        <v>0</v>
      </c>
      <c r="AX1240" s="166">
        <v>0</v>
      </c>
      <c r="AY1240" s="166">
        <v>0</v>
      </c>
      <c r="AZ1240" s="166">
        <v>0</v>
      </c>
      <c r="BA1240" s="166">
        <v>0</v>
      </c>
      <c r="BB1240" s="166">
        <v>0</v>
      </c>
      <c r="BC1240" s="166">
        <v>0</v>
      </c>
      <c r="BD1240" s="166">
        <v>0</v>
      </c>
      <c r="BE1240" s="166">
        <v>1</v>
      </c>
      <c r="BF1240" s="166">
        <v>0</v>
      </c>
      <c r="BG1240" s="166">
        <v>0</v>
      </c>
      <c r="BH1240" s="166">
        <v>0</v>
      </c>
      <c r="BI1240" s="166">
        <v>0</v>
      </c>
      <c r="BJ1240" s="166">
        <v>0</v>
      </c>
      <c r="BK1240" s="166">
        <v>0</v>
      </c>
      <c r="BL1240" s="166">
        <v>0</v>
      </c>
      <c r="BM1240" s="166">
        <v>0</v>
      </c>
      <c r="BN1240" s="166">
        <v>0</v>
      </c>
      <c r="BO1240" s="166">
        <v>0</v>
      </c>
      <c r="BP1240" s="166">
        <v>0</v>
      </c>
      <c r="BQ1240" s="81" t="s">
        <v>1757</v>
      </c>
      <c r="BZ1240" s="81" t="s">
        <v>155</v>
      </c>
      <c r="CA1240" s="81">
        <v>6</v>
      </c>
      <c r="CC1240" s="167">
        <v>0</v>
      </c>
      <c r="CD1240" s="167">
        <v>0</v>
      </c>
      <c r="CE1240" s="167">
        <v>0</v>
      </c>
      <c r="CF1240" s="167">
        <v>0</v>
      </c>
      <c r="CG1240" s="167">
        <v>0</v>
      </c>
      <c r="CH1240" s="167">
        <f>$N1240/3</f>
        <v>0.33333333333333331</v>
      </c>
      <c r="CI1240" s="167">
        <f>$N1240/3</f>
        <v>0.33333333333333331</v>
      </c>
      <c r="CJ1240" s="167">
        <f>$N1240/3</f>
        <v>0.33333333333333331</v>
      </c>
      <c r="CK1240" s="167">
        <v>0</v>
      </c>
      <c r="CL1240" s="167">
        <v>0</v>
      </c>
      <c r="CM1240" s="167">
        <v>0</v>
      </c>
      <c r="CN1240" s="167">
        <v>0</v>
      </c>
      <c r="CO1240" s="167">
        <v>0</v>
      </c>
      <c r="CP1240" s="167">
        <v>0</v>
      </c>
      <c r="CQ1240" s="167">
        <v>0</v>
      </c>
      <c r="CR1240" s="167">
        <v>0</v>
      </c>
      <c r="CS1240" s="167">
        <v>0</v>
      </c>
      <c r="CT1240" s="167">
        <v>0</v>
      </c>
      <c r="CU1240" s="167">
        <v>0</v>
      </c>
      <c r="CV1240" s="167">
        <v>0</v>
      </c>
      <c r="CW1240" s="167">
        <v>0</v>
      </c>
      <c r="CX1240" s="167">
        <f>SUM(CD1240:CH1240)</f>
        <v>0.33333333333333331</v>
      </c>
      <c r="CY1240" s="167">
        <f>SUM(CD1240:CM1240)</f>
        <v>1</v>
      </c>
    </row>
    <row r="1241" spans="1:103" ht="12.75" customHeight="1" x14ac:dyDescent="0.2">
      <c r="A1241" s="81">
        <v>5642</v>
      </c>
      <c r="B1241" s="165" t="s">
        <v>1955</v>
      </c>
      <c r="C1241" s="165" t="s">
        <v>2124</v>
      </c>
      <c r="E1241" s="165" t="s">
        <v>2125</v>
      </c>
      <c r="G1241" s="81">
        <v>527300</v>
      </c>
      <c r="H1241" s="81">
        <v>175396</v>
      </c>
      <c r="I1241" s="165" t="s">
        <v>255</v>
      </c>
      <c r="L1241" s="166">
        <v>0</v>
      </c>
      <c r="M1241" s="166">
        <v>2</v>
      </c>
      <c r="N1241" s="166">
        <v>2</v>
      </c>
      <c r="O1241" s="166">
        <v>2</v>
      </c>
      <c r="P1241" s="166">
        <v>2</v>
      </c>
      <c r="R1241" s="165" t="s">
        <v>2126</v>
      </c>
      <c r="S1241" s="81" t="s">
        <v>296</v>
      </c>
      <c r="T1241" s="349">
        <v>42859</v>
      </c>
      <c r="U1241" s="349">
        <v>43040</v>
      </c>
      <c r="V1241" s="81" t="s">
        <v>155</v>
      </c>
      <c r="W1241" s="81" t="s">
        <v>365</v>
      </c>
      <c r="Y1241" s="81" t="s">
        <v>115</v>
      </c>
      <c r="Z1241" s="81" t="s">
        <v>310</v>
      </c>
      <c r="AA1241" s="81" t="s">
        <v>117</v>
      </c>
      <c r="AB1241" s="81" t="s">
        <v>399</v>
      </c>
      <c r="AC1241" s="166">
        <v>6.0000000521540598E-3</v>
      </c>
      <c r="AG1241" s="81" t="s">
        <v>238</v>
      </c>
      <c r="AH1241" s="81" t="s">
        <v>118</v>
      </c>
      <c r="AK1241" s="166">
        <v>0</v>
      </c>
      <c r="AM1241" s="166">
        <v>0</v>
      </c>
      <c r="AO1241" s="166">
        <v>0</v>
      </c>
      <c r="AP1241" s="166">
        <v>2</v>
      </c>
      <c r="AQ1241" s="166">
        <v>0</v>
      </c>
      <c r="AR1241" s="166">
        <v>0</v>
      </c>
      <c r="AS1241" s="166">
        <v>0</v>
      </c>
      <c r="AT1241" s="166">
        <v>0</v>
      </c>
      <c r="AU1241" s="166">
        <v>0</v>
      </c>
      <c r="AV1241" s="166">
        <v>0</v>
      </c>
      <c r="AW1241" s="166">
        <v>2</v>
      </c>
      <c r="AX1241" s="166">
        <v>0</v>
      </c>
      <c r="AY1241" s="166">
        <v>0</v>
      </c>
      <c r="AZ1241" s="166">
        <v>0</v>
      </c>
      <c r="BA1241" s="166">
        <v>0</v>
      </c>
      <c r="BB1241" s="166">
        <v>0</v>
      </c>
      <c r="BC1241" s="166">
        <v>0</v>
      </c>
      <c r="BD1241" s="166">
        <v>0</v>
      </c>
      <c r="BE1241" s="166">
        <v>0</v>
      </c>
      <c r="BF1241" s="166">
        <v>0</v>
      </c>
      <c r="BG1241" s="166">
        <v>0</v>
      </c>
      <c r="BH1241" s="166">
        <v>0</v>
      </c>
      <c r="BI1241" s="166">
        <v>0</v>
      </c>
      <c r="BJ1241" s="166">
        <v>0</v>
      </c>
      <c r="BK1241" s="166">
        <v>0</v>
      </c>
      <c r="BL1241" s="166">
        <v>0</v>
      </c>
      <c r="BM1241" s="166">
        <v>0</v>
      </c>
      <c r="BN1241" s="166">
        <v>0</v>
      </c>
      <c r="BO1241" s="166">
        <v>0</v>
      </c>
      <c r="BP1241" s="166">
        <v>0</v>
      </c>
      <c r="BQ1241" s="81" t="s">
        <v>1757</v>
      </c>
      <c r="BR1241" s="81" t="s">
        <v>160</v>
      </c>
      <c r="BZ1241" s="81" t="s">
        <v>155</v>
      </c>
      <c r="CA1241" s="81">
        <v>10</v>
      </c>
      <c r="CC1241" s="167">
        <v>0</v>
      </c>
      <c r="CD1241" s="167">
        <v>0</v>
      </c>
      <c r="CE1241" s="167">
        <v>0</v>
      </c>
      <c r="CF1241" s="167">
        <v>0</v>
      </c>
      <c r="CG1241" s="167">
        <v>0</v>
      </c>
      <c r="CH1241" s="167">
        <f>$N1241/3</f>
        <v>0.66666666666666663</v>
      </c>
      <c r="CI1241" s="167">
        <f>$N1241/3</f>
        <v>0.66666666666666663</v>
      </c>
      <c r="CJ1241" s="167">
        <f>$N1241/3</f>
        <v>0.66666666666666663</v>
      </c>
      <c r="CK1241" s="167">
        <v>0</v>
      </c>
      <c r="CL1241" s="167">
        <v>0</v>
      </c>
      <c r="CM1241" s="167">
        <v>0</v>
      </c>
      <c r="CN1241" s="167">
        <v>0</v>
      </c>
      <c r="CO1241" s="167">
        <v>0</v>
      </c>
      <c r="CP1241" s="167">
        <v>0</v>
      </c>
      <c r="CQ1241" s="167">
        <v>0</v>
      </c>
      <c r="CR1241" s="167">
        <v>0</v>
      </c>
      <c r="CS1241" s="167">
        <v>0</v>
      </c>
      <c r="CT1241" s="167">
        <v>0</v>
      </c>
      <c r="CU1241" s="167">
        <v>0</v>
      </c>
      <c r="CV1241" s="167">
        <v>0</v>
      </c>
      <c r="CW1241" s="167">
        <v>0</v>
      </c>
      <c r="CX1241" s="167">
        <f>SUM(CD1241:CH1241)</f>
        <v>0.66666666666666663</v>
      </c>
      <c r="CY1241" s="167">
        <f>SUM(CD1241:CM1241)</f>
        <v>2</v>
      </c>
    </row>
    <row r="1242" spans="1:103" ht="12.75" customHeight="1" x14ac:dyDescent="0.2">
      <c r="A1242" s="81">
        <v>5862</v>
      </c>
      <c r="B1242" s="165" t="s">
        <v>1955</v>
      </c>
      <c r="C1242" s="165" t="s">
        <v>2127</v>
      </c>
      <c r="E1242" s="165" t="s">
        <v>2128</v>
      </c>
      <c r="F1242" s="165" t="s">
        <v>2129</v>
      </c>
      <c r="G1242" s="81">
        <v>524068</v>
      </c>
      <c r="H1242" s="81">
        <v>175336</v>
      </c>
      <c r="I1242" s="165" t="s">
        <v>259</v>
      </c>
      <c r="L1242" s="166">
        <v>1</v>
      </c>
      <c r="M1242" s="166">
        <v>3</v>
      </c>
      <c r="N1242" s="166">
        <v>2</v>
      </c>
      <c r="O1242" s="166">
        <v>5</v>
      </c>
      <c r="P1242" s="166">
        <v>4</v>
      </c>
      <c r="R1242" s="165" t="s">
        <v>2130</v>
      </c>
      <c r="S1242" s="81" t="s">
        <v>121</v>
      </c>
      <c r="T1242" s="349">
        <v>43188</v>
      </c>
      <c r="W1242" s="81" t="s">
        <v>114</v>
      </c>
      <c r="Y1242" s="81" t="s">
        <v>115</v>
      </c>
      <c r="Z1242" s="81" t="s">
        <v>398</v>
      </c>
      <c r="AA1242" s="81" t="s">
        <v>117</v>
      </c>
      <c r="AB1242" s="81" t="s">
        <v>220</v>
      </c>
      <c r="AC1242" s="166">
        <v>8.9999996125698107E-3</v>
      </c>
      <c r="AG1242" s="81" t="s">
        <v>238</v>
      </c>
      <c r="AH1242" s="81" t="s">
        <v>118</v>
      </c>
      <c r="AK1242" s="166">
        <v>0</v>
      </c>
      <c r="AM1242" s="166">
        <v>0</v>
      </c>
      <c r="AO1242" s="166">
        <v>0</v>
      </c>
      <c r="AP1242" s="166">
        <v>0</v>
      </c>
      <c r="AQ1242" s="166">
        <v>3</v>
      </c>
      <c r="AR1242" s="166">
        <v>-1</v>
      </c>
      <c r="AS1242" s="166">
        <v>0</v>
      </c>
      <c r="AT1242" s="166">
        <v>0</v>
      </c>
      <c r="AU1242" s="166">
        <v>0</v>
      </c>
      <c r="AV1242" s="166">
        <v>0</v>
      </c>
      <c r="AW1242" s="166">
        <v>0</v>
      </c>
      <c r="AX1242" s="166">
        <v>3</v>
      </c>
      <c r="AY1242" s="166">
        <v>-1</v>
      </c>
      <c r="AZ1242" s="166">
        <v>0</v>
      </c>
      <c r="BA1242" s="166">
        <v>0</v>
      </c>
      <c r="BB1242" s="166">
        <v>0</v>
      </c>
      <c r="BC1242" s="166">
        <v>0</v>
      </c>
      <c r="BD1242" s="166">
        <v>0</v>
      </c>
      <c r="BE1242" s="166">
        <v>0</v>
      </c>
      <c r="BF1242" s="166">
        <v>0</v>
      </c>
      <c r="BG1242" s="166">
        <v>0</v>
      </c>
      <c r="BH1242" s="166">
        <v>0</v>
      </c>
      <c r="BI1242" s="166">
        <v>0</v>
      </c>
      <c r="BJ1242" s="166">
        <v>0</v>
      </c>
      <c r="BK1242" s="166">
        <v>0</v>
      </c>
      <c r="BL1242" s="166">
        <v>0</v>
      </c>
      <c r="BM1242" s="166">
        <v>0</v>
      </c>
      <c r="BN1242" s="166">
        <v>0</v>
      </c>
      <c r="BO1242" s="166">
        <v>0</v>
      </c>
      <c r="BP1242" s="166">
        <v>0</v>
      </c>
      <c r="BQ1242" s="81" t="s">
        <v>1758</v>
      </c>
      <c r="BR1242" s="81" t="s">
        <v>161</v>
      </c>
      <c r="BZ1242" s="81" t="s">
        <v>3991</v>
      </c>
      <c r="CA1242" s="81">
        <v>15</v>
      </c>
      <c r="CB1242" s="165" t="s">
        <v>4000</v>
      </c>
      <c r="CC1242" s="167">
        <v>0</v>
      </c>
      <c r="CD1242" s="167">
        <v>0</v>
      </c>
      <c r="CE1242" s="167">
        <v>0</v>
      </c>
      <c r="CF1242" s="167">
        <v>0</v>
      </c>
      <c r="CG1242" s="167">
        <v>0</v>
      </c>
      <c r="CH1242" s="167">
        <v>0</v>
      </c>
      <c r="CI1242" s="167">
        <v>0</v>
      </c>
      <c r="CJ1242" s="167">
        <v>0</v>
      </c>
      <c r="CK1242" s="167">
        <v>0</v>
      </c>
      <c r="CL1242" s="167">
        <v>0</v>
      </c>
      <c r="CM1242" s="167">
        <v>0</v>
      </c>
      <c r="CN1242" s="167">
        <v>0</v>
      </c>
      <c r="CO1242" s="167">
        <v>0</v>
      </c>
      <c r="CP1242" s="167">
        <v>0</v>
      </c>
      <c r="CQ1242" s="167">
        <v>0</v>
      </c>
      <c r="CR1242" s="167">
        <v>0</v>
      </c>
      <c r="CS1242" s="167">
        <v>0</v>
      </c>
      <c r="CT1242" s="167">
        <v>0</v>
      </c>
      <c r="CU1242" s="167">
        <v>0</v>
      </c>
      <c r="CV1242" s="167">
        <v>0</v>
      </c>
      <c r="CW1242" s="167">
        <v>0</v>
      </c>
      <c r="CX1242" s="167">
        <f>SUM(CD1242:CH1242)</f>
        <v>0</v>
      </c>
      <c r="CY1242" s="167">
        <f>SUM(CD1242:CM1242)</f>
        <v>0</v>
      </c>
    </row>
    <row r="1243" spans="1:103" ht="12.75" customHeight="1" x14ac:dyDescent="0.2">
      <c r="A1243" s="81">
        <v>5862</v>
      </c>
      <c r="B1243" s="165" t="s">
        <v>1955</v>
      </c>
      <c r="C1243" s="165" t="s">
        <v>2127</v>
      </c>
      <c r="E1243" s="165" t="s">
        <v>2128</v>
      </c>
      <c r="F1243" s="165" t="s">
        <v>2131</v>
      </c>
      <c r="G1243" s="81">
        <v>524068</v>
      </c>
      <c r="H1243" s="81">
        <v>175336</v>
      </c>
      <c r="I1243" s="165" t="s">
        <v>259</v>
      </c>
      <c r="L1243" s="166">
        <v>0</v>
      </c>
      <c r="M1243" s="166">
        <v>2</v>
      </c>
      <c r="N1243" s="166">
        <v>2</v>
      </c>
      <c r="O1243" s="166">
        <v>5</v>
      </c>
      <c r="P1243" s="166">
        <v>4</v>
      </c>
      <c r="R1243" s="165" t="s">
        <v>2130</v>
      </c>
      <c r="S1243" s="81" t="s">
        <v>121</v>
      </c>
      <c r="T1243" s="349">
        <v>43188</v>
      </c>
      <c r="W1243" s="81" t="s">
        <v>114</v>
      </c>
      <c r="Y1243" s="81" t="s">
        <v>115</v>
      </c>
      <c r="Z1243" s="81" t="s">
        <v>398</v>
      </c>
      <c r="AA1243" s="81" t="s">
        <v>117</v>
      </c>
      <c r="AB1243" s="81" t="s">
        <v>218</v>
      </c>
      <c r="AC1243" s="166">
        <v>4.9999998882412902E-3</v>
      </c>
      <c r="AG1243" s="81" t="s">
        <v>238</v>
      </c>
      <c r="AH1243" s="81" t="s">
        <v>118</v>
      </c>
      <c r="AK1243" s="166">
        <v>0</v>
      </c>
      <c r="AM1243" s="166">
        <v>0</v>
      </c>
      <c r="AO1243" s="166">
        <v>0</v>
      </c>
      <c r="AP1243" s="166">
        <v>1</v>
      </c>
      <c r="AQ1243" s="166">
        <v>1</v>
      </c>
      <c r="AR1243" s="166">
        <v>0</v>
      </c>
      <c r="AS1243" s="166">
        <v>0</v>
      </c>
      <c r="AT1243" s="166">
        <v>0</v>
      </c>
      <c r="AU1243" s="166">
        <v>0</v>
      </c>
      <c r="AV1243" s="166">
        <v>0</v>
      </c>
      <c r="AW1243" s="166">
        <v>1</v>
      </c>
      <c r="AX1243" s="166">
        <v>1</v>
      </c>
      <c r="AY1243" s="166">
        <v>0</v>
      </c>
      <c r="AZ1243" s="166">
        <v>0</v>
      </c>
      <c r="BA1243" s="166">
        <v>0</v>
      </c>
      <c r="BB1243" s="166">
        <v>0</v>
      </c>
      <c r="BC1243" s="166">
        <v>0</v>
      </c>
      <c r="BD1243" s="166">
        <v>0</v>
      </c>
      <c r="BE1243" s="166">
        <v>0</v>
      </c>
      <c r="BF1243" s="166">
        <v>0</v>
      </c>
      <c r="BG1243" s="166">
        <v>0</v>
      </c>
      <c r="BH1243" s="166">
        <v>0</v>
      </c>
      <c r="BI1243" s="166">
        <v>0</v>
      </c>
      <c r="BJ1243" s="166">
        <v>0</v>
      </c>
      <c r="BK1243" s="166">
        <v>0</v>
      </c>
      <c r="BL1243" s="166">
        <v>0</v>
      </c>
      <c r="BM1243" s="166">
        <v>0</v>
      </c>
      <c r="BN1243" s="166">
        <v>0</v>
      </c>
      <c r="BO1243" s="166">
        <v>0</v>
      </c>
      <c r="BP1243" s="166">
        <v>0</v>
      </c>
      <c r="BQ1243" s="81" t="s">
        <v>1758</v>
      </c>
      <c r="BR1243" s="81" t="s">
        <v>161</v>
      </c>
      <c r="BZ1243" s="81" t="s">
        <v>3991</v>
      </c>
      <c r="CA1243" s="81">
        <v>15</v>
      </c>
      <c r="CB1243" s="165" t="s">
        <v>4000</v>
      </c>
      <c r="CC1243" s="167">
        <v>0</v>
      </c>
      <c r="CD1243" s="167">
        <v>0</v>
      </c>
      <c r="CE1243" s="167">
        <v>0</v>
      </c>
      <c r="CF1243" s="167">
        <v>0</v>
      </c>
      <c r="CG1243" s="167">
        <v>0</v>
      </c>
      <c r="CH1243" s="167">
        <v>0</v>
      </c>
      <c r="CI1243" s="167">
        <v>0</v>
      </c>
      <c r="CJ1243" s="167">
        <v>0</v>
      </c>
      <c r="CK1243" s="167">
        <v>0</v>
      </c>
      <c r="CL1243" s="167">
        <v>0</v>
      </c>
      <c r="CM1243" s="167">
        <v>0</v>
      </c>
      <c r="CN1243" s="167">
        <v>0</v>
      </c>
      <c r="CO1243" s="167">
        <v>0</v>
      </c>
      <c r="CP1243" s="167">
        <v>0</v>
      </c>
      <c r="CQ1243" s="167">
        <v>0</v>
      </c>
      <c r="CR1243" s="167">
        <v>0</v>
      </c>
      <c r="CS1243" s="167">
        <v>0</v>
      </c>
      <c r="CT1243" s="167">
        <v>0</v>
      </c>
      <c r="CU1243" s="167">
        <v>0</v>
      </c>
      <c r="CV1243" s="167">
        <v>0</v>
      </c>
      <c r="CW1243" s="167">
        <v>0</v>
      </c>
      <c r="CX1243" s="167">
        <f>SUM(CD1243:CH1243)</f>
        <v>0</v>
      </c>
      <c r="CY1243" s="167">
        <f>SUM(CD1243:CM1243)</f>
        <v>0</v>
      </c>
    </row>
    <row r="1244" spans="1:103" ht="12.75" customHeight="1" x14ac:dyDescent="0.2">
      <c r="A1244" s="81">
        <v>6030</v>
      </c>
      <c r="B1244" s="165" t="s">
        <v>1955</v>
      </c>
      <c r="C1244" s="165" t="s">
        <v>2132</v>
      </c>
      <c r="E1244" s="165" t="s">
        <v>2133</v>
      </c>
      <c r="G1244" s="81">
        <v>522262</v>
      </c>
      <c r="H1244" s="81">
        <v>173980</v>
      </c>
      <c r="I1244" s="165" t="s">
        <v>877</v>
      </c>
      <c r="L1244" s="166">
        <v>0</v>
      </c>
      <c r="M1244" s="166">
        <v>2</v>
      </c>
      <c r="N1244" s="166">
        <v>2</v>
      </c>
      <c r="O1244" s="166">
        <v>2</v>
      </c>
      <c r="P1244" s="166">
        <v>2</v>
      </c>
      <c r="R1244" s="165" t="s">
        <v>2134</v>
      </c>
      <c r="S1244" s="81" t="s">
        <v>121</v>
      </c>
      <c r="T1244" s="349">
        <v>42810</v>
      </c>
      <c r="W1244" s="81" t="s">
        <v>114</v>
      </c>
      <c r="Y1244" s="81" t="s">
        <v>115</v>
      </c>
      <c r="Z1244" s="81" t="s">
        <v>116</v>
      </c>
      <c r="AA1244" s="81" t="s">
        <v>117</v>
      </c>
      <c r="AB1244" s="81" t="s">
        <v>218</v>
      </c>
      <c r="AC1244" s="166">
        <v>0.10199999809265101</v>
      </c>
      <c r="AG1244" s="81" t="s">
        <v>238</v>
      </c>
      <c r="AH1244" s="81" t="s">
        <v>118</v>
      </c>
      <c r="AK1244" s="166">
        <v>0</v>
      </c>
      <c r="AM1244" s="166">
        <v>0</v>
      </c>
      <c r="AO1244" s="166">
        <v>0</v>
      </c>
      <c r="AP1244" s="166">
        <v>0</v>
      </c>
      <c r="AQ1244" s="166">
        <v>0</v>
      </c>
      <c r="AR1244" s="166">
        <v>0</v>
      </c>
      <c r="AS1244" s="166">
        <v>0</v>
      </c>
      <c r="AT1244" s="166">
        <v>2</v>
      </c>
      <c r="AU1244" s="166">
        <v>0</v>
      </c>
      <c r="AV1244" s="166">
        <v>0</v>
      </c>
      <c r="AW1244" s="166">
        <v>0</v>
      </c>
      <c r="AX1244" s="166">
        <v>0</v>
      </c>
      <c r="AY1244" s="166">
        <v>0</v>
      </c>
      <c r="AZ1244" s="166">
        <v>0</v>
      </c>
      <c r="BA1244" s="166">
        <v>0</v>
      </c>
      <c r="BB1244" s="166">
        <v>0</v>
      </c>
      <c r="BC1244" s="166">
        <v>0</v>
      </c>
      <c r="BD1244" s="166">
        <v>0</v>
      </c>
      <c r="BE1244" s="166">
        <v>0</v>
      </c>
      <c r="BF1244" s="166">
        <v>0</v>
      </c>
      <c r="BG1244" s="166">
        <v>0</v>
      </c>
      <c r="BH1244" s="166">
        <v>2</v>
      </c>
      <c r="BI1244" s="166">
        <v>0</v>
      </c>
      <c r="BJ1244" s="166">
        <v>0</v>
      </c>
      <c r="BK1244" s="166">
        <v>0</v>
      </c>
      <c r="BL1244" s="166">
        <v>0</v>
      </c>
      <c r="BM1244" s="166">
        <v>0</v>
      </c>
      <c r="BN1244" s="166">
        <v>0</v>
      </c>
      <c r="BO1244" s="166">
        <v>0</v>
      </c>
      <c r="BP1244" s="166">
        <v>0</v>
      </c>
      <c r="BQ1244" s="81" t="s">
        <v>1758</v>
      </c>
      <c r="BZ1244" s="81" t="s">
        <v>3991</v>
      </c>
      <c r="CA1244" s="81">
        <v>15</v>
      </c>
      <c r="CB1244" s="165" t="s">
        <v>4001</v>
      </c>
      <c r="CC1244" s="167">
        <v>0</v>
      </c>
      <c r="CD1244" s="167">
        <v>0</v>
      </c>
      <c r="CE1244" s="167">
        <v>0</v>
      </c>
      <c r="CF1244" s="167">
        <v>0</v>
      </c>
      <c r="CG1244" s="167">
        <v>0</v>
      </c>
      <c r="CH1244" s="167">
        <v>0</v>
      </c>
      <c r="CI1244" s="167">
        <v>0</v>
      </c>
      <c r="CJ1244" s="167">
        <v>0</v>
      </c>
      <c r="CK1244" s="167">
        <v>0</v>
      </c>
      <c r="CL1244" s="167">
        <v>0</v>
      </c>
      <c r="CM1244" s="167">
        <v>0</v>
      </c>
      <c r="CN1244" s="167">
        <v>0</v>
      </c>
      <c r="CO1244" s="167">
        <v>0</v>
      </c>
      <c r="CP1244" s="167">
        <v>0</v>
      </c>
      <c r="CQ1244" s="167">
        <v>0</v>
      </c>
      <c r="CR1244" s="167">
        <v>0</v>
      </c>
      <c r="CS1244" s="167">
        <v>0</v>
      </c>
      <c r="CT1244" s="167">
        <v>0</v>
      </c>
      <c r="CU1244" s="167">
        <v>0</v>
      </c>
      <c r="CV1244" s="167">
        <v>0</v>
      </c>
      <c r="CW1244" s="167">
        <v>0</v>
      </c>
      <c r="CX1244" s="167">
        <f>SUM(CD1244:CH1244)</f>
        <v>0</v>
      </c>
      <c r="CY1244" s="167">
        <f>SUM(CD1244:CM1244)</f>
        <v>0</v>
      </c>
    </row>
    <row r="1245" spans="1:103" ht="12.75" customHeight="1" x14ac:dyDescent="0.2">
      <c r="A1245" s="81">
        <v>6088</v>
      </c>
      <c r="B1245" s="165" t="s">
        <v>1955</v>
      </c>
      <c r="C1245" s="165" t="s">
        <v>2135</v>
      </c>
      <c r="E1245" s="165" t="s">
        <v>2136</v>
      </c>
      <c r="G1245" s="81">
        <v>527736</v>
      </c>
      <c r="H1245" s="81">
        <v>172067</v>
      </c>
      <c r="I1245" s="165" t="s">
        <v>242</v>
      </c>
      <c r="L1245" s="166">
        <v>0</v>
      </c>
      <c r="M1245" s="166">
        <v>4</v>
      </c>
      <c r="N1245" s="166">
        <v>4</v>
      </c>
      <c r="O1245" s="166">
        <v>4</v>
      </c>
      <c r="P1245" s="166">
        <v>4</v>
      </c>
      <c r="R1245" s="165" t="s">
        <v>2137</v>
      </c>
      <c r="S1245" s="81" t="s">
        <v>121</v>
      </c>
      <c r="T1245" s="349">
        <v>42997</v>
      </c>
      <c r="W1245" s="81" t="s">
        <v>114</v>
      </c>
      <c r="Y1245" s="81" t="s">
        <v>115</v>
      </c>
      <c r="Z1245" s="81" t="s">
        <v>398</v>
      </c>
      <c r="AA1245" s="81" t="s">
        <v>117</v>
      </c>
      <c r="AB1245" s="81" t="s">
        <v>218</v>
      </c>
      <c r="AC1245" s="166">
        <v>8.9999996125698107E-3</v>
      </c>
      <c r="AG1245" s="81" t="s">
        <v>238</v>
      </c>
      <c r="AH1245" s="81" t="s">
        <v>118</v>
      </c>
      <c r="AK1245" s="166">
        <v>0</v>
      </c>
      <c r="AM1245" s="166">
        <v>0</v>
      </c>
      <c r="AO1245" s="166">
        <v>4</v>
      </c>
      <c r="AP1245" s="166">
        <v>0</v>
      </c>
      <c r="AQ1245" s="166">
        <v>0</v>
      </c>
      <c r="AR1245" s="166">
        <v>0</v>
      </c>
      <c r="AS1245" s="166">
        <v>0</v>
      </c>
      <c r="AT1245" s="166">
        <v>0</v>
      </c>
      <c r="AU1245" s="166">
        <v>0</v>
      </c>
      <c r="AV1245" s="166">
        <v>4</v>
      </c>
      <c r="AW1245" s="166">
        <v>0</v>
      </c>
      <c r="AX1245" s="166">
        <v>0</v>
      </c>
      <c r="AY1245" s="166">
        <v>0</v>
      </c>
      <c r="AZ1245" s="166">
        <v>0</v>
      </c>
      <c r="BA1245" s="166">
        <v>0</v>
      </c>
      <c r="BB1245" s="166">
        <v>0</v>
      </c>
      <c r="BC1245" s="166">
        <v>0</v>
      </c>
      <c r="BD1245" s="166">
        <v>0</v>
      </c>
      <c r="BE1245" s="166">
        <v>0</v>
      </c>
      <c r="BF1245" s="166">
        <v>0</v>
      </c>
      <c r="BG1245" s="166">
        <v>0</v>
      </c>
      <c r="BH1245" s="166">
        <v>0</v>
      </c>
      <c r="BI1245" s="166">
        <v>0</v>
      </c>
      <c r="BJ1245" s="166">
        <v>0</v>
      </c>
      <c r="BK1245" s="166">
        <v>0</v>
      </c>
      <c r="BL1245" s="166">
        <v>0</v>
      </c>
      <c r="BM1245" s="166">
        <v>0</v>
      </c>
      <c r="BN1245" s="166">
        <v>0</v>
      </c>
      <c r="BO1245" s="166">
        <v>0</v>
      </c>
      <c r="BP1245" s="166">
        <v>0</v>
      </c>
      <c r="BQ1245" s="81" t="s">
        <v>1757</v>
      </c>
      <c r="BZ1245" s="81" t="s">
        <v>155</v>
      </c>
      <c r="CA1245" s="81">
        <v>10</v>
      </c>
      <c r="CC1245" s="167">
        <v>0</v>
      </c>
      <c r="CD1245" s="167">
        <v>0</v>
      </c>
      <c r="CE1245" s="167">
        <v>0</v>
      </c>
      <c r="CF1245" s="167">
        <v>0</v>
      </c>
      <c r="CG1245" s="167">
        <v>0</v>
      </c>
      <c r="CH1245" s="167">
        <f>$N1245/3</f>
        <v>1.3333333333333333</v>
      </c>
      <c r="CI1245" s="167">
        <f>$N1245/3</f>
        <v>1.3333333333333333</v>
      </c>
      <c r="CJ1245" s="167">
        <f>$N1245/3</f>
        <v>1.3333333333333333</v>
      </c>
      <c r="CK1245" s="167">
        <v>0</v>
      </c>
      <c r="CL1245" s="167">
        <v>0</v>
      </c>
      <c r="CM1245" s="167">
        <v>0</v>
      </c>
      <c r="CN1245" s="167">
        <v>0</v>
      </c>
      <c r="CO1245" s="167">
        <v>0</v>
      </c>
      <c r="CP1245" s="167">
        <v>0</v>
      </c>
      <c r="CQ1245" s="167">
        <v>0</v>
      </c>
      <c r="CR1245" s="167">
        <v>0</v>
      </c>
      <c r="CS1245" s="167">
        <v>0</v>
      </c>
      <c r="CT1245" s="167">
        <v>0</v>
      </c>
      <c r="CU1245" s="167">
        <v>0</v>
      </c>
      <c r="CV1245" s="167">
        <v>0</v>
      </c>
      <c r="CW1245" s="167">
        <v>0</v>
      </c>
      <c r="CX1245" s="167">
        <f>SUM(CD1245:CH1245)</f>
        <v>1.3333333333333333</v>
      </c>
      <c r="CY1245" s="167">
        <f>SUM(CD1245:CM1245)</f>
        <v>4</v>
      </c>
    </row>
    <row r="1246" spans="1:103" ht="12.75" customHeight="1" x14ac:dyDescent="0.2">
      <c r="A1246" s="81">
        <v>6149</v>
      </c>
      <c r="B1246" s="165" t="s">
        <v>1955</v>
      </c>
      <c r="C1246" s="165" t="s">
        <v>1552</v>
      </c>
      <c r="E1246" s="165" t="s">
        <v>3424</v>
      </c>
      <c r="G1246" s="81">
        <v>525867</v>
      </c>
      <c r="H1246" s="81">
        <v>172948</v>
      </c>
      <c r="I1246" s="165" t="s">
        <v>258</v>
      </c>
      <c r="L1246" s="166">
        <v>0</v>
      </c>
      <c r="M1246" s="166">
        <v>15</v>
      </c>
      <c r="N1246" s="166">
        <v>15</v>
      </c>
      <c r="O1246" s="166">
        <v>15</v>
      </c>
      <c r="P1246" s="166">
        <v>15</v>
      </c>
      <c r="Q1246" s="81" t="s">
        <v>155</v>
      </c>
      <c r="R1246" s="165" t="s">
        <v>1553</v>
      </c>
      <c r="S1246" s="81" t="s">
        <v>121</v>
      </c>
      <c r="T1246" s="349">
        <v>42615</v>
      </c>
      <c r="W1246" s="81" t="s">
        <v>114</v>
      </c>
      <c r="Y1246" s="81" t="s">
        <v>115</v>
      </c>
      <c r="Z1246" s="81" t="s">
        <v>116</v>
      </c>
      <c r="AA1246" s="81" t="s">
        <v>116</v>
      </c>
      <c r="AB1246" s="81" t="s">
        <v>117</v>
      </c>
      <c r="AC1246" s="166">
        <v>6.7000001668930095E-2</v>
      </c>
      <c r="AG1246" s="81" t="s">
        <v>238</v>
      </c>
      <c r="AH1246" s="81" t="s">
        <v>118</v>
      </c>
      <c r="AK1246" s="166">
        <v>0</v>
      </c>
      <c r="AM1246" s="166">
        <v>2</v>
      </c>
      <c r="AO1246" s="166">
        <v>0</v>
      </c>
      <c r="AP1246" s="166">
        <v>3</v>
      </c>
      <c r="AQ1246" s="166">
        <v>11</v>
      </c>
      <c r="AR1246" s="166">
        <v>1</v>
      </c>
      <c r="AS1246" s="166">
        <v>0</v>
      </c>
      <c r="AT1246" s="166">
        <v>0</v>
      </c>
      <c r="AU1246" s="166">
        <v>0</v>
      </c>
      <c r="AV1246" s="166">
        <v>0</v>
      </c>
      <c r="AW1246" s="166">
        <v>3</v>
      </c>
      <c r="AX1246" s="166">
        <v>11</v>
      </c>
      <c r="AY1246" s="166">
        <v>1</v>
      </c>
      <c r="AZ1246" s="166">
        <v>0</v>
      </c>
      <c r="BA1246" s="166">
        <v>0</v>
      </c>
      <c r="BB1246" s="166">
        <v>0</v>
      </c>
      <c r="BC1246" s="166">
        <v>0</v>
      </c>
      <c r="BD1246" s="166">
        <v>0</v>
      </c>
      <c r="BE1246" s="166">
        <v>0</v>
      </c>
      <c r="BF1246" s="166">
        <v>0</v>
      </c>
      <c r="BG1246" s="166">
        <v>0</v>
      </c>
      <c r="BH1246" s="166">
        <v>0</v>
      </c>
      <c r="BI1246" s="166">
        <v>0</v>
      </c>
      <c r="BJ1246" s="166">
        <v>0</v>
      </c>
      <c r="BK1246" s="166">
        <v>0</v>
      </c>
      <c r="BL1246" s="166">
        <v>0</v>
      </c>
      <c r="BM1246" s="166">
        <v>0</v>
      </c>
      <c r="BN1246" s="166">
        <v>0</v>
      </c>
      <c r="BO1246" s="166">
        <v>0</v>
      </c>
      <c r="BP1246" s="166">
        <v>0</v>
      </c>
      <c r="BQ1246" s="81" t="s">
        <v>1758</v>
      </c>
      <c r="BY1246" s="81" t="s">
        <v>155</v>
      </c>
      <c r="BZ1246" s="81" t="s">
        <v>155</v>
      </c>
      <c r="CA1246" s="81">
        <v>6</v>
      </c>
      <c r="CC1246" s="167">
        <v>0</v>
      </c>
      <c r="CD1246" s="167">
        <v>0</v>
      </c>
      <c r="CE1246" s="167">
        <v>0</v>
      </c>
      <c r="CF1246" s="167">
        <v>0</v>
      </c>
      <c r="CG1246" s="167">
        <v>0</v>
      </c>
      <c r="CH1246" s="167">
        <f>$N1246/3</f>
        <v>5</v>
      </c>
      <c r="CI1246" s="167">
        <f>$N1246/3</f>
        <v>5</v>
      </c>
      <c r="CJ1246" s="167">
        <f>$N1246/3</f>
        <v>5</v>
      </c>
      <c r="CK1246" s="167">
        <v>0</v>
      </c>
      <c r="CL1246" s="167">
        <v>0</v>
      </c>
      <c r="CM1246" s="167">
        <v>0</v>
      </c>
      <c r="CN1246" s="167">
        <v>0</v>
      </c>
      <c r="CO1246" s="167">
        <v>0</v>
      </c>
      <c r="CP1246" s="167">
        <v>0</v>
      </c>
      <c r="CQ1246" s="167">
        <v>0</v>
      </c>
      <c r="CR1246" s="167">
        <v>0</v>
      </c>
      <c r="CS1246" s="167">
        <v>0</v>
      </c>
      <c r="CT1246" s="167">
        <v>0</v>
      </c>
      <c r="CU1246" s="167">
        <v>0</v>
      </c>
      <c r="CV1246" s="167">
        <v>0</v>
      </c>
      <c r="CW1246" s="167">
        <v>0</v>
      </c>
      <c r="CX1246" s="167">
        <f>SUM(CD1246:CH1246)</f>
        <v>5</v>
      </c>
      <c r="CY1246" s="167">
        <f>SUM(CD1246:CM1246)</f>
        <v>15</v>
      </c>
    </row>
    <row r="1247" spans="1:103" ht="12.75" customHeight="1" x14ac:dyDescent="0.2">
      <c r="A1247" s="81">
        <v>6149</v>
      </c>
      <c r="B1247" s="165" t="s">
        <v>1955</v>
      </c>
      <c r="C1247" s="165" t="s">
        <v>3425</v>
      </c>
      <c r="E1247" s="165" t="s">
        <v>3424</v>
      </c>
      <c r="G1247" s="81">
        <v>525867</v>
      </c>
      <c r="H1247" s="81">
        <v>172948</v>
      </c>
      <c r="I1247" s="165" t="s">
        <v>258</v>
      </c>
      <c r="L1247" s="166">
        <v>0</v>
      </c>
      <c r="M1247" s="166">
        <v>9</v>
      </c>
      <c r="N1247" s="166">
        <v>9</v>
      </c>
      <c r="O1247" s="166">
        <v>9</v>
      </c>
      <c r="P1247" s="166">
        <v>9</v>
      </c>
      <c r="R1247" s="165" t="s">
        <v>3426</v>
      </c>
      <c r="S1247" s="81" t="s">
        <v>121</v>
      </c>
      <c r="T1247" s="349">
        <v>43146</v>
      </c>
      <c r="W1247" s="81" t="s">
        <v>114</v>
      </c>
      <c r="Y1247" s="81" t="s">
        <v>115</v>
      </c>
      <c r="Z1247" s="81" t="s">
        <v>116</v>
      </c>
      <c r="AA1247" s="81" t="s">
        <v>117</v>
      </c>
      <c r="AB1247" s="81" t="s">
        <v>218</v>
      </c>
      <c r="AC1247" s="166">
        <v>5.0999999046325697E-2</v>
      </c>
      <c r="AG1247" s="81" t="s">
        <v>238</v>
      </c>
      <c r="AH1247" s="81" t="s">
        <v>118</v>
      </c>
      <c r="AK1247" s="166">
        <v>0</v>
      </c>
      <c r="AL1247" s="166">
        <v>8</v>
      </c>
      <c r="AM1247" s="166">
        <v>0</v>
      </c>
      <c r="AN1247" s="166">
        <v>1</v>
      </c>
      <c r="AO1247" s="166">
        <v>0</v>
      </c>
      <c r="AP1247" s="166">
        <v>1</v>
      </c>
      <c r="AQ1247" s="166">
        <v>7</v>
      </c>
      <c r="AR1247" s="166">
        <v>1</v>
      </c>
      <c r="AS1247" s="166">
        <v>0</v>
      </c>
      <c r="AT1247" s="166">
        <v>0</v>
      </c>
      <c r="AU1247" s="166">
        <v>0</v>
      </c>
      <c r="AV1247" s="166">
        <v>0</v>
      </c>
      <c r="AW1247" s="166">
        <v>1</v>
      </c>
      <c r="AX1247" s="166">
        <v>7</v>
      </c>
      <c r="AY1247" s="166">
        <v>1</v>
      </c>
      <c r="AZ1247" s="166">
        <v>0</v>
      </c>
      <c r="BA1247" s="166">
        <v>0</v>
      </c>
      <c r="BB1247" s="166">
        <v>0</v>
      </c>
      <c r="BC1247" s="166">
        <v>0</v>
      </c>
      <c r="BD1247" s="166">
        <v>0</v>
      </c>
      <c r="BE1247" s="166">
        <v>0</v>
      </c>
      <c r="BF1247" s="166">
        <v>0</v>
      </c>
      <c r="BG1247" s="166">
        <v>0</v>
      </c>
      <c r="BH1247" s="166">
        <v>0</v>
      </c>
      <c r="BI1247" s="166">
        <v>0</v>
      </c>
      <c r="BJ1247" s="166">
        <v>0</v>
      </c>
      <c r="BK1247" s="166">
        <v>0</v>
      </c>
      <c r="BL1247" s="166">
        <v>0</v>
      </c>
      <c r="BM1247" s="166">
        <v>0</v>
      </c>
      <c r="BN1247" s="166">
        <v>0</v>
      </c>
      <c r="BO1247" s="166">
        <v>0</v>
      </c>
      <c r="BP1247" s="166">
        <v>0</v>
      </c>
      <c r="BQ1247" s="81" t="s">
        <v>1758</v>
      </c>
      <c r="BY1247" s="81" t="s">
        <v>155</v>
      </c>
      <c r="BZ1247" s="81" t="s">
        <v>155</v>
      </c>
      <c r="CA1247" s="81">
        <v>6</v>
      </c>
      <c r="CC1247" s="167">
        <v>0</v>
      </c>
      <c r="CD1247" s="167">
        <v>0</v>
      </c>
      <c r="CE1247" s="167">
        <v>0</v>
      </c>
      <c r="CF1247" s="167">
        <v>0</v>
      </c>
      <c r="CG1247" s="167">
        <v>0</v>
      </c>
      <c r="CH1247" s="167">
        <f>$N1247/3</f>
        <v>3</v>
      </c>
      <c r="CI1247" s="167">
        <f>$N1247/3</f>
        <v>3</v>
      </c>
      <c r="CJ1247" s="167">
        <f>$N1247/3</f>
        <v>3</v>
      </c>
      <c r="CK1247" s="167">
        <v>0</v>
      </c>
      <c r="CL1247" s="167">
        <v>0</v>
      </c>
      <c r="CM1247" s="167">
        <v>0</v>
      </c>
      <c r="CN1247" s="167">
        <v>0</v>
      </c>
      <c r="CO1247" s="167">
        <v>0</v>
      </c>
      <c r="CP1247" s="167">
        <v>0</v>
      </c>
      <c r="CQ1247" s="167">
        <v>0</v>
      </c>
      <c r="CR1247" s="167">
        <v>0</v>
      </c>
      <c r="CS1247" s="167">
        <v>0</v>
      </c>
      <c r="CT1247" s="167">
        <v>0</v>
      </c>
      <c r="CU1247" s="167">
        <v>0</v>
      </c>
      <c r="CV1247" s="167">
        <v>0</v>
      </c>
      <c r="CW1247" s="167">
        <v>0</v>
      </c>
      <c r="CX1247" s="167">
        <f>SUM(CD1247:CH1247)</f>
        <v>3</v>
      </c>
      <c r="CY1247" s="167">
        <f>SUM(CD1247:CM1247)</f>
        <v>9</v>
      </c>
    </row>
    <row r="1248" spans="1:103" ht="12.75" customHeight="1" x14ac:dyDescent="0.2">
      <c r="A1248" s="81">
        <v>6196</v>
      </c>
      <c r="B1248" s="165" t="s">
        <v>1955</v>
      </c>
      <c r="C1248" s="165" t="s">
        <v>2140</v>
      </c>
      <c r="E1248" s="165" t="s">
        <v>2141</v>
      </c>
      <c r="G1248" s="81">
        <v>528701</v>
      </c>
      <c r="H1248" s="81">
        <v>172342</v>
      </c>
      <c r="I1248" s="165" t="s">
        <v>248</v>
      </c>
      <c r="L1248" s="166">
        <v>0</v>
      </c>
      <c r="M1248" s="166">
        <v>1</v>
      </c>
      <c r="N1248" s="166">
        <v>1</v>
      </c>
      <c r="O1248" s="166">
        <v>1</v>
      </c>
      <c r="P1248" s="166">
        <v>1</v>
      </c>
      <c r="R1248" s="165" t="s">
        <v>2142</v>
      </c>
      <c r="S1248" s="81" t="s">
        <v>121</v>
      </c>
      <c r="T1248" s="349">
        <v>43165</v>
      </c>
      <c r="W1248" s="81" t="s">
        <v>114</v>
      </c>
      <c r="Y1248" s="81" t="s">
        <v>115</v>
      </c>
      <c r="Z1248" s="81" t="s">
        <v>116</v>
      </c>
      <c r="AA1248" s="81" t="s">
        <v>117</v>
      </c>
      <c r="AB1248" s="81" t="s">
        <v>218</v>
      </c>
      <c r="AC1248" s="166">
        <v>8.9999996125698107E-3</v>
      </c>
      <c r="AG1248" s="81" t="s">
        <v>238</v>
      </c>
      <c r="AH1248" s="81" t="s">
        <v>118</v>
      </c>
      <c r="AK1248" s="166">
        <v>0</v>
      </c>
      <c r="AM1248" s="166">
        <v>0</v>
      </c>
      <c r="AO1248" s="166">
        <v>0</v>
      </c>
      <c r="AP1248" s="166">
        <v>0</v>
      </c>
      <c r="AQ1248" s="166">
        <v>0</v>
      </c>
      <c r="AR1248" s="166">
        <v>1</v>
      </c>
      <c r="AS1248" s="166">
        <v>0</v>
      </c>
      <c r="AT1248" s="166">
        <v>0</v>
      </c>
      <c r="AU1248" s="166">
        <v>0</v>
      </c>
      <c r="AV1248" s="166">
        <v>0</v>
      </c>
      <c r="AW1248" s="166">
        <v>0</v>
      </c>
      <c r="AX1248" s="166">
        <v>0</v>
      </c>
      <c r="AY1248" s="166">
        <v>0</v>
      </c>
      <c r="AZ1248" s="166">
        <v>0</v>
      </c>
      <c r="BA1248" s="166">
        <v>0</v>
      </c>
      <c r="BB1248" s="166">
        <v>0</v>
      </c>
      <c r="BC1248" s="166">
        <v>0</v>
      </c>
      <c r="BD1248" s="166">
        <v>0</v>
      </c>
      <c r="BE1248" s="166">
        <v>0</v>
      </c>
      <c r="BF1248" s="166">
        <v>1</v>
      </c>
      <c r="BG1248" s="166">
        <v>0</v>
      </c>
      <c r="BH1248" s="166">
        <v>0</v>
      </c>
      <c r="BI1248" s="166">
        <v>0</v>
      </c>
      <c r="BJ1248" s="166">
        <v>0</v>
      </c>
      <c r="BK1248" s="166">
        <v>0</v>
      </c>
      <c r="BL1248" s="166">
        <v>0</v>
      </c>
      <c r="BM1248" s="166">
        <v>0</v>
      </c>
      <c r="BN1248" s="166">
        <v>0</v>
      </c>
      <c r="BO1248" s="166">
        <v>0</v>
      </c>
      <c r="BP1248" s="166">
        <v>0</v>
      </c>
      <c r="BQ1248" s="81" t="s">
        <v>1757</v>
      </c>
      <c r="BZ1248" s="81" t="s">
        <v>3991</v>
      </c>
      <c r="CA1248" s="81">
        <v>15</v>
      </c>
      <c r="CB1248" s="165" t="s">
        <v>4002</v>
      </c>
      <c r="CC1248" s="167">
        <v>0</v>
      </c>
      <c r="CD1248" s="167">
        <v>0</v>
      </c>
      <c r="CE1248" s="167">
        <v>0</v>
      </c>
      <c r="CF1248" s="167">
        <v>0</v>
      </c>
      <c r="CG1248" s="167">
        <v>0</v>
      </c>
      <c r="CH1248" s="167">
        <v>0</v>
      </c>
      <c r="CI1248" s="167">
        <v>0</v>
      </c>
      <c r="CJ1248" s="167">
        <v>0</v>
      </c>
      <c r="CK1248" s="167">
        <v>0</v>
      </c>
      <c r="CL1248" s="167">
        <v>0</v>
      </c>
      <c r="CM1248" s="167">
        <v>0</v>
      </c>
      <c r="CN1248" s="167">
        <v>0</v>
      </c>
      <c r="CO1248" s="167">
        <v>0</v>
      </c>
      <c r="CP1248" s="167">
        <v>0</v>
      </c>
      <c r="CQ1248" s="167">
        <v>0</v>
      </c>
      <c r="CR1248" s="167">
        <v>0</v>
      </c>
      <c r="CS1248" s="167">
        <v>0</v>
      </c>
      <c r="CT1248" s="167">
        <v>0</v>
      </c>
      <c r="CU1248" s="167">
        <v>0</v>
      </c>
      <c r="CV1248" s="167">
        <v>0</v>
      </c>
      <c r="CW1248" s="167">
        <v>0</v>
      </c>
      <c r="CX1248" s="167">
        <f>SUM(CD1248:CH1248)</f>
        <v>0</v>
      </c>
      <c r="CY1248" s="167">
        <f>SUM(CD1248:CM1248)</f>
        <v>0</v>
      </c>
    </row>
    <row r="1249" spans="1:103" ht="12.75" customHeight="1" x14ac:dyDescent="0.2">
      <c r="A1249" s="81">
        <v>6204</v>
      </c>
      <c r="B1249" s="165" t="s">
        <v>1955</v>
      </c>
      <c r="C1249" s="165" t="s">
        <v>2143</v>
      </c>
      <c r="E1249" s="165" t="s">
        <v>2144</v>
      </c>
      <c r="G1249" s="81">
        <v>527745</v>
      </c>
      <c r="H1249" s="81">
        <v>171310</v>
      </c>
      <c r="I1249" s="165" t="s">
        <v>253</v>
      </c>
      <c r="L1249" s="166">
        <v>1</v>
      </c>
      <c r="M1249" s="166">
        <v>0</v>
      </c>
      <c r="N1249" s="166">
        <v>-1</v>
      </c>
      <c r="O1249" s="166">
        <v>0</v>
      </c>
      <c r="P1249" s="166">
        <v>-1</v>
      </c>
      <c r="R1249" s="165" t="s">
        <v>2145</v>
      </c>
      <c r="S1249" s="81" t="s">
        <v>121</v>
      </c>
      <c r="T1249" s="349">
        <v>42970</v>
      </c>
      <c r="W1249" s="81" t="s">
        <v>114</v>
      </c>
      <c r="Y1249" s="81" t="s">
        <v>115</v>
      </c>
      <c r="Z1249" s="81" t="s">
        <v>310</v>
      </c>
      <c r="AA1249" s="81" t="s">
        <v>117</v>
      </c>
      <c r="AB1249" s="81" t="s">
        <v>105</v>
      </c>
      <c r="AC1249" s="166">
        <v>1.4999999664723899E-2</v>
      </c>
      <c r="AG1249" s="81" t="s">
        <v>238</v>
      </c>
      <c r="AH1249" s="81" t="s">
        <v>118</v>
      </c>
      <c r="AK1249" s="166">
        <v>0</v>
      </c>
      <c r="AM1249" s="166">
        <v>0</v>
      </c>
      <c r="AO1249" s="166">
        <v>0</v>
      </c>
      <c r="AP1249" s="166">
        <v>0</v>
      </c>
      <c r="AQ1249" s="166">
        <v>0</v>
      </c>
      <c r="AR1249" s="166">
        <v>0</v>
      </c>
      <c r="AS1249" s="166">
        <v>0</v>
      </c>
      <c r="AT1249" s="166">
        <v>-1</v>
      </c>
      <c r="AU1249" s="166">
        <v>0</v>
      </c>
      <c r="AV1249" s="166">
        <v>0</v>
      </c>
      <c r="AW1249" s="166">
        <v>0</v>
      </c>
      <c r="AX1249" s="166">
        <v>0</v>
      </c>
      <c r="AY1249" s="166">
        <v>0</v>
      </c>
      <c r="AZ1249" s="166">
        <v>0</v>
      </c>
      <c r="BA1249" s="166">
        <v>0</v>
      </c>
      <c r="BB1249" s="166">
        <v>0</v>
      </c>
      <c r="BC1249" s="166">
        <v>0</v>
      </c>
      <c r="BD1249" s="166">
        <v>0</v>
      </c>
      <c r="BE1249" s="166">
        <v>0</v>
      </c>
      <c r="BF1249" s="166">
        <v>0</v>
      </c>
      <c r="BG1249" s="166">
        <v>0</v>
      </c>
      <c r="BH1249" s="166">
        <v>-1</v>
      </c>
      <c r="BI1249" s="166">
        <v>0</v>
      </c>
      <c r="BJ1249" s="166">
        <v>0</v>
      </c>
      <c r="BK1249" s="166">
        <v>0</v>
      </c>
      <c r="BL1249" s="166">
        <v>0</v>
      </c>
      <c r="BM1249" s="166">
        <v>0</v>
      </c>
      <c r="BN1249" s="166">
        <v>0</v>
      </c>
      <c r="BO1249" s="166">
        <v>0</v>
      </c>
      <c r="BP1249" s="166">
        <v>0</v>
      </c>
      <c r="BQ1249" s="81" t="s">
        <v>1757</v>
      </c>
      <c r="BZ1249" s="81" t="s">
        <v>155</v>
      </c>
      <c r="CA1249" s="81">
        <v>10</v>
      </c>
      <c r="CC1249" s="167">
        <v>0</v>
      </c>
      <c r="CD1249" s="167">
        <v>0</v>
      </c>
      <c r="CE1249" s="167">
        <v>0</v>
      </c>
      <c r="CF1249" s="167">
        <v>0</v>
      </c>
      <c r="CG1249" s="167">
        <v>0</v>
      </c>
      <c r="CH1249" s="167">
        <f>$N1249/3</f>
        <v>-0.33333333333333331</v>
      </c>
      <c r="CI1249" s="167">
        <f>$N1249/3</f>
        <v>-0.33333333333333331</v>
      </c>
      <c r="CJ1249" s="167">
        <f>$N1249/3</f>
        <v>-0.33333333333333331</v>
      </c>
      <c r="CK1249" s="167">
        <v>0</v>
      </c>
      <c r="CL1249" s="167">
        <v>0</v>
      </c>
      <c r="CM1249" s="167">
        <v>0</v>
      </c>
      <c r="CN1249" s="167">
        <v>0</v>
      </c>
      <c r="CO1249" s="167">
        <v>0</v>
      </c>
      <c r="CP1249" s="167">
        <v>0</v>
      </c>
      <c r="CQ1249" s="167">
        <v>0</v>
      </c>
      <c r="CR1249" s="167">
        <v>0</v>
      </c>
      <c r="CS1249" s="167">
        <v>0</v>
      </c>
      <c r="CT1249" s="167">
        <v>0</v>
      </c>
      <c r="CU1249" s="167">
        <v>0</v>
      </c>
      <c r="CV1249" s="167">
        <v>0</v>
      </c>
      <c r="CW1249" s="167">
        <v>0</v>
      </c>
      <c r="CX1249" s="167">
        <f>SUM(CD1249:CH1249)</f>
        <v>-0.33333333333333331</v>
      </c>
      <c r="CY1249" s="167">
        <f>SUM(CD1249:CM1249)</f>
        <v>-1</v>
      </c>
    </row>
    <row r="1250" spans="1:103" ht="12.75" customHeight="1" x14ac:dyDescent="0.2">
      <c r="A1250" s="81">
        <v>6212</v>
      </c>
      <c r="B1250" s="165" t="s">
        <v>1955</v>
      </c>
      <c r="C1250" s="165" t="s">
        <v>2146</v>
      </c>
      <c r="E1250" s="165" t="s">
        <v>2147</v>
      </c>
      <c r="G1250" s="81">
        <v>529084</v>
      </c>
      <c r="H1250" s="81">
        <v>173102</v>
      </c>
      <c r="I1250" s="165" t="s">
        <v>247</v>
      </c>
      <c r="L1250" s="166">
        <v>0</v>
      </c>
      <c r="M1250" s="166">
        <v>1</v>
      </c>
      <c r="N1250" s="166">
        <v>1</v>
      </c>
      <c r="O1250" s="166">
        <v>1</v>
      </c>
      <c r="P1250" s="166">
        <v>1</v>
      </c>
      <c r="R1250" s="165" t="s">
        <v>2148</v>
      </c>
      <c r="S1250" s="81" t="s">
        <v>121</v>
      </c>
      <c r="T1250" s="349">
        <v>43160</v>
      </c>
      <c r="W1250" s="81" t="s">
        <v>114</v>
      </c>
      <c r="Y1250" s="81" t="s">
        <v>115</v>
      </c>
      <c r="Z1250" s="81" t="s">
        <v>116</v>
      </c>
      <c r="AA1250" s="81" t="s">
        <v>117</v>
      </c>
      <c r="AB1250" s="81" t="s">
        <v>218</v>
      </c>
      <c r="AC1250" s="166">
        <v>2.5000000372528999E-2</v>
      </c>
      <c r="AG1250" s="81" t="s">
        <v>238</v>
      </c>
      <c r="AH1250" s="81" t="s">
        <v>118</v>
      </c>
      <c r="AK1250" s="166">
        <v>0</v>
      </c>
      <c r="AM1250" s="166">
        <v>0</v>
      </c>
      <c r="AO1250" s="166">
        <v>0</v>
      </c>
      <c r="AP1250" s="166">
        <v>0</v>
      </c>
      <c r="AQ1250" s="166">
        <v>0</v>
      </c>
      <c r="AR1250" s="166">
        <v>1</v>
      </c>
      <c r="AS1250" s="166">
        <v>0</v>
      </c>
      <c r="AT1250" s="166">
        <v>0</v>
      </c>
      <c r="AU1250" s="166">
        <v>0</v>
      </c>
      <c r="AV1250" s="166">
        <v>0</v>
      </c>
      <c r="AW1250" s="166">
        <v>0</v>
      </c>
      <c r="AX1250" s="166">
        <v>0</v>
      </c>
      <c r="AY1250" s="166">
        <v>0</v>
      </c>
      <c r="AZ1250" s="166">
        <v>0</v>
      </c>
      <c r="BA1250" s="166">
        <v>0</v>
      </c>
      <c r="BB1250" s="166">
        <v>0</v>
      </c>
      <c r="BC1250" s="166">
        <v>0</v>
      </c>
      <c r="BD1250" s="166">
        <v>0</v>
      </c>
      <c r="BE1250" s="166">
        <v>0</v>
      </c>
      <c r="BF1250" s="166">
        <v>1</v>
      </c>
      <c r="BG1250" s="166">
        <v>0</v>
      </c>
      <c r="BH1250" s="166">
        <v>0</v>
      </c>
      <c r="BI1250" s="166">
        <v>0</v>
      </c>
      <c r="BJ1250" s="166">
        <v>0</v>
      </c>
      <c r="BK1250" s="166">
        <v>0</v>
      </c>
      <c r="BL1250" s="166">
        <v>0</v>
      </c>
      <c r="BM1250" s="166">
        <v>0</v>
      </c>
      <c r="BN1250" s="166">
        <v>0</v>
      </c>
      <c r="BO1250" s="166">
        <v>0</v>
      </c>
      <c r="BP1250" s="166">
        <v>0</v>
      </c>
      <c r="BQ1250" s="81" t="s">
        <v>1757</v>
      </c>
      <c r="BZ1250" s="81" t="s">
        <v>155</v>
      </c>
      <c r="CA1250" s="81">
        <v>6</v>
      </c>
      <c r="CC1250" s="167">
        <v>0</v>
      </c>
      <c r="CD1250" s="167">
        <v>0</v>
      </c>
      <c r="CE1250" s="167">
        <v>0</v>
      </c>
      <c r="CF1250" s="167">
        <v>0</v>
      </c>
      <c r="CG1250" s="167">
        <v>0</v>
      </c>
      <c r="CH1250" s="167">
        <f>$N1250/3</f>
        <v>0.33333333333333331</v>
      </c>
      <c r="CI1250" s="167">
        <f>$N1250/3</f>
        <v>0.33333333333333331</v>
      </c>
      <c r="CJ1250" s="167">
        <f>$N1250/3</f>
        <v>0.33333333333333331</v>
      </c>
      <c r="CK1250" s="167">
        <v>0</v>
      </c>
      <c r="CL1250" s="167">
        <v>0</v>
      </c>
      <c r="CM1250" s="167">
        <v>0</v>
      </c>
      <c r="CN1250" s="167">
        <v>0</v>
      </c>
      <c r="CO1250" s="167">
        <v>0</v>
      </c>
      <c r="CP1250" s="167">
        <v>0</v>
      </c>
      <c r="CQ1250" s="167">
        <v>0</v>
      </c>
      <c r="CR1250" s="167">
        <v>0</v>
      </c>
      <c r="CS1250" s="167">
        <v>0</v>
      </c>
      <c r="CT1250" s="167">
        <v>0</v>
      </c>
      <c r="CU1250" s="167">
        <v>0</v>
      </c>
      <c r="CV1250" s="167">
        <v>0</v>
      </c>
      <c r="CW1250" s="167">
        <v>0</v>
      </c>
      <c r="CX1250" s="167">
        <f>SUM(CD1250:CH1250)</f>
        <v>0.33333333333333331</v>
      </c>
      <c r="CY1250" s="167">
        <f>SUM(CD1250:CM1250)</f>
        <v>1</v>
      </c>
    </row>
    <row r="1251" spans="1:103" ht="12.75" customHeight="1" x14ac:dyDescent="0.2">
      <c r="A1251" s="81">
        <v>6268</v>
      </c>
      <c r="B1251" s="165" t="s">
        <v>1955</v>
      </c>
      <c r="C1251" s="165" t="s">
        <v>2149</v>
      </c>
      <c r="E1251" s="165" t="s">
        <v>2150</v>
      </c>
      <c r="G1251" s="81">
        <v>528342</v>
      </c>
      <c r="H1251" s="81">
        <v>172639</v>
      </c>
      <c r="I1251" s="165" t="s">
        <v>248</v>
      </c>
      <c r="L1251" s="166">
        <v>0</v>
      </c>
      <c r="M1251" s="166">
        <v>1</v>
      </c>
      <c r="N1251" s="166">
        <v>1</v>
      </c>
      <c r="O1251" s="166">
        <v>1</v>
      </c>
      <c r="P1251" s="166">
        <v>1</v>
      </c>
      <c r="R1251" s="165" t="s">
        <v>2151</v>
      </c>
      <c r="S1251" s="81" t="s">
        <v>121</v>
      </c>
      <c r="T1251" s="349">
        <v>43167</v>
      </c>
      <c r="W1251" s="81" t="s">
        <v>114</v>
      </c>
      <c r="Y1251" s="81" t="s">
        <v>115</v>
      </c>
      <c r="Z1251" s="81" t="s">
        <v>119</v>
      </c>
      <c r="AA1251" s="81" t="s">
        <v>117</v>
      </c>
      <c r="AB1251" s="81" t="s">
        <v>220</v>
      </c>
      <c r="AC1251" s="166">
        <v>0</v>
      </c>
      <c r="AG1251" s="81" t="s">
        <v>238</v>
      </c>
      <c r="AH1251" s="81" t="s">
        <v>118</v>
      </c>
      <c r="AK1251" s="166">
        <v>0</v>
      </c>
      <c r="AM1251" s="166">
        <v>0</v>
      </c>
      <c r="AO1251" s="166">
        <v>0</v>
      </c>
      <c r="AP1251" s="166">
        <v>1</v>
      </c>
      <c r="AQ1251" s="166">
        <v>0</v>
      </c>
      <c r="AR1251" s="166">
        <v>0</v>
      </c>
      <c r="AS1251" s="166">
        <v>0</v>
      </c>
      <c r="AT1251" s="166">
        <v>0</v>
      </c>
      <c r="AU1251" s="166">
        <v>0</v>
      </c>
      <c r="AV1251" s="166">
        <v>0</v>
      </c>
      <c r="AW1251" s="166">
        <v>1</v>
      </c>
      <c r="AX1251" s="166">
        <v>0</v>
      </c>
      <c r="AY1251" s="166">
        <v>0</v>
      </c>
      <c r="AZ1251" s="166">
        <v>0</v>
      </c>
      <c r="BA1251" s="166">
        <v>0</v>
      </c>
      <c r="BB1251" s="166">
        <v>0</v>
      </c>
      <c r="BC1251" s="166">
        <v>0</v>
      </c>
      <c r="BD1251" s="166">
        <v>0</v>
      </c>
      <c r="BE1251" s="166">
        <v>0</v>
      </c>
      <c r="BF1251" s="166">
        <v>0</v>
      </c>
      <c r="BG1251" s="166">
        <v>0</v>
      </c>
      <c r="BH1251" s="166">
        <v>0</v>
      </c>
      <c r="BI1251" s="166">
        <v>0</v>
      </c>
      <c r="BJ1251" s="166">
        <v>0</v>
      </c>
      <c r="BK1251" s="166">
        <v>0</v>
      </c>
      <c r="BL1251" s="166">
        <v>0</v>
      </c>
      <c r="BM1251" s="166">
        <v>0</v>
      </c>
      <c r="BN1251" s="166">
        <v>0</v>
      </c>
      <c r="BO1251" s="166">
        <v>0</v>
      </c>
      <c r="BP1251" s="166">
        <v>0</v>
      </c>
      <c r="BQ1251" s="81" t="s">
        <v>1757</v>
      </c>
      <c r="BZ1251" s="81" t="s">
        <v>155</v>
      </c>
      <c r="CA1251" s="81">
        <v>10</v>
      </c>
      <c r="CC1251" s="167">
        <v>0</v>
      </c>
      <c r="CD1251" s="167">
        <v>0</v>
      </c>
      <c r="CE1251" s="167">
        <v>0</v>
      </c>
      <c r="CF1251" s="167">
        <v>0</v>
      </c>
      <c r="CG1251" s="167">
        <v>0</v>
      </c>
      <c r="CH1251" s="167">
        <f>$N1251/3</f>
        <v>0.33333333333333331</v>
      </c>
      <c r="CI1251" s="167">
        <f>$N1251/3</f>
        <v>0.33333333333333331</v>
      </c>
      <c r="CJ1251" s="167">
        <f>$N1251/3</f>
        <v>0.33333333333333331</v>
      </c>
      <c r="CK1251" s="167">
        <v>0</v>
      </c>
      <c r="CL1251" s="167">
        <v>0</v>
      </c>
      <c r="CM1251" s="167">
        <v>0</v>
      </c>
      <c r="CN1251" s="167">
        <v>0</v>
      </c>
      <c r="CO1251" s="167">
        <v>0</v>
      </c>
      <c r="CP1251" s="167">
        <v>0</v>
      </c>
      <c r="CQ1251" s="167">
        <v>0</v>
      </c>
      <c r="CR1251" s="167">
        <v>0</v>
      </c>
      <c r="CS1251" s="167">
        <v>0</v>
      </c>
      <c r="CT1251" s="167">
        <v>0</v>
      </c>
      <c r="CU1251" s="167">
        <v>0</v>
      </c>
      <c r="CV1251" s="167">
        <v>0</v>
      </c>
      <c r="CW1251" s="167">
        <v>0</v>
      </c>
      <c r="CX1251" s="167">
        <f>SUM(CD1251:CH1251)</f>
        <v>0.33333333333333331</v>
      </c>
      <c r="CY1251" s="167">
        <f>SUM(CD1251:CM1251)</f>
        <v>1</v>
      </c>
    </row>
    <row r="1252" spans="1:103" ht="12.75" customHeight="1" x14ac:dyDescent="0.2">
      <c r="A1252" s="81">
        <v>6294</v>
      </c>
      <c r="B1252" s="165" t="s">
        <v>1955</v>
      </c>
      <c r="C1252" s="165" t="s">
        <v>2152</v>
      </c>
      <c r="E1252" s="165" t="s">
        <v>2153</v>
      </c>
      <c r="G1252" s="81">
        <v>528226</v>
      </c>
      <c r="H1252" s="81">
        <v>175530</v>
      </c>
      <c r="I1252" s="165" t="s">
        <v>256</v>
      </c>
      <c r="L1252" s="166">
        <v>1</v>
      </c>
      <c r="M1252" s="166">
        <v>1</v>
      </c>
      <c r="N1252" s="166">
        <v>0</v>
      </c>
      <c r="O1252" s="166">
        <v>1</v>
      </c>
      <c r="P1252" s="166">
        <v>0</v>
      </c>
      <c r="R1252" s="165" t="s">
        <v>2154</v>
      </c>
      <c r="S1252" s="81" t="s">
        <v>121</v>
      </c>
      <c r="T1252" s="349">
        <v>43188</v>
      </c>
      <c r="W1252" s="81" t="s">
        <v>114</v>
      </c>
      <c r="Y1252" s="81" t="s">
        <v>115</v>
      </c>
      <c r="Z1252" s="81" t="s">
        <v>116</v>
      </c>
      <c r="AA1252" s="81" t="s">
        <v>117</v>
      </c>
      <c r="AB1252" s="81" t="s">
        <v>218</v>
      </c>
      <c r="AC1252" s="166">
        <v>1.09999999403954E-2</v>
      </c>
      <c r="AG1252" s="81" t="s">
        <v>238</v>
      </c>
      <c r="AH1252" s="81" t="s">
        <v>118</v>
      </c>
      <c r="AK1252" s="166">
        <v>0</v>
      </c>
      <c r="AM1252" s="166">
        <v>0</v>
      </c>
      <c r="AO1252" s="166">
        <v>0</v>
      </c>
      <c r="AP1252" s="166">
        <v>0</v>
      </c>
      <c r="AQ1252" s="166">
        <v>0</v>
      </c>
      <c r="AR1252" s="166">
        <v>1</v>
      </c>
      <c r="AS1252" s="166">
        <v>-1</v>
      </c>
      <c r="AT1252" s="166">
        <v>0</v>
      </c>
      <c r="AU1252" s="166">
        <v>0</v>
      </c>
      <c r="AV1252" s="166">
        <v>0</v>
      </c>
      <c r="AW1252" s="166">
        <v>0</v>
      </c>
      <c r="AX1252" s="166">
        <v>0</v>
      </c>
      <c r="AY1252" s="166">
        <v>0</v>
      </c>
      <c r="AZ1252" s="166">
        <v>0</v>
      </c>
      <c r="BA1252" s="166">
        <v>0</v>
      </c>
      <c r="BB1252" s="166">
        <v>0</v>
      </c>
      <c r="BC1252" s="166">
        <v>0</v>
      </c>
      <c r="BD1252" s="166">
        <v>0</v>
      </c>
      <c r="BE1252" s="166">
        <v>0</v>
      </c>
      <c r="BF1252" s="166">
        <v>1</v>
      </c>
      <c r="BG1252" s="166">
        <v>-1</v>
      </c>
      <c r="BH1252" s="166">
        <v>0</v>
      </c>
      <c r="BI1252" s="166">
        <v>0</v>
      </c>
      <c r="BJ1252" s="166">
        <v>0</v>
      </c>
      <c r="BK1252" s="166">
        <v>0</v>
      </c>
      <c r="BL1252" s="166">
        <v>0</v>
      </c>
      <c r="BM1252" s="166">
        <v>0</v>
      </c>
      <c r="BN1252" s="166">
        <v>0</v>
      </c>
      <c r="BO1252" s="166">
        <v>0</v>
      </c>
      <c r="BP1252" s="166">
        <v>0</v>
      </c>
      <c r="BQ1252" s="81" t="s">
        <v>1757</v>
      </c>
      <c r="BZ1252" s="81" t="s">
        <v>155</v>
      </c>
      <c r="CA1252" s="81">
        <v>6</v>
      </c>
      <c r="CC1252" s="167">
        <v>0</v>
      </c>
      <c r="CD1252" s="167">
        <v>0</v>
      </c>
      <c r="CE1252" s="167">
        <v>0</v>
      </c>
      <c r="CF1252" s="167">
        <v>0</v>
      </c>
      <c r="CG1252" s="167">
        <v>0</v>
      </c>
      <c r="CH1252" s="167">
        <f>$N1252/3</f>
        <v>0</v>
      </c>
      <c r="CI1252" s="167">
        <f>$N1252/3</f>
        <v>0</v>
      </c>
      <c r="CJ1252" s="167">
        <f>$N1252/3</f>
        <v>0</v>
      </c>
      <c r="CK1252" s="167">
        <v>0</v>
      </c>
      <c r="CL1252" s="167">
        <v>0</v>
      </c>
      <c r="CM1252" s="167">
        <v>0</v>
      </c>
      <c r="CN1252" s="167">
        <v>0</v>
      </c>
      <c r="CO1252" s="167">
        <v>0</v>
      </c>
      <c r="CP1252" s="167">
        <v>0</v>
      </c>
      <c r="CQ1252" s="167">
        <v>0</v>
      </c>
      <c r="CR1252" s="167">
        <v>0</v>
      </c>
      <c r="CS1252" s="167">
        <v>0</v>
      </c>
      <c r="CT1252" s="167">
        <v>0</v>
      </c>
      <c r="CU1252" s="167">
        <v>0</v>
      </c>
      <c r="CV1252" s="167">
        <v>0</v>
      </c>
      <c r="CW1252" s="167">
        <v>0</v>
      </c>
      <c r="CX1252" s="167">
        <f>SUM(CD1252:CH1252)</f>
        <v>0</v>
      </c>
      <c r="CY1252" s="167">
        <f>SUM(CD1252:CM1252)</f>
        <v>0</v>
      </c>
    </row>
    <row r="1253" spans="1:103" ht="12.75" customHeight="1" x14ac:dyDescent="0.2">
      <c r="A1253" s="81">
        <v>6335</v>
      </c>
      <c r="B1253" s="165" t="s">
        <v>1955</v>
      </c>
      <c r="C1253" s="165" t="s">
        <v>2155</v>
      </c>
      <c r="D1253" s="165" t="s">
        <v>2107</v>
      </c>
      <c r="E1253" s="165" t="s">
        <v>2156</v>
      </c>
      <c r="G1253" s="81">
        <v>527310</v>
      </c>
      <c r="H1253" s="81">
        <v>177196</v>
      </c>
      <c r="I1253" s="165" t="s">
        <v>257</v>
      </c>
      <c r="L1253" s="166">
        <v>0</v>
      </c>
      <c r="M1253" s="166">
        <v>2</v>
      </c>
      <c r="N1253" s="166">
        <v>2</v>
      </c>
      <c r="O1253" s="166">
        <v>2</v>
      </c>
      <c r="P1253" s="166">
        <v>2</v>
      </c>
      <c r="R1253" s="165" t="s">
        <v>2157</v>
      </c>
      <c r="S1253" s="81" t="s">
        <v>802</v>
      </c>
      <c r="T1253" s="349">
        <v>43151</v>
      </c>
      <c r="W1253" s="81" t="s">
        <v>114</v>
      </c>
      <c r="Y1253" s="81" t="s">
        <v>115</v>
      </c>
      <c r="Z1253" s="81" t="s">
        <v>310</v>
      </c>
      <c r="AA1253" s="81" t="s">
        <v>117</v>
      </c>
      <c r="AB1253" s="81" t="s">
        <v>399</v>
      </c>
      <c r="AC1253" s="166">
        <v>0</v>
      </c>
      <c r="AG1253" s="81" t="s">
        <v>238</v>
      </c>
      <c r="AH1253" s="81" t="s">
        <v>118</v>
      </c>
      <c r="AI1253" s="81" t="s">
        <v>1996</v>
      </c>
      <c r="AK1253" s="166">
        <v>0</v>
      </c>
      <c r="AM1253" s="166">
        <v>0</v>
      </c>
      <c r="AO1253" s="166">
        <v>0</v>
      </c>
      <c r="AP1253" s="166">
        <v>0</v>
      </c>
      <c r="AQ1253" s="166">
        <v>0</v>
      </c>
      <c r="AR1253" s="166">
        <v>2</v>
      </c>
      <c r="AS1253" s="166">
        <v>0</v>
      </c>
      <c r="AT1253" s="166">
        <v>0</v>
      </c>
      <c r="AU1253" s="166">
        <v>0</v>
      </c>
      <c r="AV1253" s="166">
        <v>0</v>
      </c>
      <c r="AW1253" s="166">
        <v>0</v>
      </c>
      <c r="AX1253" s="166">
        <v>0</v>
      </c>
      <c r="AY1253" s="166">
        <v>2</v>
      </c>
      <c r="AZ1253" s="166">
        <v>0</v>
      </c>
      <c r="BA1253" s="166">
        <v>0</v>
      </c>
      <c r="BB1253" s="166">
        <v>0</v>
      </c>
      <c r="BC1253" s="166">
        <v>0</v>
      </c>
      <c r="BD1253" s="166">
        <v>0</v>
      </c>
      <c r="BE1253" s="166">
        <v>0</v>
      </c>
      <c r="BF1253" s="166">
        <v>0</v>
      </c>
      <c r="BG1253" s="166">
        <v>0</v>
      </c>
      <c r="BH1253" s="166">
        <v>0</v>
      </c>
      <c r="BI1253" s="166">
        <v>0</v>
      </c>
      <c r="BJ1253" s="166">
        <v>0</v>
      </c>
      <c r="BK1253" s="166">
        <v>0</v>
      </c>
      <c r="BL1253" s="166">
        <v>0</v>
      </c>
      <c r="BM1253" s="166">
        <v>0</v>
      </c>
      <c r="BN1253" s="166">
        <v>0</v>
      </c>
      <c r="BO1253" s="166">
        <v>0</v>
      </c>
      <c r="BP1253" s="166">
        <v>0</v>
      </c>
      <c r="BQ1253" s="81" t="s">
        <v>1757</v>
      </c>
      <c r="BX1253" s="81" t="s">
        <v>155</v>
      </c>
      <c r="BZ1253" s="81" t="s">
        <v>3991</v>
      </c>
      <c r="CA1253" s="81">
        <v>15</v>
      </c>
      <c r="CB1253" s="165" t="s">
        <v>4003</v>
      </c>
      <c r="CC1253" s="167">
        <v>0</v>
      </c>
      <c r="CD1253" s="167">
        <v>0</v>
      </c>
      <c r="CE1253" s="167">
        <v>0</v>
      </c>
      <c r="CF1253" s="167">
        <v>0</v>
      </c>
      <c r="CG1253" s="167">
        <v>0</v>
      </c>
      <c r="CH1253" s="167">
        <v>0</v>
      </c>
      <c r="CI1253" s="167">
        <v>0</v>
      </c>
      <c r="CJ1253" s="167">
        <v>0</v>
      </c>
      <c r="CK1253" s="167">
        <v>0</v>
      </c>
      <c r="CL1253" s="167">
        <v>0</v>
      </c>
      <c r="CM1253" s="167">
        <v>0</v>
      </c>
      <c r="CN1253" s="167">
        <v>0</v>
      </c>
      <c r="CO1253" s="167">
        <v>0</v>
      </c>
      <c r="CP1253" s="167">
        <v>0</v>
      </c>
      <c r="CQ1253" s="167">
        <v>0</v>
      </c>
      <c r="CR1253" s="167">
        <v>0</v>
      </c>
      <c r="CS1253" s="167">
        <v>0</v>
      </c>
      <c r="CT1253" s="167">
        <v>0</v>
      </c>
      <c r="CU1253" s="167">
        <v>0</v>
      </c>
      <c r="CV1253" s="167">
        <v>0</v>
      </c>
      <c r="CW1253" s="167">
        <v>0</v>
      </c>
      <c r="CX1253" s="167">
        <f>SUM(CD1253:CH1253)</f>
        <v>0</v>
      </c>
      <c r="CY1253" s="167">
        <f>SUM(CD1253:CM1253)</f>
        <v>0</v>
      </c>
    </row>
    <row r="1254" spans="1:103" ht="12.75" customHeight="1" x14ac:dyDescent="0.2">
      <c r="A1254" s="81">
        <v>6495</v>
      </c>
      <c r="B1254" s="165" t="s">
        <v>1955</v>
      </c>
      <c r="C1254" s="165" t="s">
        <v>2158</v>
      </c>
      <c r="E1254" s="165" t="s">
        <v>2159</v>
      </c>
      <c r="G1254" s="81">
        <v>524891</v>
      </c>
      <c r="H1254" s="81">
        <v>173680</v>
      </c>
      <c r="I1254" s="165" t="s">
        <v>258</v>
      </c>
      <c r="L1254" s="166">
        <v>0</v>
      </c>
      <c r="M1254" s="166">
        <v>1</v>
      </c>
      <c r="N1254" s="166">
        <v>1</v>
      </c>
      <c r="O1254" s="166">
        <v>1</v>
      </c>
      <c r="P1254" s="166">
        <v>1</v>
      </c>
      <c r="R1254" s="165" t="s">
        <v>2160</v>
      </c>
      <c r="S1254" s="81" t="s">
        <v>121</v>
      </c>
      <c r="T1254" s="349">
        <v>43054</v>
      </c>
      <c r="W1254" s="81" t="s">
        <v>114</v>
      </c>
      <c r="Y1254" s="81" t="s">
        <v>115</v>
      </c>
      <c r="Z1254" s="81" t="s">
        <v>116</v>
      </c>
      <c r="AA1254" s="81" t="s">
        <v>117</v>
      </c>
      <c r="AB1254" s="81" t="s">
        <v>218</v>
      </c>
      <c r="AC1254" s="166">
        <v>2.8999999165535001E-2</v>
      </c>
      <c r="AG1254" s="81" t="s">
        <v>238</v>
      </c>
      <c r="AH1254" s="81" t="s">
        <v>118</v>
      </c>
      <c r="AK1254" s="166">
        <v>0</v>
      </c>
      <c r="AM1254" s="166">
        <v>0</v>
      </c>
      <c r="AO1254" s="166">
        <v>0</v>
      </c>
      <c r="AP1254" s="166">
        <v>0</v>
      </c>
      <c r="AQ1254" s="166">
        <v>0</v>
      </c>
      <c r="AR1254" s="166">
        <v>1</v>
      </c>
      <c r="AS1254" s="166">
        <v>0</v>
      </c>
      <c r="AT1254" s="166">
        <v>0</v>
      </c>
      <c r="AU1254" s="166">
        <v>0</v>
      </c>
      <c r="AV1254" s="166">
        <v>0</v>
      </c>
      <c r="AW1254" s="166">
        <v>0</v>
      </c>
      <c r="AX1254" s="166">
        <v>0</v>
      </c>
      <c r="AY1254" s="166">
        <v>0</v>
      </c>
      <c r="AZ1254" s="166">
        <v>0</v>
      </c>
      <c r="BA1254" s="166">
        <v>0</v>
      </c>
      <c r="BB1254" s="166">
        <v>0</v>
      </c>
      <c r="BC1254" s="166">
        <v>0</v>
      </c>
      <c r="BD1254" s="166">
        <v>0</v>
      </c>
      <c r="BE1254" s="166">
        <v>0</v>
      </c>
      <c r="BF1254" s="166">
        <v>1</v>
      </c>
      <c r="BG1254" s="166">
        <v>0</v>
      </c>
      <c r="BH1254" s="166">
        <v>0</v>
      </c>
      <c r="BI1254" s="166">
        <v>0</v>
      </c>
      <c r="BJ1254" s="166">
        <v>0</v>
      </c>
      <c r="BK1254" s="166">
        <v>0</v>
      </c>
      <c r="BL1254" s="166">
        <v>0</v>
      </c>
      <c r="BM1254" s="166">
        <v>0</v>
      </c>
      <c r="BN1254" s="166">
        <v>0</v>
      </c>
      <c r="BO1254" s="166">
        <v>0</v>
      </c>
      <c r="BP1254" s="166">
        <v>0</v>
      </c>
      <c r="BQ1254" s="81" t="s">
        <v>1758</v>
      </c>
      <c r="BZ1254" s="81" t="s">
        <v>155</v>
      </c>
      <c r="CA1254" s="81">
        <v>6</v>
      </c>
      <c r="CC1254" s="167">
        <v>0</v>
      </c>
      <c r="CD1254" s="167">
        <v>0</v>
      </c>
      <c r="CE1254" s="167">
        <v>0</v>
      </c>
      <c r="CF1254" s="167">
        <v>0</v>
      </c>
      <c r="CG1254" s="167">
        <v>0</v>
      </c>
      <c r="CH1254" s="167">
        <f>$N1254/3</f>
        <v>0.33333333333333331</v>
      </c>
      <c r="CI1254" s="167">
        <f>$N1254/3</f>
        <v>0.33333333333333331</v>
      </c>
      <c r="CJ1254" s="167">
        <f>$N1254/3</f>
        <v>0.33333333333333331</v>
      </c>
      <c r="CK1254" s="167">
        <v>0</v>
      </c>
      <c r="CL1254" s="167">
        <v>0</v>
      </c>
      <c r="CM1254" s="167">
        <v>0</v>
      </c>
      <c r="CN1254" s="167">
        <v>0</v>
      </c>
      <c r="CO1254" s="167">
        <v>0</v>
      </c>
      <c r="CP1254" s="167">
        <v>0</v>
      </c>
      <c r="CQ1254" s="167">
        <v>0</v>
      </c>
      <c r="CR1254" s="167">
        <v>0</v>
      </c>
      <c r="CS1254" s="167">
        <v>0</v>
      </c>
      <c r="CT1254" s="167">
        <v>0</v>
      </c>
      <c r="CU1254" s="167">
        <v>0</v>
      </c>
      <c r="CV1254" s="167">
        <v>0</v>
      </c>
      <c r="CW1254" s="167">
        <v>0</v>
      </c>
      <c r="CX1254" s="167">
        <f>SUM(CD1254:CH1254)</f>
        <v>0.33333333333333331</v>
      </c>
      <c r="CY1254" s="167">
        <f>SUM(CD1254:CM1254)</f>
        <v>1</v>
      </c>
    </row>
    <row r="1255" spans="1:103" ht="12.75" customHeight="1" x14ac:dyDescent="0.2">
      <c r="A1255" s="81">
        <v>6502</v>
      </c>
      <c r="B1255" s="165" t="s">
        <v>1955</v>
      </c>
      <c r="C1255" s="165" t="s">
        <v>1548</v>
      </c>
      <c r="E1255" s="165" t="s">
        <v>2161</v>
      </c>
      <c r="G1255" s="81">
        <v>528002</v>
      </c>
      <c r="H1255" s="81">
        <v>172307</v>
      </c>
      <c r="I1255" s="165" t="s">
        <v>248</v>
      </c>
      <c r="L1255" s="166">
        <v>0</v>
      </c>
      <c r="M1255" s="166">
        <v>2</v>
      </c>
      <c r="N1255" s="166">
        <v>2</v>
      </c>
      <c r="O1255" s="166">
        <v>2</v>
      </c>
      <c r="P1255" s="166">
        <v>2</v>
      </c>
      <c r="R1255" s="165" t="s">
        <v>1549</v>
      </c>
      <c r="S1255" s="81" t="s">
        <v>121</v>
      </c>
      <c r="T1255" s="349">
        <v>42571</v>
      </c>
      <c r="W1255" s="81" t="s">
        <v>114</v>
      </c>
      <c r="Y1255" s="81" t="s">
        <v>115</v>
      </c>
      <c r="Z1255" s="81" t="s">
        <v>219</v>
      </c>
      <c r="AA1255" s="81" t="s">
        <v>117</v>
      </c>
      <c r="AB1255" s="81" t="s">
        <v>3889</v>
      </c>
      <c r="AC1255" s="166">
        <v>9.9999997764825804E-3</v>
      </c>
      <c r="AG1255" s="81" t="s">
        <v>238</v>
      </c>
      <c r="AH1255" s="81" t="s">
        <v>118</v>
      </c>
      <c r="AK1255" s="166">
        <v>0</v>
      </c>
      <c r="AM1255" s="166">
        <v>0</v>
      </c>
      <c r="AO1255" s="166">
        <v>0</v>
      </c>
      <c r="AP1255" s="166">
        <v>2</v>
      </c>
      <c r="AQ1255" s="166">
        <v>0</v>
      </c>
      <c r="AR1255" s="166">
        <v>0</v>
      </c>
      <c r="AS1255" s="166">
        <v>0</v>
      </c>
      <c r="AT1255" s="166">
        <v>0</v>
      </c>
      <c r="AU1255" s="166">
        <v>0</v>
      </c>
      <c r="AV1255" s="166">
        <v>0</v>
      </c>
      <c r="AW1255" s="166">
        <v>2</v>
      </c>
      <c r="AX1255" s="166">
        <v>0</v>
      </c>
      <c r="AY1255" s="166">
        <v>0</v>
      </c>
      <c r="AZ1255" s="166">
        <v>0</v>
      </c>
      <c r="BA1255" s="166">
        <v>0</v>
      </c>
      <c r="BB1255" s="166">
        <v>0</v>
      </c>
      <c r="BC1255" s="166">
        <v>0</v>
      </c>
      <c r="BD1255" s="166">
        <v>0</v>
      </c>
      <c r="BE1255" s="166">
        <v>0</v>
      </c>
      <c r="BF1255" s="166">
        <v>0</v>
      </c>
      <c r="BG1255" s="166">
        <v>0</v>
      </c>
      <c r="BH1255" s="166">
        <v>0</v>
      </c>
      <c r="BI1255" s="166">
        <v>0</v>
      </c>
      <c r="BJ1255" s="166">
        <v>0</v>
      </c>
      <c r="BK1255" s="166">
        <v>0</v>
      </c>
      <c r="BL1255" s="166">
        <v>0</v>
      </c>
      <c r="BM1255" s="166">
        <v>0</v>
      </c>
      <c r="BN1255" s="166">
        <v>0</v>
      </c>
      <c r="BO1255" s="166">
        <v>0</v>
      </c>
      <c r="BP1255" s="166">
        <v>0</v>
      </c>
      <c r="BQ1255" s="81" t="s">
        <v>1757</v>
      </c>
      <c r="BZ1255" s="81" t="s">
        <v>155</v>
      </c>
      <c r="CA1255" s="81">
        <v>10</v>
      </c>
      <c r="CC1255" s="167">
        <v>0</v>
      </c>
      <c r="CD1255" s="167">
        <v>0</v>
      </c>
      <c r="CE1255" s="167">
        <v>0</v>
      </c>
      <c r="CF1255" s="167">
        <v>0</v>
      </c>
      <c r="CG1255" s="167">
        <v>0</v>
      </c>
      <c r="CH1255" s="167">
        <f>$N1255/3</f>
        <v>0.66666666666666663</v>
      </c>
      <c r="CI1255" s="167">
        <f>$N1255/3</f>
        <v>0.66666666666666663</v>
      </c>
      <c r="CJ1255" s="167">
        <f>$N1255/3</f>
        <v>0.66666666666666663</v>
      </c>
      <c r="CK1255" s="167">
        <v>0</v>
      </c>
      <c r="CL1255" s="167">
        <v>0</v>
      </c>
      <c r="CM1255" s="167">
        <v>0</v>
      </c>
      <c r="CN1255" s="167">
        <v>0</v>
      </c>
      <c r="CO1255" s="167">
        <v>0</v>
      </c>
      <c r="CP1255" s="167">
        <v>0</v>
      </c>
      <c r="CQ1255" s="167">
        <v>0</v>
      </c>
      <c r="CR1255" s="167">
        <v>0</v>
      </c>
      <c r="CS1255" s="167">
        <v>0</v>
      </c>
      <c r="CT1255" s="167">
        <v>0</v>
      </c>
      <c r="CU1255" s="167">
        <v>0</v>
      </c>
      <c r="CV1255" s="167">
        <v>0</v>
      </c>
      <c r="CW1255" s="167">
        <v>0</v>
      </c>
      <c r="CX1255" s="167">
        <f>SUM(CD1255:CH1255)</f>
        <v>0.66666666666666663</v>
      </c>
      <c r="CY1255" s="167">
        <f>SUM(CD1255:CM1255)</f>
        <v>2</v>
      </c>
    </row>
    <row r="1256" spans="1:103" ht="12.75" customHeight="1" x14ac:dyDescent="0.2">
      <c r="A1256" s="81">
        <v>6513</v>
      </c>
      <c r="B1256" s="165" t="s">
        <v>1955</v>
      </c>
      <c r="C1256" s="165" t="s">
        <v>1662</v>
      </c>
      <c r="E1256" s="165" t="s">
        <v>2162</v>
      </c>
      <c r="G1256" s="81">
        <v>526631</v>
      </c>
      <c r="H1256" s="81">
        <v>176210</v>
      </c>
      <c r="I1256" s="165" t="s">
        <v>257</v>
      </c>
      <c r="L1256" s="166">
        <v>0</v>
      </c>
      <c r="M1256" s="166">
        <v>1</v>
      </c>
      <c r="N1256" s="166">
        <v>1</v>
      </c>
      <c r="O1256" s="166">
        <v>1</v>
      </c>
      <c r="P1256" s="166">
        <v>1</v>
      </c>
      <c r="R1256" s="165" t="s">
        <v>1663</v>
      </c>
      <c r="S1256" s="81" t="s">
        <v>296</v>
      </c>
      <c r="T1256" s="349">
        <v>42801</v>
      </c>
      <c r="U1256" s="349">
        <v>43021</v>
      </c>
      <c r="V1256" s="81" t="s">
        <v>155</v>
      </c>
      <c r="W1256" s="81" t="s">
        <v>365</v>
      </c>
      <c r="Y1256" s="81" t="s">
        <v>115</v>
      </c>
      <c r="Z1256" s="81" t="s">
        <v>116</v>
      </c>
      <c r="AA1256" s="81" t="s">
        <v>117</v>
      </c>
      <c r="AB1256" s="81" t="s">
        <v>218</v>
      </c>
      <c r="AC1256" s="166">
        <v>2.9999999329447701E-2</v>
      </c>
      <c r="AG1256" s="81" t="s">
        <v>238</v>
      </c>
      <c r="AH1256" s="81" t="s">
        <v>118</v>
      </c>
      <c r="AK1256" s="166">
        <v>0</v>
      </c>
      <c r="AM1256" s="166">
        <v>0</v>
      </c>
      <c r="AO1256" s="166">
        <v>0</v>
      </c>
      <c r="AP1256" s="166">
        <v>0</v>
      </c>
      <c r="AQ1256" s="166">
        <v>0</v>
      </c>
      <c r="AR1256" s="166">
        <v>1</v>
      </c>
      <c r="AS1256" s="166">
        <v>0</v>
      </c>
      <c r="AT1256" s="166">
        <v>0</v>
      </c>
      <c r="AU1256" s="166">
        <v>0</v>
      </c>
      <c r="AV1256" s="166">
        <v>0</v>
      </c>
      <c r="AW1256" s="166">
        <v>0</v>
      </c>
      <c r="AX1256" s="166">
        <v>0</v>
      </c>
      <c r="AY1256" s="166">
        <v>0</v>
      </c>
      <c r="AZ1256" s="166">
        <v>0</v>
      </c>
      <c r="BA1256" s="166">
        <v>0</v>
      </c>
      <c r="BB1256" s="166">
        <v>0</v>
      </c>
      <c r="BC1256" s="166">
        <v>0</v>
      </c>
      <c r="BD1256" s="166">
        <v>0</v>
      </c>
      <c r="BE1256" s="166">
        <v>0</v>
      </c>
      <c r="BF1256" s="166">
        <v>1</v>
      </c>
      <c r="BG1256" s="166">
        <v>0</v>
      </c>
      <c r="BH1256" s="166">
        <v>0</v>
      </c>
      <c r="BI1256" s="166">
        <v>0</v>
      </c>
      <c r="BJ1256" s="166">
        <v>0</v>
      </c>
      <c r="BK1256" s="166">
        <v>0</v>
      </c>
      <c r="BL1256" s="166">
        <v>0</v>
      </c>
      <c r="BM1256" s="166">
        <v>0</v>
      </c>
      <c r="BN1256" s="166">
        <v>0</v>
      </c>
      <c r="BO1256" s="166">
        <v>0</v>
      </c>
      <c r="BP1256" s="166">
        <v>0</v>
      </c>
      <c r="BQ1256" s="81" t="s">
        <v>1757</v>
      </c>
      <c r="BX1256" s="81" t="s">
        <v>155</v>
      </c>
      <c r="BZ1256" s="81" t="s">
        <v>155</v>
      </c>
      <c r="CA1256" s="81">
        <v>6</v>
      </c>
      <c r="CC1256" s="167">
        <v>0</v>
      </c>
      <c r="CD1256" s="167">
        <v>0</v>
      </c>
      <c r="CE1256" s="167">
        <v>0</v>
      </c>
      <c r="CF1256" s="167">
        <v>0</v>
      </c>
      <c r="CG1256" s="167">
        <v>0</v>
      </c>
      <c r="CH1256" s="167">
        <f>$N1256/3</f>
        <v>0.33333333333333331</v>
      </c>
      <c r="CI1256" s="167">
        <f>$N1256/3</f>
        <v>0.33333333333333331</v>
      </c>
      <c r="CJ1256" s="167">
        <f>$N1256/3</f>
        <v>0.33333333333333331</v>
      </c>
      <c r="CK1256" s="167">
        <v>0</v>
      </c>
      <c r="CL1256" s="167">
        <v>0</v>
      </c>
      <c r="CM1256" s="167">
        <v>0</v>
      </c>
      <c r="CN1256" s="167">
        <v>0</v>
      </c>
      <c r="CO1256" s="167">
        <v>0</v>
      </c>
      <c r="CP1256" s="167">
        <v>0</v>
      </c>
      <c r="CQ1256" s="167">
        <v>0</v>
      </c>
      <c r="CR1256" s="167">
        <v>0</v>
      </c>
      <c r="CS1256" s="167">
        <v>0</v>
      </c>
      <c r="CT1256" s="167">
        <v>0</v>
      </c>
      <c r="CU1256" s="167">
        <v>0</v>
      </c>
      <c r="CV1256" s="167">
        <v>0</v>
      </c>
      <c r="CW1256" s="167">
        <v>0</v>
      </c>
      <c r="CX1256" s="167">
        <f>SUM(CD1256:CH1256)</f>
        <v>0.33333333333333331</v>
      </c>
      <c r="CY1256" s="167">
        <f>SUM(CD1256:CM1256)</f>
        <v>1</v>
      </c>
    </row>
    <row r="1257" spans="1:103" ht="12.75" customHeight="1" x14ac:dyDescent="0.2">
      <c r="A1257" s="81">
        <v>6526</v>
      </c>
      <c r="B1257" s="165" t="s">
        <v>1955</v>
      </c>
      <c r="C1257" s="165" t="s">
        <v>1613</v>
      </c>
      <c r="E1257" s="165" t="s">
        <v>3447</v>
      </c>
      <c r="G1257" s="81">
        <v>525688</v>
      </c>
      <c r="H1257" s="81">
        <v>174300</v>
      </c>
      <c r="I1257" s="165" t="s">
        <v>258</v>
      </c>
      <c r="L1257" s="166">
        <v>0</v>
      </c>
      <c r="M1257" s="166">
        <v>17</v>
      </c>
      <c r="N1257" s="166">
        <v>17</v>
      </c>
      <c r="O1257" s="166">
        <v>27</v>
      </c>
      <c r="P1257" s="166">
        <v>27</v>
      </c>
      <c r="Q1257" s="81" t="s">
        <v>155</v>
      </c>
      <c r="R1257" s="165" t="s">
        <v>1614</v>
      </c>
      <c r="S1257" s="81" t="s">
        <v>121</v>
      </c>
      <c r="T1257" s="349">
        <v>42809</v>
      </c>
      <c r="W1257" s="81" t="s">
        <v>114</v>
      </c>
      <c r="Y1257" s="81" t="s">
        <v>115</v>
      </c>
      <c r="Z1257" s="81" t="s">
        <v>116</v>
      </c>
      <c r="AA1257" s="81" t="s">
        <v>116</v>
      </c>
      <c r="AB1257" s="81" t="s">
        <v>117</v>
      </c>
      <c r="AC1257" s="166">
        <v>0</v>
      </c>
      <c r="AG1257" s="81" t="s">
        <v>74</v>
      </c>
      <c r="AH1257" s="81" t="s">
        <v>880</v>
      </c>
      <c r="AK1257" s="166">
        <v>15</v>
      </c>
      <c r="AM1257" s="166">
        <v>2</v>
      </c>
      <c r="AO1257" s="166">
        <v>2</v>
      </c>
      <c r="AP1257" s="166">
        <v>15</v>
      </c>
      <c r="AQ1257" s="166">
        <v>0</v>
      </c>
      <c r="AR1257" s="166">
        <v>0</v>
      </c>
      <c r="AS1257" s="166">
        <v>0</v>
      </c>
      <c r="AT1257" s="166">
        <v>0</v>
      </c>
      <c r="AU1257" s="166">
        <v>0</v>
      </c>
      <c r="AV1257" s="166">
        <v>2</v>
      </c>
      <c r="AW1257" s="166">
        <v>15</v>
      </c>
      <c r="AX1257" s="166">
        <v>0</v>
      </c>
      <c r="AY1257" s="166">
        <v>0</v>
      </c>
      <c r="AZ1257" s="166">
        <v>0</v>
      </c>
      <c r="BA1257" s="166">
        <v>0</v>
      </c>
      <c r="BB1257" s="166">
        <v>0</v>
      </c>
      <c r="BC1257" s="166">
        <v>0</v>
      </c>
      <c r="BD1257" s="166">
        <v>0</v>
      </c>
      <c r="BE1257" s="166">
        <v>0</v>
      </c>
      <c r="BF1257" s="166">
        <v>0</v>
      </c>
      <c r="BG1257" s="166">
        <v>0</v>
      </c>
      <c r="BH1257" s="166">
        <v>0</v>
      </c>
      <c r="BI1257" s="166">
        <v>0</v>
      </c>
      <c r="BJ1257" s="166">
        <v>0</v>
      </c>
      <c r="BK1257" s="166">
        <v>0</v>
      </c>
      <c r="BL1257" s="166">
        <v>0</v>
      </c>
      <c r="BM1257" s="166">
        <v>0</v>
      </c>
      <c r="BN1257" s="166">
        <v>0</v>
      </c>
      <c r="BO1257" s="166">
        <v>0</v>
      </c>
      <c r="BP1257" s="166">
        <v>0</v>
      </c>
      <c r="BQ1257" s="81" t="s">
        <v>1758</v>
      </c>
      <c r="BR1257" s="81" t="s">
        <v>202</v>
      </c>
      <c r="BT1257" s="81" t="s">
        <v>155</v>
      </c>
      <c r="BZ1257" s="81" t="s">
        <v>155</v>
      </c>
      <c r="CA1257" s="81">
        <v>6</v>
      </c>
      <c r="CC1257" s="167">
        <v>0</v>
      </c>
      <c r="CD1257" s="167">
        <v>0</v>
      </c>
      <c r="CE1257" s="167">
        <v>0</v>
      </c>
      <c r="CF1257" s="167">
        <v>0</v>
      </c>
      <c r="CG1257" s="167">
        <v>0</v>
      </c>
      <c r="CH1257" s="167">
        <f>$N1257/3</f>
        <v>5.666666666666667</v>
      </c>
      <c r="CI1257" s="167">
        <f>$N1257/3</f>
        <v>5.666666666666667</v>
      </c>
      <c r="CJ1257" s="167">
        <f>$N1257/3</f>
        <v>5.666666666666667</v>
      </c>
      <c r="CK1257" s="167">
        <v>0</v>
      </c>
      <c r="CL1257" s="167">
        <v>0</v>
      </c>
      <c r="CM1257" s="167">
        <v>0</v>
      </c>
      <c r="CN1257" s="167">
        <v>0</v>
      </c>
      <c r="CO1257" s="167">
        <v>0</v>
      </c>
      <c r="CP1257" s="167">
        <v>0</v>
      </c>
      <c r="CQ1257" s="167">
        <v>0</v>
      </c>
      <c r="CR1257" s="167">
        <v>0</v>
      </c>
      <c r="CS1257" s="167">
        <v>0</v>
      </c>
      <c r="CT1257" s="167">
        <v>0</v>
      </c>
      <c r="CU1257" s="167">
        <v>0</v>
      </c>
      <c r="CV1257" s="167">
        <v>0</v>
      </c>
      <c r="CW1257" s="167">
        <v>0</v>
      </c>
      <c r="CX1257" s="167">
        <f>SUM(CD1257:CH1257)</f>
        <v>5.666666666666667</v>
      </c>
      <c r="CY1257" s="167">
        <f>SUM(CD1257:CM1257)</f>
        <v>17</v>
      </c>
    </row>
    <row r="1258" spans="1:103" ht="12.75" customHeight="1" x14ac:dyDescent="0.2">
      <c r="A1258" s="81">
        <v>6526</v>
      </c>
      <c r="B1258" s="165" t="s">
        <v>1955</v>
      </c>
      <c r="C1258" s="165" t="s">
        <v>1613</v>
      </c>
      <c r="E1258" s="165" t="s">
        <v>3447</v>
      </c>
      <c r="G1258" s="81">
        <v>525688</v>
      </c>
      <c r="H1258" s="81">
        <v>174300</v>
      </c>
      <c r="I1258" s="165" t="s">
        <v>258</v>
      </c>
      <c r="L1258" s="166">
        <v>0</v>
      </c>
      <c r="M1258" s="166">
        <v>10</v>
      </c>
      <c r="N1258" s="166">
        <v>10</v>
      </c>
      <c r="O1258" s="166">
        <v>27</v>
      </c>
      <c r="P1258" s="166">
        <v>27</v>
      </c>
      <c r="Q1258" s="81" t="s">
        <v>155</v>
      </c>
      <c r="R1258" s="165" t="s">
        <v>1614</v>
      </c>
      <c r="S1258" s="81" t="s">
        <v>121</v>
      </c>
      <c r="T1258" s="349">
        <v>42809</v>
      </c>
      <c r="W1258" s="81" t="s">
        <v>114</v>
      </c>
      <c r="Y1258" s="81" t="s">
        <v>115</v>
      </c>
      <c r="Z1258" s="81" t="s">
        <v>116</v>
      </c>
      <c r="AA1258" s="81" t="s">
        <v>116</v>
      </c>
      <c r="AB1258" s="81" t="s">
        <v>117</v>
      </c>
      <c r="AC1258" s="166">
        <v>0</v>
      </c>
      <c r="AG1258" s="81" t="s">
        <v>238</v>
      </c>
      <c r="AH1258" s="81" t="s">
        <v>118</v>
      </c>
      <c r="AK1258" s="166">
        <v>10</v>
      </c>
      <c r="AM1258" s="166">
        <v>1</v>
      </c>
      <c r="AO1258" s="166">
        <v>0</v>
      </c>
      <c r="AP1258" s="166">
        <v>6</v>
      </c>
      <c r="AQ1258" s="166">
        <v>4</v>
      </c>
      <c r="AR1258" s="166">
        <v>0</v>
      </c>
      <c r="AS1258" s="166">
        <v>0</v>
      </c>
      <c r="AT1258" s="166">
        <v>0</v>
      </c>
      <c r="AU1258" s="166">
        <v>0</v>
      </c>
      <c r="AV1258" s="166">
        <v>0</v>
      </c>
      <c r="AW1258" s="166">
        <v>6</v>
      </c>
      <c r="AX1258" s="166">
        <v>4</v>
      </c>
      <c r="AY1258" s="166">
        <v>0</v>
      </c>
      <c r="AZ1258" s="166">
        <v>0</v>
      </c>
      <c r="BA1258" s="166">
        <v>0</v>
      </c>
      <c r="BB1258" s="166">
        <v>0</v>
      </c>
      <c r="BC1258" s="166">
        <v>0</v>
      </c>
      <c r="BD1258" s="166">
        <v>0</v>
      </c>
      <c r="BE1258" s="166">
        <v>0</v>
      </c>
      <c r="BF1258" s="166">
        <v>0</v>
      </c>
      <c r="BG1258" s="166">
        <v>0</v>
      </c>
      <c r="BH1258" s="166">
        <v>0</v>
      </c>
      <c r="BI1258" s="166">
        <v>0</v>
      </c>
      <c r="BJ1258" s="166">
        <v>0</v>
      </c>
      <c r="BK1258" s="166">
        <v>0</v>
      </c>
      <c r="BL1258" s="166">
        <v>0</v>
      </c>
      <c r="BM1258" s="166">
        <v>0</v>
      </c>
      <c r="BN1258" s="166">
        <v>0</v>
      </c>
      <c r="BO1258" s="166">
        <v>0</v>
      </c>
      <c r="BP1258" s="166">
        <v>0</v>
      </c>
      <c r="BQ1258" s="81" t="s">
        <v>1758</v>
      </c>
      <c r="BR1258" s="81" t="s">
        <v>202</v>
      </c>
      <c r="BT1258" s="81" t="s">
        <v>155</v>
      </c>
      <c r="BZ1258" s="81" t="s">
        <v>155</v>
      </c>
      <c r="CA1258" s="81">
        <v>6</v>
      </c>
      <c r="CC1258" s="167">
        <v>0</v>
      </c>
      <c r="CD1258" s="167">
        <v>0</v>
      </c>
      <c r="CE1258" s="167">
        <v>0</v>
      </c>
      <c r="CF1258" s="167">
        <v>0</v>
      </c>
      <c r="CG1258" s="167">
        <v>0</v>
      </c>
      <c r="CH1258" s="167">
        <f>$N1258/3</f>
        <v>3.3333333333333335</v>
      </c>
      <c r="CI1258" s="167">
        <f>$N1258/3</f>
        <v>3.3333333333333335</v>
      </c>
      <c r="CJ1258" s="167">
        <f>$N1258/3</f>
        <v>3.3333333333333335</v>
      </c>
      <c r="CK1258" s="167">
        <v>0</v>
      </c>
      <c r="CL1258" s="167">
        <v>0</v>
      </c>
      <c r="CM1258" s="167">
        <v>0</v>
      </c>
      <c r="CN1258" s="167">
        <v>0</v>
      </c>
      <c r="CO1258" s="167">
        <v>0</v>
      </c>
      <c r="CP1258" s="167">
        <v>0</v>
      </c>
      <c r="CQ1258" s="167">
        <v>0</v>
      </c>
      <c r="CR1258" s="167">
        <v>0</v>
      </c>
      <c r="CS1258" s="167">
        <v>0</v>
      </c>
      <c r="CT1258" s="167">
        <v>0</v>
      </c>
      <c r="CU1258" s="167">
        <v>0</v>
      </c>
      <c r="CV1258" s="167">
        <v>0</v>
      </c>
      <c r="CW1258" s="167">
        <v>0</v>
      </c>
      <c r="CX1258" s="167">
        <f>SUM(CD1258:CH1258)</f>
        <v>3.3333333333333335</v>
      </c>
      <c r="CY1258" s="167">
        <f>SUM(CD1258:CM1258)</f>
        <v>10</v>
      </c>
    </row>
    <row r="1259" spans="1:103" ht="12.75" customHeight="1" x14ac:dyDescent="0.2">
      <c r="A1259" s="81">
        <v>6576</v>
      </c>
      <c r="B1259" s="165" t="s">
        <v>1955</v>
      </c>
      <c r="C1259" s="165" t="s">
        <v>2163</v>
      </c>
      <c r="E1259" s="165" t="s">
        <v>2164</v>
      </c>
      <c r="G1259" s="81">
        <v>527523</v>
      </c>
      <c r="H1259" s="81">
        <v>174885</v>
      </c>
      <c r="I1259" s="165" t="s">
        <v>255</v>
      </c>
      <c r="L1259" s="166">
        <v>1</v>
      </c>
      <c r="M1259" s="166">
        <v>4</v>
      </c>
      <c r="N1259" s="166">
        <v>3</v>
      </c>
      <c r="O1259" s="166">
        <v>4</v>
      </c>
      <c r="P1259" s="166">
        <v>3</v>
      </c>
      <c r="R1259" s="165" t="s">
        <v>2165</v>
      </c>
      <c r="S1259" s="81" t="s">
        <v>296</v>
      </c>
      <c r="T1259" s="349">
        <v>42824</v>
      </c>
      <c r="U1259" s="349">
        <v>42880</v>
      </c>
      <c r="V1259" s="81" t="s">
        <v>155</v>
      </c>
      <c r="W1259" s="81" t="s">
        <v>365</v>
      </c>
      <c r="Y1259" s="81" t="s">
        <v>115</v>
      </c>
      <c r="Z1259" s="81" t="s">
        <v>398</v>
      </c>
      <c r="AA1259" s="81" t="s">
        <v>117</v>
      </c>
      <c r="AB1259" s="81" t="s">
        <v>218</v>
      </c>
      <c r="AC1259" s="166">
        <v>1.4000000432133701E-2</v>
      </c>
      <c r="AG1259" s="81" t="s">
        <v>238</v>
      </c>
      <c r="AH1259" s="81" t="s">
        <v>118</v>
      </c>
      <c r="AK1259" s="166">
        <v>0</v>
      </c>
      <c r="AM1259" s="166">
        <v>0</v>
      </c>
      <c r="AO1259" s="166">
        <v>0</v>
      </c>
      <c r="AP1259" s="166">
        <v>1</v>
      </c>
      <c r="AQ1259" s="166">
        <v>2</v>
      </c>
      <c r="AR1259" s="166">
        <v>0</v>
      </c>
      <c r="AS1259" s="166">
        <v>0</v>
      </c>
      <c r="AT1259" s="166">
        <v>0</v>
      </c>
      <c r="AU1259" s="166">
        <v>0</v>
      </c>
      <c r="AV1259" s="166">
        <v>0</v>
      </c>
      <c r="AW1259" s="166">
        <v>1</v>
      </c>
      <c r="AX1259" s="166">
        <v>2</v>
      </c>
      <c r="AY1259" s="166">
        <v>0</v>
      </c>
      <c r="AZ1259" s="166">
        <v>0</v>
      </c>
      <c r="BA1259" s="166">
        <v>0</v>
      </c>
      <c r="BB1259" s="166">
        <v>0</v>
      </c>
      <c r="BC1259" s="166">
        <v>0</v>
      </c>
      <c r="BD1259" s="166">
        <v>0</v>
      </c>
      <c r="BE1259" s="166">
        <v>0</v>
      </c>
      <c r="BF1259" s="166">
        <v>0</v>
      </c>
      <c r="BG1259" s="166">
        <v>0</v>
      </c>
      <c r="BH1259" s="166">
        <v>0</v>
      </c>
      <c r="BI1259" s="166">
        <v>0</v>
      </c>
      <c r="BJ1259" s="166">
        <v>0</v>
      </c>
      <c r="BK1259" s="166">
        <v>0</v>
      </c>
      <c r="BL1259" s="166">
        <v>0</v>
      </c>
      <c r="BM1259" s="166">
        <v>0</v>
      </c>
      <c r="BN1259" s="166">
        <v>0</v>
      </c>
      <c r="BO1259" s="166">
        <v>0</v>
      </c>
      <c r="BP1259" s="166">
        <v>0</v>
      </c>
      <c r="BQ1259" s="81" t="s">
        <v>1757</v>
      </c>
      <c r="BR1259" s="81" t="s">
        <v>160</v>
      </c>
      <c r="BZ1259" s="81" t="s">
        <v>155</v>
      </c>
      <c r="CA1259" s="81">
        <v>10</v>
      </c>
      <c r="CC1259" s="167">
        <v>0</v>
      </c>
      <c r="CD1259" s="167">
        <v>0</v>
      </c>
      <c r="CE1259" s="167">
        <v>0</v>
      </c>
      <c r="CF1259" s="167">
        <v>0</v>
      </c>
      <c r="CG1259" s="167">
        <v>0</v>
      </c>
      <c r="CH1259" s="167">
        <f>$N1259/3</f>
        <v>1</v>
      </c>
      <c r="CI1259" s="167">
        <f>$N1259/3</f>
        <v>1</v>
      </c>
      <c r="CJ1259" s="167">
        <f>$N1259/3</f>
        <v>1</v>
      </c>
      <c r="CK1259" s="167">
        <v>0</v>
      </c>
      <c r="CL1259" s="167">
        <v>0</v>
      </c>
      <c r="CM1259" s="167">
        <v>0</v>
      </c>
      <c r="CN1259" s="167">
        <v>0</v>
      </c>
      <c r="CO1259" s="167">
        <v>0</v>
      </c>
      <c r="CP1259" s="167">
        <v>0</v>
      </c>
      <c r="CQ1259" s="167">
        <v>0</v>
      </c>
      <c r="CR1259" s="167">
        <v>0</v>
      </c>
      <c r="CS1259" s="167">
        <v>0</v>
      </c>
      <c r="CT1259" s="167">
        <v>0</v>
      </c>
      <c r="CU1259" s="167">
        <v>0</v>
      </c>
      <c r="CV1259" s="167">
        <v>0</v>
      </c>
      <c r="CW1259" s="167">
        <v>0</v>
      </c>
      <c r="CX1259" s="167">
        <f>SUM(CD1259:CH1259)</f>
        <v>1</v>
      </c>
      <c r="CY1259" s="167">
        <f>SUM(CD1259:CM1259)</f>
        <v>3</v>
      </c>
    </row>
    <row r="1260" spans="1:103" ht="12.75" customHeight="1" x14ac:dyDescent="0.2">
      <c r="A1260" s="81">
        <v>6576</v>
      </c>
      <c r="B1260" s="165" t="s">
        <v>1955</v>
      </c>
      <c r="C1260" s="165" t="s">
        <v>2166</v>
      </c>
      <c r="E1260" s="165" t="s">
        <v>2164</v>
      </c>
      <c r="G1260" s="81">
        <v>527523</v>
      </c>
      <c r="H1260" s="81">
        <v>174885</v>
      </c>
      <c r="I1260" s="165" t="s">
        <v>255</v>
      </c>
      <c r="L1260" s="166">
        <v>0</v>
      </c>
      <c r="M1260" s="166">
        <v>4</v>
      </c>
      <c r="N1260" s="166">
        <v>4</v>
      </c>
      <c r="O1260" s="166">
        <v>4</v>
      </c>
      <c r="P1260" s="166">
        <v>4</v>
      </c>
      <c r="R1260" s="165" t="s">
        <v>2167</v>
      </c>
      <c r="S1260" s="81" t="s">
        <v>296</v>
      </c>
      <c r="T1260" s="349">
        <v>43042</v>
      </c>
      <c r="U1260" s="349">
        <v>43098</v>
      </c>
      <c r="V1260" s="81" t="s">
        <v>155</v>
      </c>
      <c r="W1260" s="81" t="s">
        <v>365</v>
      </c>
      <c r="Y1260" s="81" t="s">
        <v>115</v>
      </c>
      <c r="Z1260" s="81" t="s">
        <v>398</v>
      </c>
      <c r="AA1260" s="81" t="s">
        <v>117</v>
      </c>
      <c r="AB1260" s="81" t="s">
        <v>218</v>
      </c>
      <c r="AC1260" s="166">
        <v>1.4000000432133701E-2</v>
      </c>
      <c r="AG1260" s="81" t="s">
        <v>238</v>
      </c>
      <c r="AH1260" s="81" t="s">
        <v>118</v>
      </c>
      <c r="AK1260" s="166">
        <v>0</v>
      </c>
      <c r="AM1260" s="166">
        <v>0</v>
      </c>
      <c r="AO1260" s="166">
        <v>1</v>
      </c>
      <c r="AP1260" s="166">
        <v>1</v>
      </c>
      <c r="AQ1260" s="166">
        <v>2</v>
      </c>
      <c r="AR1260" s="166">
        <v>0</v>
      </c>
      <c r="AS1260" s="166">
        <v>0</v>
      </c>
      <c r="AT1260" s="166">
        <v>0</v>
      </c>
      <c r="AU1260" s="166">
        <v>0</v>
      </c>
      <c r="AV1260" s="166">
        <v>1</v>
      </c>
      <c r="AW1260" s="166">
        <v>1</v>
      </c>
      <c r="AX1260" s="166">
        <v>2</v>
      </c>
      <c r="AY1260" s="166">
        <v>0</v>
      </c>
      <c r="AZ1260" s="166">
        <v>0</v>
      </c>
      <c r="BA1260" s="166">
        <v>0</v>
      </c>
      <c r="BB1260" s="166">
        <v>0</v>
      </c>
      <c r="BC1260" s="166">
        <v>0</v>
      </c>
      <c r="BD1260" s="166">
        <v>0</v>
      </c>
      <c r="BE1260" s="166">
        <v>0</v>
      </c>
      <c r="BF1260" s="166">
        <v>0</v>
      </c>
      <c r="BG1260" s="166">
        <v>0</v>
      </c>
      <c r="BH1260" s="166">
        <v>0</v>
      </c>
      <c r="BI1260" s="166">
        <v>0</v>
      </c>
      <c r="BJ1260" s="166">
        <v>0</v>
      </c>
      <c r="BK1260" s="166">
        <v>0</v>
      </c>
      <c r="BL1260" s="166">
        <v>0</v>
      </c>
      <c r="BM1260" s="166">
        <v>0</v>
      </c>
      <c r="BN1260" s="166">
        <v>0</v>
      </c>
      <c r="BO1260" s="166">
        <v>0</v>
      </c>
      <c r="BP1260" s="166">
        <v>0</v>
      </c>
      <c r="BQ1260" s="81" t="s">
        <v>1757</v>
      </c>
      <c r="BR1260" s="81" t="s">
        <v>160</v>
      </c>
      <c r="BZ1260" s="81" t="s">
        <v>155</v>
      </c>
      <c r="CA1260" s="81">
        <v>10</v>
      </c>
      <c r="CC1260" s="167">
        <v>0</v>
      </c>
      <c r="CD1260" s="167">
        <v>0</v>
      </c>
      <c r="CE1260" s="167">
        <v>0</v>
      </c>
      <c r="CF1260" s="167">
        <v>0</v>
      </c>
      <c r="CG1260" s="167">
        <v>0</v>
      </c>
      <c r="CH1260" s="167">
        <f>$N1260/3</f>
        <v>1.3333333333333333</v>
      </c>
      <c r="CI1260" s="167">
        <f>$N1260/3</f>
        <v>1.3333333333333333</v>
      </c>
      <c r="CJ1260" s="167">
        <f>$N1260/3</f>
        <v>1.3333333333333333</v>
      </c>
      <c r="CK1260" s="167">
        <v>0</v>
      </c>
      <c r="CL1260" s="167">
        <v>0</v>
      </c>
      <c r="CM1260" s="167">
        <v>0</v>
      </c>
      <c r="CN1260" s="167">
        <v>0</v>
      </c>
      <c r="CO1260" s="167">
        <v>0</v>
      </c>
      <c r="CP1260" s="167">
        <v>0</v>
      </c>
      <c r="CQ1260" s="167">
        <v>0</v>
      </c>
      <c r="CR1260" s="167">
        <v>0</v>
      </c>
      <c r="CS1260" s="167">
        <v>0</v>
      </c>
      <c r="CT1260" s="167">
        <v>0</v>
      </c>
      <c r="CU1260" s="167">
        <v>0</v>
      </c>
      <c r="CV1260" s="167">
        <v>0</v>
      </c>
      <c r="CW1260" s="167">
        <v>0</v>
      </c>
      <c r="CX1260" s="167">
        <f>SUM(CD1260:CH1260)</f>
        <v>1.3333333333333333</v>
      </c>
      <c r="CY1260" s="167">
        <f>SUM(CD1260:CM1260)</f>
        <v>4</v>
      </c>
    </row>
    <row r="1261" spans="1:103" ht="12.75" customHeight="1" x14ac:dyDescent="0.2">
      <c r="A1261" s="81">
        <v>6585</v>
      </c>
      <c r="B1261" s="165" t="s">
        <v>1955</v>
      </c>
      <c r="C1261" s="165" t="s">
        <v>2168</v>
      </c>
      <c r="E1261" s="165" t="s">
        <v>2169</v>
      </c>
      <c r="G1261" s="81">
        <v>527915</v>
      </c>
      <c r="H1261" s="81">
        <v>175487</v>
      </c>
      <c r="I1261" s="165" t="s">
        <v>256</v>
      </c>
      <c r="L1261" s="166">
        <v>1</v>
      </c>
      <c r="M1261" s="166">
        <v>3</v>
      </c>
      <c r="N1261" s="166">
        <v>2</v>
      </c>
      <c r="O1261" s="166">
        <v>5</v>
      </c>
      <c r="P1261" s="166">
        <v>2</v>
      </c>
      <c r="R1261" s="165" t="s">
        <v>2170</v>
      </c>
      <c r="S1261" s="81" t="s">
        <v>121</v>
      </c>
      <c r="T1261" s="349">
        <v>43108</v>
      </c>
      <c r="W1261" s="81" t="s">
        <v>114</v>
      </c>
      <c r="Y1261" s="81" t="s">
        <v>115</v>
      </c>
      <c r="Z1261" s="81" t="s">
        <v>398</v>
      </c>
      <c r="AA1261" s="81" t="s">
        <v>117</v>
      </c>
      <c r="AB1261" s="81" t="s">
        <v>220</v>
      </c>
      <c r="AC1261" s="166">
        <v>8.9999996125698107E-3</v>
      </c>
      <c r="AG1261" s="81" t="s">
        <v>238</v>
      </c>
      <c r="AH1261" s="81" t="s">
        <v>118</v>
      </c>
      <c r="AK1261" s="166">
        <v>0</v>
      </c>
      <c r="AM1261" s="166">
        <v>0</v>
      </c>
      <c r="AO1261" s="166">
        <v>1</v>
      </c>
      <c r="AP1261" s="166">
        <v>1</v>
      </c>
      <c r="AQ1261" s="166">
        <v>1</v>
      </c>
      <c r="AR1261" s="166">
        <v>0</v>
      </c>
      <c r="AS1261" s="166">
        <v>-1</v>
      </c>
      <c r="AT1261" s="166">
        <v>0</v>
      </c>
      <c r="AU1261" s="166">
        <v>0</v>
      </c>
      <c r="AV1261" s="166">
        <v>1</v>
      </c>
      <c r="AW1261" s="166">
        <v>1</v>
      </c>
      <c r="AX1261" s="166">
        <v>1</v>
      </c>
      <c r="AY1261" s="166">
        <v>0</v>
      </c>
      <c r="AZ1261" s="166">
        <v>-1</v>
      </c>
      <c r="BA1261" s="166">
        <v>0</v>
      </c>
      <c r="BB1261" s="166">
        <v>0</v>
      </c>
      <c r="BC1261" s="166">
        <v>0</v>
      </c>
      <c r="BD1261" s="166">
        <v>0</v>
      </c>
      <c r="BE1261" s="166">
        <v>0</v>
      </c>
      <c r="BF1261" s="166">
        <v>0</v>
      </c>
      <c r="BG1261" s="166">
        <v>0</v>
      </c>
      <c r="BH1261" s="166">
        <v>0</v>
      </c>
      <c r="BI1261" s="166">
        <v>0</v>
      </c>
      <c r="BJ1261" s="166">
        <v>0</v>
      </c>
      <c r="BK1261" s="166">
        <v>0</v>
      </c>
      <c r="BL1261" s="166">
        <v>0</v>
      </c>
      <c r="BM1261" s="166">
        <v>0</v>
      </c>
      <c r="BN1261" s="166">
        <v>0</v>
      </c>
      <c r="BO1261" s="166">
        <v>0</v>
      </c>
      <c r="BP1261" s="166">
        <v>0</v>
      </c>
      <c r="BQ1261" s="81" t="s">
        <v>1757</v>
      </c>
      <c r="BZ1261" s="81" t="s">
        <v>155</v>
      </c>
      <c r="CA1261" s="81">
        <v>10</v>
      </c>
      <c r="CC1261" s="167">
        <v>0</v>
      </c>
      <c r="CD1261" s="167">
        <v>0</v>
      </c>
      <c r="CE1261" s="167">
        <v>0</v>
      </c>
      <c r="CF1261" s="167">
        <v>0</v>
      </c>
      <c r="CG1261" s="167">
        <v>0</v>
      </c>
      <c r="CH1261" s="167">
        <f>$N1261/3</f>
        <v>0.66666666666666663</v>
      </c>
      <c r="CI1261" s="167">
        <f>$N1261/3</f>
        <v>0.66666666666666663</v>
      </c>
      <c r="CJ1261" s="167">
        <f>$N1261/3</f>
        <v>0.66666666666666663</v>
      </c>
      <c r="CK1261" s="167">
        <v>0</v>
      </c>
      <c r="CL1261" s="167">
        <v>0</v>
      </c>
      <c r="CM1261" s="167">
        <v>0</v>
      </c>
      <c r="CN1261" s="167">
        <v>0</v>
      </c>
      <c r="CO1261" s="167">
        <v>0</v>
      </c>
      <c r="CP1261" s="167">
        <v>0</v>
      </c>
      <c r="CQ1261" s="167">
        <v>0</v>
      </c>
      <c r="CR1261" s="167">
        <v>0</v>
      </c>
      <c r="CS1261" s="167">
        <v>0</v>
      </c>
      <c r="CT1261" s="167">
        <v>0</v>
      </c>
      <c r="CU1261" s="167">
        <v>0</v>
      </c>
      <c r="CV1261" s="167">
        <v>0</v>
      </c>
      <c r="CW1261" s="167">
        <v>0</v>
      </c>
      <c r="CX1261" s="167">
        <f>SUM(CD1261:CH1261)</f>
        <v>0.66666666666666663</v>
      </c>
      <c r="CY1261" s="167">
        <f>SUM(CD1261:CM1261)</f>
        <v>2</v>
      </c>
    </row>
    <row r="1262" spans="1:103" ht="12.75" customHeight="1" x14ac:dyDescent="0.2">
      <c r="A1262" s="81">
        <v>6585</v>
      </c>
      <c r="B1262" s="165" t="s">
        <v>1955</v>
      </c>
      <c r="C1262" s="165" t="s">
        <v>2168</v>
      </c>
      <c r="E1262" s="165" t="s">
        <v>2169</v>
      </c>
      <c r="G1262" s="81">
        <v>527915</v>
      </c>
      <c r="H1262" s="81">
        <v>175487</v>
      </c>
      <c r="I1262" s="165" t="s">
        <v>256</v>
      </c>
      <c r="L1262" s="166">
        <v>2</v>
      </c>
      <c r="M1262" s="166">
        <v>2</v>
      </c>
      <c r="N1262" s="166">
        <v>0</v>
      </c>
      <c r="O1262" s="166">
        <v>5</v>
      </c>
      <c r="P1262" s="166">
        <v>2</v>
      </c>
      <c r="R1262" s="165" t="s">
        <v>2170</v>
      </c>
      <c r="S1262" s="81" t="s">
        <v>121</v>
      </c>
      <c r="T1262" s="349">
        <v>43108</v>
      </c>
      <c r="W1262" s="81" t="s">
        <v>114</v>
      </c>
      <c r="Y1262" s="81" t="s">
        <v>115</v>
      </c>
      <c r="Z1262" s="81" t="s">
        <v>398</v>
      </c>
      <c r="AA1262" s="81" t="s">
        <v>117</v>
      </c>
      <c r="AB1262" s="81" t="s">
        <v>218</v>
      </c>
      <c r="AC1262" s="166">
        <v>1.2000000104308101E-2</v>
      </c>
      <c r="AG1262" s="81" t="s">
        <v>238</v>
      </c>
      <c r="AH1262" s="81" t="s">
        <v>118</v>
      </c>
      <c r="AK1262" s="166">
        <v>0</v>
      </c>
      <c r="AM1262" s="166">
        <v>0</v>
      </c>
      <c r="AO1262" s="166">
        <v>0</v>
      </c>
      <c r="AP1262" s="166">
        <v>-2</v>
      </c>
      <c r="AQ1262" s="166">
        <v>1</v>
      </c>
      <c r="AR1262" s="166">
        <v>1</v>
      </c>
      <c r="AS1262" s="166">
        <v>0</v>
      </c>
      <c r="AT1262" s="166">
        <v>0</v>
      </c>
      <c r="AU1262" s="166">
        <v>0</v>
      </c>
      <c r="AV1262" s="166">
        <v>0</v>
      </c>
      <c r="AW1262" s="166">
        <v>-2</v>
      </c>
      <c r="AX1262" s="166">
        <v>1</v>
      </c>
      <c r="AY1262" s="166">
        <v>1</v>
      </c>
      <c r="AZ1262" s="166">
        <v>0</v>
      </c>
      <c r="BA1262" s="166">
        <v>0</v>
      </c>
      <c r="BB1262" s="166">
        <v>0</v>
      </c>
      <c r="BC1262" s="166">
        <v>0</v>
      </c>
      <c r="BD1262" s="166">
        <v>0</v>
      </c>
      <c r="BE1262" s="166">
        <v>0</v>
      </c>
      <c r="BF1262" s="166">
        <v>0</v>
      </c>
      <c r="BG1262" s="166">
        <v>0</v>
      </c>
      <c r="BH1262" s="166">
        <v>0</v>
      </c>
      <c r="BI1262" s="166">
        <v>0</v>
      </c>
      <c r="BJ1262" s="166">
        <v>0</v>
      </c>
      <c r="BK1262" s="166">
        <v>0</v>
      </c>
      <c r="BL1262" s="166">
        <v>0</v>
      </c>
      <c r="BM1262" s="166">
        <v>0</v>
      </c>
      <c r="BN1262" s="166">
        <v>0</v>
      </c>
      <c r="BO1262" s="166">
        <v>0</v>
      </c>
      <c r="BP1262" s="166">
        <v>0</v>
      </c>
      <c r="BQ1262" s="81" t="s">
        <v>1757</v>
      </c>
      <c r="BZ1262" s="81" t="s">
        <v>155</v>
      </c>
      <c r="CA1262" s="81">
        <v>10</v>
      </c>
      <c r="CC1262" s="167">
        <v>0</v>
      </c>
      <c r="CD1262" s="167">
        <v>0</v>
      </c>
      <c r="CE1262" s="167">
        <v>0</v>
      </c>
      <c r="CF1262" s="167">
        <v>0</v>
      </c>
      <c r="CG1262" s="167">
        <v>0</v>
      </c>
      <c r="CH1262" s="167">
        <f>$N1262/3</f>
        <v>0</v>
      </c>
      <c r="CI1262" s="167">
        <f>$N1262/3</f>
        <v>0</v>
      </c>
      <c r="CJ1262" s="167">
        <f>$N1262/3</f>
        <v>0</v>
      </c>
      <c r="CK1262" s="167">
        <v>0</v>
      </c>
      <c r="CL1262" s="167">
        <v>0</v>
      </c>
      <c r="CM1262" s="167">
        <v>0</v>
      </c>
      <c r="CN1262" s="167">
        <v>0</v>
      </c>
      <c r="CO1262" s="167">
        <v>0</v>
      </c>
      <c r="CP1262" s="167">
        <v>0</v>
      </c>
      <c r="CQ1262" s="167">
        <v>0</v>
      </c>
      <c r="CR1262" s="167">
        <v>0</v>
      </c>
      <c r="CS1262" s="167">
        <v>0</v>
      </c>
      <c r="CT1262" s="167">
        <v>0</v>
      </c>
      <c r="CU1262" s="167">
        <v>0</v>
      </c>
      <c r="CV1262" s="167">
        <v>0</v>
      </c>
      <c r="CW1262" s="167">
        <v>0</v>
      </c>
      <c r="CX1262" s="167">
        <f>SUM(CD1262:CH1262)</f>
        <v>0</v>
      </c>
      <c r="CY1262" s="167">
        <f>SUM(CD1262:CM1262)</f>
        <v>0</v>
      </c>
    </row>
    <row r="1263" spans="1:103" ht="12.75" customHeight="1" x14ac:dyDescent="0.2">
      <c r="A1263" s="81">
        <v>6587</v>
      </c>
      <c r="B1263" s="165" t="s">
        <v>1955</v>
      </c>
      <c r="C1263" s="165" t="s">
        <v>2171</v>
      </c>
      <c r="E1263" s="165" t="s">
        <v>2172</v>
      </c>
      <c r="G1263" s="81">
        <v>525314</v>
      </c>
      <c r="H1263" s="81">
        <v>174719</v>
      </c>
      <c r="I1263" s="165" t="s">
        <v>251</v>
      </c>
      <c r="L1263" s="166">
        <v>0</v>
      </c>
      <c r="M1263" s="166">
        <v>1</v>
      </c>
      <c r="N1263" s="166">
        <v>1</v>
      </c>
      <c r="O1263" s="166">
        <v>1</v>
      </c>
      <c r="P1263" s="166">
        <v>1</v>
      </c>
      <c r="R1263" s="165" t="s">
        <v>2173</v>
      </c>
      <c r="S1263" s="81" t="s">
        <v>504</v>
      </c>
      <c r="T1263" s="349">
        <v>42858</v>
      </c>
      <c r="W1263" s="81" t="s">
        <v>114</v>
      </c>
      <c r="Y1263" s="81" t="s">
        <v>115</v>
      </c>
      <c r="Z1263" s="81" t="s">
        <v>310</v>
      </c>
      <c r="AA1263" s="81" t="s">
        <v>117</v>
      </c>
      <c r="AB1263" s="81" t="s">
        <v>399</v>
      </c>
      <c r="AC1263" s="166">
        <v>0</v>
      </c>
      <c r="AG1263" s="81" t="s">
        <v>238</v>
      </c>
      <c r="AH1263" s="81" t="s">
        <v>118</v>
      </c>
      <c r="AK1263" s="166">
        <v>0</v>
      </c>
      <c r="AM1263" s="166">
        <v>0</v>
      </c>
      <c r="AO1263" s="166">
        <v>0</v>
      </c>
      <c r="AP1263" s="166">
        <v>1</v>
      </c>
      <c r="AQ1263" s="166">
        <v>0</v>
      </c>
      <c r="AR1263" s="166">
        <v>0</v>
      </c>
      <c r="AS1263" s="166">
        <v>0</v>
      </c>
      <c r="AT1263" s="166">
        <v>0</v>
      </c>
      <c r="AU1263" s="166">
        <v>0</v>
      </c>
      <c r="AV1263" s="166">
        <v>0</v>
      </c>
      <c r="AW1263" s="166">
        <v>1</v>
      </c>
      <c r="AX1263" s="166">
        <v>0</v>
      </c>
      <c r="AY1263" s="166">
        <v>0</v>
      </c>
      <c r="AZ1263" s="166">
        <v>0</v>
      </c>
      <c r="BA1263" s="166">
        <v>0</v>
      </c>
      <c r="BB1263" s="166">
        <v>0</v>
      </c>
      <c r="BC1263" s="166">
        <v>0</v>
      </c>
      <c r="BD1263" s="166">
        <v>0</v>
      </c>
      <c r="BE1263" s="166">
        <v>0</v>
      </c>
      <c r="BF1263" s="166">
        <v>0</v>
      </c>
      <c r="BG1263" s="166">
        <v>0</v>
      </c>
      <c r="BH1263" s="166">
        <v>0</v>
      </c>
      <c r="BI1263" s="166">
        <v>0</v>
      </c>
      <c r="BJ1263" s="166">
        <v>0</v>
      </c>
      <c r="BK1263" s="166">
        <v>0</v>
      </c>
      <c r="BL1263" s="166">
        <v>0</v>
      </c>
      <c r="BM1263" s="166">
        <v>0</v>
      </c>
      <c r="BN1263" s="166">
        <v>0</v>
      </c>
      <c r="BO1263" s="166">
        <v>0</v>
      </c>
      <c r="BP1263" s="166">
        <v>0</v>
      </c>
      <c r="BQ1263" s="81" t="s">
        <v>1758</v>
      </c>
      <c r="BR1263" s="81" t="s">
        <v>202</v>
      </c>
      <c r="BT1263" s="81" t="s">
        <v>155</v>
      </c>
      <c r="BZ1263" s="81" t="s">
        <v>155</v>
      </c>
      <c r="CA1263" s="81">
        <v>10</v>
      </c>
      <c r="CC1263" s="167">
        <v>0</v>
      </c>
      <c r="CD1263" s="167">
        <v>0</v>
      </c>
      <c r="CE1263" s="167">
        <v>0</v>
      </c>
      <c r="CF1263" s="167">
        <v>0</v>
      </c>
      <c r="CG1263" s="167">
        <v>0</v>
      </c>
      <c r="CH1263" s="167">
        <f>$N1263/3</f>
        <v>0.33333333333333331</v>
      </c>
      <c r="CI1263" s="167">
        <f>$N1263/3</f>
        <v>0.33333333333333331</v>
      </c>
      <c r="CJ1263" s="167">
        <f>$N1263/3</f>
        <v>0.33333333333333331</v>
      </c>
      <c r="CK1263" s="167">
        <v>0</v>
      </c>
      <c r="CL1263" s="167">
        <v>0</v>
      </c>
      <c r="CM1263" s="167">
        <v>0</v>
      </c>
      <c r="CN1263" s="167">
        <v>0</v>
      </c>
      <c r="CO1263" s="167">
        <v>0</v>
      </c>
      <c r="CP1263" s="167">
        <v>0</v>
      </c>
      <c r="CQ1263" s="167">
        <v>0</v>
      </c>
      <c r="CR1263" s="167">
        <v>0</v>
      </c>
      <c r="CS1263" s="167">
        <v>0</v>
      </c>
      <c r="CT1263" s="167">
        <v>0</v>
      </c>
      <c r="CU1263" s="167">
        <v>0</v>
      </c>
      <c r="CV1263" s="167">
        <v>0</v>
      </c>
      <c r="CW1263" s="167">
        <v>0</v>
      </c>
      <c r="CX1263" s="167">
        <f>SUM(CD1263:CH1263)</f>
        <v>0.33333333333333331</v>
      </c>
      <c r="CY1263" s="167">
        <f>SUM(CD1263:CM1263)</f>
        <v>1</v>
      </c>
    </row>
    <row r="1264" spans="1:103" ht="12.75" customHeight="1" x14ac:dyDescent="0.2">
      <c r="A1264" s="81">
        <v>6588</v>
      </c>
      <c r="B1264" s="165" t="s">
        <v>1955</v>
      </c>
      <c r="C1264" s="165" t="s">
        <v>2174</v>
      </c>
      <c r="E1264" s="165" t="s">
        <v>2175</v>
      </c>
      <c r="G1264" s="81">
        <v>527122</v>
      </c>
      <c r="H1264" s="81">
        <v>175837</v>
      </c>
      <c r="I1264" s="165" t="s">
        <v>241</v>
      </c>
      <c r="L1264" s="166">
        <v>0</v>
      </c>
      <c r="M1264" s="166">
        <v>5</v>
      </c>
      <c r="N1264" s="166">
        <v>5</v>
      </c>
      <c r="O1264" s="166">
        <v>5</v>
      </c>
      <c r="P1264" s="166">
        <v>5</v>
      </c>
      <c r="R1264" s="165" t="s">
        <v>2176</v>
      </c>
      <c r="S1264" s="81" t="s">
        <v>121</v>
      </c>
      <c r="T1264" s="349">
        <v>42824</v>
      </c>
      <c r="W1264" s="81" t="s">
        <v>114</v>
      </c>
      <c r="Y1264" s="81" t="s">
        <v>115</v>
      </c>
      <c r="Z1264" s="81" t="s">
        <v>116</v>
      </c>
      <c r="AA1264" s="81" t="s">
        <v>117</v>
      </c>
      <c r="AB1264" s="81" t="s">
        <v>218</v>
      </c>
      <c r="AC1264" s="166">
        <v>0</v>
      </c>
      <c r="AG1264" s="81" t="s">
        <v>154</v>
      </c>
      <c r="AH1264" s="81" t="s">
        <v>38</v>
      </c>
      <c r="AK1264" s="166">
        <v>0</v>
      </c>
      <c r="AM1264" s="166">
        <v>0</v>
      </c>
      <c r="AO1264" s="166">
        <v>0</v>
      </c>
      <c r="AP1264" s="166">
        <v>4</v>
      </c>
      <c r="AQ1264" s="166">
        <v>1</v>
      </c>
      <c r="AR1264" s="166">
        <v>0</v>
      </c>
      <c r="AS1264" s="166">
        <v>0</v>
      </c>
      <c r="AT1264" s="166">
        <v>0</v>
      </c>
      <c r="AU1264" s="166">
        <v>0</v>
      </c>
      <c r="AV1264" s="166">
        <v>0</v>
      </c>
      <c r="AW1264" s="166">
        <v>4</v>
      </c>
      <c r="AX1264" s="166">
        <v>1</v>
      </c>
      <c r="AY1264" s="166">
        <v>0</v>
      </c>
      <c r="AZ1264" s="166">
        <v>0</v>
      </c>
      <c r="BA1264" s="166">
        <v>0</v>
      </c>
      <c r="BB1264" s="166">
        <v>0</v>
      </c>
      <c r="BC1264" s="166">
        <v>0</v>
      </c>
      <c r="BD1264" s="166">
        <v>0</v>
      </c>
      <c r="BE1264" s="166">
        <v>0</v>
      </c>
      <c r="BF1264" s="166">
        <v>0</v>
      </c>
      <c r="BG1264" s="166">
        <v>0</v>
      </c>
      <c r="BH1264" s="166">
        <v>0</v>
      </c>
      <c r="BI1264" s="166">
        <v>0</v>
      </c>
      <c r="BJ1264" s="166">
        <v>0</v>
      </c>
      <c r="BK1264" s="166">
        <v>0</v>
      </c>
      <c r="BL1264" s="166">
        <v>0</v>
      </c>
      <c r="BM1264" s="166">
        <v>0</v>
      </c>
      <c r="BN1264" s="166">
        <v>0</v>
      </c>
      <c r="BO1264" s="166">
        <v>0</v>
      </c>
      <c r="BP1264" s="166">
        <v>0</v>
      </c>
      <c r="BQ1264" s="81" t="s">
        <v>1759</v>
      </c>
      <c r="BU1264" s="81" t="s">
        <v>155</v>
      </c>
      <c r="BZ1264" s="81" t="s">
        <v>155</v>
      </c>
      <c r="CA1264" s="81">
        <v>6</v>
      </c>
      <c r="CC1264" s="167">
        <v>0</v>
      </c>
      <c r="CD1264" s="167">
        <v>0</v>
      </c>
      <c r="CE1264" s="167">
        <v>0</v>
      </c>
      <c r="CF1264" s="167">
        <v>0</v>
      </c>
      <c r="CG1264" s="167">
        <v>0</v>
      </c>
      <c r="CH1264" s="167">
        <f>$N1264/3</f>
        <v>1.6666666666666667</v>
      </c>
      <c r="CI1264" s="167">
        <f>$N1264/3</f>
        <v>1.6666666666666667</v>
      </c>
      <c r="CJ1264" s="167">
        <f>$N1264/3</f>
        <v>1.6666666666666667</v>
      </c>
      <c r="CK1264" s="167">
        <v>0</v>
      </c>
      <c r="CL1264" s="167">
        <v>0</v>
      </c>
      <c r="CM1264" s="167">
        <v>0</v>
      </c>
      <c r="CN1264" s="167">
        <v>0</v>
      </c>
      <c r="CO1264" s="167">
        <v>0</v>
      </c>
      <c r="CP1264" s="167">
        <v>0</v>
      </c>
      <c r="CQ1264" s="167">
        <v>0</v>
      </c>
      <c r="CR1264" s="167">
        <v>0</v>
      </c>
      <c r="CS1264" s="167">
        <v>0</v>
      </c>
      <c r="CT1264" s="167">
        <v>0</v>
      </c>
      <c r="CU1264" s="167">
        <v>0</v>
      </c>
      <c r="CV1264" s="167">
        <v>0</v>
      </c>
      <c r="CW1264" s="167">
        <v>0</v>
      </c>
      <c r="CX1264" s="167">
        <f>SUM(CD1264:CH1264)</f>
        <v>1.6666666666666667</v>
      </c>
      <c r="CY1264" s="167">
        <f>SUM(CD1264:CM1264)</f>
        <v>5</v>
      </c>
    </row>
    <row r="1265" spans="1:103" ht="12.75" customHeight="1" x14ac:dyDescent="0.2">
      <c r="A1265" s="81">
        <v>6613</v>
      </c>
      <c r="B1265" s="165" t="s">
        <v>1955</v>
      </c>
      <c r="C1265" s="165" t="s">
        <v>2177</v>
      </c>
      <c r="E1265" s="165" t="s">
        <v>2178</v>
      </c>
      <c r="G1265" s="81">
        <v>523233</v>
      </c>
      <c r="H1265" s="81">
        <v>176094</v>
      </c>
      <c r="I1265" s="165" t="s">
        <v>259</v>
      </c>
      <c r="L1265" s="166">
        <v>0</v>
      </c>
      <c r="M1265" s="166">
        <v>6</v>
      </c>
      <c r="N1265" s="166">
        <v>6</v>
      </c>
      <c r="O1265" s="166">
        <v>6</v>
      </c>
      <c r="P1265" s="166">
        <v>6</v>
      </c>
      <c r="R1265" s="165" t="s">
        <v>2179</v>
      </c>
      <c r="S1265" s="81" t="s">
        <v>121</v>
      </c>
      <c r="T1265" s="349">
        <v>43088</v>
      </c>
      <c r="W1265" s="81" t="s">
        <v>114</v>
      </c>
      <c r="Y1265" s="81" t="s">
        <v>115</v>
      </c>
      <c r="Z1265" s="81" t="s">
        <v>116</v>
      </c>
      <c r="AA1265" s="81" t="s">
        <v>117</v>
      </c>
      <c r="AB1265" s="81" t="s">
        <v>218</v>
      </c>
      <c r="AC1265" s="166">
        <v>3.0999999493360499E-2</v>
      </c>
      <c r="AG1265" s="81" t="s">
        <v>238</v>
      </c>
      <c r="AH1265" s="81" t="s">
        <v>118</v>
      </c>
      <c r="AK1265" s="166">
        <v>0</v>
      </c>
      <c r="AM1265" s="166">
        <v>0</v>
      </c>
      <c r="AO1265" s="166">
        <v>0</v>
      </c>
      <c r="AP1265" s="166">
        <v>3</v>
      </c>
      <c r="AQ1265" s="166">
        <v>2</v>
      </c>
      <c r="AR1265" s="166">
        <v>1</v>
      </c>
      <c r="AS1265" s="166">
        <v>0</v>
      </c>
      <c r="AT1265" s="166">
        <v>0</v>
      </c>
      <c r="AU1265" s="166">
        <v>0</v>
      </c>
      <c r="AV1265" s="166">
        <v>0</v>
      </c>
      <c r="AW1265" s="166">
        <v>3</v>
      </c>
      <c r="AX1265" s="166">
        <v>2</v>
      </c>
      <c r="AY1265" s="166">
        <v>0</v>
      </c>
      <c r="AZ1265" s="166">
        <v>0</v>
      </c>
      <c r="BA1265" s="166">
        <v>0</v>
      </c>
      <c r="BB1265" s="166">
        <v>0</v>
      </c>
      <c r="BC1265" s="166">
        <v>0</v>
      </c>
      <c r="BD1265" s="166">
        <v>0</v>
      </c>
      <c r="BE1265" s="166">
        <v>0</v>
      </c>
      <c r="BF1265" s="166">
        <v>1</v>
      </c>
      <c r="BG1265" s="166">
        <v>0</v>
      </c>
      <c r="BH1265" s="166">
        <v>0</v>
      </c>
      <c r="BI1265" s="166">
        <v>0</v>
      </c>
      <c r="BJ1265" s="166">
        <v>0</v>
      </c>
      <c r="BK1265" s="166">
        <v>0</v>
      </c>
      <c r="BL1265" s="166">
        <v>0</v>
      </c>
      <c r="BM1265" s="166">
        <v>0</v>
      </c>
      <c r="BN1265" s="166">
        <v>0</v>
      </c>
      <c r="BO1265" s="166">
        <v>0</v>
      </c>
      <c r="BP1265" s="166">
        <v>0</v>
      </c>
      <c r="BQ1265" s="81" t="s">
        <v>1758</v>
      </c>
      <c r="BZ1265" s="81" t="s">
        <v>155</v>
      </c>
      <c r="CA1265" s="81">
        <v>6</v>
      </c>
      <c r="CC1265" s="167">
        <v>0</v>
      </c>
      <c r="CD1265" s="167">
        <v>0</v>
      </c>
      <c r="CE1265" s="167">
        <v>0</v>
      </c>
      <c r="CF1265" s="167">
        <v>0</v>
      </c>
      <c r="CG1265" s="167">
        <v>0</v>
      </c>
      <c r="CH1265" s="167">
        <f>$N1265/3</f>
        <v>2</v>
      </c>
      <c r="CI1265" s="167">
        <f>$N1265/3</f>
        <v>2</v>
      </c>
      <c r="CJ1265" s="167">
        <f>$N1265/3</f>
        <v>2</v>
      </c>
      <c r="CK1265" s="167">
        <v>0</v>
      </c>
      <c r="CL1265" s="167">
        <v>0</v>
      </c>
      <c r="CM1265" s="167">
        <v>0</v>
      </c>
      <c r="CN1265" s="167">
        <v>0</v>
      </c>
      <c r="CO1265" s="167">
        <v>0</v>
      </c>
      <c r="CP1265" s="167">
        <v>0</v>
      </c>
      <c r="CQ1265" s="167">
        <v>0</v>
      </c>
      <c r="CR1265" s="167">
        <v>0</v>
      </c>
      <c r="CS1265" s="167">
        <v>0</v>
      </c>
      <c r="CT1265" s="167">
        <v>0</v>
      </c>
      <c r="CU1265" s="167">
        <v>0</v>
      </c>
      <c r="CV1265" s="167">
        <v>0</v>
      </c>
      <c r="CW1265" s="167">
        <v>0</v>
      </c>
      <c r="CX1265" s="167">
        <f>SUM(CD1265:CH1265)</f>
        <v>2</v>
      </c>
      <c r="CY1265" s="167">
        <f>SUM(CD1265:CM1265)</f>
        <v>6</v>
      </c>
    </row>
    <row r="1266" spans="1:103" ht="12.75" customHeight="1" x14ac:dyDescent="0.2">
      <c r="A1266" s="81">
        <v>6626</v>
      </c>
      <c r="B1266" s="165" t="s">
        <v>1955</v>
      </c>
      <c r="C1266" s="165" t="s">
        <v>2180</v>
      </c>
      <c r="E1266" s="165" t="s">
        <v>2181</v>
      </c>
      <c r="G1266" s="81">
        <v>528645</v>
      </c>
      <c r="H1266" s="81">
        <v>175982</v>
      </c>
      <c r="I1266" s="165" t="s">
        <v>240</v>
      </c>
      <c r="L1266" s="166">
        <v>0</v>
      </c>
      <c r="M1266" s="166">
        <v>1</v>
      </c>
      <c r="N1266" s="166">
        <v>1</v>
      </c>
      <c r="O1266" s="166">
        <v>1</v>
      </c>
      <c r="P1266" s="166">
        <v>1</v>
      </c>
      <c r="R1266" s="165" t="s">
        <v>2182</v>
      </c>
      <c r="S1266" s="81" t="s">
        <v>121</v>
      </c>
      <c r="T1266" s="349">
        <v>43042</v>
      </c>
      <c r="W1266" s="81" t="s">
        <v>114</v>
      </c>
      <c r="Y1266" s="81" t="s">
        <v>115</v>
      </c>
      <c r="Z1266" s="81" t="s">
        <v>116</v>
      </c>
      <c r="AA1266" s="81" t="s">
        <v>117</v>
      </c>
      <c r="AB1266" s="81" t="s">
        <v>218</v>
      </c>
      <c r="AC1266" s="166">
        <v>2.4000000208616298E-2</v>
      </c>
      <c r="AG1266" s="81" t="s">
        <v>238</v>
      </c>
      <c r="AH1266" s="81" t="s">
        <v>118</v>
      </c>
      <c r="AK1266" s="166">
        <v>0</v>
      </c>
      <c r="AM1266" s="166">
        <v>0</v>
      </c>
      <c r="AO1266" s="166">
        <v>0</v>
      </c>
      <c r="AP1266" s="166">
        <v>0</v>
      </c>
      <c r="AQ1266" s="166">
        <v>0</v>
      </c>
      <c r="AR1266" s="166">
        <v>1</v>
      </c>
      <c r="AS1266" s="166">
        <v>0</v>
      </c>
      <c r="AT1266" s="166">
        <v>0</v>
      </c>
      <c r="AU1266" s="166">
        <v>0</v>
      </c>
      <c r="AV1266" s="166">
        <v>0</v>
      </c>
      <c r="AW1266" s="166">
        <v>0</v>
      </c>
      <c r="AX1266" s="166">
        <v>0</v>
      </c>
      <c r="AY1266" s="166">
        <v>0</v>
      </c>
      <c r="AZ1266" s="166">
        <v>0</v>
      </c>
      <c r="BA1266" s="166">
        <v>0</v>
      </c>
      <c r="BB1266" s="166">
        <v>0</v>
      </c>
      <c r="BC1266" s="166">
        <v>0</v>
      </c>
      <c r="BD1266" s="166">
        <v>0</v>
      </c>
      <c r="BE1266" s="166">
        <v>0</v>
      </c>
      <c r="BF1266" s="166">
        <v>1</v>
      </c>
      <c r="BG1266" s="166">
        <v>0</v>
      </c>
      <c r="BH1266" s="166">
        <v>0</v>
      </c>
      <c r="BI1266" s="166">
        <v>0</v>
      </c>
      <c r="BJ1266" s="166">
        <v>0</v>
      </c>
      <c r="BK1266" s="166">
        <v>0</v>
      </c>
      <c r="BL1266" s="166">
        <v>0</v>
      </c>
      <c r="BM1266" s="166">
        <v>0</v>
      </c>
      <c r="BN1266" s="166">
        <v>0</v>
      </c>
      <c r="BO1266" s="166">
        <v>0</v>
      </c>
      <c r="BP1266" s="166">
        <v>0</v>
      </c>
      <c r="BQ1266" s="81" t="s">
        <v>1757</v>
      </c>
      <c r="BZ1266" s="81" t="s">
        <v>155</v>
      </c>
      <c r="CA1266" s="81">
        <v>6</v>
      </c>
      <c r="CC1266" s="167">
        <v>0</v>
      </c>
      <c r="CD1266" s="167">
        <v>0</v>
      </c>
      <c r="CE1266" s="167">
        <v>0</v>
      </c>
      <c r="CF1266" s="167">
        <v>0</v>
      </c>
      <c r="CG1266" s="167">
        <v>0</v>
      </c>
      <c r="CH1266" s="167">
        <f>$N1266/3</f>
        <v>0.33333333333333331</v>
      </c>
      <c r="CI1266" s="167">
        <f>$N1266/3</f>
        <v>0.33333333333333331</v>
      </c>
      <c r="CJ1266" s="167">
        <f>$N1266/3</f>
        <v>0.33333333333333331</v>
      </c>
      <c r="CK1266" s="167">
        <v>0</v>
      </c>
      <c r="CL1266" s="167">
        <v>0</v>
      </c>
      <c r="CM1266" s="167">
        <v>0</v>
      </c>
      <c r="CN1266" s="167">
        <v>0</v>
      </c>
      <c r="CO1266" s="167">
        <v>0</v>
      </c>
      <c r="CP1266" s="167">
        <v>0</v>
      </c>
      <c r="CQ1266" s="167">
        <v>0</v>
      </c>
      <c r="CR1266" s="167">
        <v>0</v>
      </c>
      <c r="CS1266" s="167">
        <v>0</v>
      </c>
      <c r="CT1266" s="167">
        <v>0</v>
      </c>
      <c r="CU1266" s="167">
        <v>0</v>
      </c>
      <c r="CV1266" s="167">
        <v>0</v>
      </c>
      <c r="CW1266" s="167">
        <v>0</v>
      </c>
      <c r="CX1266" s="167">
        <f>SUM(CD1266:CH1266)</f>
        <v>0.33333333333333331</v>
      </c>
      <c r="CY1266" s="167">
        <f>SUM(CD1266:CM1266)</f>
        <v>1</v>
      </c>
    </row>
    <row r="1267" spans="1:103" ht="12.75" customHeight="1" x14ac:dyDescent="0.2">
      <c r="A1267" s="81">
        <v>6626</v>
      </c>
      <c r="B1267" s="165" t="s">
        <v>1955</v>
      </c>
      <c r="C1267" s="165" t="s">
        <v>2183</v>
      </c>
      <c r="E1267" s="165" t="s">
        <v>2181</v>
      </c>
      <c r="G1267" s="81">
        <v>528645</v>
      </c>
      <c r="H1267" s="81">
        <v>175982</v>
      </c>
      <c r="I1267" s="165" t="s">
        <v>240</v>
      </c>
      <c r="L1267" s="166">
        <v>2</v>
      </c>
      <c r="M1267" s="166">
        <v>4</v>
      </c>
      <c r="N1267" s="166">
        <v>2</v>
      </c>
      <c r="O1267" s="166">
        <v>5</v>
      </c>
      <c r="P1267" s="166">
        <v>3</v>
      </c>
      <c r="R1267" s="165" t="s">
        <v>2184</v>
      </c>
      <c r="S1267" s="81" t="s">
        <v>121</v>
      </c>
      <c r="T1267" s="349">
        <v>43123</v>
      </c>
      <c r="W1267" s="81" t="s">
        <v>114</v>
      </c>
      <c r="Y1267" s="81" t="s">
        <v>115</v>
      </c>
      <c r="Z1267" s="81" t="s">
        <v>398</v>
      </c>
      <c r="AA1267" s="81" t="s">
        <v>117</v>
      </c>
      <c r="AB1267" s="81" t="s">
        <v>220</v>
      </c>
      <c r="AC1267" s="166">
        <v>1.09999999403954E-2</v>
      </c>
      <c r="AG1267" s="81" t="s">
        <v>238</v>
      </c>
      <c r="AH1267" s="81" t="s">
        <v>118</v>
      </c>
      <c r="AK1267" s="166">
        <v>0</v>
      </c>
      <c r="AM1267" s="166">
        <v>0</v>
      </c>
      <c r="AO1267" s="166">
        <v>0</v>
      </c>
      <c r="AP1267" s="166">
        <v>0</v>
      </c>
      <c r="AQ1267" s="166">
        <v>4</v>
      </c>
      <c r="AR1267" s="166">
        <v>-2</v>
      </c>
      <c r="AS1267" s="166">
        <v>0</v>
      </c>
      <c r="AT1267" s="166">
        <v>0</v>
      </c>
      <c r="AU1267" s="166">
        <v>0</v>
      </c>
      <c r="AV1267" s="166">
        <v>0</v>
      </c>
      <c r="AW1267" s="166">
        <v>0</v>
      </c>
      <c r="AX1267" s="166">
        <v>4</v>
      </c>
      <c r="AY1267" s="166">
        <v>-2</v>
      </c>
      <c r="AZ1267" s="166">
        <v>0</v>
      </c>
      <c r="BA1267" s="166">
        <v>0</v>
      </c>
      <c r="BB1267" s="166">
        <v>0</v>
      </c>
      <c r="BC1267" s="166">
        <v>0</v>
      </c>
      <c r="BD1267" s="166">
        <v>0</v>
      </c>
      <c r="BE1267" s="166">
        <v>0</v>
      </c>
      <c r="BF1267" s="166">
        <v>0</v>
      </c>
      <c r="BG1267" s="166">
        <v>0</v>
      </c>
      <c r="BH1267" s="166">
        <v>0</v>
      </c>
      <c r="BI1267" s="166">
        <v>0</v>
      </c>
      <c r="BJ1267" s="166">
        <v>0</v>
      </c>
      <c r="BK1267" s="166">
        <v>0</v>
      </c>
      <c r="BL1267" s="166">
        <v>0</v>
      </c>
      <c r="BM1267" s="166">
        <v>0</v>
      </c>
      <c r="BN1267" s="166">
        <v>0</v>
      </c>
      <c r="BO1267" s="166">
        <v>0</v>
      </c>
      <c r="BP1267" s="166">
        <v>0</v>
      </c>
      <c r="BQ1267" s="81" t="s">
        <v>1757</v>
      </c>
      <c r="BZ1267" s="81" t="s">
        <v>155</v>
      </c>
      <c r="CA1267" s="81">
        <v>10</v>
      </c>
      <c r="CC1267" s="167">
        <v>0</v>
      </c>
      <c r="CD1267" s="167">
        <v>0</v>
      </c>
      <c r="CE1267" s="167">
        <v>0</v>
      </c>
      <c r="CF1267" s="167">
        <v>0</v>
      </c>
      <c r="CG1267" s="167">
        <v>0</v>
      </c>
      <c r="CH1267" s="167">
        <f>$N1267/3</f>
        <v>0.66666666666666663</v>
      </c>
      <c r="CI1267" s="167">
        <f>$N1267/3</f>
        <v>0.66666666666666663</v>
      </c>
      <c r="CJ1267" s="167">
        <f>$N1267/3</f>
        <v>0.66666666666666663</v>
      </c>
      <c r="CK1267" s="167">
        <v>0</v>
      </c>
      <c r="CL1267" s="167">
        <v>0</v>
      </c>
      <c r="CM1267" s="167">
        <v>0</v>
      </c>
      <c r="CN1267" s="167">
        <v>0</v>
      </c>
      <c r="CO1267" s="167">
        <v>0</v>
      </c>
      <c r="CP1267" s="167">
        <v>0</v>
      </c>
      <c r="CQ1267" s="167">
        <v>0</v>
      </c>
      <c r="CR1267" s="167">
        <v>0</v>
      </c>
      <c r="CS1267" s="167">
        <v>0</v>
      </c>
      <c r="CT1267" s="167">
        <v>0</v>
      </c>
      <c r="CU1267" s="167">
        <v>0</v>
      </c>
      <c r="CV1267" s="167">
        <v>0</v>
      </c>
      <c r="CW1267" s="167">
        <v>0</v>
      </c>
      <c r="CX1267" s="167">
        <f>SUM(CD1267:CH1267)</f>
        <v>0.66666666666666663</v>
      </c>
      <c r="CY1267" s="167">
        <f>SUM(CD1267:CM1267)</f>
        <v>2</v>
      </c>
    </row>
    <row r="1268" spans="1:103" ht="12.75" customHeight="1" x14ac:dyDescent="0.2">
      <c r="A1268" s="81">
        <v>6626</v>
      </c>
      <c r="B1268" s="165" t="s">
        <v>1955</v>
      </c>
      <c r="C1268" s="165" t="s">
        <v>2183</v>
      </c>
      <c r="E1268" s="165" t="s">
        <v>2181</v>
      </c>
      <c r="G1268" s="81">
        <v>528645</v>
      </c>
      <c r="H1268" s="81">
        <v>175982</v>
      </c>
      <c r="I1268" s="165" t="s">
        <v>240</v>
      </c>
      <c r="L1268" s="166">
        <v>0</v>
      </c>
      <c r="M1268" s="166">
        <v>1</v>
      </c>
      <c r="N1268" s="166">
        <v>1</v>
      </c>
      <c r="O1268" s="166">
        <v>5</v>
      </c>
      <c r="P1268" s="166">
        <v>3</v>
      </c>
      <c r="R1268" s="165" t="s">
        <v>2184</v>
      </c>
      <c r="S1268" s="81" t="s">
        <v>121</v>
      </c>
      <c r="T1268" s="349">
        <v>43123</v>
      </c>
      <c r="W1268" s="81" t="s">
        <v>114</v>
      </c>
      <c r="Y1268" s="81" t="s">
        <v>115</v>
      </c>
      <c r="Z1268" s="81" t="s">
        <v>398</v>
      </c>
      <c r="AA1268" s="81" t="s">
        <v>117</v>
      </c>
      <c r="AB1268" s="81" t="s">
        <v>218</v>
      </c>
      <c r="AC1268" s="166">
        <v>3.0000000260770299E-3</v>
      </c>
      <c r="AG1268" s="81" t="s">
        <v>238</v>
      </c>
      <c r="AH1268" s="81" t="s">
        <v>118</v>
      </c>
      <c r="AK1268" s="166">
        <v>0</v>
      </c>
      <c r="AM1268" s="166">
        <v>0</v>
      </c>
      <c r="AO1268" s="166">
        <v>0</v>
      </c>
      <c r="AP1268" s="166">
        <v>0</v>
      </c>
      <c r="AQ1268" s="166">
        <v>0</v>
      </c>
      <c r="AR1268" s="166">
        <v>1</v>
      </c>
      <c r="AS1268" s="166">
        <v>0</v>
      </c>
      <c r="AT1268" s="166">
        <v>0</v>
      </c>
      <c r="AU1268" s="166">
        <v>0</v>
      </c>
      <c r="AV1268" s="166">
        <v>0</v>
      </c>
      <c r="AW1268" s="166">
        <v>0</v>
      </c>
      <c r="AX1268" s="166">
        <v>0</v>
      </c>
      <c r="AY1268" s="166">
        <v>1</v>
      </c>
      <c r="AZ1268" s="166">
        <v>0</v>
      </c>
      <c r="BA1268" s="166">
        <v>0</v>
      </c>
      <c r="BB1268" s="166">
        <v>0</v>
      </c>
      <c r="BC1268" s="166">
        <v>0</v>
      </c>
      <c r="BD1268" s="166">
        <v>0</v>
      </c>
      <c r="BE1268" s="166">
        <v>0</v>
      </c>
      <c r="BF1268" s="166">
        <v>0</v>
      </c>
      <c r="BG1268" s="166">
        <v>0</v>
      </c>
      <c r="BH1268" s="166">
        <v>0</v>
      </c>
      <c r="BI1268" s="166">
        <v>0</v>
      </c>
      <c r="BJ1268" s="166">
        <v>0</v>
      </c>
      <c r="BK1268" s="166">
        <v>0</v>
      </c>
      <c r="BL1268" s="166">
        <v>0</v>
      </c>
      <c r="BM1268" s="166">
        <v>0</v>
      </c>
      <c r="BN1268" s="166">
        <v>0</v>
      </c>
      <c r="BO1268" s="166">
        <v>0</v>
      </c>
      <c r="BP1268" s="166">
        <v>0</v>
      </c>
      <c r="BQ1268" s="81" t="s">
        <v>1757</v>
      </c>
      <c r="BZ1268" s="81" t="s">
        <v>155</v>
      </c>
      <c r="CA1268" s="81">
        <v>10</v>
      </c>
      <c r="CC1268" s="167">
        <v>0</v>
      </c>
      <c r="CD1268" s="167">
        <v>0</v>
      </c>
      <c r="CE1268" s="167">
        <v>0</v>
      </c>
      <c r="CF1268" s="167">
        <v>0</v>
      </c>
      <c r="CG1268" s="167">
        <v>0</v>
      </c>
      <c r="CH1268" s="167">
        <f>$N1268/3</f>
        <v>0.33333333333333331</v>
      </c>
      <c r="CI1268" s="167">
        <f>$N1268/3</f>
        <v>0.33333333333333331</v>
      </c>
      <c r="CJ1268" s="167">
        <f>$N1268/3</f>
        <v>0.33333333333333331</v>
      </c>
      <c r="CK1268" s="167">
        <v>0</v>
      </c>
      <c r="CL1268" s="167">
        <v>0</v>
      </c>
      <c r="CM1268" s="167">
        <v>0</v>
      </c>
      <c r="CN1268" s="167">
        <v>0</v>
      </c>
      <c r="CO1268" s="167">
        <v>0</v>
      </c>
      <c r="CP1268" s="167">
        <v>0</v>
      </c>
      <c r="CQ1268" s="167">
        <v>0</v>
      </c>
      <c r="CR1268" s="167">
        <v>0</v>
      </c>
      <c r="CS1268" s="167">
        <v>0</v>
      </c>
      <c r="CT1268" s="167">
        <v>0</v>
      </c>
      <c r="CU1268" s="167">
        <v>0</v>
      </c>
      <c r="CV1268" s="167">
        <v>0</v>
      </c>
      <c r="CW1268" s="167">
        <v>0</v>
      </c>
      <c r="CX1268" s="167">
        <f>SUM(CD1268:CH1268)</f>
        <v>0.33333333333333331</v>
      </c>
      <c r="CY1268" s="167">
        <f>SUM(CD1268:CM1268)</f>
        <v>1</v>
      </c>
    </row>
    <row r="1269" spans="1:103" ht="12.75" customHeight="1" x14ac:dyDescent="0.2">
      <c r="A1269" s="81">
        <v>6629</v>
      </c>
      <c r="B1269" s="165" t="s">
        <v>1955</v>
      </c>
      <c r="C1269" s="165" t="s">
        <v>2185</v>
      </c>
      <c r="E1269" s="165" t="s">
        <v>2186</v>
      </c>
      <c r="G1269" s="81">
        <v>525145</v>
      </c>
      <c r="H1269" s="81">
        <v>173406</v>
      </c>
      <c r="I1269" s="165" t="s">
        <v>258</v>
      </c>
      <c r="L1269" s="166">
        <v>1</v>
      </c>
      <c r="M1269" s="166">
        <v>2</v>
      </c>
      <c r="N1269" s="166">
        <v>1</v>
      </c>
      <c r="O1269" s="166">
        <v>2</v>
      </c>
      <c r="P1269" s="166">
        <v>1</v>
      </c>
      <c r="R1269" s="165" t="s">
        <v>2187</v>
      </c>
      <c r="S1269" s="81" t="s">
        <v>121</v>
      </c>
      <c r="T1269" s="349">
        <v>43168</v>
      </c>
      <c r="W1269" s="81" t="s">
        <v>114</v>
      </c>
      <c r="Y1269" s="81" t="s">
        <v>115</v>
      </c>
      <c r="Z1269" s="81" t="s">
        <v>116</v>
      </c>
      <c r="AA1269" s="81" t="s">
        <v>117</v>
      </c>
      <c r="AB1269" s="81" t="s">
        <v>218</v>
      </c>
      <c r="AC1269" s="166">
        <v>1.4000000432133701E-2</v>
      </c>
      <c r="AG1269" s="81" t="s">
        <v>238</v>
      </c>
      <c r="AH1269" s="81" t="s">
        <v>118</v>
      </c>
      <c r="AK1269" s="166">
        <v>0</v>
      </c>
      <c r="AL1269" s="166">
        <v>2</v>
      </c>
      <c r="AM1269" s="166">
        <v>0</v>
      </c>
      <c r="AO1269" s="166">
        <v>0</v>
      </c>
      <c r="AP1269" s="166">
        <v>-1</v>
      </c>
      <c r="AQ1269" s="166">
        <v>0</v>
      </c>
      <c r="AR1269" s="166">
        <v>2</v>
      </c>
      <c r="AS1269" s="166">
        <v>0</v>
      </c>
      <c r="AT1269" s="166">
        <v>0</v>
      </c>
      <c r="AU1269" s="166">
        <v>0</v>
      </c>
      <c r="AV1269" s="166">
        <v>0</v>
      </c>
      <c r="AW1269" s="166">
        <v>-1</v>
      </c>
      <c r="AX1269" s="166">
        <v>0</v>
      </c>
      <c r="AY1269" s="166">
        <v>0</v>
      </c>
      <c r="AZ1269" s="166">
        <v>0</v>
      </c>
      <c r="BA1269" s="166">
        <v>0</v>
      </c>
      <c r="BB1269" s="166">
        <v>0</v>
      </c>
      <c r="BC1269" s="166">
        <v>0</v>
      </c>
      <c r="BD1269" s="166">
        <v>0</v>
      </c>
      <c r="BE1269" s="166">
        <v>0</v>
      </c>
      <c r="BF1269" s="166">
        <v>2</v>
      </c>
      <c r="BG1269" s="166">
        <v>0</v>
      </c>
      <c r="BH1269" s="166">
        <v>0</v>
      </c>
      <c r="BI1269" s="166">
        <v>0</v>
      </c>
      <c r="BJ1269" s="166">
        <v>0</v>
      </c>
      <c r="BK1269" s="166">
        <v>0</v>
      </c>
      <c r="BL1269" s="166">
        <v>0</v>
      </c>
      <c r="BM1269" s="166">
        <v>0</v>
      </c>
      <c r="BN1269" s="166">
        <v>0</v>
      </c>
      <c r="BO1269" s="166">
        <v>0</v>
      </c>
      <c r="BP1269" s="166">
        <v>0</v>
      </c>
      <c r="BQ1269" s="81" t="s">
        <v>1758</v>
      </c>
      <c r="BZ1269" s="81" t="s">
        <v>155</v>
      </c>
      <c r="CA1269" s="81">
        <v>6</v>
      </c>
      <c r="CC1269" s="167">
        <v>0</v>
      </c>
      <c r="CD1269" s="167">
        <v>0</v>
      </c>
      <c r="CE1269" s="167">
        <v>0</v>
      </c>
      <c r="CF1269" s="167">
        <v>0</v>
      </c>
      <c r="CG1269" s="167">
        <v>0</v>
      </c>
      <c r="CH1269" s="167">
        <f>$N1269/3</f>
        <v>0.33333333333333331</v>
      </c>
      <c r="CI1269" s="167">
        <f>$N1269/3</f>
        <v>0.33333333333333331</v>
      </c>
      <c r="CJ1269" s="167">
        <f>$N1269/3</f>
        <v>0.33333333333333331</v>
      </c>
      <c r="CK1269" s="167">
        <v>0</v>
      </c>
      <c r="CL1269" s="167">
        <v>0</v>
      </c>
      <c r="CM1269" s="167">
        <v>0</v>
      </c>
      <c r="CN1269" s="167">
        <v>0</v>
      </c>
      <c r="CO1269" s="167">
        <v>0</v>
      </c>
      <c r="CP1269" s="167">
        <v>0</v>
      </c>
      <c r="CQ1269" s="167">
        <v>0</v>
      </c>
      <c r="CR1269" s="167">
        <v>0</v>
      </c>
      <c r="CS1269" s="167">
        <v>0</v>
      </c>
      <c r="CT1269" s="167">
        <v>0</v>
      </c>
      <c r="CU1269" s="167">
        <v>0</v>
      </c>
      <c r="CV1269" s="167">
        <v>0</v>
      </c>
      <c r="CW1269" s="167">
        <v>0</v>
      </c>
      <c r="CX1269" s="167">
        <f>SUM(CD1269:CH1269)</f>
        <v>0.33333333333333331</v>
      </c>
      <c r="CY1269" s="167">
        <f>SUM(CD1269:CM1269)</f>
        <v>1</v>
      </c>
    </row>
    <row r="1270" spans="1:103" ht="12.75" customHeight="1" x14ac:dyDescent="0.2">
      <c r="A1270" s="81">
        <v>6632</v>
      </c>
      <c r="B1270" s="165" t="s">
        <v>1955</v>
      </c>
      <c r="C1270" s="165" t="s">
        <v>2188</v>
      </c>
      <c r="E1270" s="165" t="s">
        <v>2189</v>
      </c>
      <c r="F1270" s="165" t="s">
        <v>1803</v>
      </c>
      <c r="G1270" s="81">
        <v>528637</v>
      </c>
      <c r="H1270" s="81">
        <v>176365</v>
      </c>
      <c r="I1270" s="165" t="s">
        <v>240</v>
      </c>
      <c r="L1270" s="166">
        <v>0</v>
      </c>
      <c r="M1270" s="166">
        <v>1</v>
      </c>
      <c r="N1270" s="166">
        <v>1</v>
      </c>
      <c r="O1270" s="166">
        <v>1</v>
      </c>
      <c r="P1270" s="166">
        <v>1</v>
      </c>
      <c r="R1270" s="165" t="s">
        <v>2190</v>
      </c>
      <c r="S1270" s="81" t="s">
        <v>121</v>
      </c>
      <c r="T1270" s="349">
        <v>43188</v>
      </c>
      <c r="W1270" s="81" t="s">
        <v>114</v>
      </c>
      <c r="Y1270" s="81" t="s">
        <v>115</v>
      </c>
      <c r="Z1270" s="81" t="s">
        <v>219</v>
      </c>
      <c r="AA1270" s="81" t="s">
        <v>117</v>
      </c>
      <c r="AB1270" s="81" t="s">
        <v>3889</v>
      </c>
      <c r="AC1270" s="166">
        <v>3.0000000260770299E-3</v>
      </c>
      <c r="AG1270" s="81" t="s">
        <v>238</v>
      </c>
      <c r="AH1270" s="81" t="s">
        <v>118</v>
      </c>
      <c r="AK1270" s="166">
        <v>0</v>
      </c>
      <c r="AM1270" s="166">
        <v>0</v>
      </c>
      <c r="AO1270" s="166">
        <v>0</v>
      </c>
      <c r="AP1270" s="166">
        <v>0</v>
      </c>
      <c r="AQ1270" s="166">
        <v>1</v>
      </c>
      <c r="AR1270" s="166">
        <v>0</v>
      </c>
      <c r="AS1270" s="166">
        <v>0</v>
      </c>
      <c r="AT1270" s="166">
        <v>0</v>
      </c>
      <c r="AU1270" s="166">
        <v>0</v>
      </c>
      <c r="AV1270" s="166">
        <v>0</v>
      </c>
      <c r="AW1270" s="166">
        <v>0</v>
      </c>
      <c r="AX1270" s="166">
        <v>1</v>
      </c>
      <c r="AY1270" s="166">
        <v>0</v>
      </c>
      <c r="AZ1270" s="166">
        <v>0</v>
      </c>
      <c r="BA1270" s="166">
        <v>0</v>
      </c>
      <c r="BB1270" s="166">
        <v>0</v>
      </c>
      <c r="BC1270" s="166">
        <v>0</v>
      </c>
      <c r="BD1270" s="166">
        <v>0</v>
      </c>
      <c r="BE1270" s="166">
        <v>0</v>
      </c>
      <c r="BF1270" s="166">
        <v>0</v>
      </c>
      <c r="BG1270" s="166">
        <v>0</v>
      </c>
      <c r="BH1270" s="166">
        <v>0</v>
      </c>
      <c r="BI1270" s="166">
        <v>0</v>
      </c>
      <c r="BJ1270" s="166">
        <v>0</v>
      </c>
      <c r="BK1270" s="166">
        <v>0</v>
      </c>
      <c r="BL1270" s="166">
        <v>0</v>
      </c>
      <c r="BM1270" s="166">
        <v>0</v>
      </c>
      <c r="BN1270" s="166">
        <v>0</v>
      </c>
      <c r="BO1270" s="166">
        <v>0</v>
      </c>
      <c r="BP1270" s="166">
        <v>0</v>
      </c>
      <c r="BQ1270" s="81" t="s">
        <v>1757</v>
      </c>
      <c r="BZ1270" s="81" t="s">
        <v>3991</v>
      </c>
      <c r="CA1270" s="81">
        <v>15</v>
      </c>
      <c r="CB1270" s="165" t="s">
        <v>4005</v>
      </c>
      <c r="CC1270" s="167">
        <v>0</v>
      </c>
      <c r="CD1270" s="167">
        <v>0</v>
      </c>
      <c r="CE1270" s="167">
        <v>0</v>
      </c>
      <c r="CF1270" s="167">
        <v>0</v>
      </c>
      <c r="CG1270" s="167">
        <v>0</v>
      </c>
      <c r="CH1270" s="167">
        <v>0</v>
      </c>
      <c r="CI1270" s="167">
        <v>0</v>
      </c>
      <c r="CJ1270" s="167">
        <v>0</v>
      </c>
      <c r="CK1270" s="167">
        <v>0</v>
      </c>
      <c r="CL1270" s="167">
        <v>0</v>
      </c>
      <c r="CM1270" s="167">
        <v>0</v>
      </c>
      <c r="CN1270" s="167">
        <v>0</v>
      </c>
      <c r="CO1270" s="167">
        <v>0</v>
      </c>
      <c r="CP1270" s="167">
        <v>0</v>
      </c>
      <c r="CQ1270" s="167">
        <v>0</v>
      </c>
      <c r="CR1270" s="167">
        <v>0</v>
      </c>
      <c r="CS1270" s="167">
        <v>0</v>
      </c>
      <c r="CT1270" s="167">
        <v>0</v>
      </c>
      <c r="CU1270" s="167">
        <v>0</v>
      </c>
      <c r="CV1270" s="167">
        <v>0</v>
      </c>
      <c r="CW1270" s="167">
        <v>0</v>
      </c>
      <c r="CX1270" s="167">
        <f>SUM(CD1270:CH1270)</f>
        <v>0</v>
      </c>
      <c r="CY1270" s="167">
        <f>SUM(CD1270:CM1270)</f>
        <v>0</v>
      </c>
    </row>
    <row r="1271" spans="1:103" ht="12.75" customHeight="1" x14ac:dyDescent="0.2">
      <c r="A1271" s="81">
        <v>6633</v>
      </c>
      <c r="B1271" s="165" t="s">
        <v>1955</v>
      </c>
      <c r="C1271" s="165" t="s">
        <v>2191</v>
      </c>
      <c r="E1271" s="165" t="s">
        <v>2192</v>
      </c>
      <c r="G1271" s="81">
        <v>528446</v>
      </c>
      <c r="H1271" s="81">
        <v>175694</v>
      </c>
      <c r="I1271" s="165" t="s">
        <v>256</v>
      </c>
      <c r="L1271" s="166">
        <v>0</v>
      </c>
      <c r="M1271" s="166">
        <v>9</v>
      </c>
      <c r="N1271" s="166">
        <v>9</v>
      </c>
      <c r="O1271" s="166">
        <v>9</v>
      </c>
      <c r="P1271" s="166">
        <v>9</v>
      </c>
      <c r="R1271" s="165" t="s">
        <v>2193</v>
      </c>
      <c r="S1271" s="81" t="s">
        <v>121</v>
      </c>
      <c r="T1271" s="349">
        <v>43129</v>
      </c>
      <c r="W1271" s="81" t="s">
        <v>114</v>
      </c>
      <c r="Y1271" s="81" t="s">
        <v>115</v>
      </c>
      <c r="Z1271" s="81" t="s">
        <v>116</v>
      </c>
      <c r="AA1271" s="81" t="s">
        <v>117</v>
      </c>
      <c r="AB1271" s="81" t="s">
        <v>218</v>
      </c>
      <c r="AC1271" s="166">
        <v>9.4999998807907104E-2</v>
      </c>
      <c r="AG1271" s="81" t="s">
        <v>238</v>
      </c>
      <c r="AH1271" s="81" t="s">
        <v>118</v>
      </c>
      <c r="AK1271" s="166">
        <v>0</v>
      </c>
      <c r="AM1271" s="166">
        <v>0</v>
      </c>
      <c r="AN1271" s="166">
        <v>1</v>
      </c>
      <c r="AO1271" s="166">
        <v>0</v>
      </c>
      <c r="AP1271" s="166">
        <v>1</v>
      </c>
      <c r="AQ1271" s="166">
        <v>7</v>
      </c>
      <c r="AR1271" s="166">
        <v>1</v>
      </c>
      <c r="AS1271" s="166">
        <v>0</v>
      </c>
      <c r="AT1271" s="166">
        <v>0</v>
      </c>
      <c r="AU1271" s="166">
        <v>0</v>
      </c>
      <c r="AV1271" s="166">
        <v>0</v>
      </c>
      <c r="AW1271" s="166">
        <v>1</v>
      </c>
      <c r="AX1271" s="166">
        <v>7</v>
      </c>
      <c r="AY1271" s="166">
        <v>1</v>
      </c>
      <c r="AZ1271" s="166">
        <v>0</v>
      </c>
      <c r="BA1271" s="166">
        <v>0</v>
      </c>
      <c r="BB1271" s="166">
        <v>0</v>
      </c>
      <c r="BC1271" s="166">
        <v>0</v>
      </c>
      <c r="BD1271" s="166">
        <v>0</v>
      </c>
      <c r="BE1271" s="166">
        <v>0</v>
      </c>
      <c r="BF1271" s="166">
        <v>0</v>
      </c>
      <c r="BG1271" s="166">
        <v>0</v>
      </c>
      <c r="BH1271" s="166">
        <v>0</v>
      </c>
      <c r="BI1271" s="166">
        <v>0</v>
      </c>
      <c r="BJ1271" s="166">
        <v>0</v>
      </c>
      <c r="BK1271" s="166">
        <v>0</v>
      </c>
      <c r="BL1271" s="166">
        <v>0</v>
      </c>
      <c r="BM1271" s="166">
        <v>0</v>
      </c>
      <c r="BN1271" s="166">
        <v>0</v>
      </c>
      <c r="BO1271" s="166">
        <v>0</v>
      </c>
      <c r="BP1271" s="166">
        <v>0</v>
      </c>
      <c r="BQ1271" s="81" t="s">
        <v>1757</v>
      </c>
      <c r="BZ1271" s="81" t="s">
        <v>155</v>
      </c>
      <c r="CA1271" s="81">
        <v>6</v>
      </c>
      <c r="CC1271" s="167">
        <v>0</v>
      </c>
      <c r="CD1271" s="167">
        <v>0</v>
      </c>
      <c r="CE1271" s="167">
        <v>0</v>
      </c>
      <c r="CF1271" s="167">
        <v>0</v>
      </c>
      <c r="CG1271" s="167">
        <v>0</v>
      </c>
      <c r="CH1271" s="167">
        <f>$N1271/3</f>
        <v>3</v>
      </c>
      <c r="CI1271" s="167">
        <f>$N1271/3</f>
        <v>3</v>
      </c>
      <c r="CJ1271" s="167">
        <f>$N1271/3</f>
        <v>3</v>
      </c>
      <c r="CK1271" s="167">
        <v>0</v>
      </c>
      <c r="CL1271" s="167">
        <v>0</v>
      </c>
      <c r="CM1271" s="167">
        <v>0</v>
      </c>
      <c r="CN1271" s="167">
        <v>0</v>
      </c>
      <c r="CO1271" s="167">
        <v>0</v>
      </c>
      <c r="CP1271" s="167">
        <v>0</v>
      </c>
      <c r="CQ1271" s="167">
        <v>0</v>
      </c>
      <c r="CR1271" s="167">
        <v>0</v>
      </c>
      <c r="CS1271" s="167">
        <v>0</v>
      </c>
      <c r="CT1271" s="167">
        <v>0</v>
      </c>
      <c r="CU1271" s="167">
        <v>0</v>
      </c>
      <c r="CV1271" s="167">
        <v>0</v>
      </c>
      <c r="CW1271" s="167">
        <v>0</v>
      </c>
      <c r="CX1271" s="167">
        <f>SUM(CD1271:CH1271)</f>
        <v>3</v>
      </c>
      <c r="CY1271" s="167">
        <f>SUM(CD1271:CM1271)</f>
        <v>9</v>
      </c>
    </row>
    <row r="1272" spans="1:103" ht="12.75" customHeight="1" x14ac:dyDescent="0.2">
      <c r="A1272" s="81">
        <v>6641</v>
      </c>
      <c r="B1272" s="165" t="s">
        <v>1955</v>
      </c>
      <c r="C1272" s="165" t="s">
        <v>2194</v>
      </c>
      <c r="E1272" s="165" t="s">
        <v>2195</v>
      </c>
      <c r="G1272" s="81">
        <v>528463</v>
      </c>
      <c r="H1272" s="81">
        <v>173116</v>
      </c>
      <c r="I1272" s="165" t="s">
        <v>254</v>
      </c>
      <c r="L1272" s="166">
        <v>0</v>
      </c>
      <c r="M1272" s="166">
        <v>1</v>
      </c>
      <c r="N1272" s="166">
        <v>1</v>
      </c>
      <c r="O1272" s="166">
        <v>1</v>
      </c>
      <c r="P1272" s="166">
        <v>1</v>
      </c>
      <c r="R1272" s="165" t="s">
        <v>2196</v>
      </c>
      <c r="S1272" s="81" t="s">
        <v>296</v>
      </c>
      <c r="T1272" s="349">
        <v>42921</v>
      </c>
      <c r="U1272" s="349">
        <v>42977</v>
      </c>
      <c r="V1272" s="81" t="s">
        <v>155</v>
      </c>
      <c r="W1272" s="81" t="s">
        <v>365</v>
      </c>
      <c r="Y1272" s="81" t="s">
        <v>115</v>
      </c>
      <c r="Z1272" s="81" t="s">
        <v>219</v>
      </c>
      <c r="AA1272" s="81" t="s">
        <v>117</v>
      </c>
      <c r="AB1272" s="81" t="s">
        <v>3889</v>
      </c>
      <c r="AC1272" s="166">
        <v>4.9999998882412902E-3</v>
      </c>
      <c r="AG1272" s="81" t="s">
        <v>238</v>
      </c>
      <c r="AH1272" s="81" t="s">
        <v>118</v>
      </c>
      <c r="AK1272" s="166">
        <v>0</v>
      </c>
      <c r="AM1272" s="166">
        <v>0</v>
      </c>
      <c r="AO1272" s="166">
        <v>0</v>
      </c>
      <c r="AP1272" s="166">
        <v>1</v>
      </c>
      <c r="AQ1272" s="166">
        <v>0</v>
      </c>
      <c r="AR1272" s="166">
        <v>0</v>
      </c>
      <c r="AS1272" s="166">
        <v>0</v>
      </c>
      <c r="AT1272" s="166">
        <v>0</v>
      </c>
      <c r="AU1272" s="166">
        <v>0</v>
      </c>
      <c r="AV1272" s="166">
        <v>0</v>
      </c>
      <c r="AW1272" s="166">
        <v>1</v>
      </c>
      <c r="AX1272" s="166">
        <v>0</v>
      </c>
      <c r="AY1272" s="166">
        <v>0</v>
      </c>
      <c r="AZ1272" s="166">
        <v>0</v>
      </c>
      <c r="BA1272" s="166">
        <v>0</v>
      </c>
      <c r="BB1272" s="166">
        <v>0</v>
      </c>
      <c r="BC1272" s="166">
        <v>0</v>
      </c>
      <c r="BD1272" s="166">
        <v>0</v>
      </c>
      <c r="BE1272" s="166">
        <v>0</v>
      </c>
      <c r="BF1272" s="166">
        <v>0</v>
      </c>
      <c r="BG1272" s="166">
        <v>0</v>
      </c>
      <c r="BH1272" s="166">
        <v>0</v>
      </c>
      <c r="BI1272" s="166">
        <v>0</v>
      </c>
      <c r="BJ1272" s="166">
        <v>0</v>
      </c>
      <c r="BK1272" s="166">
        <v>0</v>
      </c>
      <c r="BL1272" s="166">
        <v>0</v>
      </c>
      <c r="BM1272" s="166">
        <v>0</v>
      </c>
      <c r="BN1272" s="166">
        <v>0</v>
      </c>
      <c r="BO1272" s="166">
        <v>0</v>
      </c>
      <c r="BP1272" s="166">
        <v>0</v>
      </c>
      <c r="BQ1272" s="81" t="s">
        <v>1757</v>
      </c>
      <c r="BZ1272" s="81" t="s">
        <v>155</v>
      </c>
      <c r="CA1272" s="81">
        <v>10</v>
      </c>
      <c r="CC1272" s="167">
        <v>0</v>
      </c>
      <c r="CD1272" s="167">
        <v>0</v>
      </c>
      <c r="CE1272" s="167">
        <v>0</v>
      </c>
      <c r="CF1272" s="167">
        <v>0</v>
      </c>
      <c r="CG1272" s="167">
        <v>0</v>
      </c>
      <c r="CH1272" s="167">
        <f>$N1272/3</f>
        <v>0.33333333333333331</v>
      </c>
      <c r="CI1272" s="167">
        <f>$N1272/3</f>
        <v>0.33333333333333331</v>
      </c>
      <c r="CJ1272" s="167">
        <f>$N1272/3</f>
        <v>0.33333333333333331</v>
      </c>
      <c r="CK1272" s="167">
        <v>0</v>
      </c>
      <c r="CL1272" s="167">
        <v>0</v>
      </c>
      <c r="CM1272" s="167">
        <v>0</v>
      </c>
      <c r="CN1272" s="167">
        <v>0</v>
      </c>
      <c r="CO1272" s="167">
        <v>0</v>
      </c>
      <c r="CP1272" s="167">
        <v>0</v>
      </c>
      <c r="CQ1272" s="167">
        <v>0</v>
      </c>
      <c r="CR1272" s="167">
        <v>0</v>
      </c>
      <c r="CS1272" s="167">
        <v>0</v>
      </c>
      <c r="CT1272" s="167">
        <v>0</v>
      </c>
      <c r="CU1272" s="167">
        <v>0</v>
      </c>
      <c r="CV1272" s="167">
        <v>0</v>
      </c>
      <c r="CW1272" s="167">
        <v>0</v>
      </c>
      <c r="CX1272" s="167">
        <f>SUM(CD1272:CH1272)</f>
        <v>0.33333333333333331</v>
      </c>
      <c r="CY1272" s="167">
        <f>SUM(CD1272:CM1272)</f>
        <v>1</v>
      </c>
    </row>
    <row r="1273" spans="1:103" ht="12.75" customHeight="1" x14ac:dyDescent="0.2">
      <c r="A1273" s="81">
        <v>6653</v>
      </c>
      <c r="B1273" s="165" t="s">
        <v>1955</v>
      </c>
      <c r="C1273" s="165" t="s">
        <v>2197</v>
      </c>
      <c r="E1273" s="165" t="s">
        <v>2198</v>
      </c>
      <c r="G1273" s="81">
        <v>527197</v>
      </c>
      <c r="H1273" s="81">
        <v>171575</v>
      </c>
      <c r="I1273" s="165" t="s">
        <v>242</v>
      </c>
      <c r="L1273" s="166">
        <v>1</v>
      </c>
      <c r="M1273" s="166">
        <v>4</v>
      </c>
      <c r="N1273" s="166">
        <v>3</v>
      </c>
      <c r="O1273" s="166">
        <v>4</v>
      </c>
      <c r="P1273" s="166">
        <v>3</v>
      </c>
      <c r="R1273" s="165" t="s">
        <v>2199</v>
      </c>
      <c r="S1273" s="81" t="s">
        <v>121</v>
      </c>
      <c r="T1273" s="349">
        <v>43118</v>
      </c>
      <c r="W1273" s="81" t="s">
        <v>114</v>
      </c>
      <c r="Y1273" s="81" t="s">
        <v>115</v>
      </c>
      <c r="Z1273" s="81" t="s">
        <v>119</v>
      </c>
      <c r="AA1273" s="81" t="s">
        <v>117</v>
      </c>
      <c r="AB1273" s="81" t="s">
        <v>120</v>
      </c>
      <c r="AC1273" s="166">
        <v>2.0999999716877899E-2</v>
      </c>
      <c r="AG1273" s="81" t="s">
        <v>238</v>
      </c>
      <c r="AH1273" s="81" t="s">
        <v>118</v>
      </c>
      <c r="AK1273" s="166">
        <v>0</v>
      </c>
      <c r="AM1273" s="166">
        <v>0</v>
      </c>
      <c r="AO1273" s="166">
        <v>0</v>
      </c>
      <c r="AP1273" s="166">
        <v>2</v>
      </c>
      <c r="AQ1273" s="166">
        <v>1</v>
      </c>
      <c r="AR1273" s="166">
        <v>1</v>
      </c>
      <c r="AS1273" s="166">
        <v>0</v>
      </c>
      <c r="AT1273" s="166">
        <v>-1</v>
      </c>
      <c r="AU1273" s="166">
        <v>0</v>
      </c>
      <c r="AV1273" s="166">
        <v>0</v>
      </c>
      <c r="AW1273" s="166">
        <v>2</v>
      </c>
      <c r="AX1273" s="166">
        <v>1</v>
      </c>
      <c r="AY1273" s="166">
        <v>1</v>
      </c>
      <c r="AZ1273" s="166">
        <v>0</v>
      </c>
      <c r="BA1273" s="166">
        <v>0</v>
      </c>
      <c r="BB1273" s="166">
        <v>0</v>
      </c>
      <c r="BC1273" s="166">
        <v>0</v>
      </c>
      <c r="BD1273" s="166">
        <v>0</v>
      </c>
      <c r="BE1273" s="166">
        <v>0</v>
      </c>
      <c r="BF1273" s="166">
        <v>0</v>
      </c>
      <c r="BG1273" s="166">
        <v>0</v>
      </c>
      <c r="BH1273" s="166">
        <v>-1</v>
      </c>
      <c r="BI1273" s="166">
        <v>0</v>
      </c>
      <c r="BJ1273" s="166">
        <v>0</v>
      </c>
      <c r="BK1273" s="166">
        <v>0</v>
      </c>
      <c r="BL1273" s="166">
        <v>0</v>
      </c>
      <c r="BM1273" s="166">
        <v>0</v>
      </c>
      <c r="BN1273" s="166">
        <v>0</v>
      </c>
      <c r="BO1273" s="166">
        <v>0</v>
      </c>
      <c r="BP1273" s="166">
        <v>0</v>
      </c>
      <c r="BQ1273" s="81" t="s">
        <v>1757</v>
      </c>
      <c r="BZ1273" s="81" t="s">
        <v>3991</v>
      </c>
      <c r="CA1273" s="81">
        <v>15</v>
      </c>
      <c r="CB1273" s="165" t="s">
        <v>4006</v>
      </c>
      <c r="CC1273" s="167">
        <v>0</v>
      </c>
      <c r="CD1273" s="167">
        <v>0</v>
      </c>
      <c r="CE1273" s="167">
        <v>0</v>
      </c>
      <c r="CF1273" s="167">
        <v>0</v>
      </c>
      <c r="CG1273" s="167">
        <v>0</v>
      </c>
      <c r="CH1273" s="167">
        <v>0</v>
      </c>
      <c r="CI1273" s="167">
        <v>0</v>
      </c>
      <c r="CJ1273" s="167">
        <v>0</v>
      </c>
      <c r="CK1273" s="167">
        <v>0</v>
      </c>
      <c r="CL1273" s="167">
        <v>0</v>
      </c>
      <c r="CM1273" s="167">
        <v>0</v>
      </c>
      <c r="CN1273" s="167">
        <v>0</v>
      </c>
      <c r="CO1273" s="167">
        <v>0</v>
      </c>
      <c r="CP1273" s="167">
        <v>0</v>
      </c>
      <c r="CQ1273" s="167">
        <v>0</v>
      </c>
      <c r="CR1273" s="167">
        <v>0</v>
      </c>
      <c r="CS1273" s="167">
        <v>0</v>
      </c>
      <c r="CT1273" s="167">
        <v>0</v>
      </c>
      <c r="CU1273" s="167">
        <v>0</v>
      </c>
      <c r="CV1273" s="167">
        <v>0</v>
      </c>
      <c r="CW1273" s="167">
        <v>0</v>
      </c>
      <c r="CX1273" s="167">
        <f>SUM(CD1273:CH1273)</f>
        <v>0</v>
      </c>
      <c r="CY1273" s="167">
        <f>SUM(CD1273:CM1273)</f>
        <v>0</v>
      </c>
    </row>
    <row r="1274" spans="1:103" ht="12.75" customHeight="1" x14ac:dyDescent="0.2">
      <c r="A1274" s="81">
        <v>6657</v>
      </c>
      <c r="B1274" s="165" t="s">
        <v>1955</v>
      </c>
      <c r="C1274" s="165" t="s">
        <v>2200</v>
      </c>
      <c r="D1274" s="165" t="s">
        <v>2201</v>
      </c>
      <c r="E1274" s="165" t="s">
        <v>2202</v>
      </c>
      <c r="G1274" s="81">
        <v>525999</v>
      </c>
      <c r="H1274" s="81">
        <v>173647</v>
      </c>
      <c r="I1274" s="165" t="s">
        <v>249</v>
      </c>
      <c r="L1274" s="166">
        <v>0</v>
      </c>
      <c r="M1274" s="166">
        <v>0</v>
      </c>
      <c r="N1274" s="166">
        <v>0</v>
      </c>
      <c r="O1274" s="166">
        <v>0</v>
      </c>
      <c r="P1274" s="166">
        <v>0</v>
      </c>
      <c r="R1274" s="165" t="s">
        <v>2203</v>
      </c>
      <c r="S1274" s="81" t="s">
        <v>121</v>
      </c>
      <c r="T1274" s="349">
        <v>42943</v>
      </c>
      <c r="W1274" s="81" t="s">
        <v>114</v>
      </c>
      <c r="Y1274" s="81" t="s">
        <v>115</v>
      </c>
      <c r="Z1274" s="81" t="s">
        <v>116</v>
      </c>
      <c r="AA1274" s="81" t="s">
        <v>116</v>
      </c>
      <c r="AB1274" s="81" t="s">
        <v>117</v>
      </c>
      <c r="AC1274" s="166">
        <v>0</v>
      </c>
      <c r="AG1274" s="81" t="s">
        <v>238</v>
      </c>
      <c r="AH1274" s="81" t="s">
        <v>118</v>
      </c>
      <c r="AK1274" s="166">
        <v>0</v>
      </c>
      <c r="AM1274" s="166">
        <v>0</v>
      </c>
      <c r="AO1274" s="166">
        <v>0</v>
      </c>
      <c r="AP1274" s="166">
        <v>0</v>
      </c>
      <c r="AQ1274" s="166">
        <v>0</v>
      </c>
      <c r="AR1274" s="166">
        <v>0</v>
      </c>
      <c r="AS1274" s="166">
        <v>0</v>
      </c>
      <c r="AT1274" s="166">
        <v>0</v>
      </c>
      <c r="AU1274" s="166">
        <v>0</v>
      </c>
      <c r="AV1274" s="166">
        <v>0</v>
      </c>
      <c r="AW1274" s="166">
        <v>0</v>
      </c>
      <c r="AX1274" s="166">
        <v>0</v>
      </c>
      <c r="AY1274" s="166">
        <v>0</v>
      </c>
      <c r="AZ1274" s="166">
        <v>0</v>
      </c>
      <c r="BA1274" s="166">
        <v>0</v>
      </c>
      <c r="BB1274" s="166">
        <v>0</v>
      </c>
      <c r="BC1274" s="166">
        <v>0</v>
      </c>
      <c r="BD1274" s="166">
        <v>0</v>
      </c>
      <c r="BE1274" s="166">
        <v>0</v>
      </c>
      <c r="BF1274" s="166">
        <v>0</v>
      </c>
      <c r="BG1274" s="166">
        <v>0</v>
      </c>
      <c r="BH1274" s="166">
        <v>0</v>
      </c>
      <c r="BI1274" s="166">
        <v>0</v>
      </c>
      <c r="BJ1274" s="166">
        <v>0</v>
      </c>
      <c r="BK1274" s="166">
        <v>0</v>
      </c>
      <c r="BL1274" s="166">
        <v>0</v>
      </c>
      <c r="BM1274" s="166">
        <v>0</v>
      </c>
      <c r="BN1274" s="166">
        <v>0</v>
      </c>
      <c r="BO1274" s="166">
        <v>0</v>
      </c>
      <c r="BP1274" s="166">
        <v>0</v>
      </c>
      <c r="BQ1274" s="81" t="s">
        <v>1758</v>
      </c>
      <c r="BZ1274" s="81" t="s">
        <v>155</v>
      </c>
      <c r="CA1274" s="81">
        <v>6</v>
      </c>
      <c r="CC1274" s="167">
        <v>0</v>
      </c>
      <c r="CD1274" s="167">
        <v>0</v>
      </c>
      <c r="CE1274" s="167">
        <v>0</v>
      </c>
      <c r="CF1274" s="167">
        <v>0</v>
      </c>
      <c r="CG1274" s="167">
        <v>0</v>
      </c>
      <c r="CH1274" s="167">
        <f>$N1274/3</f>
        <v>0</v>
      </c>
      <c r="CI1274" s="167">
        <f>$N1274/3</f>
        <v>0</v>
      </c>
      <c r="CJ1274" s="167">
        <f>$N1274/3</f>
        <v>0</v>
      </c>
      <c r="CK1274" s="167">
        <v>0</v>
      </c>
      <c r="CL1274" s="167">
        <v>0</v>
      </c>
      <c r="CM1274" s="167">
        <v>0</v>
      </c>
      <c r="CN1274" s="167">
        <v>0</v>
      </c>
      <c r="CO1274" s="167">
        <v>0</v>
      </c>
      <c r="CP1274" s="167">
        <v>0</v>
      </c>
      <c r="CQ1274" s="167">
        <v>0</v>
      </c>
      <c r="CR1274" s="167">
        <v>0</v>
      </c>
      <c r="CS1274" s="167">
        <v>0</v>
      </c>
      <c r="CT1274" s="167">
        <v>0</v>
      </c>
      <c r="CU1274" s="167">
        <v>0</v>
      </c>
      <c r="CV1274" s="167">
        <v>0</v>
      </c>
      <c r="CW1274" s="167">
        <v>0</v>
      </c>
      <c r="CX1274" s="167">
        <f>SUM(CD1274:CH1274)</f>
        <v>0</v>
      </c>
      <c r="CY1274" s="167">
        <f>SUM(CD1274:CM1274)</f>
        <v>0</v>
      </c>
    </row>
    <row r="1275" spans="1:103" ht="12.75" customHeight="1" x14ac:dyDescent="0.2">
      <c r="A1275" s="81">
        <v>6657</v>
      </c>
      <c r="B1275" s="165" t="s">
        <v>1955</v>
      </c>
      <c r="C1275" s="165" t="s">
        <v>2200</v>
      </c>
      <c r="D1275" s="165" t="s">
        <v>2201</v>
      </c>
      <c r="E1275" s="165" t="s">
        <v>2202</v>
      </c>
      <c r="G1275" s="81">
        <v>525999</v>
      </c>
      <c r="H1275" s="81">
        <v>173647</v>
      </c>
      <c r="I1275" s="165" t="s">
        <v>249</v>
      </c>
      <c r="L1275" s="166">
        <v>0</v>
      </c>
      <c r="M1275" s="166">
        <v>0</v>
      </c>
      <c r="N1275" s="166">
        <v>0</v>
      </c>
      <c r="O1275" s="166">
        <v>0</v>
      </c>
      <c r="P1275" s="166">
        <v>0</v>
      </c>
      <c r="R1275" s="165" t="s">
        <v>2203</v>
      </c>
      <c r="S1275" s="81" t="s">
        <v>121</v>
      </c>
      <c r="T1275" s="349">
        <v>42943</v>
      </c>
      <c r="W1275" s="81" t="s">
        <v>114</v>
      </c>
      <c r="Y1275" s="81" t="s">
        <v>115</v>
      </c>
      <c r="Z1275" s="81" t="s">
        <v>116</v>
      </c>
      <c r="AA1275" s="81" t="s">
        <v>116</v>
      </c>
      <c r="AB1275" s="81" t="s">
        <v>117</v>
      </c>
      <c r="AC1275" s="166">
        <v>0</v>
      </c>
      <c r="AG1275" s="81" t="s">
        <v>154</v>
      </c>
      <c r="AH1275" s="81" t="s">
        <v>276</v>
      </c>
      <c r="AK1275" s="166">
        <v>0</v>
      </c>
      <c r="AM1275" s="166">
        <v>0</v>
      </c>
      <c r="AO1275" s="166">
        <v>0</v>
      </c>
      <c r="AP1275" s="166">
        <v>0</v>
      </c>
      <c r="AQ1275" s="166">
        <v>0</v>
      </c>
      <c r="AR1275" s="166">
        <v>0</v>
      </c>
      <c r="AS1275" s="166">
        <v>0</v>
      </c>
      <c r="AT1275" s="166">
        <v>0</v>
      </c>
      <c r="AU1275" s="166">
        <v>0</v>
      </c>
      <c r="AV1275" s="166">
        <v>0</v>
      </c>
      <c r="AW1275" s="166">
        <v>0</v>
      </c>
      <c r="AX1275" s="166">
        <v>0</v>
      </c>
      <c r="AY1275" s="166">
        <v>0</v>
      </c>
      <c r="AZ1275" s="166">
        <v>0</v>
      </c>
      <c r="BA1275" s="166">
        <v>0</v>
      </c>
      <c r="BB1275" s="166">
        <v>0</v>
      </c>
      <c r="BC1275" s="166">
        <v>0</v>
      </c>
      <c r="BD1275" s="166">
        <v>0</v>
      </c>
      <c r="BE1275" s="166">
        <v>0</v>
      </c>
      <c r="BF1275" s="166">
        <v>0</v>
      </c>
      <c r="BG1275" s="166">
        <v>0</v>
      </c>
      <c r="BH1275" s="166">
        <v>0</v>
      </c>
      <c r="BI1275" s="166">
        <v>0</v>
      </c>
      <c r="BJ1275" s="166">
        <v>0</v>
      </c>
      <c r="BK1275" s="166">
        <v>0</v>
      </c>
      <c r="BL1275" s="166">
        <v>0</v>
      </c>
      <c r="BM1275" s="166">
        <v>0</v>
      </c>
      <c r="BN1275" s="166">
        <v>0</v>
      </c>
      <c r="BO1275" s="166">
        <v>0</v>
      </c>
      <c r="BP1275" s="166">
        <v>0</v>
      </c>
      <c r="BQ1275" s="81" t="s">
        <v>1758</v>
      </c>
      <c r="BZ1275" s="81" t="s">
        <v>155</v>
      </c>
      <c r="CA1275" s="81">
        <v>6</v>
      </c>
      <c r="CC1275" s="167">
        <v>0</v>
      </c>
      <c r="CD1275" s="167">
        <v>0</v>
      </c>
      <c r="CE1275" s="167">
        <v>0</v>
      </c>
      <c r="CF1275" s="167">
        <v>0</v>
      </c>
      <c r="CG1275" s="167">
        <v>0</v>
      </c>
      <c r="CH1275" s="167">
        <f>$N1275/3</f>
        <v>0</v>
      </c>
      <c r="CI1275" s="167">
        <f>$N1275/3</f>
        <v>0</v>
      </c>
      <c r="CJ1275" s="167">
        <f>$N1275/3</f>
        <v>0</v>
      </c>
      <c r="CK1275" s="167">
        <v>0</v>
      </c>
      <c r="CL1275" s="167">
        <v>0</v>
      </c>
      <c r="CM1275" s="167">
        <v>0</v>
      </c>
      <c r="CN1275" s="167">
        <v>0</v>
      </c>
      <c r="CO1275" s="167">
        <v>0</v>
      </c>
      <c r="CP1275" s="167">
        <v>0</v>
      </c>
      <c r="CQ1275" s="167">
        <v>0</v>
      </c>
      <c r="CR1275" s="167">
        <v>0</v>
      </c>
      <c r="CS1275" s="167">
        <v>0</v>
      </c>
      <c r="CT1275" s="167">
        <v>0</v>
      </c>
      <c r="CU1275" s="167">
        <v>0</v>
      </c>
      <c r="CV1275" s="167">
        <v>0</v>
      </c>
      <c r="CW1275" s="167">
        <v>0</v>
      </c>
      <c r="CX1275" s="167">
        <f>SUM(CD1275:CH1275)</f>
        <v>0</v>
      </c>
      <c r="CY1275" s="167">
        <f>SUM(CD1275:CM1275)</f>
        <v>0</v>
      </c>
    </row>
    <row r="1276" spans="1:103" ht="12.75" customHeight="1" x14ac:dyDescent="0.2">
      <c r="A1276" s="81">
        <v>6658</v>
      </c>
      <c r="B1276" s="165" t="s">
        <v>1955</v>
      </c>
      <c r="C1276" s="165" t="s">
        <v>2204</v>
      </c>
      <c r="E1276" s="165" t="s">
        <v>2205</v>
      </c>
      <c r="G1276" s="81">
        <v>528711</v>
      </c>
      <c r="H1276" s="81">
        <v>176946</v>
      </c>
      <c r="I1276" s="165" t="s">
        <v>240</v>
      </c>
      <c r="L1276" s="166">
        <v>6</v>
      </c>
      <c r="M1276" s="166">
        <v>8</v>
      </c>
      <c r="N1276" s="166">
        <v>2</v>
      </c>
      <c r="O1276" s="166">
        <v>8</v>
      </c>
      <c r="P1276" s="166">
        <v>2</v>
      </c>
      <c r="R1276" s="165" t="s">
        <v>2206</v>
      </c>
      <c r="S1276" s="81" t="s">
        <v>121</v>
      </c>
      <c r="T1276" s="349">
        <v>42942</v>
      </c>
      <c r="W1276" s="81" t="s">
        <v>114</v>
      </c>
      <c r="Y1276" s="81" t="s">
        <v>115</v>
      </c>
      <c r="Z1276" s="81" t="s">
        <v>398</v>
      </c>
      <c r="AA1276" s="81" t="s">
        <v>117</v>
      </c>
      <c r="AB1276" s="81" t="s">
        <v>220</v>
      </c>
      <c r="AC1276" s="166">
        <v>2.3000000044703501E-2</v>
      </c>
      <c r="AG1276" s="81" t="s">
        <v>238</v>
      </c>
      <c r="AH1276" s="81" t="s">
        <v>118</v>
      </c>
      <c r="AK1276" s="166">
        <v>0</v>
      </c>
      <c r="AM1276" s="166">
        <v>0</v>
      </c>
      <c r="AO1276" s="166">
        <v>1</v>
      </c>
      <c r="AP1276" s="166">
        <v>0</v>
      </c>
      <c r="AQ1276" s="166">
        <v>3</v>
      </c>
      <c r="AR1276" s="166">
        <v>-2</v>
      </c>
      <c r="AS1276" s="166">
        <v>0</v>
      </c>
      <c r="AT1276" s="166">
        <v>0</v>
      </c>
      <c r="AU1276" s="166">
        <v>0</v>
      </c>
      <c r="AV1276" s="166">
        <v>1</v>
      </c>
      <c r="AW1276" s="166">
        <v>0</v>
      </c>
      <c r="AX1276" s="166">
        <v>3</v>
      </c>
      <c r="AY1276" s="166">
        <v>-2</v>
      </c>
      <c r="AZ1276" s="166">
        <v>0</v>
      </c>
      <c r="BA1276" s="166">
        <v>0</v>
      </c>
      <c r="BB1276" s="166">
        <v>0</v>
      </c>
      <c r="BC1276" s="166">
        <v>0</v>
      </c>
      <c r="BD1276" s="166">
        <v>0</v>
      </c>
      <c r="BE1276" s="166">
        <v>0</v>
      </c>
      <c r="BF1276" s="166">
        <v>0</v>
      </c>
      <c r="BG1276" s="166">
        <v>0</v>
      </c>
      <c r="BH1276" s="166">
        <v>0</v>
      </c>
      <c r="BI1276" s="166">
        <v>0</v>
      </c>
      <c r="BJ1276" s="166">
        <v>0</v>
      </c>
      <c r="BK1276" s="166">
        <v>0</v>
      </c>
      <c r="BL1276" s="166">
        <v>0</v>
      </c>
      <c r="BM1276" s="166">
        <v>0</v>
      </c>
      <c r="BN1276" s="166">
        <v>0</v>
      </c>
      <c r="BO1276" s="166">
        <v>0</v>
      </c>
      <c r="BP1276" s="166">
        <v>0</v>
      </c>
      <c r="BQ1276" s="81" t="s">
        <v>1759</v>
      </c>
      <c r="BS1276" s="81" t="s">
        <v>155</v>
      </c>
      <c r="BZ1276" s="81" t="s">
        <v>155</v>
      </c>
      <c r="CA1276" s="81">
        <v>10</v>
      </c>
      <c r="CC1276" s="167">
        <v>0</v>
      </c>
      <c r="CD1276" s="167">
        <v>0</v>
      </c>
      <c r="CE1276" s="167">
        <v>0</v>
      </c>
      <c r="CF1276" s="167">
        <v>0</v>
      </c>
      <c r="CG1276" s="167">
        <v>0</v>
      </c>
      <c r="CH1276" s="167">
        <f>$N1276/3</f>
        <v>0.66666666666666663</v>
      </c>
      <c r="CI1276" s="167">
        <f>$N1276/3</f>
        <v>0.66666666666666663</v>
      </c>
      <c r="CJ1276" s="167">
        <f>$N1276/3</f>
        <v>0.66666666666666663</v>
      </c>
      <c r="CK1276" s="167">
        <v>0</v>
      </c>
      <c r="CL1276" s="167">
        <v>0</v>
      </c>
      <c r="CM1276" s="167">
        <v>0</v>
      </c>
      <c r="CN1276" s="167">
        <v>0</v>
      </c>
      <c r="CO1276" s="167">
        <v>0</v>
      </c>
      <c r="CP1276" s="167">
        <v>0</v>
      </c>
      <c r="CQ1276" s="167">
        <v>0</v>
      </c>
      <c r="CR1276" s="167">
        <v>0</v>
      </c>
      <c r="CS1276" s="167">
        <v>0</v>
      </c>
      <c r="CT1276" s="167">
        <v>0</v>
      </c>
      <c r="CU1276" s="167">
        <v>0</v>
      </c>
      <c r="CV1276" s="167">
        <v>0</v>
      </c>
      <c r="CW1276" s="167">
        <v>0</v>
      </c>
      <c r="CX1276" s="167">
        <f>SUM(CD1276:CH1276)</f>
        <v>0.66666666666666663</v>
      </c>
      <c r="CY1276" s="167">
        <f>SUM(CD1276:CM1276)</f>
        <v>2</v>
      </c>
    </row>
    <row r="1277" spans="1:103" ht="12.75" customHeight="1" x14ac:dyDescent="0.2">
      <c r="A1277" s="81">
        <v>6669</v>
      </c>
      <c r="B1277" s="165" t="s">
        <v>1955</v>
      </c>
      <c r="C1277" s="165" t="s">
        <v>2207</v>
      </c>
      <c r="E1277" s="165" t="s">
        <v>2208</v>
      </c>
      <c r="G1277" s="81">
        <v>527101</v>
      </c>
      <c r="H1277" s="81">
        <v>170989</v>
      </c>
      <c r="I1277" s="165" t="s">
        <v>242</v>
      </c>
      <c r="L1277" s="166">
        <v>0</v>
      </c>
      <c r="M1277" s="166">
        <v>1</v>
      </c>
      <c r="N1277" s="166">
        <v>1</v>
      </c>
      <c r="O1277" s="166">
        <v>1</v>
      </c>
      <c r="P1277" s="166">
        <v>1</v>
      </c>
      <c r="R1277" s="165" t="s">
        <v>2209</v>
      </c>
      <c r="S1277" s="81" t="s">
        <v>121</v>
      </c>
      <c r="T1277" s="349">
        <v>43174</v>
      </c>
      <c r="W1277" s="81" t="s">
        <v>114</v>
      </c>
      <c r="Y1277" s="81" t="s">
        <v>115</v>
      </c>
      <c r="Z1277" s="81" t="s">
        <v>116</v>
      </c>
      <c r="AA1277" s="81" t="s">
        <v>117</v>
      </c>
      <c r="AB1277" s="81" t="s">
        <v>218</v>
      </c>
      <c r="AC1277" s="166">
        <v>7.0000002160668399E-3</v>
      </c>
      <c r="AG1277" s="81" t="s">
        <v>238</v>
      </c>
      <c r="AH1277" s="81" t="s">
        <v>118</v>
      </c>
      <c r="AK1277" s="166">
        <v>0</v>
      </c>
      <c r="AM1277" s="166">
        <v>0</v>
      </c>
      <c r="AO1277" s="166">
        <v>0</v>
      </c>
      <c r="AP1277" s="166">
        <v>1</v>
      </c>
      <c r="AQ1277" s="166">
        <v>0</v>
      </c>
      <c r="AR1277" s="166">
        <v>0</v>
      </c>
      <c r="AS1277" s="166">
        <v>0</v>
      </c>
      <c r="AT1277" s="166">
        <v>0</v>
      </c>
      <c r="AU1277" s="166">
        <v>0</v>
      </c>
      <c r="AV1277" s="166">
        <v>0</v>
      </c>
      <c r="AW1277" s="166">
        <v>0</v>
      </c>
      <c r="AX1277" s="166">
        <v>0</v>
      </c>
      <c r="AY1277" s="166">
        <v>0</v>
      </c>
      <c r="AZ1277" s="166">
        <v>0</v>
      </c>
      <c r="BA1277" s="166">
        <v>0</v>
      </c>
      <c r="BB1277" s="166">
        <v>0</v>
      </c>
      <c r="BC1277" s="166">
        <v>0</v>
      </c>
      <c r="BD1277" s="166">
        <v>1</v>
      </c>
      <c r="BE1277" s="166">
        <v>0</v>
      </c>
      <c r="BF1277" s="166">
        <v>0</v>
      </c>
      <c r="BG1277" s="166">
        <v>0</v>
      </c>
      <c r="BH1277" s="166">
        <v>0</v>
      </c>
      <c r="BI1277" s="166">
        <v>0</v>
      </c>
      <c r="BJ1277" s="166">
        <v>0</v>
      </c>
      <c r="BK1277" s="166">
        <v>0</v>
      </c>
      <c r="BL1277" s="166">
        <v>0</v>
      </c>
      <c r="BM1277" s="166">
        <v>0</v>
      </c>
      <c r="BN1277" s="166">
        <v>0</v>
      </c>
      <c r="BO1277" s="166">
        <v>0</v>
      </c>
      <c r="BP1277" s="166">
        <v>0</v>
      </c>
      <c r="BQ1277" s="81" t="s">
        <v>1757</v>
      </c>
      <c r="BZ1277" s="81" t="s">
        <v>155</v>
      </c>
      <c r="CA1277" s="81">
        <v>6</v>
      </c>
      <c r="CC1277" s="167">
        <v>0</v>
      </c>
      <c r="CD1277" s="167">
        <v>0</v>
      </c>
      <c r="CE1277" s="167">
        <v>0</v>
      </c>
      <c r="CF1277" s="167">
        <v>0</v>
      </c>
      <c r="CG1277" s="167">
        <v>0</v>
      </c>
      <c r="CH1277" s="167">
        <f>$N1277/3</f>
        <v>0.33333333333333331</v>
      </c>
      <c r="CI1277" s="167">
        <f>$N1277/3</f>
        <v>0.33333333333333331</v>
      </c>
      <c r="CJ1277" s="167">
        <f>$N1277/3</f>
        <v>0.33333333333333331</v>
      </c>
      <c r="CK1277" s="167">
        <v>0</v>
      </c>
      <c r="CL1277" s="167">
        <v>0</v>
      </c>
      <c r="CM1277" s="167">
        <v>0</v>
      </c>
      <c r="CN1277" s="167">
        <v>0</v>
      </c>
      <c r="CO1277" s="167">
        <v>0</v>
      </c>
      <c r="CP1277" s="167">
        <v>0</v>
      </c>
      <c r="CQ1277" s="167">
        <v>0</v>
      </c>
      <c r="CR1277" s="167">
        <v>0</v>
      </c>
      <c r="CS1277" s="167">
        <v>0</v>
      </c>
      <c r="CT1277" s="167">
        <v>0</v>
      </c>
      <c r="CU1277" s="167">
        <v>0</v>
      </c>
      <c r="CV1277" s="167">
        <v>0</v>
      </c>
      <c r="CW1277" s="167">
        <v>0</v>
      </c>
      <c r="CX1277" s="167">
        <f>SUM(CD1277:CH1277)</f>
        <v>0.33333333333333331</v>
      </c>
      <c r="CY1277" s="167">
        <f>SUM(CD1277:CM1277)</f>
        <v>1</v>
      </c>
    </row>
    <row r="1278" spans="1:103" ht="12.75" customHeight="1" x14ac:dyDescent="0.2">
      <c r="A1278" s="81">
        <v>6694</v>
      </c>
      <c r="B1278" s="165" t="s">
        <v>1955</v>
      </c>
      <c r="C1278" s="165" t="s">
        <v>2210</v>
      </c>
      <c r="E1278" s="165" t="s">
        <v>2211</v>
      </c>
      <c r="G1278" s="81">
        <v>528424</v>
      </c>
      <c r="H1278" s="81">
        <v>173046</v>
      </c>
      <c r="I1278" s="165" t="s">
        <v>248</v>
      </c>
      <c r="L1278" s="166">
        <v>0</v>
      </c>
      <c r="M1278" s="166">
        <v>8</v>
      </c>
      <c r="N1278" s="166">
        <v>8</v>
      </c>
      <c r="O1278" s="166">
        <v>8</v>
      </c>
      <c r="P1278" s="166">
        <v>8</v>
      </c>
      <c r="R1278" s="165" t="s">
        <v>2212</v>
      </c>
      <c r="S1278" s="81" t="s">
        <v>296</v>
      </c>
      <c r="T1278" s="349">
        <v>42978</v>
      </c>
      <c r="U1278" s="349">
        <v>43063</v>
      </c>
      <c r="V1278" s="81" t="s">
        <v>155</v>
      </c>
      <c r="W1278" s="81" t="s">
        <v>365</v>
      </c>
      <c r="Y1278" s="81" t="s">
        <v>115</v>
      </c>
      <c r="Z1278" s="81" t="s">
        <v>116</v>
      </c>
      <c r="AA1278" s="81" t="s">
        <v>117</v>
      </c>
      <c r="AB1278" s="81" t="s">
        <v>218</v>
      </c>
      <c r="AC1278" s="166">
        <v>0.103000000119209</v>
      </c>
      <c r="AG1278" s="81" t="s">
        <v>238</v>
      </c>
      <c r="AH1278" s="81" t="s">
        <v>118</v>
      </c>
      <c r="AK1278" s="166">
        <v>0</v>
      </c>
      <c r="AM1278" s="166">
        <v>0</v>
      </c>
      <c r="AO1278" s="166">
        <v>0</v>
      </c>
      <c r="AP1278" s="166">
        <v>0</v>
      </c>
      <c r="AQ1278" s="166">
        <v>0</v>
      </c>
      <c r="AR1278" s="166">
        <v>8</v>
      </c>
      <c r="AS1278" s="166">
        <v>0</v>
      </c>
      <c r="AT1278" s="166">
        <v>0</v>
      </c>
      <c r="AU1278" s="166">
        <v>0</v>
      </c>
      <c r="AV1278" s="166">
        <v>0</v>
      </c>
      <c r="AW1278" s="166">
        <v>0</v>
      </c>
      <c r="AX1278" s="166">
        <v>0</v>
      </c>
      <c r="AY1278" s="166">
        <v>0</v>
      </c>
      <c r="AZ1278" s="166">
        <v>0</v>
      </c>
      <c r="BA1278" s="166">
        <v>0</v>
      </c>
      <c r="BB1278" s="166">
        <v>0</v>
      </c>
      <c r="BC1278" s="166">
        <v>0</v>
      </c>
      <c r="BD1278" s="166">
        <v>0</v>
      </c>
      <c r="BE1278" s="166">
        <v>0</v>
      </c>
      <c r="BF1278" s="166">
        <v>8</v>
      </c>
      <c r="BG1278" s="166">
        <v>0</v>
      </c>
      <c r="BH1278" s="166">
        <v>0</v>
      </c>
      <c r="BI1278" s="166">
        <v>0</v>
      </c>
      <c r="BJ1278" s="166">
        <v>0</v>
      </c>
      <c r="BK1278" s="166">
        <v>0</v>
      </c>
      <c r="BL1278" s="166">
        <v>0</v>
      </c>
      <c r="BM1278" s="166">
        <v>0</v>
      </c>
      <c r="BN1278" s="166">
        <v>0</v>
      </c>
      <c r="BO1278" s="166">
        <v>0</v>
      </c>
      <c r="BP1278" s="166">
        <v>0</v>
      </c>
      <c r="BQ1278" s="81" t="s">
        <v>1757</v>
      </c>
      <c r="BZ1278" s="81" t="s">
        <v>155</v>
      </c>
      <c r="CA1278" s="81">
        <v>6</v>
      </c>
      <c r="CC1278" s="167">
        <v>0</v>
      </c>
      <c r="CD1278" s="167">
        <v>0</v>
      </c>
      <c r="CE1278" s="167">
        <v>0</v>
      </c>
      <c r="CF1278" s="167">
        <v>0</v>
      </c>
      <c r="CG1278" s="167">
        <v>0</v>
      </c>
      <c r="CH1278" s="167">
        <f>$N1278/3</f>
        <v>2.6666666666666665</v>
      </c>
      <c r="CI1278" s="167">
        <f>$N1278/3</f>
        <v>2.6666666666666665</v>
      </c>
      <c r="CJ1278" s="167">
        <f>$N1278/3</f>
        <v>2.6666666666666665</v>
      </c>
      <c r="CK1278" s="167">
        <v>0</v>
      </c>
      <c r="CL1278" s="167">
        <v>0</v>
      </c>
      <c r="CM1278" s="167">
        <v>0</v>
      </c>
      <c r="CN1278" s="167">
        <v>0</v>
      </c>
      <c r="CO1278" s="167">
        <v>0</v>
      </c>
      <c r="CP1278" s="167">
        <v>0</v>
      </c>
      <c r="CQ1278" s="167">
        <v>0</v>
      </c>
      <c r="CR1278" s="167">
        <v>0</v>
      </c>
      <c r="CS1278" s="167">
        <v>0</v>
      </c>
      <c r="CT1278" s="167">
        <v>0</v>
      </c>
      <c r="CU1278" s="167">
        <v>0</v>
      </c>
      <c r="CV1278" s="167">
        <v>0</v>
      </c>
      <c r="CW1278" s="167">
        <v>0</v>
      </c>
      <c r="CX1278" s="167">
        <f>SUM(CD1278:CH1278)</f>
        <v>2.6666666666666665</v>
      </c>
      <c r="CY1278" s="167">
        <f>SUM(CD1278:CM1278)</f>
        <v>8</v>
      </c>
    </row>
    <row r="1279" spans="1:103" ht="12.75" customHeight="1" x14ac:dyDescent="0.2">
      <c r="A1279" s="81">
        <v>6702</v>
      </c>
      <c r="B1279" s="165" t="s">
        <v>1955</v>
      </c>
      <c r="C1279" s="165" t="s">
        <v>2213</v>
      </c>
      <c r="E1279" s="165" t="s">
        <v>2214</v>
      </c>
      <c r="G1279" s="81">
        <v>528318</v>
      </c>
      <c r="H1279" s="81">
        <v>175609</v>
      </c>
      <c r="I1279" s="165" t="s">
        <v>256</v>
      </c>
      <c r="L1279" s="166">
        <v>1</v>
      </c>
      <c r="M1279" s="166">
        <v>2</v>
      </c>
      <c r="N1279" s="166">
        <v>1</v>
      </c>
      <c r="O1279" s="166">
        <v>2</v>
      </c>
      <c r="P1279" s="166">
        <v>1</v>
      </c>
      <c r="R1279" s="165" t="s">
        <v>2215</v>
      </c>
      <c r="S1279" s="81" t="s">
        <v>121</v>
      </c>
      <c r="T1279" s="349">
        <v>43188</v>
      </c>
      <c r="W1279" s="81" t="s">
        <v>114</v>
      </c>
      <c r="Y1279" s="81" t="s">
        <v>115</v>
      </c>
      <c r="Z1279" s="81" t="s">
        <v>119</v>
      </c>
      <c r="AA1279" s="81" t="s">
        <v>117</v>
      </c>
      <c r="AB1279" s="81" t="s">
        <v>220</v>
      </c>
      <c r="AC1279" s="166">
        <v>2.19999998807907E-2</v>
      </c>
      <c r="AG1279" s="81" t="s">
        <v>238</v>
      </c>
      <c r="AH1279" s="81" t="s">
        <v>118</v>
      </c>
      <c r="AK1279" s="166">
        <v>0</v>
      </c>
      <c r="AM1279" s="166">
        <v>0</v>
      </c>
      <c r="AO1279" s="166">
        <v>0</v>
      </c>
      <c r="AP1279" s="166">
        <v>1</v>
      </c>
      <c r="AQ1279" s="166">
        <v>1</v>
      </c>
      <c r="AR1279" s="166">
        <v>-1</v>
      </c>
      <c r="AS1279" s="166">
        <v>0</v>
      </c>
      <c r="AT1279" s="166">
        <v>0</v>
      </c>
      <c r="AU1279" s="166">
        <v>0</v>
      </c>
      <c r="AV1279" s="166">
        <v>0</v>
      </c>
      <c r="AW1279" s="166">
        <v>1</v>
      </c>
      <c r="AX1279" s="166">
        <v>1</v>
      </c>
      <c r="AY1279" s="166">
        <v>-1</v>
      </c>
      <c r="AZ1279" s="166">
        <v>0</v>
      </c>
      <c r="BA1279" s="166">
        <v>0</v>
      </c>
      <c r="BB1279" s="166">
        <v>0</v>
      </c>
      <c r="BC1279" s="166">
        <v>0</v>
      </c>
      <c r="BD1279" s="166">
        <v>0</v>
      </c>
      <c r="BE1279" s="166">
        <v>0</v>
      </c>
      <c r="BF1279" s="166">
        <v>0</v>
      </c>
      <c r="BG1279" s="166">
        <v>0</v>
      </c>
      <c r="BH1279" s="166">
        <v>0</v>
      </c>
      <c r="BI1279" s="166">
        <v>0</v>
      </c>
      <c r="BJ1279" s="166">
        <v>0</v>
      </c>
      <c r="BK1279" s="166">
        <v>0</v>
      </c>
      <c r="BL1279" s="166">
        <v>0</v>
      </c>
      <c r="BM1279" s="166">
        <v>0</v>
      </c>
      <c r="BN1279" s="166">
        <v>0</v>
      </c>
      <c r="BO1279" s="166">
        <v>0</v>
      </c>
      <c r="BP1279" s="166">
        <v>0</v>
      </c>
      <c r="BQ1279" s="81" t="s">
        <v>1757</v>
      </c>
      <c r="BZ1279" s="81" t="s">
        <v>155</v>
      </c>
      <c r="CA1279" s="81">
        <v>10</v>
      </c>
      <c r="CC1279" s="167">
        <v>0</v>
      </c>
      <c r="CD1279" s="167">
        <v>0</v>
      </c>
      <c r="CE1279" s="167">
        <v>0</v>
      </c>
      <c r="CF1279" s="167">
        <v>0</v>
      </c>
      <c r="CG1279" s="167">
        <v>0</v>
      </c>
      <c r="CH1279" s="167">
        <f>$N1279/3</f>
        <v>0.33333333333333331</v>
      </c>
      <c r="CI1279" s="167">
        <f>$N1279/3</f>
        <v>0.33333333333333331</v>
      </c>
      <c r="CJ1279" s="167">
        <f>$N1279/3</f>
        <v>0.33333333333333331</v>
      </c>
      <c r="CK1279" s="167">
        <v>0</v>
      </c>
      <c r="CL1279" s="167">
        <v>0</v>
      </c>
      <c r="CM1279" s="167">
        <v>0</v>
      </c>
      <c r="CN1279" s="167">
        <v>0</v>
      </c>
      <c r="CO1279" s="167">
        <v>0</v>
      </c>
      <c r="CP1279" s="167">
        <v>0</v>
      </c>
      <c r="CQ1279" s="167">
        <v>0</v>
      </c>
      <c r="CR1279" s="167">
        <v>0</v>
      </c>
      <c r="CS1279" s="167">
        <v>0</v>
      </c>
      <c r="CT1279" s="167">
        <v>0</v>
      </c>
      <c r="CU1279" s="167">
        <v>0</v>
      </c>
      <c r="CV1279" s="167">
        <v>0</v>
      </c>
      <c r="CW1279" s="167">
        <v>0</v>
      </c>
      <c r="CX1279" s="167">
        <f>SUM(CD1279:CH1279)</f>
        <v>0.33333333333333331</v>
      </c>
      <c r="CY1279" s="167">
        <f>SUM(CD1279:CM1279)</f>
        <v>1</v>
      </c>
    </row>
    <row r="1280" spans="1:103" ht="12.75" customHeight="1" x14ac:dyDescent="0.2">
      <c r="A1280" s="81">
        <v>6706</v>
      </c>
      <c r="B1280" s="165" t="s">
        <v>1955</v>
      </c>
      <c r="C1280" s="165" t="s">
        <v>2216</v>
      </c>
      <c r="E1280" s="165" t="s">
        <v>2217</v>
      </c>
      <c r="G1280" s="81">
        <v>527445</v>
      </c>
      <c r="H1280" s="81">
        <v>171523</v>
      </c>
      <c r="I1280" s="165" t="s">
        <v>242</v>
      </c>
      <c r="L1280" s="166">
        <v>0</v>
      </c>
      <c r="M1280" s="166">
        <v>3</v>
      </c>
      <c r="N1280" s="166">
        <v>3</v>
      </c>
      <c r="O1280" s="166">
        <v>3</v>
      </c>
      <c r="P1280" s="166">
        <v>3</v>
      </c>
      <c r="R1280" s="165" t="s">
        <v>2218</v>
      </c>
      <c r="S1280" s="81" t="s">
        <v>121</v>
      </c>
      <c r="T1280" s="349">
        <v>43021</v>
      </c>
      <c r="W1280" s="81" t="s">
        <v>114</v>
      </c>
      <c r="Y1280" s="81" t="s">
        <v>115</v>
      </c>
      <c r="Z1280" s="81" t="s">
        <v>398</v>
      </c>
      <c r="AA1280" s="81" t="s">
        <v>117</v>
      </c>
      <c r="AB1280" s="81" t="s">
        <v>218</v>
      </c>
      <c r="AC1280" s="166">
        <v>1.2000000104308101E-2</v>
      </c>
      <c r="AG1280" s="81" t="s">
        <v>238</v>
      </c>
      <c r="AH1280" s="81" t="s">
        <v>118</v>
      </c>
      <c r="AK1280" s="166">
        <v>0</v>
      </c>
      <c r="AM1280" s="166">
        <v>0</v>
      </c>
      <c r="AO1280" s="166">
        <v>2</v>
      </c>
      <c r="AP1280" s="166">
        <v>1</v>
      </c>
      <c r="AQ1280" s="166">
        <v>0</v>
      </c>
      <c r="AR1280" s="166">
        <v>0</v>
      </c>
      <c r="AS1280" s="166">
        <v>0</v>
      </c>
      <c r="AT1280" s="166">
        <v>0</v>
      </c>
      <c r="AU1280" s="166">
        <v>0</v>
      </c>
      <c r="AV1280" s="166">
        <v>2</v>
      </c>
      <c r="AW1280" s="166">
        <v>1</v>
      </c>
      <c r="AX1280" s="166">
        <v>0</v>
      </c>
      <c r="AY1280" s="166">
        <v>0</v>
      </c>
      <c r="AZ1280" s="166">
        <v>0</v>
      </c>
      <c r="BA1280" s="166">
        <v>0</v>
      </c>
      <c r="BB1280" s="166">
        <v>0</v>
      </c>
      <c r="BC1280" s="166">
        <v>0</v>
      </c>
      <c r="BD1280" s="166">
        <v>0</v>
      </c>
      <c r="BE1280" s="166">
        <v>0</v>
      </c>
      <c r="BF1280" s="166">
        <v>0</v>
      </c>
      <c r="BG1280" s="166">
        <v>0</v>
      </c>
      <c r="BH1280" s="166">
        <v>0</v>
      </c>
      <c r="BI1280" s="166">
        <v>0</v>
      </c>
      <c r="BJ1280" s="166">
        <v>0</v>
      </c>
      <c r="BK1280" s="166">
        <v>0</v>
      </c>
      <c r="BL1280" s="166">
        <v>0</v>
      </c>
      <c r="BM1280" s="166">
        <v>0</v>
      </c>
      <c r="BN1280" s="166">
        <v>0</v>
      </c>
      <c r="BO1280" s="166">
        <v>0</v>
      </c>
      <c r="BP1280" s="166">
        <v>0</v>
      </c>
      <c r="BQ1280" s="81" t="s">
        <v>1757</v>
      </c>
      <c r="BR1280" s="81" t="s">
        <v>242</v>
      </c>
      <c r="BZ1280" s="81" t="s">
        <v>155</v>
      </c>
      <c r="CA1280" s="81">
        <v>10</v>
      </c>
      <c r="CC1280" s="167">
        <v>0</v>
      </c>
      <c r="CD1280" s="167">
        <v>0</v>
      </c>
      <c r="CE1280" s="167">
        <v>0</v>
      </c>
      <c r="CF1280" s="167">
        <v>0</v>
      </c>
      <c r="CG1280" s="167">
        <v>0</v>
      </c>
      <c r="CH1280" s="167">
        <f>$N1280/3</f>
        <v>1</v>
      </c>
      <c r="CI1280" s="167">
        <f>$N1280/3</f>
        <v>1</v>
      </c>
      <c r="CJ1280" s="167">
        <f>$N1280/3</f>
        <v>1</v>
      </c>
      <c r="CK1280" s="167">
        <v>0</v>
      </c>
      <c r="CL1280" s="167">
        <v>0</v>
      </c>
      <c r="CM1280" s="167">
        <v>0</v>
      </c>
      <c r="CN1280" s="167">
        <v>0</v>
      </c>
      <c r="CO1280" s="167">
        <v>0</v>
      </c>
      <c r="CP1280" s="167">
        <v>0</v>
      </c>
      <c r="CQ1280" s="167">
        <v>0</v>
      </c>
      <c r="CR1280" s="167">
        <v>0</v>
      </c>
      <c r="CS1280" s="167">
        <v>0</v>
      </c>
      <c r="CT1280" s="167">
        <v>0</v>
      </c>
      <c r="CU1280" s="167">
        <v>0</v>
      </c>
      <c r="CV1280" s="167">
        <v>0</v>
      </c>
      <c r="CW1280" s="167">
        <v>0</v>
      </c>
      <c r="CX1280" s="167">
        <f>SUM(CD1280:CH1280)</f>
        <v>1</v>
      </c>
      <c r="CY1280" s="167">
        <f>SUM(CD1280:CM1280)</f>
        <v>3</v>
      </c>
    </row>
    <row r="1281" spans="1:103" ht="12.75" customHeight="1" x14ac:dyDescent="0.2">
      <c r="A1281" s="81">
        <v>6708</v>
      </c>
      <c r="B1281" s="165" t="s">
        <v>1955</v>
      </c>
      <c r="C1281" s="165" t="s">
        <v>2219</v>
      </c>
      <c r="E1281" s="165" t="s">
        <v>2220</v>
      </c>
      <c r="G1281" s="81">
        <v>528037</v>
      </c>
      <c r="H1281" s="81">
        <v>172489</v>
      </c>
      <c r="I1281" s="165" t="s">
        <v>254</v>
      </c>
      <c r="L1281" s="166">
        <v>1</v>
      </c>
      <c r="M1281" s="166">
        <v>2</v>
      </c>
      <c r="N1281" s="166">
        <v>1</v>
      </c>
      <c r="O1281" s="166">
        <v>2</v>
      </c>
      <c r="P1281" s="166">
        <v>1</v>
      </c>
      <c r="R1281" s="165" t="s">
        <v>2221</v>
      </c>
      <c r="S1281" s="81" t="s">
        <v>126</v>
      </c>
      <c r="T1281" s="349">
        <v>43147</v>
      </c>
      <c r="W1281" s="81" t="s">
        <v>114</v>
      </c>
      <c r="Y1281" s="81" t="s">
        <v>115</v>
      </c>
      <c r="Z1281" s="81" t="s">
        <v>119</v>
      </c>
      <c r="AA1281" s="81" t="s">
        <v>117</v>
      </c>
      <c r="AB1281" s="81" t="s">
        <v>120</v>
      </c>
      <c r="AC1281" s="166">
        <v>1.4000000432133701E-2</v>
      </c>
      <c r="AG1281" s="81" t="s">
        <v>238</v>
      </c>
      <c r="AH1281" s="81" t="s">
        <v>118</v>
      </c>
      <c r="AK1281" s="166">
        <v>0</v>
      </c>
      <c r="AM1281" s="166">
        <v>0</v>
      </c>
      <c r="AO1281" s="166">
        <v>0</v>
      </c>
      <c r="AP1281" s="166">
        <v>2</v>
      </c>
      <c r="AQ1281" s="166">
        <v>0</v>
      </c>
      <c r="AR1281" s="166">
        <v>-1</v>
      </c>
      <c r="AS1281" s="166">
        <v>0</v>
      </c>
      <c r="AT1281" s="166">
        <v>0</v>
      </c>
      <c r="AU1281" s="166">
        <v>0</v>
      </c>
      <c r="AV1281" s="166">
        <v>0</v>
      </c>
      <c r="AW1281" s="166">
        <v>2</v>
      </c>
      <c r="AX1281" s="166">
        <v>0</v>
      </c>
      <c r="AY1281" s="166">
        <v>0</v>
      </c>
      <c r="AZ1281" s="166">
        <v>0</v>
      </c>
      <c r="BA1281" s="166">
        <v>0</v>
      </c>
      <c r="BB1281" s="166">
        <v>0</v>
      </c>
      <c r="BC1281" s="166">
        <v>0</v>
      </c>
      <c r="BD1281" s="166">
        <v>0</v>
      </c>
      <c r="BE1281" s="166">
        <v>0</v>
      </c>
      <c r="BF1281" s="166">
        <v>-1</v>
      </c>
      <c r="BG1281" s="166">
        <v>0</v>
      </c>
      <c r="BH1281" s="166">
        <v>0</v>
      </c>
      <c r="BI1281" s="166">
        <v>0</v>
      </c>
      <c r="BJ1281" s="166">
        <v>0</v>
      </c>
      <c r="BK1281" s="166">
        <v>0</v>
      </c>
      <c r="BL1281" s="166">
        <v>0</v>
      </c>
      <c r="BM1281" s="166">
        <v>0</v>
      </c>
      <c r="BN1281" s="166">
        <v>0</v>
      </c>
      <c r="BO1281" s="166">
        <v>0</v>
      </c>
      <c r="BP1281" s="166">
        <v>0</v>
      </c>
      <c r="BQ1281" s="81" t="s">
        <v>1757</v>
      </c>
      <c r="BZ1281" s="81" t="s">
        <v>155</v>
      </c>
      <c r="CA1281" s="81">
        <v>10</v>
      </c>
      <c r="CC1281" s="167">
        <v>0</v>
      </c>
      <c r="CD1281" s="167">
        <v>0</v>
      </c>
      <c r="CE1281" s="167">
        <v>0</v>
      </c>
      <c r="CF1281" s="167">
        <v>0</v>
      </c>
      <c r="CG1281" s="167">
        <v>0</v>
      </c>
      <c r="CH1281" s="167">
        <f>$N1281/3</f>
        <v>0.33333333333333331</v>
      </c>
      <c r="CI1281" s="167">
        <f>$N1281/3</f>
        <v>0.33333333333333331</v>
      </c>
      <c r="CJ1281" s="167">
        <f>$N1281/3</f>
        <v>0.33333333333333331</v>
      </c>
      <c r="CK1281" s="167">
        <v>0</v>
      </c>
      <c r="CL1281" s="167">
        <v>0</v>
      </c>
      <c r="CM1281" s="167">
        <v>0</v>
      </c>
      <c r="CN1281" s="167">
        <v>0</v>
      </c>
      <c r="CO1281" s="167">
        <v>0</v>
      </c>
      <c r="CP1281" s="167">
        <v>0</v>
      </c>
      <c r="CQ1281" s="167">
        <v>0</v>
      </c>
      <c r="CR1281" s="167">
        <v>0</v>
      </c>
      <c r="CS1281" s="167">
        <v>0</v>
      </c>
      <c r="CT1281" s="167">
        <v>0</v>
      </c>
      <c r="CU1281" s="167">
        <v>0</v>
      </c>
      <c r="CV1281" s="167">
        <v>0</v>
      </c>
      <c r="CW1281" s="167">
        <v>0</v>
      </c>
      <c r="CX1281" s="167">
        <f>SUM(CD1281:CH1281)</f>
        <v>0.33333333333333331</v>
      </c>
      <c r="CY1281" s="167">
        <f>SUM(CD1281:CM1281)</f>
        <v>1</v>
      </c>
    </row>
    <row r="1282" spans="1:103" ht="12.75" customHeight="1" x14ac:dyDescent="0.2">
      <c r="A1282" s="81">
        <v>6714</v>
      </c>
      <c r="B1282" s="165" t="s">
        <v>1955</v>
      </c>
      <c r="C1282" s="165" t="s">
        <v>2222</v>
      </c>
      <c r="E1282" s="165" t="s">
        <v>2223</v>
      </c>
      <c r="G1282" s="81">
        <v>527984</v>
      </c>
      <c r="H1282" s="81">
        <v>172301</v>
      </c>
      <c r="I1282" s="165" t="s">
        <v>248</v>
      </c>
      <c r="L1282" s="166">
        <v>1</v>
      </c>
      <c r="M1282" s="166">
        <v>4</v>
      </c>
      <c r="N1282" s="166">
        <v>3</v>
      </c>
      <c r="O1282" s="166">
        <v>4</v>
      </c>
      <c r="P1282" s="166">
        <v>3</v>
      </c>
      <c r="R1282" s="165" t="s">
        <v>2224</v>
      </c>
      <c r="S1282" s="81" t="s">
        <v>121</v>
      </c>
      <c r="T1282" s="349">
        <v>43006</v>
      </c>
      <c r="W1282" s="81" t="s">
        <v>114</v>
      </c>
      <c r="Y1282" s="81" t="s">
        <v>115</v>
      </c>
      <c r="Z1282" s="81" t="s">
        <v>398</v>
      </c>
      <c r="AA1282" s="81" t="s">
        <v>117</v>
      </c>
      <c r="AB1282" s="81" t="s">
        <v>220</v>
      </c>
      <c r="AC1282" s="166">
        <v>6.0000000521540598E-3</v>
      </c>
      <c r="AG1282" s="81" t="s">
        <v>238</v>
      </c>
      <c r="AH1282" s="81" t="s">
        <v>118</v>
      </c>
      <c r="AK1282" s="166">
        <v>0</v>
      </c>
      <c r="AM1282" s="166">
        <v>0</v>
      </c>
      <c r="AO1282" s="166">
        <v>1</v>
      </c>
      <c r="AP1282" s="166">
        <v>3</v>
      </c>
      <c r="AQ1282" s="166">
        <v>0</v>
      </c>
      <c r="AR1282" s="166">
        <v>-1</v>
      </c>
      <c r="AS1282" s="166">
        <v>0</v>
      </c>
      <c r="AT1282" s="166">
        <v>0</v>
      </c>
      <c r="AU1282" s="166">
        <v>0</v>
      </c>
      <c r="AV1282" s="166">
        <v>1</v>
      </c>
      <c r="AW1282" s="166">
        <v>3</v>
      </c>
      <c r="AX1282" s="166">
        <v>0</v>
      </c>
      <c r="AY1282" s="166">
        <v>-1</v>
      </c>
      <c r="AZ1282" s="166">
        <v>0</v>
      </c>
      <c r="BA1282" s="166">
        <v>0</v>
      </c>
      <c r="BB1282" s="166">
        <v>0</v>
      </c>
      <c r="BC1282" s="166">
        <v>0</v>
      </c>
      <c r="BD1282" s="166">
        <v>0</v>
      </c>
      <c r="BE1282" s="166">
        <v>0</v>
      </c>
      <c r="BF1282" s="166">
        <v>0</v>
      </c>
      <c r="BG1282" s="166">
        <v>0</v>
      </c>
      <c r="BH1282" s="166">
        <v>0</v>
      </c>
      <c r="BI1282" s="166">
        <v>0</v>
      </c>
      <c r="BJ1282" s="166">
        <v>0</v>
      </c>
      <c r="BK1282" s="166">
        <v>0</v>
      </c>
      <c r="BL1282" s="166">
        <v>0</v>
      </c>
      <c r="BM1282" s="166">
        <v>0</v>
      </c>
      <c r="BN1282" s="166">
        <v>0</v>
      </c>
      <c r="BO1282" s="166">
        <v>0</v>
      </c>
      <c r="BP1282" s="166">
        <v>0</v>
      </c>
      <c r="BQ1282" s="81" t="s">
        <v>1757</v>
      </c>
      <c r="BZ1282" s="81" t="s">
        <v>155</v>
      </c>
      <c r="CA1282" s="81">
        <v>10</v>
      </c>
      <c r="CC1282" s="167">
        <v>0</v>
      </c>
      <c r="CD1282" s="167">
        <v>0</v>
      </c>
      <c r="CE1282" s="167">
        <v>0</v>
      </c>
      <c r="CF1282" s="167">
        <v>0</v>
      </c>
      <c r="CG1282" s="167">
        <v>0</v>
      </c>
      <c r="CH1282" s="167">
        <f>$N1282/3</f>
        <v>1</v>
      </c>
      <c r="CI1282" s="167">
        <f>$N1282/3</f>
        <v>1</v>
      </c>
      <c r="CJ1282" s="167">
        <f>$N1282/3</f>
        <v>1</v>
      </c>
      <c r="CK1282" s="167">
        <v>0</v>
      </c>
      <c r="CL1282" s="167">
        <v>0</v>
      </c>
      <c r="CM1282" s="167">
        <v>0</v>
      </c>
      <c r="CN1282" s="167">
        <v>0</v>
      </c>
      <c r="CO1282" s="167">
        <v>0</v>
      </c>
      <c r="CP1282" s="167">
        <v>0</v>
      </c>
      <c r="CQ1282" s="167">
        <v>0</v>
      </c>
      <c r="CR1282" s="167">
        <v>0</v>
      </c>
      <c r="CS1282" s="167">
        <v>0</v>
      </c>
      <c r="CT1282" s="167">
        <v>0</v>
      </c>
      <c r="CU1282" s="167">
        <v>0</v>
      </c>
      <c r="CV1282" s="167">
        <v>0</v>
      </c>
      <c r="CW1282" s="167">
        <v>0</v>
      </c>
      <c r="CX1282" s="167">
        <f>SUM(CD1282:CH1282)</f>
        <v>1</v>
      </c>
      <c r="CY1282" s="167">
        <f>SUM(CD1282:CM1282)</f>
        <v>3</v>
      </c>
    </row>
    <row r="1283" spans="1:103" ht="12.75" customHeight="1" x14ac:dyDescent="0.2">
      <c r="A1283" s="81">
        <v>6715</v>
      </c>
      <c r="B1283" s="165" t="s">
        <v>1955</v>
      </c>
      <c r="C1283" s="165" t="s">
        <v>2225</v>
      </c>
      <c r="E1283" s="165" t="s">
        <v>2226</v>
      </c>
      <c r="G1283" s="81">
        <v>527859</v>
      </c>
      <c r="H1283" s="81">
        <v>174269</v>
      </c>
      <c r="I1283" s="165" t="s">
        <v>255</v>
      </c>
      <c r="L1283" s="166">
        <v>0</v>
      </c>
      <c r="M1283" s="166">
        <v>1</v>
      </c>
      <c r="N1283" s="166">
        <v>1</v>
      </c>
      <c r="O1283" s="166">
        <v>1</v>
      </c>
      <c r="P1283" s="166">
        <v>1</v>
      </c>
      <c r="R1283" s="165" t="s">
        <v>2227</v>
      </c>
      <c r="S1283" s="81" t="s">
        <v>296</v>
      </c>
      <c r="T1283" s="349">
        <v>43026</v>
      </c>
      <c r="U1283" s="349">
        <v>43158</v>
      </c>
      <c r="V1283" s="81" t="s">
        <v>155</v>
      </c>
      <c r="W1283" s="81" t="s">
        <v>365</v>
      </c>
      <c r="Y1283" s="81" t="s">
        <v>115</v>
      </c>
      <c r="Z1283" s="81" t="s">
        <v>398</v>
      </c>
      <c r="AA1283" s="81" t="s">
        <v>117</v>
      </c>
      <c r="AB1283" s="81" t="s">
        <v>218</v>
      </c>
      <c r="AC1283" s="166">
        <v>8.0000003799796104E-3</v>
      </c>
      <c r="AG1283" s="81" t="s">
        <v>238</v>
      </c>
      <c r="AH1283" s="81" t="s">
        <v>118</v>
      </c>
      <c r="AK1283" s="166">
        <v>0</v>
      </c>
      <c r="AM1283" s="166">
        <v>0</v>
      </c>
      <c r="AO1283" s="166">
        <v>0</v>
      </c>
      <c r="AP1283" s="166">
        <v>0</v>
      </c>
      <c r="AQ1283" s="166">
        <v>1</v>
      </c>
      <c r="AR1283" s="166">
        <v>0</v>
      </c>
      <c r="AS1283" s="166">
        <v>0</v>
      </c>
      <c r="AT1283" s="166">
        <v>0</v>
      </c>
      <c r="AU1283" s="166">
        <v>0</v>
      </c>
      <c r="AV1283" s="166">
        <v>0</v>
      </c>
      <c r="AW1283" s="166">
        <v>0</v>
      </c>
      <c r="AX1283" s="166">
        <v>1</v>
      </c>
      <c r="AY1283" s="166">
        <v>0</v>
      </c>
      <c r="AZ1283" s="166">
        <v>0</v>
      </c>
      <c r="BA1283" s="166">
        <v>0</v>
      </c>
      <c r="BB1283" s="166">
        <v>0</v>
      </c>
      <c r="BC1283" s="166">
        <v>0</v>
      </c>
      <c r="BD1283" s="166">
        <v>0</v>
      </c>
      <c r="BE1283" s="166">
        <v>0</v>
      </c>
      <c r="BF1283" s="166">
        <v>0</v>
      </c>
      <c r="BG1283" s="166">
        <v>0</v>
      </c>
      <c r="BH1283" s="166">
        <v>0</v>
      </c>
      <c r="BI1283" s="166">
        <v>0</v>
      </c>
      <c r="BJ1283" s="166">
        <v>0</v>
      </c>
      <c r="BK1283" s="166">
        <v>0</v>
      </c>
      <c r="BL1283" s="166">
        <v>0</v>
      </c>
      <c r="BM1283" s="166">
        <v>0</v>
      </c>
      <c r="BN1283" s="166">
        <v>0</v>
      </c>
      <c r="BO1283" s="166">
        <v>0</v>
      </c>
      <c r="BP1283" s="166">
        <v>0</v>
      </c>
      <c r="BQ1283" s="81" t="s">
        <v>1757</v>
      </c>
      <c r="BZ1283" s="81" t="s">
        <v>155</v>
      </c>
      <c r="CA1283" s="81">
        <v>10</v>
      </c>
      <c r="CC1283" s="167">
        <v>0</v>
      </c>
      <c r="CD1283" s="167">
        <v>0</v>
      </c>
      <c r="CE1283" s="167">
        <v>0</v>
      </c>
      <c r="CF1283" s="167">
        <v>0</v>
      </c>
      <c r="CG1283" s="167">
        <v>0</v>
      </c>
      <c r="CH1283" s="167">
        <f>$N1283/3</f>
        <v>0.33333333333333331</v>
      </c>
      <c r="CI1283" s="167">
        <f>$N1283/3</f>
        <v>0.33333333333333331</v>
      </c>
      <c r="CJ1283" s="167">
        <f>$N1283/3</f>
        <v>0.33333333333333331</v>
      </c>
      <c r="CK1283" s="167">
        <v>0</v>
      </c>
      <c r="CL1283" s="167">
        <v>0</v>
      </c>
      <c r="CM1283" s="167">
        <v>0</v>
      </c>
      <c r="CN1283" s="167">
        <v>0</v>
      </c>
      <c r="CO1283" s="167">
        <v>0</v>
      </c>
      <c r="CP1283" s="167">
        <v>0</v>
      </c>
      <c r="CQ1283" s="167">
        <v>0</v>
      </c>
      <c r="CR1283" s="167">
        <v>0</v>
      </c>
      <c r="CS1283" s="167">
        <v>0</v>
      </c>
      <c r="CT1283" s="167">
        <v>0</v>
      </c>
      <c r="CU1283" s="167">
        <v>0</v>
      </c>
      <c r="CV1283" s="167">
        <v>0</v>
      </c>
      <c r="CW1283" s="167">
        <v>0</v>
      </c>
      <c r="CX1283" s="167">
        <f>SUM(CD1283:CH1283)</f>
        <v>0.33333333333333331</v>
      </c>
      <c r="CY1283" s="167">
        <f>SUM(CD1283:CM1283)</f>
        <v>1</v>
      </c>
    </row>
    <row r="1284" spans="1:103" ht="12.75" customHeight="1" x14ac:dyDescent="0.2">
      <c r="A1284" s="81">
        <v>6726</v>
      </c>
      <c r="B1284" s="165" t="s">
        <v>1955</v>
      </c>
      <c r="C1284" s="165" t="s">
        <v>2228</v>
      </c>
      <c r="E1284" s="165" t="s">
        <v>2229</v>
      </c>
      <c r="G1284" s="81">
        <v>528680</v>
      </c>
      <c r="H1284" s="81">
        <v>173507</v>
      </c>
      <c r="I1284" s="165" t="s">
        <v>247</v>
      </c>
      <c r="L1284" s="166">
        <v>0</v>
      </c>
      <c r="M1284" s="166">
        <v>1</v>
      </c>
      <c r="N1284" s="166">
        <v>1</v>
      </c>
      <c r="O1284" s="166">
        <v>1</v>
      </c>
      <c r="P1284" s="166">
        <v>1</v>
      </c>
      <c r="R1284" s="165" t="s">
        <v>2230</v>
      </c>
      <c r="S1284" s="81" t="s">
        <v>121</v>
      </c>
      <c r="T1284" s="349">
        <v>43087</v>
      </c>
      <c r="W1284" s="81" t="s">
        <v>114</v>
      </c>
      <c r="Y1284" s="81" t="s">
        <v>115</v>
      </c>
      <c r="Z1284" s="81" t="s">
        <v>398</v>
      </c>
      <c r="AA1284" s="81" t="s">
        <v>117</v>
      </c>
      <c r="AB1284" s="81" t="s">
        <v>102</v>
      </c>
      <c r="AC1284" s="166">
        <v>8.0000003799796104E-3</v>
      </c>
      <c r="AG1284" s="81" t="s">
        <v>238</v>
      </c>
      <c r="AH1284" s="81" t="s">
        <v>118</v>
      </c>
      <c r="AK1284" s="166">
        <v>0</v>
      </c>
      <c r="AM1284" s="166">
        <v>0</v>
      </c>
      <c r="AO1284" s="166">
        <v>0</v>
      </c>
      <c r="AP1284" s="166">
        <v>0</v>
      </c>
      <c r="AQ1284" s="166">
        <v>0</v>
      </c>
      <c r="AR1284" s="166">
        <v>1</v>
      </c>
      <c r="AS1284" s="166">
        <v>0</v>
      </c>
      <c r="AT1284" s="166">
        <v>0</v>
      </c>
      <c r="AU1284" s="166">
        <v>0</v>
      </c>
      <c r="AV1284" s="166">
        <v>0</v>
      </c>
      <c r="AW1284" s="166">
        <v>0</v>
      </c>
      <c r="AX1284" s="166">
        <v>0</v>
      </c>
      <c r="AY1284" s="166">
        <v>1</v>
      </c>
      <c r="AZ1284" s="166">
        <v>0</v>
      </c>
      <c r="BA1284" s="166">
        <v>0</v>
      </c>
      <c r="BB1284" s="166">
        <v>0</v>
      </c>
      <c r="BC1284" s="166">
        <v>0</v>
      </c>
      <c r="BD1284" s="166">
        <v>0</v>
      </c>
      <c r="BE1284" s="166">
        <v>0</v>
      </c>
      <c r="BF1284" s="166">
        <v>0</v>
      </c>
      <c r="BG1284" s="166">
        <v>0</v>
      </c>
      <c r="BH1284" s="166">
        <v>0</v>
      </c>
      <c r="BI1284" s="166">
        <v>0</v>
      </c>
      <c r="BJ1284" s="166">
        <v>0</v>
      </c>
      <c r="BK1284" s="166">
        <v>0</v>
      </c>
      <c r="BL1284" s="166">
        <v>0</v>
      </c>
      <c r="BM1284" s="166">
        <v>0</v>
      </c>
      <c r="BN1284" s="166">
        <v>0</v>
      </c>
      <c r="BO1284" s="166">
        <v>0</v>
      </c>
      <c r="BP1284" s="166">
        <v>0</v>
      </c>
      <c r="BQ1284" s="81" t="s">
        <v>1757</v>
      </c>
      <c r="BR1284" s="81" t="s">
        <v>247</v>
      </c>
      <c r="BZ1284" s="81" t="s">
        <v>155</v>
      </c>
      <c r="CA1284" s="81">
        <v>10</v>
      </c>
      <c r="CC1284" s="167">
        <v>0</v>
      </c>
      <c r="CD1284" s="167">
        <v>0</v>
      </c>
      <c r="CE1284" s="167">
        <v>0</v>
      </c>
      <c r="CF1284" s="167">
        <v>0</v>
      </c>
      <c r="CG1284" s="167">
        <v>0</v>
      </c>
      <c r="CH1284" s="167">
        <f>$N1284/3</f>
        <v>0.33333333333333331</v>
      </c>
      <c r="CI1284" s="167">
        <f>$N1284/3</f>
        <v>0.33333333333333331</v>
      </c>
      <c r="CJ1284" s="167">
        <f>$N1284/3</f>
        <v>0.33333333333333331</v>
      </c>
      <c r="CK1284" s="167">
        <v>0</v>
      </c>
      <c r="CL1284" s="167">
        <v>0</v>
      </c>
      <c r="CM1284" s="167">
        <v>0</v>
      </c>
      <c r="CN1284" s="167">
        <v>0</v>
      </c>
      <c r="CO1284" s="167">
        <v>0</v>
      </c>
      <c r="CP1284" s="167">
        <v>0</v>
      </c>
      <c r="CQ1284" s="167">
        <v>0</v>
      </c>
      <c r="CR1284" s="167">
        <v>0</v>
      </c>
      <c r="CS1284" s="167">
        <v>0</v>
      </c>
      <c r="CT1284" s="167">
        <v>0</v>
      </c>
      <c r="CU1284" s="167">
        <v>0</v>
      </c>
      <c r="CV1284" s="167">
        <v>0</v>
      </c>
      <c r="CW1284" s="167">
        <v>0</v>
      </c>
      <c r="CX1284" s="167">
        <f>SUM(CD1284:CH1284)</f>
        <v>0.33333333333333331</v>
      </c>
      <c r="CY1284" s="167">
        <f>SUM(CD1284:CM1284)</f>
        <v>1</v>
      </c>
    </row>
    <row r="1285" spans="1:103" ht="12.75" customHeight="1" x14ac:dyDescent="0.2">
      <c r="A1285" s="81">
        <v>6727</v>
      </c>
      <c r="B1285" s="165" t="s">
        <v>1955</v>
      </c>
      <c r="C1285" s="165" t="s">
        <v>2231</v>
      </c>
      <c r="E1285" s="165" t="s">
        <v>2232</v>
      </c>
      <c r="G1285" s="81">
        <v>526449</v>
      </c>
      <c r="H1285" s="81">
        <v>173057</v>
      </c>
      <c r="I1285" s="165" t="s">
        <v>249</v>
      </c>
      <c r="L1285" s="166">
        <v>1</v>
      </c>
      <c r="M1285" s="166">
        <v>0</v>
      </c>
      <c r="N1285" s="166">
        <v>-1</v>
      </c>
      <c r="O1285" s="166">
        <v>0</v>
      </c>
      <c r="P1285" s="166">
        <v>-1</v>
      </c>
      <c r="R1285" s="165" t="s">
        <v>2233</v>
      </c>
      <c r="S1285" s="81" t="s">
        <v>296</v>
      </c>
      <c r="T1285" s="349">
        <v>43027</v>
      </c>
      <c r="U1285" s="349">
        <v>43083</v>
      </c>
      <c r="V1285" s="81" t="s">
        <v>155</v>
      </c>
      <c r="W1285" s="81" t="s">
        <v>365</v>
      </c>
      <c r="Y1285" s="81" t="s">
        <v>115</v>
      </c>
      <c r="Z1285" s="81" t="s">
        <v>310</v>
      </c>
      <c r="AA1285" s="81" t="s">
        <v>117</v>
      </c>
      <c r="AB1285" s="81" t="s">
        <v>105</v>
      </c>
      <c r="AC1285" s="166">
        <v>2.3000000044703501E-2</v>
      </c>
      <c r="AG1285" s="81" t="s">
        <v>238</v>
      </c>
      <c r="AH1285" s="81" t="s">
        <v>118</v>
      </c>
      <c r="AK1285" s="166">
        <v>0</v>
      </c>
      <c r="AM1285" s="166">
        <v>0</v>
      </c>
      <c r="AO1285" s="166">
        <v>0</v>
      </c>
      <c r="AP1285" s="166">
        <v>0</v>
      </c>
      <c r="AQ1285" s="166">
        <v>0</v>
      </c>
      <c r="AR1285" s="166">
        <v>-1</v>
      </c>
      <c r="AS1285" s="166">
        <v>0</v>
      </c>
      <c r="AT1285" s="166">
        <v>0</v>
      </c>
      <c r="AU1285" s="166">
        <v>0</v>
      </c>
      <c r="AV1285" s="166">
        <v>0</v>
      </c>
      <c r="AW1285" s="166">
        <v>0</v>
      </c>
      <c r="AX1285" s="166">
        <v>0</v>
      </c>
      <c r="AY1285" s="166">
        <v>0</v>
      </c>
      <c r="AZ1285" s="166">
        <v>0</v>
      </c>
      <c r="BA1285" s="166">
        <v>0</v>
      </c>
      <c r="BB1285" s="166">
        <v>0</v>
      </c>
      <c r="BC1285" s="166">
        <v>0</v>
      </c>
      <c r="BD1285" s="166">
        <v>0</v>
      </c>
      <c r="BE1285" s="166">
        <v>0</v>
      </c>
      <c r="BF1285" s="166">
        <v>-1</v>
      </c>
      <c r="BG1285" s="166">
        <v>0</v>
      </c>
      <c r="BH1285" s="166">
        <v>0</v>
      </c>
      <c r="BI1285" s="166">
        <v>0</v>
      </c>
      <c r="BJ1285" s="166">
        <v>0</v>
      </c>
      <c r="BK1285" s="166">
        <v>0</v>
      </c>
      <c r="BL1285" s="166">
        <v>0</v>
      </c>
      <c r="BM1285" s="166">
        <v>0</v>
      </c>
      <c r="BN1285" s="166">
        <v>0</v>
      </c>
      <c r="BO1285" s="166">
        <v>0</v>
      </c>
      <c r="BP1285" s="166">
        <v>0</v>
      </c>
      <c r="BQ1285" s="81" t="s">
        <v>1758</v>
      </c>
      <c r="BZ1285" s="81" t="s">
        <v>155</v>
      </c>
      <c r="CA1285" s="81">
        <v>10</v>
      </c>
      <c r="CC1285" s="167">
        <v>0</v>
      </c>
      <c r="CD1285" s="167">
        <v>0</v>
      </c>
      <c r="CE1285" s="167">
        <v>0</v>
      </c>
      <c r="CF1285" s="167">
        <v>0</v>
      </c>
      <c r="CG1285" s="167">
        <v>0</v>
      </c>
      <c r="CH1285" s="167">
        <f>$N1285/3</f>
        <v>-0.33333333333333331</v>
      </c>
      <c r="CI1285" s="167">
        <f>$N1285/3</f>
        <v>-0.33333333333333331</v>
      </c>
      <c r="CJ1285" s="167">
        <f>$N1285/3</f>
        <v>-0.33333333333333331</v>
      </c>
      <c r="CK1285" s="167">
        <v>0</v>
      </c>
      <c r="CL1285" s="167">
        <v>0</v>
      </c>
      <c r="CM1285" s="167">
        <v>0</v>
      </c>
      <c r="CN1285" s="167">
        <v>0</v>
      </c>
      <c r="CO1285" s="167">
        <v>0</v>
      </c>
      <c r="CP1285" s="167">
        <v>0</v>
      </c>
      <c r="CQ1285" s="167">
        <v>0</v>
      </c>
      <c r="CR1285" s="167">
        <v>0</v>
      </c>
      <c r="CS1285" s="167">
        <v>0</v>
      </c>
      <c r="CT1285" s="167">
        <v>0</v>
      </c>
      <c r="CU1285" s="167">
        <v>0</v>
      </c>
      <c r="CV1285" s="167">
        <v>0</v>
      </c>
      <c r="CW1285" s="167">
        <v>0</v>
      </c>
      <c r="CX1285" s="167">
        <f>SUM(CD1285:CH1285)</f>
        <v>-0.33333333333333331</v>
      </c>
      <c r="CY1285" s="167">
        <f>SUM(CD1285:CM1285)</f>
        <v>-1</v>
      </c>
    </row>
    <row r="1286" spans="1:103" ht="12.75" customHeight="1" x14ac:dyDescent="0.2">
      <c r="A1286" s="81">
        <v>6729</v>
      </c>
      <c r="B1286" s="165" t="s">
        <v>1955</v>
      </c>
      <c r="C1286" s="165" t="s">
        <v>2234</v>
      </c>
      <c r="E1286" s="165" t="s">
        <v>2235</v>
      </c>
      <c r="G1286" s="81">
        <v>527455</v>
      </c>
      <c r="H1286" s="81">
        <v>175008</v>
      </c>
      <c r="I1286" s="165" t="s">
        <v>255</v>
      </c>
      <c r="L1286" s="166">
        <v>1</v>
      </c>
      <c r="M1286" s="166">
        <v>1</v>
      </c>
      <c r="N1286" s="166">
        <v>0</v>
      </c>
      <c r="O1286" s="166">
        <v>2</v>
      </c>
      <c r="P1286" s="166">
        <v>1</v>
      </c>
      <c r="R1286" s="165" t="s">
        <v>2236</v>
      </c>
      <c r="S1286" s="81" t="s">
        <v>121</v>
      </c>
      <c r="T1286" s="349">
        <v>43165</v>
      </c>
      <c r="W1286" s="81" t="s">
        <v>114</v>
      </c>
      <c r="Y1286" s="81" t="s">
        <v>115</v>
      </c>
      <c r="Z1286" s="81" t="s">
        <v>398</v>
      </c>
      <c r="AA1286" s="81" t="s">
        <v>117</v>
      </c>
      <c r="AB1286" s="81" t="s">
        <v>220</v>
      </c>
      <c r="AC1286" s="166">
        <v>3.0000000260770299E-3</v>
      </c>
      <c r="AG1286" s="81" t="s">
        <v>238</v>
      </c>
      <c r="AH1286" s="81" t="s">
        <v>118</v>
      </c>
      <c r="AK1286" s="166">
        <v>0</v>
      </c>
      <c r="AM1286" s="166">
        <v>0</v>
      </c>
      <c r="AO1286" s="166">
        <v>0</v>
      </c>
      <c r="AP1286" s="166">
        <v>0</v>
      </c>
      <c r="AQ1286" s="166">
        <v>1</v>
      </c>
      <c r="AR1286" s="166">
        <v>-1</v>
      </c>
      <c r="AS1286" s="166">
        <v>0</v>
      </c>
      <c r="AT1286" s="166">
        <v>0</v>
      </c>
      <c r="AU1286" s="166">
        <v>0</v>
      </c>
      <c r="AV1286" s="166">
        <v>0</v>
      </c>
      <c r="AW1286" s="166">
        <v>0</v>
      </c>
      <c r="AX1286" s="166">
        <v>1</v>
      </c>
      <c r="AY1286" s="166">
        <v>-1</v>
      </c>
      <c r="AZ1286" s="166">
        <v>0</v>
      </c>
      <c r="BA1286" s="166">
        <v>0</v>
      </c>
      <c r="BB1286" s="166">
        <v>0</v>
      </c>
      <c r="BC1286" s="166">
        <v>0</v>
      </c>
      <c r="BD1286" s="166">
        <v>0</v>
      </c>
      <c r="BE1286" s="166">
        <v>0</v>
      </c>
      <c r="BF1286" s="166">
        <v>0</v>
      </c>
      <c r="BG1286" s="166">
        <v>0</v>
      </c>
      <c r="BH1286" s="166">
        <v>0</v>
      </c>
      <c r="BI1286" s="166">
        <v>0</v>
      </c>
      <c r="BJ1286" s="166">
        <v>0</v>
      </c>
      <c r="BK1286" s="166">
        <v>0</v>
      </c>
      <c r="BL1286" s="166">
        <v>0</v>
      </c>
      <c r="BM1286" s="166">
        <v>0</v>
      </c>
      <c r="BN1286" s="166">
        <v>0</v>
      </c>
      <c r="BO1286" s="166">
        <v>0</v>
      </c>
      <c r="BP1286" s="166">
        <v>0</v>
      </c>
      <c r="BQ1286" s="81" t="s">
        <v>1757</v>
      </c>
      <c r="BR1286" s="81" t="s">
        <v>160</v>
      </c>
      <c r="BZ1286" s="81" t="s">
        <v>3991</v>
      </c>
      <c r="CA1286" s="81">
        <v>15</v>
      </c>
      <c r="CB1286" s="165" t="s">
        <v>4007</v>
      </c>
      <c r="CC1286" s="167">
        <v>0</v>
      </c>
      <c r="CD1286" s="167">
        <v>0</v>
      </c>
      <c r="CE1286" s="167">
        <v>0</v>
      </c>
      <c r="CF1286" s="167">
        <v>0</v>
      </c>
      <c r="CG1286" s="167">
        <v>0</v>
      </c>
      <c r="CH1286" s="167">
        <v>0</v>
      </c>
      <c r="CI1286" s="167">
        <v>0</v>
      </c>
      <c r="CJ1286" s="167">
        <v>0</v>
      </c>
      <c r="CK1286" s="167">
        <v>0</v>
      </c>
      <c r="CL1286" s="167">
        <v>0</v>
      </c>
      <c r="CM1286" s="167">
        <v>0</v>
      </c>
      <c r="CN1286" s="167">
        <v>0</v>
      </c>
      <c r="CO1286" s="167">
        <v>0</v>
      </c>
      <c r="CP1286" s="167">
        <v>0</v>
      </c>
      <c r="CQ1286" s="167">
        <v>0</v>
      </c>
      <c r="CR1286" s="167">
        <v>0</v>
      </c>
      <c r="CS1286" s="167">
        <v>0</v>
      </c>
      <c r="CT1286" s="167">
        <v>0</v>
      </c>
      <c r="CU1286" s="167">
        <v>0</v>
      </c>
      <c r="CV1286" s="167">
        <v>0</v>
      </c>
      <c r="CW1286" s="167">
        <v>0</v>
      </c>
      <c r="CX1286" s="167">
        <f>SUM(CD1286:CH1286)</f>
        <v>0</v>
      </c>
      <c r="CY1286" s="167">
        <f>SUM(CD1286:CM1286)</f>
        <v>0</v>
      </c>
    </row>
    <row r="1287" spans="1:103" ht="12.75" customHeight="1" x14ac:dyDescent="0.2">
      <c r="A1287" s="81">
        <v>6729</v>
      </c>
      <c r="B1287" s="165" t="s">
        <v>1955</v>
      </c>
      <c r="C1287" s="165" t="s">
        <v>2234</v>
      </c>
      <c r="E1287" s="165" t="s">
        <v>2235</v>
      </c>
      <c r="G1287" s="81">
        <v>527455</v>
      </c>
      <c r="H1287" s="81">
        <v>175008</v>
      </c>
      <c r="I1287" s="165" t="s">
        <v>255</v>
      </c>
      <c r="L1287" s="166">
        <v>0</v>
      </c>
      <c r="M1287" s="166">
        <v>1</v>
      </c>
      <c r="N1287" s="166">
        <v>1</v>
      </c>
      <c r="O1287" s="166">
        <v>2</v>
      </c>
      <c r="P1287" s="166">
        <v>1</v>
      </c>
      <c r="R1287" s="165" t="s">
        <v>2236</v>
      </c>
      <c r="S1287" s="81" t="s">
        <v>121</v>
      </c>
      <c r="T1287" s="349">
        <v>43165</v>
      </c>
      <c r="W1287" s="81" t="s">
        <v>114</v>
      </c>
      <c r="Y1287" s="81" t="s">
        <v>115</v>
      </c>
      <c r="Z1287" s="81" t="s">
        <v>398</v>
      </c>
      <c r="AA1287" s="81" t="s">
        <v>117</v>
      </c>
      <c r="AB1287" s="81" t="s">
        <v>218</v>
      </c>
      <c r="AC1287" s="166">
        <v>4.0000001899898104E-3</v>
      </c>
      <c r="AG1287" s="81" t="s">
        <v>238</v>
      </c>
      <c r="AH1287" s="81" t="s">
        <v>118</v>
      </c>
      <c r="AK1287" s="166">
        <v>0</v>
      </c>
      <c r="AM1287" s="166">
        <v>0</v>
      </c>
      <c r="AO1287" s="166">
        <v>0</v>
      </c>
      <c r="AP1287" s="166">
        <v>0</v>
      </c>
      <c r="AQ1287" s="166">
        <v>1</v>
      </c>
      <c r="AR1287" s="166">
        <v>0</v>
      </c>
      <c r="AS1287" s="166">
        <v>0</v>
      </c>
      <c r="AT1287" s="166">
        <v>0</v>
      </c>
      <c r="AU1287" s="166">
        <v>0</v>
      </c>
      <c r="AV1287" s="166">
        <v>0</v>
      </c>
      <c r="AW1287" s="166">
        <v>0</v>
      </c>
      <c r="AX1287" s="166">
        <v>1</v>
      </c>
      <c r="AY1287" s="166">
        <v>0</v>
      </c>
      <c r="AZ1287" s="166">
        <v>0</v>
      </c>
      <c r="BA1287" s="166">
        <v>0</v>
      </c>
      <c r="BB1287" s="166">
        <v>0</v>
      </c>
      <c r="BC1287" s="166">
        <v>0</v>
      </c>
      <c r="BD1287" s="166">
        <v>0</v>
      </c>
      <c r="BE1287" s="166">
        <v>0</v>
      </c>
      <c r="BF1287" s="166">
        <v>0</v>
      </c>
      <c r="BG1287" s="166">
        <v>0</v>
      </c>
      <c r="BH1287" s="166">
        <v>0</v>
      </c>
      <c r="BI1287" s="166">
        <v>0</v>
      </c>
      <c r="BJ1287" s="166">
        <v>0</v>
      </c>
      <c r="BK1287" s="166">
        <v>0</v>
      </c>
      <c r="BL1287" s="166">
        <v>0</v>
      </c>
      <c r="BM1287" s="166">
        <v>0</v>
      </c>
      <c r="BN1287" s="166">
        <v>0</v>
      </c>
      <c r="BO1287" s="166">
        <v>0</v>
      </c>
      <c r="BP1287" s="166">
        <v>0</v>
      </c>
      <c r="BQ1287" s="81" t="s">
        <v>1757</v>
      </c>
      <c r="BR1287" s="81" t="s">
        <v>160</v>
      </c>
      <c r="BZ1287" s="81" t="s">
        <v>3991</v>
      </c>
      <c r="CA1287" s="81">
        <v>15</v>
      </c>
      <c r="CB1287" s="165" t="s">
        <v>4007</v>
      </c>
      <c r="CC1287" s="167">
        <v>0</v>
      </c>
      <c r="CD1287" s="167">
        <v>0</v>
      </c>
      <c r="CE1287" s="167">
        <v>0</v>
      </c>
      <c r="CF1287" s="167">
        <v>0</v>
      </c>
      <c r="CG1287" s="167">
        <v>0</v>
      </c>
      <c r="CH1287" s="167">
        <v>0</v>
      </c>
      <c r="CI1287" s="167">
        <v>0</v>
      </c>
      <c r="CJ1287" s="167">
        <v>0</v>
      </c>
      <c r="CK1287" s="167">
        <v>0</v>
      </c>
      <c r="CL1287" s="167">
        <v>0</v>
      </c>
      <c r="CM1287" s="167">
        <v>0</v>
      </c>
      <c r="CN1287" s="167">
        <v>0</v>
      </c>
      <c r="CO1287" s="167">
        <v>0</v>
      </c>
      <c r="CP1287" s="167">
        <v>0</v>
      </c>
      <c r="CQ1287" s="167">
        <v>0</v>
      </c>
      <c r="CR1287" s="167">
        <v>0</v>
      </c>
      <c r="CS1287" s="167">
        <v>0</v>
      </c>
      <c r="CT1287" s="167">
        <v>0</v>
      </c>
      <c r="CU1287" s="167">
        <v>0</v>
      </c>
      <c r="CV1287" s="167">
        <v>0</v>
      </c>
      <c r="CW1287" s="167">
        <v>0</v>
      </c>
      <c r="CX1287" s="167">
        <f>SUM(CD1287:CH1287)</f>
        <v>0</v>
      </c>
      <c r="CY1287" s="167">
        <f>SUM(CD1287:CM1287)</f>
        <v>0</v>
      </c>
    </row>
    <row r="1288" spans="1:103" ht="12.75" customHeight="1" x14ac:dyDescent="0.2">
      <c r="A1288" s="81">
        <v>6735</v>
      </c>
      <c r="B1288" s="165" t="s">
        <v>1955</v>
      </c>
      <c r="C1288" s="165" t="s">
        <v>2237</v>
      </c>
      <c r="E1288" s="165" t="s">
        <v>2238</v>
      </c>
      <c r="G1288" s="81">
        <v>529413</v>
      </c>
      <c r="H1288" s="81">
        <v>171159</v>
      </c>
      <c r="I1288" s="165" t="s">
        <v>252</v>
      </c>
      <c r="L1288" s="166">
        <v>0</v>
      </c>
      <c r="M1288" s="166">
        <v>1</v>
      </c>
      <c r="N1288" s="166">
        <v>1</v>
      </c>
      <c r="O1288" s="166">
        <v>2</v>
      </c>
      <c r="P1288" s="166">
        <v>0</v>
      </c>
      <c r="R1288" s="165" t="s">
        <v>2239</v>
      </c>
      <c r="S1288" s="81" t="s">
        <v>121</v>
      </c>
      <c r="T1288" s="349">
        <v>43026</v>
      </c>
      <c r="W1288" s="81" t="s">
        <v>114</v>
      </c>
      <c r="Y1288" s="81" t="s">
        <v>115</v>
      </c>
      <c r="Z1288" s="81" t="s">
        <v>398</v>
      </c>
      <c r="AA1288" s="81" t="s">
        <v>117</v>
      </c>
      <c r="AB1288" s="81" t="s">
        <v>218</v>
      </c>
      <c r="AC1288" s="166">
        <v>1.3000000035390299E-3</v>
      </c>
      <c r="AG1288" s="81" t="s">
        <v>238</v>
      </c>
      <c r="AH1288" s="81" t="s">
        <v>118</v>
      </c>
      <c r="AK1288" s="166">
        <v>0</v>
      </c>
      <c r="AM1288" s="166">
        <v>0</v>
      </c>
      <c r="AO1288" s="166">
        <v>0</v>
      </c>
      <c r="AP1288" s="166">
        <v>0</v>
      </c>
      <c r="AQ1288" s="166">
        <v>0</v>
      </c>
      <c r="AR1288" s="166">
        <v>1</v>
      </c>
      <c r="AS1288" s="166">
        <v>0</v>
      </c>
      <c r="AT1288" s="166">
        <v>0</v>
      </c>
      <c r="AU1288" s="166">
        <v>0</v>
      </c>
      <c r="AV1288" s="166">
        <v>0</v>
      </c>
      <c r="AW1288" s="166">
        <v>0</v>
      </c>
      <c r="AX1288" s="166">
        <v>0</v>
      </c>
      <c r="AY1288" s="166">
        <v>0</v>
      </c>
      <c r="AZ1288" s="166">
        <v>0</v>
      </c>
      <c r="BA1288" s="166">
        <v>0</v>
      </c>
      <c r="BB1288" s="166">
        <v>0</v>
      </c>
      <c r="BC1288" s="166">
        <v>0</v>
      </c>
      <c r="BD1288" s="166">
        <v>0</v>
      </c>
      <c r="BE1288" s="166">
        <v>0</v>
      </c>
      <c r="BF1288" s="166">
        <v>1</v>
      </c>
      <c r="BG1288" s="166">
        <v>0</v>
      </c>
      <c r="BH1288" s="166">
        <v>0</v>
      </c>
      <c r="BI1288" s="166">
        <v>0</v>
      </c>
      <c r="BJ1288" s="166">
        <v>0</v>
      </c>
      <c r="BK1288" s="166">
        <v>0</v>
      </c>
      <c r="BL1288" s="166">
        <v>0</v>
      </c>
      <c r="BM1288" s="166">
        <v>0</v>
      </c>
      <c r="BN1288" s="166">
        <v>0</v>
      </c>
      <c r="BO1288" s="166">
        <v>0</v>
      </c>
      <c r="BP1288" s="166">
        <v>0</v>
      </c>
      <c r="BQ1288" s="81" t="s">
        <v>1757</v>
      </c>
      <c r="BZ1288" s="81" t="s">
        <v>155</v>
      </c>
      <c r="CA1288" s="81">
        <v>10</v>
      </c>
      <c r="CC1288" s="167">
        <v>0</v>
      </c>
      <c r="CD1288" s="167">
        <v>0</v>
      </c>
      <c r="CE1288" s="167">
        <v>0</v>
      </c>
      <c r="CF1288" s="167">
        <v>0</v>
      </c>
      <c r="CG1288" s="167">
        <v>0</v>
      </c>
      <c r="CH1288" s="167">
        <f>$N1288/3</f>
        <v>0.33333333333333331</v>
      </c>
      <c r="CI1288" s="167">
        <f>$N1288/3</f>
        <v>0.33333333333333331</v>
      </c>
      <c r="CJ1288" s="167">
        <f>$N1288/3</f>
        <v>0.33333333333333331</v>
      </c>
      <c r="CK1288" s="167">
        <v>0</v>
      </c>
      <c r="CL1288" s="167">
        <v>0</v>
      </c>
      <c r="CM1288" s="167">
        <v>0</v>
      </c>
      <c r="CN1288" s="167">
        <v>0</v>
      </c>
      <c r="CO1288" s="167">
        <v>0</v>
      </c>
      <c r="CP1288" s="167">
        <v>0</v>
      </c>
      <c r="CQ1288" s="167">
        <v>0</v>
      </c>
      <c r="CR1288" s="167">
        <v>0</v>
      </c>
      <c r="CS1288" s="167">
        <v>0</v>
      </c>
      <c r="CT1288" s="167">
        <v>0</v>
      </c>
      <c r="CU1288" s="167">
        <v>0</v>
      </c>
      <c r="CV1288" s="167">
        <v>0</v>
      </c>
      <c r="CW1288" s="167">
        <v>0</v>
      </c>
      <c r="CX1288" s="167">
        <f>SUM(CD1288:CH1288)</f>
        <v>0.33333333333333331</v>
      </c>
      <c r="CY1288" s="167">
        <f>SUM(CD1288:CM1288)</f>
        <v>1</v>
      </c>
    </row>
    <row r="1289" spans="1:103" ht="12.75" customHeight="1" x14ac:dyDescent="0.2">
      <c r="A1289" s="81">
        <v>6735</v>
      </c>
      <c r="B1289" s="165" t="s">
        <v>1955</v>
      </c>
      <c r="C1289" s="165" t="s">
        <v>2237</v>
      </c>
      <c r="E1289" s="165" t="s">
        <v>2238</v>
      </c>
      <c r="G1289" s="81">
        <v>529413</v>
      </c>
      <c r="H1289" s="81">
        <v>171159</v>
      </c>
      <c r="I1289" s="165" t="s">
        <v>252</v>
      </c>
      <c r="L1289" s="166">
        <v>2</v>
      </c>
      <c r="M1289" s="166">
        <v>1</v>
      </c>
      <c r="N1289" s="166">
        <v>-1</v>
      </c>
      <c r="O1289" s="166">
        <v>2</v>
      </c>
      <c r="P1289" s="166">
        <v>0</v>
      </c>
      <c r="R1289" s="165" t="s">
        <v>2239</v>
      </c>
      <c r="S1289" s="81" t="s">
        <v>121</v>
      </c>
      <c r="T1289" s="349">
        <v>43026</v>
      </c>
      <c r="W1289" s="81" t="s">
        <v>114</v>
      </c>
      <c r="Y1289" s="81" t="s">
        <v>115</v>
      </c>
      <c r="Z1289" s="81" t="s">
        <v>398</v>
      </c>
      <c r="AA1289" s="81" t="s">
        <v>117</v>
      </c>
      <c r="AB1289" s="81" t="s">
        <v>300</v>
      </c>
      <c r="AC1289" s="166">
        <v>4.9999998882412902E-3</v>
      </c>
      <c r="AG1289" s="81" t="s">
        <v>238</v>
      </c>
      <c r="AH1289" s="81" t="s">
        <v>118</v>
      </c>
      <c r="AK1289" s="166">
        <v>0</v>
      </c>
      <c r="AM1289" s="166">
        <v>0</v>
      </c>
      <c r="AO1289" s="166">
        <v>0</v>
      </c>
      <c r="AP1289" s="166">
        <v>-1</v>
      </c>
      <c r="AQ1289" s="166">
        <v>0</v>
      </c>
      <c r="AR1289" s="166">
        <v>0</v>
      </c>
      <c r="AS1289" s="166">
        <v>0</v>
      </c>
      <c r="AT1289" s="166">
        <v>0</v>
      </c>
      <c r="AU1289" s="166">
        <v>0</v>
      </c>
      <c r="AV1289" s="166">
        <v>0</v>
      </c>
      <c r="AW1289" s="166">
        <v>-1</v>
      </c>
      <c r="AX1289" s="166">
        <v>0</v>
      </c>
      <c r="AY1289" s="166">
        <v>0</v>
      </c>
      <c r="AZ1289" s="166">
        <v>0</v>
      </c>
      <c r="BA1289" s="166">
        <v>0</v>
      </c>
      <c r="BB1289" s="166">
        <v>0</v>
      </c>
      <c r="BC1289" s="166">
        <v>0</v>
      </c>
      <c r="BD1289" s="166">
        <v>0</v>
      </c>
      <c r="BE1289" s="166">
        <v>0</v>
      </c>
      <c r="BF1289" s="166">
        <v>0</v>
      </c>
      <c r="BG1289" s="166">
        <v>0</v>
      </c>
      <c r="BH1289" s="166">
        <v>0</v>
      </c>
      <c r="BI1289" s="166">
        <v>0</v>
      </c>
      <c r="BJ1289" s="166">
        <v>0</v>
      </c>
      <c r="BK1289" s="166">
        <v>0</v>
      </c>
      <c r="BL1289" s="166">
        <v>0</v>
      </c>
      <c r="BM1289" s="166">
        <v>0</v>
      </c>
      <c r="BN1289" s="166">
        <v>0</v>
      </c>
      <c r="BO1289" s="166">
        <v>0</v>
      </c>
      <c r="BP1289" s="166">
        <v>0</v>
      </c>
      <c r="BQ1289" s="81" t="s">
        <v>1757</v>
      </c>
      <c r="BZ1289" s="81" t="s">
        <v>155</v>
      </c>
      <c r="CA1289" s="81">
        <v>10</v>
      </c>
      <c r="CC1289" s="167">
        <v>0</v>
      </c>
      <c r="CD1289" s="167">
        <v>0</v>
      </c>
      <c r="CE1289" s="167">
        <v>0</v>
      </c>
      <c r="CF1289" s="167">
        <v>0</v>
      </c>
      <c r="CG1289" s="167">
        <v>0</v>
      </c>
      <c r="CH1289" s="167">
        <f>$N1289/3</f>
        <v>-0.33333333333333331</v>
      </c>
      <c r="CI1289" s="167">
        <f>$N1289/3</f>
        <v>-0.33333333333333331</v>
      </c>
      <c r="CJ1289" s="167">
        <f>$N1289/3</f>
        <v>-0.33333333333333331</v>
      </c>
      <c r="CK1289" s="167">
        <v>0</v>
      </c>
      <c r="CL1289" s="167">
        <v>0</v>
      </c>
      <c r="CM1289" s="167">
        <v>0</v>
      </c>
      <c r="CN1289" s="167">
        <v>0</v>
      </c>
      <c r="CO1289" s="167">
        <v>0</v>
      </c>
      <c r="CP1289" s="167">
        <v>0</v>
      </c>
      <c r="CQ1289" s="167">
        <v>0</v>
      </c>
      <c r="CR1289" s="167">
        <v>0</v>
      </c>
      <c r="CS1289" s="167">
        <v>0</v>
      </c>
      <c r="CT1289" s="167">
        <v>0</v>
      </c>
      <c r="CU1289" s="167">
        <v>0</v>
      </c>
      <c r="CV1289" s="167">
        <v>0</v>
      </c>
      <c r="CW1289" s="167">
        <v>0</v>
      </c>
      <c r="CX1289" s="167">
        <f>SUM(CD1289:CH1289)</f>
        <v>-0.33333333333333331</v>
      </c>
      <c r="CY1289" s="167">
        <f>SUM(CD1289:CM1289)</f>
        <v>-1</v>
      </c>
    </row>
    <row r="1290" spans="1:103" ht="12.75" customHeight="1" x14ac:dyDescent="0.2">
      <c r="A1290" s="81">
        <v>6737</v>
      </c>
      <c r="B1290" s="165" t="s">
        <v>1955</v>
      </c>
      <c r="C1290" s="165" t="s">
        <v>2240</v>
      </c>
      <c r="E1290" s="165" t="s">
        <v>2241</v>
      </c>
      <c r="G1290" s="81">
        <v>527411</v>
      </c>
      <c r="H1290" s="81">
        <v>170747</v>
      </c>
      <c r="I1290" s="165" t="s">
        <v>253</v>
      </c>
      <c r="L1290" s="166">
        <v>0</v>
      </c>
      <c r="M1290" s="166">
        <v>1</v>
      </c>
      <c r="N1290" s="166">
        <v>1</v>
      </c>
      <c r="O1290" s="166">
        <v>1</v>
      </c>
      <c r="P1290" s="166">
        <v>1</v>
      </c>
      <c r="R1290" s="165" t="s">
        <v>2242</v>
      </c>
      <c r="S1290" s="81" t="s">
        <v>121</v>
      </c>
      <c r="T1290" s="349">
        <v>43047</v>
      </c>
      <c r="W1290" s="81" t="s">
        <v>114</v>
      </c>
      <c r="Y1290" s="81" t="s">
        <v>397</v>
      </c>
      <c r="Z1290" s="81" t="s">
        <v>116</v>
      </c>
      <c r="AA1290" s="81" t="s">
        <v>117</v>
      </c>
      <c r="AB1290" s="81" t="s">
        <v>218</v>
      </c>
      <c r="AC1290" s="166">
        <v>6.3000001013279003E-2</v>
      </c>
      <c r="AG1290" s="81" t="s">
        <v>238</v>
      </c>
      <c r="AH1290" s="81" t="s">
        <v>118</v>
      </c>
      <c r="AK1290" s="166">
        <v>0</v>
      </c>
      <c r="AM1290" s="166">
        <v>0</v>
      </c>
      <c r="AO1290" s="166">
        <v>0</v>
      </c>
      <c r="AP1290" s="166">
        <v>0</v>
      </c>
      <c r="AQ1290" s="166">
        <v>0</v>
      </c>
      <c r="AR1290" s="166">
        <v>1</v>
      </c>
      <c r="AS1290" s="166">
        <v>0</v>
      </c>
      <c r="AT1290" s="166">
        <v>0</v>
      </c>
      <c r="AU1290" s="166">
        <v>0</v>
      </c>
      <c r="AV1290" s="166">
        <v>0</v>
      </c>
      <c r="AW1290" s="166">
        <v>0</v>
      </c>
      <c r="AX1290" s="166">
        <v>0</v>
      </c>
      <c r="AY1290" s="166">
        <v>0</v>
      </c>
      <c r="AZ1290" s="166">
        <v>0</v>
      </c>
      <c r="BA1290" s="166">
        <v>0</v>
      </c>
      <c r="BB1290" s="166">
        <v>0</v>
      </c>
      <c r="BC1290" s="166">
        <v>0</v>
      </c>
      <c r="BD1290" s="166">
        <v>0</v>
      </c>
      <c r="BE1290" s="166">
        <v>0</v>
      </c>
      <c r="BF1290" s="166">
        <v>1</v>
      </c>
      <c r="BG1290" s="166">
        <v>0</v>
      </c>
      <c r="BH1290" s="166">
        <v>0</v>
      </c>
      <c r="BI1290" s="166">
        <v>0</v>
      </c>
      <c r="BJ1290" s="166">
        <v>0</v>
      </c>
      <c r="BK1290" s="166">
        <v>0</v>
      </c>
      <c r="BL1290" s="166">
        <v>0</v>
      </c>
      <c r="BM1290" s="166">
        <v>0</v>
      </c>
      <c r="BN1290" s="166">
        <v>0</v>
      </c>
      <c r="BO1290" s="166">
        <v>0</v>
      </c>
      <c r="BP1290" s="166">
        <v>0</v>
      </c>
      <c r="BQ1290" s="81" t="s">
        <v>1757</v>
      </c>
      <c r="BZ1290" s="81" t="s">
        <v>155</v>
      </c>
      <c r="CA1290" s="81">
        <v>6</v>
      </c>
      <c r="CC1290" s="167">
        <v>0</v>
      </c>
      <c r="CD1290" s="167">
        <v>0</v>
      </c>
      <c r="CE1290" s="167">
        <v>0</v>
      </c>
      <c r="CF1290" s="167">
        <v>0</v>
      </c>
      <c r="CG1290" s="167">
        <v>0</v>
      </c>
      <c r="CH1290" s="167">
        <f>$N1290/3</f>
        <v>0.33333333333333331</v>
      </c>
      <c r="CI1290" s="167">
        <f>$N1290/3</f>
        <v>0.33333333333333331</v>
      </c>
      <c r="CJ1290" s="167">
        <f>$N1290/3</f>
        <v>0.33333333333333331</v>
      </c>
      <c r="CK1290" s="167">
        <v>0</v>
      </c>
      <c r="CL1290" s="167">
        <v>0</v>
      </c>
      <c r="CM1290" s="167">
        <v>0</v>
      </c>
      <c r="CN1290" s="167">
        <v>0</v>
      </c>
      <c r="CO1290" s="167">
        <v>0</v>
      </c>
      <c r="CP1290" s="167">
        <v>0</v>
      </c>
      <c r="CQ1290" s="167">
        <v>0</v>
      </c>
      <c r="CR1290" s="167">
        <v>0</v>
      </c>
      <c r="CS1290" s="167">
        <v>0</v>
      </c>
      <c r="CT1290" s="167">
        <v>0</v>
      </c>
      <c r="CU1290" s="167">
        <v>0</v>
      </c>
      <c r="CV1290" s="167">
        <v>0</v>
      </c>
      <c r="CW1290" s="167">
        <v>0</v>
      </c>
      <c r="CX1290" s="167">
        <f>SUM(CD1290:CH1290)</f>
        <v>0.33333333333333331</v>
      </c>
      <c r="CY1290" s="167">
        <f>SUM(CD1290:CM1290)</f>
        <v>1</v>
      </c>
    </row>
    <row r="1291" spans="1:103" ht="12.75" customHeight="1" x14ac:dyDescent="0.2">
      <c r="A1291" s="81">
        <v>6739</v>
      </c>
      <c r="B1291" s="165" t="s">
        <v>1955</v>
      </c>
      <c r="C1291" s="165" t="s">
        <v>3457</v>
      </c>
      <c r="E1291" s="165" t="s">
        <v>3458</v>
      </c>
      <c r="G1291" s="81">
        <v>528376</v>
      </c>
      <c r="H1291" s="81">
        <v>173160</v>
      </c>
      <c r="I1291" s="165" t="s">
        <v>254</v>
      </c>
      <c r="L1291" s="166">
        <v>0</v>
      </c>
      <c r="M1291" s="166">
        <v>77</v>
      </c>
      <c r="N1291" s="166">
        <v>77</v>
      </c>
      <c r="O1291" s="166">
        <v>77</v>
      </c>
      <c r="P1291" s="166">
        <v>77</v>
      </c>
      <c r="Q1291" s="81" t="s">
        <v>155</v>
      </c>
      <c r="R1291" s="165" t="s">
        <v>3459</v>
      </c>
      <c r="S1291" s="81" t="s">
        <v>802</v>
      </c>
      <c r="T1291" s="349">
        <v>43188</v>
      </c>
      <c r="W1291" s="81" t="s">
        <v>114</v>
      </c>
      <c r="Y1291" s="81" t="s">
        <v>115</v>
      </c>
      <c r="Z1291" s="81" t="s">
        <v>310</v>
      </c>
      <c r="AA1291" s="81" t="s">
        <v>1764</v>
      </c>
      <c r="AB1291" s="81" t="s">
        <v>117</v>
      </c>
      <c r="AC1291" s="166">
        <v>0.25600001215934798</v>
      </c>
      <c r="AG1291" s="81" t="s">
        <v>238</v>
      </c>
      <c r="AH1291" s="81" t="s">
        <v>118</v>
      </c>
      <c r="AK1291" s="166">
        <v>0</v>
      </c>
      <c r="AM1291" s="166">
        <v>0</v>
      </c>
      <c r="AO1291" s="166">
        <v>58</v>
      </c>
      <c r="AP1291" s="166">
        <v>19</v>
      </c>
      <c r="AQ1291" s="166">
        <v>0</v>
      </c>
      <c r="AR1291" s="166">
        <v>0</v>
      </c>
      <c r="AS1291" s="166">
        <v>0</v>
      </c>
      <c r="AT1291" s="166">
        <v>0</v>
      </c>
      <c r="AU1291" s="166">
        <v>0</v>
      </c>
      <c r="AV1291" s="166">
        <v>58</v>
      </c>
      <c r="AW1291" s="166">
        <v>19</v>
      </c>
      <c r="AX1291" s="166">
        <v>0</v>
      </c>
      <c r="AY1291" s="166">
        <v>0</v>
      </c>
      <c r="AZ1291" s="166">
        <v>0</v>
      </c>
      <c r="BA1291" s="166">
        <v>0</v>
      </c>
      <c r="BB1291" s="166">
        <v>0</v>
      </c>
      <c r="BC1291" s="166">
        <v>0</v>
      </c>
      <c r="BD1291" s="166">
        <v>0</v>
      </c>
      <c r="BE1291" s="166">
        <v>0</v>
      </c>
      <c r="BF1291" s="166">
        <v>0</v>
      </c>
      <c r="BG1291" s="166">
        <v>0</v>
      </c>
      <c r="BH1291" s="166">
        <v>0</v>
      </c>
      <c r="BI1291" s="166">
        <v>0</v>
      </c>
      <c r="BJ1291" s="166">
        <v>0</v>
      </c>
      <c r="BK1291" s="166">
        <v>0</v>
      </c>
      <c r="BL1291" s="166">
        <v>0</v>
      </c>
      <c r="BM1291" s="166">
        <v>0</v>
      </c>
      <c r="BN1291" s="166">
        <v>0</v>
      </c>
      <c r="BO1291" s="166">
        <v>0</v>
      </c>
      <c r="BP1291" s="166">
        <v>0</v>
      </c>
      <c r="BQ1291" s="81" t="s">
        <v>1757</v>
      </c>
      <c r="BZ1291" s="81" t="s">
        <v>3991</v>
      </c>
      <c r="CA1291" s="81">
        <v>15</v>
      </c>
      <c r="CB1291" s="165" t="s">
        <v>4008</v>
      </c>
      <c r="CC1291" s="167">
        <v>0</v>
      </c>
      <c r="CD1291" s="167">
        <v>0</v>
      </c>
      <c r="CE1291" s="167">
        <v>0</v>
      </c>
      <c r="CF1291" s="167">
        <v>0</v>
      </c>
      <c r="CG1291" s="167">
        <v>0</v>
      </c>
      <c r="CH1291" s="167">
        <v>0</v>
      </c>
      <c r="CI1291" s="167">
        <v>0</v>
      </c>
      <c r="CJ1291" s="167">
        <v>0</v>
      </c>
      <c r="CK1291" s="167">
        <v>0</v>
      </c>
      <c r="CL1291" s="167">
        <v>0</v>
      </c>
      <c r="CM1291" s="167">
        <v>0</v>
      </c>
      <c r="CN1291" s="167">
        <v>0</v>
      </c>
      <c r="CO1291" s="167">
        <v>0</v>
      </c>
      <c r="CP1291" s="167">
        <v>0</v>
      </c>
      <c r="CQ1291" s="167">
        <v>0</v>
      </c>
      <c r="CR1291" s="167">
        <v>0</v>
      </c>
      <c r="CS1291" s="167">
        <v>0</v>
      </c>
      <c r="CT1291" s="167">
        <v>0</v>
      </c>
      <c r="CU1291" s="167">
        <v>0</v>
      </c>
      <c r="CV1291" s="167">
        <v>0</v>
      </c>
      <c r="CW1291" s="167">
        <v>0</v>
      </c>
      <c r="CX1291" s="167">
        <f>SUM(CD1291:CH1291)</f>
        <v>0</v>
      </c>
      <c r="CY1291" s="167">
        <f>SUM(CD1291:CM1291)</f>
        <v>0</v>
      </c>
    </row>
    <row r="1292" spans="1:103" ht="12.75" customHeight="1" x14ac:dyDescent="0.2">
      <c r="A1292" s="81">
        <v>6747</v>
      </c>
      <c r="B1292" s="165" t="s">
        <v>1955</v>
      </c>
      <c r="C1292" s="165" t="s">
        <v>2243</v>
      </c>
      <c r="E1292" s="165" t="s">
        <v>2244</v>
      </c>
      <c r="G1292" s="81">
        <v>524081</v>
      </c>
      <c r="H1292" s="81">
        <v>175494</v>
      </c>
      <c r="I1292" s="165" t="s">
        <v>259</v>
      </c>
      <c r="L1292" s="166">
        <v>1</v>
      </c>
      <c r="M1292" s="166">
        <v>3</v>
      </c>
      <c r="N1292" s="166">
        <v>2</v>
      </c>
      <c r="O1292" s="166">
        <v>3</v>
      </c>
      <c r="P1292" s="166">
        <v>2</v>
      </c>
      <c r="R1292" s="165" t="s">
        <v>2245</v>
      </c>
      <c r="S1292" s="81" t="s">
        <v>121</v>
      </c>
      <c r="T1292" s="349">
        <v>43048</v>
      </c>
      <c r="W1292" s="81" t="s">
        <v>114</v>
      </c>
      <c r="Y1292" s="81" t="s">
        <v>115</v>
      </c>
      <c r="Z1292" s="81" t="s">
        <v>398</v>
      </c>
      <c r="AA1292" s="81" t="s">
        <v>117</v>
      </c>
      <c r="AB1292" s="81" t="s">
        <v>220</v>
      </c>
      <c r="AC1292" s="166">
        <v>0</v>
      </c>
      <c r="AG1292" s="81" t="s">
        <v>238</v>
      </c>
      <c r="AH1292" s="81" t="s">
        <v>118</v>
      </c>
      <c r="AK1292" s="166">
        <v>0</v>
      </c>
      <c r="AM1292" s="166">
        <v>0</v>
      </c>
      <c r="AO1292" s="166">
        <v>0</v>
      </c>
      <c r="AP1292" s="166">
        <v>3</v>
      </c>
      <c r="AQ1292" s="166">
        <v>0</v>
      </c>
      <c r="AR1292" s="166">
        <v>0</v>
      </c>
      <c r="AS1292" s="166">
        <v>-1</v>
      </c>
      <c r="AT1292" s="166">
        <v>0</v>
      </c>
      <c r="AU1292" s="166">
        <v>0</v>
      </c>
      <c r="AV1292" s="166">
        <v>0</v>
      </c>
      <c r="AW1292" s="166">
        <v>3</v>
      </c>
      <c r="AX1292" s="166">
        <v>0</v>
      </c>
      <c r="AY1292" s="166">
        <v>0</v>
      </c>
      <c r="AZ1292" s="166">
        <v>-1</v>
      </c>
      <c r="BA1292" s="166">
        <v>0</v>
      </c>
      <c r="BB1292" s="166">
        <v>0</v>
      </c>
      <c r="BC1292" s="166">
        <v>0</v>
      </c>
      <c r="BD1292" s="166">
        <v>0</v>
      </c>
      <c r="BE1292" s="166">
        <v>0</v>
      </c>
      <c r="BF1292" s="166">
        <v>0</v>
      </c>
      <c r="BG1292" s="166">
        <v>0</v>
      </c>
      <c r="BH1292" s="166">
        <v>0</v>
      </c>
      <c r="BI1292" s="166">
        <v>0</v>
      </c>
      <c r="BJ1292" s="166">
        <v>0</v>
      </c>
      <c r="BK1292" s="166">
        <v>0</v>
      </c>
      <c r="BL1292" s="166">
        <v>0</v>
      </c>
      <c r="BM1292" s="166">
        <v>0</v>
      </c>
      <c r="BN1292" s="166">
        <v>0</v>
      </c>
      <c r="BO1292" s="166">
        <v>0</v>
      </c>
      <c r="BP1292" s="166">
        <v>0</v>
      </c>
      <c r="BQ1292" s="81" t="s">
        <v>1758</v>
      </c>
      <c r="BR1292" s="81" t="s">
        <v>161</v>
      </c>
      <c r="BZ1292" s="81" t="s">
        <v>155</v>
      </c>
      <c r="CA1292" s="81">
        <v>10</v>
      </c>
      <c r="CC1292" s="167">
        <v>0</v>
      </c>
      <c r="CD1292" s="167">
        <v>0</v>
      </c>
      <c r="CE1292" s="167">
        <v>0</v>
      </c>
      <c r="CF1292" s="167">
        <v>0</v>
      </c>
      <c r="CG1292" s="167">
        <v>0</v>
      </c>
      <c r="CH1292" s="167">
        <f>$N1292/3</f>
        <v>0.66666666666666663</v>
      </c>
      <c r="CI1292" s="167">
        <f>$N1292/3</f>
        <v>0.66666666666666663</v>
      </c>
      <c r="CJ1292" s="167">
        <f>$N1292/3</f>
        <v>0.66666666666666663</v>
      </c>
      <c r="CK1292" s="167">
        <v>0</v>
      </c>
      <c r="CL1292" s="167">
        <v>0</v>
      </c>
      <c r="CM1292" s="167">
        <v>0</v>
      </c>
      <c r="CN1292" s="167">
        <v>0</v>
      </c>
      <c r="CO1292" s="167">
        <v>0</v>
      </c>
      <c r="CP1292" s="167">
        <v>0</v>
      </c>
      <c r="CQ1292" s="167">
        <v>0</v>
      </c>
      <c r="CR1292" s="167">
        <v>0</v>
      </c>
      <c r="CS1292" s="167">
        <v>0</v>
      </c>
      <c r="CT1292" s="167">
        <v>0</v>
      </c>
      <c r="CU1292" s="167">
        <v>0</v>
      </c>
      <c r="CV1292" s="167">
        <v>0</v>
      </c>
      <c r="CW1292" s="167">
        <v>0</v>
      </c>
      <c r="CX1292" s="167">
        <f>SUM(CD1292:CH1292)</f>
        <v>0.66666666666666663</v>
      </c>
      <c r="CY1292" s="167">
        <f>SUM(CD1292:CM1292)</f>
        <v>2</v>
      </c>
    </row>
    <row r="1293" spans="1:103" ht="12.75" customHeight="1" x14ac:dyDescent="0.2">
      <c r="A1293" s="81">
        <v>6749</v>
      </c>
      <c r="B1293" s="165" t="s">
        <v>1955</v>
      </c>
      <c r="C1293" s="165" t="s">
        <v>2246</v>
      </c>
      <c r="E1293" s="165" t="s">
        <v>2247</v>
      </c>
      <c r="G1293" s="81">
        <v>527437</v>
      </c>
      <c r="H1293" s="81">
        <v>171695</v>
      </c>
      <c r="I1293" s="165" t="s">
        <v>242</v>
      </c>
      <c r="L1293" s="166">
        <v>1</v>
      </c>
      <c r="M1293" s="166">
        <v>2</v>
      </c>
      <c r="N1293" s="166">
        <v>1</v>
      </c>
      <c r="O1293" s="166">
        <v>2</v>
      </c>
      <c r="P1293" s="166">
        <v>1</v>
      </c>
      <c r="R1293" s="165" t="s">
        <v>2248</v>
      </c>
      <c r="S1293" s="81" t="s">
        <v>121</v>
      </c>
      <c r="T1293" s="349">
        <v>43166</v>
      </c>
      <c r="W1293" s="81" t="s">
        <v>114</v>
      </c>
      <c r="Y1293" s="81" t="s">
        <v>115</v>
      </c>
      <c r="Z1293" s="81" t="s">
        <v>398</v>
      </c>
      <c r="AA1293" s="81" t="s">
        <v>117</v>
      </c>
      <c r="AB1293" s="81" t="s">
        <v>120</v>
      </c>
      <c r="AC1293" s="166">
        <v>1.30000002682209E-2</v>
      </c>
      <c r="AG1293" s="81" t="s">
        <v>238</v>
      </c>
      <c r="AH1293" s="81" t="s">
        <v>118</v>
      </c>
      <c r="AK1293" s="166">
        <v>0</v>
      </c>
      <c r="AM1293" s="166">
        <v>0</v>
      </c>
      <c r="AO1293" s="166">
        <v>0</v>
      </c>
      <c r="AP1293" s="166">
        <v>2</v>
      </c>
      <c r="AQ1293" s="166">
        <v>0</v>
      </c>
      <c r="AR1293" s="166">
        <v>-1</v>
      </c>
      <c r="AS1293" s="166">
        <v>0</v>
      </c>
      <c r="AT1293" s="166">
        <v>0</v>
      </c>
      <c r="AU1293" s="166">
        <v>0</v>
      </c>
      <c r="AV1293" s="166">
        <v>0</v>
      </c>
      <c r="AW1293" s="166">
        <v>2</v>
      </c>
      <c r="AX1293" s="166">
        <v>0</v>
      </c>
      <c r="AY1293" s="166">
        <v>0</v>
      </c>
      <c r="AZ1293" s="166">
        <v>0</v>
      </c>
      <c r="BA1293" s="166">
        <v>0</v>
      </c>
      <c r="BB1293" s="166">
        <v>0</v>
      </c>
      <c r="BC1293" s="166">
        <v>0</v>
      </c>
      <c r="BD1293" s="166">
        <v>0</v>
      </c>
      <c r="BE1293" s="166">
        <v>0</v>
      </c>
      <c r="BF1293" s="166">
        <v>-1</v>
      </c>
      <c r="BG1293" s="166">
        <v>0</v>
      </c>
      <c r="BH1293" s="166">
        <v>0</v>
      </c>
      <c r="BI1293" s="166">
        <v>0</v>
      </c>
      <c r="BJ1293" s="166">
        <v>0</v>
      </c>
      <c r="BK1293" s="166">
        <v>0</v>
      </c>
      <c r="BL1293" s="166">
        <v>0</v>
      </c>
      <c r="BM1293" s="166">
        <v>0</v>
      </c>
      <c r="BN1293" s="166">
        <v>0</v>
      </c>
      <c r="BO1293" s="166">
        <v>0</v>
      </c>
      <c r="BP1293" s="166">
        <v>0</v>
      </c>
      <c r="BQ1293" s="81" t="s">
        <v>1757</v>
      </c>
      <c r="BZ1293" s="81" t="s">
        <v>155</v>
      </c>
      <c r="CA1293" s="81">
        <v>10</v>
      </c>
      <c r="CC1293" s="167">
        <v>0</v>
      </c>
      <c r="CD1293" s="167">
        <v>0</v>
      </c>
      <c r="CE1293" s="167">
        <v>0</v>
      </c>
      <c r="CF1293" s="167">
        <v>0</v>
      </c>
      <c r="CG1293" s="167">
        <v>0</v>
      </c>
      <c r="CH1293" s="167">
        <f>$N1293/3</f>
        <v>0.33333333333333331</v>
      </c>
      <c r="CI1293" s="167">
        <f>$N1293/3</f>
        <v>0.33333333333333331</v>
      </c>
      <c r="CJ1293" s="167">
        <f>$N1293/3</f>
        <v>0.33333333333333331</v>
      </c>
      <c r="CK1293" s="167">
        <v>0</v>
      </c>
      <c r="CL1293" s="167">
        <v>0</v>
      </c>
      <c r="CM1293" s="167">
        <v>0</v>
      </c>
      <c r="CN1293" s="167">
        <v>0</v>
      </c>
      <c r="CO1293" s="167">
        <v>0</v>
      </c>
      <c r="CP1293" s="167">
        <v>0</v>
      </c>
      <c r="CQ1293" s="167">
        <v>0</v>
      </c>
      <c r="CR1293" s="167">
        <v>0</v>
      </c>
      <c r="CS1293" s="167">
        <v>0</v>
      </c>
      <c r="CT1293" s="167">
        <v>0</v>
      </c>
      <c r="CU1293" s="167">
        <v>0</v>
      </c>
      <c r="CV1293" s="167">
        <v>0</v>
      </c>
      <c r="CW1293" s="167">
        <v>0</v>
      </c>
      <c r="CX1293" s="167">
        <f>SUM(CD1293:CH1293)</f>
        <v>0.33333333333333331</v>
      </c>
      <c r="CY1293" s="167">
        <f>SUM(CD1293:CM1293)</f>
        <v>1</v>
      </c>
    </row>
    <row r="1294" spans="1:103" ht="12.75" customHeight="1" x14ac:dyDescent="0.2">
      <c r="A1294" s="81">
        <v>6757</v>
      </c>
      <c r="B1294" s="165" t="s">
        <v>1955</v>
      </c>
      <c r="C1294" s="165" t="s">
        <v>2249</v>
      </c>
      <c r="E1294" s="165" t="s">
        <v>2250</v>
      </c>
      <c r="G1294" s="81">
        <v>525222</v>
      </c>
      <c r="H1294" s="81">
        <v>174998</v>
      </c>
      <c r="I1294" s="165" t="s">
        <v>251</v>
      </c>
      <c r="L1294" s="166">
        <v>0</v>
      </c>
      <c r="M1294" s="166">
        <v>9</v>
      </c>
      <c r="N1294" s="166">
        <v>9</v>
      </c>
      <c r="O1294" s="166">
        <v>9</v>
      </c>
      <c r="P1294" s="166">
        <v>9</v>
      </c>
      <c r="R1294" s="165" t="s">
        <v>2251</v>
      </c>
      <c r="S1294" s="81" t="s">
        <v>121</v>
      </c>
      <c r="T1294" s="349">
        <v>43074</v>
      </c>
      <c r="W1294" s="81" t="s">
        <v>114</v>
      </c>
      <c r="Y1294" s="81" t="s">
        <v>115</v>
      </c>
      <c r="Z1294" s="81" t="s">
        <v>116</v>
      </c>
      <c r="AA1294" s="81" t="s">
        <v>117</v>
      </c>
      <c r="AB1294" s="81" t="s">
        <v>218</v>
      </c>
      <c r="AC1294" s="166">
        <v>4.8999998718500103E-2</v>
      </c>
      <c r="AG1294" s="81" t="s">
        <v>238</v>
      </c>
      <c r="AH1294" s="81" t="s">
        <v>118</v>
      </c>
      <c r="AK1294" s="166">
        <v>0</v>
      </c>
      <c r="AL1294" s="166">
        <v>8</v>
      </c>
      <c r="AM1294" s="166">
        <v>0</v>
      </c>
      <c r="AN1294" s="166">
        <v>1</v>
      </c>
      <c r="AO1294" s="166">
        <v>0</v>
      </c>
      <c r="AP1294" s="166">
        <v>4</v>
      </c>
      <c r="AQ1294" s="166">
        <v>5</v>
      </c>
      <c r="AR1294" s="166">
        <v>0</v>
      </c>
      <c r="AS1294" s="166">
        <v>0</v>
      </c>
      <c r="AT1294" s="166">
        <v>0</v>
      </c>
      <c r="AU1294" s="166">
        <v>0</v>
      </c>
      <c r="AV1294" s="166">
        <v>0</v>
      </c>
      <c r="AW1294" s="166">
        <v>4</v>
      </c>
      <c r="AX1294" s="166">
        <v>5</v>
      </c>
      <c r="AY1294" s="166">
        <v>0</v>
      </c>
      <c r="AZ1294" s="166">
        <v>0</v>
      </c>
      <c r="BA1294" s="166">
        <v>0</v>
      </c>
      <c r="BB1294" s="166">
        <v>0</v>
      </c>
      <c r="BC1294" s="166">
        <v>0</v>
      </c>
      <c r="BD1294" s="166">
        <v>0</v>
      </c>
      <c r="BE1294" s="166">
        <v>0</v>
      </c>
      <c r="BF1294" s="166">
        <v>0</v>
      </c>
      <c r="BG1294" s="166">
        <v>0</v>
      </c>
      <c r="BH1294" s="166">
        <v>0</v>
      </c>
      <c r="BI1294" s="166">
        <v>0</v>
      </c>
      <c r="BJ1294" s="166">
        <v>0</v>
      </c>
      <c r="BK1294" s="166">
        <v>0</v>
      </c>
      <c r="BL1294" s="166">
        <v>0</v>
      </c>
      <c r="BM1294" s="166">
        <v>0</v>
      </c>
      <c r="BN1294" s="166">
        <v>0</v>
      </c>
      <c r="BO1294" s="166">
        <v>0</v>
      </c>
      <c r="BP1294" s="166">
        <v>0</v>
      </c>
      <c r="BQ1294" s="81" t="s">
        <v>1758</v>
      </c>
      <c r="BT1294" s="81" t="s">
        <v>155</v>
      </c>
      <c r="BZ1294" s="81" t="s">
        <v>155</v>
      </c>
      <c r="CA1294" s="81">
        <v>6</v>
      </c>
      <c r="CC1294" s="167">
        <v>0</v>
      </c>
      <c r="CD1294" s="167">
        <v>0</v>
      </c>
      <c r="CE1294" s="167">
        <v>0</v>
      </c>
      <c r="CF1294" s="167">
        <v>0</v>
      </c>
      <c r="CG1294" s="167">
        <v>0</v>
      </c>
      <c r="CH1294" s="167">
        <f>$N1294/3</f>
        <v>3</v>
      </c>
      <c r="CI1294" s="167">
        <f>$N1294/3</f>
        <v>3</v>
      </c>
      <c r="CJ1294" s="167">
        <f>$N1294/3</f>
        <v>3</v>
      </c>
      <c r="CK1294" s="167">
        <v>0</v>
      </c>
      <c r="CL1294" s="167">
        <v>0</v>
      </c>
      <c r="CM1294" s="167">
        <v>0</v>
      </c>
      <c r="CN1294" s="167">
        <v>0</v>
      </c>
      <c r="CO1294" s="167">
        <v>0</v>
      </c>
      <c r="CP1294" s="167">
        <v>0</v>
      </c>
      <c r="CQ1294" s="167">
        <v>0</v>
      </c>
      <c r="CR1294" s="167">
        <v>0</v>
      </c>
      <c r="CS1294" s="167">
        <v>0</v>
      </c>
      <c r="CT1294" s="167">
        <v>0</v>
      </c>
      <c r="CU1294" s="167">
        <v>0</v>
      </c>
      <c r="CV1294" s="167">
        <v>0</v>
      </c>
      <c r="CW1294" s="167">
        <v>0</v>
      </c>
      <c r="CX1294" s="167">
        <f>SUM(CD1294:CH1294)</f>
        <v>3</v>
      </c>
      <c r="CY1294" s="167">
        <f>SUM(CD1294:CM1294)</f>
        <v>9</v>
      </c>
    </row>
    <row r="1295" spans="1:103" ht="12.75" customHeight="1" x14ac:dyDescent="0.2">
      <c r="A1295" s="81">
        <v>6758</v>
      </c>
      <c r="B1295" s="165" t="s">
        <v>1955</v>
      </c>
      <c r="C1295" s="165" t="s">
        <v>3462</v>
      </c>
      <c r="E1295" s="165" t="s">
        <v>3463</v>
      </c>
      <c r="G1295" s="81">
        <v>527876</v>
      </c>
      <c r="H1295" s="81">
        <v>171066</v>
      </c>
      <c r="I1295" s="165" t="s">
        <v>253</v>
      </c>
      <c r="L1295" s="166">
        <v>0</v>
      </c>
      <c r="M1295" s="166">
        <v>10</v>
      </c>
      <c r="N1295" s="166">
        <v>10</v>
      </c>
      <c r="O1295" s="166">
        <v>10</v>
      </c>
      <c r="P1295" s="166">
        <v>10</v>
      </c>
      <c r="Q1295" s="81" t="s">
        <v>155</v>
      </c>
      <c r="R1295" s="165" t="s">
        <v>3464</v>
      </c>
      <c r="S1295" s="81" t="s">
        <v>121</v>
      </c>
      <c r="T1295" s="349">
        <v>43075</v>
      </c>
      <c r="W1295" s="81" t="s">
        <v>114</v>
      </c>
      <c r="Y1295" s="81" t="s">
        <v>115</v>
      </c>
      <c r="Z1295" s="81" t="s">
        <v>116</v>
      </c>
      <c r="AA1295" s="81" t="s">
        <v>116</v>
      </c>
      <c r="AB1295" s="81" t="s">
        <v>117</v>
      </c>
      <c r="AC1295" s="166">
        <v>0.10700000077485999</v>
      </c>
      <c r="AG1295" s="81" t="s">
        <v>238</v>
      </c>
      <c r="AH1295" s="81" t="s">
        <v>118</v>
      </c>
      <c r="AK1295" s="166">
        <v>0</v>
      </c>
      <c r="AM1295" s="166">
        <v>0</v>
      </c>
      <c r="AO1295" s="166">
        <v>0</v>
      </c>
      <c r="AP1295" s="166">
        <v>0</v>
      </c>
      <c r="AQ1295" s="166">
        <v>5</v>
      </c>
      <c r="AR1295" s="166">
        <v>5</v>
      </c>
      <c r="AS1295" s="166">
        <v>0</v>
      </c>
      <c r="AT1295" s="166">
        <v>0</v>
      </c>
      <c r="AU1295" s="166">
        <v>0</v>
      </c>
      <c r="AV1295" s="166">
        <v>0</v>
      </c>
      <c r="AW1295" s="166">
        <v>0</v>
      </c>
      <c r="AX1295" s="166">
        <v>5</v>
      </c>
      <c r="AY1295" s="166">
        <v>5</v>
      </c>
      <c r="AZ1295" s="166">
        <v>0</v>
      </c>
      <c r="BA1295" s="166">
        <v>0</v>
      </c>
      <c r="BB1295" s="166">
        <v>0</v>
      </c>
      <c r="BC1295" s="166">
        <v>0</v>
      </c>
      <c r="BD1295" s="166">
        <v>0</v>
      </c>
      <c r="BE1295" s="166">
        <v>0</v>
      </c>
      <c r="BF1295" s="166">
        <v>0</v>
      </c>
      <c r="BG1295" s="166">
        <v>0</v>
      </c>
      <c r="BH1295" s="166">
        <v>0</v>
      </c>
      <c r="BI1295" s="166">
        <v>0</v>
      </c>
      <c r="BJ1295" s="166">
        <v>0</v>
      </c>
      <c r="BK1295" s="166">
        <v>0</v>
      </c>
      <c r="BL1295" s="166">
        <v>0</v>
      </c>
      <c r="BM1295" s="166">
        <v>0</v>
      </c>
      <c r="BN1295" s="166">
        <v>0</v>
      </c>
      <c r="BO1295" s="166">
        <v>0</v>
      </c>
      <c r="BP1295" s="166">
        <v>0</v>
      </c>
      <c r="BQ1295" s="81" t="s">
        <v>1757</v>
      </c>
      <c r="BR1295" s="81" t="s">
        <v>242</v>
      </c>
      <c r="BZ1295" s="81" t="s">
        <v>155</v>
      </c>
      <c r="CA1295" s="81">
        <v>6</v>
      </c>
      <c r="CC1295" s="167">
        <v>0</v>
      </c>
      <c r="CD1295" s="167">
        <v>0</v>
      </c>
      <c r="CE1295" s="167">
        <v>0</v>
      </c>
      <c r="CF1295" s="167">
        <v>0</v>
      </c>
      <c r="CG1295" s="167">
        <v>0</v>
      </c>
      <c r="CH1295" s="167">
        <f>$N1295/3</f>
        <v>3.3333333333333335</v>
      </c>
      <c r="CI1295" s="167">
        <f>$N1295/3</f>
        <v>3.3333333333333335</v>
      </c>
      <c r="CJ1295" s="167">
        <f>$N1295/3</f>
        <v>3.3333333333333335</v>
      </c>
      <c r="CK1295" s="167">
        <v>0</v>
      </c>
      <c r="CL1295" s="167">
        <v>0</v>
      </c>
      <c r="CM1295" s="167">
        <v>0</v>
      </c>
      <c r="CN1295" s="167">
        <v>0</v>
      </c>
      <c r="CO1295" s="167">
        <v>0</v>
      </c>
      <c r="CP1295" s="167">
        <v>0</v>
      </c>
      <c r="CQ1295" s="167">
        <v>0</v>
      </c>
      <c r="CR1295" s="167">
        <v>0</v>
      </c>
      <c r="CS1295" s="167">
        <v>0</v>
      </c>
      <c r="CT1295" s="167">
        <v>0</v>
      </c>
      <c r="CU1295" s="167">
        <v>0</v>
      </c>
      <c r="CV1295" s="167">
        <v>0</v>
      </c>
      <c r="CW1295" s="167">
        <v>0</v>
      </c>
      <c r="CX1295" s="167">
        <f>SUM(CD1295:CH1295)</f>
        <v>3.3333333333333335</v>
      </c>
      <c r="CY1295" s="167">
        <f>SUM(CD1295:CM1295)</f>
        <v>10</v>
      </c>
    </row>
    <row r="1296" spans="1:103" ht="12.75" customHeight="1" x14ac:dyDescent="0.2">
      <c r="A1296" s="81">
        <v>6764</v>
      </c>
      <c r="B1296" s="165" t="s">
        <v>1955</v>
      </c>
      <c r="C1296" s="165" t="s">
        <v>2252</v>
      </c>
      <c r="E1296" s="165" t="s">
        <v>2253</v>
      </c>
      <c r="G1296" s="81">
        <v>524365</v>
      </c>
      <c r="H1296" s="81">
        <v>173954</v>
      </c>
      <c r="I1296" s="165" t="s">
        <v>111</v>
      </c>
      <c r="L1296" s="166">
        <v>0</v>
      </c>
      <c r="M1296" s="166">
        <v>4</v>
      </c>
      <c r="N1296" s="166">
        <v>4</v>
      </c>
      <c r="O1296" s="166">
        <v>4</v>
      </c>
      <c r="P1296" s="166">
        <v>4</v>
      </c>
      <c r="R1296" s="165" t="s">
        <v>2254</v>
      </c>
      <c r="S1296" s="81" t="s">
        <v>121</v>
      </c>
      <c r="T1296" s="349">
        <v>43097</v>
      </c>
      <c r="W1296" s="81" t="s">
        <v>114</v>
      </c>
      <c r="Y1296" s="81" t="s">
        <v>115</v>
      </c>
      <c r="Z1296" s="81" t="s">
        <v>116</v>
      </c>
      <c r="AA1296" s="81" t="s">
        <v>117</v>
      </c>
      <c r="AB1296" s="81" t="s">
        <v>218</v>
      </c>
      <c r="AC1296" s="166">
        <v>2.9999999329447701E-2</v>
      </c>
      <c r="AG1296" s="81" t="s">
        <v>154</v>
      </c>
      <c r="AH1296" s="81" t="s">
        <v>38</v>
      </c>
      <c r="AK1296" s="166">
        <v>0</v>
      </c>
      <c r="AM1296" s="166">
        <v>0</v>
      </c>
      <c r="AO1296" s="166">
        <v>0</v>
      </c>
      <c r="AP1296" s="166">
        <v>1</v>
      </c>
      <c r="AQ1296" s="166">
        <v>3</v>
      </c>
      <c r="AR1296" s="166">
        <v>0</v>
      </c>
      <c r="AS1296" s="166">
        <v>0</v>
      </c>
      <c r="AT1296" s="166">
        <v>0</v>
      </c>
      <c r="AU1296" s="166">
        <v>0</v>
      </c>
      <c r="AV1296" s="166">
        <v>0</v>
      </c>
      <c r="AW1296" s="166">
        <v>1</v>
      </c>
      <c r="AX1296" s="166">
        <v>3</v>
      </c>
      <c r="AY1296" s="166">
        <v>0</v>
      </c>
      <c r="AZ1296" s="166">
        <v>0</v>
      </c>
      <c r="BA1296" s="166">
        <v>0</v>
      </c>
      <c r="BB1296" s="166">
        <v>0</v>
      </c>
      <c r="BC1296" s="166">
        <v>0</v>
      </c>
      <c r="BD1296" s="166">
        <v>0</v>
      </c>
      <c r="BE1296" s="166">
        <v>0</v>
      </c>
      <c r="BF1296" s="166">
        <v>0</v>
      </c>
      <c r="BG1296" s="166">
        <v>0</v>
      </c>
      <c r="BH1296" s="166">
        <v>0</v>
      </c>
      <c r="BI1296" s="166">
        <v>0</v>
      </c>
      <c r="BJ1296" s="166">
        <v>0</v>
      </c>
      <c r="BK1296" s="166">
        <v>0</v>
      </c>
      <c r="BL1296" s="166">
        <v>0</v>
      </c>
      <c r="BM1296" s="166">
        <v>0</v>
      </c>
      <c r="BN1296" s="166">
        <v>0</v>
      </c>
      <c r="BO1296" s="166">
        <v>0</v>
      </c>
      <c r="BP1296" s="166">
        <v>0</v>
      </c>
      <c r="BQ1296" s="81" t="s">
        <v>1758</v>
      </c>
      <c r="BZ1296" s="81" t="s">
        <v>155</v>
      </c>
      <c r="CA1296" s="81">
        <v>6</v>
      </c>
      <c r="CC1296" s="167">
        <v>0</v>
      </c>
      <c r="CD1296" s="167">
        <v>0</v>
      </c>
      <c r="CE1296" s="167">
        <v>0</v>
      </c>
      <c r="CF1296" s="167">
        <v>0</v>
      </c>
      <c r="CG1296" s="167">
        <v>0</v>
      </c>
      <c r="CH1296" s="167">
        <f>$N1296/3</f>
        <v>1.3333333333333333</v>
      </c>
      <c r="CI1296" s="167">
        <f>$N1296/3</f>
        <v>1.3333333333333333</v>
      </c>
      <c r="CJ1296" s="167">
        <f>$N1296/3</f>
        <v>1.3333333333333333</v>
      </c>
      <c r="CK1296" s="167">
        <v>0</v>
      </c>
      <c r="CL1296" s="167">
        <v>0</v>
      </c>
      <c r="CM1296" s="167">
        <v>0</v>
      </c>
      <c r="CN1296" s="167">
        <v>0</v>
      </c>
      <c r="CO1296" s="167">
        <v>0</v>
      </c>
      <c r="CP1296" s="167">
        <v>0</v>
      </c>
      <c r="CQ1296" s="167">
        <v>0</v>
      </c>
      <c r="CR1296" s="167">
        <v>0</v>
      </c>
      <c r="CS1296" s="167">
        <v>0</v>
      </c>
      <c r="CT1296" s="167">
        <v>0</v>
      </c>
      <c r="CU1296" s="167">
        <v>0</v>
      </c>
      <c r="CV1296" s="167">
        <v>0</v>
      </c>
      <c r="CW1296" s="167">
        <v>0</v>
      </c>
      <c r="CX1296" s="167">
        <f>SUM(CD1296:CH1296)</f>
        <v>1.3333333333333333</v>
      </c>
      <c r="CY1296" s="167">
        <f>SUM(CD1296:CM1296)</f>
        <v>4</v>
      </c>
    </row>
    <row r="1297" spans="1:103" ht="12.75" customHeight="1" x14ac:dyDescent="0.2">
      <c r="A1297" s="81">
        <v>6765</v>
      </c>
      <c r="B1297" s="165" t="s">
        <v>1955</v>
      </c>
      <c r="C1297" s="165" t="s">
        <v>2255</v>
      </c>
      <c r="E1297" s="165" t="s">
        <v>3954</v>
      </c>
      <c r="G1297" s="81">
        <v>529291</v>
      </c>
      <c r="H1297" s="81">
        <v>171713</v>
      </c>
      <c r="I1297" s="165" t="s">
        <v>252</v>
      </c>
      <c r="L1297" s="166">
        <v>0</v>
      </c>
      <c r="M1297" s="166">
        <v>8</v>
      </c>
      <c r="N1297" s="166">
        <v>8</v>
      </c>
      <c r="O1297" s="166">
        <v>8</v>
      </c>
      <c r="P1297" s="166">
        <v>8</v>
      </c>
      <c r="R1297" s="165" t="s">
        <v>2256</v>
      </c>
      <c r="S1297" s="81" t="s">
        <v>121</v>
      </c>
      <c r="T1297" s="349">
        <v>43090</v>
      </c>
      <c r="W1297" s="81" t="s">
        <v>114</v>
      </c>
      <c r="Y1297" s="81" t="s">
        <v>115</v>
      </c>
      <c r="Z1297" s="81" t="s">
        <v>116</v>
      </c>
      <c r="AA1297" s="81" t="s">
        <v>117</v>
      </c>
      <c r="AB1297" s="81" t="s">
        <v>218</v>
      </c>
      <c r="AC1297" s="166">
        <v>3.70000004768372E-2</v>
      </c>
      <c r="AG1297" s="81" t="s">
        <v>154</v>
      </c>
      <c r="AH1297" s="81" t="s">
        <v>38</v>
      </c>
      <c r="AK1297" s="166">
        <v>0</v>
      </c>
      <c r="AM1297" s="166">
        <v>0</v>
      </c>
      <c r="AN1297" s="166">
        <v>2</v>
      </c>
      <c r="AO1297" s="166">
        <v>0</v>
      </c>
      <c r="AP1297" s="166">
        <v>8</v>
      </c>
      <c r="AQ1297" s="166">
        <v>0</v>
      </c>
      <c r="AR1297" s="166">
        <v>0</v>
      </c>
      <c r="AS1297" s="166">
        <v>0</v>
      </c>
      <c r="AT1297" s="166">
        <v>0</v>
      </c>
      <c r="AU1297" s="166">
        <v>0</v>
      </c>
      <c r="AV1297" s="166">
        <v>0</v>
      </c>
      <c r="AW1297" s="166">
        <v>8</v>
      </c>
      <c r="AX1297" s="166">
        <v>0</v>
      </c>
      <c r="AY1297" s="166">
        <v>0</v>
      </c>
      <c r="AZ1297" s="166">
        <v>0</v>
      </c>
      <c r="BA1297" s="166">
        <v>0</v>
      </c>
      <c r="BB1297" s="166">
        <v>0</v>
      </c>
      <c r="BC1297" s="166">
        <v>0</v>
      </c>
      <c r="BD1297" s="166">
        <v>0</v>
      </c>
      <c r="BE1297" s="166">
        <v>0</v>
      </c>
      <c r="BF1297" s="166">
        <v>0</v>
      </c>
      <c r="BG1297" s="166">
        <v>0</v>
      </c>
      <c r="BH1297" s="166">
        <v>0</v>
      </c>
      <c r="BI1297" s="166">
        <v>0</v>
      </c>
      <c r="BJ1297" s="166">
        <v>0</v>
      </c>
      <c r="BK1297" s="166">
        <v>0</v>
      </c>
      <c r="BL1297" s="166">
        <v>0</v>
      </c>
      <c r="BM1297" s="166">
        <v>0</v>
      </c>
      <c r="BN1297" s="166">
        <v>0</v>
      </c>
      <c r="BO1297" s="166">
        <v>0</v>
      </c>
      <c r="BP1297" s="166">
        <v>0</v>
      </c>
      <c r="BQ1297" s="81" t="s">
        <v>1757</v>
      </c>
      <c r="BZ1297" s="81" t="s">
        <v>155</v>
      </c>
      <c r="CA1297" s="81">
        <v>6</v>
      </c>
      <c r="CC1297" s="167">
        <v>0</v>
      </c>
      <c r="CD1297" s="167">
        <v>0</v>
      </c>
      <c r="CE1297" s="167">
        <v>0</v>
      </c>
      <c r="CF1297" s="167">
        <v>0</v>
      </c>
      <c r="CG1297" s="167">
        <v>0</v>
      </c>
      <c r="CH1297" s="167">
        <f>$N1297/3</f>
        <v>2.6666666666666665</v>
      </c>
      <c r="CI1297" s="167">
        <f>$N1297/3</f>
        <v>2.6666666666666665</v>
      </c>
      <c r="CJ1297" s="167">
        <f>$N1297/3</f>
        <v>2.6666666666666665</v>
      </c>
      <c r="CK1297" s="167">
        <v>0</v>
      </c>
      <c r="CL1297" s="167">
        <v>0</v>
      </c>
      <c r="CM1297" s="167">
        <v>0</v>
      </c>
      <c r="CN1297" s="167">
        <v>0</v>
      </c>
      <c r="CO1297" s="167">
        <v>0</v>
      </c>
      <c r="CP1297" s="167">
        <v>0</v>
      </c>
      <c r="CQ1297" s="167">
        <v>0</v>
      </c>
      <c r="CR1297" s="167">
        <v>0</v>
      </c>
      <c r="CS1297" s="167">
        <v>0</v>
      </c>
      <c r="CT1297" s="167">
        <v>0</v>
      </c>
      <c r="CU1297" s="167">
        <v>0</v>
      </c>
      <c r="CV1297" s="167">
        <v>0</v>
      </c>
      <c r="CW1297" s="167">
        <v>0</v>
      </c>
      <c r="CX1297" s="167">
        <f>SUM(CD1297:CH1297)</f>
        <v>2.6666666666666665</v>
      </c>
      <c r="CY1297" s="167">
        <f>SUM(CD1297:CM1297)</f>
        <v>8</v>
      </c>
    </row>
    <row r="1298" spans="1:103" ht="12.75" customHeight="1" x14ac:dyDescent="0.2">
      <c r="A1298" s="81">
        <v>6766</v>
      </c>
      <c r="B1298" s="165" t="s">
        <v>1955</v>
      </c>
      <c r="C1298" s="165" t="s">
        <v>3465</v>
      </c>
      <c r="E1298" s="165" t="s">
        <v>3466</v>
      </c>
      <c r="F1298" s="165" t="s">
        <v>3468</v>
      </c>
      <c r="G1298" s="81">
        <v>526808</v>
      </c>
      <c r="H1298" s="81">
        <v>175510</v>
      </c>
      <c r="I1298" s="165" t="s">
        <v>241</v>
      </c>
      <c r="L1298" s="166">
        <v>0</v>
      </c>
      <c r="M1298" s="166">
        <v>46</v>
      </c>
      <c r="N1298" s="166">
        <v>46</v>
      </c>
      <c r="O1298" s="166">
        <v>139</v>
      </c>
      <c r="P1298" s="166">
        <v>139</v>
      </c>
      <c r="Q1298" s="81" t="s">
        <v>155</v>
      </c>
      <c r="R1298" s="165" t="s">
        <v>3467</v>
      </c>
      <c r="S1298" s="81" t="s">
        <v>121</v>
      </c>
      <c r="T1298" s="349">
        <v>43087</v>
      </c>
      <c r="W1298" s="81" t="s">
        <v>114</v>
      </c>
      <c r="Y1298" s="81" t="s">
        <v>115</v>
      </c>
      <c r="Z1298" s="81" t="s">
        <v>116</v>
      </c>
      <c r="AA1298" s="81" t="s">
        <v>116</v>
      </c>
      <c r="AB1298" s="81" t="s">
        <v>117</v>
      </c>
      <c r="AC1298" s="166">
        <v>7.1000002324581105E-2</v>
      </c>
      <c r="AG1298" s="81" t="s">
        <v>154</v>
      </c>
      <c r="AH1298" s="81" t="s">
        <v>38</v>
      </c>
      <c r="AK1298" s="166">
        <v>0</v>
      </c>
      <c r="AL1298" s="166">
        <v>41</v>
      </c>
      <c r="AM1298" s="166">
        <v>0</v>
      </c>
      <c r="AN1298" s="166">
        <v>5</v>
      </c>
      <c r="AO1298" s="166">
        <v>0</v>
      </c>
      <c r="AP1298" s="166">
        <v>25</v>
      </c>
      <c r="AQ1298" s="166">
        <v>21</v>
      </c>
      <c r="AR1298" s="166">
        <v>0</v>
      </c>
      <c r="AS1298" s="166">
        <v>0</v>
      </c>
      <c r="AT1298" s="166">
        <v>0</v>
      </c>
      <c r="AU1298" s="166">
        <v>0</v>
      </c>
      <c r="AV1298" s="166">
        <v>0</v>
      </c>
      <c r="AW1298" s="166">
        <v>25</v>
      </c>
      <c r="AX1298" s="166">
        <v>21</v>
      </c>
      <c r="AY1298" s="166">
        <v>0</v>
      </c>
      <c r="AZ1298" s="166">
        <v>0</v>
      </c>
      <c r="BA1298" s="166">
        <v>0</v>
      </c>
      <c r="BB1298" s="166">
        <v>0</v>
      </c>
      <c r="BC1298" s="166">
        <v>0</v>
      </c>
      <c r="BD1298" s="166">
        <v>0</v>
      </c>
      <c r="BE1298" s="166">
        <v>0</v>
      </c>
      <c r="BF1298" s="166">
        <v>0</v>
      </c>
      <c r="BG1298" s="166">
        <v>0</v>
      </c>
      <c r="BH1298" s="166">
        <v>0</v>
      </c>
      <c r="BI1298" s="166">
        <v>0</v>
      </c>
      <c r="BJ1298" s="166">
        <v>0</v>
      </c>
      <c r="BK1298" s="166">
        <v>0</v>
      </c>
      <c r="BL1298" s="166">
        <v>0</v>
      </c>
      <c r="BM1298" s="166">
        <v>0</v>
      </c>
      <c r="BN1298" s="166">
        <v>0</v>
      </c>
      <c r="BO1298" s="166">
        <v>0</v>
      </c>
      <c r="BP1298" s="166">
        <v>0</v>
      </c>
      <c r="BQ1298" s="81" t="s">
        <v>1759</v>
      </c>
      <c r="BU1298" s="81" t="s">
        <v>155</v>
      </c>
      <c r="BZ1298" s="81" t="s">
        <v>3991</v>
      </c>
      <c r="CA1298" s="81">
        <v>15</v>
      </c>
      <c r="CB1298" s="165" t="s">
        <v>4009</v>
      </c>
      <c r="CC1298" s="167">
        <v>0</v>
      </c>
      <c r="CD1298" s="167">
        <v>0</v>
      </c>
      <c r="CE1298" s="167">
        <v>0</v>
      </c>
      <c r="CF1298" s="167">
        <v>0</v>
      </c>
      <c r="CG1298" s="167">
        <v>0</v>
      </c>
      <c r="CH1298" s="167">
        <v>0</v>
      </c>
      <c r="CI1298" s="167">
        <v>0</v>
      </c>
      <c r="CJ1298" s="167">
        <v>0</v>
      </c>
      <c r="CK1298" s="167">
        <v>0</v>
      </c>
      <c r="CL1298" s="167">
        <v>0</v>
      </c>
      <c r="CM1298" s="167">
        <v>0</v>
      </c>
      <c r="CN1298" s="167">
        <v>0</v>
      </c>
      <c r="CO1298" s="167">
        <v>0</v>
      </c>
      <c r="CP1298" s="167">
        <v>0</v>
      </c>
      <c r="CQ1298" s="167">
        <v>0</v>
      </c>
      <c r="CR1298" s="167">
        <v>0</v>
      </c>
      <c r="CS1298" s="167">
        <v>0</v>
      </c>
      <c r="CT1298" s="167">
        <v>0</v>
      </c>
      <c r="CU1298" s="167">
        <v>0</v>
      </c>
      <c r="CV1298" s="167">
        <v>0</v>
      </c>
      <c r="CW1298" s="167">
        <v>0</v>
      </c>
      <c r="CX1298" s="167">
        <f>SUM(CD1298:CH1298)</f>
        <v>0</v>
      </c>
      <c r="CY1298" s="167">
        <f>SUM(CD1298:CM1298)</f>
        <v>0</v>
      </c>
    </row>
    <row r="1299" spans="1:103" ht="12.75" customHeight="1" x14ac:dyDescent="0.2">
      <c r="A1299" s="81">
        <v>6766</v>
      </c>
      <c r="B1299" s="165" t="s">
        <v>1955</v>
      </c>
      <c r="C1299" s="165" t="s">
        <v>3465</v>
      </c>
      <c r="E1299" s="165" t="s">
        <v>3466</v>
      </c>
      <c r="G1299" s="81">
        <v>526808</v>
      </c>
      <c r="H1299" s="81">
        <v>175510</v>
      </c>
      <c r="I1299" s="165" t="s">
        <v>241</v>
      </c>
      <c r="L1299" s="166">
        <v>0</v>
      </c>
      <c r="M1299" s="166">
        <v>93</v>
      </c>
      <c r="N1299" s="166">
        <v>93</v>
      </c>
      <c r="O1299" s="166">
        <v>139</v>
      </c>
      <c r="P1299" s="166">
        <v>139</v>
      </c>
      <c r="Q1299" s="81" t="s">
        <v>155</v>
      </c>
      <c r="R1299" s="165" t="s">
        <v>3467</v>
      </c>
      <c r="S1299" s="81" t="s">
        <v>121</v>
      </c>
      <c r="T1299" s="349">
        <v>43087</v>
      </c>
      <c r="W1299" s="81" t="s">
        <v>114</v>
      </c>
      <c r="Y1299" s="81" t="s">
        <v>115</v>
      </c>
      <c r="Z1299" s="81" t="s">
        <v>116</v>
      </c>
      <c r="AA1299" s="81" t="s">
        <v>116</v>
      </c>
      <c r="AB1299" s="81" t="s">
        <v>117</v>
      </c>
      <c r="AC1299" s="166">
        <v>0.14300000667571999</v>
      </c>
      <c r="AG1299" s="81" t="s">
        <v>238</v>
      </c>
      <c r="AH1299" s="81" t="s">
        <v>118</v>
      </c>
      <c r="AK1299" s="166">
        <v>0</v>
      </c>
      <c r="AL1299" s="166">
        <v>84</v>
      </c>
      <c r="AM1299" s="166">
        <v>0</v>
      </c>
      <c r="AN1299" s="166">
        <v>9</v>
      </c>
      <c r="AO1299" s="166">
        <v>3</v>
      </c>
      <c r="AP1299" s="166">
        <v>30</v>
      </c>
      <c r="AQ1299" s="166">
        <v>52</v>
      </c>
      <c r="AR1299" s="166">
        <v>8</v>
      </c>
      <c r="AS1299" s="166">
        <v>0</v>
      </c>
      <c r="AT1299" s="166">
        <v>0</v>
      </c>
      <c r="AU1299" s="166">
        <v>0</v>
      </c>
      <c r="AV1299" s="166">
        <v>3</v>
      </c>
      <c r="AW1299" s="166">
        <v>30</v>
      </c>
      <c r="AX1299" s="166">
        <v>52</v>
      </c>
      <c r="AY1299" s="166">
        <v>8</v>
      </c>
      <c r="AZ1299" s="166">
        <v>0</v>
      </c>
      <c r="BA1299" s="166">
        <v>0</v>
      </c>
      <c r="BB1299" s="166">
        <v>0</v>
      </c>
      <c r="BC1299" s="166">
        <v>0</v>
      </c>
      <c r="BD1299" s="166">
        <v>0</v>
      </c>
      <c r="BE1299" s="166">
        <v>0</v>
      </c>
      <c r="BF1299" s="166">
        <v>0</v>
      </c>
      <c r="BG1299" s="166">
        <v>0</v>
      </c>
      <c r="BH1299" s="166">
        <v>0</v>
      </c>
      <c r="BI1299" s="166">
        <v>0</v>
      </c>
      <c r="BJ1299" s="166">
        <v>0</v>
      </c>
      <c r="BK1299" s="166">
        <v>0</v>
      </c>
      <c r="BL1299" s="166">
        <v>0</v>
      </c>
      <c r="BM1299" s="166">
        <v>0</v>
      </c>
      <c r="BN1299" s="166">
        <v>0</v>
      </c>
      <c r="BO1299" s="166">
        <v>0</v>
      </c>
      <c r="BP1299" s="166">
        <v>0</v>
      </c>
      <c r="BQ1299" s="81" t="s">
        <v>1759</v>
      </c>
      <c r="BU1299" s="81" t="s">
        <v>155</v>
      </c>
      <c r="BZ1299" s="81" t="s">
        <v>3991</v>
      </c>
      <c r="CA1299" s="81">
        <v>15</v>
      </c>
      <c r="CB1299" s="165" t="s">
        <v>4009</v>
      </c>
      <c r="CC1299" s="167">
        <v>0</v>
      </c>
      <c r="CD1299" s="167">
        <v>0</v>
      </c>
      <c r="CE1299" s="167">
        <v>0</v>
      </c>
      <c r="CF1299" s="167">
        <v>0</v>
      </c>
      <c r="CG1299" s="167">
        <v>0</v>
      </c>
      <c r="CH1299" s="167">
        <v>0</v>
      </c>
      <c r="CI1299" s="167">
        <v>0</v>
      </c>
      <c r="CJ1299" s="167">
        <v>0</v>
      </c>
      <c r="CK1299" s="167">
        <v>0</v>
      </c>
      <c r="CL1299" s="167">
        <v>0</v>
      </c>
      <c r="CM1299" s="167">
        <v>0</v>
      </c>
      <c r="CN1299" s="167">
        <v>0</v>
      </c>
      <c r="CO1299" s="167">
        <v>0</v>
      </c>
      <c r="CP1299" s="167">
        <v>0</v>
      </c>
      <c r="CQ1299" s="167">
        <v>0</v>
      </c>
      <c r="CR1299" s="167">
        <v>0</v>
      </c>
      <c r="CS1299" s="167">
        <v>0</v>
      </c>
      <c r="CT1299" s="167">
        <v>0</v>
      </c>
      <c r="CU1299" s="167">
        <v>0</v>
      </c>
      <c r="CV1299" s="167">
        <v>0</v>
      </c>
      <c r="CW1299" s="167">
        <v>0</v>
      </c>
      <c r="CX1299" s="167">
        <f>SUM(CD1299:CH1299)</f>
        <v>0</v>
      </c>
      <c r="CY1299" s="167">
        <f>SUM(CD1299:CM1299)</f>
        <v>0</v>
      </c>
    </row>
    <row r="1300" spans="1:103" ht="12.75" customHeight="1" x14ac:dyDescent="0.2">
      <c r="A1300" s="81">
        <v>6767</v>
      </c>
      <c r="B1300" s="165" t="s">
        <v>1955</v>
      </c>
      <c r="C1300" s="165" t="s">
        <v>2257</v>
      </c>
      <c r="E1300" s="165" t="s">
        <v>2258</v>
      </c>
      <c r="G1300" s="81">
        <v>527493</v>
      </c>
      <c r="H1300" s="81">
        <v>173327</v>
      </c>
      <c r="I1300" s="165" t="s">
        <v>254</v>
      </c>
      <c r="L1300" s="166">
        <v>1</v>
      </c>
      <c r="M1300" s="166">
        <v>4</v>
      </c>
      <c r="N1300" s="166">
        <v>3</v>
      </c>
      <c r="O1300" s="166">
        <v>4</v>
      </c>
      <c r="P1300" s="166">
        <v>3</v>
      </c>
      <c r="R1300" s="165" t="s">
        <v>2259</v>
      </c>
      <c r="S1300" s="81" t="s">
        <v>121</v>
      </c>
      <c r="T1300" s="349">
        <v>43083</v>
      </c>
      <c r="W1300" s="81" t="s">
        <v>114</v>
      </c>
      <c r="Y1300" s="81" t="s">
        <v>115</v>
      </c>
      <c r="Z1300" s="81" t="s">
        <v>398</v>
      </c>
      <c r="AA1300" s="81" t="s">
        <v>117</v>
      </c>
      <c r="AB1300" s="81" t="s">
        <v>120</v>
      </c>
      <c r="AC1300" s="166">
        <v>2.19999998807907E-2</v>
      </c>
      <c r="AG1300" s="81" t="s">
        <v>238</v>
      </c>
      <c r="AH1300" s="81" t="s">
        <v>118</v>
      </c>
      <c r="AK1300" s="166">
        <v>0</v>
      </c>
      <c r="AM1300" s="166">
        <v>0</v>
      </c>
      <c r="AO1300" s="166">
        <v>0</v>
      </c>
      <c r="AP1300" s="166">
        <v>1</v>
      </c>
      <c r="AQ1300" s="166">
        <v>1</v>
      </c>
      <c r="AR1300" s="166">
        <v>2</v>
      </c>
      <c r="AS1300" s="166">
        <v>-1</v>
      </c>
      <c r="AT1300" s="166">
        <v>0</v>
      </c>
      <c r="AU1300" s="166">
        <v>0</v>
      </c>
      <c r="AV1300" s="166">
        <v>0</v>
      </c>
      <c r="AW1300" s="166">
        <v>1</v>
      </c>
      <c r="AX1300" s="166">
        <v>1</v>
      </c>
      <c r="AY1300" s="166">
        <v>2</v>
      </c>
      <c r="AZ1300" s="166">
        <v>0</v>
      </c>
      <c r="BA1300" s="166">
        <v>0</v>
      </c>
      <c r="BB1300" s="166">
        <v>0</v>
      </c>
      <c r="BC1300" s="166">
        <v>0</v>
      </c>
      <c r="BD1300" s="166">
        <v>0</v>
      </c>
      <c r="BE1300" s="166">
        <v>0</v>
      </c>
      <c r="BF1300" s="166">
        <v>0</v>
      </c>
      <c r="BG1300" s="166">
        <v>-1</v>
      </c>
      <c r="BH1300" s="166">
        <v>0</v>
      </c>
      <c r="BI1300" s="166">
        <v>0</v>
      </c>
      <c r="BJ1300" s="166">
        <v>0</v>
      </c>
      <c r="BK1300" s="166">
        <v>0</v>
      </c>
      <c r="BL1300" s="166">
        <v>0</v>
      </c>
      <c r="BM1300" s="166">
        <v>0</v>
      </c>
      <c r="BN1300" s="166">
        <v>0</v>
      </c>
      <c r="BO1300" s="166">
        <v>0</v>
      </c>
      <c r="BP1300" s="166">
        <v>0</v>
      </c>
      <c r="BQ1300" s="81" t="s">
        <v>1757</v>
      </c>
      <c r="BZ1300" s="81" t="s">
        <v>155</v>
      </c>
      <c r="CA1300" s="81">
        <v>10</v>
      </c>
      <c r="CC1300" s="167">
        <v>0</v>
      </c>
      <c r="CD1300" s="167">
        <v>0</v>
      </c>
      <c r="CE1300" s="167">
        <v>0</v>
      </c>
      <c r="CF1300" s="167">
        <v>0</v>
      </c>
      <c r="CG1300" s="167">
        <v>0</v>
      </c>
      <c r="CH1300" s="167">
        <f>$N1300/3</f>
        <v>1</v>
      </c>
      <c r="CI1300" s="167">
        <f>$N1300/3</f>
        <v>1</v>
      </c>
      <c r="CJ1300" s="167">
        <f>$N1300/3</f>
        <v>1</v>
      </c>
      <c r="CK1300" s="167">
        <v>0</v>
      </c>
      <c r="CL1300" s="167">
        <v>0</v>
      </c>
      <c r="CM1300" s="167">
        <v>0</v>
      </c>
      <c r="CN1300" s="167">
        <v>0</v>
      </c>
      <c r="CO1300" s="167">
        <v>0</v>
      </c>
      <c r="CP1300" s="167">
        <v>0</v>
      </c>
      <c r="CQ1300" s="167">
        <v>0</v>
      </c>
      <c r="CR1300" s="167">
        <v>0</v>
      </c>
      <c r="CS1300" s="167">
        <v>0</v>
      </c>
      <c r="CT1300" s="167">
        <v>0</v>
      </c>
      <c r="CU1300" s="167">
        <v>0</v>
      </c>
      <c r="CV1300" s="167">
        <v>0</v>
      </c>
      <c r="CW1300" s="167">
        <v>0</v>
      </c>
      <c r="CX1300" s="167">
        <f>SUM(CD1300:CH1300)</f>
        <v>1</v>
      </c>
      <c r="CY1300" s="167">
        <f>SUM(CD1300:CM1300)</f>
        <v>3</v>
      </c>
    </row>
    <row r="1301" spans="1:103" ht="12.75" customHeight="1" x14ac:dyDescent="0.2">
      <c r="A1301" s="81">
        <v>6770</v>
      </c>
      <c r="B1301" s="165" t="s">
        <v>1955</v>
      </c>
      <c r="C1301" s="165" t="s">
        <v>2260</v>
      </c>
      <c r="E1301" s="165" t="s">
        <v>2261</v>
      </c>
      <c r="G1301" s="81">
        <v>526509</v>
      </c>
      <c r="H1301" s="81">
        <v>174129</v>
      </c>
      <c r="I1301" s="165" t="s">
        <v>260</v>
      </c>
      <c r="L1301" s="166">
        <v>1</v>
      </c>
      <c r="M1301" s="166">
        <v>2</v>
      </c>
      <c r="N1301" s="166">
        <v>1</v>
      </c>
      <c r="O1301" s="166">
        <v>2</v>
      </c>
      <c r="P1301" s="166">
        <v>1</v>
      </c>
      <c r="R1301" s="165" t="s">
        <v>2262</v>
      </c>
      <c r="S1301" s="81" t="s">
        <v>121</v>
      </c>
      <c r="T1301" s="349">
        <v>43083</v>
      </c>
      <c r="W1301" s="81" t="s">
        <v>114</v>
      </c>
      <c r="Y1301" s="81" t="s">
        <v>115</v>
      </c>
      <c r="Z1301" s="81" t="s">
        <v>398</v>
      </c>
      <c r="AA1301" s="81" t="s">
        <v>117</v>
      </c>
      <c r="AB1301" s="81" t="s">
        <v>120</v>
      </c>
      <c r="AC1301" s="166">
        <v>1.7999999225139601E-2</v>
      </c>
      <c r="AG1301" s="81" t="s">
        <v>238</v>
      </c>
      <c r="AH1301" s="81" t="s">
        <v>118</v>
      </c>
      <c r="AK1301" s="166">
        <v>0</v>
      </c>
      <c r="AM1301" s="166">
        <v>0</v>
      </c>
      <c r="AO1301" s="166">
        <v>0</v>
      </c>
      <c r="AP1301" s="166">
        <v>0</v>
      </c>
      <c r="AQ1301" s="166">
        <v>0</v>
      </c>
      <c r="AR1301" s="166">
        <v>1</v>
      </c>
      <c r="AS1301" s="166">
        <v>0</v>
      </c>
      <c r="AT1301" s="166">
        <v>0</v>
      </c>
      <c r="AU1301" s="166">
        <v>0</v>
      </c>
      <c r="AV1301" s="166">
        <v>0</v>
      </c>
      <c r="AW1301" s="166">
        <v>0</v>
      </c>
      <c r="AX1301" s="166">
        <v>0</v>
      </c>
      <c r="AY1301" s="166">
        <v>2</v>
      </c>
      <c r="AZ1301" s="166">
        <v>0</v>
      </c>
      <c r="BA1301" s="166">
        <v>0</v>
      </c>
      <c r="BB1301" s="166">
        <v>0</v>
      </c>
      <c r="BC1301" s="166">
        <v>0</v>
      </c>
      <c r="BD1301" s="166">
        <v>0</v>
      </c>
      <c r="BE1301" s="166">
        <v>0</v>
      </c>
      <c r="BF1301" s="166">
        <v>-1</v>
      </c>
      <c r="BG1301" s="166">
        <v>0</v>
      </c>
      <c r="BH1301" s="166">
        <v>0</v>
      </c>
      <c r="BI1301" s="166">
        <v>0</v>
      </c>
      <c r="BJ1301" s="166">
        <v>0</v>
      </c>
      <c r="BK1301" s="166">
        <v>0</v>
      </c>
      <c r="BL1301" s="166">
        <v>0</v>
      </c>
      <c r="BM1301" s="166">
        <v>0</v>
      </c>
      <c r="BN1301" s="166">
        <v>0</v>
      </c>
      <c r="BO1301" s="166">
        <v>0</v>
      </c>
      <c r="BP1301" s="166">
        <v>0</v>
      </c>
      <c r="BQ1301" s="81" t="s">
        <v>1758</v>
      </c>
      <c r="BZ1301" s="81" t="s">
        <v>155</v>
      </c>
      <c r="CA1301" s="81">
        <v>10</v>
      </c>
      <c r="CC1301" s="167">
        <v>0</v>
      </c>
      <c r="CD1301" s="167">
        <v>0</v>
      </c>
      <c r="CE1301" s="167">
        <v>0</v>
      </c>
      <c r="CF1301" s="167">
        <v>0</v>
      </c>
      <c r="CG1301" s="167">
        <v>0</v>
      </c>
      <c r="CH1301" s="167">
        <f>$N1301/3</f>
        <v>0.33333333333333331</v>
      </c>
      <c r="CI1301" s="167">
        <f>$N1301/3</f>
        <v>0.33333333333333331</v>
      </c>
      <c r="CJ1301" s="167">
        <f>$N1301/3</f>
        <v>0.33333333333333331</v>
      </c>
      <c r="CK1301" s="167">
        <v>0</v>
      </c>
      <c r="CL1301" s="167">
        <v>0</v>
      </c>
      <c r="CM1301" s="167">
        <v>0</v>
      </c>
      <c r="CN1301" s="167">
        <v>0</v>
      </c>
      <c r="CO1301" s="167">
        <v>0</v>
      </c>
      <c r="CP1301" s="167">
        <v>0</v>
      </c>
      <c r="CQ1301" s="167">
        <v>0</v>
      </c>
      <c r="CR1301" s="167">
        <v>0</v>
      </c>
      <c r="CS1301" s="167">
        <v>0</v>
      </c>
      <c r="CT1301" s="167">
        <v>0</v>
      </c>
      <c r="CU1301" s="167">
        <v>0</v>
      </c>
      <c r="CV1301" s="167">
        <v>0</v>
      </c>
      <c r="CW1301" s="167">
        <v>0</v>
      </c>
      <c r="CX1301" s="167">
        <f>SUM(CD1301:CH1301)</f>
        <v>0.33333333333333331</v>
      </c>
      <c r="CY1301" s="167">
        <f>SUM(CD1301:CM1301)</f>
        <v>1</v>
      </c>
    </row>
    <row r="1302" spans="1:103" ht="12.75" customHeight="1" x14ac:dyDescent="0.2">
      <c r="A1302" s="81">
        <v>6772</v>
      </c>
      <c r="B1302" s="165" t="s">
        <v>1955</v>
      </c>
      <c r="C1302" s="165" t="s">
        <v>2263</v>
      </c>
      <c r="E1302" s="165" t="s">
        <v>2264</v>
      </c>
      <c r="G1302" s="81">
        <v>522806</v>
      </c>
      <c r="H1302" s="81">
        <v>175115</v>
      </c>
      <c r="I1302" s="165" t="s">
        <v>59</v>
      </c>
      <c r="L1302" s="166">
        <v>1</v>
      </c>
      <c r="M1302" s="166">
        <v>1</v>
      </c>
      <c r="N1302" s="166">
        <v>0</v>
      </c>
      <c r="O1302" s="166">
        <v>1</v>
      </c>
      <c r="P1302" s="166">
        <v>0</v>
      </c>
      <c r="R1302" s="165" t="s">
        <v>2265</v>
      </c>
      <c r="S1302" s="81" t="s">
        <v>121</v>
      </c>
      <c r="T1302" s="349">
        <v>43088</v>
      </c>
      <c r="W1302" s="81" t="s">
        <v>114</v>
      </c>
      <c r="Y1302" s="81" t="s">
        <v>115</v>
      </c>
      <c r="Z1302" s="81" t="s">
        <v>116</v>
      </c>
      <c r="AA1302" s="81" t="s">
        <v>117</v>
      </c>
      <c r="AB1302" s="81" t="s">
        <v>218</v>
      </c>
      <c r="AC1302" s="166">
        <v>3.0999999493360499E-2</v>
      </c>
      <c r="AG1302" s="81" t="s">
        <v>238</v>
      </c>
      <c r="AH1302" s="81" t="s">
        <v>118</v>
      </c>
      <c r="AK1302" s="166">
        <v>0</v>
      </c>
      <c r="AM1302" s="166">
        <v>0</v>
      </c>
      <c r="AO1302" s="166">
        <v>0</v>
      </c>
      <c r="AP1302" s="166">
        <v>0</v>
      </c>
      <c r="AQ1302" s="166">
        <v>-1</v>
      </c>
      <c r="AR1302" s="166">
        <v>0</v>
      </c>
      <c r="AS1302" s="166">
        <v>0</v>
      </c>
      <c r="AT1302" s="166">
        <v>1</v>
      </c>
      <c r="AU1302" s="166">
        <v>0</v>
      </c>
      <c r="AV1302" s="166">
        <v>0</v>
      </c>
      <c r="AW1302" s="166">
        <v>0</v>
      </c>
      <c r="AX1302" s="166">
        <v>0</v>
      </c>
      <c r="AY1302" s="166">
        <v>0</v>
      </c>
      <c r="AZ1302" s="166">
        <v>0</v>
      </c>
      <c r="BA1302" s="166">
        <v>0</v>
      </c>
      <c r="BB1302" s="166">
        <v>0</v>
      </c>
      <c r="BC1302" s="166">
        <v>0</v>
      </c>
      <c r="BD1302" s="166">
        <v>0</v>
      </c>
      <c r="BE1302" s="166">
        <v>-1</v>
      </c>
      <c r="BF1302" s="166">
        <v>0</v>
      </c>
      <c r="BG1302" s="166">
        <v>0</v>
      </c>
      <c r="BH1302" s="166">
        <v>1</v>
      </c>
      <c r="BI1302" s="166">
        <v>0</v>
      </c>
      <c r="BJ1302" s="166">
        <v>0</v>
      </c>
      <c r="BK1302" s="166">
        <v>0</v>
      </c>
      <c r="BL1302" s="166">
        <v>0</v>
      </c>
      <c r="BM1302" s="166">
        <v>0</v>
      </c>
      <c r="BN1302" s="166">
        <v>0</v>
      </c>
      <c r="BO1302" s="166">
        <v>0</v>
      </c>
      <c r="BP1302" s="166">
        <v>0</v>
      </c>
      <c r="BQ1302" s="81" t="s">
        <v>1758</v>
      </c>
      <c r="BZ1302" s="81" t="s">
        <v>155</v>
      </c>
      <c r="CA1302" s="81">
        <v>6</v>
      </c>
      <c r="CC1302" s="167">
        <v>0</v>
      </c>
      <c r="CD1302" s="167">
        <v>0</v>
      </c>
      <c r="CE1302" s="167">
        <v>0</v>
      </c>
      <c r="CF1302" s="167">
        <v>0</v>
      </c>
      <c r="CG1302" s="167">
        <v>0</v>
      </c>
      <c r="CH1302" s="167">
        <f>$N1302/3</f>
        <v>0</v>
      </c>
      <c r="CI1302" s="167">
        <f>$N1302/3</f>
        <v>0</v>
      </c>
      <c r="CJ1302" s="167">
        <f>$N1302/3</f>
        <v>0</v>
      </c>
      <c r="CK1302" s="167">
        <v>0</v>
      </c>
      <c r="CL1302" s="167">
        <v>0</v>
      </c>
      <c r="CM1302" s="167">
        <v>0</v>
      </c>
      <c r="CN1302" s="167">
        <v>0</v>
      </c>
      <c r="CO1302" s="167">
        <v>0</v>
      </c>
      <c r="CP1302" s="167">
        <v>0</v>
      </c>
      <c r="CQ1302" s="167">
        <v>0</v>
      </c>
      <c r="CR1302" s="167">
        <v>0</v>
      </c>
      <c r="CS1302" s="167">
        <v>0</v>
      </c>
      <c r="CT1302" s="167">
        <v>0</v>
      </c>
      <c r="CU1302" s="167">
        <v>0</v>
      </c>
      <c r="CV1302" s="167">
        <v>0</v>
      </c>
      <c r="CW1302" s="167">
        <v>0</v>
      </c>
      <c r="CX1302" s="167">
        <f>SUM(CD1302:CH1302)</f>
        <v>0</v>
      </c>
      <c r="CY1302" s="167">
        <f>SUM(CD1302:CM1302)</f>
        <v>0</v>
      </c>
    </row>
    <row r="1303" spans="1:103" ht="12.75" customHeight="1" x14ac:dyDescent="0.2">
      <c r="A1303" s="81">
        <v>6774</v>
      </c>
      <c r="B1303" s="165" t="s">
        <v>1955</v>
      </c>
      <c r="C1303" s="165" t="s">
        <v>3469</v>
      </c>
      <c r="E1303" s="165" t="s">
        <v>3470</v>
      </c>
      <c r="G1303" s="81">
        <v>522514</v>
      </c>
      <c r="H1303" s="81">
        <v>173526</v>
      </c>
      <c r="I1303" s="165" t="s">
        <v>877</v>
      </c>
      <c r="L1303" s="166">
        <v>0</v>
      </c>
      <c r="M1303" s="166">
        <v>10</v>
      </c>
      <c r="N1303" s="166">
        <v>10</v>
      </c>
      <c r="O1303" s="166">
        <v>10</v>
      </c>
      <c r="P1303" s="166">
        <v>10</v>
      </c>
      <c r="Q1303" s="81" t="s">
        <v>155</v>
      </c>
      <c r="R1303" s="165" t="s">
        <v>3471</v>
      </c>
      <c r="S1303" s="81" t="s">
        <v>121</v>
      </c>
      <c r="T1303" s="349">
        <v>43105</v>
      </c>
      <c r="W1303" s="81" t="s">
        <v>114</v>
      </c>
      <c r="Y1303" s="81" t="s">
        <v>115</v>
      </c>
      <c r="Z1303" s="81" t="s">
        <v>116</v>
      </c>
      <c r="AA1303" s="81" t="s">
        <v>116</v>
      </c>
      <c r="AB1303" s="81" t="s">
        <v>117</v>
      </c>
      <c r="AC1303" s="166">
        <v>4.1000001132488299E-2</v>
      </c>
      <c r="AG1303" s="81" t="s">
        <v>154</v>
      </c>
      <c r="AH1303" s="81" t="s">
        <v>312</v>
      </c>
      <c r="AK1303" s="166">
        <v>0</v>
      </c>
      <c r="AL1303" s="166">
        <v>9</v>
      </c>
      <c r="AM1303" s="166">
        <v>0</v>
      </c>
      <c r="AN1303" s="166">
        <v>1</v>
      </c>
      <c r="AO1303" s="166">
        <v>0</v>
      </c>
      <c r="AP1303" s="166">
        <v>3</v>
      </c>
      <c r="AQ1303" s="166">
        <v>7</v>
      </c>
      <c r="AR1303" s="166">
        <v>0</v>
      </c>
      <c r="AS1303" s="166">
        <v>0</v>
      </c>
      <c r="AT1303" s="166">
        <v>0</v>
      </c>
      <c r="AU1303" s="166">
        <v>0</v>
      </c>
      <c r="AV1303" s="166">
        <v>0</v>
      </c>
      <c r="AW1303" s="166">
        <v>3</v>
      </c>
      <c r="AX1303" s="166">
        <v>7</v>
      </c>
      <c r="AY1303" s="166">
        <v>0</v>
      </c>
      <c r="AZ1303" s="166">
        <v>0</v>
      </c>
      <c r="BA1303" s="166">
        <v>0</v>
      </c>
      <c r="BB1303" s="166">
        <v>0</v>
      </c>
      <c r="BC1303" s="166">
        <v>0</v>
      </c>
      <c r="BD1303" s="166">
        <v>0</v>
      </c>
      <c r="BE1303" s="166">
        <v>0</v>
      </c>
      <c r="BF1303" s="166">
        <v>0</v>
      </c>
      <c r="BG1303" s="166">
        <v>0</v>
      </c>
      <c r="BH1303" s="166">
        <v>0</v>
      </c>
      <c r="BI1303" s="166">
        <v>0</v>
      </c>
      <c r="BJ1303" s="166">
        <v>0</v>
      </c>
      <c r="BK1303" s="166">
        <v>0</v>
      </c>
      <c r="BL1303" s="166">
        <v>0</v>
      </c>
      <c r="BM1303" s="166">
        <v>0</v>
      </c>
      <c r="BN1303" s="166">
        <v>0</v>
      </c>
      <c r="BO1303" s="166">
        <v>0</v>
      </c>
      <c r="BP1303" s="166">
        <v>0</v>
      </c>
      <c r="BQ1303" s="81" t="s">
        <v>1758</v>
      </c>
      <c r="BZ1303" s="81" t="s">
        <v>155</v>
      </c>
      <c r="CA1303" s="81">
        <v>6</v>
      </c>
      <c r="CC1303" s="167">
        <v>0</v>
      </c>
      <c r="CD1303" s="167">
        <v>0</v>
      </c>
      <c r="CE1303" s="167">
        <v>0</v>
      </c>
      <c r="CF1303" s="167">
        <v>0</v>
      </c>
      <c r="CG1303" s="167">
        <v>0</v>
      </c>
      <c r="CH1303" s="167">
        <f>$N1303/3</f>
        <v>3.3333333333333335</v>
      </c>
      <c r="CI1303" s="167">
        <f>$N1303/3</f>
        <v>3.3333333333333335</v>
      </c>
      <c r="CJ1303" s="167">
        <f>$N1303/3</f>
        <v>3.3333333333333335</v>
      </c>
      <c r="CK1303" s="167">
        <v>0</v>
      </c>
      <c r="CL1303" s="167">
        <v>0</v>
      </c>
      <c r="CM1303" s="167">
        <v>0</v>
      </c>
      <c r="CN1303" s="167">
        <v>0</v>
      </c>
      <c r="CO1303" s="167">
        <v>0</v>
      </c>
      <c r="CP1303" s="167">
        <v>0</v>
      </c>
      <c r="CQ1303" s="167">
        <v>0</v>
      </c>
      <c r="CR1303" s="167">
        <v>0</v>
      </c>
      <c r="CS1303" s="167">
        <v>0</v>
      </c>
      <c r="CT1303" s="167">
        <v>0</v>
      </c>
      <c r="CU1303" s="167">
        <v>0</v>
      </c>
      <c r="CV1303" s="167">
        <v>0</v>
      </c>
      <c r="CW1303" s="167">
        <v>0</v>
      </c>
      <c r="CX1303" s="167">
        <f>SUM(CD1303:CH1303)</f>
        <v>3.3333333333333335</v>
      </c>
      <c r="CY1303" s="167">
        <f>SUM(CD1303:CM1303)</f>
        <v>10</v>
      </c>
    </row>
    <row r="1304" spans="1:103" ht="12.75" customHeight="1" x14ac:dyDescent="0.2">
      <c r="A1304" s="81">
        <v>6786</v>
      </c>
      <c r="B1304" s="165" t="s">
        <v>1955</v>
      </c>
      <c r="C1304" s="165" t="s">
        <v>2266</v>
      </c>
      <c r="E1304" s="165" t="s">
        <v>2267</v>
      </c>
      <c r="G1304" s="81">
        <v>528170</v>
      </c>
      <c r="H1304" s="81">
        <v>172434</v>
      </c>
      <c r="I1304" s="165" t="s">
        <v>248</v>
      </c>
      <c r="L1304" s="166">
        <v>1</v>
      </c>
      <c r="M1304" s="166">
        <v>2</v>
      </c>
      <c r="N1304" s="166">
        <v>1</v>
      </c>
      <c r="O1304" s="166">
        <v>2</v>
      </c>
      <c r="P1304" s="166">
        <v>1</v>
      </c>
      <c r="R1304" s="165" t="s">
        <v>2268</v>
      </c>
      <c r="S1304" s="81" t="s">
        <v>121</v>
      </c>
      <c r="T1304" s="349">
        <v>43112</v>
      </c>
      <c r="W1304" s="81" t="s">
        <v>114</v>
      </c>
      <c r="Y1304" s="81" t="s">
        <v>115</v>
      </c>
      <c r="Z1304" s="81" t="s">
        <v>398</v>
      </c>
      <c r="AA1304" s="81" t="s">
        <v>117</v>
      </c>
      <c r="AB1304" s="81" t="s">
        <v>220</v>
      </c>
      <c r="AC1304" s="166">
        <v>1.60000007599592E-2</v>
      </c>
      <c r="AG1304" s="81" t="s">
        <v>238</v>
      </c>
      <c r="AH1304" s="81" t="s">
        <v>118</v>
      </c>
      <c r="AK1304" s="166">
        <v>0</v>
      </c>
      <c r="AM1304" s="166">
        <v>0</v>
      </c>
      <c r="AO1304" s="166">
        <v>0</v>
      </c>
      <c r="AP1304" s="166">
        <v>1</v>
      </c>
      <c r="AQ1304" s="166">
        <v>1</v>
      </c>
      <c r="AR1304" s="166">
        <v>-1</v>
      </c>
      <c r="AS1304" s="166">
        <v>0</v>
      </c>
      <c r="AT1304" s="166">
        <v>0</v>
      </c>
      <c r="AU1304" s="166">
        <v>0</v>
      </c>
      <c r="AV1304" s="166">
        <v>0</v>
      </c>
      <c r="AW1304" s="166">
        <v>1</v>
      </c>
      <c r="AX1304" s="166">
        <v>1</v>
      </c>
      <c r="AY1304" s="166">
        <v>-1</v>
      </c>
      <c r="AZ1304" s="166">
        <v>0</v>
      </c>
      <c r="BA1304" s="166">
        <v>0</v>
      </c>
      <c r="BB1304" s="166">
        <v>0</v>
      </c>
      <c r="BC1304" s="166">
        <v>0</v>
      </c>
      <c r="BD1304" s="166">
        <v>0</v>
      </c>
      <c r="BE1304" s="166">
        <v>0</v>
      </c>
      <c r="BF1304" s="166">
        <v>0</v>
      </c>
      <c r="BG1304" s="166">
        <v>0</v>
      </c>
      <c r="BH1304" s="166">
        <v>0</v>
      </c>
      <c r="BI1304" s="166">
        <v>0</v>
      </c>
      <c r="BJ1304" s="166">
        <v>0</v>
      </c>
      <c r="BK1304" s="166">
        <v>0</v>
      </c>
      <c r="BL1304" s="166">
        <v>0</v>
      </c>
      <c r="BM1304" s="166">
        <v>0</v>
      </c>
      <c r="BN1304" s="166">
        <v>0</v>
      </c>
      <c r="BO1304" s="166">
        <v>0</v>
      </c>
      <c r="BP1304" s="166">
        <v>0</v>
      </c>
      <c r="BQ1304" s="81" t="s">
        <v>1757</v>
      </c>
      <c r="BZ1304" s="81" t="s">
        <v>155</v>
      </c>
      <c r="CA1304" s="81">
        <v>10</v>
      </c>
      <c r="CC1304" s="167">
        <v>0</v>
      </c>
      <c r="CD1304" s="167">
        <v>0</v>
      </c>
      <c r="CE1304" s="167">
        <v>0</v>
      </c>
      <c r="CF1304" s="167">
        <v>0</v>
      </c>
      <c r="CG1304" s="167">
        <v>0</v>
      </c>
      <c r="CH1304" s="167">
        <f>$N1304/3</f>
        <v>0.33333333333333331</v>
      </c>
      <c r="CI1304" s="167">
        <f>$N1304/3</f>
        <v>0.33333333333333331</v>
      </c>
      <c r="CJ1304" s="167">
        <f>$N1304/3</f>
        <v>0.33333333333333331</v>
      </c>
      <c r="CK1304" s="167">
        <v>0</v>
      </c>
      <c r="CL1304" s="167">
        <v>0</v>
      </c>
      <c r="CM1304" s="167">
        <v>0</v>
      </c>
      <c r="CN1304" s="167">
        <v>0</v>
      </c>
      <c r="CO1304" s="167">
        <v>0</v>
      </c>
      <c r="CP1304" s="167">
        <v>0</v>
      </c>
      <c r="CQ1304" s="167">
        <v>0</v>
      </c>
      <c r="CR1304" s="167">
        <v>0</v>
      </c>
      <c r="CS1304" s="167">
        <v>0</v>
      </c>
      <c r="CT1304" s="167">
        <v>0</v>
      </c>
      <c r="CU1304" s="167">
        <v>0</v>
      </c>
      <c r="CV1304" s="167">
        <v>0</v>
      </c>
      <c r="CW1304" s="167">
        <v>0</v>
      </c>
      <c r="CX1304" s="167">
        <f>SUM(CD1304:CH1304)</f>
        <v>0.33333333333333331</v>
      </c>
      <c r="CY1304" s="167">
        <f>SUM(CD1304:CM1304)</f>
        <v>1</v>
      </c>
    </row>
    <row r="1305" spans="1:103" ht="12.75" customHeight="1" x14ac:dyDescent="0.2">
      <c r="A1305" s="81">
        <v>6789</v>
      </c>
      <c r="B1305" s="165" t="s">
        <v>1955</v>
      </c>
      <c r="C1305" s="165" t="s">
        <v>2269</v>
      </c>
      <c r="E1305" s="165" t="s">
        <v>2270</v>
      </c>
      <c r="G1305" s="81">
        <v>528385</v>
      </c>
      <c r="H1305" s="81">
        <v>175721</v>
      </c>
      <c r="I1305" s="165" t="s">
        <v>256</v>
      </c>
      <c r="L1305" s="166">
        <v>0</v>
      </c>
      <c r="M1305" s="166">
        <v>3</v>
      </c>
      <c r="N1305" s="166">
        <v>3</v>
      </c>
      <c r="O1305" s="166">
        <v>3</v>
      </c>
      <c r="P1305" s="166">
        <v>3</v>
      </c>
      <c r="R1305" s="165" t="s">
        <v>2271</v>
      </c>
      <c r="S1305" s="81" t="s">
        <v>121</v>
      </c>
      <c r="T1305" s="349">
        <v>43116</v>
      </c>
      <c r="W1305" s="81" t="s">
        <v>114</v>
      </c>
      <c r="Y1305" s="81" t="s">
        <v>115</v>
      </c>
      <c r="Z1305" s="81" t="s">
        <v>219</v>
      </c>
      <c r="AA1305" s="81" t="s">
        <v>117</v>
      </c>
      <c r="AB1305" s="81" t="s">
        <v>3889</v>
      </c>
      <c r="AC1305" s="166">
        <v>0</v>
      </c>
      <c r="AG1305" s="81" t="s">
        <v>238</v>
      </c>
      <c r="AH1305" s="81" t="s">
        <v>118</v>
      </c>
      <c r="AK1305" s="166">
        <v>0</v>
      </c>
      <c r="AM1305" s="166">
        <v>0</v>
      </c>
      <c r="AO1305" s="166">
        <v>0</v>
      </c>
      <c r="AP1305" s="166">
        <v>2</v>
      </c>
      <c r="AQ1305" s="166">
        <v>1</v>
      </c>
      <c r="AR1305" s="166">
        <v>0</v>
      </c>
      <c r="AS1305" s="166">
        <v>0</v>
      </c>
      <c r="AT1305" s="166">
        <v>0</v>
      </c>
      <c r="AU1305" s="166">
        <v>0</v>
      </c>
      <c r="AV1305" s="166">
        <v>0</v>
      </c>
      <c r="AW1305" s="166">
        <v>2</v>
      </c>
      <c r="AX1305" s="166">
        <v>1</v>
      </c>
      <c r="AY1305" s="166">
        <v>0</v>
      </c>
      <c r="AZ1305" s="166">
        <v>0</v>
      </c>
      <c r="BA1305" s="166">
        <v>0</v>
      </c>
      <c r="BB1305" s="166">
        <v>0</v>
      </c>
      <c r="BC1305" s="166">
        <v>0</v>
      </c>
      <c r="BD1305" s="166">
        <v>0</v>
      </c>
      <c r="BE1305" s="166">
        <v>0</v>
      </c>
      <c r="BF1305" s="166">
        <v>0</v>
      </c>
      <c r="BG1305" s="166">
        <v>0</v>
      </c>
      <c r="BH1305" s="166">
        <v>0</v>
      </c>
      <c r="BI1305" s="166">
        <v>0</v>
      </c>
      <c r="BJ1305" s="166">
        <v>0</v>
      </c>
      <c r="BK1305" s="166">
        <v>0</v>
      </c>
      <c r="BL1305" s="166">
        <v>0</v>
      </c>
      <c r="BM1305" s="166">
        <v>0</v>
      </c>
      <c r="BN1305" s="166">
        <v>0</v>
      </c>
      <c r="BO1305" s="166">
        <v>0</v>
      </c>
      <c r="BP1305" s="166">
        <v>0</v>
      </c>
      <c r="BQ1305" s="81" t="s">
        <v>1757</v>
      </c>
      <c r="BZ1305" s="81" t="s">
        <v>155</v>
      </c>
      <c r="CA1305" s="81">
        <v>10</v>
      </c>
      <c r="CC1305" s="167">
        <v>0</v>
      </c>
      <c r="CD1305" s="167">
        <v>0</v>
      </c>
      <c r="CE1305" s="167">
        <v>0</v>
      </c>
      <c r="CF1305" s="167">
        <v>0</v>
      </c>
      <c r="CG1305" s="167">
        <v>0</v>
      </c>
      <c r="CH1305" s="167">
        <f>$N1305/3</f>
        <v>1</v>
      </c>
      <c r="CI1305" s="167">
        <f>$N1305/3</f>
        <v>1</v>
      </c>
      <c r="CJ1305" s="167">
        <f>$N1305/3</f>
        <v>1</v>
      </c>
      <c r="CK1305" s="167">
        <v>0</v>
      </c>
      <c r="CL1305" s="167">
        <v>0</v>
      </c>
      <c r="CM1305" s="167">
        <v>0</v>
      </c>
      <c r="CN1305" s="167">
        <v>0</v>
      </c>
      <c r="CO1305" s="167">
        <v>0</v>
      </c>
      <c r="CP1305" s="167">
        <v>0</v>
      </c>
      <c r="CQ1305" s="167">
        <v>0</v>
      </c>
      <c r="CR1305" s="167">
        <v>0</v>
      </c>
      <c r="CS1305" s="167">
        <v>0</v>
      </c>
      <c r="CT1305" s="167">
        <v>0</v>
      </c>
      <c r="CU1305" s="167">
        <v>0</v>
      </c>
      <c r="CV1305" s="167">
        <v>0</v>
      </c>
      <c r="CW1305" s="167">
        <v>0</v>
      </c>
      <c r="CX1305" s="167">
        <f>SUM(CD1305:CH1305)</f>
        <v>1</v>
      </c>
      <c r="CY1305" s="167">
        <f>SUM(CD1305:CM1305)</f>
        <v>3</v>
      </c>
    </row>
    <row r="1306" spans="1:103" ht="12.75" customHeight="1" x14ac:dyDescent="0.2">
      <c r="A1306" s="81">
        <v>6796</v>
      </c>
      <c r="B1306" s="165" t="s">
        <v>1955</v>
      </c>
      <c r="C1306" s="165" t="s">
        <v>2272</v>
      </c>
      <c r="E1306" s="165" t="s">
        <v>2273</v>
      </c>
      <c r="G1306" s="81">
        <v>524850</v>
      </c>
      <c r="H1306" s="81">
        <v>172813</v>
      </c>
      <c r="I1306" s="165" t="s">
        <v>258</v>
      </c>
      <c r="L1306" s="166">
        <v>1</v>
      </c>
      <c r="M1306" s="166">
        <v>3</v>
      </c>
      <c r="N1306" s="166">
        <v>2</v>
      </c>
      <c r="O1306" s="166">
        <v>3</v>
      </c>
      <c r="P1306" s="166">
        <v>2</v>
      </c>
      <c r="R1306" s="165" t="s">
        <v>2274</v>
      </c>
      <c r="S1306" s="81" t="s">
        <v>121</v>
      </c>
      <c r="T1306" s="349">
        <v>43119</v>
      </c>
      <c r="W1306" s="81" t="s">
        <v>114</v>
      </c>
      <c r="Y1306" s="81" t="s">
        <v>115</v>
      </c>
      <c r="Z1306" s="81" t="s">
        <v>119</v>
      </c>
      <c r="AA1306" s="81" t="s">
        <v>117</v>
      </c>
      <c r="AB1306" s="81" t="s">
        <v>120</v>
      </c>
      <c r="AC1306" s="166">
        <v>2.4000000208616298E-2</v>
      </c>
      <c r="AG1306" s="81" t="s">
        <v>238</v>
      </c>
      <c r="AH1306" s="81" t="s">
        <v>118</v>
      </c>
      <c r="AK1306" s="166">
        <v>0</v>
      </c>
      <c r="AM1306" s="166">
        <v>0</v>
      </c>
      <c r="AO1306" s="166">
        <v>0</v>
      </c>
      <c r="AP1306" s="166">
        <v>0</v>
      </c>
      <c r="AQ1306" s="166">
        <v>2</v>
      </c>
      <c r="AR1306" s="166">
        <v>1</v>
      </c>
      <c r="AS1306" s="166">
        <v>-1</v>
      </c>
      <c r="AT1306" s="166">
        <v>0</v>
      </c>
      <c r="AU1306" s="166">
        <v>0</v>
      </c>
      <c r="AV1306" s="166">
        <v>0</v>
      </c>
      <c r="AW1306" s="166">
        <v>0</v>
      </c>
      <c r="AX1306" s="166">
        <v>2</v>
      </c>
      <c r="AY1306" s="166">
        <v>1</v>
      </c>
      <c r="AZ1306" s="166">
        <v>0</v>
      </c>
      <c r="BA1306" s="166">
        <v>0</v>
      </c>
      <c r="BB1306" s="166">
        <v>0</v>
      </c>
      <c r="BC1306" s="166">
        <v>0</v>
      </c>
      <c r="BD1306" s="166">
        <v>0</v>
      </c>
      <c r="BE1306" s="166">
        <v>0</v>
      </c>
      <c r="BF1306" s="166">
        <v>0</v>
      </c>
      <c r="BG1306" s="166">
        <v>-1</v>
      </c>
      <c r="BH1306" s="166">
        <v>0</v>
      </c>
      <c r="BI1306" s="166">
        <v>0</v>
      </c>
      <c r="BJ1306" s="166">
        <v>0</v>
      </c>
      <c r="BK1306" s="166">
        <v>0</v>
      </c>
      <c r="BL1306" s="166">
        <v>0</v>
      </c>
      <c r="BM1306" s="166">
        <v>0</v>
      </c>
      <c r="BN1306" s="166">
        <v>0</v>
      </c>
      <c r="BO1306" s="166">
        <v>0</v>
      </c>
      <c r="BP1306" s="166">
        <v>0</v>
      </c>
      <c r="BQ1306" s="81" t="s">
        <v>1758</v>
      </c>
      <c r="BZ1306" s="81" t="s">
        <v>155</v>
      </c>
      <c r="CA1306" s="81">
        <v>10</v>
      </c>
      <c r="CC1306" s="167">
        <v>0</v>
      </c>
      <c r="CD1306" s="167">
        <v>0</v>
      </c>
      <c r="CE1306" s="167">
        <v>0</v>
      </c>
      <c r="CF1306" s="167">
        <v>0</v>
      </c>
      <c r="CG1306" s="167">
        <v>0</v>
      </c>
      <c r="CH1306" s="167">
        <f>$N1306/3</f>
        <v>0.66666666666666663</v>
      </c>
      <c r="CI1306" s="167">
        <f>$N1306/3</f>
        <v>0.66666666666666663</v>
      </c>
      <c r="CJ1306" s="167">
        <f>$N1306/3</f>
        <v>0.66666666666666663</v>
      </c>
      <c r="CK1306" s="167">
        <v>0</v>
      </c>
      <c r="CL1306" s="167">
        <v>0</v>
      </c>
      <c r="CM1306" s="167">
        <v>0</v>
      </c>
      <c r="CN1306" s="167">
        <v>0</v>
      </c>
      <c r="CO1306" s="167">
        <v>0</v>
      </c>
      <c r="CP1306" s="167">
        <v>0</v>
      </c>
      <c r="CQ1306" s="167">
        <v>0</v>
      </c>
      <c r="CR1306" s="167">
        <v>0</v>
      </c>
      <c r="CS1306" s="167">
        <v>0</v>
      </c>
      <c r="CT1306" s="167">
        <v>0</v>
      </c>
      <c r="CU1306" s="167">
        <v>0</v>
      </c>
      <c r="CV1306" s="167">
        <v>0</v>
      </c>
      <c r="CW1306" s="167">
        <v>0</v>
      </c>
      <c r="CX1306" s="167">
        <f>SUM(CD1306:CH1306)</f>
        <v>0.66666666666666663</v>
      </c>
      <c r="CY1306" s="167">
        <f>SUM(CD1306:CM1306)</f>
        <v>2</v>
      </c>
    </row>
    <row r="1307" spans="1:103" ht="12.75" customHeight="1" x14ac:dyDescent="0.2">
      <c r="A1307" s="81">
        <v>6801</v>
      </c>
      <c r="B1307" s="165" t="s">
        <v>1955</v>
      </c>
      <c r="C1307" s="165" t="s">
        <v>2275</v>
      </c>
      <c r="E1307" s="165" t="s">
        <v>2276</v>
      </c>
      <c r="G1307" s="81">
        <v>527991</v>
      </c>
      <c r="H1307" s="81">
        <v>171264</v>
      </c>
      <c r="I1307" s="165" t="s">
        <v>253</v>
      </c>
      <c r="L1307" s="166">
        <v>1</v>
      </c>
      <c r="M1307" s="166">
        <v>2</v>
      </c>
      <c r="N1307" s="166">
        <v>1</v>
      </c>
      <c r="O1307" s="166">
        <v>2</v>
      </c>
      <c r="P1307" s="166">
        <v>1</v>
      </c>
      <c r="R1307" s="165" t="s">
        <v>2277</v>
      </c>
      <c r="S1307" s="81" t="s">
        <v>121</v>
      </c>
      <c r="T1307" s="349">
        <v>43136</v>
      </c>
      <c r="W1307" s="81" t="s">
        <v>114</v>
      </c>
      <c r="Y1307" s="81" t="s">
        <v>115</v>
      </c>
      <c r="Z1307" s="81" t="s">
        <v>119</v>
      </c>
      <c r="AA1307" s="81" t="s">
        <v>117</v>
      </c>
      <c r="AB1307" s="81" t="s">
        <v>120</v>
      </c>
      <c r="AC1307" s="166">
        <v>9.9999997764825804E-3</v>
      </c>
      <c r="AG1307" s="81" t="s">
        <v>238</v>
      </c>
      <c r="AH1307" s="81" t="s">
        <v>118</v>
      </c>
      <c r="AK1307" s="166">
        <v>0</v>
      </c>
      <c r="AM1307" s="166">
        <v>0</v>
      </c>
      <c r="AO1307" s="166">
        <v>0</v>
      </c>
      <c r="AP1307" s="166">
        <v>1</v>
      </c>
      <c r="AQ1307" s="166">
        <v>0</v>
      </c>
      <c r="AR1307" s="166">
        <v>0</v>
      </c>
      <c r="AS1307" s="166">
        <v>0</v>
      </c>
      <c r="AT1307" s="166">
        <v>0</v>
      </c>
      <c r="AU1307" s="166">
        <v>0</v>
      </c>
      <c r="AV1307" s="166">
        <v>0</v>
      </c>
      <c r="AW1307" s="166">
        <v>1</v>
      </c>
      <c r="AX1307" s="166">
        <v>0</v>
      </c>
      <c r="AY1307" s="166">
        <v>1</v>
      </c>
      <c r="AZ1307" s="166">
        <v>0</v>
      </c>
      <c r="BA1307" s="166">
        <v>0</v>
      </c>
      <c r="BB1307" s="166">
        <v>0</v>
      </c>
      <c r="BC1307" s="166">
        <v>0</v>
      </c>
      <c r="BD1307" s="166">
        <v>0</v>
      </c>
      <c r="BE1307" s="166">
        <v>0</v>
      </c>
      <c r="BF1307" s="166">
        <v>-1</v>
      </c>
      <c r="BG1307" s="166">
        <v>0</v>
      </c>
      <c r="BH1307" s="166">
        <v>0</v>
      </c>
      <c r="BI1307" s="166">
        <v>0</v>
      </c>
      <c r="BJ1307" s="166">
        <v>0</v>
      </c>
      <c r="BK1307" s="166">
        <v>0</v>
      </c>
      <c r="BL1307" s="166">
        <v>0</v>
      </c>
      <c r="BM1307" s="166">
        <v>0</v>
      </c>
      <c r="BN1307" s="166">
        <v>0</v>
      </c>
      <c r="BO1307" s="166">
        <v>0</v>
      </c>
      <c r="BP1307" s="166">
        <v>0</v>
      </c>
      <c r="BQ1307" s="81" t="s">
        <v>1757</v>
      </c>
      <c r="BZ1307" s="81" t="s">
        <v>155</v>
      </c>
      <c r="CA1307" s="81">
        <v>10</v>
      </c>
      <c r="CC1307" s="167">
        <v>0</v>
      </c>
      <c r="CD1307" s="167">
        <v>0</v>
      </c>
      <c r="CE1307" s="167">
        <v>0</v>
      </c>
      <c r="CF1307" s="167">
        <v>0</v>
      </c>
      <c r="CG1307" s="167">
        <v>0</v>
      </c>
      <c r="CH1307" s="167">
        <f>$N1307/3</f>
        <v>0.33333333333333331</v>
      </c>
      <c r="CI1307" s="167">
        <f>$N1307/3</f>
        <v>0.33333333333333331</v>
      </c>
      <c r="CJ1307" s="167">
        <f>$N1307/3</f>
        <v>0.33333333333333331</v>
      </c>
      <c r="CK1307" s="167">
        <v>0</v>
      </c>
      <c r="CL1307" s="167">
        <v>0</v>
      </c>
      <c r="CM1307" s="167">
        <v>0</v>
      </c>
      <c r="CN1307" s="167">
        <v>0</v>
      </c>
      <c r="CO1307" s="167">
        <v>0</v>
      </c>
      <c r="CP1307" s="167">
        <v>0</v>
      </c>
      <c r="CQ1307" s="167">
        <v>0</v>
      </c>
      <c r="CR1307" s="167">
        <v>0</v>
      </c>
      <c r="CS1307" s="167">
        <v>0</v>
      </c>
      <c r="CT1307" s="167">
        <v>0</v>
      </c>
      <c r="CU1307" s="167">
        <v>0</v>
      </c>
      <c r="CV1307" s="167">
        <v>0</v>
      </c>
      <c r="CW1307" s="167">
        <v>0</v>
      </c>
      <c r="CX1307" s="167">
        <f>SUM(CD1307:CH1307)</f>
        <v>0.33333333333333331</v>
      </c>
      <c r="CY1307" s="167">
        <f>SUM(CD1307:CM1307)</f>
        <v>1</v>
      </c>
    </row>
    <row r="1308" spans="1:103" ht="12.75" customHeight="1" x14ac:dyDescent="0.2">
      <c r="A1308" s="81">
        <v>6804</v>
      </c>
      <c r="B1308" s="165" t="s">
        <v>1955</v>
      </c>
      <c r="C1308" s="165" t="s">
        <v>2278</v>
      </c>
      <c r="E1308" s="165" t="s">
        <v>2279</v>
      </c>
      <c r="G1308" s="81">
        <v>523594</v>
      </c>
      <c r="H1308" s="81">
        <v>175801</v>
      </c>
      <c r="I1308" s="165" t="s">
        <v>259</v>
      </c>
      <c r="L1308" s="166">
        <v>2</v>
      </c>
      <c r="M1308" s="166">
        <v>2</v>
      </c>
      <c r="N1308" s="166">
        <v>0</v>
      </c>
      <c r="O1308" s="166">
        <v>3</v>
      </c>
      <c r="P1308" s="166">
        <v>1</v>
      </c>
      <c r="R1308" s="165" t="s">
        <v>2280</v>
      </c>
      <c r="S1308" s="81" t="s">
        <v>121</v>
      </c>
      <c r="T1308" s="349">
        <v>43123</v>
      </c>
      <c r="W1308" s="81" t="s">
        <v>114</v>
      </c>
      <c r="Y1308" s="81" t="s">
        <v>115</v>
      </c>
      <c r="Z1308" s="81" t="s">
        <v>398</v>
      </c>
      <c r="AA1308" s="81" t="s">
        <v>117</v>
      </c>
      <c r="AB1308" s="81" t="s">
        <v>298</v>
      </c>
      <c r="AC1308" s="166">
        <v>7.0000002160668399E-3</v>
      </c>
      <c r="AG1308" s="81" t="s">
        <v>238</v>
      </c>
      <c r="AH1308" s="81" t="s">
        <v>118</v>
      </c>
      <c r="AK1308" s="166">
        <v>0</v>
      </c>
      <c r="AM1308" s="166">
        <v>0</v>
      </c>
      <c r="AO1308" s="166">
        <v>0</v>
      </c>
      <c r="AP1308" s="166">
        <v>-2</v>
      </c>
      <c r="AQ1308" s="166">
        <v>2</v>
      </c>
      <c r="AR1308" s="166">
        <v>0</v>
      </c>
      <c r="AS1308" s="166">
        <v>0</v>
      </c>
      <c r="AT1308" s="166">
        <v>0</v>
      </c>
      <c r="AU1308" s="166">
        <v>0</v>
      </c>
      <c r="AV1308" s="166">
        <v>0</v>
      </c>
      <c r="AW1308" s="166">
        <v>-2</v>
      </c>
      <c r="AX1308" s="166">
        <v>2</v>
      </c>
      <c r="AY1308" s="166">
        <v>0</v>
      </c>
      <c r="AZ1308" s="166">
        <v>0</v>
      </c>
      <c r="BA1308" s="166">
        <v>0</v>
      </c>
      <c r="BB1308" s="166">
        <v>0</v>
      </c>
      <c r="BC1308" s="166">
        <v>0</v>
      </c>
      <c r="BD1308" s="166">
        <v>0</v>
      </c>
      <c r="BE1308" s="166">
        <v>0</v>
      </c>
      <c r="BF1308" s="166">
        <v>0</v>
      </c>
      <c r="BG1308" s="166">
        <v>0</v>
      </c>
      <c r="BH1308" s="166">
        <v>0</v>
      </c>
      <c r="BI1308" s="166">
        <v>0</v>
      </c>
      <c r="BJ1308" s="166">
        <v>0</v>
      </c>
      <c r="BK1308" s="166">
        <v>0</v>
      </c>
      <c r="BL1308" s="166">
        <v>0</v>
      </c>
      <c r="BM1308" s="166">
        <v>0</v>
      </c>
      <c r="BN1308" s="166">
        <v>0</v>
      </c>
      <c r="BO1308" s="166">
        <v>0</v>
      </c>
      <c r="BP1308" s="166">
        <v>0</v>
      </c>
      <c r="BQ1308" s="81" t="s">
        <v>1758</v>
      </c>
      <c r="BZ1308" s="81" t="s">
        <v>155</v>
      </c>
      <c r="CA1308" s="81">
        <v>10</v>
      </c>
      <c r="CC1308" s="167">
        <v>0</v>
      </c>
      <c r="CD1308" s="167">
        <v>0</v>
      </c>
      <c r="CE1308" s="167">
        <v>0</v>
      </c>
      <c r="CF1308" s="167">
        <v>0</v>
      </c>
      <c r="CG1308" s="167">
        <v>0</v>
      </c>
      <c r="CH1308" s="167">
        <f>$N1308/3</f>
        <v>0</v>
      </c>
      <c r="CI1308" s="167">
        <f>$N1308/3</f>
        <v>0</v>
      </c>
      <c r="CJ1308" s="167">
        <f>$N1308/3</f>
        <v>0</v>
      </c>
      <c r="CK1308" s="167">
        <v>0</v>
      </c>
      <c r="CL1308" s="167">
        <v>0</v>
      </c>
      <c r="CM1308" s="167">
        <v>0</v>
      </c>
      <c r="CN1308" s="167">
        <v>0</v>
      </c>
      <c r="CO1308" s="167">
        <v>0</v>
      </c>
      <c r="CP1308" s="167">
        <v>0</v>
      </c>
      <c r="CQ1308" s="167">
        <v>0</v>
      </c>
      <c r="CR1308" s="167">
        <v>0</v>
      </c>
      <c r="CS1308" s="167">
        <v>0</v>
      </c>
      <c r="CT1308" s="167">
        <v>0</v>
      </c>
      <c r="CU1308" s="167">
        <v>0</v>
      </c>
      <c r="CV1308" s="167">
        <v>0</v>
      </c>
      <c r="CW1308" s="167">
        <v>0</v>
      </c>
      <c r="CX1308" s="167">
        <f>SUM(CD1308:CH1308)</f>
        <v>0</v>
      </c>
      <c r="CY1308" s="167">
        <f>SUM(CD1308:CM1308)</f>
        <v>0</v>
      </c>
    </row>
    <row r="1309" spans="1:103" ht="12.75" customHeight="1" x14ac:dyDescent="0.2">
      <c r="A1309" s="81">
        <v>6804</v>
      </c>
      <c r="B1309" s="165" t="s">
        <v>1955</v>
      </c>
      <c r="C1309" s="165" t="s">
        <v>2278</v>
      </c>
      <c r="E1309" s="165" t="s">
        <v>2279</v>
      </c>
      <c r="G1309" s="81">
        <v>523594</v>
      </c>
      <c r="H1309" s="81">
        <v>175801</v>
      </c>
      <c r="I1309" s="165" t="s">
        <v>259</v>
      </c>
      <c r="L1309" s="166">
        <v>0</v>
      </c>
      <c r="M1309" s="166">
        <v>1</v>
      </c>
      <c r="N1309" s="166">
        <v>1</v>
      </c>
      <c r="O1309" s="166">
        <v>3</v>
      </c>
      <c r="P1309" s="166">
        <v>1</v>
      </c>
      <c r="R1309" s="165" t="s">
        <v>2280</v>
      </c>
      <c r="S1309" s="81" t="s">
        <v>121</v>
      </c>
      <c r="T1309" s="349">
        <v>43123</v>
      </c>
      <c r="W1309" s="81" t="s">
        <v>114</v>
      </c>
      <c r="Y1309" s="81" t="s">
        <v>115</v>
      </c>
      <c r="Z1309" s="81" t="s">
        <v>398</v>
      </c>
      <c r="AA1309" s="81" t="s">
        <v>117</v>
      </c>
      <c r="AB1309" s="81" t="s">
        <v>218</v>
      </c>
      <c r="AC1309" s="166">
        <v>4.0000001899898104E-3</v>
      </c>
      <c r="AG1309" s="81" t="s">
        <v>238</v>
      </c>
      <c r="AH1309" s="81" t="s">
        <v>118</v>
      </c>
      <c r="AK1309" s="166">
        <v>0</v>
      </c>
      <c r="AM1309" s="166">
        <v>0</v>
      </c>
      <c r="AO1309" s="166">
        <v>0</v>
      </c>
      <c r="AP1309" s="166">
        <v>1</v>
      </c>
      <c r="AQ1309" s="166">
        <v>0</v>
      </c>
      <c r="AR1309" s="166">
        <v>0</v>
      </c>
      <c r="AS1309" s="166">
        <v>0</v>
      </c>
      <c r="AT1309" s="166">
        <v>0</v>
      </c>
      <c r="AU1309" s="166">
        <v>0</v>
      </c>
      <c r="AV1309" s="166">
        <v>0</v>
      </c>
      <c r="AW1309" s="166">
        <v>1</v>
      </c>
      <c r="AX1309" s="166">
        <v>0</v>
      </c>
      <c r="AY1309" s="166">
        <v>0</v>
      </c>
      <c r="AZ1309" s="166">
        <v>0</v>
      </c>
      <c r="BA1309" s="166">
        <v>0</v>
      </c>
      <c r="BB1309" s="166">
        <v>0</v>
      </c>
      <c r="BC1309" s="166">
        <v>0</v>
      </c>
      <c r="BD1309" s="166">
        <v>0</v>
      </c>
      <c r="BE1309" s="166">
        <v>0</v>
      </c>
      <c r="BF1309" s="166">
        <v>0</v>
      </c>
      <c r="BG1309" s="166">
        <v>0</v>
      </c>
      <c r="BH1309" s="166">
        <v>0</v>
      </c>
      <c r="BI1309" s="166">
        <v>0</v>
      </c>
      <c r="BJ1309" s="166">
        <v>0</v>
      </c>
      <c r="BK1309" s="166">
        <v>0</v>
      </c>
      <c r="BL1309" s="166">
        <v>0</v>
      </c>
      <c r="BM1309" s="166">
        <v>0</v>
      </c>
      <c r="BN1309" s="166">
        <v>0</v>
      </c>
      <c r="BO1309" s="166">
        <v>0</v>
      </c>
      <c r="BP1309" s="166">
        <v>0</v>
      </c>
      <c r="BQ1309" s="81" t="s">
        <v>1758</v>
      </c>
      <c r="BZ1309" s="81" t="s">
        <v>155</v>
      </c>
      <c r="CA1309" s="81">
        <v>10</v>
      </c>
      <c r="CC1309" s="167">
        <v>0</v>
      </c>
      <c r="CD1309" s="167">
        <v>0</v>
      </c>
      <c r="CE1309" s="167">
        <v>0</v>
      </c>
      <c r="CF1309" s="167">
        <v>0</v>
      </c>
      <c r="CG1309" s="167">
        <v>0</v>
      </c>
      <c r="CH1309" s="167">
        <f>$N1309/3</f>
        <v>0.33333333333333331</v>
      </c>
      <c r="CI1309" s="167">
        <f>$N1309/3</f>
        <v>0.33333333333333331</v>
      </c>
      <c r="CJ1309" s="167">
        <f>$N1309/3</f>
        <v>0.33333333333333331</v>
      </c>
      <c r="CK1309" s="167">
        <v>0</v>
      </c>
      <c r="CL1309" s="167">
        <v>0</v>
      </c>
      <c r="CM1309" s="167">
        <v>0</v>
      </c>
      <c r="CN1309" s="167">
        <v>0</v>
      </c>
      <c r="CO1309" s="167">
        <v>0</v>
      </c>
      <c r="CP1309" s="167">
        <v>0</v>
      </c>
      <c r="CQ1309" s="167">
        <v>0</v>
      </c>
      <c r="CR1309" s="167">
        <v>0</v>
      </c>
      <c r="CS1309" s="167">
        <v>0</v>
      </c>
      <c r="CT1309" s="167">
        <v>0</v>
      </c>
      <c r="CU1309" s="167">
        <v>0</v>
      </c>
      <c r="CV1309" s="167">
        <v>0</v>
      </c>
      <c r="CW1309" s="167">
        <v>0</v>
      </c>
      <c r="CX1309" s="167">
        <f>SUM(CD1309:CH1309)</f>
        <v>0.33333333333333331</v>
      </c>
      <c r="CY1309" s="167">
        <f>SUM(CD1309:CM1309)</f>
        <v>1</v>
      </c>
    </row>
    <row r="1310" spans="1:103" ht="12.75" customHeight="1" x14ac:dyDescent="0.2">
      <c r="A1310" s="81">
        <v>6805</v>
      </c>
      <c r="B1310" s="165" t="s">
        <v>1955</v>
      </c>
      <c r="C1310" s="165" t="s">
        <v>2281</v>
      </c>
      <c r="E1310" s="165" t="s">
        <v>2282</v>
      </c>
      <c r="G1310" s="81">
        <v>524490</v>
      </c>
      <c r="H1310" s="81">
        <v>175266</v>
      </c>
      <c r="I1310" s="165" t="s">
        <v>259</v>
      </c>
      <c r="L1310" s="166">
        <v>0</v>
      </c>
      <c r="M1310" s="166">
        <v>5</v>
      </c>
      <c r="N1310" s="166">
        <v>5</v>
      </c>
      <c r="O1310" s="166">
        <v>6</v>
      </c>
      <c r="P1310" s="166">
        <v>6</v>
      </c>
      <c r="R1310" s="165" t="s">
        <v>2283</v>
      </c>
      <c r="S1310" s="81" t="s">
        <v>121</v>
      </c>
      <c r="T1310" s="349">
        <v>43136</v>
      </c>
      <c r="W1310" s="81" t="s">
        <v>114</v>
      </c>
      <c r="Y1310" s="81" t="s">
        <v>115</v>
      </c>
      <c r="Z1310" s="81" t="s">
        <v>398</v>
      </c>
      <c r="AA1310" s="81" t="s">
        <v>117</v>
      </c>
      <c r="AB1310" s="81" t="s">
        <v>311</v>
      </c>
      <c r="AC1310" s="166">
        <v>1.4000000432133701E-2</v>
      </c>
      <c r="AG1310" s="81" t="s">
        <v>238</v>
      </c>
      <c r="AH1310" s="81" t="s">
        <v>118</v>
      </c>
      <c r="AK1310" s="166">
        <v>0</v>
      </c>
      <c r="AM1310" s="166">
        <v>0</v>
      </c>
      <c r="AO1310" s="166">
        <v>0</v>
      </c>
      <c r="AP1310" s="166">
        <v>0</v>
      </c>
      <c r="AQ1310" s="166">
        <v>5</v>
      </c>
      <c r="AR1310" s="166">
        <v>0</v>
      </c>
      <c r="AS1310" s="166">
        <v>0</v>
      </c>
      <c r="AT1310" s="166">
        <v>0</v>
      </c>
      <c r="AU1310" s="166">
        <v>0</v>
      </c>
      <c r="AV1310" s="166">
        <v>0</v>
      </c>
      <c r="AW1310" s="166">
        <v>0</v>
      </c>
      <c r="AX1310" s="166">
        <v>5</v>
      </c>
      <c r="AY1310" s="166">
        <v>0</v>
      </c>
      <c r="AZ1310" s="166">
        <v>0</v>
      </c>
      <c r="BA1310" s="166">
        <v>0</v>
      </c>
      <c r="BB1310" s="166">
        <v>0</v>
      </c>
      <c r="BC1310" s="166">
        <v>0</v>
      </c>
      <c r="BD1310" s="166">
        <v>0</v>
      </c>
      <c r="BE1310" s="166">
        <v>0</v>
      </c>
      <c r="BF1310" s="166">
        <v>0</v>
      </c>
      <c r="BG1310" s="166">
        <v>0</v>
      </c>
      <c r="BH1310" s="166">
        <v>0</v>
      </c>
      <c r="BI1310" s="166">
        <v>0</v>
      </c>
      <c r="BJ1310" s="166">
        <v>0</v>
      </c>
      <c r="BK1310" s="166">
        <v>0</v>
      </c>
      <c r="BL1310" s="166">
        <v>0</v>
      </c>
      <c r="BM1310" s="166">
        <v>0</v>
      </c>
      <c r="BN1310" s="166">
        <v>0</v>
      </c>
      <c r="BO1310" s="166">
        <v>0</v>
      </c>
      <c r="BP1310" s="166">
        <v>0</v>
      </c>
      <c r="BQ1310" s="81" t="s">
        <v>1758</v>
      </c>
      <c r="BZ1310" s="81" t="s">
        <v>155</v>
      </c>
      <c r="CA1310" s="81">
        <v>10</v>
      </c>
      <c r="CC1310" s="167">
        <v>0</v>
      </c>
      <c r="CD1310" s="167">
        <v>0</v>
      </c>
      <c r="CE1310" s="167">
        <v>0</v>
      </c>
      <c r="CF1310" s="167">
        <v>0</v>
      </c>
      <c r="CG1310" s="167">
        <v>0</v>
      </c>
      <c r="CH1310" s="167">
        <f>$N1310/3</f>
        <v>1.6666666666666667</v>
      </c>
      <c r="CI1310" s="167">
        <f>$N1310/3</f>
        <v>1.6666666666666667</v>
      </c>
      <c r="CJ1310" s="167">
        <f>$N1310/3</f>
        <v>1.6666666666666667</v>
      </c>
      <c r="CK1310" s="167">
        <v>0</v>
      </c>
      <c r="CL1310" s="167">
        <v>0</v>
      </c>
      <c r="CM1310" s="167">
        <v>0</v>
      </c>
      <c r="CN1310" s="167">
        <v>0</v>
      </c>
      <c r="CO1310" s="167">
        <v>0</v>
      </c>
      <c r="CP1310" s="167">
        <v>0</v>
      </c>
      <c r="CQ1310" s="167">
        <v>0</v>
      </c>
      <c r="CR1310" s="167">
        <v>0</v>
      </c>
      <c r="CS1310" s="167">
        <v>0</v>
      </c>
      <c r="CT1310" s="167">
        <v>0</v>
      </c>
      <c r="CU1310" s="167">
        <v>0</v>
      </c>
      <c r="CV1310" s="167">
        <v>0</v>
      </c>
      <c r="CW1310" s="167">
        <v>0</v>
      </c>
      <c r="CX1310" s="167">
        <f>SUM(CD1310:CH1310)</f>
        <v>1.6666666666666667</v>
      </c>
      <c r="CY1310" s="167">
        <f>SUM(CD1310:CM1310)</f>
        <v>5</v>
      </c>
    </row>
    <row r="1311" spans="1:103" ht="12.75" customHeight="1" x14ac:dyDescent="0.2">
      <c r="A1311" s="81">
        <v>6805</v>
      </c>
      <c r="B1311" s="165" t="s">
        <v>1955</v>
      </c>
      <c r="C1311" s="165" t="s">
        <v>2281</v>
      </c>
      <c r="E1311" s="165" t="s">
        <v>2282</v>
      </c>
      <c r="G1311" s="81">
        <v>524490</v>
      </c>
      <c r="H1311" s="81">
        <v>175266</v>
      </c>
      <c r="I1311" s="165" t="s">
        <v>259</v>
      </c>
      <c r="L1311" s="166">
        <v>0</v>
      </c>
      <c r="M1311" s="166">
        <v>1</v>
      </c>
      <c r="N1311" s="166">
        <v>1</v>
      </c>
      <c r="O1311" s="166">
        <v>6</v>
      </c>
      <c r="P1311" s="166">
        <v>6</v>
      </c>
      <c r="R1311" s="165" t="s">
        <v>2283</v>
      </c>
      <c r="S1311" s="81" t="s">
        <v>121</v>
      </c>
      <c r="T1311" s="349">
        <v>43136</v>
      </c>
      <c r="W1311" s="81" t="s">
        <v>114</v>
      </c>
      <c r="Y1311" s="81" t="s">
        <v>115</v>
      </c>
      <c r="Z1311" s="81" t="s">
        <v>398</v>
      </c>
      <c r="AA1311" s="81" t="s">
        <v>117</v>
      </c>
      <c r="AB1311" s="81" t="s">
        <v>218</v>
      </c>
      <c r="AC1311" s="166">
        <v>3.0000000260770299E-3</v>
      </c>
      <c r="AG1311" s="81" t="s">
        <v>238</v>
      </c>
      <c r="AH1311" s="81" t="s">
        <v>118</v>
      </c>
      <c r="AK1311" s="166">
        <v>0</v>
      </c>
      <c r="AM1311" s="166">
        <v>0</v>
      </c>
      <c r="AO1311" s="166">
        <v>0</v>
      </c>
      <c r="AP1311" s="166">
        <v>1</v>
      </c>
      <c r="AQ1311" s="166">
        <v>0</v>
      </c>
      <c r="AR1311" s="166">
        <v>0</v>
      </c>
      <c r="AS1311" s="166">
        <v>0</v>
      </c>
      <c r="AT1311" s="166">
        <v>0</v>
      </c>
      <c r="AU1311" s="166">
        <v>0</v>
      </c>
      <c r="AV1311" s="166">
        <v>0</v>
      </c>
      <c r="AW1311" s="166">
        <v>1</v>
      </c>
      <c r="AX1311" s="166">
        <v>0</v>
      </c>
      <c r="AY1311" s="166">
        <v>0</v>
      </c>
      <c r="AZ1311" s="166">
        <v>0</v>
      </c>
      <c r="BA1311" s="166">
        <v>0</v>
      </c>
      <c r="BB1311" s="166">
        <v>0</v>
      </c>
      <c r="BC1311" s="166">
        <v>0</v>
      </c>
      <c r="BD1311" s="166">
        <v>0</v>
      </c>
      <c r="BE1311" s="166">
        <v>0</v>
      </c>
      <c r="BF1311" s="166">
        <v>0</v>
      </c>
      <c r="BG1311" s="166">
        <v>0</v>
      </c>
      <c r="BH1311" s="166">
        <v>0</v>
      </c>
      <c r="BI1311" s="166">
        <v>0</v>
      </c>
      <c r="BJ1311" s="166">
        <v>0</v>
      </c>
      <c r="BK1311" s="166">
        <v>0</v>
      </c>
      <c r="BL1311" s="166">
        <v>0</v>
      </c>
      <c r="BM1311" s="166">
        <v>0</v>
      </c>
      <c r="BN1311" s="166">
        <v>0</v>
      </c>
      <c r="BO1311" s="166">
        <v>0</v>
      </c>
      <c r="BP1311" s="166">
        <v>0</v>
      </c>
      <c r="BQ1311" s="81" t="s">
        <v>1758</v>
      </c>
      <c r="BZ1311" s="81" t="s">
        <v>155</v>
      </c>
      <c r="CA1311" s="81">
        <v>10</v>
      </c>
      <c r="CC1311" s="167">
        <v>0</v>
      </c>
      <c r="CD1311" s="167">
        <v>0</v>
      </c>
      <c r="CE1311" s="167">
        <v>0</v>
      </c>
      <c r="CF1311" s="167">
        <v>0</v>
      </c>
      <c r="CG1311" s="167">
        <v>0</v>
      </c>
      <c r="CH1311" s="167">
        <f>$N1311/3</f>
        <v>0.33333333333333331</v>
      </c>
      <c r="CI1311" s="167">
        <f>$N1311/3</f>
        <v>0.33333333333333331</v>
      </c>
      <c r="CJ1311" s="167">
        <f>$N1311/3</f>
        <v>0.33333333333333331</v>
      </c>
      <c r="CK1311" s="167">
        <v>0</v>
      </c>
      <c r="CL1311" s="167">
        <v>0</v>
      </c>
      <c r="CM1311" s="167">
        <v>0</v>
      </c>
      <c r="CN1311" s="167">
        <v>0</v>
      </c>
      <c r="CO1311" s="167">
        <v>0</v>
      </c>
      <c r="CP1311" s="167">
        <v>0</v>
      </c>
      <c r="CQ1311" s="167">
        <v>0</v>
      </c>
      <c r="CR1311" s="167">
        <v>0</v>
      </c>
      <c r="CS1311" s="167">
        <v>0</v>
      </c>
      <c r="CT1311" s="167">
        <v>0</v>
      </c>
      <c r="CU1311" s="167">
        <v>0</v>
      </c>
      <c r="CV1311" s="167">
        <v>0</v>
      </c>
      <c r="CW1311" s="167">
        <v>0</v>
      </c>
      <c r="CX1311" s="167">
        <f>SUM(CD1311:CH1311)</f>
        <v>0.33333333333333331</v>
      </c>
      <c r="CY1311" s="167">
        <f>SUM(CD1311:CM1311)</f>
        <v>1</v>
      </c>
    </row>
    <row r="1312" spans="1:103" ht="12.75" customHeight="1" x14ac:dyDescent="0.2">
      <c r="A1312" s="81">
        <v>6807</v>
      </c>
      <c r="B1312" s="165" t="s">
        <v>1955</v>
      </c>
      <c r="C1312" s="165" t="s">
        <v>2284</v>
      </c>
      <c r="E1312" s="165" t="s">
        <v>2285</v>
      </c>
      <c r="G1312" s="81">
        <v>528715</v>
      </c>
      <c r="H1312" s="81">
        <v>172412</v>
      </c>
      <c r="I1312" s="165" t="s">
        <v>248</v>
      </c>
      <c r="L1312" s="166">
        <v>2</v>
      </c>
      <c r="M1312" s="166">
        <v>1</v>
      </c>
      <c r="N1312" s="166">
        <v>-1</v>
      </c>
      <c r="O1312" s="166">
        <v>1</v>
      </c>
      <c r="P1312" s="166">
        <v>-1</v>
      </c>
      <c r="R1312" s="165" t="s">
        <v>2286</v>
      </c>
      <c r="S1312" s="81" t="s">
        <v>121</v>
      </c>
      <c r="T1312" s="349">
        <v>43146</v>
      </c>
      <c r="W1312" s="81" t="s">
        <v>114</v>
      </c>
      <c r="Y1312" s="81" t="s">
        <v>115</v>
      </c>
      <c r="Z1312" s="81" t="s">
        <v>119</v>
      </c>
      <c r="AA1312" s="81" t="s">
        <v>117</v>
      </c>
      <c r="AB1312" s="81" t="s">
        <v>336</v>
      </c>
      <c r="AC1312" s="166">
        <v>3.7999998778104803E-2</v>
      </c>
      <c r="AG1312" s="81" t="s">
        <v>238</v>
      </c>
      <c r="AH1312" s="81" t="s">
        <v>118</v>
      </c>
      <c r="AK1312" s="166">
        <v>0</v>
      </c>
      <c r="AM1312" s="166">
        <v>0</v>
      </c>
      <c r="AO1312" s="166">
        <v>0</v>
      </c>
      <c r="AP1312" s="166">
        <v>-1</v>
      </c>
      <c r="AQ1312" s="166">
        <v>0</v>
      </c>
      <c r="AR1312" s="166">
        <v>-1</v>
      </c>
      <c r="AS1312" s="166">
        <v>1</v>
      </c>
      <c r="AT1312" s="166">
        <v>0</v>
      </c>
      <c r="AU1312" s="166">
        <v>0</v>
      </c>
      <c r="AV1312" s="166">
        <v>0</v>
      </c>
      <c r="AW1312" s="166">
        <v>-1</v>
      </c>
      <c r="AX1312" s="166">
        <v>0</v>
      </c>
      <c r="AY1312" s="166">
        <v>-1</v>
      </c>
      <c r="AZ1312" s="166">
        <v>0</v>
      </c>
      <c r="BA1312" s="166">
        <v>0</v>
      </c>
      <c r="BB1312" s="166">
        <v>0</v>
      </c>
      <c r="BC1312" s="166">
        <v>0</v>
      </c>
      <c r="BD1312" s="166">
        <v>0</v>
      </c>
      <c r="BE1312" s="166">
        <v>0</v>
      </c>
      <c r="BF1312" s="166">
        <v>0</v>
      </c>
      <c r="BG1312" s="166">
        <v>1</v>
      </c>
      <c r="BH1312" s="166">
        <v>0</v>
      </c>
      <c r="BI1312" s="166">
        <v>0</v>
      </c>
      <c r="BJ1312" s="166">
        <v>0</v>
      </c>
      <c r="BK1312" s="166">
        <v>0</v>
      </c>
      <c r="BL1312" s="166">
        <v>0</v>
      </c>
      <c r="BM1312" s="166">
        <v>0</v>
      </c>
      <c r="BN1312" s="166">
        <v>0</v>
      </c>
      <c r="BO1312" s="166">
        <v>0</v>
      </c>
      <c r="BP1312" s="166">
        <v>0</v>
      </c>
      <c r="BQ1312" s="81" t="s">
        <v>1757</v>
      </c>
      <c r="BZ1312" s="81" t="s">
        <v>155</v>
      </c>
      <c r="CA1312" s="81">
        <v>10</v>
      </c>
      <c r="CC1312" s="167">
        <v>0</v>
      </c>
      <c r="CD1312" s="167">
        <v>0</v>
      </c>
      <c r="CE1312" s="167">
        <v>0</v>
      </c>
      <c r="CF1312" s="167">
        <v>0</v>
      </c>
      <c r="CG1312" s="167">
        <v>0</v>
      </c>
      <c r="CH1312" s="167">
        <f>$N1312/3</f>
        <v>-0.33333333333333331</v>
      </c>
      <c r="CI1312" s="167">
        <f>$N1312/3</f>
        <v>-0.33333333333333331</v>
      </c>
      <c r="CJ1312" s="167">
        <f>$N1312/3</f>
        <v>-0.33333333333333331</v>
      </c>
      <c r="CK1312" s="167">
        <v>0</v>
      </c>
      <c r="CL1312" s="167">
        <v>0</v>
      </c>
      <c r="CM1312" s="167">
        <v>0</v>
      </c>
      <c r="CN1312" s="167">
        <v>0</v>
      </c>
      <c r="CO1312" s="167">
        <v>0</v>
      </c>
      <c r="CP1312" s="167">
        <v>0</v>
      </c>
      <c r="CQ1312" s="167">
        <v>0</v>
      </c>
      <c r="CR1312" s="167">
        <v>0</v>
      </c>
      <c r="CS1312" s="167">
        <v>0</v>
      </c>
      <c r="CT1312" s="167">
        <v>0</v>
      </c>
      <c r="CU1312" s="167">
        <v>0</v>
      </c>
      <c r="CV1312" s="167">
        <v>0</v>
      </c>
      <c r="CW1312" s="167">
        <v>0</v>
      </c>
      <c r="CX1312" s="167">
        <f>SUM(CD1312:CH1312)</f>
        <v>-0.33333333333333331</v>
      </c>
      <c r="CY1312" s="167">
        <f>SUM(CD1312:CM1312)</f>
        <v>-1</v>
      </c>
    </row>
    <row r="1313" spans="1:103" ht="12.75" customHeight="1" x14ac:dyDescent="0.2">
      <c r="A1313" s="81">
        <v>6810</v>
      </c>
      <c r="B1313" s="165" t="s">
        <v>1955</v>
      </c>
      <c r="C1313" s="165" t="s">
        <v>2287</v>
      </c>
      <c r="E1313" s="165" t="s">
        <v>2288</v>
      </c>
      <c r="G1313" s="81">
        <v>521688</v>
      </c>
      <c r="H1313" s="81">
        <v>172441</v>
      </c>
      <c r="I1313" s="165" t="s">
        <v>877</v>
      </c>
      <c r="L1313" s="166">
        <v>1</v>
      </c>
      <c r="M1313" s="166">
        <v>4</v>
      </c>
      <c r="N1313" s="166">
        <v>3</v>
      </c>
      <c r="O1313" s="166">
        <v>4</v>
      </c>
      <c r="P1313" s="166">
        <v>3</v>
      </c>
      <c r="R1313" s="165" t="s">
        <v>2289</v>
      </c>
      <c r="S1313" s="81" t="s">
        <v>121</v>
      </c>
      <c r="T1313" s="349">
        <v>43147</v>
      </c>
      <c r="W1313" s="81" t="s">
        <v>114</v>
      </c>
      <c r="Y1313" s="81" t="s">
        <v>115</v>
      </c>
      <c r="Z1313" s="81" t="s">
        <v>398</v>
      </c>
      <c r="AA1313" s="81" t="s">
        <v>117</v>
      </c>
      <c r="AB1313" s="81" t="s">
        <v>120</v>
      </c>
      <c r="AC1313" s="166">
        <v>5.0000000745058101E-2</v>
      </c>
      <c r="AG1313" s="81" t="s">
        <v>238</v>
      </c>
      <c r="AH1313" s="81" t="s">
        <v>118</v>
      </c>
      <c r="AK1313" s="166">
        <v>0</v>
      </c>
      <c r="AM1313" s="166">
        <v>0</v>
      </c>
      <c r="AO1313" s="166">
        <v>0</v>
      </c>
      <c r="AP1313" s="166">
        <v>1</v>
      </c>
      <c r="AQ1313" s="166">
        <v>2</v>
      </c>
      <c r="AR1313" s="166">
        <v>1</v>
      </c>
      <c r="AS1313" s="166">
        <v>0</v>
      </c>
      <c r="AT1313" s="166">
        <v>-1</v>
      </c>
      <c r="AU1313" s="166">
        <v>0</v>
      </c>
      <c r="AV1313" s="166">
        <v>0</v>
      </c>
      <c r="AW1313" s="166">
        <v>1</v>
      </c>
      <c r="AX1313" s="166">
        <v>2</v>
      </c>
      <c r="AY1313" s="166">
        <v>1</v>
      </c>
      <c r="AZ1313" s="166">
        <v>0</v>
      </c>
      <c r="BA1313" s="166">
        <v>0</v>
      </c>
      <c r="BB1313" s="166">
        <v>0</v>
      </c>
      <c r="BC1313" s="166">
        <v>0</v>
      </c>
      <c r="BD1313" s="166">
        <v>0</v>
      </c>
      <c r="BE1313" s="166">
        <v>0</v>
      </c>
      <c r="BF1313" s="166">
        <v>0</v>
      </c>
      <c r="BG1313" s="166">
        <v>0</v>
      </c>
      <c r="BH1313" s="166">
        <v>-1</v>
      </c>
      <c r="BI1313" s="166">
        <v>0</v>
      </c>
      <c r="BJ1313" s="166">
        <v>0</v>
      </c>
      <c r="BK1313" s="166">
        <v>0</v>
      </c>
      <c r="BL1313" s="166">
        <v>0</v>
      </c>
      <c r="BM1313" s="166">
        <v>0</v>
      </c>
      <c r="BN1313" s="166">
        <v>0</v>
      </c>
      <c r="BO1313" s="166">
        <v>0</v>
      </c>
      <c r="BP1313" s="166">
        <v>0</v>
      </c>
      <c r="BQ1313" s="81" t="s">
        <v>1758</v>
      </c>
      <c r="BZ1313" s="81" t="s">
        <v>155</v>
      </c>
      <c r="CA1313" s="81">
        <v>10</v>
      </c>
      <c r="CC1313" s="167">
        <v>0</v>
      </c>
      <c r="CD1313" s="167">
        <v>0</v>
      </c>
      <c r="CE1313" s="167">
        <v>0</v>
      </c>
      <c r="CF1313" s="167">
        <v>0</v>
      </c>
      <c r="CG1313" s="167">
        <v>0</v>
      </c>
      <c r="CH1313" s="167">
        <f>$N1313/3</f>
        <v>1</v>
      </c>
      <c r="CI1313" s="167">
        <f>$N1313/3</f>
        <v>1</v>
      </c>
      <c r="CJ1313" s="167">
        <f>$N1313/3</f>
        <v>1</v>
      </c>
      <c r="CK1313" s="167">
        <v>0</v>
      </c>
      <c r="CL1313" s="167">
        <v>0</v>
      </c>
      <c r="CM1313" s="167">
        <v>0</v>
      </c>
      <c r="CN1313" s="167">
        <v>0</v>
      </c>
      <c r="CO1313" s="167">
        <v>0</v>
      </c>
      <c r="CP1313" s="167">
        <v>0</v>
      </c>
      <c r="CQ1313" s="167">
        <v>0</v>
      </c>
      <c r="CR1313" s="167">
        <v>0</v>
      </c>
      <c r="CS1313" s="167">
        <v>0</v>
      </c>
      <c r="CT1313" s="167">
        <v>0</v>
      </c>
      <c r="CU1313" s="167">
        <v>0</v>
      </c>
      <c r="CV1313" s="167">
        <v>0</v>
      </c>
      <c r="CW1313" s="167">
        <v>0</v>
      </c>
      <c r="CX1313" s="167">
        <f>SUM(CD1313:CH1313)</f>
        <v>1</v>
      </c>
      <c r="CY1313" s="167">
        <f>SUM(CD1313:CM1313)</f>
        <v>3</v>
      </c>
    </row>
    <row r="1314" spans="1:103" ht="12.75" customHeight="1" x14ac:dyDescent="0.2">
      <c r="A1314" s="81">
        <v>6811</v>
      </c>
      <c r="B1314" s="165" t="s">
        <v>1955</v>
      </c>
      <c r="C1314" s="165" t="s">
        <v>2290</v>
      </c>
      <c r="E1314" s="165" t="s">
        <v>2291</v>
      </c>
      <c r="G1314" s="81">
        <v>525229</v>
      </c>
      <c r="H1314" s="81">
        <v>173182</v>
      </c>
      <c r="I1314" s="165" t="s">
        <v>258</v>
      </c>
      <c r="L1314" s="166">
        <v>0</v>
      </c>
      <c r="M1314" s="166">
        <v>1</v>
      </c>
      <c r="N1314" s="166">
        <v>1</v>
      </c>
      <c r="O1314" s="166">
        <v>1</v>
      </c>
      <c r="P1314" s="166">
        <v>1</v>
      </c>
      <c r="R1314" s="165" t="s">
        <v>2292</v>
      </c>
      <c r="S1314" s="81" t="s">
        <v>121</v>
      </c>
      <c r="T1314" s="349">
        <v>43147</v>
      </c>
      <c r="W1314" s="81" t="s">
        <v>114</v>
      </c>
      <c r="Y1314" s="81" t="s">
        <v>115</v>
      </c>
      <c r="Z1314" s="81" t="s">
        <v>310</v>
      </c>
      <c r="AA1314" s="81" t="s">
        <v>117</v>
      </c>
      <c r="AB1314" s="81" t="s">
        <v>399</v>
      </c>
      <c r="AC1314" s="166">
        <v>9.9999997764825804E-3</v>
      </c>
      <c r="AG1314" s="81" t="s">
        <v>238</v>
      </c>
      <c r="AH1314" s="81" t="s">
        <v>118</v>
      </c>
      <c r="AK1314" s="166">
        <v>0</v>
      </c>
      <c r="AM1314" s="166">
        <v>0</v>
      </c>
      <c r="AO1314" s="166">
        <v>0</v>
      </c>
      <c r="AP1314" s="166">
        <v>1</v>
      </c>
      <c r="AQ1314" s="166">
        <v>0</v>
      </c>
      <c r="AR1314" s="166">
        <v>0</v>
      </c>
      <c r="AS1314" s="166">
        <v>0</v>
      </c>
      <c r="AT1314" s="166">
        <v>0</v>
      </c>
      <c r="AU1314" s="166">
        <v>0</v>
      </c>
      <c r="AV1314" s="166">
        <v>0</v>
      </c>
      <c r="AW1314" s="166">
        <v>1</v>
      </c>
      <c r="AX1314" s="166">
        <v>0</v>
      </c>
      <c r="AY1314" s="166">
        <v>0</v>
      </c>
      <c r="AZ1314" s="166">
        <v>0</v>
      </c>
      <c r="BA1314" s="166">
        <v>0</v>
      </c>
      <c r="BB1314" s="166">
        <v>0</v>
      </c>
      <c r="BC1314" s="166">
        <v>0</v>
      </c>
      <c r="BD1314" s="166">
        <v>0</v>
      </c>
      <c r="BE1314" s="166">
        <v>0</v>
      </c>
      <c r="BF1314" s="166">
        <v>0</v>
      </c>
      <c r="BG1314" s="166">
        <v>0</v>
      </c>
      <c r="BH1314" s="166">
        <v>0</v>
      </c>
      <c r="BI1314" s="166">
        <v>0</v>
      </c>
      <c r="BJ1314" s="166">
        <v>0</v>
      </c>
      <c r="BK1314" s="166">
        <v>0</v>
      </c>
      <c r="BL1314" s="166">
        <v>0</v>
      </c>
      <c r="BM1314" s="166">
        <v>0</v>
      </c>
      <c r="BN1314" s="166">
        <v>0</v>
      </c>
      <c r="BO1314" s="166">
        <v>0</v>
      </c>
      <c r="BP1314" s="166">
        <v>0</v>
      </c>
      <c r="BQ1314" s="81" t="s">
        <v>1758</v>
      </c>
      <c r="BZ1314" s="81" t="s">
        <v>155</v>
      </c>
      <c r="CA1314" s="81">
        <v>10</v>
      </c>
      <c r="CC1314" s="167">
        <v>0</v>
      </c>
      <c r="CD1314" s="167">
        <v>0</v>
      </c>
      <c r="CE1314" s="167">
        <v>0</v>
      </c>
      <c r="CF1314" s="167">
        <v>0</v>
      </c>
      <c r="CG1314" s="167">
        <v>0</v>
      </c>
      <c r="CH1314" s="167">
        <f>$N1314/3</f>
        <v>0.33333333333333331</v>
      </c>
      <c r="CI1314" s="167">
        <f>$N1314/3</f>
        <v>0.33333333333333331</v>
      </c>
      <c r="CJ1314" s="167">
        <f>$N1314/3</f>
        <v>0.33333333333333331</v>
      </c>
      <c r="CK1314" s="167">
        <v>0</v>
      </c>
      <c r="CL1314" s="167">
        <v>0</v>
      </c>
      <c r="CM1314" s="167">
        <v>0</v>
      </c>
      <c r="CN1314" s="167">
        <v>0</v>
      </c>
      <c r="CO1314" s="167">
        <v>0</v>
      </c>
      <c r="CP1314" s="167">
        <v>0</v>
      </c>
      <c r="CQ1314" s="167">
        <v>0</v>
      </c>
      <c r="CR1314" s="167">
        <v>0</v>
      </c>
      <c r="CS1314" s="167">
        <v>0</v>
      </c>
      <c r="CT1314" s="167">
        <v>0</v>
      </c>
      <c r="CU1314" s="167">
        <v>0</v>
      </c>
      <c r="CV1314" s="167">
        <v>0</v>
      </c>
      <c r="CW1314" s="167">
        <v>0</v>
      </c>
      <c r="CX1314" s="167">
        <f>SUM(CD1314:CH1314)</f>
        <v>0.33333333333333331</v>
      </c>
      <c r="CY1314" s="167">
        <f>SUM(CD1314:CM1314)</f>
        <v>1</v>
      </c>
    </row>
    <row r="1315" spans="1:103" ht="12.75" customHeight="1" x14ac:dyDescent="0.2">
      <c r="A1315" s="81">
        <v>6814</v>
      </c>
      <c r="B1315" s="165" t="s">
        <v>1955</v>
      </c>
      <c r="C1315" s="165" t="s">
        <v>2293</v>
      </c>
      <c r="E1315" s="165" t="s">
        <v>2294</v>
      </c>
      <c r="G1315" s="81">
        <v>524031</v>
      </c>
      <c r="H1315" s="81">
        <v>175248</v>
      </c>
      <c r="I1315" s="165" t="s">
        <v>259</v>
      </c>
      <c r="L1315" s="166">
        <v>0</v>
      </c>
      <c r="M1315" s="166">
        <v>3</v>
      </c>
      <c r="N1315" s="166">
        <v>3</v>
      </c>
      <c r="O1315" s="166">
        <v>3</v>
      </c>
      <c r="P1315" s="166">
        <v>3</v>
      </c>
      <c r="R1315" s="165" t="s">
        <v>2295</v>
      </c>
      <c r="S1315" s="81" t="s">
        <v>802</v>
      </c>
      <c r="T1315" s="349">
        <v>43146</v>
      </c>
      <c r="W1315" s="81" t="s">
        <v>114</v>
      </c>
      <c r="Y1315" s="81" t="s">
        <v>115</v>
      </c>
      <c r="Z1315" s="81" t="s">
        <v>310</v>
      </c>
      <c r="AA1315" s="81" t="s">
        <v>117</v>
      </c>
      <c r="AB1315" s="81" t="s">
        <v>399</v>
      </c>
      <c r="AC1315" s="166">
        <v>1.7999999225139601E-2</v>
      </c>
      <c r="AG1315" s="81" t="s">
        <v>238</v>
      </c>
      <c r="AH1315" s="81" t="s">
        <v>118</v>
      </c>
      <c r="AK1315" s="166">
        <v>0</v>
      </c>
      <c r="AM1315" s="166">
        <v>0</v>
      </c>
      <c r="AO1315" s="166">
        <v>0</v>
      </c>
      <c r="AP1315" s="166">
        <v>3</v>
      </c>
      <c r="AQ1315" s="166">
        <v>0</v>
      </c>
      <c r="AR1315" s="166">
        <v>0</v>
      </c>
      <c r="AS1315" s="166">
        <v>0</v>
      </c>
      <c r="AT1315" s="166">
        <v>0</v>
      </c>
      <c r="AU1315" s="166">
        <v>0</v>
      </c>
      <c r="AV1315" s="166">
        <v>0</v>
      </c>
      <c r="AW1315" s="166">
        <v>3</v>
      </c>
      <c r="AX1315" s="166">
        <v>0</v>
      </c>
      <c r="AY1315" s="166">
        <v>0</v>
      </c>
      <c r="AZ1315" s="166">
        <v>0</v>
      </c>
      <c r="BA1315" s="166">
        <v>0</v>
      </c>
      <c r="BB1315" s="166">
        <v>0</v>
      </c>
      <c r="BC1315" s="166">
        <v>0</v>
      </c>
      <c r="BD1315" s="166">
        <v>0</v>
      </c>
      <c r="BE1315" s="166">
        <v>0</v>
      </c>
      <c r="BF1315" s="166">
        <v>0</v>
      </c>
      <c r="BG1315" s="166">
        <v>0</v>
      </c>
      <c r="BH1315" s="166">
        <v>0</v>
      </c>
      <c r="BI1315" s="166">
        <v>0</v>
      </c>
      <c r="BJ1315" s="166">
        <v>0</v>
      </c>
      <c r="BK1315" s="166">
        <v>0</v>
      </c>
      <c r="BL1315" s="166">
        <v>0</v>
      </c>
      <c r="BM1315" s="166">
        <v>0</v>
      </c>
      <c r="BN1315" s="166">
        <v>0</v>
      </c>
      <c r="BO1315" s="166">
        <v>0</v>
      </c>
      <c r="BP1315" s="166">
        <v>0</v>
      </c>
      <c r="BQ1315" s="81" t="s">
        <v>1758</v>
      </c>
      <c r="BR1315" s="81" t="s">
        <v>161</v>
      </c>
      <c r="BZ1315" s="81" t="s">
        <v>155</v>
      </c>
      <c r="CA1315" s="81">
        <v>10</v>
      </c>
      <c r="CC1315" s="167">
        <v>0</v>
      </c>
      <c r="CD1315" s="167">
        <v>0</v>
      </c>
      <c r="CE1315" s="167">
        <v>0</v>
      </c>
      <c r="CF1315" s="167">
        <v>0</v>
      </c>
      <c r="CG1315" s="167">
        <v>0</v>
      </c>
      <c r="CH1315" s="167">
        <f>$N1315/3</f>
        <v>1</v>
      </c>
      <c r="CI1315" s="167">
        <f>$N1315/3</f>
        <v>1</v>
      </c>
      <c r="CJ1315" s="167">
        <f>$N1315/3</f>
        <v>1</v>
      </c>
      <c r="CK1315" s="167">
        <v>0</v>
      </c>
      <c r="CL1315" s="167">
        <v>0</v>
      </c>
      <c r="CM1315" s="167">
        <v>0</v>
      </c>
      <c r="CN1315" s="167">
        <v>0</v>
      </c>
      <c r="CO1315" s="167">
        <v>0</v>
      </c>
      <c r="CP1315" s="167">
        <v>0</v>
      </c>
      <c r="CQ1315" s="167">
        <v>0</v>
      </c>
      <c r="CR1315" s="167">
        <v>0</v>
      </c>
      <c r="CS1315" s="167">
        <v>0</v>
      </c>
      <c r="CT1315" s="167">
        <v>0</v>
      </c>
      <c r="CU1315" s="167">
        <v>0</v>
      </c>
      <c r="CV1315" s="167">
        <v>0</v>
      </c>
      <c r="CW1315" s="167">
        <v>0</v>
      </c>
      <c r="CX1315" s="167">
        <f>SUM(CD1315:CH1315)</f>
        <v>1</v>
      </c>
      <c r="CY1315" s="167">
        <f>SUM(CD1315:CM1315)</f>
        <v>3</v>
      </c>
    </row>
    <row r="1316" spans="1:103" ht="12.75" customHeight="1" x14ac:dyDescent="0.2">
      <c r="A1316" s="81">
        <v>6815</v>
      </c>
      <c r="B1316" s="165" t="s">
        <v>1955</v>
      </c>
      <c r="C1316" s="165" t="s">
        <v>2296</v>
      </c>
      <c r="E1316" s="165" t="s">
        <v>2297</v>
      </c>
      <c r="G1316" s="81">
        <v>524144</v>
      </c>
      <c r="H1316" s="81">
        <v>173132</v>
      </c>
      <c r="I1316" s="165" t="s">
        <v>111</v>
      </c>
      <c r="L1316" s="166">
        <v>0</v>
      </c>
      <c r="M1316" s="166">
        <v>1</v>
      </c>
      <c r="N1316" s="166">
        <v>1</v>
      </c>
      <c r="O1316" s="166">
        <v>1</v>
      </c>
      <c r="P1316" s="166">
        <v>1</v>
      </c>
      <c r="R1316" s="165" t="s">
        <v>2298</v>
      </c>
      <c r="S1316" s="81" t="s">
        <v>121</v>
      </c>
      <c r="T1316" s="349">
        <v>43146</v>
      </c>
      <c r="W1316" s="81" t="s">
        <v>114</v>
      </c>
      <c r="Y1316" s="81" t="s">
        <v>115</v>
      </c>
      <c r="Z1316" s="81" t="s">
        <v>116</v>
      </c>
      <c r="AA1316" s="81" t="s">
        <v>117</v>
      </c>
      <c r="AB1316" s="81" t="s">
        <v>218</v>
      </c>
      <c r="AC1316" s="166">
        <v>7.0000002160668399E-3</v>
      </c>
      <c r="AG1316" s="81" t="s">
        <v>238</v>
      </c>
      <c r="AH1316" s="81" t="s">
        <v>118</v>
      </c>
      <c r="AK1316" s="166">
        <v>0</v>
      </c>
      <c r="AM1316" s="166">
        <v>0</v>
      </c>
      <c r="AO1316" s="166">
        <v>0</v>
      </c>
      <c r="AP1316" s="166">
        <v>0</v>
      </c>
      <c r="AQ1316" s="166">
        <v>0</v>
      </c>
      <c r="AR1316" s="166">
        <v>1</v>
      </c>
      <c r="AS1316" s="166">
        <v>0</v>
      </c>
      <c r="AT1316" s="166">
        <v>0</v>
      </c>
      <c r="AU1316" s="166">
        <v>0</v>
      </c>
      <c r="AV1316" s="166">
        <v>0</v>
      </c>
      <c r="AW1316" s="166">
        <v>0</v>
      </c>
      <c r="AX1316" s="166">
        <v>0</v>
      </c>
      <c r="AY1316" s="166">
        <v>0</v>
      </c>
      <c r="AZ1316" s="166">
        <v>0</v>
      </c>
      <c r="BA1316" s="166">
        <v>0</v>
      </c>
      <c r="BB1316" s="166">
        <v>0</v>
      </c>
      <c r="BC1316" s="166">
        <v>0</v>
      </c>
      <c r="BD1316" s="166">
        <v>0</v>
      </c>
      <c r="BE1316" s="166">
        <v>0</v>
      </c>
      <c r="BF1316" s="166">
        <v>1</v>
      </c>
      <c r="BG1316" s="166">
        <v>0</v>
      </c>
      <c r="BH1316" s="166">
        <v>0</v>
      </c>
      <c r="BI1316" s="166">
        <v>0</v>
      </c>
      <c r="BJ1316" s="166">
        <v>0</v>
      </c>
      <c r="BK1316" s="166">
        <v>0</v>
      </c>
      <c r="BL1316" s="166">
        <v>0</v>
      </c>
      <c r="BM1316" s="166">
        <v>0</v>
      </c>
      <c r="BN1316" s="166">
        <v>0</v>
      </c>
      <c r="BO1316" s="166">
        <v>0</v>
      </c>
      <c r="BP1316" s="166">
        <v>0</v>
      </c>
      <c r="BQ1316" s="81" t="s">
        <v>1758</v>
      </c>
      <c r="BZ1316" s="81" t="s">
        <v>155</v>
      </c>
      <c r="CA1316" s="81">
        <v>6</v>
      </c>
      <c r="CC1316" s="167">
        <v>0</v>
      </c>
      <c r="CD1316" s="167">
        <v>0</v>
      </c>
      <c r="CE1316" s="167">
        <v>0</v>
      </c>
      <c r="CF1316" s="167">
        <v>0</v>
      </c>
      <c r="CG1316" s="167">
        <v>0</v>
      </c>
      <c r="CH1316" s="167">
        <f>$N1316/3</f>
        <v>0.33333333333333331</v>
      </c>
      <c r="CI1316" s="167">
        <f>$N1316/3</f>
        <v>0.33333333333333331</v>
      </c>
      <c r="CJ1316" s="167">
        <f>$N1316/3</f>
        <v>0.33333333333333331</v>
      </c>
      <c r="CK1316" s="167">
        <v>0</v>
      </c>
      <c r="CL1316" s="167">
        <v>0</v>
      </c>
      <c r="CM1316" s="167">
        <v>0</v>
      </c>
      <c r="CN1316" s="167">
        <v>0</v>
      </c>
      <c r="CO1316" s="167">
        <v>0</v>
      </c>
      <c r="CP1316" s="167">
        <v>0</v>
      </c>
      <c r="CQ1316" s="167">
        <v>0</v>
      </c>
      <c r="CR1316" s="167">
        <v>0</v>
      </c>
      <c r="CS1316" s="167">
        <v>0</v>
      </c>
      <c r="CT1316" s="167">
        <v>0</v>
      </c>
      <c r="CU1316" s="167">
        <v>0</v>
      </c>
      <c r="CV1316" s="167">
        <v>0</v>
      </c>
      <c r="CW1316" s="167">
        <v>0</v>
      </c>
      <c r="CX1316" s="167">
        <f>SUM(CD1316:CH1316)</f>
        <v>0.33333333333333331</v>
      </c>
      <c r="CY1316" s="167">
        <f>SUM(CD1316:CM1316)</f>
        <v>1</v>
      </c>
    </row>
    <row r="1317" spans="1:103" ht="12.75" customHeight="1" x14ac:dyDescent="0.2">
      <c r="A1317" s="81">
        <v>6817</v>
      </c>
      <c r="B1317" s="165" t="s">
        <v>1955</v>
      </c>
      <c r="C1317" s="165" t="s">
        <v>2299</v>
      </c>
      <c r="E1317" s="165" t="s">
        <v>2300</v>
      </c>
      <c r="G1317" s="81">
        <v>528402</v>
      </c>
      <c r="H1317" s="81">
        <v>172041</v>
      </c>
      <c r="I1317" s="165" t="s">
        <v>248</v>
      </c>
      <c r="L1317" s="166">
        <v>0</v>
      </c>
      <c r="M1317" s="166">
        <v>4</v>
      </c>
      <c r="N1317" s="166">
        <v>4</v>
      </c>
      <c r="O1317" s="166">
        <v>6</v>
      </c>
      <c r="P1317" s="166">
        <v>5</v>
      </c>
      <c r="R1317" s="165" t="s">
        <v>2301</v>
      </c>
      <c r="S1317" s="81" t="s">
        <v>121</v>
      </c>
      <c r="T1317" s="349">
        <v>43153</v>
      </c>
      <c r="W1317" s="81" t="s">
        <v>114</v>
      </c>
      <c r="Y1317" s="81" t="s">
        <v>115</v>
      </c>
      <c r="Z1317" s="81" t="s">
        <v>398</v>
      </c>
      <c r="AA1317" s="81" t="s">
        <v>117</v>
      </c>
      <c r="AB1317" s="81" t="s">
        <v>399</v>
      </c>
      <c r="AC1317" s="166">
        <v>1.7000000923872001E-2</v>
      </c>
      <c r="AG1317" s="81" t="s">
        <v>238</v>
      </c>
      <c r="AH1317" s="81" t="s">
        <v>118</v>
      </c>
      <c r="AK1317" s="166">
        <v>0</v>
      </c>
      <c r="AM1317" s="166">
        <v>0</v>
      </c>
      <c r="AO1317" s="166">
        <v>0</v>
      </c>
      <c r="AP1317" s="166">
        <v>4</v>
      </c>
      <c r="AQ1317" s="166">
        <v>0</v>
      </c>
      <c r="AR1317" s="166">
        <v>0</v>
      </c>
      <c r="AS1317" s="166">
        <v>0</v>
      </c>
      <c r="AT1317" s="166">
        <v>0</v>
      </c>
      <c r="AU1317" s="166">
        <v>0</v>
      </c>
      <c r="AV1317" s="166">
        <v>0</v>
      </c>
      <c r="AW1317" s="166">
        <v>4</v>
      </c>
      <c r="AX1317" s="166">
        <v>0</v>
      </c>
      <c r="AY1317" s="166">
        <v>0</v>
      </c>
      <c r="AZ1317" s="166">
        <v>0</v>
      </c>
      <c r="BA1317" s="166">
        <v>0</v>
      </c>
      <c r="BB1317" s="166">
        <v>0</v>
      </c>
      <c r="BC1317" s="166">
        <v>0</v>
      </c>
      <c r="BD1317" s="166">
        <v>0</v>
      </c>
      <c r="BE1317" s="166">
        <v>0</v>
      </c>
      <c r="BF1317" s="166">
        <v>0</v>
      </c>
      <c r="BG1317" s="166">
        <v>0</v>
      </c>
      <c r="BH1317" s="166">
        <v>0</v>
      </c>
      <c r="BI1317" s="166">
        <v>0</v>
      </c>
      <c r="BJ1317" s="166">
        <v>0</v>
      </c>
      <c r="BK1317" s="166">
        <v>0</v>
      </c>
      <c r="BL1317" s="166">
        <v>0</v>
      </c>
      <c r="BM1317" s="166">
        <v>0</v>
      </c>
      <c r="BN1317" s="166">
        <v>0</v>
      </c>
      <c r="BO1317" s="166">
        <v>0</v>
      </c>
      <c r="BP1317" s="166">
        <v>0</v>
      </c>
      <c r="BQ1317" s="81" t="s">
        <v>1757</v>
      </c>
      <c r="BZ1317" s="81" t="s">
        <v>155</v>
      </c>
      <c r="CA1317" s="81">
        <v>10</v>
      </c>
      <c r="CC1317" s="167">
        <v>0</v>
      </c>
      <c r="CD1317" s="167">
        <v>0</v>
      </c>
      <c r="CE1317" s="167">
        <v>0</v>
      </c>
      <c r="CF1317" s="167">
        <v>0</v>
      </c>
      <c r="CG1317" s="167">
        <v>0</v>
      </c>
      <c r="CH1317" s="167">
        <f>$N1317/3</f>
        <v>1.3333333333333333</v>
      </c>
      <c r="CI1317" s="167">
        <f>$N1317/3</f>
        <v>1.3333333333333333</v>
      </c>
      <c r="CJ1317" s="167">
        <f>$N1317/3</f>
        <v>1.3333333333333333</v>
      </c>
      <c r="CK1317" s="167">
        <v>0</v>
      </c>
      <c r="CL1317" s="167">
        <v>0</v>
      </c>
      <c r="CM1317" s="167">
        <v>0</v>
      </c>
      <c r="CN1317" s="167">
        <v>0</v>
      </c>
      <c r="CO1317" s="167">
        <v>0</v>
      </c>
      <c r="CP1317" s="167">
        <v>0</v>
      </c>
      <c r="CQ1317" s="167">
        <v>0</v>
      </c>
      <c r="CR1317" s="167">
        <v>0</v>
      </c>
      <c r="CS1317" s="167">
        <v>0</v>
      </c>
      <c r="CT1317" s="167">
        <v>0</v>
      </c>
      <c r="CU1317" s="167">
        <v>0</v>
      </c>
      <c r="CV1317" s="167">
        <v>0</v>
      </c>
      <c r="CW1317" s="167">
        <v>0</v>
      </c>
      <c r="CX1317" s="167">
        <f>SUM(CD1317:CH1317)</f>
        <v>1.3333333333333333</v>
      </c>
      <c r="CY1317" s="167">
        <f>SUM(CD1317:CM1317)</f>
        <v>4</v>
      </c>
    </row>
    <row r="1318" spans="1:103" ht="12.75" customHeight="1" x14ac:dyDescent="0.2">
      <c r="A1318" s="81">
        <v>6817</v>
      </c>
      <c r="B1318" s="165" t="s">
        <v>1955</v>
      </c>
      <c r="C1318" s="165" t="s">
        <v>2299</v>
      </c>
      <c r="E1318" s="165" t="s">
        <v>2300</v>
      </c>
      <c r="G1318" s="81">
        <v>528402</v>
      </c>
      <c r="H1318" s="81">
        <v>172041</v>
      </c>
      <c r="I1318" s="165" t="s">
        <v>248</v>
      </c>
      <c r="L1318" s="166">
        <v>0</v>
      </c>
      <c r="M1318" s="166">
        <v>1</v>
      </c>
      <c r="N1318" s="166">
        <v>1</v>
      </c>
      <c r="O1318" s="166">
        <v>6</v>
      </c>
      <c r="P1318" s="166">
        <v>5</v>
      </c>
      <c r="R1318" s="165" t="s">
        <v>2301</v>
      </c>
      <c r="S1318" s="81" t="s">
        <v>121</v>
      </c>
      <c r="T1318" s="349">
        <v>43153</v>
      </c>
      <c r="W1318" s="81" t="s">
        <v>114</v>
      </c>
      <c r="Y1318" s="81" t="s">
        <v>115</v>
      </c>
      <c r="Z1318" s="81" t="s">
        <v>398</v>
      </c>
      <c r="AA1318" s="81" t="s">
        <v>117</v>
      </c>
      <c r="AB1318" s="81" t="s">
        <v>218</v>
      </c>
      <c r="AC1318" s="166">
        <v>4.0000001899898104E-3</v>
      </c>
      <c r="AG1318" s="81" t="s">
        <v>238</v>
      </c>
      <c r="AH1318" s="81" t="s">
        <v>118</v>
      </c>
      <c r="AK1318" s="166">
        <v>0</v>
      </c>
      <c r="AM1318" s="166">
        <v>0</v>
      </c>
      <c r="AO1318" s="166">
        <v>0</v>
      </c>
      <c r="AP1318" s="166">
        <v>1</v>
      </c>
      <c r="AQ1318" s="166">
        <v>0</v>
      </c>
      <c r="AR1318" s="166">
        <v>0</v>
      </c>
      <c r="AS1318" s="166">
        <v>0</v>
      </c>
      <c r="AT1318" s="166">
        <v>0</v>
      </c>
      <c r="AU1318" s="166">
        <v>0</v>
      </c>
      <c r="AV1318" s="166">
        <v>0</v>
      </c>
      <c r="AW1318" s="166">
        <v>1</v>
      </c>
      <c r="AX1318" s="166">
        <v>0</v>
      </c>
      <c r="AY1318" s="166">
        <v>0</v>
      </c>
      <c r="AZ1318" s="166">
        <v>0</v>
      </c>
      <c r="BA1318" s="166">
        <v>0</v>
      </c>
      <c r="BB1318" s="166">
        <v>0</v>
      </c>
      <c r="BC1318" s="166">
        <v>0</v>
      </c>
      <c r="BD1318" s="166">
        <v>0</v>
      </c>
      <c r="BE1318" s="166">
        <v>0</v>
      </c>
      <c r="BF1318" s="166">
        <v>0</v>
      </c>
      <c r="BG1318" s="166">
        <v>0</v>
      </c>
      <c r="BH1318" s="166">
        <v>0</v>
      </c>
      <c r="BI1318" s="166">
        <v>0</v>
      </c>
      <c r="BJ1318" s="166">
        <v>0</v>
      </c>
      <c r="BK1318" s="166">
        <v>0</v>
      </c>
      <c r="BL1318" s="166">
        <v>0</v>
      </c>
      <c r="BM1318" s="166">
        <v>0</v>
      </c>
      <c r="BN1318" s="166">
        <v>0</v>
      </c>
      <c r="BO1318" s="166">
        <v>0</v>
      </c>
      <c r="BP1318" s="166">
        <v>0</v>
      </c>
      <c r="BQ1318" s="81" t="s">
        <v>1757</v>
      </c>
      <c r="BZ1318" s="81" t="s">
        <v>155</v>
      </c>
      <c r="CA1318" s="81">
        <v>10</v>
      </c>
      <c r="CC1318" s="167">
        <v>0</v>
      </c>
      <c r="CD1318" s="167">
        <v>0</v>
      </c>
      <c r="CE1318" s="167">
        <v>0</v>
      </c>
      <c r="CF1318" s="167">
        <v>0</v>
      </c>
      <c r="CG1318" s="167">
        <v>0</v>
      </c>
      <c r="CH1318" s="167">
        <f>$N1318/3</f>
        <v>0.33333333333333331</v>
      </c>
      <c r="CI1318" s="167">
        <f>$N1318/3</f>
        <v>0.33333333333333331</v>
      </c>
      <c r="CJ1318" s="167">
        <f>$N1318/3</f>
        <v>0.33333333333333331</v>
      </c>
      <c r="CK1318" s="167">
        <v>0</v>
      </c>
      <c r="CL1318" s="167">
        <v>0</v>
      </c>
      <c r="CM1318" s="167">
        <v>0</v>
      </c>
      <c r="CN1318" s="167">
        <v>0</v>
      </c>
      <c r="CO1318" s="167">
        <v>0</v>
      </c>
      <c r="CP1318" s="167">
        <v>0</v>
      </c>
      <c r="CQ1318" s="167">
        <v>0</v>
      </c>
      <c r="CR1318" s="167">
        <v>0</v>
      </c>
      <c r="CS1318" s="167">
        <v>0</v>
      </c>
      <c r="CT1318" s="167">
        <v>0</v>
      </c>
      <c r="CU1318" s="167">
        <v>0</v>
      </c>
      <c r="CV1318" s="167">
        <v>0</v>
      </c>
      <c r="CW1318" s="167">
        <v>0</v>
      </c>
      <c r="CX1318" s="167">
        <f>SUM(CD1318:CH1318)</f>
        <v>0.33333333333333331</v>
      </c>
      <c r="CY1318" s="167">
        <f>SUM(CD1318:CM1318)</f>
        <v>1</v>
      </c>
    </row>
    <row r="1319" spans="1:103" ht="12.75" customHeight="1" x14ac:dyDescent="0.2">
      <c r="A1319" s="81">
        <v>6817</v>
      </c>
      <c r="B1319" s="165" t="s">
        <v>1955</v>
      </c>
      <c r="C1319" s="165" t="s">
        <v>2299</v>
      </c>
      <c r="E1319" s="165" t="s">
        <v>2300</v>
      </c>
      <c r="G1319" s="81">
        <v>528402</v>
      </c>
      <c r="H1319" s="81">
        <v>172041</v>
      </c>
      <c r="I1319" s="165" t="s">
        <v>248</v>
      </c>
      <c r="L1319" s="166">
        <v>1</v>
      </c>
      <c r="M1319" s="166">
        <v>1</v>
      </c>
      <c r="N1319" s="166">
        <v>0</v>
      </c>
      <c r="O1319" s="166">
        <v>6</v>
      </c>
      <c r="P1319" s="166">
        <v>5</v>
      </c>
      <c r="R1319" s="165" t="s">
        <v>2301</v>
      </c>
      <c r="S1319" s="81" t="s">
        <v>121</v>
      </c>
      <c r="T1319" s="349">
        <v>43153</v>
      </c>
      <c r="W1319" s="81" t="s">
        <v>114</v>
      </c>
      <c r="Y1319" s="81" t="s">
        <v>115</v>
      </c>
      <c r="Z1319" s="81" t="s">
        <v>398</v>
      </c>
      <c r="AA1319" s="81" t="s">
        <v>117</v>
      </c>
      <c r="AB1319" s="81" t="s">
        <v>300</v>
      </c>
      <c r="AC1319" s="166">
        <v>4.0000001899898104E-3</v>
      </c>
      <c r="AG1319" s="81" t="s">
        <v>238</v>
      </c>
      <c r="AH1319" s="81" t="s">
        <v>118</v>
      </c>
      <c r="AK1319" s="166">
        <v>0</v>
      </c>
      <c r="AM1319" s="166">
        <v>0</v>
      </c>
      <c r="AO1319" s="166">
        <v>0</v>
      </c>
      <c r="AP1319" s="166">
        <v>1</v>
      </c>
      <c r="AQ1319" s="166">
        <v>-1</v>
      </c>
      <c r="AR1319" s="166">
        <v>0</v>
      </c>
      <c r="AS1319" s="166">
        <v>0</v>
      </c>
      <c r="AT1319" s="166">
        <v>0</v>
      </c>
      <c r="AU1319" s="166">
        <v>0</v>
      </c>
      <c r="AV1319" s="166">
        <v>0</v>
      </c>
      <c r="AW1319" s="166">
        <v>1</v>
      </c>
      <c r="AX1319" s="166">
        <v>-1</v>
      </c>
      <c r="AY1319" s="166">
        <v>0</v>
      </c>
      <c r="AZ1319" s="166">
        <v>0</v>
      </c>
      <c r="BA1319" s="166">
        <v>0</v>
      </c>
      <c r="BB1319" s="166">
        <v>0</v>
      </c>
      <c r="BC1319" s="166">
        <v>0</v>
      </c>
      <c r="BD1319" s="166">
        <v>0</v>
      </c>
      <c r="BE1319" s="166">
        <v>0</v>
      </c>
      <c r="BF1319" s="166">
        <v>0</v>
      </c>
      <c r="BG1319" s="166">
        <v>0</v>
      </c>
      <c r="BH1319" s="166">
        <v>0</v>
      </c>
      <c r="BI1319" s="166">
        <v>0</v>
      </c>
      <c r="BJ1319" s="166">
        <v>0</v>
      </c>
      <c r="BK1319" s="166">
        <v>0</v>
      </c>
      <c r="BL1319" s="166">
        <v>0</v>
      </c>
      <c r="BM1319" s="166">
        <v>0</v>
      </c>
      <c r="BN1319" s="166">
        <v>0</v>
      </c>
      <c r="BO1319" s="166">
        <v>0</v>
      </c>
      <c r="BP1319" s="166">
        <v>0</v>
      </c>
      <c r="BQ1319" s="81" t="s">
        <v>1757</v>
      </c>
      <c r="BZ1319" s="81" t="s">
        <v>155</v>
      </c>
      <c r="CA1319" s="81">
        <v>10</v>
      </c>
      <c r="CC1319" s="167">
        <v>0</v>
      </c>
      <c r="CD1319" s="167">
        <v>0</v>
      </c>
      <c r="CE1319" s="167">
        <v>0</v>
      </c>
      <c r="CF1319" s="167">
        <v>0</v>
      </c>
      <c r="CG1319" s="167">
        <v>0</v>
      </c>
      <c r="CH1319" s="167">
        <f>$N1319/3</f>
        <v>0</v>
      </c>
      <c r="CI1319" s="167">
        <f>$N1319/3</f>
        <v>0</v>
      </c>
      <c r="CJ1319" s="167">
        <f>$N1319/3</f>
        <v>0</v>
      </c>
      <c r="CK1319" s="167">
        <v>0</v>
      </c>
      <c r="CL1319" s="167">
        <v>0</v>
      </c>
      <c r="CM1319" s="167">
        <v>0</v>
      </c>
      <c r="CN1319" s="167">
        <v>0</v>
      </c>
      <c r="CO1319" s="167">
        <v>0</v>
      </c>
      <c r="CP1319" s="167">
        <v>0</v>
      </c>
      <c r="CQ1319" s="167">
        <v>0</v>
      </c>
      <c r="CR1319" s="167">
        <v>0</v>
      </c>
      <c r="CS1319" s="167">
        <v>0</v>
      </c>
      <c r="CT1319" s="167">
        <v>0</v>
      </c>
      <c r="CU1319" s="167">
        <v>0</v>
      </c>
      <c r="CV1319" s="167">
        <v>0</v>
      </c>
      <c r="CW1319" s="167">
        <v>0</v>
      </c>
      <c r="CX1319" s="167">
        <f>SUM(CD1319:CH1319)</f>
        <v>0</v>
      </c>
      <c r="CY1319" s="167">
        <f>SUM(CD1319:CM1319)</f>
        <v>0</v>
      </c>
    </row>
    <row r="1320" spans="1:103" ht="12.75" customHeight="1" x14ac:dyDescent="0.2">
      <c r="A1320" s="81">
        <v>6818</v>
      </c>
      <c r="B1320" s="165" t="s">
        <v>1955</v>
      </c>
      <c r="C1320" s="165" t="s">
        <v>2302</v>
      </c>
      <c r="E1320" s="165" t="s">
        <v>2303</v>
      </c>
      <c r="G1320" s="81">
        <v>527996</v>
      </c>
      <c r="H1320" s="81">
        <v>171537</v>
      </c>
      <c r="I1320" s="165" t="s">
        <v>253</v>
      </c>
      <c r="L1320" s="166">
        <v>1</v>
      </c>
      <c r="M1320" s="166">
        <v>2</v>
      </c>
      <c r="N1320" s="166">
        <v>1</v>
      </c>
      <c r="O1320" s="166">
        <v>2</v>
      </c>
      <c r="P1320" s="166">
        <v>1</v>
      </c>
      <c r="R1320" s="165" t="s">
        <v>2304</v>
      </c>
      <c r="S1320" s="81" t="s">
        <v>121</v>
      </c>
      <c r="T1320" s="349">
        <v>43150</v>
      </c>
      <c r="W1320" s="81" t="s">
        <v>114</v>
      </c>
      <c r="Y1320" s="81" t="s">
        <v>115</v>
      </c>
      <c r="Z1320" s="81" t="s">
        <v>119</v>
      </c>
      <c r="AA1320" s="81" t="s">
        <v>117</v>
      </c>
      <c r="AB1320" s="81" t="s">
        <v>120</v>
      </c>
      <c r="AC1320" s="166">
        <v>1.09999999403954E-2</v>
      </c>
      <c r="AG1320" s="81" t="s">
        <v>238</v>
      </c>
      <c r="AH1320" s="81" t="s">
        <v>118</v>
      </c>
      <c r="AK1320" s="166">
        <v>0</v>
      </c>
      <c r="AM1320" s="166">
        <v>0</v>
      </c>
      <c r="AO1320" s="166">
        <v>0</v>
      </c>
      <c r="AP1320" s="166">
        <v>1</v>
      </c>
      <c r="AQ1320" s="166">
        <v>1</v>
      </c>
      <c r="AR1320" s="166">
        <v>0</v>
      </c>
      <c r="AS1320" s="166">
        <v>-1</v>
      </c>
      <c r="AT1320" s="166">
        <v>0</v>
      </c>
      <c r="AU1320" s="166">
        <v>0</v>
      </c>
      <c r="AV1320" s="166">
        <v>0</v>
      </c>
      <c r="AW1320" s="166">
        <v>1</v>
      </c>
      <c r="AX1320" s="166">
        <v>1</v>
      </c>
      <c r="AY1320" s="166">
        <v>0</v>
      </c>
      <c r="AZ1320" s="166">
        <v>0</v>
      </c>
      <c r="BA1320" s="166">
        <v>0</v>
      </c>
      <c r="BB1320" s="166">
        <v>0</v>
      </c>
      <c r="BC1320" s="166">
        <v>0</v>
      </c>
      <c r="BD1320" s="166">
        <v>0</v>
      </c>
      <c r="BE1320" s="166">
        <v>0</v>
      </c>
      <c r="BF1320" s="166">
        <v>0</v>
      </c>
      <c r="BG1320" s="166">
        <v>-1</v>
      </c>
      <c r="BH1320" s="166">
        <v>0</v>
      </c>
      <c r="BI1320" s="166">
        <v>0</v>
      </c>
      <c r="BJ1320" s="166">
        <v>0</v>
      </c>
      <c r="BK1320" s="166">
        <v>0</v>
      </c>
      <c r="BL1320" s="166">
        <v>0</v>
      </c>
      <c r="BM1320" s="166">
        <v>0</v>
      </c>
      <c r="BN1320" s="166">
        <v>0</v>
      </c>
      <c r="BO1320" s="166">
        <v>0</v>
      </c>
      <c r="BP1320" s="166">
        <v>0</v>
      </c>
      <c r="BQ1320" s="81" t="s">
        <v>1757</v>
      </c>
      <c r="BZ1320" s="81" t="s">
        <v>155</v>
      </c>
      <c r="CA1320" s="81">
        <v>10</v>
      </c>
      <c r="CC1320" s="167">
        <v>0</v>
      </c>
      <c r="CD1320" s="167">
        <v>0</v>
      </c>
      <c r="CE1320" s="167">
        <v>0</v>
      </c>
      <c r="CF1320" s="167">
        <v>0</v>
      </c>
      <c r="CG1320" s="167">
        <v>0</v>
      </c>
      <c r="CH1320" s="167">
        <f>$N1320/3</f>
        <v>0.33333333333333331</v>
      </c>
      <c r="CI1320" s="167">
        <f>$N1320/3</f>
        <v>0.33333333333333331</v>
      </c>
      <c r="CJ1320" s="167">
        <f>$N1320/3</f>
        <v>0.33333333333333331</v>
      </c>
      <c r="CK1320" s="167">
        <v>0</v>
      </c>
      <c r="CL1320" s="167">
        <v>0</v>
      </c>
      <c r="CM1320" s="167">
        <v>0</v>
      </c>
      <c r="CN1320" s="167">
        <v>0</v>
      </c>
      <c r="CO1320" s="167">
        <v>0</v>
      </c>
      <c r="CP1320" s="167">
        <v>0</v>
      </c>
      <c r="CQ1320" s="167">
        <v>0</v>
      </c>
      <c r="CR1320" s="167">
        <v>0</v>
      </c>
      <c r="CS1320" s="167">
        <v>0</v>
      </c>
      <c r="CT1320" s="167">
        <v>0</v>
      </c>
      <c r="CU1320" s="167">
        <v>0</v>
      </c>
      <c r="CV1320" s="167">
        <v>0</v>
      </c>
      <c r="CW1320" s="167">
        <v>0</v>
      </c>
      <c r="CX1320" s="167">
        <f>SUM(CD1320:CH1320)</f>
        <v>0.33333333333333331</v>
      </c>
      <c r="CY1320" s="167">
        <f>SUM(CD1320:CM1320)</f>
        <v>1</v>
      </c>
    </row>
    <row r="1321" spans="1:103" ht="12.75" customHeight="1" x14ac:dyDescent="0.2">
      <c r="A1321" s="81">
        <v>6819</v>
      </c>
      <c r="B1321" s="165" t="s">
        <v>1955</v>
      </c>
      <c r="C1321" s="165" t="s">
        <v>3472</v>
      </c>
      <c r="E1321" s="165" t="s">
        <v>3473</v>
      </c>
      <c r="F1321" s="165" t="s">
        <v>3475</v>
      </c>
      <c r="G1321" s="81">
        <v>522285</v>
      </c>
      <c r="H1321" s="81">
        <v>173138</v>
      </c>
      <c r="I1321" s="165" t="s">
        <v>877</v>
      </c>
      <c r="L1321" s="166">
        <v>64</v>
      </c>
      <c r="M1321" s="166">
        <v>41</v>
      </c>
      <c r="N1321" s="166">
        <v>-23</v>
      </c>
      <c r="O1321" s="166">
        <v>95</v>
      </c>
      <c r="P1321" s="166">
        <v>31</v>
      </c>
      <c r="Q1321" s="81" t="s">
        <v>155</v>
      </c>
      <c r="R1321" s="165" t="s">
        <v>3474</v>
      </c>
      <c r="S1321" s="81" t="s">
        <v>121</v>
      </c>
      <c r="T1321" s="349">
        <v>43150</v>
      </c>
      <c r="W1321" s="81" t="s">
        <v>114</v>
      </c>
      <c r="Y1321" s="81" t="s">
        <v>115</v>
      </c>
      <c r="Z1321" s="81" t="s">
        <v>116</v>
      </c>
      <c r="AA1321" s="81" t="s">
        <v>116</v>
      </c>
      <c r="AB1321" s="81" t="s">
        <v>117</v>
      </c>
      <c r="AC1321" s="166">
        <v>0.20399999618530301</v>
      </c>
      <c r="AG1321" s="81" t="s">
        <v>154</v>
      </c>
      <c r="AH1321" s="81" t="s">
        <v>312</v>
      </c>
      <c r="AK1321" s="166">
        <v>0</v>
      </c>
      <c r="AM1321" s="166">
        <v>0</v>
      </c>
      <c r="AO1321" s="166">
        <v>-53</v>
      </c>
      <c r="AP1321" s="166">
        <v>30</v>
      </c>
      <c r="AQ1321" s="166">
        <v>0</v>
      </c>
      <c r="AR1321" s="166">
        <v>0</v>
      </c>
      <c r="AS1321" s="166">
        <v>0</v>
      </c>
      <c r="AT1321" s="166">
        <v>0</v>
      </c>
      <c r="AU1321" s="166">
        <v>0</v>
      </c>
      <c r="AV1321" s="166">
        <v>-53</v>
      </c>
      <c r="AW1321" s="166">
        <v>30</v>
      </c>
      <c r="AX1321" s="166">
        <v>0</v>
      </c>
      <c r="AY1321" s="166">
        <v>0</v>
      </c>
      <c r="AZ1321" s="166">
        <v>0</v>
      </c>
      <c r="BA1321" s="166">
        <v>0</v>
      </c>
      <c r="BB1321" s="166">
        <v>0</v>
      </c>
      <c r="BC1321" s="166">
        <v>0</v>
      </c>
      <c r="BD1321" s="166">
        <v>0</v>
      </c>
      <c r="BE1321" s="166">
        <v>0</v>
      </c>
      <c r="BF1321" s="166">
        <v>0</v>
      </c>
      <c r="BG1321" s="166">
        <v>0</v>
      </c>
      <c r="BH1321" s="166">
        <v>0</v>
      </c>
      <c r="BI1321" s="166">
        <v>0</v>
      </c>
      <c r="BJ1321" s="166">
        <v>0</v>
      </c>
      <c r="BK1321" s="166">
        <v>0</v>
      </c>
      <c r="BL1321" s="166">
        <v>0</v>
      </c>
      <c r="BM1321" s="166">
        <v>0</v>
      </c>
      <c r="BN1321" s="166">
        <v>0</v>
      </c>
      <c r="BO1321" s="166">
        <v>0</v>
      </c>
      <c r="BP1321" s="166">
        <v>0</v>
      </c>
      <c r="BQ1321" s="81" t="s">
        <v>1758</v>
      </c>
      <c r="BZ1321" s="81" t="s">
        <v>155</v>
      </c>
      <c r="CA1321" s="81">
        <v>6</v>
      </c>
      <c r="CC1321" s="167">
        <v>0</v>
      </c>
      <c r="CD1321" s="167">
        <v>0</v>
      </c>
      <c r="CE1321" s="167">
        <v>0</v>
      </c>
      <c r="CF1321" s="167">
        <v>0</v>
      </c>
      <c r="CG1321" s="167">
        <v>0</v>
      </c>
      <c r="CH1321" s="167">
        <f>$N1321/3</f>
        <v>-7.666666666666667</v>
      </c>
      <c r="CI1321" s="167">
        <f>$N1321/3</f>
        <v>-7.666666666666667</v>
      </c>
      <c r="CJ1321" s="167">
        <f>$N1321/3</f>
        <v>-7.666666666666667</v>
      </c>
      <c r="CK1321" s="167">
        <v>0</v>
      </c>
      <c r="CL1321" s="167">
        <v>0</v>
      </c>
      <c r="CM1321" s="167">
        <v>0</v>
      </c>
      <c r="CN1321" s="167">
        <v>0</v>
      </c>
      <c r="CO1321" s="167">
        <v>0</v>
      </c>
      <c r="CP1321" s="167">
        <v>0</v>
      </c>
      <c r="CQ1321" s="167">
        <v>0</v>
      </c>
      <c r="CR1321" s="167">
        <v>0</v>
      </c>
      <c r="CS1321" s="167">
        <v>0</v>
      </c>
      <c r="CT1321" s="167">
        <v>0</v>
      </c>
      <c r="CU1321" s="167">
        <v>0</v>
      </c>
      <c r="CV1321" s="167">
        <v>0</v>
      </c>
      <c r="CW1321" s="167">
        <v>0</v>
      </c>
      <c r="CX1321" s="167">
        <f>SUM(CD1321:CH1321)</f>
        <v>-7.666666666666667</v>
      </c>
      <c r="CY1321" s="167">
        <f>SUM(CD1321:CM1321)</f>
        <v>-23</v>
      </c>
    </row>
    <row r="1322" spans="1:103" ht="12.75" customHeight="1" x14ac:dyDescent="0.2">
      <c r="A1322" s="81">
        <v>6819</v>
      </c>
      <c r="B1322" s="165" t="s">
        <v>1955</v>
      </c>
      <c r="C1322" s="165" t="s">
        <v>3472</v>
      </c>
      <c r="E1322" s="165" t="s">
        <v>3473</v>
      </c>
      <c r="F1322" s="165" t="s">
        <v>3476</v>
      </c>
      <c r="G1322" s="81">
        <v>522285</v>
      </c>
      <c r="H1322" s="81">
        <v>173138</v>
      </c>
      <c r="I1322" s="165" t="s">
        <v>877</v>
      </c>
      <c r="L1322" s="166">
        <v>0</v>
      </c>
      <c r="M1322" s="166">
        <v>28</v>
      </c>
      <c r="N1322" s="166">
        <v>28</v>
      </c>
      <c r="O1322" s="166">
        <v>95</v>
      </c>
      <c r="P1322" s="166">
        <v>31</v>
      </c>
      <c r="Q1322" s="81" t="s">
        <v>155</v>
      </c>
      <c r="R1322" s="165" t="s">
        <v>3474</v>
      </c>
      <c r="S1322" s="81" t="s">
        <v>121</v>
      </c>
      <c r="T1322" s="349">
        <v>43150</v>
      </c>
      <c r="W1322" s="81" t="s">
        <v>114</v>
      </c>
      <c r="Y1322" s="81" t="s">
        <v>115</v>
      </c>
      <c r="Z1322" s="81" t="s">
        <v>116</v>
      </c>
      <c r="AA1322" s="81" t="s">
        <v>116</v>
      </c>
      <c r="AB1322" s="81" t="s">
        <v>117</v>
      </c>
      <c r="AC1322" s="166">
        <v>0.163000002503395</v>
      </c>
      <c r="AG1322" s="81" t="s">
        <v>74</v>
      </c>
      <c r="AH1322" s="81" t="s">
        <v>895</v>
      </c>
      <c r="AK1322" s="166">
        <v>0</v>
      </c>
      <c r="AM1322" s="166">
        <v>0</v>
      </c>
      <c r="AO1322" s="166">
        <v>0</v>
      </c>
      <c r="AP1322" s="166">
        <v>15</v>
      </c>
      <c r="AQ1322" s="166">
        <v>10</v>
      </c>
      <c r="AR1322" s="166">
        <v>3</v>
      </c>
      <c r="AS1322" s="166">
        <v>0</v>
      </c>
      <c r="AT1322" s="166">
        <v>0</v>
      </c>
      <c r="AU1322" s="166">
        <v>0</v>
      </c>
      <c r="AV1322" s="166">
        <v>0</v>
      </c>
      <c r="AW1322" s="166">
        <v>15</v>
      </c>
      <c r="AX1322" s="166">
        <v>10</v>
      </c>
      <c r="AY1322" s="166">
        <v>3</v>
      </c>
      <c r="AZ1322" s="166">
        <v>0</v>
      </c>
      <c r="BA1322" s="166">
        <v>0</v>
      </c>
      <c r="BB1322" s="166">
        <v>0</v>
      </c>
      <c r="BC1322" s="166">
        <v>0</v>
      </c>
      <c r="BD1322" s="166">
        <v>0</v>
      </c>
      <c r="BE1322" s="166">
        <v>0</v>
      </c>
      <c r="BF1322" s="166">
        <v>0</v>
      </c>
      <c r="BG1322" s="166">
        <v>0</v>
      </c>
      <c r="BH1322" s="166">
        <v>0</v>
      </c>
      <c r="BI1322" s="166">
        <v>0</v>
      </c>
      <c r="BJ1322" s="166">
        <v>0</v>
      </c>
      <c r="BK1322" s="166">
        <v>0</v>
      </c>
      <c r="BL1322" s="166">
        <v>0</v>
      </c>
      <c r="BM1322" s="166">
        <v>0</v>
      </c>
      <c r="BN1322" s="166">
        <v>0</v>
      </c>
      <c r="BO1322" s="166">
        <v>0</v>
      </c>
      <c r="BP1322" s="166">
        <v>0</v>
      </c>
      <c r="BQ1322" s="81" t="s">
        <v>1758</v>
      </c>
      <c r="BZ1322" s="81" t="s">
        <v>155</v>
      </c>
      <c r="CA1322" s="81">
        <v>6</v>
      </c>
      <c r="CC1322" s="167">
        <v>0</v>
      </c>
      <c r="CD1322" s="167">
        <v>0</v>
      </c>
      <c r="CE1322" s="167">
        <v>0</v>
      </c>
      <c r="CF1322" s="167">
        <v>0</v>
      </c>
      <c r="CG1322" s="167">
        <v>0</v>
      </c>
      <c r="CH1322" s="167">
        <f>$N1322/3</f>
        <v>9.3333333333333339</v>
      </c>
      <c r="CI1322" s="167">
        <f>$N1322/3</f>
        <v>9.3333333333333339</v>
      </c>
      <c r="CJ1322" s="167">
        <f>$N1322/3</f>
        <v>9.3333333333333339</v>
      </c>
      <c r="CK1322" s="167">
        <v>0</v>
      </c>
      <c r="CL1322" s="167">
        <v>0</v>
      </c>
      <c r="CM1322" s="167">
        <v>0</v>
      </c>
      <c r="CN1322" s="167">
        <v>0</v>
      </c>
      <c r="CO1322" s="167">
        <v>0</v>
      </c>
      <c r="CP1322" s="167">
        <v>0</v>
      </c>
      <c r="CQ1322" s="167">
        <v>0</v>
      </c>
      <c r="CR1322" s="167">
        <v>0</v>
      </c>
      <c r="CS1322" s="167">
        <v>0</v>
      </c>
      <c r="CT1322" s="167">
        <v>0</v>
      </c>
      <c r="CU1322" s="167">
        <v>0</v>
      </c>
      <c r="CV1322" s="167">
        <v>0</v>
      </c>
      <c r="CW1322" s="167">
        <v>0</v>
      </c>
      <c r="CX1322" s="167">
        <f>SUM(CD1322:CH1322)</f>
        <v>9.3333333333333339</v>
      </c>
      <c r="CY1322" s="167">
        <f>SUM(CD1322:CM1322)</f>
        <v>28</v>
      </c>
    </row>
    <row r="1323" spans="1:103" ht="12.75" customHeight="1" x14ac:dyDescent="0.2">
      <c r="A1323" s="81">
        <v>6819</v>
      </c>
      <c r="B1323" s="165" t="s">
        <v>1955</v>
      </c>
      <c r="C1323" s="165" t="s">
        <v>3472</v>
      </c>
      <c r="E1323" s="165" t="s">
        <v>3473</v>
      </c>
      <c r="G1323" s="81">
        <v>522285</v>
      </c>
      <c r="H1323" s="81">
        <v>173138</v>
      </c>
      <c r="I1323" s="165" t="s">
        <v>877</v>
      </c>
      <c r="L1323" s="166">
        <v>0</v>
      </c>
      <c r="M1323" s="166">
        <v>26</v>
      </c>
      <c r="N1323" s="166">
        <v>26</v>
      </c>
      <c r="O1323" s="166">
        <v>95</v>
      </c>
      <c r="P1323" s="166">
        <v>31</v>
      </c>
      <c r="Q1323" s="81" t="s">
        <v>155</v>
      </c>
      <c r="R1323" s="165" t="s">
        <v>3474</v>
      </c>
      <c r="S1323" s="81" t="s">
        <v>121</v>
      </c>
      <c r="T1323" s="349">
        <v>43150</v>
      </c>
      <c r="W1323" s="81" t="s">
        <v>114</v>
      </c>
      <c r="Y1323" s="81" t="s">
        <v>115</v>
      </c>
      <c r="Z1323" s="81" t="s">
        <v>116</v>
      </c>
      <c r="AA1323" s="81" t="s">
        <v>116</v>
      </c>
      <c r="AB1323" s="81" t="s">
        <v>117</v>
      </c>
      <c r="AC1323" s="166">
        <v>0.15600000321865101</v>
      </c>
      <c r="AG1323" s="81" t="s">
        <v>74</v>
      </c>
      <c r="AH1323" s="81" t="s">
        <v>895</v>
      </c>
      <c r="AK1323" s="166">
        <v>0</v>
      </c>
      <c r="AM1323" s="166">
        <v>0</v>
      </c>
      <c r="AO1323" s="166">
        <v>0</v>
      </c>
      <c r="AP1323" s="166">
        <v>9</v>
      </c>
      <c r="AQ1323" s="166">
        <v>14</v>
      </c>
      <c r="AR1323" s="166">
        <v>3</v>
      </c>
      <c r="AS1323" s="166">
        <v>0</v>
      </c>
      <c r="AT1323" s="166">
        <v>0</v>
      </c>
      <c r="AU1323" s="166">
        <v>0</v>
      </c>
      <c r="AV1323" s="166">
        <v>0</v>
      </c>
      <c r="AW1323" s="166">
        <v>9</v>
      </c>
      <c r="AX1323" s="166">
        <v>14</v>
      </c>
      <c r="AY1323" s="166">
        <v>3</v>
      </c>
      <c r="AZ1323" s="166">
        <v>0</v>
      </c>
      <c r="BA1323" s="166">
        <v>0</v>
      </c>
      <c r="BB1323" s="166">
        <v>0</v>
      </c>
      <c r="BC1323" s="166">
        <v>0</v>
      </c>
      <c r="BD1323" s="166">
        <v>0</v>
      </c>
      <c r="BE1323" s="166">
        <v>0</v>
      </c>
      <c r="BF1323" s="166">
        <v>0</v>
      </c>
      <c r="BG1323" s="166">
        <v>0</v>
      </c>
      <c r="BH1323" s="166">
        <v>0</v>
      </c>
      <c r="BI1323" s="166">
        <v>0</v>
      </c>
      <c r="BJ1323" s="166">
        <v>0</v>
      </c>
      <c r="BK1323" s="166">
        <v>0</v>
      </c>
      <c r="BL1323" s="166">
        <v>0</v>
      </c>
      <c r="BM1323" s="166">
        <v>0</v>
      </c>
      <c r="BN1323" s="166">
        <v>0</v>
      </c>
      <c r="BO1323" s="166">
        <v>0</v>
      </c>
      <c r="BP1323" s="166">
        <v>0</v>
      </c>
      <c r="BQ1323" s="81" t="s">
        <v>1758</v>
      </c>
      <c r="BZ1323" s="81" t="s">
        <v>155</v>
      </c>
      <c r="CA1323" s="81">
        <v>6</v>
      </c>
      <c r="CC1323" s="167">
        <v>0</v>
      </c>
      <c r="CD1323" s="167">
        <v>0</v>
      </c>
      <c r="CE1323" s="167">
        <v>0</v>
      </c>
      <c r="CF1323" s="167">
        <v>0</v>
      </c>
      <c r="CG1323" s="167">
        <v>0</v>
      </c>
      <c r="CH1323" s="167">
        <f>$N1323/3</f>
        <v>8.6666666666666661</v>
      </c>
      <c r="CI1323" s="167">
        <f>$N1323/3</f>
        <v>8.6666666666666661</v>
      </c>
      <c r="CJ1323" s="167">
        <f>$N1323/3</f>
        <v>8.6666666666666661</v>
      </c>
      <c r="CK1323" s="167">
        <v>0</v>
      </c>
      <c r="CL1323" s="167">
        <v>0</v>
      </c>
      <c r="CM1323" s="167">
        <v>0</v>
      </c>
      <c r="CN1323" s="167">
        <v>0</v>
      </c>
      <c r="CO1323" s="167">
        <v>0</v>
      </c>
      <c r="CP1323" s="167">
        <v>0</v>
      </c>
      <c r="CQ1323" s="167">
        <v>0</v>
      </c>
      <c r="CR1323" s="167">
        <v>0</v>
      </c>
      <c r="CS1323" s="167">
        <v>0</v>
      </c>
      <c r="CT1323" s="167">
        <v>0</v>
      </c>
      <c r="CU1323" s="167">
        <v>0</v>
      </c>
      <c r="CV1323" s="167">
        <v>0</v>
      </c>
      <c r="CW1323" s="167">
        <v>0</v>
      </c>
      <c r="CX1323" s="167">
        <f>SUM(CD1323:CH1323)</f>
        <v>8.6666666666666661</v>
      </c>
      <c r="CY1323" s="167">
        <f>SUM(CD1323:CM1323)</f>
        <v>26</v>
      </c>
    </row>
    <row r="1324" spans="1:103" ht="12.75" customHeight="1" x14ac:dyDescent="0.2">
      <c r="A1324" s="81">
        <v>6820</v>
      </c>
      <c r="B1324" s="165" t="s">
        <v>1955</v>
      </c>
      <c r="C1324" s="165" t="s">
        <v>2306</v>
      </c>
      <c r="E1324" s="165" t="s">
        <v>2307</v>
      </c>
      <c r="G1324" s="81">
        <v>522422</v>
      </c>
      <c r="H1324" s="81">
        <v>173974</v>
      </c>
      <c r="I1324" s="165" t="s">
        <v>877</v>
      </c>
      <c r="L1324" s="166">
        <v>2</v>
      </c>
      <c r="M1324" s="166">
        <v>1</v>
      </c>
      <c r="N1324" s="166">
        <v>-1</v>
      </c>
      <c r="O1324" s="166">
        <v>1</v>
      </c>
      <c r="P1324" s="166">
        <v>-1</v>
      </c>
      <c r="R1324" s="165" t="s">
        <v>2308</v>
      </c>
      <c r="S1324" s="81" t="s">
        <v>121</v>
      </c>
      <c r="T1324" s="349">
        <v>43153</v>
      </c>
      <c r="W1324" s="81" t="s">
        <v>114</v>
      </c>
      <c r="Y1324" s="81" t="s">
        <v>115</v>
      </c>
      <c r="Z1324" s="81" t="s">
        <v>398</v>
      </c>
      <c r="AA1324" s="81" t="s">
        <v>117</v>
      </c>
      <c r="AB1324" s="81" t="s">
        <v>336</v>
      </c>
      <c r="AC1324" s="166">
        <v>4.6000000089407002E-2</v>
      </c>
      <c r="AG1324" s="81" t="s">
        <v>238</v>
      </c>
      <c r="AH1324" s="81" t="s">
        <v>118</v>
      </c>
      <c r="AK1324" s="166">
        <v>0</v>
      </c>
      <c r="AM1324" s="166">
        <v>0</v>
      </c>
      <c r="AO1324" s="166">
        <v>0</v>
      </c>
      <c r="AP1324" s="166">
        <v>0</v>
      </c>
      <c r="AQ1324" s="166">
        <v>-1</v>
      </c>
      <c r="AR1324" s="166">
        <v>-1</v>
      </c>
      <c r="AS1324" s="166">
        <v>0</v>
      </c>
      <c r="AT1324" s="166">
        <v>1</v>
      </c>
      <c r="AU1324" s="166">
        <v>0</v>
      </c>
      <c r="AV1324" s="166">
        <v>0</v>
      </c>
      <c r="AW1324" s="166">
        <v>0</v>
      </c>
      <c r="AX1324" s="166">
        <v>-1</v>
      </c>
      <c r="AY1324" s="166">
        <v>-1</v>
      </c>
      <c r="AZ1324" s="166">
        <v>0</v>
      </c>
      <c r="BA1324" s="166">
        <v>0</v>
      </c>
      <c r="BB1324" s="166">
        <v>0</v>
      </c>
      <c r="BC1324" s="166">
        <v>0</v>
      </c>
      <c r="BD1324" s="166">
        <v>0</v>
      </c>
      <c r="BE1324" s="166">
        <v>0</v>
      </c>
      <c r="BF1324" s="166">
        <v>0</v>
      </c>
      <c r="BG1324" s="166">
        <v>0</v>
      </c>
      <c r="BH1324" s="166">
        <v>1</v>
      </c>
      <c r="BI1324" s="166">
        <v>0</v>
      </c>
      <c r="BJ1324" s="166">
        <v>0</v>
      </c>
      <c r="BK1324" s="166">
        <v>0</v>
      </c>
      <c r="BL1324" s="166">
        <v>0</v>
      </c>
      <c r="BM1324" s="166">
        <v>0</v>
      </c>
      <c r="BN1324" s="166">
        <v>0</v>
      </c>
      <c r="BO1324" s="166">
        <v>0</v>
      </c>
      <c r="BP1324" s="166">
        <v>0</v>
      </c>
      <c r="BQ1324" s="81" t="s">
        <v>1758</v>
      </c>
      <c r="BZ1324" s="81" t="s">
        <v>155</v>
      </c>
      <c r="CA1324" s="81">
        <v>10</v>
      </c>
      <c r="CC1324" s="167">
        <v>0</v>
      </c>
      <c r="CD1324" s="167">
        <v>0</v>
      </c>
      <c r="CE1324" s="167">
        <v>0</v>
      </c>
      <c r="CF1324" s="167">
        <v>0</v>
      </c>
      <c r="CG1324" s="167">
        <v>0</v>
      </c>
      <c r="CH1324" s="167">
        <f>$N1324/3</f>
        <v>-0.33333333333333331</v>
      </c>
      <c r="CI1324" s="167">
        <f>$N1324/3</f>
        <v>-0.33333333333333331</v>
      </c>
      <c r="CJ1324" s="167">
        <f>$N1324/3</f>
        <v>-0.33333333333333331</v>
      </c>
      <c r="CK1324" s="167">
        <v>0</v>
      </c>
      <c r="CL1324" s="167">
        <v>0</v>
      </c>
      <c r="CM1324" s="167">
        <v>0</v>
      </c>
      <c r="CN1324" s="167">
        <v>0</v>
      </c>
      <c r="CO1324" s="167">
        <v>0</v>
      </c>
      <c r="CP1324" s="167">
        <v>0</v>
      </c>
      <c r="CQ1324" s="167">
        <v>0</v>
      </c>
      <c r="CR1324" s="167">
        <v>0</v>
      </c>
      <c r="CS1324" s="167">
        <v>0</v>
      </c>
      <c r="CT1324" s="167">
        <v>0</v>
      </c>
      <c r="CU1324" s="167">
        <v>0</v>
      </c>
      <c r="CV1324" s="167">
        <v>0</v>
      </c>
      <c r="CW1324" s="167">
        <v>0</v>
      </c>
      <c r="CX1324" s="167">
        <f>SUM(CD1324:CH1324)</f>
        <v>-0.33333333333333331</v>
      </c>
      <c r="CY1324" s="167">
        <f>SUM(CD1324:CM1324)</f>
        <v>-1</v>
      </c>
    </row>
    <row r="1325" spans="1:103" ht="12.75" customHeight="1" x14ac:dyDescent="0.2">
      <c r="A1325" s="81">
        <v>6821</v>
      </c>
      <c r="B1325" s="165" t="s">
        <v>1955</v>
      </c>
      <c r="C1325" s="165" t="s">
        <v>2309</v>
      </c>
      <c r="D1325" s="165" t="s">
        <v>2107</v>
      </c>
      <c r="E1325" s="165" t="s">
        <v>2310</v>
      </c>
      <c r="G1325" s="81">
        <v>527311</v>
      </c>
      <c r="H1325" s="81">
        <v>177194</v>
      </c>
      <c r="I1325" s="165" t="s">
        <v>257</v>
      </c>
      <c r="L1325" s="166">
        <v>0</v>
      </c>
      <c r="M1325" s="166">
        <v>2</v>
      </c>
      <c r="N1325" s="166">
        <v>2</v>
      </c>
      <c r="O1325" s="166">
        <v>2</v>
      </c>
      <c r="P1325" s="166">
        <v>2</v>
      </c>
      <c r="R1325" s="165" t="s">
        <v>2311</v>
      </c>
      <c r="S1325" s="81" t="s">
        <v>802</v>
      </c>
      <c r="T1325" s="349">
        <v>43151</v>
      </c>
      <c r="W1325" s="81" t="s">
        <v>114</v>
      </c>
      <c r="Y1325" s="81" t="s">
        <v>115</v>
      </c>
      <c r="Z1325" s="81" t="s">
        <v>310</v>
      </c>
      <c r="AA1325" s="81" t="s">
        <v>117</v>
      </c>
      <c r="AB1325" s="81" t="s">
        <v>399</v>
      </c>
      <c r="AC1325" s="166">
        <v>0</v>
      </c>
      <c r="AG1325" s="81" t="s">
        <v>238</v>
      </c>
      <c r="AH1325" s="81" t="s">
        <v>118</v>
      </c>
      <c r="AK1325" s="166">
        <v>0</v>
      </c>
      <c r="AM1325" s="166">
        <v>0</v>
      </c>
      <c r="AO1325" s="166">
        <v>0</v>
      </c>
      <c r="AP1325" s="166">
        <v>1</v>
      </c>
      <c r="AQ1325" s="166">
        <v>1</v>
      </c>
      <c r="AR1325" s="166">
        <v>0</v>
      </c>
      <c r="AS1325" s="166">
        <v>0</v>
      </c>
      <c r="AT1325" s="166">
        <v>0</v>
      </c>
      <c r="AU1325" s="166">
        <v>0</v>
      </c>
      <c r="AV1325" s="166">
        <v>0</v>
      </c>
      <c r="AW1325" s="166">
        <v>1</v>
      </c>
      <c r="AX1325" s="166">
        <v>1</v>
      </c>
      <c r="AY1325" s="166">
        <v>0</v>
      </c>
      <c r="AZ1325" s="166">
        <v>0</v>
      </c>
      <c r="BA1325" s="166">
        <v>0</v>
      </c>
      <c r="BB1325" s="166">
        <v>0</v>
      </c>
      <c r="BC1325" s="166">
        <v>0</v>
      </c>
      <c r="BD1325" s="166">
        <v>0</v>
      </c>
      <c r="BE1325" s="166">
        <v>0</v>
      </c>
      <c r="BF1325" s="166">
        <v>0</v>
      </c>
      <c r="BG1325" s="166">
        <v>0</v>
      </c>
      <c r="BH1325" s="166">
        <v>0</v>
      </c>
      <c r="BI1325" s="166">
        <v>0</v>
      </c>
      <c r="BJ1325" s="166">
        <v>0</v>
      </c>
      <c r="BK1325" s="166">
        <v>0</v>
      </c>
      <c r="BL1325" s="166">
        <v>0</v>
      </c>
      <c r="BM1325" s="166">
        <v>0</v>
      </c>
      <c r="BN1325" s="166">
        <v>0</v>
      </c>
      <c r="BO1325" s="166">
        <v>0</v>
      </c>
      <c r="BP1325" s="166">
        <v>0</v>
      </c>
      <c r="BQ1325" s="81" t="s">
        <v>1757</v>
      </c>
      <c r="BX1325" s="81" t="s">
        <v>155</v>
      </c>
      <c r="BZ1325" s="81" t="s">
        <v>155</v>
      </c>
      <c r="CA1325" s="81">
        <v>10</v>
      </c>
      <c r="CC1325" s="167">
        <v>0</v>
      </c>
      <c r="CD1325" s="167">
        <v>0</v>
      </c>
      <c r="CE1325" s="167">
        <v>0</v>
      </c>
      <c r="CF1325" s="167">
        <v>0</v>
      </c>
      <c r="CG1325" s="167">
        <v>0</v>
      </c>
      <c r="CH1325" s="167">
        <f>$N1325/3</f>
        <v>0.66666666666666663</v>
      </c>
      <c r="CI1325" s="167">
        <f>$N1325/3</f>
        <v>0.66666666666666663</v>
      </c>
      <c r="CJ1325" s="167">
        <f>$N1325/3</f>
        <v>0.66666666666666663</v>
      </c>
      <c r="CK1325" s="167">
        <v>0</v>
      </c>
      <c r="CL1325" s="167">
        <v>0</v>
      </c>
      <c r="CM1325" s="167">
        <v>0</v>
      </c>
      <c r="CN1325" s="167">
        <v>0</v>
      </c>
      <c r="CO1325" s="167">
        <v>0</v>
      </c>
      <c r="CP1325" s="167">
        <v>0</v>
      </c>
      <c r="CQ1325" s="167">
        <v>0</v>
      </c>
      <c r="CR1325" s="167">
        <v>0</v>
      </c>
      <c r="CS1325" s="167">
        <v>0</v>
      </c>
      <c r="CT1325" s="167">
        <v>0</v>
      </c>
      <c r="CU1325" s="167">
        <v>0</v>
      </c>
      <c r="CV1325" s="167">
        <v>0</v>
      </c>
      <c r="CW1325" s="167">
        <v>0</v>
      </c>
      <c r="CX1325" s="167">
        <f>SUM(CD1325:CH1325)</f>
        <v>0.66666666666666663</v>
      </c>
      <c r="CY1325" s="167">
        <f>SUM(CD1325:CM1325)</f>
        <v>2</v>
      </c>
    </row>
    <row r="1326" spans="1:103" ht="12.75" customHeight="1" x14ac:dyDescent="0.2">
      <c r="A1326" s="81">
        <v>6821</v>
      </c>
      <c r="B1326" s="165" t="s">
        <v>1955</v>
      </c>
      <c r="C1326" s="165" t="s">
        <v>2312</v>
      </c>
      <c r="D1326" s="165" t="s">
        <v>2107</v>
      </c>
      <c r="E1326" s="165" t="s">
        <v>2310</v>
      </c>
      <c r="G1326" s="81">
        <v>527311</v>
      </c>
      <c r="H1326" s="81">
        <v>177194</v>
      </c>
      <c r="I1326" s="165" t="s">
        <v>257</v>
      </c>
      <c r="L1326" s="166">
        <v>0</v>
      </c>
      <c r="M1326" s="166">
        <v>2</v>
      </c>
      <c r="N1326" s="166">
        <v>2</v>
      </c>
      <c r="O1326" s="166">
        <v>2</v>
      </c>
      <c r="P1326" s="166">
        <v>2</v>
      </c>
      <c r="R1326" s="165" t="s">
        <v>2313</v>
      </c>
      <c r="S1326" s="81" t="s">
        <v>802</v>
      </c>
      <c r="T1326" s="349">
        <v>43188</v>
      </c>
      <c r="W1326" s="81" t="s">
        <v>114</v>
      </c>
      <c r="Y1326" s="81" t="s">
        <v>115</v>
      </c>
      <c r="Z1326" s="81" t="s">
        <v>310</v>
      </c>
      <c r="AA1326" s="81" t="s">
        <v>117</v>
      </c>
      <c r="AB1326" s="81" t="s">
        <v>399</v>
      </c>
      <c r="AC1326" s="166">
        <v>0</v>
      </c>
      <c r="AG1326" s="81" t="s">
        <v>238</v>
      </c>
      <c r="AH1326" s="81" t="s">
        <v>118</v>
      </c>
      <c r="AK1326" s="166">
        <v>0</v>
      </c>
      <c r="AM1326" s="166">
        <v>0</v>
      </c>
      <c r="AO1326" s="166">
        <v>0</v>
      </c>
      <c r="AP1326" s="166">
        <v>1</v>
      </c>
      <c r="AQ1326" s="166">
        <v>1</v>
      </c>
      <c r="AR1326" s="166">
        <v>0</v>
      </c>
      <c r="AS1326" s="166">
        <v>0</v>
      </c>
      <c r="AT1326" s="166">
        <v>0</v>
      </c>
      <c r="AU1326" s="166">
        <v>0</v>
      </c>
      <c r="AV1326" s="166">
        <v>0</v>
      </c>
      <c r="AW1326" s="166">
        <v>1</v>
      </c>
      <c r="AX1326" s="166">
        <v>1</v>
      </c>
      <c r="AY1326" s="166">
        <v>0</v>
      </c>
      <c r="AZ1326" s="166">
        <v>0</v>
      </c>
      <c r="BA1326" s="166">
        <v>0</v>
      </c>
      <c r="BB1326" s="166">
        <v>0</v>
      </c>
      <c r="BC1326" s="166">
        <v>0</v>
      </c>
      <c r="BD1326" s="166">
        <v>0</v>
      </c>
      <c r="BE1326" s="166">
        <v>0</v>
      </c>
      <c r="BF1326" s="166">
        <v>0</v>
      </c>
      <c r="BG1326" s="166">
        <v>0</v>
      </c>
      <c r="BH1326" s="166">
        <v>0</v>
      </c>
      <c r="BI1326" s="166">
        <v>0</v>
      </c>
      <c r="BJ1326" s="166">
        <v>0</v>
      </c>
      <c r="BK1326" s="166">
        <v>0</v>
      </c>
      <c r="BL1326" s="166">
        <v>0</v>
      </c>
      <c r="BM1326" s="166">
        <v>0</v>
      </c>
      <c r="BN1326" s="166">
        <v>0</v>
      </c>
      <c r="BO1326" s="166">
        <v>0</v>
      </c>
      <c r="BP1326" s="166">
        <v>0</v>
      </c>
      <c r="BQ1326" s="81" t="s">
        <v>1757</v>
      </c>
      <c r="BX1326" s="81" t="s">
        <v>155</v>
      </c>
      <c r="BZ1326" s="81" t="s">
        <v>155</v>
      </c>
      <c r="CA1326" s="81">
        <v>10</v>
      </c>
      <c r="CC1326" s="167">
        <v>0</v>
      </c>
      <c r="CD1326" s="167">
        <v>0</v>
      </c>
      <c r="CE1326" s="167">
        <v>0</v>
      </c>
      <c r="CF1326" s="167">
        <v>0</v>
      </c>
      <c r="CG1326" s="167">
        <v>0</v>
      </c>
      <c r="CH1326" s="167">
        <f>$N1326/3</f>
        <v>0.66666666666666663</v>
      </c>
      <c r="CI1326" s="167">
        <f>$N1326/3</f>
        <v>0.66666666666666663</v>
      </c>
      <c r="CJ1326" s="167">
        <f>$N1326/3</f>
        <v>0.66666666666666663</v>
      </c>
      <c r="CK1326" s="167">
        <v>0</v>
      </c>
      <c r="CL1326" s="167">
        <v>0</v>
      </c>
      <c r="CM1326" s="167">
        <v>0</v>
      </c>
      <c r="CN1326" s="167">
        <v>0</v>
      </c>
      <c r="CO1326" s="167">
        <v>0</v>
      </c>
      <c r="CP1326" s="167">
        <v>0</v>
      </c>
      <c r="CQ1326" s="167">
        <v>0</v>
      </c>
      <c r="CR1326" s="167">
        <v>0</v>
      </c>
      <c r="CS1326" s="167">
        <v>0</v>
      </c>
      <c r="CT1326" s="167">
        <v>0</v>
      </c>
      <c r="CU1326" s="167">
        <v>0</v>
      </c>
      <c r="CV1326" s="167">
        <v>0</v>
      </c>
      <c r="CW1326" s="167">
        <v>0</v>
      </c>
      <c r="CX1326" s="167">
        <f>SUM(CD1326:CH1326)</f>
        <v>0.66666666666666663</v>
      </c>
      <c r="CY1326" s="167">
        <f>SUM(CD1326:CM1326)</f>
        <v>2</v>
      </c>
    </row>
    <row r="1327" spans="1:103" ht="12.75" customHeight="1" x14ac:dyDescent="0.2">
      <c r="A1327" s="81">
        <v>6822</v>
      </c>
      <c r="B1327" s="165" t="s">
        <v>1955</v>
      </c>
      <c r="C1327" s="165" t="s">
        <v>2314</v>
      </c>
      <c r="D1327" s="165" t="s">
        <v>2107</v>
      </c>
      <c r="E1327" s="165" t="s">
        <v>2315</v>
      </c>
      <c r="G1327" s="81">
        <v>527295</v>
      </c>
      <c r="H1327" s="81">
        <v>177182</v>
      </c>
      <c r="I1327" s="165" t="s">
        <v>257</v>
      </c>
      <c r="L1327" s="166">
        <v>0</v>
      </c>
      <c r="M1327" s="166">
        <v>1</v>
      </c>
      <c r="N1327" s="166">
        <v>1</v>
      </c>
      <c r="O1327" s="166">
        <v>1</v>
      </c>
      <c r="P1327" s="166">
        <v>1</v>
      </c>
      <c r="R1327" s="165" t="s">
        <v>2316</v>
      </c>
      <c r="S1327" s="81" t="s">
        <v>802</v>
      </c>
      <c r="T1327" s="349">
        <v>43151</v>
      </c>
      <c r="W1327" s="81" t="s">
        <v>114</v>
      </c>
      <c r="Y1327" s="81" t="s">
        <v>115</v>
      </c>
      <c r="Z1327" s="81" t="s">
        <v>310</v>
      </c>
      <c r="AA1327" s="81" t="s">
        <v>117</v>
      </c>
      <c r="AB1327" s="81" t="s">
        <v>399</v>
      </c>
      <c r="AC1327" s="166">
        <v>0</v>
      </c>
      <c r="AG1327" s="81" t="s">
        <v>238</v>
      </c>
      <c r="AH1327" s="81" t="s">
        <v>118</v>
      </c>
      <c r="AK1327" s="166">
        <v>0</v>
      </c>
      <c r="AM1327" s="166">
        <v>0</v>
      </c>
      <c r="AO1327" s="166">
        <v>1</v>
      </c>
      <c r="AP1327" s="166">
        <v>0</v>
      </c>
      <c r="AQ1327" s="166">
        <v>0</v>
      </c>
      <c r="AR1327" s="166">
        <v>0</v>
      </c>
      <c r="AS1327" s="166">
        <v>0</v>
      </c>
      <c r="AT1327" s="166">
        <v>0</v>
      </c>
      <c r="AU1327" s="166">
        <v>0</v>
      </c>
      <c r="AV1327" s="166">
        <v>1</v>
      </c>
      <c r="AW1327" s="166">
        <v>0</v>
      </c>
      <c r="AX1327" s="166">
        <v>0</v>
      </c>
      <c r="AY1327" s="166">
        <v>0</v>
      </c>
      <c r="AZ1327" s="166">
        <v>0</v>
      </c>
      <c r="BA1327" s="166">
        <v>0</v>
      </c>
      <c r="BB1327" s="166">
        <v>0</v>
      </c>
      <c r="BC1327" s="166">
        <v>0</v>
      </c>
      <c r="BD1327" s="166">
        <v>0</v>
      </c>
      <c r="BE1327" s="166">
        <v>0</v>
      </c>
      <c r="BF1327" s="166">
        <v>0</v>
      </c>
      <c r="BG1327" s="166">
        <v>0</v>
      </c>
      <c r="BH1327" s="166">
        <v>0</v>
      </c>
      <c r="BI1327" s="166">
        <v>0</v>
      </c>
      <c r="BJ1327" s="166">
        <v>0</v>
      </c>
      <c r="BK1327" s="166">
        <v>0</v>
      </c>
      <c r="BL1327" s="166">
        <v>0</v>
      </c>
      <c r="BM1327" s="166">
        <v>0</v>
      </c>
      <c r="BN1327" s="166">
        <v>0</v>
      </c>
      <c r="BO1327" s="166">
        <v>0</v>
      </c>
      <c r="BP1327" s="166">
        <v>0</v>
      </c>
      <c r="BQ1327" s="81" t="s">
        <v>1757</v>
      </c>
      <c r="BX1327" s="81" t="s">
        <v>155</v>
      </c>
      <c r="BZ1327" s="81" t="s">
        <v>155</v>
      </c>
      <c r="CA1327" s="81">
        <v>10</v>
      </c>
      <c r="CC1327" s="167">
        <v>0</v>
      </c>
      <c r="CD1327" s="167">
        <v>0</v>
      </c>
      <c r="CE1327" s="167">
        <v>0</v>
      </c>
      <c r="CF1327" s="167">
        <v>0</v>
      </c>
      <c r="CG1327" s="167">
        <v>0</v>
      </c>
      <c r="CH1327" s="167">
        <f>$N1327/3</f>
        <v>0.33333333333333331</v>
      </c>
      <c r="CI1327" s="167">
        <f>$N1327/3</f>
        <v>0.33333333333333331</v>
      </c>
      <c r="CJ1327" s="167">
        <f>$N1327/3</f>
        <v>0.33333333333333331</v>
      </c>
      <c r="CK1327" s="167">
        <v>0</v>
      </c>
      <c r="CL1327" s="167">
        <v>0</v>
      </c>
      <c r="CM1327" s="167">
        <v>0</v>
      </c>
      <c r="CN1327" s="167">
        <v>0</v>
      </c>
      <c r="CO1327" s="167">
        <v>0</v>
      </c>
      <c r="CP1327" s="167">
        <v>0</v>
      </c>
      <c r="CQ1327" s="167">
        <v>0</v>
      </c>
      <c r="CR1327" s="167">
        <v>0</v>
      </c>
      <c r="CS1327" s="167">
        <v>0</v>
      </c>
      <c r="CT1327" s="167">
        <v>0</v>
      </c>
      <c r="CU1327" s="167">
        <v>0</v>
      </c>
      <c r="CV1327" s="167">
        <v>0</v>
      </c>
      <c r="CW1327" s="167">
        <v>0</v>
      </c>
      <c r="CX1327" s="167">
        <f>SUM(CD1327:CH1327)</f>
        <v>0.33333333333333331</v>
      </c>
      <c r="CY1327" s="167">
        <f>SUM(CD1327:CM1327)</f>
        <v>1</v>
      </c>
    </row>
    <row r="1328" spans="1:103" ht="12.75" customHeight="1" x14ac:dyDescent="0.2">
      <c r="A1328" s="81">
        <v>6823</v>
      </c>
      <c r="B1328" s="165" t="s">
        <v>1955</v>
      </c>
      <c r="C1328" s="165" t="s">
        <v>2317</v>
      </c>
      <c r="D1328" s="165" t="s">
        <v>2107</v>
      </c>
      <c r="E1328" s="165" t="s">
        <v>2318</v>
      </c>
      <c r="G1328" s="81">
        <v>527310</v>
      </c>
      <c r="H1328" s="81">
        <v>177159</v>
      </c>
      <c r="I1328" s="165" t="s">
        <v>257</v>
      </c>
      <c r="L1328" s="166">
        <v>0</v>
      </c>
      <c r="M1328" s="166">
        <v>2</v>
      </c>
      <c r="N1328" s="166">
        <v>2</v>
      </c>
      <c r="O1328" s="166">
        <v>2</v>
      </c>
      <c r="P1328" s="166">
        <v>2</v>
      </c>
      <c r="R1328" s="165" t="s">
        <v>2319</v>
      </c>
      <c r="S1328" s="81" t="s">
        <v>802</v>
      </c>
      <c r="T1328" s="349">
        <v>43151</v>
      </c>
      <c r="W1328" s="81" t="s">
        <v>114</v>
      </c>
      <c r="Y1328" s="81" t="s">
        <v>115</v>
      </c>
      <c r="Z1328" s="81" t="s">
        <v>310</v>
      </c>
      <c r="AA1328" s="81" t="s">
        <v>117</v>
      </c>
      <c r="AB1328" s="81" t="s">
        <v>399</v>
      </c>
      <c r="AC1328" s="166">
        <v>0</v>
      </c>
      <c r="AG1328" s="81" t="s">
        <v>238</v>
      </c>
      <c r="AH1328" s="81" t="s">
        <v>118</v>
      </c>
      <c r="AK1328" s="166">
        <v>0</v>
      </c>
      <c r="AM1328" s="166">
        <v>0</v>
      </c>
      <c r="AO1328" s="166">
        <v>0</v>
      </c>
      <c r="AP1328" s="166">
        <v>2</v>
      </c>
      <c r="AQ1328" s="166">
        <v>0</v>
      </c>
      <c r="AR1328" s="166">
        <v>0</v>
      </c>
      <c r="AS1328" s="166">
        <v>0</v>
      </c>
      <c r="AT1328" s="166">
        <v>0</v>
      </c>
      <c r="AU1328" s="166">
        <v>0</v>
      </c>
      <c r="AV1328" s="166">
        <v>0</v>
      </c>
      <c r="AW1328" s="166">
        <v>2</v>
      </c>
      <c r="AX1328" s="166">
        <v>0</v>
      </c>
      <c r="AY1328" s="166">
        <v>0</v>
      </c>
      <c r="AZ1328" s="166">
        <v>0</v>
      </c>
      <c r="BA1328" s="166">
        <v>0</v>
      </c>
      <c r="BB1328" s="166">
        <v>0</v>
      </c>
      <c r="BC1328" s="166">
        <v>0</v>
      </c>
      <c r="BD1328" s="166">
        <v>0</v>
      </c>
      <c r="BE1328" s="166">
        <v>0</v>
      </c>
      <c r="BF1328" s="166">
        <v>0</v>
      </c>
      <c r="BG1328" s="166">
        <v>0</v>
      </c>
      <c r="BH1328" s="166">
        <v>0</v>
      </c>
      <c r="BI1328" s="166">
        <v>0</v>
      </c>
      <c r="BJ1328" s="166">
        <v>0</v>
      </c>
      <c r="BK1328" s="166">
        <v>0</v>
      </c>
      <c r="BL1328" s="166">
        <v>0</v>
      </c>
      <c r="BM1328" s="166">
        <v>0</v>
      </c>
      <c r="BN1328" s="166">
        <v>0</v>
      </c>
      <c r="BO1328" s="166">
        <v>0</v>
      </c>
      <c r="BP1328" s="166">
        <v>0</v>
      </c>
      <c r="BQ1328" s="81" t="s">
        <v>1757</v>
      </c>
      <c r="BX1328" s="81" t="s">
        <v>155</v>
      </c>
      <c r="BZ1328" s="81" t="s">
        <v>155</v>
      </c>
      <c r="CA1328" s="81">
        <v>10</v>
      </c>
      <c r="CC1328" s="167">
        <v>0</v>
      </c>
      <c r="CD1328" s="167">
        <v>0</v>
      </c>
      <c r="CE1328" s="167">
        <v>0</v>
      </c>
      <c r="CF1328" s="167">
        <v>0</v>
      </c>
      <c r="CG1328" s="167">
        <v>0</v>
      </c>
      <c r="CH1328" s="167">
        <f>$N1328/3</f>
        <v>0.66666666666666663</v>
      </c>
      <c r="CI1328" s="167">
        <f>$N1328/3</f>
        <v>0.66666666666666663</v>
      </c>
      <c r="CJ1328" s="167">
        <f>$N1328/3</f>
        <v>0.66666666666666663</v>
      </c>
      <c r="CK1328" s="167">
        <v>0</v>
      </c>
      <c r="CL1328" s="167">
        <v>0</v>
      </c>
      <c r="CM1328" s="167">
        <v>0</v>
      </c>
      <c r="CN1328" s="167">
        <v>0</v>
      </c>
      <c r="CO1328" s="167">
        <v>0</v>
      </c>
      <c r="CP1328" s="167">
        <v>0</v>
      </c>
      <c r="CQ1328" s="167">
        <v>0</v>
      </c>
      <c r="CR1328" s="167">
        <v>0</v>
      </c>
      <c r="CS1328" s="167">
        <v>0</v>
      </c>
      <c r="CT1328" s="167">
        <v>0</v>
      </c>
      <c r="CU1328" s="167">
        <v>0</v>
      </c>
      <c r="CV1328" s="167">
        <v>0</v>
      </c>
      <c r="CW1328" s="167">
        <v>0</v>
      </c>
      <c r="CX1328" s="167">
        <f>SUM(CD1328:CH1328)</f>
        <v>0.66666666666666663</v>
      </c>
      <c r="CY1328" s="167">
        <f>SUM(CD1328:CM1328)</f>
        <v>2</v>
      </c>
    </row>
    <row r="1329" spans="1:103" ht="12.75" customHeight="1" x14ac:dyDescent="0.2">
      <c r="A1329" s="81">
        <v>6824</v>
      </c>
      <c r="B1329" s="165" t="s">
        <v>1955</v>
      </c>
      <c r="C1329" s="165" t="s">
        <v>2320</v>
      </c>
      <c r="D1329" s="165" t="s">
        <v>2107</v>
      </c>
      <c r="E1329" s="165" t="s">
        <v>2321</v>
      </c>
      <c r="G1329" s="81">
        <v>527310</v>
      </c>
      <c r="H1329" s="81">
        <v>177159</v>
      </c>
      <c r="I1329" s="165" t="s">
        <v>257</v>
      </c>
      <c r="L1329" s="166">
        <v>0</v>
      </c>
      <c r="M1329" s="166">
        <v>1</v>
      </c>
      <c r="N1329" s="166">
        <v>1</v>
      </c>
      <c r="O1329" s="166">
        <v>1</v>
      </c>
      <c r="P1329" s="166">
        <v>1</v>
      </c>
      <c r="R1329" s="165" t="s">
        <v>2322</v>
      </c>
      <c r="S1329" s="81" t="s">
        <v>802</v>
      </c>
      <c r="T1329" s="349">
        <v>43151</v>
      </c>
      <c r="W1329" s="81" t="s">
        <v>114</v>
      </c>
      <c r="Y1329" s="81" t="s">
        <v>115</v>
      </c>
      <c r="Z1329" s="81" t="s">
        <v>310</v>
      </c>
      <c r="AA1329" s="81" t="s">
        <v>117</v>
      </c>
      <c r="AB1329" s="81" t="s">
        <v>399</v>
      </c>
      <c r="AC1329" s="166">
        <v>0</v>
      </c>
      <c r="AG1329" s="81" t="s">
        <v>238</v>
      </c>
      <c r="AH1329" s="81" t="s">
        <v>118</v>
      </c>
      <c r="AK1329" s="166">
        <v>0</v>
      </c>
      <c r="AM1329" s="166">
        <v>0</v>
      </c>
      <c r="AO1329" s="166">
        <v>0</v>
      </c>
      <c r="AP1329" s="166">
        <v>0</v>
      </c>
      <c r="AQ1329" s="166">
        <v>1</v>
      </c>
      <c r="AR1329" s="166">
        <v>0</v>
      </c>
      <c r="AS1329" s="166">
        <v>0</v>
      </c>
      <c r="AT1329" s="166">
        <v>0</v>
      </c>
      <c r="AU1329" s="166">
        <v>0</v>
      </c>
      <c r="AV1329" s="166">
        <v>0</v>
      </c>
      <c r="AW1329" s="166">
        <v>0</v>
      </c>
      <c r="AX1329" s="166">
        <v>1</v>
      </c>
      <c r="AY1329" s="166">
        <v>0</v>
      </c>
      <c r="AZ1329" s="166">
        <v>0</v>
      </c>
      <c r="BA1329" s="166">
        <v>0</v>
      </c>
      <c r="BB1329" s="166">
        <v>0</v>
      </c>
      <c r="BC1329" s="166">
        <v>0</v>
      </c>
      <c r="BD1329" s="166">
        <v>0</v>
      </c>
      <c r="BE1329" s="166">
        <v>0</v>
      </c>
      <c r="BF1329" s="166">
        <v>0</v>
      </c>
      <c r="BG1329" s="166">
        <v>0</v>
      </c>
      <c r="BH1329" s="166">
        <v>0</v>
      </c>
      <c r="BI1329" s="166">
        <v>0</v>
      </c>
      <c r="BJ1329" s="166">
        <v>0</v>
      </c>
      <c r="BK1329" s="166">
        <v>0</v>
      </c>
      <c r="BL1329" s="166">
        <v>0</v>
      </c>
      <c r="BM1329" s="166">
        <v>0</v>
      </c>
      <c r="BN1329" s="166">
        <v>0</v>
      </c>
      <c r="BO1329" s="166">
        <v>0</v>
      </c>
      <c r="BP1329" s="166">
        <v>0</v>
      </c>
      <c r="BQ1329" s="81" t="s">
        <v>1757</v>
      </c>
      <c r="BX1329" s="81" t="s">
        <v>155</v>
      </c>
      <c r="BZ1329" s="81" t="s">
        <v>155</v>
      </c>
      <c r="CA1329" s="81">
        <v>10</v>
      </c>
      <c r="CC1329" s="167">
        <v>0</v>
      </c>
      <c r="CD1329" s="167">
        <v>0</v>
      </c>
      <c r="CE1329" s="167">
        <v>0</v>
      </c>
      <c r="CF1329" s="167">
        <v>0</v>
      </c>
      <c r="CG1329" s="167">
        <v>0</v>
      </c>
      <c r="CH1329" s="167">
        <f>$N1329/3</f>
        <v>0.33333333333333331</v>
      </c>
      <c r="CI1329" s="167">
        <f>$N1329/3</f>
        <v>0.33333333333333331</v>
      </c>
      <c r="CJ1329" s="167">
        <f>$N1329/3</f>
        <v>0.33333333333333331</v>
      </c>
      <c r="CK1329" s="167">
        <v>0</v>
      </c>
      <c r="CL1329" s="167">
        <v>0</v>
      </c>
      <c r="CM1329" s="167">
        <v>0</v>
      </c>
      <c r="CN1329" s="167">
        <v>0</v>
      </c>
      <c r="CO1329" s="167">
        <v>0</v>
      </c>
      <c r="CP1329" s="167">
        <v>0</v>
      </c>
      <c r="CQ1329" s="167">
        <v>0</v>
      </c>
      <c r="CR1329" s="167">
        <v>0</v>
      </c>
      <c r="CS1329" s="167">
        <v>0</v>
      </c>
      <c r="CT1329" s="167">
        <v>0</v>
      </c>
      <c r="CU1329" s="167">
        <v>0</v>
      </c>
      <c r="CV1329" s="167">
        <v>0</v>
      </c>
      <c r="CW1329" s="167">
        <v>0</v>
      </c>
      <c r="CX1329" s="167">
        <f>SUM(CD1329:CH1329)</f>
        <v>0.33333333333333331</v>
      </c>
      <c r="CY1329" s="167">
        <f>SUM(CD1329:CM1329)</f>
        <v>1</v>
      </c>
    </row>
    <row r="1330" spans="1:103" ht="12.75" customHeight="1" x14ac:dyDescent="0.2">
      <c r="A1330" s="81">
        <v>6825</v>
      </c>
      <c r="B1330" s="165" t="s">
        <v>1955</v>
      </c>
      <c r="C1330" s="165" t="s">
        <v>2323</v>
      </c>
      <c r="D1330" s="165" t="s">
        <v>2107</v>
      </c>
      <c r="E1330" s="165" t="s">
        <v>2324</v>
      </c>
      <c r="G1330" s="81">
        <v>527310</v>
      </c>
      <c r="H1330" s="81">
        <v>177159</v>
      </c>
      <c r="I1330" s="165" t="s">
        <v>257</v>
      </c>
      <c r="L1330" s="166">
        <v>0</v>
      </c>
      <c r="M1330" s="166">
        <v>1</v>
      </c>
      <c r="N1330" s="166">
        <v>1</v>
      </c>
      <c r="O1330" s="166">
        <v>1</v>
      </c>
      <c r="P1330" s="166">
        <v>1</v>
      </c>
      <c r="R1330" s="165" t="s">
        <v>2325</v>
      </c>
      <c r="S1330" s="81" t="s">
        <v>802</v>
      </c>
      <c r="T1330" s="349">
        <v>43151</v>
      </c>
      <c r="W1330" s="81" t="s">
        <v>114</v>
      </c>
      <c r="Y1330" s="81" t="s">
        <v>115</v>
      </c>
      <c r="Z1330" s="81" t="s">
        <v>310</v>
      </c>
      <c r="AA1330" s="81" t="s">
        <v>117</v>
      </c>
      <c r="AB1330" s="81" t="s">
        <v>399</v>
      </c>
      <c r="AC1330" s="166">
        <v>0</v>
      </c>
      <c r="AG1330" s="81" t="s">
        <v>238</v>
      </c>
      <c r="AH1330" s="81" t="s">
        <v>118</v>
      </c>
      <c r="AK1330" s="166">
        <v>0</v>
      </c>
      <c r="AM1330" s="166">
        <v>0</v>
      </c>
      <c r="AO1330" s="166">
        <v>0</v>
      </c>
      <c r="AP1330" s="166">
        <v>0</v>
      </c>
      <c r="AQ1330" s="166">
        <v>1</v>
      </c>
      <c r="AR1330" s="166">
        <v>0</v>
      </c>
      <c r="AS1330" s="166">
        <v>0</v>
      </c>
      <c r="AT1330" s="166">
        <v>0</v>
      </c>
      <c r="AU1330" s="166">
        <v>0</v>
      </c>
      <c r="AV1330" s="166">
        <v>0</v>
      </c>
      <c r="AW1330" s="166">
        <v>0</v>
      </c>
      <c r="AX1330" s="166">
        <v>1</v>
      </c>
      <c r="AY1330" s="166">
        <v>0</v>
      </c>
      <c r="AZ1330" s="166">
        <v>0</v>
      </c>
      <c r="BA1330" s="166">
        <v>0</v>
      </c>
      <c r="BB1330" s="166">
        <v>0</v>
      </c>
      <c r="BC1330" s="166">
        <v>0</v>
      </c>
      <c r="BD1330" s="166">
        <v>0</v>
      </c>
      <c r="BE1330" s="166">
        <v>0</v>
      </c>
      <c r="BF1330" s="166">
        <v>0</v>
      </c>
      <c r="BG1330" s="166">
        <v>0</v>
      </c>
      <c r="BH1330" s="166">
        <v>0</v>
      </c>
      <c r="BI1330" s="166">
        <v>0</v>
      </c>
      <c r="BJ1330" s="166">
        <v>0</v>
      </c>
      <c r="BK1330" s="166">
        <v>0</v>
      </c>
      <c r="BL1330" s="166">
        <v>0</v>
      </c>
      <c r="BM1330" s="166">
        <v>0</v>
      </c>
      <c r="BN1330" s="166">
        <v>0</v>
      </c>
      <c r="BO1330" s="166">
        <v>0</v>
      </c>
      <c r="BP1330" s="166">
        <v>0</v>
      </c>
      <c r="BQ1330" s="81" t="s">
        <v>1757</v>
      </c>
      <c r="BX1330" s="81" t="s">
        <v>155</v>
      </c>
      <c r="BZ1330" s="81" t="s">
        <v>155</v>
      </c>
      <c r="CA1330" s="81">
        <v>10</v>
      </c>
      <c r="CC1330" s="167">
        <v>0</v>
      </c>
      <c r="CD1330" s="167">
        <v>0</v>
      </c>
      <c r="CE1330" s="167">
        <v>0</v>
      </c>
      <c r="CF1330" s="167">
        <v>0</v>
      </c>
      <c r="CG1330" s="167">
        <v>0</v>
      </c>
      <c r="CH1330" s="167">
        <f>$N1330/3</f>
        <v>0.33333333333333331</v>
      </c>
      <c r="CI1330" s="167">
        <f>$N1330/3</f>
        <v>0.33333333333333331</v>
      </c>
      <c r="CJ1330" s="167">
        <f>$N1330/3</f>
        <v>0.33333333333333331</v>
      </c>
      <c r="CK1330" s="167">
        <v>0</v>
      </c>
      <c r="CL1330" s="167">
        <v>0</v>
      </c>
      <c r="CM1330" s="167">
        <v>0</v>
      </c>
      <c r="CN1330" s="167">
        <v>0</v>
      </c>
      <c r="CO1330" s="167">
        <v>0</v>
      </c>
      <c r="CP1330" s="167">
        <v>0</v>
      </c>
      <c r="CQ1330" s="167">
        <v>0</v>
      </c>
      <c r="CR1330" s="167">
        <v>0</v>
      </c>
      <c r="CS1330" s="167">
        <v>0</v>
      </c>
      <c r="CT1330" s="167">
        <v>0</v>
      </c>
      <c r="CU1330" s="167">
        <v>0</v>
      </c>
      <c r="CV1330" s="167">
        <v>0</v>
      </c>
      <c r="CW1330" s="167">
        <v>0</v>
      </c>
      <c r="CX1330" s="167">
        <f>SUM(CD1330:CH1330)</f>
        <v>0.33333333333333331</v>
      </c>
      <c r="CY1330" s="167">
        <f>SUM(CD1330:CM1330)</f>
        <v>1</v>
      </c>
    </row>
    <row r="1331" spans="1:103" ht="12.75" customHeight="1" x14ac:dyDescent="0.2">
      <c r="A1331" s="81">
        <v>6826</v>
      </c>
      <c r="B1331" s="165" t="s">
        <v>1955</v>
      </c>
      <c r="C1331" s="165" t="s">
        <v>2326</v>
      </c>
      <c r="D1331" s="165" t="s">
        <v>2107</v>
      </c>
      <c r="E1331" s="165" t="s">
        <v>2327</v>
      </c>
      <c r="G1331" s="81">
        <v>527310</v>
      </c>
      <c r="H1331" s="81">
        <v>177159</v>
      </c>
      <c r="I1331" s="165" t="s">
        <v>257</v>
      </c>
      <c r="L1331" s="166">
        <v>0</v>
      </c>
      <c r="M1331" s="166">
        <v>2</v>
      </c>
      <c r="N1331" s="166">
        <v>2</v>
      </c>
      <c r="O1331" s="166">
        <v>2</v>
      </c>
      <c r="P1331" s="166">
        <v>2</v>
      </c>
      <c r="R1331" s="165" t="s">
        <v>2328</v>
      </c>
      <c r="S1331" s="81" t="s">
        <v>802</v>
      </c>
      <c r="T1331" s="349">
        <v>43151</v>
      </c>
      <c r="W1331" s="81" t="s">
        <v>114</v>
      </c>
      <c r="Y1331" s="81" t="s">
        <v>115</v>
      </c>
      <c r="Z1331" s="81" t="s">
        <v>310</v>
      </c>
      <c r="AA1331" s="81" t="s">
        <v>117</v>
      </c>
      <c r="AB1331" s="81" t="s">
        <v>399</v>
      </c>
      <c r="AC1331" s="166">
        <v>0</v>
      </c>
      <c r="AG1331" s="81" t="s">
        <v>238</v>
      </c>
      <c r="AH1331" s="81" t="s">
        <v>118</v>
      </c>
      <c r="AK1331" s="166">
        <v>0</v>
      </c>
      <c r="AM1331" s="166">
        <v>0</v>
      </c>
      <c r="AO1331" s="166">
        <v>0</v>
      </c>
      <c r="AP1331" s="166">
        <v>1</v>
      </c>
      <c r="AQ1331" s="166">
        <v>1</v>
      </c>
      <c r="AR1331" s="166">
        <v>0</v>
      </c>
      <c r="AS1331" s="166">
        <v>0</v>
      </c>
      <c r="AT1331" s="166">
        <v>0</v>
      </c>
      <c r="AU1331" s="166">
        <v>0</v>
      </c>
      <c r="AV1331" s="166">
        <v>0</v>
      </c>
      <c r="AW1331" s="166">
        <v>1</v>
      </c>
      <c r="AX1331" s="166">
        <v>1</v>
      </c>
      <c r="AY1331" s="166">
        <v>0</v>
      </c>
      <c r="AZ1331" s="166">
        <v>0</v>
      </c>
      <c r="BA1331" s="166">
        <v>0</v>
      </c>
      <c r="BB1331" s="166">
        <v>0</v>
      </c>
      <c r="BC1331" s="166">
        <v>0</v>
      </c>
      <c r="BD1331" s="166">
        <v>0</v>
      </c>
      <c r="BE1331" s="166">
        <v>0</v>
      </c>
      <c r="BF1331" s="166">
        <v>0</v>
      </c>
      <c r="BG1331" s="166">
        <v>0</v>
      </c>
      <c r="BH1331" s="166">
        <v>0</v>
      </c>
      <c r="BI1331" s="166">
        <v>0</v>
      </c>
      <c r="BJ1331" s="166">
        <v>0</v>
      </c>
      <c r="BK1331" s="166">
        <v>0</v>
      </c>
      <c r="BL1331" s="166">
        <v>0</v>
      </c>
      <c r="BM1331" s="166">
        <v>0</v>
      </c>
      <c r="BN1331" s="166">
        <v>0</v>
      </c>
      <c r="BO1331" s="166">
        <v>0</v>
      </c>
      <c r="BP1331" s="166">
        <v>0</v>
      </c>
      <c r="BQ1331" s="81" t="s">
        <v>1757</v>
      </c>
      <c r="BX1331" s="81" t="s">
        <v>155</v>
      </c>
      <c r="BZ1331" s="81" t="s">
        <v>155</v>
      </c>
      <c r="CA1331" s="81">
        <v>10</v>
      </c>
      <c r="CC1331" s="167">
        <v>0</v>
      </c>
      <c r="CD1331" s="167">
        <v>0</v>
      </c>
      <c r="CE1331" s="167">
        <v>0</v>
      </c>
      <c r="CF1331" s="167">
        <v>0</v>
      </c>
      <c r="CG1331" s="167">
        <v>0</v>
      </c>
      <c r="CH1331" s="167">
        <f>$N1331/3</f>
        <v>0.66666666666666663</v>
      </c>
      <c r="CI1331" s="167">
        <f>$N1331/3</f>
        <v>0.66666666666666663</v>
      </c>
      <c r="CJ1331" s="167">
        <f>$N1331/3</f>
        <v>0.66666666666666663</v>
      </c>
      <c r="CK1331" s="167">
        <v>0</v>
      </c>
      <c r="CL1331" s="167">
        <v>0</v>
      </c>
      <c r="CM1331" s="167">
        <v>0</v>
      </c>
      <c r="CN1331" s="167">
        <v>0</v>
      </c>
      <c r="CO1331" s="167">
        <v>0</v>
      </c>
      <c r="CP1331" s="167">
        <v>0</v>
      </c>
      <c r="CQ1331" s="167">
        <v>0</v>
      </c>
      <c r="CR1331" s="167">
        <v>0</v>
      </c>
      <c r="CS1331" s="167">
        <v>0</v>
      </c>
      <c r="CT1331" s="167">
        <v>0</v>
      </c>
      <c r="CU1331" s="167">
        <v>0</v>
      </c>
      <c r="CV1331" s="167">
        <v>0</v>
      </c>
      <c r="CW1331" s="167">
        <v>0</v>
      </c>
      <c r="CX1331" s="167">
        <f>SUM(CD1331:CH1331)</f>
        <v>0.66666666666666663</v>
      </c>
      <c r="CY1331" s="167">
        <f>SUM(CD1331:CM1331)</f>
        <v>2</v>
      </c>
    </row>
    <row r="1332" spans="1:103" ht="12.75" customHeight="1" x14ac:dyDescent="0.2">
      <c r="A1332" s="81">
        <v>6828</v>
      </c>
      <c r="B1332" s="165" t="s">
        <v>1955</v>
      </c>
      <c r="C1332" s="165" t="s">
        <v>2329</v>
      </c>
      <c r="E1332" s="165" t="s">
        <v>2330</v>
      </c>
      <c r="G1332" s="81">
        <v>527983</v>
      </c>
      <c r="H1332" s="81">
        <v>171216</v>
      </c>
      <c r="I1332" s="165" t="s">
        <v>253</v>
      </c>
      <c r="L1332" s="166">
        <v>1</v>
      </c>
      <c r="M1332" s="166">
        <v>4</v>
      </c>
      <c r="N1332" s="166">
        <v>3</v>
      </c>
      <c r="O1332" s="166">
        <v>4</v>
      </c>
      <c r="P1332" s="166">
        <v>3</v>
      </c>
      <c r="R1332" s="165" t="s">
        <v>2331</v>
      </c>
      <c r="S1332" s="81" t="s">
        <v>121</v>
      </c>
      <c r="T1332" s="349">
        <v>43160</v>
      </c>
      <c r="W1332" s="81" t="s">
        <v>114</v>
      </c>
      <c r="Y1332" s="81" t="s">
        <v>115</v>
      </c>
      <c r="Z1332" s="81" t="s">
        <v>398</v>
      </c>
      <c r="AA1332" s="81" t="s">
        <v>117</v>
      </c>
      <c r="AB1332" s="81" t="s">
        <v>120</v>
      </c>
      <c r="AC1332" s="166">
        <v>3.29999998211861E-2</v>
      </c>
      <c r="AG1332" s="81" t="s">
        <v>238</v>
      </c>
      <c r="AH1332" s="81" t="s">
        <v>118</v>
      </c>
      <c r="AK1332" s="166">
        <v>0</v>
      </c>
      <c r="AM1332" s="166">
        <v>0</v>
      </c>
      <c r="AO1332" s="166">
        <v>1</v>
      </c>
      <c r="AP1332" s="166">
        <v>1</v>
      </c>
      <c r="AQ1332" s="166">
        <v>0</v>
      </c>
      <c r="AR1332" s="166">
        <v>2</v>
      </c>
      <c r="AS1332" s="166">
        <v>0</v>
      </c>
      <c r="AT1332" s="166">
        <v>-1</v>
      </c>
      <c r="AU1332" s="166">
        <v>0</v>
      </c>
      <c r="AV1332" s="166">
        <v>1</v>
      </c>
      <c r="AW1332" s="166">
        <v>1</v>
      </c>
      <c r="AX1332" s="166">
        <v>0</v>
      </c>
      <c r="AY1332" s="166">
        <v>2</v>
      </c>
      <c r="AZ1332" s="166">
        <v>0</v>
      </c>
      <c r="BA1332" s="166">
        <v>0</v>
      </c>
      <c r="BB1332" s="166">
        <v>0</v>
      </c>
      <c r="BC1332" s="166">
        <v>0</v>
      </c>
      <c r="BD1332" s="166">
        <v>0</v>
      </c>
      <c r="BE1332" s="166">
        <v>0</v>
      </c>
      <c r="BF1332" s="166">
        <v>0</v>
      </c>
      <c r="BG1332" s="166">
        <v>0</v>
      </c>
      <c r="BH1332" s="166">
        <v>-1</v>
      </c>
      <c r="BI1332" s="166">
        <v>0</v>
      </c>
      <c r="BJ1332" s="166">
        <v>0</v>
      </c>
      <c r="BK1332" s="166">
        <v>0</v>
      </c>
      <c r="BL1332" s="166">
        <v>0</v>
      </c>
      <c r="BM1332" s="166">
        <v>0</v>
      </c>
      <c r="BN1332" s="166">
        <v>0</v>
      </c>
      <c r="BO1332" s="166">
        <v>0</v>
      </c>
      <c r="BP1332" s="166">
        <v>0</v>
      </c>
      <c r="BQ1332" s="81" t="s">
        <v>1757</v>
      </c>
      <c r="BZ1332" s="81" t="s">
        <v>155</v>
      </c>
      <c r="CA1332" s="81">
        <v>10</v>
      </c>
      <c r="CC1332" s="167">
        <v>0</v>
      </c>
      <c r="CD1332" s="167">
        <v>0</v>
      </c>
      <c r="CE1332" s="167">
        <v>0</v>
      </c>
      <c r="CF1332" s="167">
        <v>0</v>
      </c>
      <c r="CG1332" s="167">
        <v>0</v>
      </c>
      <c r="CH1332" s="167">
        <f>$N1332/3</f>
        <v>1</v>
      </c>
      <c r="CI1332" s="167">
        <f>$N1332/3</f>
        <v>1</v>
      </c>
      <c r="CJ1332" s="167">
        <f>$N1332/3</f>
        <v>1</v>
      </c>
      <c r="CK1332" s="167">
        <v>0</v>
      </c>
      <c r="CL1332" s="167">
        <v>0</v>
      </c>
      <c r="CM1332" s="167">
        <v>0</v>
      </c>
      <c r="CN1332" s="167">
        <v>0</v>
      </c>
      <c r="CO1332" s="167">
        <v>0</v>
      </c>
      <c r="CP1332" s="167">
        <v>0</v>
      </c>
      <c r="CQ1332" s="167">
        <v>0</v>
      </c>
      <c r="CR1332" s="167">
        <v>0</v>
      </c>
      <c r="CS1332" s="167">
        <v>0</v>
      </c>
      <c r="CT1332" s="167">
        <v>0</v>
      </c>
      <c r="CU1332" s="167">
        <v>0</v>
      </c>
      <c r="CV1332" s="167">
        <v>0</v>
      </c>
      <c r="CW1332" s="167">
        <v>0</v>
      </c>
      <c r="CX1332" s="167">
        <f>SUM(CD1332:CH1332)</f>
        <v>1</v>
      </c>
      <c r="CY1332" s="167">
        <f>SUM(CD1332:CM1332)</f>
        <v>3</v>
      </c>
    </row>
    <row r="1333" spans="1:103" ht="12.75" customHeight="1" x14ac:dyDescent="0.2">
      <c r="A1333" s="81">
        <v>6830</v>
      </c>
      <c r="B1333" s="165" t="s">
        <v>1955</v>
      </c>
      <c r="C1333" s="165" t="s">
        <v>2332</v>
      </c>
      <c r="E1333" s="165" t="s">
        <v>2333</v>
      </c>
      <c r="G1333" s="81">
        <v>527581</v>
      </c>
      <c r="H1333" s="81">
        <v>174645</v>
      </c>
      <c r="I1333" s="165" t="s">
        <v>255</v>
      </c>
      <c r="L1333" s="166">
        <v>0</v>
      </c>
      <c r="M1333" s="166">
        <v>2</v>
      </c>
      <c r="N1333" s="166">
        <v>2</v>
      </c>
      <c r="O1333" s="166">
        <v>2</v>
      </c>
      <c r="P1333" s="166">
        <v>2</v>
      </c>
      <c r="R1333" s="165" t="s">
        <v>2334</v>
      </c>
      <c r="S1333" s="81" t="s">
        <v>121</v>
      </c>
      <c r="T1333" s="349">
        <v>43160</v>
      </c>
      <c r="W1333" s="81" t="s">
        <v>114</v>
      </c>
      <c r="Y1333" s="81" t="s">
        <v>115</v>
      </c>
      <c r="Z1333" s="81" t="s">
        <v>219</v>
      </c>
      <c r="AA1333" s="81" t="s">
        <v>117</v>
      </c>
      <c r="AB1333" s="81" t="s">
        <v>3889</v>
      </c>
      <c r="AC1333" s="166">
        <v>7.0000002160668399E-3</v>
      </c>
      <c r="AG1333" s="81" t="s">
        <v>238</v>
      </c>
      <c r="AH1333" s="81" t="s">
        <v>118</v>
      </c>
      <c r="AK1333" s="166">
        <v>0</v>
      </c>
      <c r="AM1333" s="166">
        <v>0</v>
      </c>
      <c r="AO1333" s="166">
        <v>0</v>
      </c>
      <c r="AP1333" s="166">
        <v>0</v>
      </c>
      <c r="AQ1333" s="166">
        <v>2</v>
      </c>
      <c r="AR1333" s="166">
        <v>0</v>
      </c>
      <c r="AS1333" s="166">
        <v>0</v>
      </c>
      <c r="AT1333" s="166">
        <v>0</v>
      </c>
      <c r="AU1333" s="166">
        <v>0</v>
      </c>
      <c r="AV1333" s="166">
        <v>0</v>
      </c>
      <c r="AW1333" s="166">
        <v>0</v>
      </c>
      <c r="AX1333" s="166">
        <v>2</v>
      </c>
      <c r="AY1333" s="166">
        <v>0</v>
      </c>
      <c r="AZ1333" s="166">
        <v>0</v>
      </c>
      <c r="BA1333" s="166">
        <v>0</v>
      </c>
      <c r="BB1333" s="166">
        <v>0</v>
      </c>
      <c r="BC1333" s="166">
        <v>0</v>
      </c>
      <c r="BD1333" s="166">
        <v>0</v>
      </c>
      <c r="BE1333" s="166">
        <v>0</v>
      </c>
      <c r="BF1333" s="166">
        <v>0</v>
      </c>
      <c r="BG1333" s="166">
        <v>0</v>
      </c>
      <c r="BH1333" s="166">
        <v>0</v>
      </c>
      <c r="BI1333" s="166">
        <v>0</v>
      </c>
      <c r="BJ1333" s="166">
        <v>0</v>
      </c>
      <c r="BK1333" s="166">
        <v>0</v>
      </c>
      <c r="BL1333" s="166">
        <v>0</v>
      </c>
      <c r="BM1333" s="166">
        <v>0</v>
      </c>
      <c r="BN1333" s="166">
        <v>0</v>
      </c>
      <c r="BO1333" s="166">
        <v>0</v>
      </c>
      <c r="BP1333" s="166">
        <v>0</v>
      </c>
      <c r="BQ1333" s="81" t="s">
        <v>1757</v>
      </c>
      <c r="BZ1333" s="81" t="s">
        <v>155</v>
      </c>
      <c r="CA1333" s="81">
        <v>10</v>
      </c>
      <c r="CC1333" s="167">
        <v>0</v>
      </c>
      <c r="CD1333" s="167">
        <v>0</v>
      </c>
      <c r="CE1333" s="167">
        <v>0</v>
      </c>
      <c r="CF1333" s="167">
        <v>0</v>
      </c>
      <c r="CG1333" s="167">
        <v>0</v>
      </c>
      <c r="CH1333" s="167">
        <f>$N1333/3</f>
        <v>0.66666666666666663</v>
      </c>
      <c r="CI1333" s="167">
        <f>$N1333/3</f>
        <v>0.66666666666666663</v>
      </c>
      <c r="CJ1333" s="167">
        <f>$N1333/3</f>
        <v>0.66666666666666663</v>
      </c>
      <c r="CK1333" s="167">
        <v>0</v>
      </c>
      <c r="CL1333" s="167">
        <v>0</v>
      </c>
      <c r="CM1333" s="167">
        <v>0</v>
      </c>
      <c r="CN1333" s="167">
        <v>0</v>
      </c>
      <c r="CO1333" s="167">
        <v>0</v>
      </c>
      <c r="CP1333" s="167">
        <v>0</v>
      </c>
      <c r="CQ1333" s="167">
        <v>0</v>
      </c>
      <c r="CR1333" s="167">
        <v>0</v>
      </c>
      <c r="CS1333" s="167">
        <v>0</v>
      </c>
      <c r="CT1333" s="167">
        <v>0</v>
      </c>
      <c r="CU1333" s="167">
        <v>0</v>
      </c>
      <c r="CV1333" s="167">
        <v>0</v>
      </c>
      <c r="CW1333" s="167">
        <v>0</v>
      </c>
      <c r="CX1333" s="167">
        <f>SUM(CD1333:CH1333)</f>
        <v>0.66666666666666663</v>
      </c>
      <c r="CY1333" s="167">
        <f>SUM(CD1333:CM1333)</f>
        <v>2</v>
      </c>
    </row>
    <row r="1334" spans="1:103" ht="12.75" customHeight="1" x14ac:dyDescent="0.2">
      <c r="A1334" s="81">
        <v>6833</v>
      </c>
      <c r="B1334" s="165" t="s">
        <v>1955</v>
      </c>
      <c r="C1334" s="165" t="s">
        <v>2335</v>
      </c>
      <c r="E1334" s="165" t="s">
        <v>2336</v>
      </c>
      <c r="G1334" s="81">
        <v>528973</v>
      </c>
      <c r="H1334" s="81">
        <v>174014</v>
      </c>
      <c r="I1334" s="165" t="s">
        <v>247</v>
      </c>
      <c r="L1334" s="166">
        <v>1</v>
      </c>
      <c r="M1334" s="166">
        <v>2</v>
      </c>
      <c r="N1334" s="166">
        <v>1</v>
      </c>
      <c r="O1334" s="166">
        <v>2</v>
      </c>
      <c r="P1334" s="166">
        <v>1</v>
      </c>
      <c r="R1334" s="165" t="s">
        <v>2337</v>
      </c>
      <c r="S1334" s="81" t="s">
        <v>121</v>
      </c>
      <c r="T1334" s="349">
        <v>43165</v>
      </c>
      <c r="W1334" s="81" t="s">
        <v>114</v>
      </c>
      <c r="Y1334" s="81" t="s">
        <v>115</v>
      </c>
      <c r="Z1334" s="81" t="s">
        <v>398</v>
      </c>
      <c r="AA1334" s="81" t="s">
        <v>117</v>
      </c>
      <c r="AB1334" s="81" t="s">
        <v>120</v>
      </c>
      <c r="AC1334" s="166">
        <v>1.09999999403954E-2</v>
      </c>
      <c r="AG1334" s="81" t="s">
        <v>238</v>
      </c>
      <c r="AH1334" s="81" t="s">
        <v>118</v>
      </c>
      <c r="AK1334" s="166">
        <v>0</v>
      </c>
      <c r="AM1334" s="166">
        <v>0</v>
      </c>
      <c r="AO1334" s="166">
        <v>0</v>
      </c>
      <c r="AP1334" s="166">
        <v>0</v>
      </c>
      <c r="AQ1334" s="166">
        <v>0</v>
      </c>
      <c r="AR1334" s="166">
        <v>1</v>
      </c>
      <c r="AS1334" s="166">
        <v>0</v>
      </c>
      <c r="AT1334" s="166">
        <v>0</v>
      </c>
      <c r="AU1334" s="166">
        <v>0</v>
      </c>
      <c r="AV1334" s="166">
        <v>0</v>
      </c>
      <c r="AW1334" s="166">
        <v>0</v>
      </c>
      <c r="AX1334" s="166">
        <v>0</v>
      </c>
      <c r="AY1334" s="166">
        <v>2</v>
      </c>
      <c r="AZ1334" s="166">
        <v>0</v>
      </c>
      <c r="BA1334" s="166">
        <v>0</v>
      </c>
      <c r="BB1334" s="166">
        <v>0</v>
      </c>
      <c r="BC1334" s="166">
        <v>0</v>
      </c>
      <c r="BD1334" s="166">
        <v>0</v>
      </c>
      <c r="BE1334" s="166">
        <v>0</v>
      </c>
      <c r="BF1334" s="166">
        <v>-1</v>
      </c>
      <c r="BG1334" s="166">
        <v>0</v>
      </c>
      <c r="BH1334" s="166">
        <v>0</v>
      </c>
      <c r="BI1334" s="166">
        <v>0</v>
      </c>
      <c r="BJ1334" s="166">
        <v>0</v>
      </c>
      <c r="BK1334" s="166">
        <v>0</v>
      </c>
      <c r="BL1334" s="166">
        <v>0</v>
      </c>
      <c r="BM1334" s="166">
        <v>0</v>
      </c>
      <c r="BN1334" s="166">
        <v>0</v>
      </c>
      <c r="BO1334" s="166">
        <v>0</v>
      </c>
      <c r="BP1334" s="166">
        <v>0</v>
      </c>
      <c r="BQ1334" s="81" t="s">
        <v>1757</v>
      </c>
      <c r="BZ1334" s="81" t="s">
        <v>155</v>
      </c>
      <c r="CA1334" s="81">
        <v>10</v>
      </c>
      <c r="CC1334" s="167">
        <v>0</v>
      </c>
      <c r="CD1334" s="167">
        <v>0</v>
      </c>
      <c r="CE1334" s="167">
        <v>0</v>
      </c>
      <c r="CF1334" s="167">
        <v>0</v>
      </c>
      <c r="CG1334" s="167">
        <v>0</v>
      </c>
      <c r="CH1334" s="167">
        <f>$N1334/3</f>
        <v>0.33333333333333331</v>
      </c>
      <c r="CI1334" s="167">
        <f>$N1334/3</f>
        <v>0.33333333333333331</v>
      </c>
      <c r="CJ1334" s="167">
        <f>$N1334/3</f>
        <v>0.33333333333333331</v>
      </c>
      <c r="CK1334" s="167">
        <v>0</v>
      </c>
      <c r="CL1334" s="167">
        <v>0</v>
      </c>
      <c r="CM1334" s="167">
        <v>0</v>
      </c>
      <c r="CN1334" s="167">
        <v>0</v>
      </c>
      <c r="CO1334" s="167">
        <v>0</v>
      </c>
      <c r="CP1334" s="167">
        <v>0</v>
      </c>
      <c r="CQ1334" s="167">
        <v>0</v>
      </c>
      <c r="CR1334" s="167">
        <v>0</v>
      </c>
      <c r="CS1334" s="167">
        <v>0</v>
      </c>
      <c r="CT1334" s="167">
        <v>0</v>
      </c>
      <c r="CU1334" s="167">
        <v>0</v>
      </c>
      <c r="CV1334" s="167">
        <v>0</v>
      </c>
      <c r="CW1334" s="167">
        <v>0</v>
      </c>
      <c r="CX1334" s="167">
        <f>SUM(CD1334:CH1334)</f>
        <v>0.33333333333333331</v>
      </c>
      <c r="CY1334" s="167">
        <f>SUM(CD1334:CM1334)</f>
        <v>1</v>
      </c>
    </row>
    <row r="1335" spans="1:103" ht="12.75" customHeight="1" x14ac:dyDescent="0.2">
      <c r="A1335" s="81">
        <v>6834</v>
      </c>
      <c r="B1335" s="165" t="s">
        <v>1955</v>
      </c>
      <c r="C1335" s="165" t="s">
        <v>2338</v>
      </c>
      <c r="E1335" s="165" t="s">
        <v>2339</v>
      </c>
      <c r="G1335" s="81">
        <v>529168</v>
      </c>
      <c r="H1335" s="81">
        <v>171180</v>
      </c>
      <c r="I1335" s="165" t="s">
        <v>252</v>
      </c>
      <c r="L1335" s="166">
        <v>2</v>
      </c>
      <c r="M1335" s="166">
        <v>1</v>
      </c>
      <c r="N1335" s="166">
        <v>-1</v>
      </c>
      <c r="O1335" s="166">
        <v>1</v>
      </c>
      <c r="P1335" s="166">
        <v>-1</v>
      </c>
      <c r="R1335" s="165" t="s">
        <v>2340</v>
      </c>
      <c r="S1335" s="81" t="s">
        <v>121</v>
      </c>
      <c r="T1335" s="349">
        <v>43166</v>
      </c>
      <c r="W1335" s="81" t="s">
        <v>114</v>
      </c>
      <c r="Y1335" s="81" t="s">
        <v>115</v>
      </c>
      <c r="Z1335" s="81" t="s">
        <v>119</v>
      </c>
      <c r="AA1335" s="81" t="s">
        <v>117</v>
      </c>
      <c r="AB1335" s="81" t="s">
        <v>336</v>
      </c>
      <c r="AC1335" s="166">
        <v>1.7000000923872001E-2</v>
      </c>
      <c r="AG1335" s="81" t="s">
        <v>238</v>
      </c>
      <c r="AH1335" s="81" t="s">
        <v>118</v>
      </c>
      <c r="AK1335" s="166">
        <v>0</v>
      </c>
      <c r="AM1335" s="166">
        <v>0</v>
      </c>
      <c r="AO1335" s="166">
        <v>0</v>
      </c>
      <c r="AP1335" s="166">
        <v>-1</v>
      </c>
      <c r="AQ1335" s="166">
        <v>-1</v>
      </c>
      <c r="AR1335" s="166">
        <v>0</v>
      </c>
      <c r="AS1335" s="166">
        <v>0</v>
      </c>
      <c r="AT1335" s="166">
        <v>1</v>
      </c>
      <c r="AU1335" s="166">
        <v>0</v>
      </c>
      <c r="AV1335" s="166">
        <v>0</v>
      </c>
      <c r="AW1335" s="166">
        <v>-1</v>
      </c>
      <c r="AX1335" s="166">
        <v>-1</v>
      </c>
      <c r="AY1335" s="166">
        <v>0</v>
      </c>
      <c r="AZ1335" s="166">
        <v>0</v>
      </c>
      <c r="BA1335" s="166">
        <v>0</v>
      </c>
      <c r="BB1335" s="166">
        <v>0</v>
      </c>
      <c r="BC1335" s="166">
        <v>0</v>
      </c>
      <c r="BD1335" s="166">
        <v>0</v>
      </c>
      <c r="BE1335" s="166">
        <v>0</v>
      </c>
      <c r="BF1335" s="166">
        <v>0</v>
      </c>
      <c r="BG1335" s="166">
        <v>0</v>
      </c>
      <c r="BH1335" s="166">
        <v>1</v>
      </c>
      <c r="BI1335" s="166">
        <v>0</v>
      </c>
      <c r="BJ1335" s="166">
        <v>0</v>
      </c>
      <c r="BK1335" s="166">
        <v>0</v>
      </c>
      <c r="BL1335" s="166">
        <v>0</v>
      </c>
      <c r="BM1335" s="166">
        <v>0</v>
      </c>
      <c r="BN1335" s="166">
        <v>0</v>
      </c>
      <c r="BO1335" s="166">
        <v>0</v>
      </c>
      <c r="BP1335" s="166">
        <v>0</v>
      </c>
      <c r="BQ1335" s="81" t="s">
        <v>1757</v>
      </c>
      <c r="BZ1335" s="81" t="s">
        <v>155</v>
      </c>
      <c r="CA1335" s="81">
        <v>10</v>
      </c>
      <c r="CC1335" s="167">
        <v>0</v>
      </c>
      <c r="CD1335" s="167">
        <v>0</v>
      </c>
      <c r="CE1335" s="167">
        <v>0</v>
      </c>
      <c r="CF1335" s="167">
        <v>0</v>
      </c>
      <c r="CG1335" s="167">
        <v>0</v>
      </c>
      <c r="CH1335" s="167">
        <f>$N1335/3</f>
        <v>-0.33333333333333331</v>
      </c>
      <c r="CI1335" s="167">
        <f>$N1335/3</f>
        <v>-0.33333333333333331</v>
      </c>
      <c r="CJ1335" s="167">
        <f>$N1335/3</f>
        <v>-0.33333333333333331</v>
      </c>
      <c r="CK1335" s="167">
        <v>0</v>
      </c>
      <c r="CL1335" s="167">
        <v>0</v>
      </c>
      <c r="CM1335" s="167">
        <v>0</v>
      </c>
      <c r="CN1335" s="167">
        <v>0</v>
      </c>
      <c r="CO1335" s="167">
        <v>0</v>
      </c>
      <c r="CP1335" s="167">
        <v>0</v>
      </c>
      <c r="CQ1335" s="167">
        <v>0</v>
      </c>
      <c r="CR1335" s="167">
        <v>0</v>
      </c>
      <c r="CS1335" s="167">
        <v>0</v>
      </c>
      <c r="CT1335" s="167">
        <v>0</v>
      </c>
      <c r="CU1335" s="167">
        <v>0</v>
      </c>
      <c r="CV1335" s="167">
        <v>0</v>
      </c>
      <c r="CW1335" s="167">
        <v>0</v>
      </c>
      <c r="CX1335" s="167">
        <f>SUM(CD1335:CH1335)</f>
        <v>-0.33333333333333331</v>
      </c>
      <c r="CY1335" s="167">
        <f>SUM(CD1335:CM1335)</f>
        <v>-1</v>
      </c>
    </row>
    <row r="1336" spans="1:103" ht="12.75" customHeight="1" x14ac:dyDescent="0.2">
      <c r="A1336" s="81">
        <v>6835</v>
      </c>
      <c r="B1336" s="165" t="s">
        <v>1955</v>
      </c>
      <c r="C1336" s="165" t="s">
        <v>2341</v>
      </c>
      <c r="E1336" s="165" t="s">
        <v>2342</v>
      </c>
      <c r="G1336" s="81">
        <v>528565</v>
      </c>
      <c r="H1336" s="81">
        <v>171318</v>
      </c>
      <c r="I1336" s="165" t="s">
        <v>252</v>
      </c>
      <c r="L1336" s="166">
        <v>0</v>
      </c>
      <c r="M1336" s="166">
        <v>1</v>
      </c>
      <c r="N1336" s="166">
        <v>1</v>
      </c>
      <c r="O1336" s="166">
        <v>1</v>
      </c>
      <c r="P1336" s="166">
        <v>1</v>
      </c>
      <c r="R1336" s="165" t="s">
        <v>2343</v>
      </c>
      <c r="S1336" s="81" t="s">
        <v>121</v>
      </c>
      <c r="T1336" s="349">
        <v>43166</v>
      </c>
      <c r="W1336" s="81" t="s">
        <v>114</v>
      </c>
      <c r="Y1336" s="81" t="s">
        <v>115</v>
      </c>
      <c r="Z1336" s="81" t="s">
        <v>116</v>
      </c>
      <c r="AA1336" s="81" t="s">
        <v>117</v>
      </c>
      <c r="AB1336" s="81" t="s">
        <v>218</v>
      </c>
      <c r="AC1336" s="166">
        <v>1.7000000923872001E-2</v>
      </c>
      <c r="AG1336" s="81" t="s">
        <v>238</v>
      </c>
      <c r="AH1336" s="81" t="s">
        <v>118</v>
      </c>
      <c r="AK1336" s="166">
        <v>0</v>
      </c>
      <c r="AM1336" s="166">
        <v>0</v>
      </c>
      <c r="AO1336" s="166">
        <v>0</v>
      </c>
      <c r="AP1336" s="166">
        <v>1</v>
      </c>
      <c r="AQ1336" s="166">
        <v>0</v>
      </c>
      <c r="AR1336" s="166">
        <v>0</v>
      </c>
      <c r="AS1336" s="166">
        <v>0</v>
      </c>
      <c r="AT1336" s="166">
        <v>0</v>
      </c>
      <c r="AU1336" s="166">
        <v>0</v>
      </c>
      <c r="AV1336" s="166">
        <v>0</v>
      </c>
      <c r="AW1336" s="166">
        <v>0</v>
      </c>
      <c r="AX1336" s="166">
        <v>0</v>
      </c>
      <c r="AY1336" s="166">
        <v>0</v>
      </c>
      <c r="AZ1336" s="166">
        <v>0</v>
      </c>
      <c r="BA1336" s="166">
        <v>0</v>
      </c>
      <c r="BB1336" s="166">
        <v>0</v>
      </c>
      <c r="BC1336" s="166">
        <v>0</v>
      </c>
      <c r="BD1336" s="166">
        <v>1</v>
      </c>
      <c r="BE1336" s="166">
        <v>0</v>
      </c>
      <c r="BF1336" s="166">
        <v>0</v>
      </c>
      <c r="BG1336" s="166">
        <v>0</v>
      </c>
      <c r="BH1336" s="166">
        <v>0</v>
      </c>
      <c r="BI1336" s="166">
        <v>0</v>
      </c>
      <c r="BJ1336" s="166">
        <v>0</v>
      </c>
      <c r="BK1336" s="166">
        <v>0</v>
      </c>
      <c r="BL1336" s="166">
        <v>0</v>
      </c>
      <c r="BM1336" s="166">
        <v>0</v>
      </c>
      <c r="BN1336" s="166">
        <v>0</v>
      </c>
      <c r="BO1336" s="166">
        <v>0</v>
      </c>
      <c r="BP1336" s="166">
        <v>0</v>
      </c>
      <c r="BQ1336" s="81" t="s">
        <v>1757</v>
      </c>
      <c r="BZ1336" s="81" t="s">
        <v>155</v>
      </c>
      <c r="CA1336" s="81">
        <v>6</v>
      </c>
      <c r="CC1336" s="167">
        <v>0</v>
      </c>
      <c r="CD1336" s="167">
        <v>0</v>
      </c>
      <c r="CE1336" s="167">
        <v>0</v>
      </c>
      <c r="CF1336" s="167">
        <v>0</v>
      </c>
      <c r="CG1336" s="167">
        <v>0</v>
      </c>
      <c r="CH1336" s="167">
        <f>$N1336/3</f>
        <v>0.33333333333333331</v>
      </c>
      <c r="CI1336" s="167">
        <f>$N1336/3</f>
        <v>0.33333333333333331</v>
      </c>
      <c r="CJ1336" s="167">
        <f>$N1336/3</f>
        <v>0.33333333333333331</v>
      </c>
      <c r="CK1336" s="167">
        <v>0</v>
      </c>
      <c r="CL1336" s="167">
        <v>0</v>
      </c>
      <c r="CM1336" s="167">
        <v>0</v>
      </c>
      <c r="CN1336" s="167">
        <v>0</v>
      </c>
      <c r="CO1336" s="167">
        <v>0</v>
      </c>
      <c r="CP1336" s="167">
        <v>0</v>
      </c>
      <c r="CQ1336" s="167">
        <v>0</v>
      </c>
      <c r="CR1336" s="167">
        <v>0</v>
      </c>
      <c r="CS1336" s="167">
        <v>0</v>
      </c>
      <c r="CT1336" s="167">
        <v>0</v>
      </c>
      <c r="CU1336" s="167">
        <v>0</v>
      </c>
      <c r="CV1336" s="167">
        <v>0</v>
      </c>
      <c r="CW1336" s="167">
        <v>0</v>
      </c>
      <c r="CX1336" s="167">
        <f>SUM(CD1336:CH1336)</f>
        <v>0.33333333333333331</v>
      </c>
      <c r="CY1336" s="167">
        <f>SUM(CD1336:CM1336)</f>
        <v>1</v>
      </c>
    </row>
    <row r="1337" spans="1:103" ht="12.75" customHeight="1" x14ac:dyDescent="0.2">
      <c r="A1337" s="81">
        <v>6836</v>
      </c>
      <c r="B1337" s="165" t="s">
        <v>1955</v>
      </c>
      <c r="C1337" s="165" t="s">
        <v>2344</v>
      </c>
      <c r="E1337" s="165" t="s">
        <v>2345</v>
      </c>
      <c r="G1337" s="81">
        <v>527432</v>
      </c>
      <c r="H1337" s="81">
        <v>171027</v>
      </c>
      <c r="I1337" s="165" t="s">
        <v>253</v>
      </c>
      <c r="L1337" s="166">
        <v>1</v>
      </c>
      <c r="M1337" s="166">
        <v>2</v>
      </c>
      <c r="N1337" s="166">
        <v>1</v>
      </c>
      <c r="O1337" s="166">
        <v>2</v>
      </c>
      <c r="P1337" s="166">
        <v>1</v>
      </c>
      <c r="R1337" s="165" t="s">
        <v>2346</v>
      </c>
      <c r="S1337" s="81" t="s">
        <v>121</v>
      </c>
      <c r="T1337" s="349">
        <v>43166</v>
      </c>
      <c r="W1337" s="81" t="s">
        <v>114</v>
      </c>
      <c r="Y1337" s="81" t="s">
        <v>115</v>
      </c>
      <c r="Z1337" s="81" t="s">
        <v>119</v>
      </c>
      <c r="AA1337" s="81" t="s">
        <v>117</v>
      </c>
      <c r="AB1337" s="81" t="s">
        <v>220</v>
      </c>
      <c r="AC1337" s="166">
        <v>1.2000000104308101E-2</v>
      </c>
      <c r="AG1337" s="81" t="s">
        <v>238</v>
      </c>
      <c r="AH1337" s="81" t="s">
        <v>118</v>
      </c>
      <c r="AK1337" s="166">
        <v>0</v>
      </c>
      <c r="AM1337" s="166">
        <v>0</v>
      </c>
      <c r="AO1337" s="166">
        <v>0</v>
      </c>
      <c r="AP1337" s="166">
        <v>1</v>
      </c>
      <c r="AQ1337" s="166">
        <v>1</v>
      </c>
      <c r="AR1337" s="166">
        <v>-1</v>
      </c>
      <c r="AS1337" s="166">
        <v>0</v>
      </c>
      <c r="AT1337" s="166">
        <v>0</v>
      </c>
      <c r="AU1337" s="166">
        <v>0</v>
      </c>
      <c r="AV1337" s="166">
        <v>0</v>
      </c>
      <c r="AW1337" s="166">
        <v>1</v>
      </c>
      <c r="AX1337" s="166">
        <v>1</v>
      </c>
      <c r="AY1337" s="166">
        <v>-1</v>
      </c>
      <c r="AZ1337" s="166">
        <v>0</v>
      </c>
      <c r="BA1337" s="166">
        <v>0</v>
      </c>
      <c r="BB1337" s="166">
        <v>0</v>
      </c>
      <c r="BC1337" s="166">
        <v>0</v>
      </c>
      <c r="BD1337" s="166">
        <v>0</v>
      </c>
      <c r="BE1337" s="166">
        <v>0</v>
      </c>
      <c r="BF1337" s="166">
        <v>0</v>
      </c>
      <c r="BG1337" s="166">
        <v>0</v>
      </c>
      <c r="BH1337" s="166">
        <v>0</v>
      </c>
      <c r="BI1337" s="166">
        <v>0</v>
      </c>
      <c r="BJ1337" s="166">
        <v>0</v>
      </c>
      <c r="BK1337" s="166">
        <v>0</v>
      </c>
      <c r="BL1337" s="166">
        <v>0</v>
      </c>
      <c r="BM1337" s="166">
        <v>0</v>
      </c>
      <c r="BN1337" s="166">
        <v>0</v>
      </c>
      <c r="BO1337" s="166">
        <v>0</v>
      </c>
      <c r="BP1337" s="166">
        <v>0</v>
      </c>
      <c r="BQ1337" s="81" t="s">
        <v>1757</v>
      </c>
      <c r="BZ1337" s="81" t="s">
        <v>155</v>
      </c>
      <c r="CA1337" s="81">
        <v>10</v>
      </c>
      <c r="CC1337" s="167">
        <v>0</v>
      </c>
      <c r="CD1337" s="167">
        <v>0</v>
      </c>
      <c r="CE1337" s="167">
        <v>0</v>
      </c>
      <c r="CF1337" s="167">
        <v>0</v>
      </c>
      <c r="CG1337" s="167">
        <v>0</v>
      </c>
      <c r="CH1337" s="167">
        <f>$N1337/3</f>
        <v>0.33333333333333331</v>
      </c>
      <c r="CI1337" s="167">
        <f>$N1337/3</f>
        <v>0.33333333333333331</v>
      </c>
      <c r="CJ1337" s="167">
        <f>$N1337/3</f>
        <v>0.33333333333333331</v>
      </c>
      <c r="CK1337" s="167">
        <v>0</v>
      </c>
      <c r="CL1337" s="167">
        <v>0</v>
      </c>
      <c r="CM1337" s="167">
        <v>0</v>
      </c>
      <c r="CN1337" s="167">
        <v>0</v>
      </c>
      <c r="CO1337" s="167">
        <v>0</v>
      </c>
      <c r="CP1337" s="167">
        <v>0</v>
      </c>
      <c r="CQ1337" s="167">
        <v>0</v>
      </c>
      <c r="CR1337" s="167">
        <v>0</v>
      </c>
      <c r="CS1337" s="167">
        <v>0</v>
      </c>
      <c r="CT1337" s="167">
        <v>0</v>
      </c>
      <c r="CU1337" s="167">
        <v>0</v>
      </c>
      <c r="CV1337" s="167">
        <v>0</v>
      </c>
      <c r="CW1337" s="167">
        <v>0</v>
      </c>
      <c r="CX1337" s="167">
        <f>SUM(CD1337:CH1337)</f>
        <v>0.33333333333333331</v>
      </c>
      <c r="CY1337" s="167">
        <f>SUM(CD1337:CM1337)</f>
        <v>1</v>
      </c>
    </row>
    <row r="1338" spans="1:103" ht="12.75" customHeight="1" x14ac:dyDescent="0.2">
      <c r="A1338" s="81">
        <v>6837</v>
      </c>
      <c r="B1338" s="165" t="s">
        <v>1955</v>
      </c>
      <c r="C1338" s="165" t="s">
        <v>2347</v>
      </c>
      <c r="E1338" s="165" t="s">
        <v>2348</v>
      </c>
      <c r="G1338" s="81">
        <v>527827</v>
      </c>
      <c r="H1338" s="81">
        <v>171162</v>
      </c>
      <c r="I1338" s="165" t="s">
        <v>253</v>
      </c>
      <c r="L1338" s="166">
        <v>0</v>
      </c>
      <c r="M1338" s="166">
        <v>1</v>
      </c>
      <c r="N1338" s="166">
        <v>1</v>
      </c>
      <c r="O1338" s="166">
        <v>1</v>
      </c>
      <c r="P1338" s="166">
        <v>1</v>
      </c>
      <c r="R1338" s="165" t="s">
        <v>2349</v>
      </c>
      <c r="S1338" s="81" t="s">
        <v>121</v>
      </c>
      <c r="T1338" s="349">
        <v>43168</v>
      </c>
      <c r="W1338" s="81" t="s">
        <v>114</v>
      </c>
      <c r="Y1338" s="81" t="s">
        <v>115</v>
      </c>
      <c r="Z1338" s="81" t="s">
        <v>219</v>
      </c>
      <c r="AA1338" s="81" t="s">
        <v>117</v>
      </c>
      <c r="AB1338" s="81" t="s">
        <v>3889</v>
      </c>
      <c r="AC1338" s="166">
        <v>6.0000000521540598E-3</v>
      </c>
      <c r="AG1338" s="81" t="s">
        <v>238</v>
      </c>
      <c r="AH1338" s="81" t="s">
        <v>118</v>
      </c>
      <c r="AK1338" s="166">
        <v>0</v>
      </c>
      <c r="AM1338" s="166">
        <v>0</v>
      </c>
      <c r="AO1338" s="166">
        <v>0</v>
      </c>
      <c r="AP1338" s="166">
        <v>0</v>
      </c>
      <c r="AQ1338" s="166">
        <v>1</v>
      </c>
      <c r="AR1338" s="166">
        <v>0</v>
      </c>
      <c r="AS1338" s="166">
        <v>0</v>
      </c>
      <c r="AT1338" s="166">
        <v>0</v>
      </c>
      <c r="AU1338" s="166">
        <v>0</v>
      </c>
      <c r="AV1338" s="166">
        <v>0</v>
      </c>
      <c r="AW1338" s="166">
        <v>0</v>
      </c>
      <c r="AX1338" s="166">
        <v>1</v>
      </c>
      <c r="AY1338" s="166">
        <v>0</v>
      </c>
      <c r="AZ1338" s="166">
        <v>0</v>
      </c>
      <c r="BA1338" s="166">
        <v>0</v>
      </c>
      <c r="BB1338" s="166">
        <v>0</v>
      </c>
      <c r="BC1338" s="166">
        <v>0</v>
      </c>
      <c r="BD1338" s="166">
        <v>0</v>
      </c>
      <c r="BE1338" s="166">
        <v>0</v>
      </c>
      <c r="BF1338" s="166">
        <v>0</v>
      </c>
      <c r="BG1338" s="166">
        <v>0</v>
      </c>
      <c r="BH1338" s="166">
        <v>0</v>
      </c>
      <c r="BI1338" s="166">
        <v>0</v>
      </c>
      <c r="BJ1338" s="166">
        <v>0</v>
      </c>
      <c r="BK1338" s="166">
        <v>0</v>
      </c>
      <c r="BL1338" s="166">
        <v>0</v>
      </c>
      <c r="BM1338" s="166">
        <v>0</v>
      </c>
      <c r="BN1338" s="166">
        <v>0</v>
      </c>
      <c r="BO1338" s="166">
        <v>0</v>
      </c>
      <c r="BP1338" s="166">
        <v>0</v>
      </c>
      <c r="BQ1338" s="81" t="s">
        <v>1757</v>
      </c>
      <c r="BZ1338" s="81" t="s">
        <v>155</v>
      </c>
      <c r="CA1338" s="81">
        <v>10</v>
      </c>
      <c r="CC1338" s="167">
        <v>0</v>
      </c>
      <c r="CD1338" s="167">
        <v>0</v>
      </c>
      <c r="CE1338" s="167">
        <v>0</v>
      </c>
      <c r="CF1338" s="167">
        <v>0</v>
      </c>
      <c r="CG1338" s="167">
        <v>0</v>
      </c>
      <c r="CH1338" s="167">
        <f>$N1338/3</f>
        <v>0.33333333333333331</v>
      </c>
      <c r="CI1338" s="167">
        <f>$N1338/3</f>
        <v>0.33333333333333331</v>
      </c>
      <c r="CJ1338" s="167">
        <f>$N1338/3</f>
        <v>0.33333333333333331</v>
      </c>
      <c r="CK1338" s="167">
        <v>0</v>
      </c>
      <c r="CL1338" s="167">
        <v>0</v>
      </c>
      <c r="CM1338" s="167">
        <v>0</v>
      </c>
      <c r="CN1338" s="167">
        <v>0</v>
      </c>
      <c r="CO1338" s="167">
        <v>0</v>
      </c>
      <c r="CP1338" s="167">
        <v>0</v>
      </c>
      <c r="CQ1338" s="167">
        <v>0</v>
      </c>
      <c r="CR1338" s="167">
        <v>0</v>
      </c>
      <c r="CS1338" s="167">
        <v>0</v>
      </c>
      <c r="CT1338" s="167">
        <v>0</v>
      </c>
      <c r="CU1338" s="167">
        <v>0</v>
      </c>
      <c r="CV1338" s="167">
        <v>0</v>
      </c>
      <c r="CW1338" s="167">
        <v>0</v>
      </c>
      <c r="CX1338" s="167">
        <f>SUM(CD1338:CH1338)</f>
        <v>0.33333333333333331</v>
      </c>
      <c r="CY1338" s="167">
        <f>SUM(CD1338:CM1338)</f>
        <v>1</v>
      </c>
    </row>
    <row r="1339" spans="1:103" ht="12.75" customHeight="1" x14ac:dyDescent="0.2">
      <c r="A1339" s="81">
        <v>6839</v>
      </c>
      <c r="B1339" s="165" t="s">
        <v>1955</v>
      </c>
      <c r="C1339" s="165" t="s">
        <v>2350</v>
      </c>
      <c r="E1339" s="165" t="s">
        <v>2351</v>
      </c>
      <c r="G1339" s="81">
        <v>525097</v>
      </c>
      <c r="H1339" s="81">
        <v>175034</v>
      </c>
      <c r="I1339" s="165" t="s">
        <v>259</v>
      </c>
      <c r="L1339" s="166">
        <v>0</v>
      </c>
      <c r="M1339" s="166">
        <v>5</v>
      </c>
      <c r="N1339" s="166">
        <v>5</v>
      </c>
      <c r="O1339" s="166">
        <v>5</v>
      </c>
      <c r="P1339" s="166">
        <v>5</v>
      </c>
      <c r="R1339" s="165" t="s">
        <v>2352</v>
      </c>
      <c r="S1339" s="81" t="s">
        <v>121</v>
      </c>
      <c r="T1339" s="349">
        <v>43168</v>
      </c>
      <c r="W1339" s="81" t="s">
        <v>114</v>
      </c>
      <c r="Y1339" s="81" t="s">
        <v>115</v>
      </c>
      <c r="Z1339" s="81" t="s">
        <v>116</v>
      </c>
      <c r="AA1339" s="81" t="s">
        <v>117</v>
      </c>
      <c r="AB1339" s="81" t="s">
        <v>218</v>
      </c>
      <c r="AC1339" s="166">
        <v>7.0000002160668399E-3</v>
      </c>
      <c r="AG1339" s="81" t="s">
        <v>238</v>
      </c>
      <c r="AH1339" s="81" t="s">
        <v>118</v>
      </c>
      <c r="AK1339" s="166">
        <v>0</v>
      </c>
      <c r="AL1339" s="166">
        <v>5</v>
      </c>
      <c r="AM1339" s="166">
        <v>0</v>
      </c>
      <c r="AO1339" s="166">
        <v>5</v>
      </c>
      <c r="AP1339" s="166">
        <v>0</v>
      </c>
      <c r="AQ1339" s="166">
        <v>0</v>
      </c>
      <c r="AR1339" s="166">
        <v>0</v>
      </c>
      <c r="AS1339" s="166">
        <v>0</v>
      </c>
      <c r="AT1339" s="166">
        <v>0</v>
      </c>
      <c r="AU1339" s="166">
        <v>0</v>
      </c>
      <c r="AV1339" s="166">
        <v>5</v>
      </c>
      <c r="AW1339" s="166">
        <v>0</v>
      </c>
      <c r="AX1339" s="166">
        <v>0</v>
      </c>
      <c r="AY1339" s="166">
        <v>0</v>
      </c>
      <c r="AZ1339" s="166">
        <v>0</v>
      </c>
      <c r="BA1339" s="166">
        <v>0</v>
      </c>
      <c r="BB1339" s="166">
        <v>0</v>
      </c>
      <c r="BC1339" s="166">
        <v>0</v>
      </c>
      <c r="BD1339" s="166">
        <v>0</v>
      </c>
      <c r="BE1339" s="166">
        <v>0</v>
      </c>
      <c r="BF1339" s="166">
        <v>0</v>
      </c>
      <c r="BG1339" s="166">
        <v>0</v>
      </c>
      <c r="BH1339" s="166">
        <v>0</v>
      </c>
      <c r="BI1339" s="166">
        <v>0</v>
      </c>
      <c r="BJ1339" s="166">
        <v>0</v>
      </c>
      <c r="BK1339" s="166">
        <v>0</v>
      </c>
      <c r="BL1339" s="166">
        <v>0</v>
      </c>
      <c r="BM1339" s="166">
        <v>0</v>
      </c>
      <c r="BN1339" s="166">
        <v>0</v>
      </c>
      <c r="BO1339" s="166">
        <v>0</v>
      </c>
      <c r="BP1339" s="166">
        <v>0</v>
      </c>
      <c r="BQ1339" s="81" t="s">
        <v>1758</v>
      </c>
      <c r="BZ1339" s="81" t="s">
        <v>155</v>
      </c>
      <c r="CA1339" s="81">
        <v>6</v>
      </c>
      <c r="CC1339" s="167">
        <v>0</v>
      </c>
      <c r="CD1339" s="167">
        <v>0</v>
      </c>
      <c r="CE1339" s="167">
        <v>0</v>
      </c>
      <c r="CF1339" s="167">
        <v>0</v>
      </c>
      <c r="CG1339" s="167">
        <v>0</v>
      </c>
      <c r="CH1339" s="167">
        <f>$N1339/3</f>
        <v>1.6666666666666667</v>
      </c>
      <c r="CI1339" s="167">
        <f>$N1339/3</f>
        <v>1.6666666666666667</v>
      </c>
      <c r="CJ1339" s="167">
        <f>$N1339/3</f>
        <v>1.6666666666666667</v>
      </c>
      <c r="CK1339" s="167">
        <v>0</v>
      </c>
      <c r="CL1339" s="167">
        <v>0</v>
      </c>
      <c r="CM1339" s="167">
        <v>0</v>
      </c>
      <c r="CN1339" s="167">
        <v>0</v>
      </c>
      <c r="CO1339" s="167">
        <v>0</v>
      </c>
      <c r="CP1339" s="167">
        <v>0</v>
      </c>
      <c r="CQ1339" s="167">
        <v>0</v>
      </c>
      <c r="CR1339" s="167">
        <v>0</v>
      </c>
      <c r="CS1339" s="167">
        <v>0</v>
      </c>
      <c r="CT1339" s="167">
        <v>0</v>
      </c>
      <c r="CU1339" s="167">
        <v>0</v>
      </c>
      <c r="CV1339" s="167">
        <v>0</v>
      </c>
      <c r="CW1339" s="167">
        <v>0</v>
      </c>
      <c r="CX1339" s="167">
        <f>SUM(CD1339:CH1339)</f>
        <v>1.6666666666666667</v>
      </c>
      <c r="CY1339" s="167">
        <f>SUM(CD1339:CM1339)</f>
        <v>5</v>
      </c>
    </row>
    <row r="1340" spans="1:103" ht="12.75" customHeight="1" x14ac:dyDescent="0.2">
      <c r="A1340" s="81">
        <v>6840</v>
      </c>
      <c r="B1340" s="165" t="s">
        <v>1955</v>
      </c>
      <c r="C1340" s="165" t="s">
        <v>2353</v>
      </c>
      <c r="E1340" s="165" t="s">
        <v>2354</v>
      </c>
      <c r="G1340" s="81">
        <v>527121</v>
      </c>
      <c r="H1340" s="81">
        <v>171520</v>
      </c>
      <c r="I1340" s="165" t="s">
        <v>242</v>
      </c>
      <c r="L1340" s="166">
        <v>1</v>
      </c>
      <c r="M1340" s="166">
        <v>2</v>
      </c>
      <c r="N1340" s="166">
        <v>1</v>
      </c>
      <c r="O1340" s="166">
        <v>2</v>
      </c>
      <c r="P1340" s="166">
        <v>1</v>
      </c>
      <c r="R1340" s="165" t="s">
        <v>2355</v>
      </c>
      <c r="S1340" s="81" t="s">
        <v>126</v>
      </c>
      <c r="T1340" s="349">
        <v>43166</v>
      </c>
      <c r="W1340" s="81" t="s">
        <v>114</v>
      </c>
      <c r="Y1340" s="81" t="s">
        <v>115</v>
      </c>
      <c r="Z1340" s="81" t="s">
        <v>119</v>
      </c>
      <c r="AA1340" s="81" t="s">
        <v>117</v>
      </c>
      <c r="AB1340" s="81" t="s">
        <v>220</v>
      </c>
      <c r="AC1340" s="166">
        <v>1.0999999940395401E-3</v>
      </c>
      <c r="AG1340" s="81" t="s">
        <v>238</v>
      </c>
      <c r="AH1340" s="81" t="s">
        <v>118</v>
      </c>
      <c r="AK1340" s="166">
        <v>0</v>
      </c>
      <c r="AM1340" s="166">
        <v>0</v>
      </c>
      <c r="AO1340" s="166">
        <v>1</v>
      </c>
      <c r="AP1340" s="166">
        <v>0</v>
      </c>
      <c r="AQ1340" s="166">
        <v>0</v>
      </c>
      <c r="AR1340" s="166">
        <v>0</v>
      </c>
      <c r="AS1340" s="166">
        <v>0</v>
      </c>
      <c r="AT1340" s="166">
        <v>0</v>
      </c>
      <c r="AU1340" s="166">
        <v>0</v>
      </c>
      <c r="AV1340" s="166">
        <v>1</v>
      </c>
      <c r="AW1340" s="166">
        <v>0</v>
      </c>
      <c r="AX1340" s="166">
        <v>0</v>
      </c>
      <c r="AY1340" s="166">
        <v>0</v>
      </c>
      <c r="AZ1340" s="166">
        <v>0</v>
      </c>
      <c r="BA1340" s="166">
        <v>0</v>
      </c>
      <c r="BB1340" s="166">
        <v>0</v>
      </c>
      <c r="BC1340" s="166">
        <v>0</v>
      </c>
      <c r="BD1340" s="166">
        <v>0</v>
      </c>
      <c r="BE1340" s="166">
        <v>0</v>
      </c>
      <c r="BF1340" s="166">
        <v>0</v>
      </c>
      <c r="BG1340" s="166">
        <v>0</v>
      </c>
      <c r="BH1340" s="166">
        <v>0</v>
      </c>
      <c r="BI1340" s="166">
        <v>0</v>
      </c>
      <c r="BJ1340" s="166">
        <v>0</v>
      </c>
      <c r="BK1340" s="166">
        <v>0</v>
      </c>
      <c r="BL1340" s="166">
        <v>0</v>
      </c>
      <c r="BM1340" s="166">
        <v>0</v>
      </c>
      <c r="BN1340" s="166">
        <v>0</v>
      </c>
      <c r="BO1340" s="166">
        <v>0</v>
      </c>
      <c r="BP1340" s="166">
        <v>0</v>
      </c>
      <c r="BQ1340" s="81" t="s">
        <v>1757</v>
      </c>
      <c r="BZ1340" s="81" t="s">
        <v>155</v>
      </c>
      <c r="CA1340" s="81">
        <v>10</v>
      </c>
      <c r="CC1340" s="167">
        <v>0</v>
      </c>
      <c r="CD1340" s="167">
        <v>0</v>
      </c>
      <c r="CE1340" s="167">
        <v>0</v>
      </c>
      <c r="CF1340" s="167">
        <v>0</v>
      </c>
      <c r="CG1340" s="167">
        <v>0</v>
      </c>
      <c r="CH1340" s="167">
        <f>$N1340/3</f>
        <v>0.33333333333333331</v>
      </c>
      <c r="CI1340" s="167">
        <f>$N1340/3</f>
        <v>0.33333333333333331</v>
      </c>
      <c r="CJ1340" s="167">
        <f>$N1340/3</f>
        <v>0.33333333333333331</v>
      </c>
      <c r="CK1340" s="167">
        <v>0</v>
      </c>
      <c r="CL1340" s="167">
        <v>0</v>
      </c>
      <c r="CM1340" s="167">
        <v>0</v>
      </c>
      <c r="CN1340" s="167">
        <v>0</v>
      </c>
      <c r="CO1340" s="167">
        <v>0</v>
      </c>
      <c r="CP1340" s="167">
        <v>0</v>
      </c>
      <c r="CQ1340" s="167">
        <v>0</v>
      </c>
      <c r="CR1340" s="167">
        <v>0</v>
      </c>
      <c r="CS1340" s="167">
        <v>0</v>
      </c>
      <c r="CT1340" s="167">
        <v>0</v>
      </c>
      <c r="CU1340" s="167">
        <v>0</v>
      </c>
      <c r="CV1340" s="167">
        <v>0</v>
      </c>
      <c r="CW1340" s="167">
        <v>0</v>
      </c>
      <c r="CX1340" s="167">
        <f>SUM(CD1340:CH1340)</f>
        <v>0.33333333333333331</v>
      </c>
      <c r="CY1340" s="167">
        <f>SUM(CD1340:CM1340)</f>
        <v>1</v>
      </c>
    </row>
    <row r="1341" spans="1:103" ht="12.75" customHeight="1" x14ac:dyDescent="0.2">
      <c r="A1341" s="81">
        <v>6841</v>
      </c>
      <c r="B1341" s="165" t="s">
        <v>1955</v>
      </c>
      <c r="C1341" s="165" t="s">
        <v>2356</v>
      </c>
      <c r="E1341" s="165" t="s">
        <v>2357</v>
      </c>
      <c r="G1341" s="81">
        <v>524290</v>
      </c>
      <c r="H1341" s="81">
        <v>173418</v>
      </c>
      <c r="I1341" s="165" t="s">
        <v>111</v>
      </c>
      <c r="L1341" s="166">
        <v>0</v>
      </c>
      <c r="M1341" s="166">
        <v>9</v>
      </c>
      <c r="N1341" s="166">
        <v>9</v>
      </c>
      <c r="O1341" s="166">
        <v>9</v>
      </c>
      <c r="P1341" s="166">
        <v>9</v>
      </c>
      <c r="R1341" s="165" t="s">
        <v>2358</v>
      </c>
      <c r="S1341" s="81" t="s">
        <v>121</v>
      </c>
      <c r="T1341" s="349">
        <v>43168</v>
      </c>
      <c r="W1341" s="81" t="s">
        <v>114</v>
      </c>
      <c r="Y1341" s="81" t="s">
        <v>115</v>
      </c>
      <c r="Z1341" s="81" t="s">
        <v>116</v>
      </c>
      <c r="AA1341" s="81" t="s">
        <v>117</v>
      </c>
      <c r="AB1341" s="81" t="s">
        <v>218</v>
      </c>
      <c r="AC1341" s="166">
        <v>7.5000002980232197E-2</v>
      </c>
      <c r="AG1341" s="81" t="s">
        <v>154</v>
      </c>
      <c r="AH1341" s="81" t="s">
        <v>38</v>
      </c>
      <c r="AK1341" s="166">
        <v>0</v>
      </c>
      <c r="AM1341" s="166">
        <v>0</v>
      </c>
      <c r="AO1341" s="166">
        <v>0</v>
      </c>
      <c r="AP1341" s="166">
        <v>0</v>
      </c>
      <c r="AQ1341" s="166">
        <v>9</v>
      </c>
      <c r="AR1341" s="166">
        <v>0</v>
      </c>
      <c r="AS1341" s="166">
        <v>0</v>
      </c>
      <c r="AT1341" s="166">
        <v>0</v>
      </c>
      <c r="AU1341" s="166">
        <v>0</v>
      </c>
      <c r="AV1341" s="166">
        <v>0</v>
      </c>
      <c r="AW1341" s="166">
        <v>0</v>
      </c>
      <c r="AX1341" s="166">
        <v>9</v>
      </c>
      <c r="AY1341" s="166">
        <v>0</v>
      </c>
      <c r="AZ1341" s="166">
        <v>0</v>
      </c>
      <c r="BA1341" s="166">
        <v>0</v>
      </c>
      <c r="BB1341" s="166">
        <v>0</v>
      </c>
      <c r="BC1341" s="166">
        <v>0</v>
      </c>
      <c r="BD1341" s="166">
        <v>0</v>
      </c>
      <c r="BE1341" s="166">
        <v>0</v>
      </c>
      <c r="BF1341" s="166">
        <v>0</v>
      </c>
      <c r="BG1341" s="166">
        <v>0</v>
      </c>
      <c r="BH1341" s="166">
        <v>0</v>
      </c>
      <c r="BI1341" s="166">
        <v>0</v>
      </c>
      <c r="BJ1341" s="166">
        <v>0</v>
      </c>
      <c r="BK1341" s="166">
        <v>0</v>
      </c>
      <c r="BL1341" s="166">
        <v>0</v>
      </c>
      <c r="BM1341" s="166">
        <v>0</v>
      </c>
      <c r="BN1341" s="166">
        <v>0</v>
      </c>
      <c r="BO1341" s="166">
        <v>0</v>
      </c>
      <c r="BP1341" s="166">
        <v>0</v>
      </c>
      <c r="BQ1341" s="81" t="s">
        <v>1758</v>
      </c>
      <c r="BZ1341" s="81" t="s">
        <v>155</v>
      </c>
      <c r="CA1341" s="81">
        <v>6</v>
      </c>
      <c r="CC1341" s="167">
        <v>0</v>
      </c>
      <c r="CD1341" s="167">
        <v>0</v>
      </c>
      <c r="CE1341" s="167">
        <v>0</v>
      </c>
      <c r="CF1341" s="167">
        <v>0</v>
      </c>
      <c r="CG1341" s="167">
        <v>0</v>
      </c>
      <c r="CH1341" s="167">
        <f>$N1341/3</f>
        <v>3</v>
      </c>
      <c r="CI1341" s="167">
        <f>$N1341/3</f>
        <v>3</v>
      </c>
      <c r="CJ1341" s="167">
        <f>$N1341/3</f>
        <v>3</v>
      </c>
      <c r="CK1341" s="167">
        <v>0</v>
      </c>
      <c r="CL1341" s="167">
        <v>0</v>
      </c>
      <c r="CM1341" s="167">
        <v>0</v>
      </c>
      <c r="CN1341" s="167">
        <v>0</v>
      </c>
      <c r="CO1341" s="167">
        <v>0</v>
      </c>
      <c r="CP1341" s="167">
        <v>0</v>
      </c>
      <c r="CQ1341" s="167">
        <v>0</v>
      </c>
      <c r="CR1341" s="167">
        <v>0</v>
      </c>
      <c r="CS1341" s="167">
        <v>0</v>
      </c>
      <c r="CT1341" s="167">
        <v>0</v>
      </c>
      <c r="CU1341" s="167">
        <v>0</v>
      </c>
      <c r="CV1341" s="167">
        <v>0</v>
      </c>
      <c r="CW1341" s="167">
        <v>0</v>
      </c>
      <c r="CX1341" s="167">
        <f>SUM(CD1341:CH1341)</f>
        <v>3</v>
      </c>
      <c r="CY1341" s="167">
        <f>SUM(CD1341:CM1341)</f>
        <v>9</v>
      </c>
    </row>
    <row r="1342" spans="1:103" ht="12.75" customHeight="1" x14ac:dyDescent="0.2">
      <c r="A1342" s="81">
        <v>6842</v>
      </c>
      <c r="B1342" s="165" t="s">
        <v>1955</v>
      </c>
      <c r="C1342" s="165" t="s">
        <v>2359</v>
      </c>
      <c r="E1342" s="165" t="s">
        <v>2360</v>
      </c>
      <c r="F1342" s="165" t="s">
        <v>1801</v>
      </c>
      <c r="G1342" s="81">
        <v>528521</v>
      </c>
      <c r="H1342" s="81">
        <v>172221</v>
      </c>
      <c r="I1342" s="165" t="s">
        <v>248</v>
      </c>
      <c r="L1342" s="166">
        <v>0</v>
      </c>
      <c r="M1342" s="166">
        <v>2</v>
      </c>
      <c r="N1342" s="166">
        <v>2</v>
      </c>
      <c r="O1342" s="166">
        <v>6</v>
      </c>
      <c r="P1342" s="166">
        <v>3</v>
      </c>
      <c r="R1342" s="165" t="s">
        <v>2361</v>
      </c>
      <c r="S1342" s="81" t="s">
        <v>121</v>
      </c>
      <c r="T1342" s="349">
        <v>43180</v>
      </c>
      <c r="W1342" s="81" t="s">
        <v>114</v>
      </c>
      <c r="Y1342" s="81" t="s">
        <v>115</v>
      </c>
      <c r="Z1342" s="81" t="s">
        <v>398</v>
      </c>
      <c r="AA1342" s="81" t="s">
        <v>117</v>
      </c>
      <c r="AB1342" s="81" t="s">
        <v>220</v>
      </c>
      <c r="AC1342" s="166">
        <v>9.9999997764825804E-3</v>
      </c>
      <c r="AG1342" s="81" t="s">
        <v>238</v>
      </c>
      <c r="AH1342" s="81" t="s">
        <v>118</v>
      </c>
      <c r="AK1342" s="166">
        <v>0</v>
      </c>
      <c r="AM1342" s="166">
        <v>0</v>
      </c>
      <c r="AO1342" s="166">
        <v>0</v>
      </c>
      <c r="AP1342" s="166">
        <v>0</v>
      </c>
      <c r="AQ1342" s="166">
        <v>2</v>
      </c>
      <c r="AR1342" s="166">
        <v>0</v>
      </c>
      <c r="AS1342" s="166">
        <v>0</v>
      </c>
      <c r="AT1342" s="166">
        <v>0</v>
      </c>
      <c r="AU1342" s="166">
        <v>0</v>
      </c>
      <c r="AV1342" s="166">
        <v>0</v>
      </c>
      <c r="AW1342" s="166">
        <v>0</v>
      </c>
      <c r="AX1342" s="166">
        <v>2</v>
      </c>
      <c r="AY1342" s="166">
        <v>0</v>
      </c>
      <c r="AZ1342" s="166">
        <v>0</v>
      </c>
      <c r="BA1342" s="166">
        <v>0</v>
      </c>
      <c r="BB1342" s="166">
        <v>0</v>
      </c>
      <c r="BC1342" s="166">
        <v>0</v>
      </c>
      <c r="BD1342" s="166">
        <v>0</v>
      </c>
      <c r="BE1342" s="166">
        <v>0</v>
      </c>
      <c r="BF1342" s="166">
        <v>0</v>
      </c>
      <c r="BG1342" s="166">
        <v>0</v>
      </c>
      <c r="BH1342" s="166">
        <v>0</v>
      </c>
      <c r="BI1342" s="166">
        <v>0</v>
      </c>
      <c r="BJ1342" s="166">
        <v>0</v>
      </c>
      <c r="BK1342" s="166">
        <v>0</v>
      </c>
      <c r="BL1342" s="166">
        <v>0</v>
      </c>
      <c r="BM1342" s="166">
        <v>0</v>
      </c>
      <c r="BN1342" s="166">
        <v>0</v>
      </c>
      <c r="BO1342" s="166">
        <v>0</v>
      </c>
      <c r="BP1342" s="166">
        <v>0</v>
      </c>
      <c r="BQ1342" s="81" t="s">
        <v>1757</v>
      </c>
      <c r="BZ1342" s="81" t="s">
        <v>3991</v>
      </c>
      <c r="CA1342" s="81">
        <v>15</v>
      </c>
      <c r="CB1342" s="165" t="s">
        <v>4010</v>
      </c>
      <c r="CC1342" s="167">
        <v>0</v>
      </c>
      <c r="CD1342" s="167">
        <v>0</v>
      </c>
      <c r="CE1342" s="167">
        <v>0</v>
      </c>
      <c r="CF1342" s="167">
        <v>0</v>
      </c>
      <c r="CG1342" s="167">
        <v>0</v>
      </c>
      <c r="CH1342" s="167">
        <v>0</v>
      </c>
      <c r="CI1342" s="167">
        <v>0</v>
      </c>
      <c r="CJ1342" s="167">
        <v>0</v>
      </c>
      <c r="CK1342" s="167">
        <v>0</v>
      </c>
      <c r="CL1342" s="167">
        <v>0</v>
      </c>
      <c r="CM1342" s="167">
        <v>0</v>
      </c>
      <c r="CN1342" s="167">
        <v>0</v>
      </c>
      <c r="CO1342" s="167">
        <v>0</v>
      </c>
      <c r="CP1342" s="167">
        <v>0</v>
      </c>
      <c r="CQ1342" s="167">
        <v>0</v>
      </c>
      <c r="CR1342" s="167">
        <v>0</v>
      </c>
      <c r="CS1342" s="167">
        <v>0</v>
      </c>
      <c r="CT1342" s="167">
        <v>0</v>
      </c>
      <c r="CU1342" s="167">
        <v>0</v>
      </c>
      <c r="CV1342" s="167">
        <v>0</v>
      </c>
      <c r="CW1342" s="167">
        <v>0</v>
      </c>
      <c r="CX1342" s="167">
        <f>SUM(CD1342:CH1342)</f>
        <v>0</v>
      </c>
      <c r="CY1342" s="167">
        <f>SUM(CD1342:CM1342)</f>
        <v>0</v>
      </c>
    </row>
    <row r="1343" spans="1:103" ht="12.75" customHeight="1" x14ac:dyDescent="0.2">
      <c r="A1343" s="81">
        <v>6842</v>
      </c>
      <c r="B1343" s="165" t="s">
        <v>1955</v>
      </c>
      <c r="C1343" s="165" t="s">
        <v>2359</v>
      </c>
      <c r="E1343" s="165" t="s">
        <v>2360</v>
      </c>
      <c r="F1343" s="165" t="s">
        <v>1219</v>
      </c>
      <c r="G1343" s="81">
        <v>528521</v>
      </c>
      <c r="H1343" s="81">
        <v>172221</v>
      </c>
      <c r="I1343" s="165" t="s">
        <v>248</v>
      </c>
      <c r="L1343" s="166">
        <v>3</v>
      </c>
      <c r="M1343" s="166">
        <v>4</v>
      </c>
      <c r="N1343" s="166">
        <v>1</v>
      </c>
      <c r="O1343" s="166">
        <v>6</v>
      </c>
      <c r="P1343" s="166">
        <v>3</v>
      </c>
      <c r="R1343" s="165" t="s">
        <v>2361</v>
      </c>
      <c r="S1343" s="81" t="s">
        <v>121</v>
      </c>
      <c r="T1343" s="349">
        <v>43180</v>
      </c>
      <c r="W1343" s="81" t="s">
        <v>114</v>
      </c>
      <c r="Y1343" s="81" t="s">
        <v>115</v>
      </c>
      <c r="Z1343" s="81" t="s">
        <v>398</v>
      </c>
      <c r="AA1343" s="81" t="s">
        <v>117</v>
      </c>
      <c r="AB1343" s="81" t="s">
        <v>218</v>
      </c>
      <c r="AC1343" s="166">
        <v>1.7999999225139601E-2</v>
      </c>
      <c r="AG1343" s="81" t="s">
        <v>238</v>
      </c>
      <c r="AH1343" s="81" t="s">
        <v>118</v>
      </c>
      <c r="AK1343" s="166">
        <v>0</v>
      </c>
      <c r="AM1343" s="166">
        <v>0</v>
      </c>
      <c r="AO1343" s="166">
        <v>0</v>
      </c>
      <c r="AP1343" s="166">
        <v>3</v>
      </c>
      <c r="AQ1343" s="166">
        <v>-3</v>
      </c>
      <c r="AR1343" s="166">
        <v>1</v>
      </c>
      <c r="AS1343" s="166">
        <v>0</v>
      </c>
      <c r="AT1343" s="166">
        <v>0</v>
      </c>
      <c r="AU1343" s="166">
        <v>0</v>
      </c>
      <c r="AV1343" s="166">
        <v>0</v>
      </c>
      <c r="AW1343" s="166">
        <v>3</v>
      </c>
      <c r="AX1343" s="166">
        <v>-3</v>
      </c>
      <c r="AY1343" s="166">
        <v>1</v>
      </c>
      <c r="AZ1343" s="166">
        <v>0</v>
      </c>
      <c r="BA1343" s="166">
        <v>0</v>
      </c>
      <c r="BB1343" s="166">
        <v>0</v>
      </c>
      <c r="BC1343" s="166">
        <v>0</v>
      </c>
      <c r="BD1343" s="166">
        <v>0</v>
      </c>
      <c r="BE1343" s="166">
        <v>0</v>
      </c>
      <c r="BF1343" s="166">
        <v>0</v>
      </c>
      <c r="BG1343" s="166">
        <v>0</v>
      </c>
      <c r="BH1343" s="166">
        <v>0</v>
      </c>
      <c r="BI1343" s="166">
        <v>0</v>
      </c>
      <c r="BJ1343" s="166">
        <v>0</v>
      </c>
      <c r="BK1343" s="166">
        <v>0</v>
      </c>
      <c r="BL1343" s="166">
        <v>0</v>
      </c>
      <c r="BM1343" s="166">
        <v>0</v>
      </c>
      <c r="BN1343" s="166">
        <v>0</v>
      </c>
      <c r="BO1343" s="166">
        <v>0</v>
      </c>
      <c r="BP1343" s="166">
        <v>0</v>
      </c>
      <c r="BQ1343" s="81" t="s">
        <v>1757</v>
      </c>
      <c r="BZ1343" s="81" t="s">
        <v>3991</v>
      </c>
      <c r="CA1343" s="81">
        <v>15</v>
      </c>
      <c r="CB1343" s="165" t="s">
        <v>4010</v>
      </c>
      <c r="CC1343" s="167">
        <v>0</v>
      </c>
      <c r="CD1343" s="167">
        <v>0</v>
      </c>
      <c r="CE1343" s="167">
        <v>0</v>
      </c>
      <c r="CF1343" s="167">
        <v>0</v>
      </c>
      <c r="CG1343" s="167">
        <v>0</v>
      </c>
      <c r="CH1343" s="167">
        <v>0</v>
      </c>
      <c r="CI1343" s="167">
        <v>0</v>
      </c>
      <c r="CJ1343" s="167">
        <v>0</v>
      </c>
      <c r="CK1343" s="167">
        <v>0</v>
      </c>
      <c r="CL1343" s="167">
        <v>0</v>
      </c>
      <c r="CM1343" s="167">
        <v>0</v>
      </c>
      <c r="CN1343" s="167">
        <v>0</v>
      </c>
      <c r="CO1343" s="167">
        <v>0</v>
      </c>
      <c r="CP1343" s="167">
        <v>0</v>
      </c>
      <c r="CQ1343" s="167">
        <v>0</v>
      </c>
      <c r="CR1343" s="167">
        <v>0</v>
      </c>
      <c r="CS1343" s="167">
        <v>0</v>
      </c>
      <c r="CT1343" s="167">
        <v>0</v>
      </c>
      <c r="CU1343" s="167">
        <v>0</v>
      </c>
      <c r="CV1343" s="167">
        <v>0</v>
      </c>
      <c r="CW1343" s="167">
        <v>0</v>
      </c>
      <c r="CX1343" s="167">
        <f>SUM(CD1343:CH1343)</f>
        <v>0</v>
      </c>
      <c r="CY1343" s="167">
        <f>SUM(CD1343:CM1343)</f>
        <v>0</v>
      </c>
    </row>
    <row r="1344" spans="1:103" ht="12.75" customHeight="1" x14ac:dyDescent="0.2">
      <c r="A1344" s="81">
        <v>6842</v>
      </c>
      <c r="B1344" s="165" t="s">
        <v>1955</v>
      </c>
      <c r="C1344" s="165" t="s">
        <v>2362</v>
      </c>
      <c r="E1344" s="165" t="s">
        <v>2360</v>
      </c>
      <c r="F1344" s="165" t="s">
        <v>2363</v>
      </c>
      <c r="G1344" s="81">
        <v>528521</v>
      </c>
      <c r="H1344" s="81">
        <v>172221</v>
      </c>
      <c r="I1344" s="165" t="s">
        <v>248</v>
      </c>
      <c r="L1344" s="166">
        <v>3</v>
      </c>
      <c r="M1344" s="166">
        <v>2</v>
      </c>
      <c r="N1344" s="166">
        <v>-1</v>
      </c>
      <c r="O1344" s="166">
        <v>6</v>
      </c>
      <c r="P1344" s="166">
        <v>3</v>
      </c>
      <c r="R1344" s="165" t="s">
        <v>2364</v>
      </c>
      <c r="S1344" s="81" t="s">
        <v>121</v>
      </c>
      <c r="T1344" s="349">
        <v>43174</v>
      </c>
      <c r="W1344" s="81" t="s">
        <v>114</v>
      </c>
      <c r="Y1344" s="81" t="s">
        <v>115</v>
      </c>
      <c r="Z1344" s="81" t="s">
        <v>398</v>
      </c>
      <c r="AA1344" s="81" t="s">
        <v>117</v>
      </c>
      <c r="AB1344" s="81" t="s">
        <v>220</v>
      </c>
      <c r="AC1344" s="166">
        <v>1.09999999403954E-2</v>
      </c>
      <c r="AG1344" s="81" t="s">
        <v>238</v>
      </c>
      <c r="AH1344" s="81" t="s">
        <v>118</v>
      </c>
      <c r="AK1344" s="166">
        <v>0</v>
      </c>
      <c r="AM1344" s="166">
        <v>0</v>
      </c>
      <c r="AO1344" s="166">
        <v>0</v>
      </c>
      <c r="AP1344" s="166">
        <v>0</v>
      </c>
      <c r="AQ1344" s="166">
        <v>-1</v>
      </c>
      <c r="AR1344" s="166">
        <v>0</v>
      </c>
      <c r="AS1344" s="166">
        <v>0</v>
      </c>
      <c r="AT1344" s="166">
        <v>0</v>
      </c>
      <c r="AU1344" s="166">
        <v>0</v>
      </c>
      <c r="AV1344" s="166">
        <v>0</v>
      </c>
      <c r="AW1344" s="166">
        <v>0</v>
      </c>
      <c r="AX1344" s="166">
        <v>-1</v>
      </c>
      <c r="AY1344" s="166">
        <v>0</v>
      </c>
      <c r="AZ1344" s="166">
        <v>0</v>
      </c>
      <c r="BA1344" s="166">
        <v>0</v>
      </c>
      <c r="BB1344" s="166">
        <v>0</v>
      </c>
      <c r="BC1344" s="166">
        <v>0</v>
      </c>
      <c r="BD1344" s="166">
        <v>0</v>
      </c>
      <c r="BE1344" s="166">
        <v>0</v>
      </c>
      <c r="BF1344" s="166">
        <v>0</v>
      </c>
      <c r="BG1344" s="166">
        <v>0</v>
      </c>
      <c r="BH1344" s="166">
        <v>0</v>
      </c>
      <c r="BI1344" s="166">
        <v>0</v>
      </c>
      <c r="BJ1344" s="166">
        <v>0</v>
      </c>
      <c r="BK1344" s="166">
        <v>0</v>
      </c>
      <c r="BL1344" s="166">
        <v>0</v>
      </c>
      <c r="BM1344" s="166">
        <v>0</v>
      </c>
      <c r="BN1344" s="166">
        <v>0</v>
      </c>
      <c r="BO1344" s="166">
        <v>0</v>
      </c>
      <c r="BP1344" s="166">
        <v>0</v>
      </c>
      <c r="BQ1344" s="81" t="s">
        <v>1757</v>
      </c>
      <c r="BZ1344" s="81" t="s">
        <v>155</v>
      </c>
      <c r="CA1344" s="81">
        <v>10</v>
      </c>
      <c r="CC1344" s="167">
        <v>0</v>
      </c>
      <c r="CD1344" s="167">
        <v>0</v>
      </c>
      <c r="CE1344" s="167">
        <v>0</v>
      </c>
      <c r="CF1344" s="167">
        <v>0</v>
      </c>
      <c r="CG1344" s="167">
        <v>0</v>
      </c>
      <c r="CH1344" s="167">
        <f>$N1344/3</f>
        <v>-0.33333333333333331</v>
      </c>
      <c r="CI1344" s="167">
        <f>$N1344/3</f>
        <v>-0.33333333333333331</v>
      </c>
      <c r="CJ1344" s="167">
        <f>$N1344/3</f>
        <v>-0.33333333333333331</v>
      </c>
      <c r="CK1344" s="167">
        <v>0</v>
      </c>
      <c r="CL1344" s="167">
        <v>0</v>
      </c>
      <c r="CM1344" s="167">
        <v>0</v>
      </c>
      <c r="CN1344" s="167">
        <v>0</v>
      </c>
      <c r="CO1344" s="167">
        <v>0</v>
      </c>
      <c r="CP1344" s="167">
        <v>0</v>
      </c>
      <c r="CQ1344" s="167">
        <v>0</v>
      </c>
      <c r="CR1344" s="167">
        <v>0</v>
      </c>
      <c r="CS1344" s="167">
        <v>0</v>
      </c>
      <c r="CT1344" s="167">
        <v>0</v>
      </c>
      <c r="CU1344" s="167">
        <v>0</v>
      </c>
      <c r="CV1344" s="167">
        <v>0</v>
      </c>
      <c r="CW1344" s="167">
        <v>0</v>
      </c>
      <c r="CX1344" s="167">
        <f>SUM(CD1344:CH1344)</f>
        <v>-0.33333333333333331</v>
      </c>
      <c r="CY1344" s="167">
        <f>SUM(CD1344:CM1344)</f>
        <v>-1</v>
      </c>
    </row>
    <row r="1345" spans="1:103" ht="12.75" customHeight="1" x14ac:dyDescent="0.2">
      <c r="A1345" s="81">
        <v>6842</v>
      </c>
      <c r="B1345" s="165" t="s">
        <v>1955</v>
      </c>
      <c r="C1345" s="165" t="s">
        <v>2362</v>
      </c>
      <c r="E1345" s="165" t="s">
        <v>2360</v>
      </c>
      <c r="F1345" s="165" t="s">
        <v>2365</v>
      </c>
      <c r="G1345" s="81">
        <v>528521</v>
      </c>
      <c r="H1345" s="81">
        <v>172221</v>
      </c>
      <c r="I1345" s="165" t="s">
        <v>248</v>
      </c>
      <c r="L1345" s="166">
        <v>0</v>
      </c>
      <c r="M1345" s="166">
        <v>4</v>
      </c>
      <c r="N1345" s="166">
        <v>4</v>
      </c>
      <c r="O1345" s="166">
        <v>6</v>
      </c>
      <c r="P1345" s="166">
        <v>3</v>
      </c>
      <c r="R1345" s="165" t="s">
        <v>2364</v>
      </c>
      <c r="S1345" s="81" t="s">
        <v>121</v>
      </c>
      <c r="T1345" s="349">
        <v>43174</v>
      </c>
      <c r="W1345" s="81" t="s">
        <v>114</v>
      </c>
      <c r="Y1345" s="81" t="s">
        <v>115</v>
      </c>
      <c r="Z1345" s="81" t="s">
        <v>398</v>
      </c>
      <c r="AA1345" s="81" t="s">
        <v>117</v>
      </c>
      <c r="AB1345" s="81" t="s">
        <v>218</v>
      </c>
      <c r="AC1345" s="166">
        <v>1.7000000923872001E-2</v>
      </c>
      <c r="AG1345" s="81" t="s">
        <v>238</v>
      </c>
      <c r="AH1345" s="81" t="s">
        <v>118</v>
      </c>
      <c r="AK1345" s="166">
        <v>0</v>
      </c>
      <c r="AM1345" s="166">
        <v>0</v>
      </c>
      <c r="AO1345" s="166">
        <v>0</v>
      </c>
      <c r="AP1345" s="166">
        <v>3</v>
      </c>
      <c r="AQ1345" s="166">
        <v>0</v>
      </c>
      <c r="AR1345" s="166">
        <v>1</v>
      </c>
      <c r="AS1345" s="166">
        <v>0</v>
      </c>
      <c r="AT1345" s="166">
        <v>0</v>
      </c>
      <c r="AU1345" s="166">
        <v>0</v>
      </c>
      <c r="AV1345" s="166">
        <v>0</v>
      </c>
      <c r="AW1345" s="166">
        <v>3</v>
      </c>
      <c r="AX1345" s="166">
        <v>0</v>
      </c>
      <c r="AY1345" s="166">
        <v>1</v>
      </c>
      <c r="AZ1345" s="166">
        <v>0</v>
      </c>
      <c r="BA1345" s="166">
        <v>0</v>
      </c>
      <c r="BB1345" s="166">
        <v>0</v>
      </c>
      <c r="BC1345" s="166">
        <v>0</v>
      </c>
      <c r="BD1345" s="166">
        <v>0</v>
      </c>
      <c r="BE1345" s="166">
        <v>0</v>
      </c>
      <c r="BF1345" s="166">
        <v>0</v>
      </c>
      <c r="BG1345" s="166">
        <v>0</v>
      </c>
      <c r="BH1345" s="166">
        <v>0</v>
      </c>
      <c r="BI1345" s="166">
        <v>0</v>
      </c>
      <c r="BJ1345" s="166">
        <v>0</v>
      </c>
      <c r="BK1345" s="166">
        <v>0</v>
      </c>
      <c r="BL1345" s="166">
        <v>0</v>
      </c>
      <c r="BM1345" s="166">
        <v>0</v>
      </c>
      <c r="BN1345" s="166">
        <v>0</v>
      </c>
      <c r="BO1345" s="166">
        <v>0</v>
      </c>
      <c r="BP1345" s="166">
        <v>0</v>
      </c>
      <c r="BQ1345" s="81" t="s">
        <v>1757</v>
      </c>
      <c r="BZ1345" s="81" t="s">
        <v>155</v>
      </c>
      <c r="CA1345" s="81">
        <v>10</v>
      </c>
      <c r="CC1345" s="167">
        <v>0</v>
      </c>
      <c r="CD1345" s="167">
        <v>0</v>
      </c>
      <c r="CE1345" s="167">
        <v>0</v>
      </c>
      <c r="CF1345" s="167">
        <v>0</v>
      </c>
      <c r="CG1345" s="167">
        <v>0</v>
      </c>
      <c r="CH1345" s="167">
        <f>$N1345/3</f>
        <v>1.3333333333333333</v>
      </c>
      <c r="CI1345" s="167">
        <f>$N1345/3</f>
        <v>1.3333333333333333</v>
      </c>
      <c r="CJ1345" s="167">
        <f>$N1345/3</f>
        <v>1.3333333333333333</v>
      </c>
      <c r="CK1345" s="167">
        <v>0</v>
      </c>
      <c r="CL1345" s="167">
        <v>0</v>
      </c>
      <c r="CM1345" s="167">
        <v>0</v>
      </c>
      <c r="CN1345" s="167">
        <v>0</v>
      </c>
      <c r="CO1345" s="167">
        <v>0</v>
      </c>
      <c r="CP1345" s="167">
        <v>0</v>
      </c>
      <c r="CQ1345" s="167">
        <v>0</v>
      </c>
      <c r="CR1345" s="167">
        <v>0</v>
      </c>
      <c r="CS1345" s="167">
        <v>0</v>
      </c>
      <c r="CT1345" s="167">
        <v>0</v>
      </c>
      <c r="CU1345" s="167">
        <v>0</v>
      </c>
      <c r="CV1345" s="167">
        <v>0</v>
      </c>
      <c r="CW1345" s="167">
        <v>0</v>
      </c>
      <c r="CX1345" s="167">
        <f>SUM(CD1345:CH1345)</f>
        <v>1.3333333333333333</v>
      </c>
      <c r="CY1345" s="167">
        <f>SUM(CD1345:CM1345)</f>
        <v>4</v>
      </c>
    </row>
    <row r="1346" spans="1:103" ht="12.75" customHeight="1" x14ac:dyDescent="0.2">
      <c r="A1346" s="81">
        <v>6844</v>
      </c>
      <c r="B1346" s="165" t="s">
        <v>1955</v>
      </c>
      <c r="C1346" s="165" t="s">
        <v>2366</v>
      </c>
      <c r="E1346" s="165" t="s">
        <v>2367</v>
      </c>
      <c r="G1346" s="81">
        <v>529391</v>
      </c>
      <c r="H1346" s="81">
        <v>170726</v>
      </c>
      <c r="I1346" s="165" t="s">
        <v>252</v>
      </c>
      <c r="L1346" s="166">
        <v>0</v>
      </c>
      <c r="M1346" s="166">
        <v>1</v>
      </c>
      <c r="N1346" s="166">
        <v>1</v>
      </c>
      <c r="O1346" s="166">
        <v>1</v>
      </c>
      <c r="P1346" s="166">
        <v>1</v>
      </c>
      <c r="R1346" s="165" t="s">
        <v>2368</v>
      </c>
      <c r="S1346" s="81" t="s">
        <v>121</v>
      </c>
      <c r="T1346" s="349">
        <v>43174</v>
      </c>
      <c r="W1346" s="81" t="s">
        <v>114</v>
      </c>
      <c r="Y1346" s="81" t="s">
        <v>115</v>
      </c>
      <c r="Z1346" s="81" t="s">
        <v>310</v>
      </c>
      <c r="AA1346" s="81" t="s">
        <v>117</v>
      </c>
      <c r="AB1346" s="81" t="s">
        <v>102</v>
      </c>
      <c r="AC1346" s="166">
        <v>4.9999998882412902E-3</v>
      </c>
      <c r="AG1346" s="81" t="s">
        <v>238</v>
      </c>
      <c r="AH1346" s="81" t="s">
        <v>118</v>
      </c>
      <c r="AK1346" s="166">
        <v>0</v>
      </c>
      <c r="AM1346" s="166">
        <v>0</v>
      </c>
      <c r="AO1346" s="166">
        <v>0</v>
      </c>
      <c r="AP1346" s="166">
        <v>1</v>
      </c>
      <c r="AQ1346" s="166">
        <v>0</v>
      </c>
      <c r="AR1346" s="166">
        <v>0</v>
      </c>
      <c r="AS1346" s="166">
        <v>0</v>
      </c>
      <c r="AT1346" s="166">
        <v>0</v>
      </c>
      <c r="AU1346" s="166">
        <v>0</v>
      </c>
      <c r="AV1346" s="166">
        <v>0</v>
      </c>
      <c r="AW1346" s="166">
        <v>1</v>
      </c>
      <c r="AX1346" s="166">
        <v>0</v>
      </c>
      <c r="AY1346" s="166">
        <v>0</v>
      </c>
      <c r="AZ1346" s="166">
        <v>0</v>
      </c>
      <c r="BA1346" s="166">
        <v>0</v>
      </c>
      <c r="BB1346" s="166">
        <v>0</v>
      </c>
      <c r="BC1346" s="166">
        <v>0</v>
      </c>
      <c r="BD1346" s="166">
        <v>0</v>
      </c>
      <c r="BE1346" s="166">
        <v>0</v>
      </c>
      <c r="BF1346" s="166">
        <v>0</v>
      </c>
      <c r="BG1346" s="166">
        <v>0</v>
      </c>
      <c r="BH1346" s="166">
        <v>0</v>
      </c>
      <c r="BI1346" s="166">
        <v>0</v>
      </c>
      <c r="BJ1346" s="166">
        <v>0</v>
      </c>
      <c r="BK1346" s="166">
        <v>0</v>
      </c>
      <c r="BL1346" s="166">
        <v>0</v>
      </c>
      <c r="BM1346" s="166">
        <v>0</v>
      </c>
      <c r="BN1346" s="166">
        <v>0</v>
      </c>
      <c r="BO1346" s="166">
        <v>0</v>
      </c>
      <c r="BP1346" s="166">
        <v>0</v>
      </c>
      <c r="BQ1346" s="81" t="s">
        <v>1757</v>
      </c>
      <c r="BZ1346" s="81" t="s">
        <v>155</v>
      </c>
      <c r="CA1346" s="81">
        <v>10</v>
      </c>
      <c r="CC1346" s="167">
        <v>0</v>
      </c>
      <c r="CD1346" s="167">
        <v>0</v>
      </c>
      <c r="CE1346" s="167">
        <v>0</v>
      </c>
      <c r="CF1346" s="167">
        <v>0</v>
      </c>
      <c r="CG1346" s="167">
        <v>0</v>
      </c>
      <c r="CH1346" s="167">
        <f>$N1346/3</f>
        <v>0.33333333333333331</v>
      </c>
      <c r="CI1346" s="167">
        <f>$N1346/3</f>
        <v>0.33333333333333331</v>
      </c>
      <c r="CJ1346" s="167">
        <f>$N1346/3</f>
        <v>0.33333333333333331</v>
      </c>
      <c r="CK1346" s="167">
        <v>0</v>
      </c>
      <c r="CL1346" s="167">
        <v>0</v>
      </c>
      <c r="CM1346" s="167">
        <v>0</v>
      </c>
      <c r="CN1346" s="167">
        <v>0</v>
      </c>
      <c r="CO1346" s="167">
        <v>0</v>
      </c>
      <c r="CP1346" s="167">
        <v>0</v>
      </c>
      <c r="CQ1346" s="167">
        <v>0</v>
      </c>
      <c r="CR1346" s="167">
        <v>0</v>
      </c>
      <c r="CS1346" s="167">
        <v>0</v>
      </c>
      <c r="CT1346" s="167">
        <v>0</v>
      </c>
      <c r="CU1346" s="167">
        <v>0</v>
      </c>
      <c r="CV1346" s="167">
        <v>0</v>
      </c>
      <c r="CW1346" s="167">
        <v>0</v>
      </c>
      <c r="CX1346" s="167">
        <f>SUM(CD1346:CH1346)</f>
        <v>0.33333333333333331</v>
      </c>
      <c r="CY1346" s="167">
        <f>SUM(CD1346:CM1346)</f>
        <v>1</v>
      </c>
    </row>
    <row r="1347" spans="1:103" ht="12.75" customHeight="1" x14ac:dyDescent="0.2">
      <c r="A1347" s="81">
        <v>6846</v>
      </c>
      <c r="B1347" s="165" t="s">
        <v>1955</v>
      </c>
      <c r="C1347" s="165" t="s">
        <v>2369</v>
      </c>
      <c r="E1347" s="165" t="s">
        <v>2370</v>
      </c>
      <c r="G1347" s="81">
        <v>527474</v>
      </c>
      <c r="H1347" s="81">
        <v>174921</v>
      </c>
      <c r="I1347" s="165" t="s">
        <v>255</v>
      </c>
      <c r="L1347" s="166">
        <v>0</v>
      </c>
      <c r="M1347" s="166">
        <v>1</v>
      </c>
      <c r="N1347" s="166">
        <v>1</v>
      </c>
      <c r="O1347" s="166">
        <v>1</v>
      </c>
      <c r="P1347" s="166">
        <v>1</v>
      </c>
      <c r="R1347" s="165" t="s">
        <v>2371</v>
      </c>
      <c r="S1347" s="81" t="s">
        <v>121</v>
      </c>
      <c r="T1347" s="349">
        <v>43174</v>
      </c>
      <c r="W1347" s="81" t="s">
        <v>114</v>
      </c>
      <c r="Y1347" s="81" t="s">
        <v>115</v>
      </c>
      <c r="Z1347" s="81" t="s">
        <v>219</v>
      </c>
      <c r="AA1347" s="81" t="s">
        <v>117</v>
      </c>
      <c r="AB1347" s="81" t="s">
        <v>3889</v>
      </c>
      <c r="AC1347" s="166">
        <v>4.0000001899898104E-3</v>
      </c>
      <c r="AG1347" s="81" t="s">
        <v>238</v>
      </c>
      <c r="AH1347" s="81" t="s">
        <v>118</v>
      </c>
      <c r="AK1347" s="166">
        <v>0</v>
      </c>
      <c r="AM1347" s="166">
        <v>0</v>
      </c>
      <c r="AO1347" s="166">
        <v>0</v>
      </c>
      <c r="AP1347" s="166">
        <v>0</v>
      </c>
      <c r="AQ1347" s="166">
        <v>1</v>
      </c>
      <c r="AR1347" s="166">
        <v>0</v>
      </c>
      <c r="AS1347" s="166">
        <v>0</v>
      </c>
      <c r="AT1347" s="166">
        <v>0</v>
      </c>
      <c r="AU1347" s="166">
        <v>0</v>
      </c>
      <c r="AV1347" s="166">
        <v>0</v>
      </c>
      <c r="AW1347" s="166">
        <v>0</v>
      </c>
      <c r="AX1347" s="166">
        <v>1</v>
      </c>
      <c r="AY1347" s="166">
        <v>0</v>
      </c>
      <c r="AZ1347" s="166">
        <v>0</v>
      </c>
      <c r="BA1347" s="166">
        <v>0</v>
      </c>
      <c r="BB1347" s="166">
        <v>0</v>
      </c>
      <c r="BC1347" s="166">
        <v>0</v>
      </c>
      <c r="BD1347" s="166">
        <v>0</v>
      </c>
      <c r="BE1347" s="166">
        <v>0</v>
      </c>
      <c r="BF1347" s="166">
        <v>0</v>
      </c>
      <c r="BG1347" s="166">
        <v>0</v>
      </c>
      <c r="BH1347" s="166">
        <v>0</v>
      </c>
      <c r="BI1347" s="166">
        <v>0</v>
      </c>
      <c r="BJ1347" s="166">
        <v>0</v>
      </c>
      <c r="BK1347" s="166">
        <v>0</v>
      </c>
      <c r="BL1347" s="166">
        <v>0</v>
      </c>
      <c r="BM1347" s="166">
        <v>0</v>
      </c>
      <c r="BN1347" s="166">
        <v>0</v>
      </c>
      <c r="BO1347" s="166">
        <v>0</v>
      </c>
      <c r="BP1347" s="166">
        <v>0</v>
      </c>
      <c r="BQ1347" s="81" t="s">
        <v>1757</v>
      </c>
      <c r="BR1347" s="81" t="s">
        <v>160</v>
      </c>
      <c r="BZ1347" s="81" t="s">
        <v>3991</v>
      </c>
      <c r="CA1347" s="81">
        <v>15</v>
      </c>
      <c r="CB1347" s="165" t="s">
        <v>4011</v>
      </c>
      <c r="CC1347" s="167">
        <v>0</v>
      </c>
      <c r="CD1347" s="167">
        <v>0</v>
      </c>
      <c r="CE1347" s="167">
        <v>0</v>
      </c>
      <c r="CF1347" s="167">
        <v>0</v>
      </c>
      <c r="CG1347" s="167">
        <v>0</v>
      </c>
      <c r="CH1347" s="167">
        <v>0</v>
      </c>
      <c r="CI1347" s="167">
        <v>0</v>
      </c>
      <c r="CJ1347" s="167">
        <v>0</v>
      </c>
      <c r="CK1347" s="167">
        <v>0</v>
      </c>
      <c r="CL1347" s="167">
        <v>0</v>
      </c>
      <c r="CM1347" s="167">
        <v>0</v>
      </c>
      <c r="CN1347" s="167">
        <v>0</v>
      </c>
      <c r="CO1347" s="167">
        <v>0</v>
      </c>
      <c r="CP1347" s="167">
        <v>0</v>
      </c>
      <c r="CQ1347" s="167">
        <v>0</v>
      </c>
      <c r="CR1347" s="167">
        <v>0</v>
      </c>
      <c r="CS1347" s="167">
        <v>0</v>
      </c>
      <c r="CT1347" s="167">
        <v>0</v>
      </c>
      <c r="CU1347" s="167">
        <v>0</v>
      </c>
      <c r="CV1347" s="167">
        <v>0</v>
      </c>
      <c r="CW1347" s="167">
        <v>0</v>
      </c>
      <c r="CX1347" s="167">
        <f>SUM(CD1347:CH1347)</f>
        <v>0</v>
      </c>
      <c r="CY1347" s="167">
        <f>SUM(CD1347:CM1347)</f>
        <v>0</v>
      </c>
    </row>
    <row r="1348" spans="1:103" ht="12.75" customHeight="1" x14ac:dyDescent="0.2">
      <c r="A1348" s="81">
        <v>6847</v>
      </c>
      <c r="B1348" s="165" t="s">
        <v>1955</v>
      </c>
      <c r="C1348" s="165" t="s">
        <v>3482</v>
      </c>
      <c r="E1348" s="165" t="s">
        <v>3483</v>
      </c>
      <c r="G1348" s="81">
        <v>527092</v>
      </c>
      <c r="H1348" s="81">
        <v>177253</v>
      </c>
      <c r="I1348" s="165" t="s">
        <v>257</v>
      </c>
      <c r="L1348" s="166">
        <v>0</v>
      </c>
      <c r="M1348" s="166">
        <v>27</v>
      </c>
      <c r="N1348" s="166">
        <v>27</v>
      </c>
      <c r="O1348" s="166">
        <v>27</v>
      </c>
      <c r="P1348" s="166">
        <v>27</v>
      </c>
      <c r="Q1348" s="81" t="s">
        <v>155</v>
      </c>
      <c r="R1348" s="165" t="s">
        <v>3484</v>
      </c>
      <c r="S1348" s="81" t="s">
        <v>802</v>
      </c>
      <c r="T1348" s="349">
        <v>43174</v>
      </c>
      <c r="W1348" s="81" t="s">
        <v>114</v>
      </c>
      <c r="Y1348" s="81" t="s">
        <v>115</v>
      </c>
      <c r="Z1348" s="81" t="s">
        <v>310</v>
      </c>
      <c r="AA1348" s="81" t="s">
        <v>1764</v>
      </c>
      <c r="AB1348" s="81" t="s">
        <v>117</v>
      </c>
      <c r="AC1348" s="166">
        <v>0.108999997377396</v>
      </c>
      <c r="AG1348" s="81" t="s">
        <v>238</v>
      </c>
      <c r="AH1348" s="81" t="s">
        <v>118</v>
      </c>
      <c r="AK1348" s="166">
        <v>0</v>
      </c>
      <c r="AM1348" s="166">
        <v>0</v>
      </c>
      <c r="AO1348" s="166">
        <v>0</v>
      </c>
      <c r="AP1348" s="166">
        <v>12</v>
      </c>
      <c r="AQ1348" s="166">
        <v>13</v>
      </c>
      <c r="AR1348" s="166">
        <v>1</v>
      </c>
      <c r="AS1348" s="166">
        <v>1</v>
      </c>
      <c r="AT1348" s="166">
        <v>0</v>
      </c>
      <c r="AU1348" s="166">
        <v>0</v>
      </c>
      <c r="AV1348" s="166">
        <v>0</v>
      </c>
      <c r="AW1348" s="166">
        <v>12</v>
      </c>
      <c r="AX1348" s="166">
        <v>13</v>
      </c>
      <c r="AY1348" s="166">
        <v>1</v>
      </c>
      <c r="AZ1348" s="166">
        <v>1</v>
      </c>
      <c r="BA1348" s="166">
        <v>0</v>
      </c>
      <c r="BB1348" s="166">
        <v>0</v>
      </c>
      <c r="BC1348" s="166">
        <v>0</v>
      </c>
      <c r="BD1348" s="166">
        <v>0</v>
      </c>
      <c r="BE1348" s="166">
        <v>0</v>
      </c>
      <c r="BF1348" s="166">
        <v>0</v>
      </c>
      <c r="BG1348" s="166">
        <v>0</v>
      </c>
      <c r="BH1348" s="166">
        <v>0</v>
      </c>
      <c r="BI1348" s="166">
        <v>0</v>
      </c>
      <c r="BJ1348" s="166">
        <v>0</v>
      </c>
      <c r="BK1348" s="166">
        <v>0</v>
      </c>
      <c r="BL1348" s="166">
        <v>0</v>
      </c>
      <c r="BM1348" s="166">
        <v>0</v>
      </c>
      <c r="BN1348" s="166">
        <v>0</v>
      </c>
      <c r="BO1348" s="166">
        <v>0</v>
      </c>
      <c r="BP1348" s="166">
        <v>0</v>
      </c>
      <c r="BQ1348" s="81" t="s">
        <v>1757</v>
      </c>
      <c r="BX1348" s="81" t="s">
        <v>155</v>
      </c>
      <c r="BZ1348" s="81" t="s">
        <v>3991</v>
      </c>
      <c r="CA1348" s="81">
        <v>15</v>
      </c>
      <c r="CB1348" s="165" t="s">
        <v>4012</v>
      </c>
      <c r="CC1348" s="167">
        <v>0</v>
      </c>
      <c r="CD1348" s="167">
        <v>0</v>
      </c>
      <c r="CE1348" s="167">
        <v>0</v>
      </c>
      <c r="CF1348" s="167">
        <v>0</v>
      </c>
      <c r="CG1348" s="167">
        <v>0</v>
      </c>
      <c r="CH1348" s="167">
        <v>0</v>
      </c>
      <c r="CI1348" s="167">
        <v>0</v>
      </c>
      <c r="CJ1348" s="167">
        <v>0</v>
      </c>
      <c r="CK1348" s="167">
        <v>0</v>
      </c>
      <c r="CL1348" s="167">
        <v>0</v>
      </c>
      <c r="CM1348" s="167">
        <v>0</v>
      </c>
      <c r="CN1348" s="167">
        <v>0</v>
      </c>
      <c r="CO1348" s="167">
        <v>0</v>
      </c>
      <c r="CP1348" s="167">
        <v>0</v>
      </c>
      <c r="CQ1348" s="167">
        <v>0</v>
      </c>
      <c r="CR1348" s="167">
        <v>0</v>
      </c>
      <c r="CS1348" s="167">
        <v>0</v>
      </c>
      <c r="CT1348" s="167">
        <v>0</v>
      </c>
      <c r="CU1348" s="167">
        <v>0</v>
      </c>
      <c r="CV1348" s="167">
        <v>0</v>
      </c>
      <c r="CW1348" s="167">
        <v>0</v>
      </c>
      <c r="CX1348" s="167">
        <f>SUM(CD1348:CH1348)</f>
        <v>0</v>
      </c>
      <c r="CY1348" s="167">
        <f>SUM(CD1348:CM1348)</f>
        <v>0</v>
      </c>
    </row>
    <row r="1349" spans="1:103" ht="12.75" customHeight="1" x14ac:dyDescent="0.2">
      <c r="A1349" s="81">
        <v>6847</v>
      </c>
      <c r="B1349" s="165" t="s">
        <v>1955</v>
      </c>
      <c r="C1349" s="165" t="s">
        <v>3485</v>
      </c>
      <c r="E1349" s="165" t="s">
        <v>3483</v>
      </c>
      <c r="G1349" s="81">
        <v>527092</v>
      </c>
      <c r="H1349" s="81">
        <v>177253</v>
      </c>
      <c r="I1349" s="165" t="s">
        <v>257</v>
      </c>
      <c r="L1349" s="166">
        <v>0</v>
      </c>
      <c r="M1349" s="166">
        <v>28</v>
      </c>
      <c r="N1349" s="166">
        <v>28</v>
      </c>
      <c r="O1349" s="166">
        <v>28</v>
      </c>
      <c r="P1349" s="166">
        <v>28</v>
      </c>
      <c r="Q1349" s="81" t="s">
        <v>155</v>
      </c>
      <c r="R1349" s="165" t="s">
        <v>3486</v>
      </c>
      <c r="S1349" s="81" t="s">
        <v>802</v>
      </c>
      <c r="T1349" s="349">
        <v>43180</v>
      </c>
      <c r="W1349" s="81" t="s">
        <v>114</v>
      </c>
      <c r="Y1349" s="81" t="s">
        <v>115</v>
      </c>
      <c r="Z1349" s="81" t="s">
        <v>310</v>
      </c>
      <c r="AA1349" s="81" t="s">
        <v>1764</v>
      </c>
      <c r="AB1349" s="81" t="s">
        <v>117</v>
      </c>
      <c r="AC1349" s="166">
        <v>0</v>
      </c>
      <c r="AG1349" s="81" t="s">
        <v>238</v>
      </c>
      <c r="AH1349" s="81" t="s">
        <v>118</v>
      </c>
      <c r="AK1349" s="166">
        <v>0</v>
      </c>
      <c r="AM1349" s="166">
        <v>0</v>
      </c>
      <c r="AO1349" s="166">
        <v>0</v>
      </c>
      <c r="AP1349" s="166">
        <v>13</v>
      </c>
      <c r="AQ1349" s="166">
        <v>14</v>
      </c>
      <c r="AR1349" s="166">
        <v>1</v>
      </c>
      <c r="AS1349" s="166">
        <v>0</v>
      </c>
      <c r="AT1349" s="166">
        <v>0</v>
      </c>
      <c r="AU1349" s="166">
        <v>0</v>
      </c>
      <c r="AV1349" s="166">
        <v>0</v>
      </c>
      <c r="AW1349" s="166">
        <v>13</v>
      </c>
      <c r="AX1349" s="166">
        <v>14</v>
      </c>
      <c r="AY1349" s="166">
        <v>1</v>
      </c>
      <c r="AZ1349" s="166">
        <v>0</v>
      </c>
      <c r="BA1349" s="166">
        <v>0</v>
      </c>
      <c r="BB1349" s="166">
        <v>0</v>
      </c>
      <c r="BC1349" s="166">
        <v>0</v>
      </c>
      <c r="BD1349" s="166">
        <v>0</v>
      </c>
      <c r="BE1349" s="166">
        <v>0</v>
      </c>
      <c r="BF1349" s="166">
        <v>0</v>
      </c>
      <c r="BG1349" s="166">
        <v>0</v>
      </c>
      <c r="BH1349" s="166">
        <v>0</v>
      </c>
      <c r="BI1349" s="166">
        <v>0</v>
      </c>
      <c r="BJ1349" s="166">
        <v>0</v>
      </c>
      <c r="BK1349" s="166">
        <v>0</v>
      </c>
      <c r="BL1349" s="166">
        <v>0</v>
      </c>
      <c r="BM1349" s="166">
        <v>0</v>
      </c>
      <c r="BN1349" s="166">
        <v>0</v>
      </c>
      <c r="BO1349" s="166">
        <v>0</v>
      </c>
      <c r="BP1349" s="166">
        <v>0</v>
      </c>
      <c r="BQ1349" s="81" t="s">
        <v>1757</v>
      </c>
      <c r="BX1349" s="81" t="s">
        <v>155</v>
      </c>
      <c r="BZ1349" s="81" t="s">
        <v>155</v>
      </c>
      <c r="CA1349" s="81">
        <v>10</v>
      </c>
      <c r="CC1349" s="167">
        <v>0</v>
      </c>
      <c r="CD1349" s="167">
        <v>0</v>
      </c>
      <c r="CE1349" s="167">
        <v>0</v>
      </c>
      <c r="CF1349" s="167">
        <v>0</v>
      </c>
      <c r="CG1349" s="167">
        <v>0</v>
      </c>
      <c r="CH1349" s="167">
        <f>$N1349/3</f>
        <v>9.3333333333333339</v>
      </c>
      <c r="CI1349" s="167">
        <f>$N1349/3</f>
        <v>9.3333333333333339</v>
      </c>
      <c r="CJ1349" s="167">
        <f>$N1349/3</f>
        <v>9.3333333333333339</v>
      </c>
      <c r="CK1349" s="167">
        <v>0</v>
      </c>
      <c r="CL1349" s="167">
        <v>0</v>
      </c>
      <c r="CM1349" s="167">
        <v>0</v>
      </c>
      <c r="CN1349" s="167">
        <v>0</v>
      </c>
      <c r="CO1349" s="167">
        <v>0</v>
      </c>
      <c r="CP1349" s="167">
        <v>0</v>
      </c>
      <c r="CQ1349" s="167">
        <v>0</v>
      </c>
      <c r="CR1349" s="167">
        <v>0</v>
      </c>
      <c r="CS1349" s="167">
        <v>0</v>
      </c>
      <c r="CT1349" s="167">
        <v>0</v>
      </c>
      <c r="CU1349" s="167">
        <v>0</v>
      </c>
      <c r="CV1349" s="167">
        <v>0</v>
      </c>
      <c r="CW1349" s="167">
        <v>0</v>
      </c>
      <c r="CX1349" s="167">
        <f>SUM(CD1349:CH1349)</f>
        <v>9.3333333333333339</v>
      </c>
      <c r="CY1349" s="167">
        <f>SUM(CD1349:CM1349)</f>
        <v>28</v>
      </c>
    </row>
    <row r="1350" spans="1:103" ht="12.75" customHeight="1" x14ac:dyDescent="0.2">
      <c r="A1350" s="81">
        <v>6858</v>
      </c>
      <c r="B1350" s="165" t="s">
        <v>1955</v>
      </c>
      <c r="C1350" s="165" t="s">
        <v>2374</v>
      </c>
      <c r="E1350" s="165" t="s">
        <v>2375</v>
      </c>
      <c r="G1350" s="81">
        <v>528202</v>
      </c>
      <c r="H1350" s="81">
        <v>172108</v>
      </c>
      <c r="I1350" s="165" t="s">
        <v>248</v>
      </c>
      <c r="L1350" s="166">
        <v>0</v>
      </c>
      <c r="M1350" s="166">
        <v>1</v>
      </c>
      <c r="N1350" s="166">
        <v>1</v>
      </c>
      <c r="O1350" s="166">
        <v>1</v>
      </c>
      <c r="P1350" s="166">
        <v>1</v>
      </c>
      <c r="R1350" s="165" t="s">
        <v>2376</v>
      </c>
      <c r="S1350" s="81" t="s">
        <v>121</v>
      </c>
      <c r="T1350" s="349">
        <v>43181</v>
      </c>
      <c r="W1350" s="81" t="s">
        <v>114</v>
      </c>
      <c r="Y1350" s="81" t="s">
        <v>115</v>
      </c>
      <c r="Z1350" s="81" t="s">
        <v>116</v>
      </c>
      <c r="AA1350" s="81" t="s">
        <v>117</v>
      </c>
      <c r="AB1350" s="81" t="s">
        <v>218</v>
      </c>
      <c r="AC1350" s="166">
        <v>8.0000003799796104E-3</v>
      </c>
      <c r="AG1350" s="81" t="s">
        <v>238</v>
      </c>
      <c r="AH1350" s="81" t="s">
        <v>118</v>
      </c>
      <c r="AK1350" s="166">
        <v>0</v>
      </c>
      <c r="AM1350" s="166">
        <v>0</v>
      </c>
      <c r="AO1350" s="166">
        <v>0</v>
      </c>
      <c r="AP1350" s="166">
        <v>0</v>
      </c>
      <c r="AQ1350" s="166">
        <v>1</v>
      </c>
      <c r="AR1350" s="166">
        <v>0</v>
      </c>
      <c r="AS1350" s="166">
        <v>0</v>
      </c>
      <c r="AT1350" s="166">
        <v>0</v>
      </c>
      <c r="AU1350" s="166">
        <v>0</v>
      </c>
      <c r="AV1350" s="166">
        <v>0</v>
      </c>
      <c r="AW1350" s="166">
        <v>0</v>
      </c>
      <c r="AX1350" s="166">
        <v>0</v>
      </c>
      <c r="AY1350" s="166">
        <v>0</v>
      </c>
      <c r="AZ1350" s="166">
        <v>0</v>
      </c>
      <c r="BA1350" s="166">
        <v>0</v>
      </c>
      <c r="BB1350" s="166">
        <v>0</v>
      </c>
      <c r="BC1350" s="166">
        <v>0</v>
      </c>
      <c r="BD1350" s="166">
        <v>0</v>
      </c>
      <c r="BE1350" s="166">
        <v>1</v>
      </c>
      <c r="BF1350" s="166">
        <v>0</v>
      </c>
      <c r="BG1350" s="166">
        <v>0</v>
      </c>
      <c r="BH1350" s="166">
        <v>0</v>
      </c>
      <c r="BI1350" s="166">
        <v>0</v>
      </c>
      <c r="BJ1350" s="166">
        <v>0</v>
      </c>
      <c r="BK1350" s="166">
        <v>0</v>
      </c>
      <c r="BL1350" s="166">
        <v>0</v>
      </c>
      <c r="BM1350" s="166">
        <v>0</v>
      </c>
      <c r="BN1350" s="166">
        <v>0</v>
      </c>
      <c r="BO1350" s="166">
        <v>0</v>
      </c>
      <c r="BP1350" s="166">
        <v>0</v>
      </c>
      <c r="BQ1350" s="81" t="s">
        <v>1757</v>
      </c>
      <c r="BZ1350" s="81" t="s">
        <v>155</v>
      </c>
      <c r="CA1350" s="81">
        <v>6</v>
      </c>
      <c r="CC1350" s="167">
        <v>0</v>
      </c>
      <c r="CD1350" s="167">
        <v>0</v>
      </c>
      <c r="CE1350" s="167">
        <v>0</v>
      </c>
      <c r="CF1350" s="167">
        <v>0</v>
      </c>
      <c r="CG1350" s="167">
        <v>0</v>
      </c>
      <c r="CH1350" s="167">
        <f>$N1350/3</f>
        <v>0.33333333333333331</v>
      </c>
      <c r="CI1350" s="167">
        <f>$N1350/3</f>
        <v>0.33333333333333331</v>
      </c>
      <c r="CJ1350" s="167">
        <f>$N1350/3</f>
        <v>0.33333333333333331</v>
      </c>
      <c r="CK1350" s="167">
        <v>0</v>
      </c>
      <c r="CL1350" s="167">
        <v>0</v>
      </c>
      <c r="CM1350" s="167">
        <v>0</v>
      </c>
      <c r="CN1350" s="167">
        <v>0</v>
      </c>
      <c r="CO1350" s="167">
        <v>0</v>
      </c>
      <c r="CP1350" s="167">
        <v>0</v>
      </c>
      <c r="CQ1350" s="167">
        <v>0</v>
      </c>
      <c r="CR1350" s="167">
        <v>0</v>
      </c>
      <c r="CS1350" s="167">
        <v>0</v>
      </c>
      <c r="CT1350" s="167">
        <v>0</v>
      </c>
      <c r="CU1350" s="167">
        <v>0</v>
      </c>
      <c r="CV1350" s="167">
        <v>0</v>
      </c>
      <c r="CW1350" s="167">
        <v>0</v>
      </c>
      <c r="CX1350" s="167">
        <f>SUM(CD1350:CH1350)</f>
        <v>0.33333333333333331</v>
      </c>
      <c r="CY1350" s="167">
        <f>SUM(CD1350:CM1350)</f>
        <v>1</v>
      </c>
    </row>
    <row r="1351" spans="1:103" ht="12.75" customHeight="1" x14ac:dyDescent="0.2">
      <c r="A1351" s="81">
        <v>6859</v>
      </c>
      <c r="B1351" s="165" t="s">
        <v>1955</v>
      </c>
      <c r="C1351" s="165" t="s">
        <v>2377</v>
      </c>
      <c r="E1351" s="165" t="s">
        <v>2378</v>
      </c>
      <c r="G1351" s="81">
        <v>523223</v>
      </c>
      <c r="H1351" s="81">
        <v>175846</v>
      </c>
      <c r="I1351" s="165" t="s">
        <v>259</v>
      </c>
      <c r="L1351" s="166">
        <v>1</v>
      </c>
      <c r="M1351" s="166">
        <v>3</v>
      </c>
      <c r="N1351" s="166">
        <v>2</v>
      </c>
      <c r="O1351" s="166">
        <v>3</v>
      </c>
      <c r="P1351" s="166">
        <v>2</v>
      </c>
      <c r="R1351" s="165" t="s">
        <v>2379</v>
      </c>
      <c r="S1351" s="81" t="s">
        <v>121</v>
      </c>
      <c r="T1351" s="349">
        <v>43181</v>
      </c>
      <c r="W1351" s="81" t="s">
        <v>114</v>
      </c>
      <c r="Y1351" s="81" t="s">
        <v>115</v>
      </c>
      <c r="Z1351" s="81" t="s">
        <v>119</v>
      </c>
      <c r="AA1351" s="81" t="s">
        <v>117</v>
      </c>
      <c r="AB1351" s="81" t="s">
        <v>120</v>
      </c>
      <c r="AC1351" s="166">
        <v>1.7999999225139601E-2</v>
      </c>
      <c r="AG1351" s="81" t="s">
        <v>238</v>
      </c>
      <c r="AH1351" s="81" t="s">
        <v>118</v>
      </c>
      <c r="AK1351" s="166">
        <v>0</v>
      </c>
      <c r="AM1351" s="166">
        <v>0</v>
      </c>
      <c r="AO1351" s="166">
        <v>0</v>
      </c>
      <c r="AP1351" s="166">
        <v>1</v>
      </c>
      <c r="AQ1351" s="166">
        <v>1</v>
      </c>
      <c r="AR1351" s="166">
        <v>1</v>
      </c>
      <c r="AS1351" s="166">
        <v>-1</v>
      </c>
      <c r="AT1351" s="166">
        <v>0</v>
      </c>
      <c r="AU1351" s="166">
        <v>0</v>
      </c>
      <c r="AV1351" s="166">
        <v>0</v>
      </c>
      <c r="AW1351" s="166">
        <v>1</v>
      </c>
      <c r="AX1351" s="166">
        <v>1</v>
      </c>
      <c r="AY1351" s="166">
        <v>1</v>
      </c>
      <c r="AZ1351" s="166">
        <v>0</v>
      </c>
      <c r="BA1351" s="166">
        <v>0</v>
      </c>
      <c r="BB1351" s="166">
        <v>0</v>
      </c>
      <c r="BC1351" s="166">
        <v>0</v>
      </c>
      <c r="BD1351" s="166">
        <v>0</v>
      </c>
      <c r="BE1351" s="166">
        <v>0</v>
      </c>
      <c r="BF1351" s="166">
        <v>0</v>
      </c>
      <c r="BG1351" s="166">
        <v>-1</v>
      </c>
      <c r="BH1351" s="166">
        <v>0</v>
      </c>
      <c r="BI1351" s="166">
        <v>0</v>
      </c>
      <c r="BJ1351" s="166">
        <v>0</v>
      </c>
      <c r="BK1351" s="166">
        <v>0</v>
      </c>
      <c r="BL1351" s="166">
        <v>0</v>
      </c>
      <c r="BM1351" s="166">
        <v>0</v>
      </c>
      <c r="BN1351" s="166">
        <v>0</v>
      </c>
      <c r="BO1351" s="166">
        <v>0</v>
      </c>
      <c r="BP1351" s="166">
        <v>0</v>
      </c>
      <c r="BQ1351" s="81" t="s">
        <v>1758</v>
      </c>
      <c r="BZ1351" s="81" t="s">
        <v>155</v>
      </c>
      <c r="CA1351" s="81">
        <v>10</v>
      </c>
      <c r="CC1351" s="167">
        <v>0</v>
      </c>
      <c r="CD1351" s="167">
        <v>0</v>
      </c>
      <c r="CE1351" s="167">
        <v>0</v>
      </c>
      <c r="CF1351" s="167">
        <v>0</v>
      </c>
      <c r="CG1351" s="167">
        <v>0</v>
      </c>
      <c r="CH1351" s="167">
        <f>$N1351/3</f>
        <v>0.66666666666666663</v>
      </c>
      <c r="CI1351" s="167">
        <f>$N1351/3</f>
        <v>0.66666666666666663</v>
      </c>
      <c r="CJ1351" s="167">
        <f>$N1351/3</f>
        <v>0.66666666666666663</v>
      </c>
      <c r="CK1351" s="167">
        <v>0</v>
      </c>
      <c r="CL1351" s="167">
        <v>0</v>
      </c>
      <c r="CM1351" s="167">
        <v>0</v>
      </c>
      <c r="CN1351" s="167">
        <v>0</v>
      </c>
      <c r="CO1351" s="167">
        <v>0</v>
      </c>
      <c r="CP1351" s="167">
        <v>0</v>
      </c>
      <c r="CQ1351" s="167">
        <v>0</v>
      </c>
      <c r="CR1351" s="167">
        <v>0</v>
      </c>
      <c r="CS1351" s="167">
        <v>0</v>
      </c>
      <c r="CT1351" s="167">
        <v>0</v>
      </c>
      <c r="CU1351" s="167">
        <v>0</v>
      </c>
      <c r="CV1351" s="167">
        <v>0</v>
      </c>
      <c r="CW1351" s="167">
        <v>0</v>
      </c>
      <c r="CX1351" s="167">
        <f>SUM(CD1351:CH1351)</f>
        <v>0.66666666666666663</v>
      </c>
      <c r="CY1351" s="167">
        <f>SUM(CD1351:CM1351)</f>
        <v>2</v>
      </c>
    </row>
    <row r="1352" spans="1:103" ht="12.75" customHeight="1" x14ac:dyDescent="0.2">
      <c r="A1352" s="81">
        <v>6860</v>
      </c>
      <c r="B1352" s="165" t="s">
        <v>1955</v>
      </c>
      <c r="C1352" s="165" t="s">
        <v>2380</v>
      </c>
      <c r="E1352" s="165" t="s">
        <v>2381</v>
      </c>
      <c r="G1352" s="81">
        <v>527312</v>
      </c>
      <c r="H1352" s="81">
        <v>171270</v>
      </c>
      <c r="I1352" s="165" t="s">
        <v>242</v>
      </c>
      <c r="L1352" s="166">
        <v>1</v>
      </c>
      <c r="M1352" s="166">
        <v>2</v>
      </c>
      <c r="N1352" s="166">
        <v>1</v>
      </c>
      <c r="O1352" s="166">
        <v>2</v>
      </c>
      <c r="P1352" s="166">
        <v>1</v>
      </c>
      <c r="R1352" s="165" t="s">
        <v>2382</v>
      </c>
      <c r="S1352" s="81" t="s">
        <v>121</v>
      </c>
      <c r="T1352" s="349">
        <v>43180</v>
      </c>
      <c r="W1352" s="81" t="s">
        <v>114</v>
      </c>
      <c r="Y1352" s="81" t="s">
        <v>115</v>
      </c>
      <c r="Z1352" s="81" t="s">
        <v>398</v>
      </c>
      <c r="AA1352" s="81" t="s">
        <v>117</v>
      </c>
      <c r="AB1352" s="81" t="s">
        <v>220</v>
      </c>
      <c r="AC1352" s="166">
        <v>1.30000002682209E-2</v>
      </c>
      <c r="AG1352" s="81" t="s">
        <v>238</v>
      </c>
      <c r="AH1352" s="81" t="s">
        <v>118</v>
      </c>
      <c r="AK1352" s="166">
        <v>0</v>
      </c>
      <c r="AM1352" s="166">
        <v>0</v>
      </c>
      <c r="AO1352" s="166">
        <v>0</v>
      </c>
      <c r="AP1352" s="166">
        <v>1</v>
      </c>
      <c r="AQ1352" s="166">
        <v>1</v>
      </c>
      <c r="AR1352" s="166">
        <v>-1</v>
      </c>
      <c r="AS1352" s="166">
        <v>0</v>
      </c>
      <c r="AT1352" s="166">
        <v>0</v>
      </c>
      <c r="AU1352" s="166">
        <v>0</v>
      </c>
      <c r="AV1352" s="166">
        <v>0</v>
      </c>
      <c r="AW1352" s="166">
        <v>1</v>
      </c>
      <c r="AX1352" s="166">
        <v>1</v>
      </c>
      <c r="AY1352" s="166">
        <v>-1</v>
      </c>
      <c r="AZ1352" s="166">
        <v>0</v>
      </c>
      <c r="BA1352" s="166">
        <v>0</v>
      </c>
      <c r="BB1352" s="166">
        <v>0</v>
      </c>
      <c r="BC1352" s="166">
        <v>0</v>
      </c>
      <c r="BD1352" s="166">
        <v>0</v>
      </c>
      <c r="BE1352" s="166">
        <v>0</v>
      </c>
      <c r="BF1352" s="166">
        <v>0</v>
      </c>
      <c r="BG1352" s="166">
        <v>0</v>
      </c>
      <c r="BH1352" s="166">
        <v>0</v>
      </c>
      <c r="BI1352" s="166">
        <v>0</v>
      </c>
      <c r="BJ1352" s="166">
        <v>0</v>
      </c>
      <c r="BK1352" s="166">
        <v>0</v>
      </c>
      <c r="BL1352" s="166">
        <v>0</v>
      </c>
      <c r="BM1352" s="166">
        <v>0</v>
      </c>
      <c r="BN1352" s="166">
        <v>0</v>
      </c>
      <c r="BO1352" s="166">
        <v>0</v>
      </c>
      <c r="BP1352" s="166">
        <v>0</v>
      </c>
      <c r="BQ1352" s="81" t="s">
        <v>1757</v>
      </c>
      <c r="BZ1352" s="81" t="s">
        <v>155</v>
      </c>
      <c r="CA1352" s="81">
        <v>10</v>
      </c>
      <c r="CC1352" s="167">
        <v>0</v>
      </c>
      <c r="CD1352" s="167">
        <v>0</v>
      </c>
      <c r="CE1352" s="167">
        <v>0</v>
      </c>
      <c r="CF1352" s="167">
        <v>0</v>
      </c>
      <c r="CG1352" s="167">
        <v>0</v>
      </c>
      <c r="CH1352" s="167">
        <f>$N1352/3</f>
        <v>0.33333333333333331</v>
      </c>
      <c r="CI1352" s="167">
        <f>$N1352/3</f>
        <v>0.33333333333333331</v>
      </c>
      <c r="CJ1352" s="167">
        <f>$N1352/3</f>
        <v>0.33333333333333331</v>
      </c>
      <c r="CK1352" s="167">
        <v>0</v>
      </c>
      <c r="CL1352" s="167">
        <v>0</v>
      </c>
      <c r="CM1352" s="167">
        <v>0</v>
      </c>
      <c r="CN1352" s="167">
        <v>0</v>
      </c>
      <c r="CO1352" s="167">
        <v>0</v>
      </c>
      <c r="CP1352" s="167">
        <v>0</v>
      </c>
      <c r="CQ1352" s="167">
        <v>0</v>
      </c>
      <c r="CR1352" s="167">
        <v>0</v>
      </c>
      <c r="CS1352" s="167">
        <v>0</v>
      </c>
      <c r="CT1352" s="167">
        <v>0</v>
      </c>
      <c r="CU1352" s="167">
        <v>0</v>
      </c>
      <c r="CV1352" s="167">
        <v>0</v>
      </c>
      <c r="CW1352" s="167">
        <v>0</v>
      </c>
      <c r="CX1352" s="167">
        <f>SUM(CD1352:CH1352)</f>
        <v>0.33333333333333331</v>
      </c>
      <c r="CY1352" s="167">
        <f>SUM(CD1352:CM1352)</f>
        <v>1</v>
      </c>
    </row>
    <row r="1353" spans="1:103" ht="12.75" customHeight="1" x14ac:dyDescent="0.2">
      <c r="A1353" s="81">
        <v>6862</v>
      </c>
      <c r="B1353" s="165" t="s">
        <v>1955</v>
      </c>
      <c r="C1353" s="165" t="s">
        <v>2383</v>
      </c>
      <c r="E1353" s="165" t="s">
        <v>2384</v>
      </c>
      <c r="G1353" s="81">
        <v>528095</v>
      </c>
      <c r="H1353" s="81">
        <v>171407</v>
      </c>
      <c r="I1353" s="165" t="s">
        <v>253</v>
      </c>
      <c r="L1353" s="166">
        <v>0</v>
      </c>
      <c r="M1353" s="166">
        <v>1</v>
      </c>
      <c r="N1353" s="166">
        <v>1</v>
      </c>
      <c r="O1353" s="166">
        <v>1</v>
      </c>
      <c r="P1353" s="166">
        <v>1</v>
      </c>
      <c r="R1353" s="165" t="s">
        <v>2385</v>
      </c>
      <c r="S1353" s="81" t="s">
        <v>121</v>
      </c>
      <c r="T1353" s="349">
        <v>43188</v>
      </c>
      <c r="W1353" s="81" t="s">
        <v>114</v>
      </c>
      <c r="Y1353" s="81" t="s">
        <v>115</v>
      </c>
      <c r="Z1353" s="81" t="s">
        <v>219</v>
      </c>
      <c r="AA1353" s="81" t="s">
        <v>117</v>
      </c>
      <c r="AB1353" s="81" t="s">
        <v>3889</v>
      </c>
      <c r="AC1353" s="166">
        <v>4.0000001899898104E-3</v>
      </c>
      <c r="AG1353" s="81" t="s">
        <v>238</v>
      </c>
      <c r="AH1353" s="81" t="s">
        <v>118</v>
      </c>
      <c r="AK1353" s="166">
        <v>0</v>
      </c>
      <c r="AM1353" s="166">
        <v>0</v>
      </c>
      <c r="AO1353" s="166">
        <v>0</v>
      </c>
      <c r="AP1353" s="166">
        <v>0</v>
      </c>
      <c r="AQ1353" s="166">
        <v>1</v>
      </c>
      <c r="AR1353" s="166">
        <v>0</v>
      </c>
      <c r="AS1353" s="166">
        <v>0</v>
      </c>
      <c r="AT1353" s="166">
        <v>0</v>
      </c>
      <c r="AU1353" s="166">
        <v>0</v>
      </c>
      <c r="AV1353" s="166">
        <v>0</v>
      </c>
      <c r="AW1353" s="166">
        <v>0</v>
      </c>
      <c r="AX1353" s="166">
        <v>1</v>
      </c>
      <c r="AY1353" s="166">
        <v>0</v>
      </c>
      <c r="AZ1353" s="166">
        <v>0</v>
      </c>
      <c r="BA1353" s="166">
        <v>0</v>
      </c>
      <c r="BB1353" s="166">
        <v>0</v>
      </c>
      <c r="BC1353" s="166">
        <v>0</v>
      </c>
      <c r="BD1353" s="166">
        <v>0</v>
      </c>
      <c r="BE1353" s="166">
        <v>0</v>
      </c>
      <c r="BF1353" s="166">
        <v>0</v>
      </c>
      <c r="BG1353" s="166">
        <v>0</v>
      </c>
      <c r="BH1353" s="166">
        <v>0</v>
      </c>
      <c r="BI1353" s="166">
        <v>0</v>
      </c>
      <c r="BJ1353" s="166">
        <v>0</v>
      </c>
      <c r="BK1353" s="166">
        <v>0</v>
      </c>
      <c r="BL1353" s="166">
        <v>0</v>
      </c>
      <c r="BM1353" s="166">
        <v>0</v>
      </c>
      <c r="BN1353" s="166">
        <v>0</v>
      </c>
      <c r="BO1353" s="166">
        <v>0</v>
      </c>
      <c r="BP1353" s="166">
        <v>0</v>
      </c>
      <c r="BQ1353" s="81" t="s">
        <v>1757</v>
      </c>
      <c r="BZ1353" s="81" t="s">
        <v>155</v>
      </c>
      <c r="CA1353" s="81">
        <v>10</v>
      </c>
      <c r="CC1353" s="167">
        <v>0</v>
      </c>
      <c r="CD1353" s="167">
        <v>0</v>
      </c>
      <c r="CE1353" s="167">
        <v>0</v>
      </c>
      <c r="CF1353" s="167">
        <v>0</v>
      </c>
      <c r="CG1353" s="167">
        <v>0</v>
      </c>
      <c r="CH1353" s="167">
        <f>$N1353/3</f>
        <v>0.33333333333333331</v>
      </c>
      <c r="CI1353" s="167">
        <f>$N1353/3</f>
        <v>0.33333333333333331</v>
      </c>
      <c r="CJ1353" s="167">
        <f>$N1353/3</f>
        <v>0.33333333333333331</v>
      </c>
      <c r="CK1353" s="167">
        <v>0</v>
      </c>
      <c r="CL1353" s="167">
        <v>0</v>
      </c>
      <c r="CM1353" s="167">
        <v>0</v>
      </c>
      <c r="CN1353" s="167">
        <v>0</v>
      </c>
      <c r="CO1353" s="167">
        <v>0</v>
      </c>
      <c r="CP1353" s="167">
        <v>0</v>
      </c>
      <c r="CQ1353" s="167">
        <v>0</v>
      </c>
      <c r="CR1353" s="167">
        <v>0</v>
      </c>
      <c r="CS1353" s="167">
        <v>0</v>
      </c>
      <c r="CT1353" s="167">
        <v>0</v>
      </c>
      <c r="CU1353" s="167">
        <v>0</v>
      </c>
      <c r="CV1353" s="167">
        <v>0</v>
      </c>
      <c r="CW1353" s="167">
        <v>0</v>
      </c>
      <c r="CX1353" s="167">
        <f>SUM(CD1353:CH1353)</f>
        <v>0.33333333333333331</v>
      </c>
      <c r="CY1353" s="167">
        <f>SUM(CD1353:CM1353)</f>
        <v>1</v>
      </c>
    </row>
    <row r="1354" spans="1:103" ht="12.75" customHeight="1" x14ac:dyDescent="0.2">
      <c r="A1354" s="81">
        <v>6863</v>
      </c>
      <c r="B1354" s="165" t="s">
        <v>1955</v>
      </c>
      <c r="C1354" s="165" t="s">
        <v>2386</v>
      </c>
      <c r="E1354" s="165" t="s">
        <v>2387</v>
      </c>
      <c r="G1354" s="81">
        <v>527223</v>
      </c>
      <c r="H1354" s="81">
        <v>171655</v>
      </c>
      <c r="I1354" s="165" t="s">
        <v>242</v>
      </c>
      <c r="L1354" s="166">
        <v>1</v>
      </c>
      <c r="M1354" s="166">
        <v>2</v>
      </c>
      <c r="N1354" s="166">
        <v>1</v>
      </c>
      <c r="O1354" s="166">
        <v>2</v>
      </c>
      <c r="P1354" s="166">
        <v>1</v>
      </c>
      <c r="R1354" s="165" t="s">
        <v>2388</v>
      </c>
      <c r="S1354" s="81" t="s">
        <v>121</v>
      </c>
      <c r="T1354" s="349">
        <v>43188</v>
      </c>
      <c r="W1354" s="81" t="s">
        <v>114</v>
      </c>
      <c r="Y1354" s="81" t="s">
        <v>115</v>
      </c>
      <c r="Z1354" s="81" t="s">
        <v>119</v>
      </c>
      <c r="AA1354" s="81" t="s">
        <v>117</v>
      </c>
      <c r="AB1354" s="81" t="s">
        <v>120</v>
      </c>
      <c r="AC1354" s="166">
        <v>2.0999999716877899E-2</v>
      </c>
      <c r="AG1354" s="81" t="s">
        <v>238</v>
      </c>
      <c r="AH1354" s="81" t="s">
        <v>118</v>
      </c>
      <c r="AK1354" s="166">
        <v>0</v>
      </c>
      <c r="AM1354" s="166">
        <v>0</v>
      </c>
      <c r="AO1354" s="166">
        <v>0</v>
      </c>
      <c r="AP1354" s="166">
        <v>0</v>
      </c>
      <c r="AQ1354" s="166">
        <v>0</v>
      </c>
      <c r="AR1354" s="166">
        <v>1</v>
      </c>
      <c r="AS1354" s="166">
        <v>0</v>
      </c>
      <c r="AT1354" s="166">
        <v>0</v>
      </c>
      <c r="AU1354" s="166">
        <v>0</v>
      </c>
      <c r="AV1354" s="166">
        <v>0</v>
      </c>
      <c r="AW1354" s="166">
        <v>0</v>
      </c>
      <c r="AX1354" s="166">
        <v>1</v>
      </c>
      <c r="AY1354" s="166">
        <v>1</v>
      </c>
      <c r="AZ1354" s="166">
        <v>0</v>
      </c>
      <c r="BA1354" s="166">
        <v>0</v>
      </c>
      <c r="BB1354" s="166">
        <v>0</v>
      </c>
      <c r="BC1354" s="166">
        <v>0</v>
      </c>
      <c r="BD1354" s="166">
        <v>0</v>
      </c>
      <c r="BE1354" s="166">
        <v>-1</v>
      </c>
      <c r="BF1354" s="166">
        <v>0</v>
      </c>
      <c r="BG1354" s="166">
        <v>0</v>
      </c>
      <c r="BH1354" s="166">
        <v>0</v>
      </c>
      <c r="BI1354" s="166">
        <v>0</v>
      </c>
      <c r="BJ1354" s="166">
        <v>0</v>
      </c>
      <c r="BK1354" s="166">
        <v>0</v>
      </c>
      <c r="BL1354" s="166">
        <v>0</v>
      </c>
      <c r="BM1354" s="166">
        <v>0</v>
      </c>
      <c r="BN1354" s="166">
        <v>0</v>
      </c>
      <c r="BO1354" s="166">
        <v>0</v>
      </c>
      <c r="BP1354" s="166">
        <v>0</v>
      </c>
      <c r="BQ1354" s="81" t="s">
        <v>1757</v>
      </c>
      <c r="BZ1354" s="81" t="s">
        <v>155</v>
      </c>
      <c r="CA1354" s="81">
        <v>10</v>
      </c>
      <c r="CC1354" s="167">
        <v>0</v>
      </c>
      <c r="CD1354" s="167">
        <v>0</v>
      </c>
      <c r="CE1354" s="167">
        <v>0</v>
      </c>
      <c r="CF1354" s="167">
        <v>0</v>
      </c>
      <c r="CG1354" s="167">
        <v>0</v>
      </c>
      <c r="CH1354" s="167">
        <f>$N1354/3</f>
        <v>0.33333333333333331</v>
      </c>
      <c r="CI1354" s="167">
        <f>$N1354/3</f>
        <v>0.33333333333333331</v>
      </c>
      <c r="CJ1354" s="167">
        <f>$N1354/3</f>
        <v>0.33333333333333331</v>
      </c>
      <c r="CK1354" s="167">
        <v>0</v>
      </c>
      <c r="CL1354" s="167">
        <v>0</v>
      </c>
      <c r="CM1354" s="167">
        <v>0</v>
      </c>
      <c r="CN1354" s="167">
        <v>0</v>
      </c>
      <c r="CO1354" s="167">
        <v>0</v>
      </c>
      <c r="CP1354" s="167">
        <v>0</v>
      </c>
      <c r="CQ1354" s="167">
        <v>0</v>
      </c>
      <c r="CR1354" s="167">
        <v>0</v>
      </c>
      <c r="CS1354" s="167">
        <v>0</v>
      </c>
      <c r="CT1354" s="167">
        <v>0</v>
      </c>
      <c r="CU1354" s="167">
        <v>0</v>
      </c>
      <c r="CV1354" s="167">
        <v>0</v>
      </c>
      <c r="CW1354" s="167">
        <v>0</v>
      </c>
      <c r="CX1354" s="167">
        <f>SUM(CD1354:CH1354)</f>
        <v>0.33333333333333331</v>
      </c>
      <c r="CY1354" s="167">
        <f>SUM(CD1354:CM1354)</f>
        <v>1</v>
      </c>
    </row>
    <row r="1355" spans="1:103" ht="12.75" customHeight="1" x14ac:dyDescent="0.2">
      <c r="A1355" s="81">
        <v>6881</v>
      </c>
      <c r="B1355" s="165" t="s">
        <v>1955</v>
      </c>
      <c r="C1355" s="165" t="s">
        <v>2389</v>
      </c>
      <c r="E1355" s="165" t="s">
        <v>2390</v>
      </c>
      <c r="G1355" s="81">
        <v>528629</v>
      </c>
      <c r="H1355" s="81">
        <v>177531</v>
      </c>
      <c r="I1355" s="165" t="s">
        <v>240</v>
      </c>
      <c r="L1355" s="166">
        <v>3</v>
      </c>
      <c r="M1355" s="166">
        <v>1</v>
      </c>
      <c r="N1355" s="166">
        <v>-2</v>
      </c>
      <c r="O1355" s="166">
        <v>1</v>
      </c>
      <c r="P1355" s="166">
        <v>-2</v>
      </c>
      <c r="R1355" s="165" t="s">
        <v>2391</v>
      </c>
      <c r="S1355" s="81" t="s">
        <v>126</v>
      </c>
      <c r="T1355" s="349">
        <v>43049</v>
      </c>
      <c r="W1355" s="81" t="s">
        <v>114</v>
      </c>
      <c r="Y1355" s="81" t="s">
        <v>115</v>
      </c>
      <c r="Z1355" s="81" t="s">
        <v>119</v>
      </c>
      <c r="AA1355" s="81" t="s">
        <v>117</v>
      </c>
      <c r="AB1355" s="81" t="s">
        <v>336</v>
      </c>
      <c r="AC1355" s="166">
        <v>0</v>
      </c>
      <c r="AG1355" s="81" t="s">
        <v>238</v>
      </c>
      <c r="AH1355" s="81" t="s">
        <v>118</v>
      </c>
      <c r="AK1355" s="166">
        <v>0</v>
      </c>
      <c r="AM1355" s="166">
        <v>0</v>
      </c>
      <c r="AO1355" s="166">
        <v>0</v>
      </c>
      <c r="AP1355" s="166">
        <v>0</v>
      </c>
      <c r="AQ1355" s="166">
        <v>-3</v>
      </c>
      <c r="AR1355" s="166">
        <v>0</v>
      </c>
      <c r="AS1355" s="166">
        <v>0</v>
      </c>
      <c r="AT1355" s="166">
        <v>1</v>
      </c>
      <c r="AU1355" s="166">
        <v>0</v>
      </c>
      <c r="AV1355" s="166">
        <v>0</v>
      </c>
      <c r="AW1355" s="166">
        <v>0</v>
      </c>
      <c r="AX1355" s="166">
        <v>-3</v>
      </c>
      <c r="AY1355" s="166">
        <v>0</v>
      </c>
      <c r="AZ1355" s="166">
        <v>0</v>
      </c>
      <c r="BA1355" s="166">
        <v>0</v>
      </c>
      <c r="BB1355" s="166">
        <v>0</v>
      </c>
      <c r="BC1355" s="166">
        <v>0</v>
      </c>
      <c r="BD1355" s="166">
        <v>0</v>
      </c>
      <c r="BE1355" s="166">
        <v>0</v>
      </c>
      <c r="BF1355" s="166">
        <v>0</v>
      </c>
      <c r="BG1355" s="166">
        <v>0</v>
      </c>
      <c r="BH1355" s="166">
        <v>1</v>
      </c>
      <c r="BI1355" s="166">
        <v>0</v>
      </c>
      <c r="BJ1355" s="166">
        <v>0</v>
      </c>
      <c r="BK1355" s="166">
        <v>0</v>
      </c>
      <c r="BL1355" s="166">
        <v>0</v>
      </c>
      <c r="BM1355" s="166">
        <v>0</v>
      </c>
      <c r="BN1355" s="166">
        <v>0</v>
      </c>
      <c r="BO1355" s="166">
        <v>0</v>
      </c>
      <c r="BP1355" s="166">
        <v>0</v>
      </c>
      <c r="BQ1355" s="81" t="s">
        <v>1759</v>
      </c>
      <c r="BS1355" s="81" t="s">
        <v>155</v>
      </c>
      <c r="BZ1355" s="81" t="s">
        <v>155</v>
      </c>
      <c r="CA1355" s="81">
        <v>10</v>
      </c>
      <c r="CC1355" s="167">
        <v>0</v>
      </c>
      <c r="CD1355" s="167">
        <v>0</v>
      </c>
      <c r="CE1355" s="167">
        <v>0</v>
      </c>
      <c r="CF1355" s="167">
        <v>0</v>
      </c>
      <c r="CG1355" s="167">
        <v>0</v>
      </c>
      <c r="CH1355" s="167">
        <f>$N1355/3</f>
        <v>-0.66666666666666663</v>
      </c>
      <c r="CI1355" s="167">
        <f>$N1355/3</f>
        <v>-0.66666666666666663</v>
      </c>
      <c r="CJ1355" s="167">
        <f>$N1355/3</f>
        <v>-0.66666666666666663</v>
      </c>
      <c r="CK1355" s="167">
        <v>0</v>
      </c>
      <c r="CL1355" s="167">
        <v>0</v>
      </c>
      <c r="CM1355" s="167">
        <v>0</v>
      </c>
      <c r="CN1355" s="167">
        <v>0</v>
      </c>
      <c r="CO1355" s="167">
        <v>0</v>
      </c>
      <c r="CP1355" s="167">
        <v>0</v>
      </c>
      <c r="CQ1355" s="167">
        <v>0</v>
      </c>
      <c r="CR1355" s="167">
        <v>0</v>
      </c>
      <c r="CS1355" s="167">
        <v>0</v>
      </c>
      <c r="CT1355" s="167">
        <v>0</v>
      </c>
      <c r="CU1355" s="167">
        <v>0</v>
      </c>
      <c r="CV1355" s="167">
        <v>0</v>
      </c>
      <c r="CW1355" s="167">
        <v>0</v>
      </c>
      <c r="CX1355" s="167">
        <f>SUM(CD1355:CH1355)</f>
        <v>-0.66666666666666663</v>
      </c>
      <c r="CY1355" s="167">
        <f>SUM(CD1355:CM1355)</f>
        <v>-2</v>
      </c>
    </row>
    <row r="1356" spans="1:103" ht="12.75" customHeight="1" x14ac:dyDescent="0.2">
      <c r="A1356" s="81">
        <v>6882</v>
      </c>
      <c r="B1356" s="165" t="s">
        <v>1955</v>
      </c>
      <c r="C1356" s="165" t="s">
        <v>2392</v>
      </c>
      <c r="E1356" s="165" t="s">
        <v>2393</v>
      </c>
      <c r="G1356" s="81">
        <v>526839</v>
      </c>
      <c r="H1356" s="81">
        <v>175995</v>
      </c>
      <c r="I1356" s="165" t="s">
        <v>241</v>
      </c>
      <c r="L1356" s="166">
        <v>0</v>
      </c>
      <c r="M1356" s="166">
        <v>5</v>
      </c>
      <c r="N1356" s="166">
        <v>5</v>
      </c>
      <c r="O1356" s="166">
        <v>5</v>
      </c>
      <c r="P1356" s="166">
        <v>5</v>
      </c>
      <c r="R1356" s="165" t="s">
        <v>2394</v>
      </c>
      <c r="S1356" s="81" t="s">
        <v>121</v>
      </c>
      <c r="T1356" s="349">
        <v>42852</v>
      </c>
      <c r="W1356" s="81" t="s">
        <v>114</v>
      </c>
      <c r="Y1356" s="81" t="s">
        <v>115</v>
      </c>
      <c r="Z1356" s="81" t="s">
        <v>116</v>
      </c>
      <c r="AA1356" s="81" t="s">
        <v>117</v>
      </c>
      <c r="AB1356" s="81" t="s">
        <v>218</v>
      </c>
      <c r="AC1356" s="166">
        <v>6.0000000521540598E-3</v>
      </c>
      <c r="AG1356" s="81" t="s">
        <v>154</v>
      </c>
      <c r="AH1356" s="81" t="s">
        <v>38</v>
      </c>
      <c r="AK1356" s="166">
        <v>0</v>
      </c>
      <c r="AL1356" s="166">
        <v>5</v>
      </c>
      <c r="AM1356" s="166">
        <v>0</v>
      </c>
      <c r="AO1356" s="166">
        <v>0</v>
      </c>
      <c r="AP1356" s="166">
        <v>0</v>
      </c>
      <c r="AQ1356" s="166">
        <v>4</v>
      </c>
      <c r="AR1356" s="166">
        <v>1</v>
      </c>
      <c r="AS1356" s="166">
        <v>0</v>
      </c>
      <c r="AT1356" s="166">
        <v>0</v>
      </c>
      <c r="AU1356" s="166">
        <v>0</v>
      </c>
      <c r="AV1356" s="166">
        <v>0</v>
      </c>
      <c r="AW1356" s="166">
        <v>0</v>
      </c>
      <c r="AX1356" s="166">
        <v>4</v>
      </c>
      <c r="AY1356" s="166">
        <v>1</v>
      </c>
      <c r="AZ1356" s="166">
        <v>0</v>
      </c>
      <c r="BA1356" s="166">
        <v>0</v>
      </c>
      <c r="BB1356" s="166">
        <v>0</v>
      </c>
      <c r="BC1356" s="166">
        <v>0</v>
      </c>
      <c r="BD1356" s="166">
        <v>0</v>
      </c>
      <c r="BE1356" s="166">
        <v>0</v>
      </c>
      <c r="BF1356" s="166">
        <v>0</v>
      </c>
      <c r="BG1356" s="166">
        <v>0</v>
      </c>
      <c r="BH1356" s="166">
        <v>0</v>
      </c>
      <c r="BI1356" s="166">
        <v>0</v>
      </c>
      <c r="BJ1356" s="166">
        <v>0</v>
      </c>
      <c r="BK1356" s="166">
        <v>0</v>
      </c>
      <c r="BL1356" s="166">
        <v>0</v>
      </c>
      <c r="BM1356" s="166">
        <v>0</v>
      </c>
      <c r="BN1356" s="166">
        <v>0</v>
      </c>
      <c r="BO1356" s="166">
        <v>0</v>
      </c>
      <c r="BP1356" s="166">
        <v>0</v>
      </c>
      <c r="BQ1356" s="81" t="s">
        <v>1759</v>
      </c>
      <c r="BU1356" s="81" t="s">
        <v>155</v>
      </c>
      <c r="BZ1356" s="81" t="s">
        <v>155</v>
      </c>
      <c r="CA1356" s="81">
        <v>6</v>
      </c>
      <c r="CC1356" s="167">
        <v>0</v>
      </c>
      <c r="CD1356" s="167">
        <v>0</v>
      </c>
      <c r="CE1356" s="167">
        <v>0</v>
      </c>
      <c r="CF1356" s="167">
        <v>0</v>
      </c>
      <c r="CG1356" s="167">
        <v>0</v>
      </c>
      <c r="CH1356" s="167">
        <f>$N1356/3</f>
        <v>1.6666666666666667</v>
      </c>
      <c r="CI1356" s="167">
        <f>$N1356/3</f>
        <v>1.6666666666666667</v>
      </c>
      <c r="CJ1356" s="167">
        <f>$N1356/3</f>
        <v>1.6666666666666667</v>
      </c>
      <c r="CK1356" s="167">
        <v>0</v>
      </c>
      <c r="CL1356" s="167">
        <v>0</v>
      </c>
      <c r="CM1356" s="167">
        <v>0</v>
      </c>
      <c r="CN1356" s="167">
        <v>0</v>
      </c>
      <c r="CO1356" s="167">
        <v>0</v>
      </c>
      <c r="CP1356" s="167">
        <v>0</v>
      </c>
      <c r="CQ1356" s="167">
        <v>0</v>
      </c>
      <c r="CR1356" s="167">
        <v>0</v>
      </c>
      <c r="CS1356" s="167">
        <v>0</v>
      </c>
      <c r="CT1356" s="167">
        <v>0</v>
      </c>
      <c r="CU1356" s="167">
        <v>0</v>
      </c>
      <c r="CV1356" s="167">
        <v>0</v>
      </c>
      <c r="CW1356" s="167">
        <v>0</v>
      </c>
      <c r="CX1356" s="167">
        <f>SUM(CD1356:CH1356)</f>
        <v>1.6666666666666667</v>
      </c>
      <c r="CY1356" s="167">
        <f>SUM(CD1356:CM1356)</f>
        <v>5</v>
      </c>
    </row>
    <row r="1357" spans="1:103" ht="12.75" customHeight="1" x14ac:dyDescent="0.2">
      <c r="A1357" s="81">
        <v>6883</v>
      </c>
      <c r="B1357" s="165" t="s">
        <v>1955</v>
      </c>
      <c r="C1357" s="165" t="s">
        <v>2395</v>
      </c>
      <c r="E1357" s="165" t="s">
        <v>2396</v>
      </c>
      <c r="G1357" s="81">
        <v>528003</v>
      </c>
      <c r="H1357" s="81">
        <v>174423</v>
      </c>
      <c r="I1357" s="165" t="s">
        <v>247</v>
      </c>
      <c r="L1357" s="166">
        <v>2</v>
      </c>
      <c r="M1357" s="166">
        <v>2</v>
      </c>
      <c r="N1357" s="166">
        <v>0</v>
      </c>
      <c r="O1357" s="166">
        <v>2</v>
      </c>
      <c r="P1357" s="166">
        <v>0</v>
      </c>
      <c r="R1357" s="165" t="s">
        <v>2397</v>
      </c>
      <c r="S1357" s="81" t="s">
        <v>121</v>
      </c>
      <c r="T1357" s="349">
        <v>43179</v>
      </c>
      <c r="W1357" s="81" t="s">
        <v>114</v>
      </c>
      <c r="Y1357" s="81" t="s">
        <v>115</v>
      </c>
      <c r="Z1357" s="81" t="s">
        <v>398</v>
      </c>
      <c r="AA1357" s="81" t="s">
        <v>117</v>
      </c>
      <c r="AB1357" s="81" t="s">
        <v>336</v>
      </c>
      <c r="AC1357" s="166">
        <v>0</v>
      </c>
      <c r="AG1357" s="81" t="s">
        <v>238</v>
      </c>
      <c r="AH1357" s="81" t="s">
        <v>118</v>
      </c>
      <c r="AK1357" s="166">
        <v>0</v>
      </c>
      <c r="AM1357" s="166">
        <v>0</v>
      </c>
      <c r="AO1357" s="166">
        <v>0</v>
      </c>
      <c r="AP1357" s="166">
        <v>0</v>
      </c>
      <c r="AQ1357" s="166">
        <v>-2</v>
      </c>
      <c r="AR1357" s="166">
        <v>0</v>
      </c>
      <c r="AS1357" s="166">
        <v>2</v>
      </c>
      <c r="AT1357" s="166">
        <v>0</v>
      </c>
      <c r="AU1357" s="166">
        <v>0</v>
      </c>
      <c r="AV1357" s="166">
        <v>0</v>
      </c>
      <c r="AW1357" s="166">
        <v>0</v>
      </c>
      <c r="AX1357" s="166">
        <v>-2</v>
      </c>
      <c r="AY1357" s="166">
        <v>0</v>
      </c>
      <c r="AZ1357" s="166">
        <v>0</v>
      </c>
      <c r="BA1357" s="166">
        <v>0</v>
      </c>
      <c r="BB1357" s="166">
        <v>0</v>
      </c>
      <c r="BC1357" s="166">
        <v>0</v>
      </c>
      <c r="BD1357" s="166">
        <v>0</v>
      </c>
      <c r="BE1357" s="166">
        <v>0</v>
      </c>
      <c r="BF1357" s="166">
        <v>0</v>
      </c>
      <c r="BG1357" s="166">
        <v>2</v>
      </c>
      <c r="BH1357" s="166">
        <v>0</v>
      </c>
      <c r="BI1357" s="166">
        <v>0</v>
      </c>
      <c r="BJ1357" s="166">
        <v>0</v>
      </c>
      <c r="BK1357" s="166">
        <v>0</v>
      </c>
      <c r="BL1357" s="166">
        <v>0</v>
      </c>
      <c r="BM1357" s="166">
        <v>0</v>
      </c>
      <c r="BN1357" s="166">
        <v>0</v>
      </c>
      <c r="BO1357" s="166">
        <v>0</v>
      </c>
      <c r="BP1357" s="166">
        <v>0</v>
      </c>
      <c r="BQ1357" s="81" t="s">
        <v>1757</v>
      </c>
      <c r="BZ1357" s="81" t="s">
        <v>155</v>
      </c>
      <c r="CA1357" s="81">
        <v>10</v>
      </c>
      <c r="CC1357" s="167">
        <v>0</v>
      </c>
      <c r="CD1357" s="167">
        <v>0</v>
      </c>
      <c r="CE1357" s="167">
        <v>0</v>
      </c>
      <c r="CF1357" s="167">
        <v>0</v>
      </c>
      <c r="CG1357" s="167">
        <v>0</v>
      </c>
      <c r="CH1357" s="167">
        <f>$N1357/3</f>
        <v>0</v>
      </c>
      <c r="CI1357" s="167">
        <f>$N1357/3</f>
        <v>0</v>
      </c>
      <c r="CJ1357" s="167">
        <f>$N1357/3</f>
        <v>0</v>
      </c>
      <c r="CK1357" s="167">
        <v>0</v>
      </c>
      <c r="CL1357" s="167">
        <v>0</v>
      </c>
      <c r="CM1357" s="167">
        <v>0</v>
      </c>
      <c r="CN1357" s="167">
        <v>0</v>
      </c>
      <c r="CO1357" s="167">
        <v>0</v>
      </c>
      <c r="CP1357" s="167">
        <v>0</v>
      </c>
      <c r="CQ1357" s="167">
        <v>0</v>
      </c>
      <c r="CR1357" s="167">
        <v>0</v>
      </c>
      <c r="CS1357" s="167">
        <v>0</v>
      </c>
      <c r="CT1357" s="167">
        <v>0</v>
      </c>
      <c r="CU1357" s="167">
        <v>0</v>
      </c>
      <c r="CV1357" s="167">
        <v>0</v>
      </c>
      <c r="CW1357" s="167">
        <v>0</v>
      </c>
      <c r="CX1357" s="167">
        <f>SUM(CD1357:CH1357)</f>
        <v>0</v>
      </c>
      <c r="CY1357" s="167">
        <f>SUM(CD1357:CM1357)</f>
        <v>0</v>
      </c>
    </row>
    <row r="1358" spans="1:103" ht="12.75" customHeight="1" x14ac:dyDescent="0.2">
      <c r="A1358" s="81">
        <v>6884</v>
      </c>
      <c r="B1358" s="165" t="s">
        <v>1955</v>
      </c>
      <c r="C1358" s="165" t="s">
        <v>2398</v>
      </c>
      <c r="E1358" s="165" t="s">
        <v>2399</v>
      </c>
      <c r="F1358" s="165" t="s">
        <v>2095</v>
      </c>
      <c r="G1358" s="81">
        <v>524096</v>
      </c>
      <c r="H1358" s="81">
        <v>175530</v>
      </c>
      <c r="I1358" s="165" t="s">
        <v>259</v>
      </c>
      <c r="L1358" s="166">
        <v>0</v>
      </c>
      <c r="M1358" s="166">
        <v>2</v>
      </c>
      <c r="N1358" s="166">
        <v>2</v>
      </c>
      <c r="O1358" s="166">
        <v>3</v>
      </c>
      <c r="P1358" s="166">
        <v>3</v>
      </c>
      <c r="R1358" s="165" t="s">
        <v>2400</v>
      </c>
      <c r="S1358" s="81" t="s">
        <v>121</v>
      </c>
      <c r="T1358" s="349">
        <v>43180</v>
      </c>
      <c r="W1358" s="81" t="s">
        <v>114</v>
      </c>
      <c r="Y1358" s="81" t="s">
        <v>115</v>
      </c>
      <c r="Z1358" s="81" t="s">
        <v>398</v>
      </c>
      <c r="AA1358" s="81" t="s">
        <v>117</v>
      </c>
      <c r="AB1358" s="81" t="s">
        <v>218</v>
      </c>
      <c r="AC1358" s="166">
        <v>8.0000003799796104E-3</v>
      </c>
      <c r="AG1358" s="81" t="s">
        <v>238</v>
      </c>
      <c r="AH1358" s="81" t="s">
        <v>118</v>
      </c>
      <c r="AK1358" s="166">
        <v>0</v>
      </c>
      <c r="AM1358" s="166">
        <v>0</v>
      </c>
      <c r="AO1358" s="166">
        <v>0</v>
      </c>
      <c r="AP1358" s="166">
        <v>0</v>
      </c>
      <c r="AQ1358" s="166">
        <v>2</v>
      </c>
      <c r="AR1358" s="166">
        <v>0</v>
      </c>
      <c r="AS1358" s="166">
        <v>0</v>
      </c>
      <c r="AT1358" s="166">
        <v>0</v>
      </c>
      <c r="AU1358" s="166">
        <v>0</v>
      </c>
      <c r="AV1358" s="166">
        <v>0</v>
      </c>
      <c r="AW1358" s="166">
        <v>0</v>
      </c>
      <c r="AX1358" s="166">
        <v>2</v>
      </c>
      <c r="AY1358" s="166">
        <v>0</v>
      </c>
      <c r="AZ1358" s="166">
        <v>0</v>
      </c>
      <c r="BA1358" s="166">
        <v>0</v>
      </c>
      <c r="BB1358" s="166">
        <v>0</v>
      </c>
      <c r="BC1358" s="166">
        <v>0</v>
      </c>
      <c r="BD1358" s="166">
        <v>0</v>
      </c>
      <c r="BE1358" s="166">
        <v>0</v>
      </c>
      <c r="BF1358" s="166">
        <v>0</v>
      </c>
      <c r="BG1358" s="166">
        <v>0</v>
      </c>
      <c r="BH1358" s="166">
        <v>0</v>
      </c>
      <c r="BI1358" s="166">
        <v>0</v>
      </c>
      <c r="BJ1358" s="166">
        <v>0</v>
      </c>
      <c r="BK1358" s="166">
        <v>0</v>
      </c>
      <c r="BL1358" s="166">
        <v>0</v>
      </c>
      <c r="BM1358" s="166">
        <v>0</v>
      </c>
      <c r="BN1358" s="166">
        <v>0</v>
      </c>
      <c r="BO1358" s="166">
        <v>0</v>
      </c>
      <c r="BP1358" s="166">
        <v>0</v>
      </c>
      <c r="BQ1358" s="81" t="s">
        <v>1758</v>
      </c>
      <c r="BR1358" s="81" t="s">
        <v>161</v>
      </c>
      <c r="BZ1358" s="81" t="s">
        <v>155</v>
      </c>
      <c r="CA1358" s="81">
        <v>10</v>
      </c>
      <c r="CC1358" s="167">
        <v>0</v>
      </c>
      <c r="CD1358" s="167">
        <v>0</v>
      </c>
      <c r="CE1358" s="167">
        <v>0</v>
      </c>
      <c r="CF1358" s="167">
        <v>0</v>
      </c>
      <c r="CG1358" s="167">
        <v>0</v>
      </c>
      <c r="CH1358" s="167">
        <f>$N1358/3</f>
        <v>0.66666666666666663</v>
      </c>
      <c r="CI1358" s="167">
        <f>$N1358/3</f>
        <v>0.66666666666666663</v>
      </c>
      <c r="CJ1358" s="167">
        <f>$N1358/3</f>
        <v>0.66666666666666663</v>
      </c>
      <c r="CK1358" s="167">
        <v>0</v>
      </c>
      <c r="CL1358" s="167">
        <v>0</v>
      </c>
      <c r="CM1358" s="167">
        <v>0</v>
      </c>
      <c r="CN1358" s="167">
        <v>0</v>
      </c>
      <c r="CO1358" s="167">
        <v>0</v>
      </c>
      <c r="CP1358" s="167">
        <v>0</v>
      </c>
      <c r="CQ1358" s="167">
        <v>0</v>
      </c>
      <c r="CR1358" s="167">
        <v>0</v>
      </c>
      <c r="CS1358" s="167">
        <v>0</v>
      </c>
      <c r="CT1358" s="167">
        <v>0</v>
      </c>
      <c r="CU1358" s="167">
        <v>0</v>
      </c>
      <c r="CV1358" s="167">
        <v>0</v>
      </c>
      <c r="CW1358" s="167">
        <v>0</v>
      </c>
      <c r="CX1358" s="167">
        <f>SUM(CD1358:CH1358)</f>
        <v>0.66666666666666663</v>
      </c>
      <c r="CY1358" s="167">
        <f>SUM(CD1358:CM1358)</f>
        <v>2</v>
      </c>
    </row>
    <row r="1359" spans="1:103" ht="12.75" customHeight="1" x14ac:dyDescent="0.2">
      <c r="A1359" s="81">
        <v>6884</v>
      </c>
      <c r="B1359" s="165" t="s">
        <v>1955</v>
      </c>
      <c r="C1359" s="165" t="s">
        <v>2398</v>
      </c>
      <c r="E1359" s="165" t="s">
        <v>2399</v>
      </c>
      <c r="G1359" s="81">
        <v>524096</v>
      </c>
      <c r="H1359" s="81">
        <v>175530</v>
      </c>
      <c r="I1359" s="165" t="s">
        <v>259</v>
      </c>
      <c r="L1359" s="166">
        <v>0</v>
      </c>
      <c r="M1359" s="166">
        <v>1</v>
      </c>
      <c r="N1359" s="166">
        <v>1</v>
      </c>
      <c r="O1359" s="166">
        <v>3</v>
      </c>
      <c r="P1359" s="166">
        <v>3</v>
      </c>
      <c r="R1359" s="165" t="s">
        <v>2400</v>
      </c>
      <c r="S1359" s="81" t="s">
        <v>121</v>
      </c>
      <c r="T1359" s="349">
        <v>43180</v>
      </c>
      <c r="W1359" s="81" t="s">
        <v>114</v>
      </c>
      <c r="Y1359" s="81" t="s">
        <v>115</v>
      </c>
      <c r="Z1359" s="81" t="s">
        <v>398</v>
      </c>
      <c r="AA1359" s="81" t="s">
        <v>117</v>
      </c>
      <c r="AB1359" s="81" t="s">
        <v>218</v>
      </c>
      <c r="AC1359" s="166">
        <v>2.0000000949949E-3</v>
      </c>
      <c r="AG1359" s="81" t="s">
        <v>238</v>
      </c>
      <c r="AH1359" s="81" t="s">
        <v>118</v>
      </c>
      <c r="AK1359" s="166">
        <v>0</v>
      </c>
      <c r="AM1359" s="166">
        <v>0</v>
      </c>
      <c r="AO1359" s="166">
        <v>0</v>
      </c>
      <c r="AP1359" s="166">
        <v>1</v>
      </c>
      <c r="AQ1359" s="166">
        <v>0</v>
      </c>
      <c r="AR1359" s="166">
        <v>0</v>
      </c>
      <c r="AS1359" s="166">
        <v>0</v>
      </c>
      <c r="AT1359" s="166">
        <v>0</v>
      </c>
      <c r="AU1359" s="166">
        <v>0</v>
      </c>
      <c r="AV1359" s="166">
        <v>0</v>
      </c>
      <c r="AW1359" s="166">
        <v>1</v>
      </c>
      <c r="AX1359" s="166">
        <v>0</v>
      </c>
      <c r="AY1359" s="166">
        <v>0</v>
      </c>
      <c r="AZ1359" s="166">
        <v>0</v>
      </c>
      <c r="BA1359" s="166">
        <v>0</v>
      </c>
      <c r="BB1359" s="166">
        <v>0</v>
      </c>
      <c r="BC1359" s="166">
        <v>0</v>
      </c>
      <c r="BD1359" s="166">
        <v>0</v>
      </c>
      <c r="BE1359" s="166">
        <v>0</v>
      </c>
      <c r="BF1359" s="166">
        <v>0</v>
      </c>
      <c r="BG1359" s="166">
        <v>0</v>
      </c>
      <c r="BH1359" s="166">
        <v>0</v>
      </c>
      <c r="BI1359" s="166">
        <v>0</v>
      </c>
      <c r="BJ1359" s="166">
        <v>0</v>
      </c>
      <c r="BK1359" s="166">
        <v>0</v>
      </c>
      <c r="BL1359" s="166">
        <v>0</v>
      </c>
      <c r="BM1359" s="166">
        <v>0</v>
      </c>
      <c r="BN1359" s="166">
        <v>0</v>
      </c>
      <c r="BO1359" s="166">
        <v>0</v>
      </c>
      <c r="BP1359" s="166">
        <v>0</v>
      </c>
      <c r="BQ1359" s="81" t="s">
        <v>1758</v>
      </c>
      <c r="BR1359" s="81" t="s">
        <v>161</v>
      </c>
      <c r="BZ1359" s="81" t="s">
        <v>155</v>
      </c>
      <c r="CA1359" s="81">
        <v>10</v>
      </c>
      <c r="CC1359" s="167">
        <v>0</v>
      </c>
      <c r="CD1359" s="167">
        <v>0</v>
      </c>
      <c r="CE1359" s="167">
        <v>0</v>
      </c>
      <c r="CF1359" s="167">
        <v>0</v>
      </c>
      <c r="CG1359" s="167">
        <v>0</v>
      </c>
      <c r="CH1359" s="167">
        <f>$N1359/3</f>
        <v>0.33333333333333331</v>
      </c>
      <c r="CI1359" s="167">
        <f>$N1359/3</f>
        <v>0.33333333333333331</v>
      </c>
      <c r="CJ1359" s="167">
        <f>$N1359/3</f>
        <v>0.33333333333333331</v>
      </c>
      <c r="CK1359" s="167">
        <v>0</v>
      </c>
      <c r="CL1359" s="167">
        <v>0</v>
      </c>
      <c r="CM1359" s="167">
        <v>0</v>
      </c>
      <c r="CN1359" s="167">
        <v>0</v>
      </c>
      <c r="CO1359" s="167">
        <v>0</v>
      </c>
      <c r="CP1359" s="167">
        <v>0</v>
      </c>
      <c r="CQ1359" s="167">
        <v>0</v>
      </c>
      <c r="CR1359" s="167">
        <v>0</v>
      </c>
      <c r="CS1359" s="167">
        <v>0</v>
      </c>
      <c r="CT1359" s="167">
        <v>0</v>
      </c>
      <c r="CU1359" s="167">
        <v>0</v>
      </c>
      <c r="CV1359" s="167">
        <v>0</v>
      </c>
      <c r="CW1359" s="167">
        <v>0</v>
      </c>
      <c r="CX1359" s="167">
        <f>SUM(CD1359:CH1359)</f>
        <v>0.33333333333333331</v>
      </c>
      <c r="CY1359" s="167">
        <f>SUM(CD1359:CM1359)</f>
        <v>1</v>
      </c>
    </row>
    <row r="1360" spans="1:103" ht="12.75" customHeight="1" x14ac:dyDescent="0.2">
      <c r="A1360" s="81">
        <v>6885</v>
      </c>
      <c r="B1360" s="165" t="s">
        <v>1955</v>
      </c>
      <c r="C1360" s="165" t="s">
        <v>2401</v>
      </c>
      <c r="E1360" s="165" t="s">
        <v>2402</v>
      </c>
      <c r="G1360" s="81">
        <v>525906</v>
      </c>
      <c r="H1360" s="81">
        <v>173856</v>
      </c>
      <c r="I1360" s="165" t="s">
        <v>249</v>
      </c>
      <c r="L1360" s="166">
        <v>2</v>
      </c>
      <c r="M1360" s="166">
        <v>3</v>
      </c>
      <c r="N1360" s="166">
        <v>1</v>
      </c>
      <c r="O1360" s="166">
        <v>3</v>
      </c>
      <c r="P1360" s="166">
        <v>1</v>
      </c>
      <c r="R1360" s="165" t="s">
        <v>2403</v>
      </c>
      <c r="S1360" s="81" t="s">
        <v>121</v>
      </c>
      <c r="T1360" s="349">
        <v>43186</v>
      </c>
      <c r="W1360" s="81" t="s">
        <v>114</v>
      </c>
      <c r="Y1360" s="81" t="s">
        <v>115</v>
      </c>
      <c r="Z1360" s="81" t="s">
        <v>398</v>
      </c>
      <c r="AA1360" s="81" t="s">
        <v>117</v>
      </c>
      <c r="AB1360" s="81" t="s">
        <v>220</v>
      </c>
      <c r="AC1360" s="166">
        <v>1.09999999403954E-2</v>
      </c>
      <c r="AG1360" s="81" t="s">
        <v>238</v>
      </c>
      <c r="AH1360" s="81" t="s">
        <v>118</v>
      </c>
      <c r="AK1360" s="166">
        <v>0</v>
      </c>
      <c r="AM1360" s="166">
        <v>0</v>
      </c>
      <c r="AO1360" s="166">
        <v>-1</v>
      </c>
      <c r="AP1360" s="166">
        <v>1</v>
      </c>
      <c r="AQ1360" s="166">
        <v>1</v>
      </c>
      <c r="AR1360" s="166">
        <v>0</v>
      </c>
      <c r="AS1360" s="166">
        <v>0</v>
      </c>
      <c r="AT1360" s="166">
        <v>0</v>
      </c>
      <c r="AU1360" s="166">
        <v>0</v>
      </c>
      <c r="AV1360" s="166">
        <v>-1</v>
      </c>
      <c r="AW1360" s="166">
        <v>1</v>
      </c>
      <c r="AX1360" s="166">
        <v>1</v>
      </c>
      <c r="AY1360" s="166">
        <v>0</v>
      </c>
      <c r="AZ1360" s="166">
        <v>0</v>
      </c>
      <c r="BA1360" s="166">
        <v>0</v>
      </c>
      <c r="BB1360" s="166">
        <v>0</v>
      </c>
      <c r="BC1360" s="166">
        <v>0</v>
      </c>
      <c r="BD1360" s="166">
        <v>0</v>
      </c>
      <c r="BE1360" s="166">
        <v>0</v>
      </c>
      <c r="BF1360" s="166">
        <v>0</v>
      </c>
      <c r="BG1360" s="166">
        <v>0</v>
      </c>
      <c r="BH1360" s="166">
        <v>0</v>
      </c>
      <c r="BI1360" s="166">
        <v>0</v>
      </c>
      <c r="BJ1360" s="166">
        <v>0</v>
      </c>
      <c r="BK1360" s="166">
        <v>0</v>
      </c>
      <c r="BL1360" s="166">
        <v>0</v>
      </c>
      <c r="BM1360" s="166">
        <v>0</v>
      </c>
      <c r="BN1360" s="166">
        <v>0</v>
      </c>
      <c r="BO1360" s="166">
        <v>0</v>
      </c>
      <c r="BP1360" s="166">
        <v>0</v>
      </c>
      <c r="BQ1360" s="81" t="s">
        <v>1758</v>
      </c>
      <c r="BZ1360" s="81" t="s">
        <v>155</v>
      </c>
      <c r="CA1360" s="81">
        <v>10</v>
      </c>
      <c r="CC1360" s="167">
        <v>0</v>
      </c>
      <c r="CD1360" s="167">
        <v>0</v>
      </c>
      <c r="CE1360" s="167">
        <v>0</v>
      </c>
      <c r="CF1360" s="167">
        <v>0</v>
      </c>
      <c r="CG1360" s="167">
        <v>0</v>
      </c>
      <c r="CH1360" s="167">
        <f>$N1360/3</f>
        <v>0.33333333333333331</v>
      </c>
      <c r="CI1360" s="167">
        <f>$N1360/3</f>
        <v>0.33333333333333331</v>
      </c>
      <c r="CJ1360" s="167">
        <f>$N1360/3</f>
        <v>0.33333333333333331</v>
      </c>
      <c r="CK1360" s="167">
        <v>0</v>
      </c>
      <c r="CL1360" s="167">
        <v>0</v>
      </c>
      <c r="CM1360" s="167">
        <v>0</v>
      </c>
      <c r="CN1360" s="167">
        <v>0</v>
      </c>
      <c r="CO1360" s="167">
        <v>0</v>
      </c>
      <c r="CP1360" s="167">
        <v>0</v>
      </c>
      <c r="CQ1360" s="167">
        <v>0</v>
      </c>
      <c r="CR1360" s="167">
        <v>0</v>
      </c>
      <c r="CS1360" s="167">
        <v>0</v>
      </c>
      <c r="CT1360" s="167">
        <v>0</v>
      </c>
      <c r="CU1360" s="167">
        <v>0</v>
      </c>
      <c r="CV1360" s="167">
        <v>0</v>
      </c>
      <c r="CW1360" s="167">
        <v>0</v>
      </c>
      <c r="CX1360" s="167">
        <f>SUM(CD1360:CH1360)</f>
        <v>0.33333333333333331</v>
      </c>
      <c r="CY1360" s="167">
        <f>SUM(CD1360:CM1360)</f>
        <v>1</v>
      </c>
    </row>
    <row r="1361" spans="1:103" ht="12.75" customHeight="1" x14ac:dyDescent="0.2">
      <c r="A1361" s="81">
        <v>6921</v>
      </c>
      <c r="B1361" s="165" t="s">
        <v>1955</v>
      </c>
      <c r="C1361" s="165" t="s">
        <v>2404</v>
      </c>
      <c r="E1361" s="165" t="s">
        <v>2405</v>
      </c>
      <c r="F1361" s="165" t="s">
        <v>1803</v>
      </c>
      <c r="G1361" s="81">
        <v>526971</v>
      </c>
      <c r="H1361" s="81">
        <v>176456</v>
      </c>
      <c r="I1361" s="165" t="s">
        <v>257</v>
      </c>
      <c r="L1361" s="166">
        <v>0</v>
      </c>
      <c r="M1361" s="166">
        <v>1</v>
      </c>
      <c r="N1361" s="166">
        <v>1</v>
      </c>
      <c r="O1361" s="166">
        <v>1</v>
      </c>
      <c r="P1361" s="166">
        <v>1</v>
      </c>
      <c r="R1361" s="165" t="s">
        <v>2406</v>
      </c>
      <c r="S1361" s="81" t="s">
        <v>121</v>
      </c>
      <c r="T1361" s="349">
        <v>43166</v>
      </c>
      <c r="W1361" s="81" t="s">
        <v>114</v>
      </c>
      <c r="Y1361" s="81" t="s">
        <v>115</v>
      </c>
      <c r="Z1361" s="81" t="s">
        <v>219</v>
      </c>
      <c r="AA1361" s="81" t="s">
        <v>117</v>
      </c>
      <c r="AB1361" s="81" t="s">
        <v>3889</v>
      </c>
      <c r="AC1361" s="166">
        <v>6.0000000521540598E-3</v>
      </c>
      <c r="AG1361" s="81" t="s">
        <v>238</v>
      </c>
      <c r="AH1361" s="81" t="s">
        <v>118</v>
      </c>
      <c r="AK1361" s="166">
        <v>0</v>
      </c>
      <c r="AM1361" s="166">
        <v>0</v>
      </c>
      <c r="AO1361" s="166">
        <v>0</v>
      </c>
      <c r="AP1361" s="166">
        <v>0</v>
      </c>
      <c r="AQ1361" s="166">
        <v>1</v>
      </c>
      <c r="AR1361" s="166">
        <v>0</v>
      </c>
      <c r="AS1361" s="166">
        <v>0</v>
      </c>
      <c r="AT1361" s="166">
        <v>0</v>
      </c>
      <c r="AU1361" s="166">
        <v>0</v>
      </c>
      <c r="AV1361" s="166">
        <v>0</v>
      </c>
      <c r="AW1361" s="166">
        <v>0</v>
      </c>
      <c r="AX1361" s="166">
        <v>1</v>
      </c>
      <c r="AY1361" s="166">
        <v>0</v>
      </c>
      <c r="AZ1361" s="166">
        <v>0</v>
      </c>
      <c r="BA1361" s="166">
        <v>0</v>
      </c>
      <c r="BB1361" s="166">
        <v>0</v>
      </c>
      <c r="BC1361" s="166">
        <v>0</v>
      </c>
      <c r="BD1361" s="166">
        <v>0</v>
      </c>
      <c r="BE1361" s="166">
        <v>0</v>
      </c>
      <c r="BF1361" s="166">
        <v>0</v>
      </c>
      <c r="BG1361" s="166">
        <v>0</v>
      </c>
      <c r="BH1361" s="166">
        <v>0</v>
      </c>
      <c r="BI1361" s="166">
        <v>0</v>
      </c>
      <c r="BJ1361" s="166">
        <v>0</v>
      </c>
      <c r="BK1361" s="166">
        <v>0</v>
      </c>
      <c r="BL1361" s="166">
        <v>0</v>
      </c>
      <c r="BM1361" s="166">
        <v>0</v>
      </c>
      <c r="BN1361" s="166">
        <v>0</v>
      </c>
      <c r="BO1361" s="166">
        <v>0</v>
      </c>
      <c r="BP1361" s="166">
        <v>0</v>
      </c>
      <c r="BQ1361" s="81" t="s">
        <v>1757</v>
      </c>
      <c r="BZ1361" s="81" t="s">
        <v>155</v>
      </c>
      <c r="CA1361" s="81">
        <v>10</v>
      </c>
      <c r="CC1361" s="167">
        <v>0</v>
      </c>
      <c r="CD1361" s="167">
        <v>0</v>
      </c>
      <c r="CE1361" s="167">
        <v>0</v>
      </c>
      <c r="CF1361" s="167">
        <v>0</v>
      </c>
      <c r="CG1361" s="167">
        <v>0</v>
      </c>
      <c r="CH1361" s="167">
        <f>$N1361/3</f>
        <v>0.33333333333333331</v>
      </c>
      <c r="CI1361" s="167">
        <f>$N1361/3</f>
        <v>0.33333333333333331</v>
      </c>
      <c r="CJ1361" s="167">
        <f>$N1361/3</f>
        <v>0.33333333333333331</v>
      </c>
      <c r="CK1361" s="167">
        <v>0</v>
      </c>
      <c r="CL1361" s="167">
        <v>0</v>
      </c>
      <c r="CM1361" s="167">
        <v>0</v>
      </c>
      <c r="CN1361" s="167">
        <v>0</v>
      </c>
      <c r="CO1361" s="167">
        <v>0</v>
      </c>
      <c r="CP1361" s="167">
        <v>0</v>
      </c>
      <c r="CQ1361" s="167">
        <v>0</v>
      </c>
      <c r="CR1361" s="167">
        <v>0</v>
      </c>
      <c r="CS1361" s="167">
        <v>0</v>
      </c>
      <c r="CT1361" s="167">
        <v>0</v>
      </c>
      <c r="CU1361" s="167">
        <v>0</v>
      </c>
      <c r="CV1361" s="167">
        <v>0</v>
      </c>
      <c r="CW1361" s="167">
        <v>0</v>
      </c>
      <c r="CX1361" s="167">
        <f>SUM(CD1361:CH1361)</f>
        <v>0.33333333333333331</v>
      </c>
      <c r="CY1361" s="167">
        <f>SUM(CD1361:CM1361)</f>
        <v>1</v>
      </c>
    </row>
    <row r="1362" spans="1:103" ht="12.75" customHeight="1" x14ac:dyDescent="0.2">
      <c r="A1362" s="81">
        <v>3523</v>
      </c>
      <c r="B1362" s="165" t="s">
        <v>1902</v>
      </c>
      <c r="C1362" s="165" t="s">
        <v>1903</v>
      </c>
      <c r="D1362" s="165" t="s">
        <v>1904</v>
      </c>
      <c r="E1362" s="165" t="s">
        <v>1752</v>
      </c>
      <c r="G1362" s="81">
        <v>526043</v>
      </c>
      <c r="H1362" s="81">
        <v>175254</v>
      </c>
      <c r="I1362" s="165" t="s">
        <v>251</v>
      </c>
      <c r="L1362" s="166">
        <v>0</v>
      </c>
      <c r="M1362" s="166">
        <v>3</v>
      </c>
      <c r="N1362" s="166">
        <v>3</v>
      </c>
      <c r="O1362" s="166">
        <v>3</v>
      </c>
      <c r="P1362" s="166">
        <v>3</v>
      </c>
      <c r="R1362" s="165" t="s">
        <v>1905</v>
      </c>
      <c r="S1362" s="81" t="s">
        <v>1906</v>
      </c>
      <c r="W1362" s="81" t="s">
        <v>114</v>
      </c>
      <c r="Y1362" s="81" t="s">
        <v>115</v>
      </c>
      <c r="Z1362" s="81" t="s">
        <v>116</v>
      </c>
      <c r="AA1362" s="81" t="s">
        <v>117</v>
      </c>
      <c r="AB1362" s="81" t="s">
        <v>218</v>
      </c>
      <c r="AC1362" s="166">
        <v>0</v>
      </c>
      <c r="AG1362" s="81" t="s">
        <v>238</v>
      </c>
      <c r="AH1362" s="81" t="s">
        <v>118</v>
      </c>
      <c r="AI1362" s="81" t="s">
        <v>1907</v>
      </c>
      <c r="AJ1362" s="81">
        <v>17320120</v>
      </c>
      <c r="AK1362" s="166">
        <v>0</v>
      </c>
      <c r="AM1362" s="166">
        <v>0</v>
      </c>
      <c r="AO1362" s="166">
        <v>0</v>
      </c>
      <c r="AP1362" s="166">
        <v>0</v>
      </c>
      <c r="AQ1362" s="166">
        <v>0</v>
      </c>
      <c r="AR1362" s="166">
        <v>0</v>
      </c>
      <c r="AS1362" s="166">
        <v>0</v>
      </c>
      <c r="AT1362" s="166">
        <v>0</v>
      </c>
      <c r="AU1362" s="166">
        <v>3</v>
      </c>
      <c r="AV1362" s="166">
        <v>0</v>
      </c>
      <c r="AW1362" s="166">
        <v>0</v>
      </c>
      <c r="AX1362" s="166">
        <v>0</v>
      </c>
      <c r="AY1362" s="166">
        <v>0</v>
      </c>
      <c r="AZ1362" s="166">
        <v>0</v>
      </c>
      <c r="BA1362" s="166">
        <v>0</v>
      </c>
      <c r="BB1362" s="166">
        <v>3</v>
      </c>
      <c r="BC1362" s="166">
        <v>0</v>
      </c>
      <c r="BD1362" s="166">
        <v>0</v>
      </c>
      <c r="BE1362" s="166">
        <v>0</v>
      </c>
      <c r="BF1362" s="166">
        <v>0</v>
      </c>
      <c r="BG1362" s="166">
        <v>0</v>
      </c>
      <c r="BH1362" s="166">
        <v>0</v>
      </c>
      <c r="BI1362" s="166">
        <v>0</v>
      </c>
      <c r="BJ1362" s="166">
        <v>0</v>
      </c>
      <c r="BK1362" s="166">
        <v>0</v>
      </c>
      <c r="BL1362" s="166">
        <v>0</v>
      </c>
      <c r="BM1362" s="166">
        <v>0</v>
      </c>
      <c r="BN1362" s="166">
        <v>0</v>
      </c>
      <c r="BO1362" s="166">
        <v>0</v>
      </c>
      <c r="BP1362" s="166">
        <v>0</v>
      </c>
      <c r="BQ1362" s="81" t="s">
        <v>1758</v>
      </c>
      <c r="BT1362" s="81" t="s">
        <v>155</v>
      </c>
      <c r="BZ1362" s="81" t="s">
        <v>155</v>
      </c>
      <c r="CA1362" s="81">
        <v>11</v>
      </c>
      <c r="CC1362" s="167">
        <v>0</v>
      </c>
      <c r="CD1362" s="167">
        <v>0</v>
      </c>
      <c r="CE1362" s="167">
        <v>0</v>
      </c>
      <c r="CF1362" s="167">
        <v>0</v>
      </c>
      <c r="CG1362" s="167">
        <v>0</v>
      </c>
      <c r="CH1362" s="167">
        <v>0</v>
      </c>
      <c r="CI1362" s="167">
        <v>0</v>
      </c>
      <c r="CJ1362" s="167">
        <v>0</v>
      </c>
      <c r="CK1362" s="167">
        <v>0</v>
      </c>
      <c r="CL1362" s="167">
        <v>0</v>
      </c>
      <c r="CM1362" s="167">
        <v>0</v>
      </c>
      <c r="CN1362" s="167">
        <v>0</v>
      </c>
      <c r="CO1362" s="167">
        <f>$N1362/12</f>
        <v>0.25</v>
      </c>
      <c r="CP1362" s="167">
        <f>$N1362/12</f>
        <v>0.25</v>
      </c>
      <c r="CQ1362" s="167">
        <f>$N1362/12</f>
        <v>0.25</v>
      </c>
      <c r="CR1362" s="167">
        <f>$N1362/12</f>
        <v>0.25</v>
      </c>
      <c r="CS1362" s="167">
        <f>$N1362/12</f>
        <v>0.25</v>
      </c>
      <c r="CT1362" s="167">
        <f>$N1362/12</f>
        <v>0.25</v>
      </c>
      <c r="CU1362" s="167">
        <f>$N1362/12</f>
        <v>0.25</v>
      </c>
      <c r="CV1362" s="167">
        <f>$N1362/12</f>
        <v>0.25</v>
      </c>
      <c r="CW1362" s="167">
        <f>$N1362/12</f>
        <v>0.25</v>
      </c>
      <c r="CX1362" s="167">
        <f>SUM(CD1362:CH1362)</f>
        <v>0</v>
      </c>
      <c r="CY1362" s="167">
        <f>SUM(CD1362:CM1362)</f>
        <v>0</v>
      </c>
    </row>
    <row r="1363" spans="1:103" ht="12.75" customHeight="1" x14ac:dyDescent="0.2">
      <c r="A1363" s="81">
        <v>3955</v>
      </c>
      <c r="B1363" s="165" t="s">
        <v>1902</v>
      </c>
      <c r="C1363" s="165" t="s">
        <v>3018</v>
      </c>
      <c r="E1363" s="165" t="s">
        <v>3019</v>
      </c>
      <c r="G1363" s="81">
        <v>526045</v>
      </c>
      <c r="H1363" s="81">
        <v>175348</v>
      </c>
      <c r="I1363" s="165" t="s">
        <v>251</v>
      </c>
      <c r="L1363" s="166">
        <v>0</v>
      </c>
      <c r="M1363" s="166">
        <v>42</v>
      </c>
      <c r="N1363" s="166">
        <v>42</v>
      </c>
      <c r="O1363" s="166">
        <v>62</v>
      </c>
      <c r="P1363" s="166">
        <v>62</v>
      </c>
      <c r="Q1363" s="81" t="s">
        <v>155</v>
      </c>
      <c r="R1363" s="165" t="s">
        <v>1905</v>
      </c>
      <c r="S1363" s="81" t="s">
        <v>1906</v>
      </c>
      <c r="W1363" s="81" t="s">
        <v>114</v>
      </c>
      <c r="Y1363" s="81" t="s">
        <v>115</v>
      </c>
      <c r="Z1363" s="81" t="s">
        <v>116</v>
      </c>
      <c r="AA1363" s="81" t="s">
        <v>116</v>
      </c>
      <c r="AB1363" s="81" t="s">
        <v>117</v>
      </c>
      <c r="AC1363" s="166">
        <v>0</v>
      </c>
      <c r="AG1363" s="81" t="s">
        <v>238</v>
      </c>
      <c r="AH1363" s="81" t="s">
        <v>118</v>
      </c>
      <c r="AI1363" s="81" t="s">
        <v>3020</v>
      </c>
      <c r="AK1363" s="166">
        <v>0</v>
      </c>
      <c r="AM1363" s="166">
        <v>0</v>
      </c>
      <c r="AO1363" s="166">
        <v>0</v>
      </c>
      <c r="AP1363" s="166">
        <v>0</v>
      </c>
      <c r="AQ1363" s="166">
        <v>0</v>
      </c>
      <c r="AR1363" s="166">
        <v>0</v>
      </c>
      <c r="AS1363" s="166">
        <v>0</v>
      </c>
      <c r="AT1363" s="166">
        <v>0</v>
      </c>
      <c r="AU1363" s="166">
        <v>42</v>
      </c>
      <c r="AV1363" s="166">
        <v>0</v>
      </c>
      <c r="AW1363" s="166">
        <v>0</v>
      </c>
      <c r="AX1363" s="166">
        <v>0</v>
      </c>
      <c r="AY1363" s="166">
        <v>0</v>
      </c>
      <c r="AZ1363" s="166">
        <v>0</v>
      </c>
      <c r="BA1363" s="166">
        <v>0</v>
      </c>
      <c r="BB1363" s="166">
        <v>42</v>
      </c>
      <c r="BC1363" s="166">
        <v>0</v>
      </c>
      <c r="BD1363" s="166">
        <v>0</v>
      </c>
      <c r="BE1363" s="166">
        <v>0</v>
      </c>
      <c r="BF1363" s="166">
        <v>0</v>
      </c>
      <c r="BG1363" s="166">
        <v>0</v>
      </c>
      <c r="BH1363" s="166">
        <v>0</v>
      </c>
      <c r="BI1363" s="166">
        <v>0</v>
      </c>
      <c r="BJ1363" s="166">
        <v>0</v>
      </c>
      <c r="BK1363" s="166">
        <v>0</v>
      </c>
      <c r="BL1363" s="166">
        <v>0</v>
      </c>
      <c r="BM1363" s="166">
        <v>0</v>
      </c>
      <c r="BN1363" s="166">
        <v>0</v>
      </c>
      <c r="BO1363" s="166">
        <v>0</v>
      </c>
      <c r="BP1363" s="166">
        <v>0</v>
      </c>
      <c r="BQ1363" s="81" t="s">
        <v>1758</v>
      </c>
      <c r="BT1363" s="81" t="s">
        <v>155</v>
      </c>
      <c r="BZ1363" s="81" t="s">
        <v>155</v>
      </c>
      <c r="CA1363" s="81">
        <v>11</v>
      </c>
      <c r="CC1363" s="167">
        <v>0</v>
      </c>
      <c r="CD1363" s="167">
        <v>0</v>
      </c>
      <c r="CE1363" s="167">
        <v>0</v>
      </c>
      <c r="CF1363" s="167">
        <v>0</v>
      </c>
      <c r="CG1363" s="167">
        <v>0</v>
      </c>
      <c r="CH1363" s="167">
        <v>0</v>
      </c>
      <c r="CI1363" s="167">
        <v>0</v>
      </c>
      <c r="CJ1363" s="167">
        <f>$N1363/17</f>
        <v>2.4705882352941178</v>
      </c>
      <c r="CK1363" s="167">
        <f>$N1363/17</f>
        <v>2.4705882352941178</v>
      </c>
      <c r="CL1363" s="167">
        <f>$N1363/17</f>
        <v>2.4705882352941178</v>
      </c>
      <c r="CM1363" s="167">
        <f>$N1363/17</f>
        <v>2.4705882352941178</v>
      </c>
      <c r="CN1363" s="167">
        <f>$N1363/17</f>
        <v>2.4705882352941178</v>
      </c>
      <c r="CO1363" s="167">
        <f>$N1363/17</f>
        <v>2.4705882352941178</v>
      </c>
      <c r="CP1363" s="167">
        <f>$N1363/17</f>
        <v>2.4705882352941178</v>
      </c>
      <c r="CQ1363" s="167">
        <f>$N1363/17</f>
        <v>2.4705882352941178</v>
      </c>
      <c r="CR1363" s="167">
        <f>$N1363/17</f>
        <v>2.4705882352941178</v>
      </c>
      <c r="CS1363" s="167">
        <f>$N1363/17</f>
        <v>2.4705882352941178</v>
      </c>
      <c r="CT1363" s="167">
        <f>$N1363/17</f>
        <v>2.4705882352941178</v>
      </c>
      <c r="CU1363" s="167">
        <f>$N1363/17</f>
        <v>2.4705882352941178</v>
      </c>
      <c r="CV1363" s="167">
        <f>$N1363/17</f>
        <v>2.4705882352941178</v>
      </c>
      <c r="CW1363" s="167">
        <f>$N1363/17</f>
        <v>2.4705882352941178</v>
      </c>
      <c r="CX1363" s="167">
        <f>SUM(CD1363:CH1363)</f>
        <v>0</v>
      </c>
      <c r="CY1363" s="167">
        <f>SUM(CD1363:CM1363)</f>
        <v>9.882352941176471</v>
      </c>
    </row>
    <row r="1364" spans="1:103" ht="12.75" customHeight="1" x14ac:dyDescent="0.2">
      <c r="A1364" s="81">
        <v>3955</v>
      </c>
      <c r="B1364" s="165" t="s">
        <v>1902</v>
      </c>
      <c r="C1364" s="165" t="s">
        <v>3018</v>
      </c>
      <c r="E1364" s="165" t="s">
        <v>3019</v>
      </c>
      <c r="G1364" s="81">
        <v>526045</v>
      </c>
      <c r="H1364" s="81">
        <v>175348</v>
      </c>
      <c r="I1364" s="165" t="s">
        <v>251</v>
      </c>
      <c r="L1364" s="166">
        <v>0</v>
      </c>
      <c r="M1364" s="166">
        <v>12</v>
      </c>
      <c r="N1364" s="166">
        <v>12</v>
      </c>
      <c r="O1364" s="166">
        <v>62</v>
      </c>
      <c r="P1364" s="166">
        <v>62</v>
      </c>
      <c r="Q1364" s="81" t="s">
        <v>155</v>
      </c>
      <c r="R1364" s="165" t="s">
        <v>1905</v>
      </c>
      <c r="S1364" s="81" t="s">
        <v>1906</v>
      </c>
      <c r="W1364" s="81" t="s">
        <v>114</v>
      </c>
      <c r="Y1364" s="81" t="s">
        <v>115</v>
      </c>
      <c r="Z1364" s="81" t="s">
        <v>116</v>
      </c>
      <c r="AA1364" s="81" t="s">
        <v>116</v>
      </c>
      <c r="AB1364" s="81" t="s">
        <v>117</v>
      </c>
      <c r="AC1364" s="166">
        <v>0</v>
      </c>
      <c r="AG1364" s="81" t="s">
        <v>154</v>
      </c>
      <c r="AH1364" s="81" t="s">
        <v>276</v>
      </c>
      <c r="AI1364" s="81" t="s">
        <v>3020</v>
      </c>
      <c r="AK1364" s="166">
        <v>0</v>
      </c>
      <c r="AM1364" s="166">
        <v>0</v>
      </c>
      <c r="AO1364" s="166">
        <v>0</v>
      </c>
      <c r="AP1364" s="166">
        <v>0</v>
      </c>
      <c r="AQ1364" s="166">
        <v>0</v>
      </c>
      <c r="AR1364" s="166">
        <v>0</v>
      </c>
      <c r="AS1364" s="166">
        <v>0</v>
      </c>
      <c r="AT1364" s="166">
        <v>0</v>
      </c>
      <c r="AU1364" s="166">
        <v>12</v>
      </c>
      <c r="AV1364" s="166">
        <v>0</v>
      </c>
      <c r="AW1364" s="166">
        <v>0</v>
      </c>
      <c r="AX1364" s="166">
        <v>0</v>
      </c>
      <c r="AY1364" s="166">
        <v>0</v>
      </c>
      <c r="AZ1364" s="166">
        <v>0</v>
      </c>
      <c r="BA1364" s="166">
        <v>0</v>
      </c>
      <c r="BB1364" s="166">
        <v>12</v>
      </c>
      <c r="BC1364" s="166">
        <v>0</v>
      </c>
      <c r="BD1364" s="166">
        <v>0</v>
      </c>
      <c r="BE1364" s="166">
        <v>0</v>
      </c>
      <c r="BF1364" s="166">
        <v>0</v>
      </c>
      <c r="BG1364" s="166">
        <v>0</v>
      </c>
      <c r="BH1364" s="166">
        <v>0</v>
      </c>
      <c r="BI1364" s="166">
        <v>0</v>
      </c>
      <c r="BJ1364" s="166">
        <v>0</v>
      </c>
      <c r="BK1364" s="166">
        <v>0</v>
      </c>
      <c r="BL1364" s="166">
        <v>0</v>
      </c>
      <c r="BM1364" s="166">
        <v>0</v>
      </c>
      <c r="BN1364" s="166">
        <v>0</v>
      </c>
      <c r="BO1364" s="166">
        <v>0</v>
      </c>
      <c r="BP1364" s="166">
        <v>0</v>
      </c>
      <c r="BQ1364" s="81" t="s">
        <v>1758</v>
      </c>
      <c r="BT1364" s="81" t="s">
        <v>155</v>
      </c>
      <c r="BZ1364" s="81" t="s">
        <v>155</v>
      </c>
      <c r="CA1364" s="81">
        <v>11</v>
      </c>
      <c r="CC1364" s="167">
        <v>0</v>
      </c>
      <c r="CD1364" s="167">
        <v>0</v>
      </c>
      <c r="CE1364" s="167">
        <v>0</v>
      </c>
      <c r="CF1364" s="167">
        <v>0</v>
      </c>
      <c r="CG1364" s="167">
        <v>0</v>
      </c>
      <c r="CH1364" s="167">
        <v>0</v>
      </c>
      <c r="CI1364" s="167">
        <v>0</v>
      </c>
      <c r="CJ1364" s="167">
        <f>$N1364/17</f>
        <v>0.70588235294117652</v>
      </c>
      <c r="CK1364" s="167">
        <f>$N1364/17</f>
        <v>0.70588235294117652</v>
      </c>
      <c r="CL1364" s="167">
        <f>$N1364/17</f>
        <v>0.70588235294117652</v>
      </c>
      <c r="CM1364" s="167">
        <f>$N1364/17</f>
        <v>0.70588235294117652</v>
      </c>
      <c r="CN1364" s="167">
        <f>$N1364/17</f>
        <v>0.70588235294117652</v>
      </c>
      <c r="CO1364" s="167">
        <f>$N1364/17</f>
        <v>0.70588235294117652</v>
      </c>
      <c r="CP1364" s="167">
        <f>$N1364/17</f>
        <v>0.70588235294117652</v>
      </c>
      <c r="CQ1364" s="167">
        <f>$N1364/17</f>
        <v>0.70588235294117652</v>
      </c>
      <c r="CR1364" s="167">
        <f>$N1364/17</f>
        <v>0.70588235294117652</v>
      </c>
      <c r="CS1364" s="167">
        <f>$N1364/17</f>
        <v>0.70588235294117652</v>
      </c>
      <c r="CT1364" s="167">
        <f>$N1364/17</f>
        <v>0.70588235294117652</v>
      </c>
      <c r="CU1364" s="167">
        <f>$N1364/17</f>
        <v>0.70588235294117652</v>
      </c>
      <c r="CV1364" s="167">
        <f>$N1364/17</f>
        <v>0.70588235294117652</v>
      </c>
      <c r="CW1364" s="167">
        <f>$N1364/17</f>
        <v>0.70588235294117652</v>
      </c>
      <c r="CX1364" s="167">
        <f>SUM(CD1364:CH1364)</f>
        <v>0</v>
      </c>
      <c r="CY1364" s="167">
        <f>SUM(CD1364:CM1364)</f>
        <v>2.8235294117647061</v>
      </c>
    </row>
    <row r="1365" spans="1:103" ht="12.75" customHeight="1" x14ac:dyDescent="0.2">
      <c r="A1365" s="81">
        <v>3955</v>
      </c>
      <c r="B1365" s="165" t="s">
        <v>1902</v>
      </c>
      <c r="C1365" s="165" t="s">
        <v>3018</v>
      </c>
      <c r="E1365" s="165" t="s">
        <v>3019</v>
      </c>
      <c r="G1365" s="81">
        <v>526045</v>
      </c>
      <c r="H1365" s="81">
        <v>175348</v>
      </c>
      <c r="I1365" s="165" t="s">
        <v>251</v>
      </c>
      <c r="L1365" s="166">
        <v>0</v>
      </c>
      <c r="M1365" s="166">
        <v>8</v>
      </c>
      <c r="N1365" s="166">
        <v>8</v>
      </c>
      <c r="O1365" s="166">
        <v>62</v>
      </c>
      <c r="P1365" s="166">
        <v>62</v>
      </c>
      <c r="Q1365" s="81" t="s">
        <v>155</v>
      </c>
      <c r="R1365" s="165" t="s">
        <v>1905</v>
      </c>
      <c r="S1365" s="81" t="s">
        <v>1906</v>
      </c>
      <c r="W1365" s="81" t="s">
        <v>114</v>
      </c>
      <c r="Y1365" s="81" t="s">
        <v>115</v>
      </c>
      <c r="Z1365" s="81" t="s">
        <v>116</v>
      </c>
      <c r="AA1365" s="81" t="s">
        <v>116</v>
      </c>
      <c r="AB1365" s="81" t="s">
        <v>117</v>
      </c>
      <c r="AC1365" s="166">
        <v>0</v>
      </c>
      <c r="AG1365" s="81" t="s">
        <v>74</v>
      </c>
      <c r="AH1365" s="81" t="s">
        <v>880</v>
      </c>
      <c r="AI1365" s="81" t="s">
        <v>3020</v>
      </c>
      <c r="AK1365" s="166">
        <v>0</v>
      </c>
      <c r="AM1365" s="166">
        <v>0</v>
      </c>
      <c r="AO1365" s="166">
        <v>0</v>
      </c>
      <c r="AP1365" s="166">
        <v>0</v>
      </c>
      <c r="AQ1365" s="166">
        <v>0</v>
      </c>
      <c r="AR1365" s="166">
        <v>0</v>
      </c>
      <c r="AS1365" s="166">
        <v>0</v>
      </c>
      <c r="AT1365" s="166">
        <v>0</v>
      </c>
      <c r="AU1365" s="166">
        <v>8</v>
      </c>
      <c r="AV1365" s="166">
        <v>0</v>
      </c>
      <c r="AW1365" s="166">
        <v>0</v>
      </c>
      <c r="AX1365" s="166">
        <v>0</v>
      </c>
      <c r="AY1365" s="166">
        <v>0</v>
      </c>
      <c r="AZ1365" s="166">
        <v>0</v>
      </c>
      <c r="BA1365" s="166">
        <v>0</v>
      </c>
      <c r="BB1365" s="166">
        <v>8</v>
      </c>
      <c r="BC1365" s="166">
        <v>0</v>
      </c>
      <c r="BD1365" s="166">
        <v>0</v>
      </c>
      <c r="BE1365" s="166">
        <v>0</v>
      </c>
      <c r="BF1365" s="166">
        <v>0</v>
      </c>
      <c r="BG1365" s="166">
        <v>0</v>
      </c>
      <c r="BH1365" s="166">
        <v>0</v>
      </c>
      <c r="BI1365" s="166">
        <v>0</v>
      </c>
      <c r="BJ1365" s="166">
        <v>0</v>
      </c>
      <c r="BK1365" s="166">
        <v>0</v>
      </c>
      <c r="BL1365" s="166">
        <v>0</v>
      </c>
      <c r="BM1365" s="166">
        <v>0</v>
      </c>
      <c r="BN1365" s="166">
        <v>0</v>
      </c>
      <c r="BO1365" s="166">
        <v>0</v>
      </c>
      <c r="BP1365" s="166">
        <v>0</v>
      </c>
      <c r="BQ1365" s="81" t="s">
        <v>1758</v>
      </c>
      <c r="BT1365" s="81" t="s">
        <v>155</v>
      </c>
      <c r="BZ1365" s="81" t="s">
        <v>155</v>
      </c>
      <c r="CA1365" s="81">
        <v>11</v>
      </c>
      <c r="CC1365" s="167">
        <v>0</v>
      </c>
      <c r="CD1365" s="167">
        <v>0</v>
      </c>
      <c r="CE1365" s="167">
        <v>0</v>
      </c>
      <c r="CF1365" s="167">
        <v>0</v>
      </c>
      <c r="CG1365" s="167">
        <v>0</v>
      </c>
      <c r="CH1365" s="167">
        <v>0</v>
      </c>
      <c r="CI1365" s="167">
        <v>0</v>
      </c>
      <c r="CJ1365" s="167">
        <f>$N1365/17</f>
        <v>0.47058823529411764</v>
      </c>
      <c r="CK1365" s="167">
        <f>$N1365/17</f>
        <v>0.47058823529411764</v>
      </c>
      <c r="CL1365" s="167">
        <f>$N1365/17</f>
        <v>0.47058823529411764</v>
      </c>
      <c r="CM1365" s="167">
        <f>$N1365/17</f>
        <v>0.47058823529411764</v>
      </c>
      <c r="CN1365" s="167">
        <f>$N1365/17</f>
        <v>0.47058823529411764</v>
      </c>
      <c r="CO1365" s="167">
        <f>$N1365/17</f>
        <v>0.47058823529411764</v>
      </c>
      <c r="CP1365" s="167">
        <f>$N1365/17</f>
        <v>0.47058823529411764</v>
      </c>
      <c r="CQ1365" s="167">
        <f>$N1365/17</f>
        <v>0.47058823529411764</v>
      </c>
      <c r="CR1365" s="167">
        <f>$N1365/17</f>
        <v>0.47058823529411764</v>
      </c>
      <c r="CS1365" s="167">
        <f>$N1365/17</f>
        <v>0.47058823529411764</v>
      </c>
      <c r="CT1365" s="167">
        <f>$N1365/17</f>
        <v>0.47058823529411764</v>
      </c>
      <c r="CU1365" s="167">
        <f>$N1365/17</f>
        <v>0.47058823529411764</v>
      </c>
      <c r="CV1365" s="167">
        <f>$N1365/17</f>
        <v>0.47058823529411764</v>
      </c>
      <c r="CW1365" s="167">
        <f>$N1365/17</f>
        <v>0.47058823529411764</v>
      </c>
      <c r="CX1365" s="167">
        <f>SUM(CD1365:CH1365)</f>
        <v>0</v>
      </c>
      <c r="CY1365" s="167">
        <f>SUM(CD1365:CM1365)</f>
        <v>1.8823529411764706</v>
      </c>
    </row>
    <row r="1366" spans="1:103" ht="12.75" customHeight="1" x14ac:dyDescent="0.2">
      <c r="A1366" s="81">
        <v>3956</v>
      </c>
      <c r="B1366" s="165" t="s">
        <v>1902</v>
      </c>
      <c r="C1366" s="165" t="s">
        <v>1917</v>
      </c>
      <c r="E1366" s="165" t="s">
        <v>1755</v>
      </c>
      <c r="G1366" s="81">
        <v>526150</v>
      </c>
      <c r="H1366" s="81">
        <v>175269</v>
      </c>
      <c r="I1366" s="165" t="s">
        <v>241</v>
      </c>
      <c r="L1366" s="166">
        <v>0</v>
      </c>
      <c r="M1366" s="166">
        <v>7</v>
      </c>
      <c r="N1366" s="166">
        <v>7</v>
      </c>
      <c r="O1366" s="166">
        <v>7</v>
      </c>
      <c r="P1366" s="166">
        <v>7</v>
      </c>
      <c r="R1366" s="165" t="s">
        <v>1905</v>
      </c>
      <c r="S1366" s="81" t="s">
        <v>1906</v>
      </c>
      <c r="W1366" s="81" t="s">
        <v>114</v>
      </c>
      <c r="Y1366" s="81" t="s">
        <v>115</v>
      </c>
      <c r="Z1366" s="81" t="s">
        <v>116</v>
      </c>
      <c r="AA1366" s="81" t="s">
        <v>116</v>
      </c>
      <c r="AB1366" s="81" t="s">
        <v>117</v>
      </c>
      <c r="AC1366" s="166">
        <v>0</v>
      </c>
      <c r="AG1366" s="81" t="s">
        <v>238</v>
      </c>
      <c r="AH1366" s="81" t="s">
        <v>118</v>
      </c>
      <c r="AI1366" s="81" t="s">
        <v>1744</v>
      </c>
      <c r="AJ1366" s="81">
        <v>17320282</v>
      </c>
      <c r="AK1366" s="166">
        <v>0</v>
      </c>
      <c r="AM1366" s="166">
        <v>0</v>
      </c>
      <c r="AO1366" s="166">
        <v>0</v>
      </c>
      <c r="AP1366" s="166">
        <v>0</v>
      </c>
      <c r="AQ1366" s="166">
        <v>0</v>
      </c>
      <c r="AR1366" s="166">
        <v>0</v>
      </c>
      <c r="AS1366" s="166">
        <v>0</v>
      </c>
      <c r="AT1366" s="166">
        <v>0</v>
      </c>
      <c r="AU1366" s="166">
        <v>7</v>
      </c>
      <c r="AV1366" s="166">
        <v>0</v>
      </c>
      <c r="AW1366" s="166">
        <v>0</v>
      </c>
      <c r="AX1366" s="166">
        <v>0</v>
      </c>
      <c r="AY1366" s="166">
        <v>0</v>
      </c>
      <c r="AZ1366" s="166">
        <v>0</v>
      </c>
      <c r="BA1366" s="166">
        <v>0</v>
      </c>
      <c r="BB1366" s="166">
        <v>7</v>
      </c>
      <c r="BC1366" s="166">
        <v>0</v>
      </c>
      <c r="BD1366" s="166">
        <v>0</v>
      </c>
      <c r="BE1366" s="166">
        <v>0</v>
      </c>
      <c r="BF1366" s="166">
        <v>0</v>
      </c>
      <c r="BG1366" s="166">
        <v>0</v>
      </c>
      <c r="BH1366" s="166">
        <v>0</v>
      </c>
      <c r="BI1366" s="166">
        <v>0</v>
      </c>
      <c r="BJ1366" s="166">
        <v>0</v>
      </c>
      <c r="BK1366" s="166">
        <v>0</v>
      </c>
      <c r="BL1366" s="166">
        <v>0</v>
      </c>
      <c r="BM1366" s="166">
        <v>0</v>
      </c>
      <c r="BN1366" s="166">
        <v>0</v>
      </c>
      <c r="BO1366" s="166">
        <v>0</v>
      </c>
      <c r="BP1366" s="166">
        <v>0</v>
      </c>
      <c r="BQ1366" s="81" t="s">
        <v>1757</v>
      </c>
      <c r="BT1366" s="81" t="s">
        <v>155</v>
      </c>
      <c r="BZ1366" s="81" t="s">
        <v>155</v>
      </c>
      <c r="CA1366" s="81">
        <v>11</v>
      </c>
      <c r="CC1366" s="167">
        <v>0</v>
      </c>
      <c r="CD1366" s="167">
        <v>0</v>
      </c>
      <c r="CE1366" s="167">
        <v>0</v>
      </c>
      <c r="CF1366" s="167">
        <v>0</v>
      </c>
      <c r="CG1366" s="167">
        <v>0</v>
      </c>
      <c r="CH1366" s="167">
        <v>0</v>
      </c>
      <c r="CI1366" s="167">
        <v>0</v>
      </c>
      <c r="CJ1366" s="167">
        <v>0</v>
      </c>
      <c r="CK1366" s="167">
        <v>0</v>
      </c>
      <c r="CL1366" s="167">
        <v>0</v>
      </c>
      <c r="CM1366" s="167">
        <v>0</v>
      </c>
      <c r="CN1366" s="167">
        <v>0</v>
      </c>
      <c r="CO1366" s="167">
        <f>$N1366/12</f>
        <v>0.58333333333333337</v>
      </c>
      <c r="CP1366" s="167">
        <f>$N1366/12</f>
        <v>0.58333333333333337</v>
      </c>
      <c r="CQ1366" s="167">
        <f>$N1366/12</f>
        <v>0.58333333333333337</v>
      </c>
      <c r="CR1366" s="167">
        <f>$N1366/12</f>
        <v>0.58333333333333337</v>
      </c>
      <c r="CS1366" s="167">
        <f>$N1366/12</f>
        <v>0.58333333333333337</v>
      </c>
      <c r="CT1366" s="167">
        <f>$N1366/12</f>
        <v>0.58333333333333337</v>
      </c>
      <c r="CU1366" s="167">
        <f>$N1366/12</f>
        <v>0.58333333333333337</v>
      </c>
      <c r="CV1366" s="167">
        <f>$N1366/12</f>
        <v>0.58333333333333337</v>
      </c>
      <c r="CW1366" s="167">
        <f>$N1366/12</f>
        <v>0.58333333333333337</v>
      </c>
      <c r="CX1366" s="167">
        <f>SUM(CD1366:CH1366)</f>
        <v>0</v>
      </c>
      <c r="CY1366" s="167">
        <f>SUM(CD1366:CM1366)</f>
        <v>0</v>
      </c>
    </row>
    <row r="1367" spans="1:103" ht="12.75" customHeight="1" x14ac:dyDescent="0.2">
      <c r="A1367" s="81">
        <v>3970</v>
      </c>
      <c r="B1367" s="165" t="s">
        <v>1902</v>
      </c>
      <c r="C1367" s="165" t="s">
        <v>1918</v>
      </c>
      <c r="E1367" s="165" t="s">
        <v>1919</v>
      </c>
      <c r="G1367" s="81">
        <v>524058</v>
      </c>
      <c r="H1367" s="81">
        <v>175199</v>
      </c>
      <c r="I1367" s="165" t="s">
        <v>259</v>
      </c>
      <c r="L1367" s="166">
        <v>0</v>
      </c>
      <c r="M1367" s="166">
        <v>3</v>
      </c>
      <c r="N1367" s="166">
        <v>3</v>
      </c>
      <c r="O1367" s="166">
        <v>3</v>
      </c>
      <c r="P1367" s="166">
        <v>3</v>
      </c>
      <c r="R1367" s="165" t="s">
        <v>1905</v>
      </c>
      <c r="S1367" s="81" t="s">
        <v>1906</v>
      </c>
      <c r="W1367" s="81" t="s">
        <v>114</v>
      </c>
      <c r="Y1367" s="81" t="s">
        <v>115</v>
      </c>
      <c r="Z1367" s="81" t="s">
        <v>116</v>
      </c>
      <c r="AA1367" s="81" t="s">
        <v>117</v>
      </c>
      <c r="AB1367" s="81" t="s">
        <v>218</v>
      </c>
      <c r="AC1367" s="166">
        <v>0</v>
      </c>
      <c r="AG1367" s="81" t="s">
        <v>238</v>
      </c>
      <c r="AH1367" s="81" t="s">
        <v>118</v>
      </c>
      <c r="AI1367" s="81" t="s">
        <v>1920</v>
      </c>
      <c r="AK1367" s="166">
        <v>0</v>
      </c>
      <c r="AM1367" s="166">
        <v>0</v>
      </c>
      <c r="AO1367" s="166">
        <v>0</v>
      </c>
      <c r="AP1367" s="166">
        <v>0</v>
      </c>
      <c r="AQ1367" s="166">
        <v>0</v>
      </c>
      <c r="AR1367" s="166">
        <v>0</v>
      </c>
      <c r="AS1367" s="166">
        <v>0</v>
      </c>
      <c r="AT1367" s="166">
        <v>0</v>
      </c>
      <c r="AU1367" s="166">
        <v>3</v>
      </c>
      <c r="AV1367" s="166">
        <v>0</v>
      </c>
      <c r="AW1367" s="166">
        <v>0</v>
      </c>
      <c r="AX1367" s="166">
        <v>0</v>
      </c>
      <c r="AY1367" s="166">
        <v>0</v>
      </c>
      <c r="AZ1367" s="166">
        <v>0</v>
      </c>
      <c r="BA1367" s="166">
        <v>0</v>
      </c>
      <c r="BB1367" s="166">
        <v>3</v>
      </c>
      <c r="BC1367" s="166">
        <v>0</v>
      </c>
      <c r="BD1367" s="166">
        <v>0</v>
      </c>
      <c r="BE1367" s="166">
        <v>0</v>
      </c>
      <c r="BF1367" s="166">
        <v>0</v>
      </c>
      <c r="BG1367" s="166">
        <v>0</v>
      </c>
      <c r="BH1367" s="166">
        <v>0</v>
      </c>
      <c r="BI1367" s="166">
        <v>0</v>
      </c>
      <c r="BJ1367" s="166">
        <v>0</v>
      </c>
      <c r="BK1367" s="166">
        <v>0</v>
      </c>
      <c r="BL1367" s="166">
        <v>0</v>
      </c>
      <c r="BM1367" s="166">
        <v>0</v>
      </c>
      <c r="BN1367" s="166">
        <v>0</v>
      </c>
      <c r="BO1367" s="166">
        <v>0</v>
      </c>
      <c r="BP1367" s="166">
        <v>0</v>
      </c>
      <c r="BQ1367" s="81" t="s">
        <v>1758</v>
      </c>
      <c r="BR1367" s="81" t="s">
        <v>161</v>
      </c>
      <c r="BZ1367" s="81" t="s">
        <v>155</v>
      </c>
      <c r="CA1367" s="81">
        <v>11</v>
      </c>
      <c r="CC1367" s="167">
        <v>0</v>
      </c>
      <c r="CD1367" s="167">
        <v>0</v>
      </c>
      <c r="CE1367" s="167">
        <v>0</v>
      </c>
      <c r="CF1367" s="167">
        <v>0</v>
      </c>
      <c r="CG1367" s="167">
        <v>0</v>
      </c>
      <c r="CH1367" s="167">
        <v>0</v>
      </c>
      <c r="CI1367" s="167">
        <v>0</v>
      </c>
      <c r="CJ1367" s="167">
        <v>0</v>
      </c>
      <c r="CK1367" s="167">
        <v>0</v>
      </c>
      <c r="CL1367" s="167">
        <v>0</v>
      </c>
      <c r="CM1367" s="167">
        <v>0</v>
      </c>
      <c r="CN1367" s="167">
        <v>0</v>
      </c>
      <c r="CO1367" s="167">
        <f>$N1367/12</f>
        <v>0.25</v>
      </c>
      <c r="CP1367" s="167">
        <f>$N1367/12</f>
        <v>0.25</v>
      </c>
      <c r="CQ1367" s="167">
        <f>$N1367/12</f>
        <v>0.25</v>
      </c>
      <c r="CR1367" s="167">
        <f>$N1367/12</f>
        <v>0.25</v>
      </c>
      <c r="CS1367" s="167">
        <f>$N1367/12</f>
        <v>0.25</v>
      </c>
      <c r="CT1367" s="167">
        <f>$N1367/12</f>
        <v>0.25</v>
      </c>
      <c r="CU1367" s="167">
        <f>$N1367/12</f>
        <v>0.25</v>
      </c>
      <c r="CV1367" s="167">
        <f>$N1367/12</f>
        <v>0.25</v>
      </c>
      <c r="CW1367" s="167">
        <f>$N1367/12</f>
        <v>0.25</v>
      </c>
      <c r="CX1367" s="167">
        <f>SUM(CD1367:CH1367)</f>
        <v>0</v>
      </c>
      <c r="CY1367" s="167">
        <f>SUM(CD1367:CM1367)</f>
        <v>0</v>
      </c>
    </row>
    <row r="1368" spans="1:103" ht="12.75" customHeight="1" x14ac:dyDescent="0.2">
      <c r="A1368" s="81">
        <v>4221</v>
      </c>
      <c r="B1368" s="165" t="s">
        <v>1902</v>
      </c>
      <c r="C1368" s="165" t="s">
        <v>3027</v>
      </c>
      <c r="E1368" s="165" t="s">
        <v>3028</v>
      </c>
      <c r="G1368" s="81">
        <v>521988</v>
      </c>
      <c r="H1368" s="81">
        <v>172610</v>
      </c>
      <c r="I1368" s="165" t="s">
        <v>877</v>
      </c>
      <c r="L1368" s="166">
        <v>0</v>
      </c>
      <c r="M1368" s="166">
        <v>229</v>
      </c>
      <c r="N1368" s="166">
        <v>229</v>
      </c>
      <c r="O1368" s="166">
        <v>342</v>
      </c>
      <c r="P1368" s="166">
        <v>342</v>
      </c>
      <c r="Q1368" s="81" t="s">
        <v>155</v>
      </c>
      <c r="R1368" s="165" t="s">
        <v>1905</v>
      </c>
      <c r="S1368" s="81" t="s">
        <v>1906</v>
      </c>
      <c r="W1368" s="81" t="s">
        <v>114</v>
      </c>
      <c r="Y1368" s="81" t="s">
        <v>115</v>
      </c>
      <c r="Z1368" s="81" t="s">
        <v>116</v>
      </c>
      <c r="AA1368" s="81" t="s">
        <v>116</v>
      </c>
      <c r="AB1368" s="81" t="s">
        <v>117</v>
      </c>
      <c r="AC1368" s="166">
        <v>0</v>
      </c>
      <c r="AG1368" s="81" t="s">
        <v>238</v>
      </c>
      <c r="AH1368" s="81" t="s">
        <v>118</v>
      </c>
      <c r="AI1368" s="81" t="s">
        <v>3029</v>
      </c>
      <c r="AJ1368" s="81">
        <v>17320018</v>
      </c>
      <c r="AK1368" s="166">
        <v>0</v>
      </c>
      <c r="AM1368" s="166">
        <v>0</v>
      </c>
      <c r="AO1368" s="166">
        <v>0</v>
      </c>
      <c r="AP1368" s="166">
        <v>0</v>
      </c>
      <c r="AQ1368" s="166">
        <v>0</v>
      </c>
      <c r="AR1368" s="166">
        <v>0</v>
      </c>
      <c r="AS1368" s="166">
        <v>0</v>
      </c>
      <c r="AT1368" s="166">
        <v>0</v>
      </c>
      <c r="AU1368" s="166">
        <v>229</v>
      </c>
      <c r="AV1368" s="166">
        <v>0</v>
      </c>
      <c r="AW1368" s="166">
        <v>0</v>
      </c>
      <c r="AX1368" s="166">
        <v>0</v>
      </c>
      <c r="AY1368" s="166">
        <v>0</v>
      </c>
      <c r="AZ1368" s="166">
        <v>0</v>
      </c>
      <c r="BA1368" s="166">
        <v>0</v>
      </c>
      <c r="BB1368" s="166">
        <v>229</v>
      </c>
      <c r="BC1368" s="166">
        <v>0</v>
      </c>
      <c r="BD1368" s="166">
        <v>0</v>
      </c>
      <c r="BE1368" s="166">
        <v>0</v>
      </c>
      <c r="BF1368" s="166">
        <v>0</v>
      </c>
      <c r="BG1368" s="166">
        <v>0</v>
      </c>
      <c r="BH1368" s="166">
        <v>0</v>
      </c>
      <c r="BI1368" s="166">
        <v>0</v>
      </c>
      <c r="BJ1368" s="166">
        <v>0</v>
      </c>
      <c r="BK1368" s="166">
        <v>0</v>
      </c>
      <c r="BL1368" s="166">
        <v>0</v>
      </c>
      <c r="BM1368" s="166">
        <v>0</v>
      </c>
      <c r="BN1368" s="166">
        <v>0</v>
      </c>
      <c r="BO1368" s="166">
        <v>0</v>
      </c>
      <c r="BP1368" s="166">
        <v>0</v>
      </c>
      <c r="BQ1368" s="81" t="s">
        <v>1758</v>
      </c>
      <c r="BZ1368" s="81" t="s">
        <v>155</v>
      </c>
      <c r="CA1368" s="81">
        <v>11</v>
      </c>
      <c r="CC1368" s="167">
        <v>0</v>
      </c>
      <c r="CD1368" s="167">
        <v>0</v>
      </c>
      <c r="CE1368" s="167">
        <v>0</v>
      </c>
      <c r="CF1368" s="167">
        <v>0</v>
      </c>
      <c r="CG1368" s="167">
        <v>0</v>
      </c>
      <c r="CH1368" s="167">
        <v>0</v>
      </c>
      <c r="CI1368" s="167">
        <v>0</v>
      </c>
      <c r="CJ1368" s="167">
        <f>$N1368/17</f>
        <v>13.470588235294118</v>
      </c>
      <c r="CK1368" s="167">
        <f>$N1368/17</f>
        <v>13.470588235294118</v>
      </c>
      <c r="CL1368" s="167">
        <f>$N1368/17</f>
        <v>13.470588235294118</v>
      </c>
      <c r="CM1368" s="167">
        <f>$N1368/17</f>
        <v>13.470588235294118</v>
      </c>
      <c r="CN1368" s="167">
        <f>$N1368/17</f>
        <v>13.470588235294118</v>
      </c>
      <c r="CO1368" s="167">
        <f>$N1368/17</f>
        <v>13.470588235294118</v>
      </c>
      <c r="CP1368" s="167">
        <f>$N1368/17</f>
        <v>13.470588235294118</v>
      </c>
      <c r="CQ1368" s="167">
        <f>$N1368/17</f>
        <v>13.470588235294118</v>
      </c>
      <c r="CR1368" s="167">
        <f>$N1368/17</f>
        <v>13.470588235294118</v>
      </c>
      <c r="CS1368" s="167">
        <f>$N1368/17</f>
        <v>13.470588235294118</v>
      </c>
      <c r="CT1368" s="167">
        <f>$N1368/17</f>
        <v>13.470588235294118</v>
      </c>
      <c r="CU1368" s="167">
        <f>$N1368/17</f>
        <v>13.470588235294118</v>
      </c>
      <c r="CV1368" s="167">
        <f>$N1368/17</f>
        <v>13.470588235294118</v>
      </c>
      <c r="CW1368" s="167">
        <f>$N1368/17</f>
        <v>13.470588235294118</v>
      </c>
      <c r="CX1368" s="167">
        <f>SUM(CD1368:CH1368)</f>
        <v>0</v>
      </c>
      <c r="CY1368" s="167">
        <f>SUM(CD1368:CM1368)</f>
        <v>53.882352941176471</v>
      </c>
    </row>
    <row r="1369" spans="1:103" ht="12.75" customHeight="1" x14ac:dyDescent="0.2">
      <c r="A1369" s="81">
        <v>4221</v>
      </c>
      <c r="B1369" s="165" t="s">
        <v>1902</v>
      </c>
      <c r="C1369" s="165" t="s">
        <v>3027</v>
      </c>
      <c r="E1369" s="165" t="s">
        <v>3028</v>
      </c>
      <c r="G1369" s="81">
        <v>521988</v>
      </c>
      <c r="H1369" s="81">
        <v>172610</v>
      </c>
      <c r="I1369" s="165" t="s">
        <v>877</v>
      </c>
      <c r="L1369" s="166">
        <v>0</v>
      </c>
      <c r="M1369" s="166">
        <v>68</v>
      </c>
      <c r="N1369" s="166">
        <v>68</v>
      </c>
      <c r="O1369" s="166">
        <v>342</v>
      </c>
      <c r="P1369" s="166">
        <v>342</v>
      </c>
      <c r="Q1369" s="81" t="s">
        <v>155</v>
      </c>
      <c r="R1369" s="165" t="s">
        <v>1905</v>
      </c>
      <c r="S1369" s="81" t="s">
        <v>1906</v>
      </c>
      <c r="W1369" s="81" t="s">
        <v>114</v>
      </c>
      <c r="Y1369" s="81" t="s">
        <v>115</v>
      </c>
      <c r="Z1369" s="81" t="s">
        <v>116</v>
      </c>
      <c r="AA1369" s="81" t="s">
        <v>116</v>
      </c>
      <c r="AB1369" s="81" t="s">
        <v>117</v>
      </c>
      <c r="AC1369" s="166">
        <v>0</v>
      </c>
      <c r="AG1369" s="81" t="s">
        <v>154</v>
      </c>
      <c r="AH1369" s="81" t="s">
        <v>276</v>
      </c>
      <c r="AI1369" s="81" t="s">
        <v>3029</v>
      </c>
      <c r="AJ1369" s="81">
        <v>17320018</v>
      </c>
      <c r="AK1369" s="166">
        <v>0</v>
      </c>
      <c r="AM1369" s="166">
        <v>0</v>
      </c>
      <c r="AO1369" s="166">
        <v>0</v>
      </c>
      <c r="AP1369" s="166">
        <v>0</v>
      </c>
      <c r="AQ1369" s="166">
        <v>0</v>
      </c>
      <c r="AR1369" s="166">
        <v>0</v>
      </c>
      <c r="AS1369" s="166">
        <v>0</v>
      </c>
      <c r="AT1369" s="166">
        <v>0</v>
      </c>
      <c r="AU1369" s="166">
        <v>68</v>
      </c>
      <c r="AV1369" s="166">
        <v>0</v>
      </c>
      <c r="AW1369" s="166">
        <v>0</v>
      </c>
      <c r="AX1369" s="166">
        <v>0</v>
      </c>
      <c r="AY1369" s="166">
        <v>0</v>
      </c>
      <c r="AZ1369" s="166">
        <v>0</v>
      </c>
      <c r="BA1369" s="166">
        <v>0</v>
      </c>
      <c r="BB1369" s="166">
        <v>68</v>
      </c>
      <c r="BC1369" s="166">
        <v>0</v>
      </c>
      <c r="BD1369" s="166">
        <v>0</v>
      </c>
      <c r="BE1369" s="166">
        <v>0</v>
      </c>
      <c r="BF1369" s="166">
        <v>0</v>
      </c>
      <c r="BG1369" s="166">
        <v>0</v>
      </c>
      <c r="BH1369" s="166">
        <v>0</v>
      </c>
      <c r="BI1369" s="166">
        <v>0</v>
      </c>
      <c r="BJ1369" s="166">
        <v>0</v>
      </c>
      <c r="BK1369" s="166">
        <v>0</v>
      </c>
      <c r="BL1369" s="166">
        <v>0</v>
      </c>
      <c r="BM1369" s="166">
        <v>0</v>
      </c>
      <c r="BN1369" s="166">
        <v>0</v>
      </c>
      <c r="BO1369" s="166">
        <v>0</v>
      </c>
      <c r="BP1369" s="166">
        <v>0</v>
      </c>
      <c r="BQ1369" s="81" t="s">
        <v>1758</v>
      </c>
      <c r="BZ1369" s="81" t="s">
        <v>155</v>
      </c>
      <c r="CA1369" s="81">
        <v>11</v>
      </c>
      <c r="CC1369" s="167">
        <v>0</v>
      </c>
      <c r="CD1369" s="167">
        <v>0</v>
      </c>
      <c r="CE1369" s="167">
        <v>0</v>
      </c>
      <c r="CF1369" s="167">
        <v>0</v>
      </c>
      <c r="CG1369" s="167">
        <v>0</v>
      </c>
      <c r="CH1369" s="167">
        <v>0</v>
      </c>
      <c r="CI1369" s="167">
        <v>0</v>
      </c>
      <c r="CJ1369" s="167">
        <f>$N1369/17</f>
        <v>4</v>
      </c>
      <c r="CK1369" s="167">
        <f>$N1369/17</f>
        <v>4</v>
      </c>
      <c r="CL1369" s="167">
        <f>$N1369/17</f>
        <v>4</v>
      </c>
      <c r="CM1369" s="167">
        <f>$N1369/17</f>
        <v>4</v>
      </c>
      <c r="CN1369" s="167">
        <f>$N1369/17</f>
        <v>4</v>
      </c>
      <c r="CO1369" s="167">
        <f>$N1369/17</f>
        <v>4</v>
      </c>
      <c r="CP1369" s="167">
        <f>$N1369/17</f>
        <v>4</v>
      </c>
      <c r="CQ1369" s="167">
        <f>$N1369/17</f>
        <v>4</v>
      </c>
      <c r="CR1369" s="167">
        <f>$N1369/17</f>
        <v>4</v>
      </c>
      <c r="CS1369" s="167">
        <f>$N1369/17</f>
        <v>4</v>
      </c>
      <c r="CT1369" s="167">
        <f>$N1369/17</f>
        <v>4</v>
      </c>
      <c r="CU1369" s="167">
        <f>$N1369/17</f>
        <v>4</v>
      </c>
      <c r="CV1369" s="167">
        <f>$N1369/17</f>
        <v>4</v>
      </c>
      <c r="CW1369" s="167">
        <f>$N1369/17</f>
        <v>4</v>
      </c>
      <c r="CX1369" s="167">
        <f>SUM(CD1369:CH1369)</f>
        <v>0</v>
      </c>
      <c r="CY1369" s="167">
        <f>SUM(CD1369:CM1369)</f>
        <v>16</v>
      </c>
    </row>
    <row r="1370" spans="1:103" ht="12.75" customHeight="1" x14ac:dyDescent="0.2">
      <c r="A1370" s="81">
        <v>4221</v>
      </c>
      <c r="B1370" s="165" t="s">
        <v>1902</v>
      </c>
      <c r="C1370" s="165" t="s">
        <v>3027</v>
      </c>
      <c r="E1370" s="165" t="s">
        <v>3028</v>
      </c>
      <c r="G1370" s="81">
        <v>521988</v>
      </c>
      <c r="H1370" s="81">
        <v>172610</v>
      </c>
      <c r="I1370" s="165" t="s">
        <v>877</v>
      </c>
      <c r="L1370" s="166">
        <v>0</v>
      </c>
      <c r="M1370" s="166">
        <v>45</v>
      </c>
      <c r="N1370" s="166">
        <v>45</v>
      </c>
      <c r="O1370" s="166">
        <v>342</v>
      </c>
      <c r="P1370" s="166">
        <v>342</v>
      </c>
      <c r="Q1370" s="81" t="s">
        <v>155</v>
      </c>
      <c r="R1370" s="165" t="s">
        <v>1905</v>
      </c>
      <c r="S1370" s="81" t="s">
        <v>1906</v>
      </c>
      <c r="W1370" s="81" t="s">
        <v>114</v>
      </c>
      <c r="Y1370" s="81" t="s">
        <v>115</v>
      </c>
      <c r="Z1370" s="81" t="s">
        <v>116</v>
      </c>
      <c r="AA1370" s="81" t="s">
        <v>116</v>
      </c>
      <c r="AB1370" s="81" t="s">
        <v>117</v>
      </c>
      <c r="AC1370" s="166">
        <v>0</v>
      </c>
      <c r="AG1370" s="81" t="s">
        <v>74</v>
      </c>
      <c r="AH1370" s="81" t="s">
        <v>990</v>
      </c>
      <c r="AI1370" s="81" t="s">
        <v>3029</v>
      </c>
      <c r="AJ1370" s="81">
        <v>17320018</v>
      </c>
      <c r="AK1370" s="166">
        <v>0</v>
      </c>
      <c r="AM1370" s="166">
        <v>0</v>
      </c>
      <c r="AO1370" s="166">
        <v>0</v>
      </c>
      <c r="AP1370" s="166">
        <v>0</v>
      </c>
      <c r="AQ1370" s="166">
        <v>0</v>
      </c>
      <c r="AR1370" s="166">
        <v>0</v>
      </c>
      <c r="AS1370" s="166">
        <v>0</v>
      </c>
      <c r="AT1370" s="166">
        <v>0</v>
      </c>
      <c r="AU1370" s="166">
        <v>45</v>
      </c>
      <c r="AV1370" s="166">
        <v>0</v>
      </c>
      <c r="AW1370" s="166">
        <v>0</v>
      </c>
      <c r="AX1370" s="166">
        <v>0</v>
      </c>
      <c r="AY1370" s="166">
        <v>0</v>
      </c>
      <c r="AZ1370" s="166">
        <v>0</v>
      </c>
      <c r="BA1370" s="166">
        <v>0</v>
      </c>
      <c r="BB1370" s="166">
        <v>45</v>
      </c>
      <c r="BC1370" s="166">
        <v>0</v>
      </c>
      <c r="BD1370" s="166">
        <v>0</v>
      </c>
      <c r="BE1370" s="166">
        <v>0</v>
      </c>
      <c r="BF1370" s="166">
        <v>0</v>
      </c>
      <c r="BG1370" s="166">
        <v>0</v>
      </c>
      <c r="BH1370" s="166">
        <v>0</v>
      </c>
      <c r="BI1370" s="166">
        <v>0</v>
      </c>
      <c r="BJ1370" s="166">
        <v>0</v>
      </c>
      <c r="BK1370" s="166">
        <v>0</v>
      </c>
      <c r="BL1370" s="166">
        <v>0</v>
      </c>
      <c r="BM1370" s="166">
        <v>0</v>
      </c>
      <c r="BN1370" s="166">
        <v>0</v>
      </c>
      <c r="BO1370" s="166">
        <v>0</v>
      </c>
      <c r="BP1370" s="166">
        <v>0</v>
      </c>
      <c r="BQ1370" s="81" t="s">
        <v>1758</v>
      </c>
      <c r="BZ1370" s="81" t="s">
        <v>155</v>
      </c>
      <c r="CA1370" s="81">
        <v>11</v>
      </c>
      <c r="CC1370" s="167">
        <v>0</v>
      </c>
      <c r="CD1370" s="167">
        <v>0</v>
      </c>
      <c r="CE1370" s="167">
        <v>0</v>
      </c>
      <c r="CF1370" s="167">
        <v>0</v>
      </c>
      <c r="CG1370" s="167">
        <v>0</v>
      </c>
      <c r="CH1370" s="167">
        <v>0</v>
      </c>
      <c r="CI1370" s="167">
        <v>0</v>
      </c>
      <c r="CJ1370" s="167">
        <f>$N1370/17</f>
        <v>2.6470588235294117</v>
      </c>
      <c r="CK1370" s="167">
        <f>$N1370/17</f>
        <v>2.6470588235294117</v>
      </c>
      <c r="CL1370" s="167">
        <f>$N1370/17</f>
        <v>2.6470588235294117</v>
      </c>
      <c r="CM1370" s="167">
        <f>$N1370/17</f>
        <v>2.6470588235294117</v>
      </c>
      <c r="CN1370" s="167">
        <f>$N1370/17</f>
        <v>2.6470588235294117</v>
      </c>
      <c r="CO1370" s="167">
        <f>$N1370/17</f>
        <v>2.6470588235294117</v>
      </c>
      <c r="CP1370" s="167">
        <f>$N1370/17</f>
        <v>2.6470588235294117</v>
      </c>
      <c r="CQ1370" s="167">
        <f>$N1370/17</f>
        <v>2.6470588235294117</v>
      </c>
      <c r="CR1370" s="167">
        <f>$N1370/17</f>
        <v>2.6470588235294117</v>
      </c>
      <c r="CS1370" s="167">
        <f>$N1370/17</f>
        <v>2.6470588235294117</v>
      </c>
      <c r="CT1370" s="167">
        <f>$N1370/17</f>
        <v>2.6470588235294117</v>
      </c>
      <c r="CU1370" s="167">
        <f>$N1370/17</f>
        <v>2.6470588235294117</v>
      </c>
      <c r="CV1370" s="167">
        <f>$N1370/17</f>
        <v>2.6470588235294117</v>
      </c>
      <c r="CW1370" s="167">
        <f>$N1370/17</f>
        <v>2.6470588235294117</v>
      </c>
      <c r="CX1370" s="167">
        <f>SUM(CD1370:CH1370)</f>
        <v>0</v>
      </c>
      <c r="CY1370" s="167">
        <f>SUM(CD1370:CM1370)</f>
        <v>10.588235294117647</v>
      </c>
    </row>
    <row r="1371" spans="1:103" ht="12.75" customHeight="1" x14ac:dyDescent="0.2">
      <c r="A1371" s="81">
        <v>4283</v>
      </c>
      <c r="B1371" s="165" t="s">
        <v>1902</v>
      </c>
      <c r="C1371" s="165" t="s">
        <v>1927</v>
      </c>
      <c r="E1371" s="165" t="s">
        <v>1928</v>
      </c>
      <c r="G1371" s="81">
        <v>525979</v>
      </c>
      <c r="H1371" s="81">
        <v>175334</v>
      </c>
      <c r="I1371" s="165" t="s">
        <v>251</v>
      </c>
      <c r="L1371" s="166">
        <v>0</v>
      </c>
      <c r="M1371" s="166">
        <v>3</v>
      </c>
      <c r="N1371" s="166">
        <v>3</v>
      </c>
      <c r="O1371" s="166">
        <v>3</v>
      </c>
      <c r="P1371" s="166">
        <v>3</v>
      </c>
      <c r="R1371" s="165" t="s">
        <v>1905</v>
      </c>
      <c r="S1371" s="81" t="s">
        <v>1906</v>
      </c>
      <c r="W1371" s="81" t="s">
        <v>114</v>
      </c>
      <c r="Y1371" s="81" t="s">
        <v>115</v>
      </c>
      <c r="Z1371" s="81" t="s">
        <v>398</v>
      </c>
      <c r="AA1371" s="81" t="s">
        <v>117</v>
      </c>
      <c r="AB1371" s="81" t="s">
        <v>218</v>
      </c>
      <c r="AC1371" s="166">
        <v>0</v>
      </c>
      <c r="AG1371" s="81" t="s">
        <v>238</v>
      </c>
      <c r="AH1371" s="81" t="s">
        <v>118</v>
      </c>
      <c r="AI1371" s="81" t="s">
        <v>1929</v>
      </c>
      <c r="AJ1371" s="81">
        <v>17320046</v>
      </c>
      <c r="AK1371" s="166">
        <v>0</v>
      </c>
      <c r="AM1371" s="166">
        <v>0</v>
      </c>
      <c r="AO1371" s="166">
        <v>0</v>
      </c>
      <c r="AP1371" s="166">
        <v>0</v>
      </c>
      <c r="AQ1371" s="166">
        <v>0</v>
      </c>
      <c r="AR1371" s="166">
        <v>0</v>
      </c>
      <c r="AS1371" s="166">
        <v>0</v>
      </c>
      <c r="AT1371" s="166">
        <v>0</v>
      </c>
      <c r="AU1371" s="166">
        <v>3</v>
      </c>
      <c r="AV1371" s="166">
        <v>0</v>
      </c>
      <c r="AW1371" s="166">
        <v>0</v>
      </c>
      <c r="AX1371" s="166">
        <v>0</v>
      </c>
      <c r="AY1371" s="166">
        <v>0</v>
      </c>
      <c r="AZ1371" s="166">
        <v>0</v>
      </c>
      <c r="BA1371" s="166">
        <v>0</v>
      </c>
      <c r="BB1371" s="166">
        <v>3</v>
      </c>
      <c r="BC1371" s="166">
        <v>0</v>
      </c>
      <c r="BD1371" s="166">
        <v>0</v>
      </c>
      <c r="BE1371" s="166">
        <v>0</v>
      </c>
      <c r="BF1371" s="166">
        <v>0</v>
      </c>
      <c r="BG1371" s="166">
        <v>0</v>
      </c>
      <c r="BH1371" s="166">
        <v>0</v>
      </c>
      <c r="BI1371" s="166">
        <v>0</v>
      </c>
      <c r="BJ1371" s="166">
        <v>0</v>
      </c>
      <c r="BK1371" s="166">
        <v>0</v>
      </c>
      <c r="BL1371" s="166">
        <v>0</v>
      </c>
      <c r="BM1371" s="166">
        <v>0</v>
      </c>
      <c r="BN1371" s="166">
        <v>0</v>
      </c>
      <c r="BO1371" s="166">
        <v>0</v>
      </c>
      <c r="BP1371" s="166">
        <v>0</v>
      </c>
      <c r="BQ1371" s="81" t="s">
        <v>1758</v>
      </c>
      <c r="BT1371" s="81" t="s">
        <v>155</v>
      </c>
      <c r="BZ1371" s="81" t="s">
        <v>155</v>
      </c>
      <c r="CA1371" s="81">
        <v>11</v>
      </c>
      <c r="CC1371" s="167">
        <v>0</v>
      </c>
      <c r="CD1371" s="167">
        <v>0</v>
      </c>
      <c r="CE1371" s="167">
        <v>0</v>
      </c>
      <c r="CF1371" s="167">
        <v>0</v>
      </c>
      <c r="CG1371" s="167">
        <v>0</v>
      </c>
      <c r="CH1371" s="167">
        <v>0</v>
      </c>
      <c r="CI1371" s="167">
        <v>0</v>
      </c>
      <c r="CJ1371" s="167">
        <v>0</v>
      </c>
      <c r="CK1371" s="167">
        <v>0</v>
      </c>
      <c r="CL1371" s="167">
        <v>0</v>
      </c>
      <c r="CM1371" s="167">
        <v>0</v>
      </c>
      <c r="CN1371" s="167">
        <v>0</v>
      </c>
      <c r="CO1371" s="167">
        <f>$N1371/12</f>
        <v>0.25</v>
      </c>
      <c r="CP1371" s="167">
        <f>$N1371/12</f>
        <v>0.25</v>
      </c>
      <c r="CQ1371" s="167">
        <f>$N1371/12</f>
        <v>0.25</v>
      </c>
      <c r="CR1371" s="167">
        <f>$N1371/12</f>
        <v>0.25</v>
      </c>
      <c r="CS1371" s="167">
        <f>$N1371/12</f>
        <v>0.25</v>
      </c>
      <c r="CT1371" s="167">
        <f>$N1371/12</f>
        <v>0.25</v>
      </c>
      <c r="CU1371" s="167">
        <f>$N1371/12</f>
        <v>0.25</v>
      </c>
      <c r="CV1371" s="167">
        <f>$N1371/12</f>
        <v>0.25</v>
      </c>
      <c r="CW1371" s="167">
        <f>$N1371/12</f>
        <v>0.25</v>
      </c>
      <c r="CX1371" s="167">
        <f>SUM(CD1371:CH1371)</f>
        <v>0</v>
      </c>
      <c r="CY1371" s="167">
        <f>SUM(CD1371:CM1371)</f>
        <v>0</v>
      </c>
    </row>
    <row r="1372" spans="1:103" ht="12.75" customHeight="1" x14ac:dyDescent="0.2">
      <c r="A1372" s="81">
        <v>4472</v>
      </c>
      <c r="B1372" s="165" t="s">
        <v>1902</v>
      </c>
      <c r="C1372" s="165" t="s">
        <v>3945</v>
      </c>
      <c r="D1372" s="165" t="s">
        <v>3942</v>
      </c>
      <c r="E1372" s="165" t="s">
        <v>3943</v>
      </c>
      <c r="G1372" s="81">
        <v>529267</v>
      </c>
      <c r="H1372" s="81">
        <v>177387</v>
      </c>
      <c r="I1372" s="165" t="s">
        <v>240</v>
      </c>
      <c r="J1372" s="349"/>
      <c r="L1372" s="166">
        <v>0</v>
      </c>
      <c r="M1372" s="166">
        <v>39</v>
      </c>
      <c r="N1372" s="166">
        <v>39</v>
      </c>
      <c r="O1372" s="166">
        <v>46</v>
      </c>
      <c r="P1372" s="166">
        <v>46</v>
      </c>
      <c r="Q1372" s="81" t="s">
        <v>155</v>
      </c>
      <c r="R1372" s="165" t="s">
        <v>1905</v>
      </c>
      <c r="S1372" s="81" t="s">
        <v>1906</v>
      </c>
      <c r="T1372" s="349"/>
      <c r="U1372" s="349"/>
      <c r="W1372" s="81" t="s">
        <v>114</v>
      </c>
      <c r="Y1372" s="81" t="s">
        <v>115</v>
      </c>
      <c r="Z1372" s="81" t="s">
        <v>116</v>
      </c>
      <c r="AA1372" s="81" t="s">
        <v>116</v>
      </c>
      <c r="AB1372" s="81" t="s">
        <v>117</v>
      </c>
      <c r="AC1372" s="166">
        <v>0</v>
      </c>
      <c r="AG1372" s="81" t="s">
        <v>238</v>
      </c>
      <c r="AH1372" s="81" t="s">
        <v>118</v>
      </c>
      <c r="AI1372" s="81" t="s">
        <v>3944</v>
      </c>
      <c r="AK1372" s="166">
        <v>0</v>
      </c>
      <c r="AM1372" s="166">
        <v>0</v>
      </c>
      <c r="AO1372" s="166">
        <v>0</v>
      </c>
      <c r="AP1372" s="166">
        <v>0</v>
      </c>
      <c r="AQ1372" s="166">
        <v>0</v>
      </c>
      <c r="AR1372" s="166">
        <v>0</v>
      </c>
      <c r="AS1372" s="166">
        <v>0</v>
      </c>
      <c r="AT1372" s="166">
        <v>0</v>
      </c>
      <c r="AU1372" s="166">
        <v>39</v>
      </c>
      <c r="AV1372" s="166">
        <v>0</v>
      </c>
      <c r="AW1372" s="166">
        <v>0</v>
      </c>
      <c r="AX1372" s="166">
        <v>0</v>
      </c>
      <c r="AY1372" s="166">
        <v>0</v>
      </c>
      <c r="AZ1372" s="166">
        <v>0</v>
      </c>
      <c r="BA1372" s="166">
        <v>0</v>
      </c>
      <c r="BB1372" s="166">
        <v>39</v>
      </c>
      <c r="BC1372" s="166">
        <v>0</v>
      </c>
      <c r="BD1372" s="166">
        <v>0</v>
      </c>
      <c r="BE1372" s="166">
        <v>0</v>
      </c>
      <c r="BF1372" s="166">
        <v>0</v>
      </c>
      <c r="BG1372" s="166">
        <v>0</v>
      </c>
      <c r="BH1372" s="166">
        <v>0</v>
      </c>
      <c r="BI1372" s="166">
        <v>0</v>
      </c>
      <c r="BJ1372" s="166">
        <v>0</v>
      </c>
      <c r="BK1372" s="166">
        <v>0</v>
      </c>
      <c r="BL1372" s="166">
        <v>0</v>
      </c>
      <c r="BM1372" s="166">
        <v>0</v>
      </c>
      <c r="BN1372" s="166">
        <v>0</v>
      </c>
      <c r="BO1372" s="166">
        <v>0</v>
      </c>
      <c r="BP1372" s="166">
        <v>0</v>
      </c>
      <c r="BQ1372" s="81" t="s">
        <v>1759</v>
      </c>
      <c r="BS1372" s="81" t="s">
        <v>155</v>
      </c>
      <c r="BZ1372" s="81" t="s">
        <v>155</v>
      </c>
      <c r="CA1372" s="81">
        <v>12</v>
      </c>
      <c r="CC1372" s="167">
        <v>0</v>
      </c>
      <c r="CD1372" s="167">
        <v>0</v>
      </c>
      <c r="CE1372" s="167">
        <v>0</v>
      </c>
      <c r="CF1372" s="167">
        <v>0</v>
      </c>
      <c r="CG1372" s="167">
        <v>0</v>
      </c>
      <c r="CH1372" s="167">
        <v>0</v>
      </c>
      <c r="CI1372" s="167">
        <v>0</v>
      </c>
      <c r="CJ1372" s="167">
        <v>0</v>
      </c>
      <c r="CK1372" s="167">
        <f>N1372</f>
        <v>39</v>
      </c>
      <c r="CL1372" s="167">
        <v>0</v>
      </c>
      <c r="CM1372" s="167">
        <v>0</v>
      </c>
      <c r="CN1372" s="167">
        <v>0</v>
      </c>
      <c r="CO1372" s="167">
        <v>0</v>
      </c>
      <c r="CP1372" s="167">
        <v>0</v>
      </c>
      <c r="CQ1372" s="167">
        <v>0</v>
      </c>
      <c r="CR1372" s="167">
        <v>0</v>
      </c>
      <c r="CS1372" s="167">
        <v>0</v>
      </c>
      <c r="CT1372" s="167">
        <v>0</v>
      </c>
      <c r="CU1372" s="167">
        <v>0</v>
      </c>
      <c r="CV1372" s="167">
        <v>0</v>
      </c>
      <c r="CW1372" s="167">
        <v>0</v>
      </c>
      <c r="CX1372" s="167">
        <f>SUM(CD1372:CH1372)</f>
        <v>0</v>
      </c>
      <c r="CY1372" s="167">
        <f>SUM(CD1372:CM1372)</f>
        <v>39</v>
      </c>
    </row>
    <row r="1373" spans="1:103" ht="12.75" customHeight="1" x14ac:dyDescent="0.2">
      <c r="A1373" s="81">
        <v>4472</v>
      </c>
      <c r="B1373" s="165" t="s">
        <v>1902</v>
      </c>
      <c r="C1373" s="165" t="s">
        <v>3945</v>
      </c>
      <c r="D1373" s="165" t="s">
        <v>3942</v>
      </c>
      <c r="E1373" s="165" t="s">
        <v>3943</v>
      </c>
      <c r="G1373" s="81">
        <v>529267</v>
      </c>
      <c r="H1373" s="81">
        <v>177387</v>
      </c>
      <c r="I1373" s="165" t="s">
        <v>240</v>
      </c>
      <c r="J1373" s="349"/>
      <c r="L1373" s="166">
        <v>0</v>
      </c>
      <c r="M1373" s="166">
        <v>4</v>
      </c>
      <c r="N1373" s="166">
        <v>4</v>
      </c>
      <c r="O1373" s="166">
        <v>46</v>
      </c>
      <c r="P1373" s="166">
        <v>46</v>
      </c>
      <c r="Q1373" s="81" t="s">
        <v>155</v>
      </c>
      <c r="R1373" s="165" t="s">
        <v>1905</v>
      </c>
      <c r="S1373" s="81" t="s">
        <v>1906</v>
      </c>
      <c r="T1373" s="349"/>
      <c r="U1373" s="349"/>
      <c r="W1373" s="81" t="s">
        <v>114</v>
      </c>
      <c r="Y1373" s="81" t="s">
        <v>115</v>
      </c>
      <c r="Z1373" s="81" t="s">
        <v>116</v>
      </c>
      <c r="AA1373" s="81" t="s">
        <v>116</v>
      </c>
      <c r="AB1373" s="81" t="s">
        <v>117</v>
      </c>
      <c r="AC1373" s="166">
        <v>0</v>
      </c>
      <c r="AG1373" s="81" t="s">
        <v>154</v>
      </c>
      <c r="AH1373" s="81" t="s">
        <v>276</v>
      </c>
      <c r="AI1373" s="81" t="s">
        <v>3944</v>
      </c>
      <c r="AK1373" s="166">
        <v>0</v>
      </c>
      <c r="AM1373" s="166">
        <v>0</v>
      </c>
      <c r="AO1373" s="166">
        <v>0</v>
      </c>
      <c r="AP1373" s="166">
        <v>0</v>
      </c>
      <c r="AQ1373" s="166">
        <v>0</v>
      </c>
      <c r="AR1373" s="166">
        <v>0</v>
      </c>
      <c r="AS1373" s="166">
        <v>0</v>
      </c>
      <c r="AT1373" s="166">
        <v>0</v>
      </c>
      <c r="AU1373" s="166">
        <v>4</v>
      </c>
      <c r="AV1373" s="166">
        <v>0</v>
      </c>
      <c r="AW1373" s="166">
        <v>0</v>
      </c>
      <c r="AX1373" s="166">
        <v>0</v>
      </c>
      <c r="AY1373" s="166">
        <v>0</v>
      </c>
      <c r="AZ1373" s="166">
        <v>0</v>
      </c>
      <c r="BA1373" s="166">
        <v>0</v>
      </c>
      <c r="BB1373" s="166">
        <v>4</v>
      </c>
      <c r="BC1373" s="166">
        <v>0</v>
      </c>
      <c r="BD1373" s="166">
        <v>0</v>
      </c>
      <c r="BE1373" s="166">
        <v>0</v>
      </c>
      <c r="BF1373" s="166">
        <v>0</v>
      </c>
      <c r="BG1373" s="166">
        <v>0</v>
      </c>
      <c r="BH1373" s="166">
        <v>0</v>
      </c>
      <c r="BI1373" s="166">
        <v>0</v>
      </c>
      <c r="BJ1373" s="166">
        <v>0</v>
      </c>
      <c r="BK1373" s="166">
        <v>0</v>
      </c>
      <c r="BL1373" s="166">
        <v>0</v>
      </c>
      <c r="BM1373" s="166">
        <v>0</v>
      </c>
      <c r="BN1373" s="166">
        <v>0</v>
      </c>
      <c r="BO1373" s="166">
        <v>0</v>
      </c>
      <c r="BP1373" s="166">
        <v>0</v>
      </c>
      <c r="BQ1373" s="81" t="s">
        <v>1759</v>
      </c>
      <c r="BS1373" s="81" t="s">
        <v>155</v>
      </c>
      <c r="BZ1373" s="81" t="s">
        <v>155</v>
      </c>
      <c r="CA1373" s="81">
        <v>12</v>
      </c>
      <c r="CC1373" s="167">
        <v>0</v>
      </c>
      <c r="CD1373" s="167">
        <v>0</v>
      </c>
      <c r="CE1373" s="167">
        <v>0</v>
      </c>
      <c r="CF1373" s="167">
        <v>0</v>
      </c>
      <c r="CG1373" s="167">
        <v>0</v>
      </c>
      <c r="CH1373" s="167">
        <v>0</v>
      </c>
      <c r="CI1373" s="167">
        <v>0</v>
      </c>
      <c r="CJ1373" s="167">
        <v>0</v>
      </c>
      <c r="CK1373" s="167">
        <f>N1373</f>
        <v>4</v>
      </c>
      <c r="CL1373" s="167">
        <v>0</v>
      </c>
      <c r="CM1373" s="167">
        <v>0</v>
      </c>
      <c r="CN1373" s="167">
        <v>0</v>
      </c>
      <c r="CO1373" s="167">
        <v>0</v>
      </c>
      <c r="CP1373" s="167">
        <v>0</v>
      </c>
      <c r="CQ1373" s="167">
        <v>0</v>
      </c>
      <c r="CR1373" s="167">
        <v>0</v>
      </c>
      <c r="CS1373" s="167">
        <v>0</v>
      </c>
      <c r="CT1373" s="167">
        <v>0</v>
      </c>
      <c r="CU1373" s="167">
        <v>0</v>
      </c>
      <c r="CV1373" s="167">
        <v>0</v>
      </c>
      <c r="CW1373" s="167">
        <v>0</v>
      </c>
      <c r="CX1373" s="167">
        <f>SUM(CD1373:CH1373)</f>
        <v>0</v>
      </c>
      <c r="CY1373" s="167">
        <f>SUM(CD1373:CM1373)</f>
        <v>4</v>
      </c>
    </row>
    <row r="1374" spans="1:103" ht="12.75" customHeight="1" x14ac:dyDescent="0.2">
      <c r="A1374" s="81">
        <v>4472</v>
      </c>
      <c r="B1374" s="165" t="s">
        <v>1902</v>
      </c>
      <c r="C1374" s="165" t="s">
        <v>3945</v>
      </c>
      <c r="D1374" s="165" t="s">
        <v>3942</v>
      </c>
      <c r="E1374" s="165" t="s">
        <v>3943</v>
      </c>
      <c r="G1374" s="81">
        <v>529267</v>
      </c>
      <c r="H1374" s="81">
        <v>177387</v>
      </c>
      <c r="I1374" s="165" t="s">
        <v>240</v>
      </c>
      <c r="J1374" s="349"/>
      <c r="L1374" s="166">
        <v>0</v>
      </c>
      <c r="M1374" s="166">
        <v>3</v>
      </c>
      <c r="N1374" s="166">
        <v>3</v>
      </c>
      <c r="O1374" s="166">
        <v>46</v>
      </c>
      <c r="P1374" s="166">
        <v>46</v>
      </c>
      <c r="Q1374" s="81" t="s">
        <v>155</v>
      </c>
      <c r="R1374" s="165" t="s">
        <v>1905</v>
      </c>
      <c r="S1374" s="81" t="s">
        <v>1906</v>
      </c>
      <c r="T1374" s="349"/>
      <c r="U1374" s="349"/>
      <c r="W1374" s="81" t="s">
        <v>114</v>
      </c>
      <c r="Y1374" s="81" t="s">
        <v>115</v>
      </c>
      <c r="Z1374" s="81" t="s">
        <v>116</v>
      </c>
      <c r="AA1374" s="81" t="s">
        <v>116</v>
      </c>
      <c r="AB1374" s="81" t="s">
        <v>117</v>
      </c>
      <c r="AC1374" s="166">
        <v>0</v>
      </c>
      <c r="AG1374" s="81" t="s">
        <v>74</v>
      </c>
      <c r="AH1374" s="81" t="s">
        <v>880</v>
      </c>
      <c r="AI1374" s="81" t="s">
        <v>3944</v>
      </c>
      <c r="AK1374" s="166">
        <v>0</v>
      </c>
      <c r="AM1374" s="166">
        <v>0</v>
      </c>
      <c r="AO1374" s="166">
        <v>0</v>
      </c>
      <c r="AP1374" s="166">
        <v>0</v>
      </c>
      <c r="AQ1374" s="166">
        <v>0</v>
      </c>
      <c r="AR1374" s="166">
        <v>0</v>
      </c>
      <c r="AS1374" s="166">
        <v>0</v>
      </c>
      <c r="AT1374" s="166">
        <v>0</v>
      </c>
      <c r="AU1374" s="166">
        <v>3</v>
      </c>
      <c r="AV1374" s="166">
        <v>0</v>
      </c>
      <c r="AW1374" s="166">
        <v>0</v>
      </c>
      <c r="AX1374" s="166">
        <v>0</v>
      </c>
      <c r="AY1374" s="166">
        <v>0</v>
      </c>
      <c r="AZ1374" s="166">
        <v>0</v>
      </c>
      <c r="BA1374" s="166">
        <v>0</v>
      </c>
      <c r="BB1374" s="166">
        <v>3</v>
      </c>
      <c r="BC1374" s="166">
        <v>0</v>
      </c>
      <c r="BD1374" s="166">
        <v>0</v>
      </c>
      <c r="BE1374" s="166">
        <v>0</v>
      </c>
      <c r="BF1374" s="166">
        <v>0</v>
      </c>
      <c r="BG1374" s="166">
        <v>0</v>
      </c>
      <c r="BH1374" s="166">
        <v>0</v>
      </c>
      <c r="BI1374" s="166">
        <v>0</v>
      </c>
      <c r="BJ1374" s="166">
        <v>0</v>
      </c>
      <c r="BK1374" s="166">
        <v>0</v>
      </c>
      <c r="BL1374" s="166">
        <v>0</v>
      </c>
      <c r="BM1374" s="166">
        <v>0</v>
      </c>
      <c r="BN1374" s="166">
        <v>0</v>
      </c>
      <c r="BO1374" s="166">
        <v>0</v>
      </c>
      <c r="BP1374" s="166">
        <v>0</v>
      </c>
      <c r="BQ1374" s="81" t="s">
        <v>1759</v>
      </c>
      <c r="BS1374" s="81" t="s">
        <v>155</v>
      </c>
      <c r="BZ1374" s="81" t="s">
        <v>155</v>
      </c>
      <c r="CA1374" s="81">
        <v>12</v>
      </c>
      <c r="CC1374" s="167">
        <v>0</v>
      </c>
      <c r="CD1374" s="167">
        <v>0</v>
      </c>
      <c r="CE1374" s="167">
        <v>0</v>
      </c>
      <c r="CF1374" s="167">
        <v>0</v>
      </c>
      <c r="CG1374" s="167">
        <v>0</v>
      </c>
      <c r="CH1374" s="167">
        <v>0</v>
      </c>
      <c r="CI1374" s="167">
        <v>0</v>
      </c>
      <c r="CJ1374" s="167">
        <v>0</v>
      </c>
      <c r="CK1374" s="167">
        <f>N1374</f>
        <v>3</v>
      </c>
      <c r="CL1374" s="167">
        <v>0</v>
      </c>
      <c r="CM1374" s="167">
        <v>0</v>
      </c>
      <c r="CN1374" s="167">
        <v>0</v>
      </c>
      <c r="CO1374" s="167">
        <v>0</v>
      </c>
      <c r="CP1374" s="167">
        <v>0</v>
      </c>
      <c r="CQ1374" s="167">
        <v>0</v>
      </c>
      <c r="CR1374" s="167">
        <v>0</v>
      </c>
      <c r="CS1374" s="167">
        <v>0</v>
      </c>
      <c r="CT1374" s="167">
        <v>0</v>
      </c>
      <c r="CU1374" s="167">
        <v>0</v>
      </c>
      <c r="CV1374" s="167">
        <v>0</v>
      </c>
      <c r="CW1374" s="167">
        <v>0</v>
      </c>
      <c r="CX1374" s="167">
        <f>SUM(CD1374:CH1374)</f>
        <v>0</v>
      </c>
      <c r="CY1374" s="167">
        <f>SUM(CD1374:CM1374)</f>
        <v>3</v>
      </c>
    </row>
    <row r="1375" spans="1:103" ht="12.75" customHeight="1" x14ac:dyDescent="0.2">
      <c r="A1375" s="81">
        <v>4510</v>
      </c>
      <c r="B1375" s="165" t="s">
        <v>1902</v>
      </c>
      <c r="C1375" s="165" t="s">
        <v>3946</v>
      </c>
      <c r="D1375" s="165" t="s">
        <v>3947</v>
      </c>
      <c r="E1375" s="165" t="s">
        <v>3948</v>
      </c>
      <c r="G1375" s="81">
        <v>529218</v>
      </c>
      <c r="H1375" s="81">
        <v>177561</v>
      </c>
      <c r="I1375" s="165" t="s">
        <v>240</v>
      </c>
      <c r="J1375" s="349"/>
      <c r="L1375" s="166">
        <v>0</v>
      </c>
      <c r="M1375" s="166">
        <v>70</v>
      </c>
      <c r="N1375" s="166">
        <v>70</v>
      </c>
      <c r="O1375" s="166">
        <v>82</v>
      </c>
      <c r="P1375" s="166">
        <v>82</v>
      </c>
      <c r="Q1375" s="81" t="s">
        <v>155</v>
      </c>
      <c r="R1375" s="165" t="s">
        <v>1905</v>
      </c>
      <c r="S1375" s="81" t="s">
        <v>1906</v>
      </c>
      <c r="T1375" s="349"/>
      <c r="U1375" s="349"/>
      <c r="W1375" s="81" t="s">
        <v>114</v>
      </c>
      <c r="Y1375" s="81" t="s">
        <v>115</v>
      </c>
      <c r="Z1375" s="81" t="s">
        <v>398</v>
      </c>
      <c r="AA1375" s="81" t="s">
        <v>116</v>
      </c>
      <c r="AB1375" s="81" t="s">
        <v>117</v>
      </c>
      <c r="AC1375" s="166">
        <v>0</v>
      </c>
      <c r="AD1375" s="349"/>
      <c r="AG1375" s="81" t="s">
        <v>238</v>
      </c>
      <c r="AH1375" s="81" t="s">
        <v>118</v>
      </c>
      <c r="AI1375" s="81" t="s">
        <v>3951</v>
      </c>
      <c r="AJ1375" s="81">
        <v>17320059</v>
      </c>
      <c r="AK1375" s="166">
        <v>0</v>
      </c>
      <c r="AL1375" s="166">
        <v>0</v>
      </c>
      <c r="AM1375" s="166">
        <v>0</v>
      </c>
      <c r="AN1375" s="166">
        <v>0</v>
      </c>
      <c r="AO1375" s="166">
        <v>0</v>
      </c>
      <c r="AP1375" s="166">
        <v>0</v>
      </c>
      <c r="AQ1375" s="166">
        <v>0</v>
      </c>
      <c r="AR1375" s="166">
        <v>0</v>
      </c>
      <c r="AS1375" s="166">
        <v>0</v>
      </c>
      <c r="AT1375" s="166">
        <v>0</v>
      </c>
      <c r="AU1375" s="166">
        <v>70</v>
      </c>
      <c r="AV1375" s="166">
        <v>0</v>
      </c>
      <c r="AW1375" s="166">
        <v>0</v>
      </c>
      <c r="AX1375" s="166">
        <v>0</v>
      </c>
      <c r="AY1375" s="166">
        <v>0</v>
      </c>
      <c r="AZ1375" s="166">
        <v>0</v>
      </c>
      <c r="BA1375" s="166">
        <v>0</v>
      </c>
      <c r="BB1375" s="166">
        <v>70</v>
      </c>
      <c r="BC1375" s="166">
        <v>0</v>
      </c>
      <c r="BD1375" s="166">
        <v>0</v>
      </c>
      <c r="BE1375" s="166">
        <v>0</v>
      </c>
      <c r="BF1375" s="166">
        <v>0</v>
      </c>
      <c r="BG1375" s="166">
        <v>0</v>
      </c>
      <c r="BH1375" s="166">
        <v>0</v>
      </c>
      <c r="BI1375" s="166">
        <v>0</v>
      </c>
      <c r="BJ1375" s="166">
        <v>0</v>
      </c>
      <c r="BK1375" s="166">
        <v>0</v>
      </c>
      <c r="BL1375" s="166">
        <v>0</v>
      </c>
      <c r="BM1375" s="166">
        <v>0</v>
      </c>
      <c r="BN1375" s="166">
        <v>0</v>
      </c>
      <c r="BO1375" s="166">
        <v>0</v>
      </c>
      <c r="BP1375" s="166">
        <v>0</v>
      </c>
      <c r="BQ1375" s="81" t="s">
        <v>1759</v>
      </c>
      <c r="BS1375" s="81" t="s">
        <v>155</v>
      </c>
      <c r="BZ1375" s="81" t="s">
        <v>155</v>
      </c>
      <c r="CA1375" s="81">
        <v>12</v>
      </c>
      <c r="CC1375" s="167">
        <v>0</v>
      </c>
      <c r="CD1375" s="167">
        <v>0</v>
      </c>
      <c r="CE1375" s="167">
        <v>0</v>
      </c>
      <c r="CF1375" s="167">
        <v>0</v>
      </c>
      <c r="CG1375" s="167">
        <v>0</v>
      </c>
      <c r="CH1375" s="167">
        <v>0</v>
      </c>
      <c r="CI1375" s="167">
        <v>0</v>
      </c>
      <c r="CJ1375" s="167">
        <v>0</v>
      </c>
      <c r="CK1375" s="167">
        <f>N1375</f>
        <v>70</v>
      </c>
      <c r="CL1375" s="167">
        <v>0</v>
      </c>
      <c r="CM1375" s="167">
        <v>0</v>
      </c>
      <c r="CN1375" s="167">
        <v>0</v>
      </c>
      <c r="CO1375" s="167">
        <v>0</v>
      </c>
      <c r="CP1375" s="167">
        <v>0</v>
      </c>
      <c r="CQ1375" s="167">
        <v>0</v>
      </c>
      <c r="CR1375" s="167">
        <v>0</v>
      </c>
      <c r="CS1375" s="167">
        <v>0</v>
      </c>
      <c r="CT1375" s="167">
        <v>0</v>
      </c>
      <c r="CU1375" s="167">
        <v>0</v>
      </c>
      <c r="CV1375" s="167">
        <v>0</v>
      </c>
      <c r="CW1375" s="167">
        <v>0</v>
      </c>
      <c r="CX1375" s="167">
        <f>SUM(CD1375:CH1375)</f>
        <v>0</v>
      </c>
      <c r="CY1375" s="167">
        <f>SUM(CD1375:CM1375)</f>
        <v>70</v>
      </c>
    </row>
    <row r="1376" spans="1:103" ht="12.75" customHeight="1" x14ac:dyDescent="0.2">
      <c r="A1376" s="81">
        <v>4510</v>
      </c>
      <c r="B1376" s="165" t="s">
        <v>1902</v>
      </c>
      <c r="C1376" s="165" t="s">
        <v>3949</v>
      </c>
      <c r="D1376" s="165" t="s">
        <v>3947</v>
      </c>
      <c r="E1376" s="165" t="s">
        <v>3948</v>
      </c>
      <c r="G1376" s="81">
        <v>529218</v>
      </c>
      <c r="H1376" s="81">
        <v>177561</v>
      </c>
      <c r="I1376" s="165" t="s">
        <v>240</v>
      </c>
      <c r="J1376" s="349"/>
      <c r="L1376" s="166">
        <v>0</v>
      </c>
      <c r="M1376" s="166">
        <v>7</v>
      </c>
      <c r="N1376" s="166">
        <v>7</v>
      </c>
      <c r="O1376" s="166">
        <v>82</v>
      </c>
      <c r="P1376" s="166">
        <v>82</v>
      </c>
      <c r="Q1376" s="81" t="s">
        <v>155</v>
      </c>
      <c r="R1376" s="165" t="s">
        <v>1905</v>
      </c>
      <c r="S1376" s="81" t="s">
        <v>1906</v>
      </c>
      <c r="T1376" s="349"/>
      <c r="U1376" s="349"/>
      <c r="W1376" s="81" t="s">
        <v>114</v>
      </c>
      <c r="Y1376" s="81" t="s">
        <v>115</v>
      </c>
      <c r="Z1376" s="81" t="s">
        <v>398</v>
      </c>
      <c r="AA1376" s="81" t="s">
        <v>116</v>
      </c>
      <c r="AB1376" s="81" t="s">
        <v>117</v>
      </c>
      <c r="AC1376" s="166">
        <v>0</v>
      </c>
      <c r="AD1376" s="349"/>
      <c r="AG1376" s="81" t="s">
        <v>154</v>
      </c>
      <c r="AH1376" s="81" t="s">
        <v>276</v>
      </c>
      <c r="AI1376" s="81" t="s">
        <v>3951</v>
      </c>
      <c r="AJ1376" s="81">
        <v>17320059</v>
      </c>
      <c r="AK1376" s="166">
        <v>0</v>
      </c>
      <c r="AL1376" s="166">
        <v>0</v>
      </c>
      <c r="AM1376" s="166">
        <v>0</v>
      </c>
      <c r="AN1376" s="166">
        <v>0</v>
      </c>
      <c r="AO1376" s="166">
        <v>0</v>
      </c>
      <c r="AP1376" s="166">
        <v>0</v>
      </c>
      <c r="AQ1376" s="166">
        <v>0</v>
      </c>
      <c r="AR1376" s="166">
        <v>0</v>
      </c>
      <c r="AS1376" s="166">
        <v>0</v>
      </c>
      <c r="AT1376" s="166">
        <v>0</v>
      </c>
      <c r="AU1376" s="166">
        <v>7</v>
      </c>
      <c r="AV1376" s="166">
        <v>0</v>
      </c>
      <c r="AW1376" s="166">
        <v>0</v>
      </c>
      <c r="AX1376" s="166">
        <v>0</v>
      </c>
      <c r="AY1376" s="166">
        <v>0</v>
      </c>
      <c r="AZ1376" s="166">
        <v>0</v>
      </c>
      <c r="BA1376" s="166">
        <v>0</v>
      </c>
      <c r="BB1376" s="166">
        <v>7</v>
      </c>
      <c r="BC1376" s="166">
        <v>0</v>
      </c>
      <c r="BD1376" s="166">
        <v>0</v>
      </c>
      <c r="BE1376" s="166">
        <v>0</v>
      </c>
      <c r="BF1376" s="166">
        <v>0</v>
      </c>
      <c r="BG1376" s="166">
        <v>0</v>
      </c>
      <c r="BH1376" s="166">
        <v>0</v>
      </c>
      <c r="BI1376" s="166">
        <v>0</v>
      </c>
      <c r="BJ1376" s="166">
        <v>0</v>
      </c>
      <c r="BK1376" s="166">
        <v>0</v>
      </c>
      <c r="BL1376" s="166">
        <v>0</v>
      </c>
      <c r="BM1376" s="166">
        <v>0</v>
      </c>
      <c r="BN1376" s="166">
        <v>0</v>
      </c>
      <c r="BO1376" s="166">
        <v>0</v>
      </c>
      <c r="BP1376" s="166">
        <v>0</v>
      </c>
      <c r="BQ1376" s="81" t="s">
        <v>1759</v>
      </c>
      <c r="BS1376" s="81" t="s">
        <v>155</v>
      </c>
      <c r="BZ1376" s="81" t="s">
        <v>155</v>
      </c>
      <c r="CA1376" s="81">
        <v>12</v>
      </c>
      <c r="CC1376" s="167">
        <v>0</v>
      </c>
      <c r="CD1376" s="167">
        <v>0</v>
      </c>
      <c r="CE1376" s="167">
        <v>0</v>
      </c>
      <c r="CF1376" s="167">
        <v>0</v>
      </c>
      <c r="CG1376" s="167">
        <v>0</v>
      </c>
      <c r="CH1376" s="167">
        <v>0</v>
      </c>
      <c r="CI1376" s="167">
        <v>0</v>
      </c>
      <c r="CJ1376" s="167">
        <v>0</v>
      </c>
      <c r="CK1376" s="167">
        <f>N1376</f>
        <v>7</v>
      </c>
      <c r="CL1376" s="167">
        <v>0</v>
      </c>
      <c r="CM1376" s="167">
        <v>0</v>
      </c>
      <c r="CN1376" s="167">
        <v>0</v>
      </c>
      <c r="CO1376" s="167">
        <v>0</v>
      </c>
      <c r="CP1376" s="167">
        <v>0</v>
      </c>
      <c r="CQ1376" s="167">
        <v>0</v>
      </c>
      <c r="CR1376" s="167">
        <v>0</v>
      </c>
      <c r="CS1376" s="167">
        <v>0</v>
      </c>
      <c r="CT1376" s="167">
        <v>0</v>
      </c>
      <c r="CU1376" s="167">
        <v>0</v>
      </c>
      <c r="CV1376" s="167">
        <v>0</v>
      </c>
      <c r="CW1376" s="167">
        <v>0</v>
      </c>
      <c r="CX1376" s="167">
        <f>SUM(CD1376:CH1376)</f>
        <v>0</v>
      </c>
      <c r="CY1376" s="167">
        <f>SUM(CD1376:CM1376)</f>
        <v>7</v>
      </c>
    </row>
    <row r="1377" spans="1:103" ht="12.75" customHeight="1" x14ac:dyDescent="0.2">
      <c r="A1377" s="81">
        <v>4510</v>
      </c>
      <c r="B1377" s="165" t="s">
        <v>1902</v>
      </c>
      <c r="C1377" s="165" t="s">
        <v>3950</v>
      </c>
      <c r="D1377" s="165" t="s">
        <v>3947</v>
      </c>
      <c r="E1377" s="165" t="s">
        <v>3948</v>
      </c>
      <c r="G1377" s="81">
        <v>529218</v>
      </c>
      <c r="H1377" s="81">
        <v>177561</v>
      </c>
      <c r="I1377" s="165" t="s">
        <v>240</v>
      </c>
      <c r="J1377" s="349"/>
      <c r="L1377" s="166">
        <v>0</v>
      </c>
      <c r="M1377" s="166">
        <v>5</v>
      </c>
      <c r="N1377" s="166">
        <v>5</v>
      </c>
      <c r="O1377" s="166">
        <v>82</v>
      </c>
      <c r="P1377" s="166">
        <v>82</v>
      </c>
      <c r="Q1377" s="81" t="s">
        <v>155</v>
      </c>
      <c r="R1377" s="165" t="s">
        <v>1905</v>
      </c>
      <c r="S1377" s="81" t="s">
        <v>1906</v>
      </c>
      <c r="T1377" s="349"/>
      <c r="U1377" s="349"/>
      <c r="W1377" s="81" t="s">
        <v>114</v>
      </c>
      <c r="Y1377" s="81" t="s">
        <v>115</v>
      </c>
      <c r="Z1377" s="81" t="s">
        <v>398</v>
      </c>
      <c r="AA1377" s="81" t="s">
        <v>116</v>
      </c>
      <c r="AB1377" s="81" t="s">
        <v>117</v>
      </c>
      <c r="AC1377" s="166">
        <v>0</v>
      </c>
      <c r="AD1377" s="349"/>
      <c r="AG1377" s="81" t="s">
        <v>74</v>
      </c>
      <c r="AH1377" s="81" t="s">
        <v>880</v>
      </c>
      <c r="AI1377" s="81" t="s">
        <v>3951</v>
      </c>
      <c r="AJ1377" s="81">
        <v>17320059</v>
      </c>
      <c r="AK1377" s="166">
        <v>0</v>
      </c>
      <c r="AL1377" s="166">
        <v>0</v>
      </c>
      <c r="AM1377" s="166">
        <v>0</v>
      </c>
      <c r="AN1377" s="166">
        <v>0</v>
      </c>
      <c r="AO1377" s="166">
        <v>0</v>
      </c>
      <c r="AP1377" s="166">
        <v>0</v>
      </c>
      <c r="AQ1377" s="166">
        <v>0</v>
      </c>
      <c r="AR1377" s="166">
        <v>0</v>
      </c>
      <c r="AS1377" s="166">
        <v>0</v>
      </c>
      <c r="AT1377" s="166">
        <v>0</v>
      </c>
      <c r="AU1377" s="166">
        <v>5</v>
      </c>
      <c r="AV1377" s="166">
        <v>0</v>
      </c>
      <c r="AW1377" s="166">
        <v>0</v>
      </c>
      <c r="AX1377" s="166">
        <v>0</v>
      </c>
      <c r="AY1377" s="166">
        <v>0</v>
      </c>
      <c r="AZ1377" s="166">
        <v>0</v>
      </c>
      <c r="BA1377" s="166">
        <v>0</v>
      </c>
      <c r="BB1377" s="166">
        <v>5</v>
      </c>
      <c r="BC1377" s="166">
        <v>0</v>
      </c>
      <c r="BD1377" s="166">
        <v>0</v>
      </c>
      <c r="BE1377" s="166">
        <v>0</v>
      </c>
      <c r="BF1377" s="166">
        <v>0</v>
      </c>
      <c r="BG1377" s="166">
        <v>0</v>
      </c>
      <c r="BH1377" s="166">
        <v>0</v>
      </c>
      <c r="BI1377" s="166">
        <v>0</v>
      </c>
      <c r="BJ1377" s="166">
        <v>0</v>
      </c>
      <c r="BK1377" s="166">
        <v>0</v>
      </c>
      <c r="BL1377" s="166">
        <v>0</v>
      </c>
      <c r="BM1377" s="166">
        <v>0</v>
      </c>
      <c r="BN1377" s="166">
        <v>0</v>
      </c>
      <c r="BO1377" s="166">
        <v>0</v>
      </c>
      <c r="BP1377" s="166">
        <v>0</v>
      </c>
      <c r="BQ1377" s="81" t="s">
        <v>1759</v>
      </c>
      <c r="BS1377" s="81" t="s">
        <v>155</v>
      </c>
      <c r="BZ1377" s="81" t="s">
        <v>155</v>
      </c>
      <c r="CA1377" s="81">
        <v>12</v>
      </c>
      <c r="CC1377" s="167">
        <v>0</v>
      </c>
      <c r="CD1377" s="167">
        <v>0</v>
      </c>
      <c r="CE1377" s="167">
        <v>0</v>
      </c>
      <c r="CF1377" s="167">
        <v>0</v>
      </c>
      <c r="CG1377" s="167">
        <v>0</v>
      </c>
      <c r="CH1377" s="167">
        <v>0</v>
      </c>
      <c r="CI1377" s="167">
        <v>0</v>
      </c>
      <c r="CJ1377" s="167">
        <v>0</v>
      </c>
      <c r="CK1377" s="167">
        <f>N1377</f>
        <v>5</v>
      </c>
      <c r="CL1377" s="167">
        <v>0</v>
      </c>
      <c r="CM1377" s="167">
        <v>0</v>
      </c>
      <c r="CN1377" s="167">
        <v>0</v>
      </c>
      <c r="CO1377" s="167">
        <v>0</v>
      </c>
      <c r="CP1377" s="167">
        <v>0</v>
      </c>
      <c r="CQ1377" s="167">
        <v>0</v>
      </c>
      <c r="CR1377" s="167">
        <v>0</v>
      </c>
      <c r="CS1377" s="167">
        <v>0</v>
      </c>
      <c r="CT1377" s="167">
        <v>0</v>
      </c>
      <c r="CU1377" s="167">
        <v>0</v>
      </c>
      <c r="CV1377" s="167">
        <v>0</v>
      </c>
      <c r="CW1377" s="167">
        <v>0</v>
      </c>
      <c r="CX1377" s="167">
        <f>SUM(CD1377:CH1377)</f>
        <v>0</v>
      </c>
      <c r="CY1377" s="167">
        <f>SUM(CD1377:CM1377)</f>
        <v>5</v>
      </c>
    </row>
    <row r="1378" spans="1:103" ht="12.75" customHeight="1" x14ac:dyDescent="0.2">
      <c r="A1378" s="81">
        <v>6856</v>
      </c>
      <c r="B1378" s="165" t="s">
        <v>1902</v>
      </c>
      <c r="C1378" s="165" t="s">
        <v>3487</v>
      </c>
      <c r="D1378" s="165" t="s">
        <v>3488</v>
      </c>
      <c r="E1378" s="165" t="s">
        <v>3489</v>
      </c>
      <c r="G1378" s="81">
        <v>527181</v>
      </c>
      <c r="H1378" s="81">
        <v>176864</v>
      </c>
      <c r="I1378" s="165" t="s">
        <v>257</v>
      </c>
      <c r="L1378" s="166">
        <v>0</v>
      </c>
      <c r="M1378" s="166">
        <v>40</v>
      </c>
      <c r="N1378" s="166">
        <v>40</v>
      </c>
      <c r="O1378" s="166">
        <v>57</v>
      </c>
      <c r="P1378" s="166">
        <v>57</v>
      </c>
      <c r="Q1378" s="81" t="s">
        <v>155</v>
      </c>
      <c r="R1378" s="165" t="s">
        <v>3490</v>
      </c>
      <c r="S1378" s="81" t="s">
        <v>1906</v>
      </c>
      <c r="W1378" s="81" t="s">
        <v>114</v>
      </c>
      <c r="Y1378" s="81" t="s">
        <v>115</v>
      </c>
      <c r="Z1378" s="81" t="s">
        <v>116</v>
      </c>
      <c r="AA1378" s="81" t="s">
        <v>116</v>
      </c>
      <c r="AB1378" s="81" t="s">
        <v>117</v>
      </c>
      <c r="AC1378" s="166">
        <v>0</v>
      </c>
      <c r="AG1378" s="81" t="s">
        <v>238</v>
      </c>
      <c r="AH1378" s="81" t="s">
        <v>1812</v>
      </c>
      <c r="AK1378" s="166">
        <v>0</v>
      </c>
      <c r="AM1378" s="166">
        <v>0</v>
      </c>
      <c r="AO1378" s="166">
        <v>0</v>
      </c>
      <c r="AP1378" s="166">
        <v>0</v>
      </c>
      <c r="AQ1378" s="166">
        <v>0</v>
      </c>
      <c r="AR1378" s="166">
        <v>0</v>
      </c>
      <c r="AS1378" s="166">
        <v>0</v>
      </c>
      <c r="AT1378" s="166">
        <v>0</v>
      </c>
      <c r="AU1378" s="166">
        <v>40</v>
      </c>
      <c r="AV1378" s="166">
        <v>0</v>
      </c>
      <c r="AW1378" s="166">
        <v>0</v>
      </c>
      <c r="AX1378" s="166">
        <v>0</v>
      </c>
      <c r="AY1378" s="166">
        <v>0</v>
      </c>
      <c r="AZ1378" s="166">
        <v>0</v>
      </c>
      <c r="BA1378" s="166">
        <v>0</v>
      </c>
      <c r="BB1378" s="166">
        <v>40</v>
      </c>
      <c r="BC1378" s="166">
        <v>0</v>
      </c>
      <c r="BD1378" s="166">
        <v>0</v>
      </c>
      <c r="BE1378" s="166">
        <v>0</v>
      </c>
      <c r="BF1378" s="166">
        <v>0</v>
      </c>
      <c r="BG1378" s="166">
        <v>0</v>
      </c>
      <c r="BH1378" s="166">
        <v>0</v>
      </c>
      <c r="BI1378" s="166">
        <v>0</v>
      </c>
      <c r="BJ1378" s="166">
        <v>0</v>
      </c>
      <c r="BK1378" s="166">
        <v>0</v>
      </c>
      <c r="BL1378" s="166">
        <v>0</v>
      </c>
      <c r="BM1378" s="166">
        <v>0</v>
      </c>
      <c r="BN1378" s="166">
        <v>0</v>
      </c>
      <c r="BO1378" s="166">
        <v>0</v>
      </c>
      <c r="BP1378" s="166">
        <v>0</v>
      </c>
      <c r="BQ1378" s="81" t="s">
        <v>1757</v>
      </c>
      <c r="BZ1378" s="81" t="s">
        <v>155</v>
      </c>
      <c r="CA1378" s="81">
        <v>11</v>
      </c>
      <c r="CC1378" s="167">
        <v>0</v>
      </c>
      <c r="CD1378" s="167">
        <v>0</v>
      </c>
      <c r="CE1378" s="167">
        <v>0</v>
      </c>
      <c r="CF1378" s="167">
        <v>0</v>
      </c>
      <c r="CG1378" s="167">
        <v>0</v>
      </c>
      <c r="CH1378" s="167">
        <v>0</v>
      </c>
      <c r="CI1378" s="167">
        <f>$N1378/3</f>
        <v>13.333333333333334</v>
      </c>
      <c r="CJ1378" s="167">
        <f>$N1378/3</f>
        <v>13.333333333333334</v>
      </c>
      <c r="CK1378" s="167">
        <f>$N1378/3</f>
        <v>13.333333333333334</v>
      </c>
      <c r="CL1378" s="167">
        <v>0</v>
      </c>
      <c r="CM1378" s="167">
        <v>0</v>
      </c>
      <c r="CN1378" s="167">
        <v>0</v>
      </c>
      <c r="CO1378" s="167">
        <v>0</v>
      </c>
      <c r="CP1378" s="167">
        <v>0</v>
      </c>
      <c r="CQ1378" s="167">
        <v>0</v>
      </c>
      <c r="CR1378" s="167">
        <v>0</v>
      </c>
      <c r="CS1378" s="167">
        <v>0</v>
      </c>
      <c r="CT1378" s="167">
        <v>0</v>
      </c>
      <c r="CU1378" s="167">
        <v>0</v>
      </c>
      <c r="CV1378" s="167">
        <v>0</v>
      </c>
      <c r="CW1378" s="167">
        <v>0</v>
      </c>
      <c r="CX1378" s="167">
        <f>SUM(CD1378:CH1378)</f>
        <v>0</v>
      </c>
      <c r="CY1378" s="167">
        <f>SUM(CD1378:CM1378)</f>
        <v>40</v>
      </c>
    </row>
    <row r="1379" spans="1:103" ht="12.75" customHeight="1" x14ac:dyDescent="0.2">
      <c r="A1379" s="81">
        <v>6856</v>
      </c>
      <c r="B1379" s="165" t="s">
        <v>1902</v>
      </c>
      <c r="C1379" s="165" t="s">
        <v>3487</v>
      </c>
      <c r="D1379" s="165" t="s">
        <v>3488</v>
      </c>
      <c r="E1379" s="165" t="s">
        <v>3489</v>
      </c>
      <c r="G1379" s="81">
        <v>527181</v>
      </c>
      <c r="H1379" s="81">
        <v>176864</v>
      </c>
      <c r="I1379" s="165" t="s">
        <v>257</v>
      </c>
      <c r="L1379" s="166">
        <v>0</v>
      </c>
      <c r="M1379" s="166">
        <v>17</v>
      </c>
      <c r="N1379" s="166">
        <v>17</v>
      </c>
      <c r="O1379" s="166">
        <v>57</v>
      </c>
      <c r="P1379" s="166">
        <v>57</v>
      </c>
      <c r="Q1379" s="81" t="s">
        <v>155</v>
      </c>
      <c r="R1379" s="165" t="s">
        <v>3490</v>
      </c>
      <c r="S1379" s="81" t="s">
        <v>1906</v>
      </c>
      <c r="W1379" s="81" t="s">
        <v>114</v>
      </c>
      <c r="Y1379" s="81" t="s">
        <v>115</v>
      </c>
      <c r="Z1379" s="81" t="s">
        <v>116</v>
      </c>
      <c r="AA1379" s="81" t="s">
        <v>116</v>
      </c>
      <c r="AB1379" s="81" t="s">
        <v>117</v>
      </c>
      <c r="AC1379" s="166">
        <v>0</v>
      </c>
      <c r="AG1379" s="81" t="s">
        <v>154</v>
      </c>
      <c r="AH1379" s="81" t="s">
        <v>38</v>
      </c>
      <c r="AK1379" s="166">
        <v>0</v>
      </c>
      <c r="AM1379" s="166">
        <v>0</v>
      </c>
      <c r="AO1379" s="166">
        <v>0</v>
      </c>
      <c r="AP1379" s="166">
        <v>0</v>
      </c>
      <c r="AQ1379" s="166">
        <v>0</v>
      </c>
      <c r="AR1379" s="166">
        <v>0</v>
      </c>
      <c r="AS1379" s="166">
        <v>0</v>
      </c>
      <c r="AT1379" s="166">
        <v>0</v>
      </c>
      <c r="AU1379" s="166">
        <v>17</v>
      </c>
      <c r="AV1379" s="166">
        <v>0</v>
      </c>
      <c r="AW1379" s="166">
        <v>0</v>
      </c>
      <c r="AX1379" s="166">
        <v>0</v>
      </c>
      <c r="AY1379" s="166">
        <v>0</v>
      </c>
      <c r="AZ1379" s="166">
        <v>0</v>
      </c>
      <c r="BA1379" s="166">
        <v>0</v>
      </c>
      <c r="BB1379" s="166">
        <v>17</v>
      </c>
      <c r="BC1379" s="166">
        <v>0</v>
      </c>
      <c r="BD1379" s="166">
        <v>0</v>
      </c>
      <c r="BE1379" s="166">
        <v>0</v>
      </c>
      <c r="BF1379" s="166">
        <v>0</v>
      </c>
      <c r="BG1379" s="166">
        <v>0</v>
      </c>
      <c r="BH1379" s="166">
        <v>0</v>
      </c>
      <c r="BI1379" s="166">
        <v>0</v>
      </c>
      <c r="BJ1379" s="166">
        <v>0</v>
      </c>
      <c r="BK1379" s="166">
        <v>0</v>
      </c>
      <c r="BL1379" s="166">
        <v>0</v>
      </c>
      <c r="BM1379" s="166">
        <v>0</v>
      </c>
      <c r="BN1379" s="166">
        <v>0</v>
      </c>
      <c r="BO1379" s="166">
        <v>0</v>
      </c>
      <c r="BP1379" s="166">
        <v>0</v>
      </c>
      <c r="BQ1379" s="81" t="s">
        <v>1757</v>
      </c>
      <c r="BZ1379" s="81" t="s">
        <v>155</v>
      </c>
      <c r="CA1379" s="81">
        <v>11</v>
      </c>
      <c r="CC1379" s="167">
        <v>0</v>
      </c>
      <c r="CD1379" s="167">
        <v>0</v>
      </c>
      <c r="CE1379" s="167">
        <v>0</v>
      </c>
      <c r="CF1379" s="167">
        <v>0</v>
      </c>
      <c r="CG1379" s="167">
        <v>0</v>
      </c>
      <c r="CH1379" s="167">
        <v>0</v>
      </c>
      <c r="CI1379" s="167">
        <f>$N1379/3</f>
        <v>5.666666666666667</v>
      </c>
      <c r="CJ1379" s="167">
        <f>$N1379/3</f>
        <v>5.666666666666667</v>
      </c>
      <c r="CK1379" s="167">
        <f>$N1379/3</f>
        <v>5.666666666666667</v>
      </c>
      <c r="CL1379" s="167">
        <v>0</v>
      </c>
      <c r="CM1379" s="167">
        <v>0</v>
      </c>
      <c r="CN1379" s="167">
        <v>0</v>
      </c>
      <c r="CO1379" s="167">
        <v>0</v>
      </c>
      <c r="CP1379" s="167">
        <v>0</v>
      </c>
      <c r="CQ1379" s="167">
        <v>0</v>
      </c>
      <c r="CR1379" s="167">
        <v>0</v>
      </c>
      <c r="CS1379" s="167">
        <v>0</v>
      </c>
      <c r="CT1379" s="167">
        <v>0</v>
      </c>
      <c r="CU1379" s="167">
        <v>0</v>
      </c>
      <c r="CV1379" s="167">
        <v>0</v>
      </c>
      <c r="CW1379" s="167">
        <v>0</v>
      </c>
      <c r="CX1379" s="167">
        <f>SUM(CD1379:CH1379)</f>
        <v>0</v>
      </c>
      <c r="CY1379" s="167">
        <f>SUM(CD1379:CM1379)</f>
        <v>17</v>
      </c>
    </row>
    <row r="1380" spans="1:103" ht="12.75" customHeight="1" x14ac:dyDescent="0.2">
      <c r="A1380" s="81">
        <v>6857</v>
      </c>
      <c r="B1380" s="165" t="s">
        <v>1902</v>
      </c>
      <c r="C1380" s="165" t="s">
        <v>3491</v>
      </c>
      <c r="E1380" s="165" t="s">
        <v>3492</v>
      </c>
      <c r="G1380" s="81">
        <v>527247</v>
      </c>
      <c r="H1380" s="81">
        <v>176890</v>
      </c>
      <c r="I1380" s="165" t="s">
        <v>257</v>
      </c>
      <c r="L1380" s="166">
        <v>0</v>
      </c>
      <c r="M1380" s="166">
        <v>32</v>
      </c>
      <c r="N1380" s="166">
        <v>32</v>
      </c>
      <c r="O1380" s="166">
        <v>40</v>
      </c>
      <c r="P1380" s="166">
        <v>40</v>
      </c>
      <c r="Q1380" s="81" t="s">
        <v>155</v>
      </c>
      <c r="R1380" s="165" t="s">
        <v>3493</v>
      </c>
      <c r="S1380" s="81" t="s">
        <v>1906</v>
      </c>
      <c r="W1380" s="81" t="s">
        <v>114</v>
      </c>
      <c r="Y1380" s="81" t="s">
        <v>115</v>
      </c>
      <c r="Z1380" s="81" t="s">
        <v>116</v>
      </c>
      <c r="AA1380" s="81" t="s">
        <v>116</v>
      </c>
      <c r="AB1380" s="81" t="s">
        <v>117</v>
      </c>
      <c r="AC1380" s="166">
        <v>0</v>
      </c>
      <c r="AG1380" s="81" t="s">
        <v>238</v>
      </c>
      <c r="AH1380" s="81" t="s">
        <v>1812</v>
      </c>
      <c r="AK1380" s="166">
        <v>0</v>
      </c>
      <c r="AM1380" s="166">
        <v>0</v>
      </c>
      <c r="AO1380" s="166">
        <v>0</v>
      </c>
      <c r="AP1380" s="166">
        <v>0</v>
      </c>
      <c r="AQ1380" s="166">
        <v>0</v>
      </c>
      <c r="AR1380" s="166">
        <v>0</v>
      </c>
      <c r="AS1380" s="166">
        <v>0</v>
      </c>
      <c r="AT1380" s="166">
        <v>0</v>
      </c>
      <c r="AU1380" s="166">
        <v>32</v>
      </c>
      <c r="AV1380" s="166">
        <v>0</v>
      </c>
      <c r="AW1380" s="166">
        <v>0</v>
      </c>
      <c r="AX1380" s="166">
        <v>0</v>
      </c>
      <c r="AY1380" s="166">
        <v>0</v>
      </c>
      <c r="AZ1380" s="166">
        <v>0</v>
      </c>
      <c r="BA1380" s="166">
        <v>0</v>
      </c>
      <c r="BB1380" s="166">
        <v>32</v>
      </c>
      <c r="BC1380" s="166">
        <v>0</v>
      </c>
      <c r="BD1380" s="166">
        <v>0</v>
      </c>
      <c r="BE1380" s="166">
        <v>0</v>
      </c>
      <c r="BF1380" s="166">
        <v>0</v>
      </c>
      <c r="BG1380" s="166">
        <v>0</v>
      </c>
      <c r="BH1380" s="166">
        <v>0</v>
      </c>
      <c r="BI1380" s="166">
        <v>0</v>
      </c>
      <c r="BJ1380" s="166">
        <v>0</v>
      </c>
      <c r="BK1380" s="166">
        <v>0</v>
      </c>
      <c r="BL1380" s="166">
        <v>0</v>
      </c>
      <c r="BM1380" s="166">
        <v>0</v>
      </c>
      <c r="BN1380" s="166">
        <v>0</v>
      </c>
      <c r="BO1380" s="166">
        <v>0</v>
      </c>
      <c r="BP1380" s="166">
        <v>0</v>
      </c>
      <c r="BQ1380" s="81" t="s">
        <v>1757</v>
      </c>
      <c r="BZ1380" s="81" t="s">
        <v>155</v>
      </c>
      <c r="CA1380" s="81">
        <v>11</v>
      </c>
      <c r="CC1380" s="167">
        <v>0</v>
      </c>
      <c r="CD1380" s="167">
        <v>0</v>
      </c>
      <c r="CE1380" s="167">
        <v>0</v>
      </c>
      <c r="CF1380" s="167">
        <v>0</v>
      </c>
      <c r="CG1380" s="167">
        <v>0</v>
      </c>
      <c r="CH1380" s="167">
        <v>0</v>
      </c>
      <c r="CI1380" s="167">
        <f>$N1380/3</f>
        <v>10.666666666666666</v>
      </c>
      <c r="CJ1380" s="167">
        <f>$N1380/3</f>
        <v>10.666666666666666</v>
      </c>
      <c r="CK1380" s="167">
        <f>$N1380/3</f>
        <v>10.666666666666666</v>
      </c>
      <c r="CL1380" s="167">
        <v>0</v>
      </c>
      <c r="CM1380" s="167">
        <v>0</v>
      </c>
      <c r="CN1380" s="167">
        <v>0</v>
      </c>
      <c r="CO1380" s="167">
        <v>0</v>
      </c>
      <c r="CP1380" s="167">
        <v>0</v>
      </c>
      <c r="CQ1380" s="167">
        <v>0</v>
      </c>
      <c r="CR1380" s="167">
        <v>0</v>
      </c>
      <c r="CS1380" s="167">
        <v>0</v>
      </c>
      <c r="CT1380" s="167">
        <v>0</v>
      </c>
      <c r="CU1380" s="167">
        <v>0</v>
      </c>
      <c r="CV1380" s="167">
        <v>0</v>
      </c>
      <c r="CW1380" s="167">
        <v>0</v>
      </c>
      <c r="CX1380" s="167">
        <f>SUM(CD1380:CH1380)</f>
        <v>0</v>
      </c>
      <c r="CY1380" s="167">
        <f>SUM(CD1380:CM1380)</f>
        <v>32</v>
      </c>
    </row>
    <row r="1381" spans="1:103" ht="12.75" customHeight="1" x14ac:dyDescent="0.2">
      <c r="A1381" s="81">
        <v>6857</v>
      </c>
      <c r="B1381" s="165" t="s">
        <v>1902</v>
      </c>
      <c r="C1381" s="165" t="s">
        <v>3491</v>
      </c>
      <c r="E1381" s="165" t="s">
        <v>3492</v>
      </c>
      <c r="G1381" s="81">
        <v>527247</v>
      </c>
      <c r="H1381" s="81">
        <v>176890</v>
      </c>
      <c r="I1381" s="165" t="s">
        <v>257</v>
      </c>
      <c r="L1381" s="166">
        <v>0</v>
      </c>
      <c r="M1381" s="166">
        <v>8</v>
      </c>
      <c r="N1381" s="166">
        <v>8</v>
      </c>
      <c r="O1381" s="166">
        <v>40</v>
      </c>
      <c r="P1381" s="166">
        <v>40</v>
      </c>
      <c r="Q1381" s="81" t="s">
        <v>155</v>
      </c>
      <c r="R1381" s="165" t="s">
        <v>3493</v>
      </c>
      <c r="S1381" s="81" t="s">
        <v>1906</v>
      </c>
      <c r="W1381" s="81" t="s">
        <v>114</v>
      </c>
      <c r="Y1381" s="81" t="s">
        <v>115</v>
      </c>
      <c r="Z1381" s="81" t="s">
        <v>116</v>
      </c>
      <c r="AA1381" s="81" t="s">
        <v>116</v>
      </c>
      <c r="AB1381" s="81" t="s">
        <v>117</v>
      </c>
      <c r="AC1381" s="166">
        <v>0</v>
      </c>
      <c r="AG1381" s="81" t="s">
        <v>154</v>
      </c>
      <c r="AH1381" s="81" t="s">
        <v>38</v>
      </c>
      <c r="AK1381" s="166">
        <v>0</v>
      </c>
      <c r="AM1381" s="166">
        <v>0</v>
      </c>
      <c r="AO1381" s="166">
        <v>0</v>
      </c>
      <c r="AP1381" s="166">
        <v>0</v>
      </c>
      <c r="AQ1381" s="166">
        <v>0</v>
      </c>
      <c r="AR1381" s="166">
        <v>0</v>
      </c>
      <c r="AS1381" s="166">
        <v>0</v>
      </c>
      <c r="AT1381" s="166">
        <v>0</v>
      </c>
      <c r="AU1381" s="166">
        <v>8</v>
      </c>
      <c r="AV1381" s="166">
        <v>0</v>
      </c>
      <c r="AW1381" s="166">
        <v>0</v>
      </c>
      <c r="AX1381" s="166">
        <v>0</v>
      </c>
      <c r="AY1381" s="166">
        <v>0</v>
      </c>
      <c r="AZ1381" s="166">
        <v>0</v>
      </c>
      <c r="BA1381" s="166">
        <v>0</v>
      </c>
      <c r="BB1381" s="166">
        <v>8</v>
      </c>
      <c r="BC1381" s="166">
        <v>0</v>
      </c>
      <c r="BD1381" s="166">
        <v>0</v>
      </c>
      <c r="BE1381" s="166">
        <v>0</v>
      </c>
      <c r="BF1381" s="166">
        <v>0</v>
      </c>
      <c r="BG1381" s="166">
        <v>0</v>
      </c>
      <c r="BH1381" s="166">
        <v>0</v>
      </c>
      <c r="BI1381" s="166">
        <v>0</v>
      </c>
      <c r="BJ1381" s="166">
        <v>0</v>
      </c>
      <c r="BK1381" s="166">
        <v>0</v>
      </c>
      <c r="BL1381" s="166">
        <v>0</v>
      </c>
      <c r="BM1381" s="166">
        <v>0</v>
      </c>
      <c r="BN1381" s="166">
        <v>0</v>
      </c>
      <c r="BO1381" s="166">
        <v>0</v>
      </c>
      <c r="BP1381" s="166">
        <v>0</v>
      </c>
      <c r="BQ1381" s="81" t="s">
        <v>1757</v>
      </c>
      <c r="BZ1381" s="81" t="s">
        <v>155</v>
      </c>
      <c r="CA1381" s="81">
        <v>11</v>
      </c>
      <c r="CC1381" s="167">
        <v>0</v>
      </c>
      <c r="CD1381" s="167">
        <v>0</v>
      </c>
      <c r="CE1381" s="167">
        <v>0</v>
      </c>
      <c r="CF1381" s="167">
        <v>0</v>
      </c>
      <c r="CG1381" s="167">
        <v>0</v>
      </c>
      <c r="CH1381" s="167">
        <v>0</v>
      </c>
      <c r="CI1381" s="167">
        <f>$N1381/3</f>
        <v>2.6666666666666665</v>
      </c>
      <c r="CJ1381" s="167">
        <f>$N1381/3</f>
        <v>2.6666666666666665</v>
      </c>
      <c r="CK1381" s="167">
        <f>$N1381/3</f>
        <v>2.6666666666666665</v>
      </c>
      <c r="CL1381" s="167">
        <v>0</v>
      </c>
      <c r="CM1381" s="167">
        <v>0</v>
      </c>
      <c r="CN1381" s="167">
        <v>0</v>
      </c>
      <c r="CO1381" s="167">
        <v>0</v>
      </c>
      <c r="CP1381" s="167">
        <v>0</v>
      </c>
      <c r="CQ1381" s="167">
        <v>0</v>
      </c>
      <c r="CR1381" s="167">
        <v>0</v>
      </c>
      <c r="CS1381" s="167">
        <v>0</v>
      </c>
      <c r="CT1381" s="167">
        <v>0</v>
      </c>
      <c r="CU1381" s="167">
        <v>0</v>
      </c>
      <c r="CV1381" s="167">
        <v>0</v>
      </c>
      <c r="CW1381" s="167">
        <v>0</v>
      </c>
      <c r="CX1381" s="167">
        <f>SUM(CD1381:CH1381)</f>
        <v>0</v>
      </c>
      <c r="CY1381" s="167">
        <f>SUM(CD1381:CM1381)</f>
        <v>8</v>
      </c>
    </row>
    <row r="1382" spans="1:103" ht="12.75" customHeight="1" x14ac:dyDescent="0.2">
      <c r="A1382" s="81">
        <v>6864</v>
      </c>
      <c r="B1382" s="165" t="s">
        <v>1902</v>
      </c>
      <c r="C1382" s="165" t="s">
        <v>3494</v>
      </c>
      <c r="E1382" s="165" t="s">
        <v>3495</v>
      </c>
      <c r="G1382" s="81">
        <v>527567</v>
      </c>
      <c r="H1382" s="81">
        <v>175349</v>
      </c>
      <c r="I1382" s="165" t="s">
        <v>253</v>
      </c>
      <c r="L1382" s="166">
        <v>0</v>
      </c>
      <c r="M1382" s="166">
        <v>211</v>
      </c>
      <c r="N1382" s="166">
        <v>211</v>
      </c>
      <c r="O1382" s="166">
        <v>315</v>
      </c>
      <c r="P1382" s="166">
        <v>315</v>
      </c>
      <c r="Q1382" s="81" t="s">
        <v>155</v>
      </c>
      <c r="R1382" s="165" t="s">
        <v>1905</v>
      </c>
      <c r="S1382" s="81" t="s">
        <v>1906</v>
      </c>
      <c r="W1382" s="81" t="s">
        <v>114</v>
      </c>
      <c r="Y1382" s="81" t="s">
        <v>115</v>
      </c>
      <c r="Z1382" s="81" t="s">
        <v>116</v>
      </c>
      <c r="AA1382" s="81" t="s">
        <v>116</v>
      </c>
      <c r="AB1382" s="81" t="s">
        <v>117</v>
      </c>
      <c r="AC1382" s="166">
        <v>0</v>
      </c>
      <c r="AG1382" s="81" t="s">
        <v>238</v>
      </c>
      <c r="AH1382" s="81" t="s">
        <v>118</v>
      </c>
      <c r="AI1382" s="81" t="s">
        <v>2448</v>
      </c>
      <c r="AJ1382" s="81">
        <v>17320280</v>
      </c>
      <c r="AK1382" s="166">
        <v>0</v>
      </c>
      <c r="AM1382" s="166">
        <v>0</v>
      </c>
      <c r="AO1382" s="166">
        <v>0</v>
      </c>
      <c r="AP1382" s="166">
        <v>0</v>
      </c>
      <c r="AQ1382" s="166">
        <v>0</v>
      </c>
      <c r="AR1382" s="166">
        <v>0</v>
      </c>
      <c r="AS1382" s="166">
        <v>0</v>
      </c>
      <c r="AT1382" s="166">
        <v>0</v>
      </c>
      <c r="AU1382" s="166">
        <v>211</v>
      </c>
      <c r="AV1382" s="166">
        <v>0</v>
      </c>
      <c r="AW1382" s="166">
        <v>0</v>
      </c>
      <c r="AX1382" s="166">
        <v>0</v>
      </c>
      <c r="AY1382" s="166">
        <v>0</v>
      </c>
      <c r="AZ1382" s="166">
        <v>0</v>
      </c>
      <c r="BA1382" s="166">
        <v>0</v>
      </c>
      <c r="BB1382" s="166">
        <v>211</v>
      </c>
      <c r="BC1382" s="166">
        <v>0</v>
      </c>
      <c r="BD1382" s="166">
        <v>0</v>
      </c>
      <c r="BE1382" s="166">
        <v>0</v>
      </c>
      <c r="BF1382" s="166">
        <v>0</v>
      </c>
      <c r="BG1382" s="166">
        <v>0</v>
      </c>
      <c r="BH1382" s="166">
        <v>0</v>
      </c>
      <c r="BI1382" s="166">
        <v>0</v>
      </c>
      <c r="BJ1382" s="166">
        <v>0</v>
      </c>
      <c r="BK1382" s="166">
        <v>0</v>
      </c>
      <c r="BL1382" s="166">
        <v>0</v>
      </c>
      <c r="BM1382" s="166">
        <v>0</v>
      </c>
      <c r="BN1382" s="166">
        <v>0</v>
      </c>
      <c r="BO1382" s="166">
        <v>0</v>
      </c>
      <c r="BP1382" s="166">
        <v>0</v>
      </c>
      <c r="BQ1382" s="81" t="s">
        <v>1757</v>
      </c>
      <c r="BZ1382" s="81" t="s">
        <v>155</v>
      </c>
      <c r="CA1382" s="81">
        <v>11</v>
      </c>
      <c r="CC1382" s="167">
        <v>0</v>
      </c>
      <c r="CD1382" s="167">
        <v>0</v>
      </c>
      <c r="CE1382" s="167">
        <v>0</v>
      </c>
      <c r="CF1382" s="167">
        <v>0</v>
      </c>
      <c r="CG1382" s="167">
        <v>0</v>
      </c>
      <c r="CH1382" s="167">
        <v>0</v>
      </c>
      <c r="CI1382" s="167">
        <v>0</v>
      </c>
      <c r="CJ1382" s="167">
        <v>0</v>
      </c>
      <c r="CK1382" s="167">
        <v>0</v>
      </c>
      <c r="CL1382" s="167">
        <v>0</v>
      </c>
      <c r="CM1382" s="167">
        <v>0</v>
      </c>
      <c r="CN1382" s="167">
        <v>0</v>
      </c>
      <c r="CO1382" s="167">
        <f>$N1382/12</f>
        <v>17.583333333333332</v>
      </c>
      <c r="CP1382" s="167">
        <f>$N1382/12</f>
        <v>17.583333333333332</v>
      </c>
      <c r="CQ1382" s="167">
        <f>$N1382/12</f>
        <v>17.583333333333332</v>
      </c>
      <c r="CR1382" s="167">
        <f>$N1382/12</f>
        <v>17.583333333333332</v>
      </c>
      <c r="CS1382" s="167">
        <f>$N1382/12</f>
        <v>17.583333333333332</v>
      </c>
      <c r="CT1382" s="167">
        <f>$N1382/12</f>
        <v>17.583333333333332</v>
      </c>
      <c r="CU1382" s="167">
        <f>$N1382/12</f>
        <v>17.583333333333332</v>
      </c>
      <c r="CV1382" s="167">
        <f>$N1382/12</f>
        <v>17.583333333333332</v>
      </c>
      <c r="CW1382" s="167">
        <f>$N1382/12</f>
        <v>17.583333333333332</v>
      </c>
      <c r="CX1382" s="167">
        <f>SUM(CD1382:CH1382)</f>
        <v>0</v>
      </c>
      <c r="CY1382" s="167">
        <f>SUM(CD1382:CM1382)</f>
        <v>0</v>
      </c>
    </row>
    <row r="1383" spans="1:103" ht="12.75" customHeight="1" x14ac:dyDescent="0.2">
      <c r="A1383" s="81">
        <v>6864</v>
      </c>
      <c r="B1383" s="165" t="s">
        <v>1902</v>
      </c>
      <c r="C1383" s="165" t="s">
        <v>3494</v>
      </c>
      <c r="E1383" s="165" t="s">
        <v>3495</v>
      </c>
      <c r="G1383" s="81">
        <v>527567</v>
      </c>
      <c r="H1383" s="81">
        <v>175349</v>
      </c>
      <c r="I1383" s="165" t="s">
        <v>253</v>
      </c>
      <c r="L1383" s="166">
        <v>0</v>
      </c>
      <c r="M1383" s="166">
        <v>62</v>
      </c>
      <c r="N1383" s="166">
        <v>62</v>
      </c>
      <c r="O1383" s="166">
        <v>315</v>
      </c>
      <c r="P1383" s="166">
        <v>315</v>
      </c>
      <c r="Q1383" s="81" t="s">
        <v>155</v>
      </c>
      <c r="R1383" s="165" t="s">
        <v>1905</v>
      </c>
      <c r="S1383" s="81" t="s">
        <v>1906</v>
      </c>
      <c r="W1383" s="81" t="s">
        <v>114</v>
      </c>
      <c r="Y1383" s="81" t="s">
        <v>115</v>
      </c>
      <c r="Z1383" s="81" t="s">
        <v>116</v>
      </c>
      <c r="AA1383" s="81" t="s">
        <v>116</v>
      </c>
      <c r="AB1383" s="81" t="s">
        <v>117</v>
      </c>
      <c r="AC1383" s="166">
        <v>0</v>
      </c>
      <c r="AG1383" s="81" t="s">
        <v>154</v>
      </c>
      <c r="AH1383" s="81" t="s">
        <v>276</v>
      </c>
      <c r="AI1383" s="81" t="s">
        <v>2448</v>
      </c>
      <c r="AJ1383" s="81">
        <v>17320280</v>
      </c>
      <c r="AK1383" s="166">
        <v>0</v>
      </c>
      <c r="AM1383" s="166">
        <v>0</v>
      </c>
      <c r="AO1383" s="166">
        <v>0</v>
      </c>
      <c r="AP1383" s="166">
        <v>0</v>
      </c>
      <c r="AQ1383" s="166">
        <v>0</v>
      </c>
      <c r="AR1383" s="166">
        <v>0</v>
      </c>
      <c r="AS1383" s="166">
        <v>0</v>
      </c>
      <c r="AT1383" s="166">
        <v>0</v>
      </c>
      <c r="AU1383" s="166">
        <v>62</v>
      </c>
      <c r="AV1383" s="166">
        <v>0</v>
      </c>
      <c r="AW1383" s="166">
        <v>0</v>
      </c>
      <c r="AX1383" s="166">
        <v>0</v>
      </c>
      <c r="AY1383" s="166">
        <v>0</v>
      </c>
      <c r="AZ1383" s="166">
        <v>0</v>
      </c>
      <c r="BA1383" s="166">
        <v>0</v>
      </c>
      <c r="BB1383" s="166">
        <v>62</v>
      </c>
      <c r="BC1383" s="166">
        <v>0</v>
      </c>
      <c r="BD1383" s="166">
        <v>0</v>
      </c>
      <c r="BE1383" s="166">
        <v>0</v>
      </c>
      <c r="BF1383" s="166">
        <v>0</v>
      </c>
      <c r="BG1383" s="166">
        <v>0</v>
      </c>
      <c r="BH1383" s="166">
        <v>0</v>
      </c>
      <c r="BI1383" s="166">
        <v>0</v>
      </c>
      <c r="BJ1383" s="166">
        <v>0</v>
      </c>
      <c r="BK1383" s="166">
        <v>0</v>
      </c>
      <c r="BL1383" s="166">
        <v>0</v>
      </c>
      <c r="BM1383" s="166">
        <v>0</v>
      </c>
      <c r="BN1383" s="166">
        <v>0</v>
      </c>
      <c r="BO1383" s="166">
        <v>0</v>
      </c>
      <c r="BP1383" s="166">
        <v>0</v>
      </c>
      <c r="BQ1383" s="81" t="s">
        <v>1757</v>
      </c>
      <c r="BZ1383" s="81" t="s">
        <v>155</v>
      </c>
      <c r="CA1383" s="81">
        <v>11</v>
      </c>
      <c r="CC1383" s="167">
        <v>0</v>
      </c>
      <c r="CD1383" s="167">
        <v>0</v>
      </c>
      <c r="CE1383" s="167">
        <v>0</v>
      </c>
      <c r="CF1383" s="167">
        <v>0</v>
      </c>
      <c r="CG1383" s="167">
        <v>0</v>
      </c>
      <c r="CH1383" s="167">
        <v>0</v>
      </c>
      <c r="CI1383" s="167">
        <v>0</v>
      </c>
      <c r="CJ1383" s="167">
        <v>0</v>
      </c>
      <c r="CK1383" s="167">
        <v>0</v>
      </c>
      <c r="CL1383" s="167">
        <v>0</v>
      </c>
      <c r="CM1383" s="167">
        <v>0</v>
      </c>
      <c r="CN1383" s="167">
        <v>0</v>
      </c>
      <c r="CO1383" s="167">
        <f>$N1383/12</f>
        <v>5.166666666666667</v>
      </c>
      <c r="CP1383" s="167">
        <f>$N1383/12</f>
        <v>5.166666666666667</v>
      </c>
      <c r="CQ1383" s="167">
        <f>$N1383/12</f>
        <v>5.166666666666667</v>
      </c>
      <c r="CR1383" s="167">
        <f>$N1383/12</f>
        <v>5.166666666666667</v>
      </c>
      <c r="CS1383" s="167">
        <f>$N1383/12</f>
        <v>5.166666666666667</v>
      </c>
      <c r="CT1383" s="167">
        <f>$N1383/12</f>
        <v>5.166666666666667</v>
      </c>
      <c r="CU1383" s="167">
        <f>$N1383/12</f>
        <v>5.166666666666667</v>
      </c>
      <c r="CV1383" s="167">
        <f>$N1383/12</f>
        <v>5.166666666666667</v>
      </c>
      <c r="CW1383" s="167">
        <f>$N1383/12</f>
        <v>5.166666666666667</v>
      </c>
      <c r="CX1383" s="167">
        <f>SUM(CD1383:CH1383)</f>
        <v>0</v>
      </c>
      <c r="CY1383" s="167">
        <f>SUM(CD1383:CM1383)</f>
        <v>0</v>
      </c>
    </row>
    <row r="1384" spans="1:103" ht="12.75" customHeight="1" x14ac:dyDescent="0.2">
      <c r="A1384" s="81">
        <v>6864</v>
      </c>
      <c r="B1384" s="165" t="s">
        <v>1902</v>
      </c>
      <c r="C1384" s="165" t="s">
        <v>3494</v>
      </c>
      <c r="E1384" s="165" t="s">
        <v>3495</v>
      </c>
      <c r="G1384" s="81">
        <v>527567</v>
      </c>
      <c r="H1384" s="81">
        <v>175349</v>
      </c>
      <c r="I1384" s="165" t="s">
        <v>253</v>
      </c>
      <c r="L1384" s="166">
        <v>0</v>
      </c>
      <c r="M1384" s="166">
        <v>42</v>
      </c>
      <c r="N1384" s="166">
        <v>42</v>
      </c>
      <c r="O1384" s="166">
        <v>315</v>
      </c>
      <c r="P1384" s="166">
        <v>315</v>
      </c>
      <c r="Q1384" s="81" t="s">
        <v>155</v>
      </c>
      <c r="R1384" s="165" t="s">
        <v>1905</v>
      </c>
      <c r="S1384" s="81" t="s">
        <v>1906</v>
      </c>
      <c r="W1384" s="81" t="s">
        <v>114</v>
      </c>
      <c r="Y1384" s="81" t="s">
        <v>115</v>
      </c>
      <c r="Z1384" s="81" t="s">
        <v>116</v>
      </c>
      <c r="AA1384" s="81" t="s">
        <v>116</v>
      </c>
      <c r="AB1384" s="81" t="s">
        <v>117</v>
      </c>
      <c r="AC1384" s="166">
        <v>0</v>
      </c>
      <c r="AG1384" s="81" t="s">
        <v>74</v>
      </c>
      <c r="AH1384" s="81" t="s">
        <v>990</v>
      </c>
      <c r="AI1384" s="81" t="s">
        <v>2448</v>
      </c>
      <c r="AJ1384" s="81">
        <v>17320280</v>
      </c>
      <c r="AK1384" s="166">
        <v>0</v>
      </c>
      <c r="AM1384" s="166">
        <v>0</v>
      </c>
      <c r="AO1384" s="166">
        <v>0</v>
      </c>
      <c r="AP1384" s="166">
        <v>0</v>
      </c>
      <c r="AQ1384" s="166">
        <v>0</v>
      </c>
      <c r="AR1384" s="166">
        <v>0</v>
      </c>
      <c r="AS1384" s="166">
        <v>0</v>
      </c>
      <c r="AT1384" s="166">
        <v>0</v>
      </c>
      <c r="AU1384" s="166">
        <v>42</v>
      </c>
      <c r="AV1384" s="166">
        <v>0</v>
      </c>
      <c r="AW1384" s="166">
        <v>0</v>
      </c>
      <c r="AX1384" s="166">
        <v>0</v>
      </c>
      <c r="AY1384" s="166">
        <v>0</v>
      </c>
      <c r="AZ1384" s="166">
        <v>0</v>
      </c>
      <c r="BA1384" s="166">
        <v>0</v>
      </c>
      <c r="BB1384" s="166">
        <v>42</v>
      </c>
      <c r="BC1384" s="166">
        <v>0</v>
      </c>
      <c r="BD1384" s="166">
        <v>0</v>
      </c>
      <c r="BE1384" s="166">
        <v>0</v>
      </c>
      <c r="BF1384" s="166">
        <v>0</v>
      </c>
      <c r="BG1384" s="166">
        <v>0</v>
      </c>
      <c r="BH1384" s="166">
        <v>0</v>
      </c>
      <c r="BI1384" s="166">
        <v>0</v>
      </c>
      <c r="BJ1384" s="166">
        <v>0</v>
      </c>
      <c r="BK1384" s="166">
        <v>0</v>
      </c>
      <c r="BL1384" s="166">
        <v>0</v>
      </c>
      <c r="BM1384" s="166">
        <v>0</v>
      </c>
      <c r="BN1384" s="166">
        <v>0</v>
      </c>
      <c r="BO1384" s="166">
        <v>0</v>
      </c>
      <c r="BP1384" s="166">
        <v>0</v>
      </c>
      <c r="BQ1384" s="81" t="s">
        <v>1757</v>
      </c>
      <c r="BZ1384" s="81" t="s">
        <v>155</v>
      </c>
      <c r="CA1384" s="81">
        <v>11</v>
      </c>
      <c r="CC1384" s="167">
        <v>0</v>
      </c>
      <c r="CD1384" s="167">
        <v>0</v>
      </c>
      <c r="CE1384" s="167">
        <v>0</v>
      </c>
      <c r="CF1384" s="167">
        <v>0</v>
      </c>
      <c r="CG1384" s="167">
        <v>0</v>
      </c>
      <c r="CH1384" s="167">
        <v>0</v>
      </c>
      <c r="CI1384" s="167">
        <v>0</v>
      </c>
      <c r="CJ1384" s="167">
        <v>0</v>
      </c>
      <c r="CK1384" s="167">
        <v>0</v>
      </c>
      <c r="CL1384" s="167">
        <v>0</v>
      </c>
      <c r="CM1384" s="167">
        <v>0</v>
      </c>
      <c r="CN1384" s="167">
        <v>0</v>
      </c>
      <c r="CO1384" s="167">
        <f>$N1384/12</f>
        <v>3.5</v>
      </c>
      <c r="CP1384" s="167">
        <f>$N1384/12</f>
        <v>3.5</v>
      </c>
      <c r="CQ1384" s="167">
        <f>$N1384/12</f>
        <v>3.5</v>
      </c>
      <c r="CR1384" s="167">
        <f>$N1384/12</f>
        <v>3.5</v>
      </c>
      <c r="CS1384" s="167">
        <f>$N1384/12</f>
        <v>3.5</v>
      </c>
      <c r="CT1384" s="167">
        <f>$N1384/12</f>
        <v>3.5</v>
      </c>
      <c r="CU1384" s="167">
        <f>$N1384/12</f>
        <v>3.5</v>
      </c>
      <c r="CV1384" s="167">
        <f>$N1384/12</f>
        <v>3.5</v>
      </c>
      <c r="CW1384" s="167">
        <f>$N1384/12</f>
        <v>3.5</v>
      </c>
      <c r="CX1384" s="167">
        <f>SUM(CD1384:CH1384)</f>
        <v>0</v>
      </c>
      <c r="CY1384" s="167">
        <f>SUM(CD1384:CM1384)</f>
        <v>0</v>
      </c>
    </row>
    <row r="1385" spans="1:103" ht="12.75" customHeight="1" x14ac:dyDescent="0.2">
      <c r="A1385" s="81">
        <v>6865</v>
      </c>
      <c r="B1385" s="165" t="s">
        <v>1902</v>
      </c>
      <c r="C1385" s="165" t="s">
        <v>3496</v>
      </c>
      <c r="E1385" s="165" t="s">
        <v>3497</v>
      </c>
      <c r="G1385" s="81">
        <v>527052</v>
      </c>
      <c r="H1385" s="81">
        <v>171137</v>
      </c>
      <c r="I1385" s="165" t="s">
        <v>242</v>
      </c>
      <c r="L1385" s="166">
        <v>0</v>
      </c>
      <c r="M1385" s="166">
        <v>103</v>
      </c>
      <c r="N1385" s="166">
        <v>103</v>
      </c>
      <c r="O1385" s="166">
        <v>153</v>
      </c>
      <c r="P1385" s="166">
        <v>153</v>
      </c>
      <c r="Q1385" s="81" t="s">
        <v>155</v>
      </c>
      <c r="R1385" s="165" t="s">
        <v>1905</v>
      </c>
      <c r="S1385" s="81" t="s">
        <v>1906</v>
      </c>
      <c r="W1385" s="81" t="s">
        <v>114</v>
      </c>
      <c r="Y1385" s="81" t="s">
        <v>115</v>
      </c>
      <c r="Z1385" s="81" t="s">
        <v>116</v>
      </c>
      <c r="AA1385" s="81" t="s">
        <v>116</v>
      </c>
      <c r="AB1385" s="81" t="s">
        <v>117</v>
      </c>
      <c r="AC1385" s="166">
        <v>0</v>
      </c>
      <c r="AG1385" s="81" t="s">
        <v>238</v>
      </c>
      <c r="AH1385" s="81" t="s">
        <v>118</v>
      </c>
      <c r="AI1385" s="81" t="s">
        <v>3498</v>
      </c>
      <c r="AJ1385" s="81">
        <v>17320189</v>
      </c>
      <c r="AK1385" s="166">
        <v>0</v>
      </c>
      <c r="AM1385" s="166">
        <v>0</v>
      </c>
      <c r="AO1385" s="166">
        <v>0</v>
      </c>
      <c r="AP1385" s="166">
        <v>0</v>
      </c>
      <c r="AQ1385" s="166">
        <v>0</v>
      </c>
      <c r="AR1385" s="166">
        <v>0</v>
      </c>
      <c r="AS1385" s="166">
        <v>0</v>
      </c>
      <c r="AT1385" s="166">
        <v>0</v>
      </c>
      <c r="AU1385" s="166">
        <v>103</v>
      </c>
      <c r="AV1385" s="166">
        <v>0</v>
      </c>
      <c r="AW1385" s="166">
        <v>0</v>
      </c>
      <c r="AX1385" s="166">
        <v>0</v>
      </c>
      <c r="AY1385" s="166">
        <v>0</v>
      </c>
      <c r="AZ1385" s="166">
        <v>0</v>
      </c>
      <c r="BA1385" s="166">
        <v>0</v>
      </c>
      <c r="BB1385" s="166">
        <v>103</v>
      </c>
      <c r="BC1385" s="166">
        <v>0</v>
      </c>
      <c r="BD1385" s="166">
        <v>0</v>
      </c>
      <c r="BE1385" s="166">
        <v>0</v>
      </c>
      <c r="BF1385" s="166">
        <v>0</v>
      </c>
      <c r="BG1385" s="166">
        <v>0</v>
      </c>
      <c r="BH1385" s="166">
        <v>0</v>
      </c>
      <c r="BI1385" s="166">
        <v>0</v>
      </c>
      <c r="BJ1385" s="166">
        <v>0</v>
      </c>
      <c r="BK1385" s="166">
        <v>0</v>
      </c>
      <c r="BL1385" s="166">
        <v>0</v>
      </c>
      <c r="BM1385" s="166">
        <v>0</v>
      </c>
      <c r="BN1385" s="166">
        <v>0</v>
      </c>
      <c r="BO1385" s="166">
        <v>0</v>
      </c>
      <c r="BP1385" s="166">
        <v>0</v>
      </c>
      <c r="BQ1385" s="81" t="s">
        <v>1757</v>
      </c>
      <c r="BZ1385" s="81" t="s">
        <v>155</v>
      </c>
      <c r="CA1385" s="81">
        <v>11</v>
      </c>
      <c r="CC1385" s="167">
        <v>0</v>
      </c>
      <c r="CD1385" s="167">
        <v>0</v>
      </c>
      <c r="CE1385" s="167">
        <v>0</v>
      </c>
      <c r="CF1385" s="167">
        <v>0</v>
      </c>
      <c r="CG1385" s="167">
        <v>0</v>
      </c>
      <c r="CH1385" s="167">
        <v>0</v>
      </c>
      <c r="CI1385" s="167">
        <v>0</v>
      </c>
      <c r="CJ1385" s="167">
        <f>$N1385/17</f>
        <v>6.0588235294117645</v>
      </c>
      <c r="CK1385" s="167">
        <f>$N1385/17</f>
        <v>6.0588235294117645</v>
      </c>
      <c r="CL1385" s="167">
        <f>$N1385/17</f>
        <v>6.0588235294117645</v>
      </c>
      <c r="CM1385" s="167">
        <f>$N1385/17</f>
        <v>6.0588235294117645</v>
      </c>
      <c r="CN1385" s="167">
        <f>$N1385/17</f>
        <v>6.0588235294117645</v>
      </c>
      <c r="CO1385" s="167">
        <f>$N1385/17</f>
        <v>6.0588235294117645</v>
      </c>
      <c r="CP1385" s="167">
        <f>$N1385/17</f>
        <v>6.0588235294117645</v>
      </c>
      <c r="CQ1385" s="167">
        <f>$N1385/17</f>
        <v>6.0588235294117645</v>
      </c>
      <c r="CR1385" s="167">
        <f>$N1385/17</f>
        <v>6.0588235294117645</v>
      </c>
      <c r="CS1385" s="167">
        <f>$N1385/17</f>
        <v>6.0588235294117645</v>
      </c>
      <c r="CT1385" s="167">
        <f>$N1385/17</f>
        <v>6.0588235294117645</v>
      </c>
      <c r="CU1385" s="167">
        <f>$N1385/17</f>
        <v>6.0588235294117645</v>
      </c>
      <c r="CV1385" s="167">
        <f>$N1385/17</f>
        <v>6.0588235294117645</v>
      </c>
      <c r="CW1385" s="167">
        <f>$N1385/17</f>
        <v>6.0588235294117645</v>
      </c>
      <c r="CX1385" s="167">
        <f>SUM(CD1385:CH1385)</f>
        <v>0</v>
      </c>
      <c r="CY1385" s="167">
        <f>SUM(CD1385:CM1385)</f>
        <v>24.235294117647058</v>
      </c>
    </row>
    <row r="1386" spans="1:103" ht="12.75" customHeight="1" x14ac:dyDescent="0.2">
      <c r="A1386" s="81">
        <v>6865</v>
      </c>
      <c r="B1386" s="165" t="s">
        <v>1902</v>
      </c>
      <c r="C1386" s="165" t="s">
        <v>3496</v>
      </c>
      <c r="E1386" s="165" t="s">
        <v>3497</v>
      </c>
      <c r="G1386" s="81">
        <v>527052</v>
      </c>
      <c r="H1386" s="81">
        <v>171137</v>
      </c>
      <c r="I1386" s="165" t="s">
        <v>242</v>
      </c>
      <c r="L1386" s="166">
        <v>0</v>
      </c>
      <c r="M1386" s="166">
        <v>30</v>
      </c>
      <c r="N1386" s="166">
        <v>30</v>
      </c>
      <c r="O1386" s="166">
        <v>153</v>
      </c>
      <c r="P1386" s="166">
        <v>153</v>
      </c>
      <c r="Q1386" s="81" t="s">
        <v>155</v>
      </c>
      <c r="R1386" s="165" t="s">
        <v>1905</v>
      </c>
      <c r="S1386" s="81" t="s">
        <v>1906</v>
      </c>
      <c r="W1386" s="81" t="s">
        <v>114</v>
      </c>
      <c r="Y1386" s="81" t="s">
        <v>115</v>
      </c>
      <c r="Z1386" s="81" t="s">
        <v>116</v>
      </c>
      <c r="AA1386" s="81" t="s">
        <v>116</v>
      </c>
      <c r="AB1386" s="81" t="s">
        <v>117</v>
      </c>
      <c r="AC1386" s="166">
        <v>0</v>
      </c>
      <c r="AG1386" s="81" t="s">
        <v>154</v>
      </c>
      <c r="AH1386" s="81" t="s">
        <v>276</v>
      </c>
      <c r="AI1386" s="81" t="s">
        <v>3498</v>
      </c>
      <c r="AJ1386" s="81">
        <v>17320189</v>
      </c>
      <c r="AK1386" s="166">
        <v>0</v>
      </c>
      <c r="AM1386" s="166">
        <v>0</v>
      </c>
      <c r="AO1386" s="166">
        <v>0</v>
      </c>
      <c r="AP1386" s="166">
        <v>0</v>
      </c>
      <c r="AQ1386" s="166">
        <v>0</v>
      </c>
      <c r="AR1386" s="166">
        <v>0</v>
      </c>
      <c r="AS1386" s="166">
        <v>0</v>
      </c>
      <c r="AT1386" s="166">
        <v>0</v>
      </c>
      <c r="AU1386" s="166">
        <v>30</v>
      </c>
      <c r="AV1386" s="166">
        <v>0</v>
      </c>
      <c r="AW1386" s="166">
        <v>0</v>
      </c>
      <c r="AX1386" s="166">
        <v>0</v>
      </c>
      <c r="AY1386" s="166">
        <v>0</v>
      </c>
      <c r="AZ1386" s="166">
        <v>0</v>
      </c>
      <c r="BA1386" s="166">
        <v>0</v>
      </c>
      <c r="BB1386" s="166">
        <v>30</v>
      </c>
      <c r="BC1386" s="166">
        <v>0</v>
      </c>
      <c r="BD1386" s="166">
        <v>0</v>
      </c>
      <c r="BE1386" s="166">
        <v>0</v>
      </c>
      <c r="BF1386" s="166">
        <v>0</v>
      </c>
      <c r="BG1386" s="166">
        <v>0</v>
      </c>
      <c r="BH1386" s="166">
        <v>0</v>
      </c>
      <c r="BI1386" s="166">
        <v>0</v>
      </c>
      <c r="BJ1386" s="166">
        <v>0</v>
      </c>
      <c r="BK1386" s="166">
        <v>0</v>
      </c>
      <c r="BL1386" s="166">
        <v>0</v>
      </c>
      <c r="BM1386" s="166">
        <v>0</v>
      </c>
      <c r="BN1386" s="166">
        <v>0</v>
      </c>
      <c r="BO1386" s="166">
        <v>0</v>
      </c>
      <c r="BP1386" s="166">
        <v>0</v>
      </c>
      <c r="BQ1386" s="81" t="s">
        <v>1757</v>
      </c>
      <c r="BZ1386" s="81" t="s">
        <v>155</v>
      </c>
      <c r="CA1386" s="81">
        <v>11</v>
      </c>
      <c r="CC1386" s="167">
        <v>0</v>
      </c>
      <c r="CD1386" s="167">
        <v>0</v>
      </c>
      <c r="CE1386" s="167">
        <v>0</v>
      </c>
      <c r="CF1386" s="167">
        <v>0</v>
      </c>
      <c r="CG1386" s="167">
        <v>0</v>
      </c>
      <c r="CH1386" s="167">
        <v>0</v>
      </c>
      <c r="CI1386" s="167">
        <v>0</v>
      </c>
      <c r="CJ1386" s="167">
        <f>$N1386/17</f>
        <v>1.7647058823529411</v>
      </c>
      <c r="CK1386" s="167">
        <f>$N1386/17</f>
        <v>1.7647058823529411</v>
      </c>
      <c r="CL1386" s="167">
        <f>$N1386/17</f>
        <v>1.7647058823529411</v>
      </c>
      <c r="CM1386" s="167">
        <f>$N1386/17</f>
        <v>1.7647058823529411</v>
      </c>
      <c r="CN1386" s="167">
        <f>$N1386/17</f>
        <v>1.7647058823529411</v>
      </c>
      <c r="CO1386" s="167">
        <f>$N1386/17</f>
        <v>1.7647058823529411</v>
      </c>
      <c r="CP1386" s="167">
        <f>$N1386/17</f>
        <v>1.7647058823529411</v>
      </c>
      <c r="CQ1386" s="167">
        <f>$N1386/17</f>
        <v>1.7647058823529411</v>
      </c>
      <c r="CR1386" s="167">
        <f>$N1386/17</f>
        <v>1.7647058823529411</v>
      </c>
      <c r="CS1386" s="167">
        <f>$N1386/17</f>
        <v>1.7647058823529411</v>
      </c>
      <c r="CT1386" s="167">
        <f>$N1386/17</f>
        <v>1.7647058823529411</v>
      </c>
      <c r="CU1386" s="167">
        <f>$N1386/17</f>
        <v>1.7647058823529411</v>
      </c>
      <c r="CV1386" s="167">
        <f>$N1386/17</f>
        <v>1.7647058823529411</v>
      </c>
      <c r="CW1386" s="167">
        <f>$N1386/17</f>
        <v>1.7647058823529411</v>
      </c>
      <c r="CX1386" s="167">
        <f>SUM(CD1386:CH1386)</f>
        <v>0</v>
      </c>
      <c r="CY1386" s="167">
        <f>SUM(CD1386:CM1386)</f>
        <v>7.0588235294117645</v>
      </c>
    </row>
    <row r="1387" spans="1:103" ht="12.75" customHeight="1" x14ac:dyDescent="0.2">
      <c r="A1387" s="81">
        <v>6865</v>
      </c>
      <c r="B1387" s="165" t="s">
        <v>1902</v>
      </c>
      <c r="C1387" s="165" t="s">
        <v>3496</v>
      </c>
      <c r="E1387" s="165" t="s">
        <v>3497</v>
      </c>
      <c r="G1387" s="81">
        <v>527052</v>
      </c>
      <c r="H1387" s="81">
        <v>171137</v>
      </c>
      <c r="I1387" s="165" t="s">
        <v>242</v>
      </c>
      <c r="L1387" s="166">
        <v>0</v>
      </c>
      <c r="M1387" s="166">
        <v>20</v>
      </c>
      <c r="N1387" s="166">
        <v>20</v>
      </c>
      <c r="O1387" s="166">
        <v>153</v>
      </c>
      <c r="P1387" s="166">
        <v>153</v>
      </c>
      <c r="Q1387" s="81" t="s">
        <v>155</v>
      </c>
      <c r="R1387" s="165" t="s">
        <v>1905</v>
      </c>
      <c r="S1387" s="81" t="s">
        <v>1906</v>
      </c>
      <c r="W1387" s="81" t="s">
        <v>114</v>
      </c>
      <c r="Y1387" s="81" t="s">
        <v>115</v>
      </c>
      <c r="Z1387" s="81" t="s">
        <v>116</v>
      </c>
      <c r="AA1387" s="81" t="s">
        <v>116</v>
      </c>
      <c r="AB1387" s="81" t="s">
        <v>117</v>
      </c>
      <c r="AC1387" s="166">
        <v>0</v>
      </c>
      <c r="AG1387" s="81" t="s">
        <v>74</v>
      </c>
      <c r="AH1387" s="81" t="s">
        <v>990</v>
      </c>
      <c r="AI1387" s="81" t="s">
        <v>3498</v>
      </c>
      <c r="AJ1387" s="81">
        <v>17320189</v>
      </c>
      <c r="AK1387" s="166">
        <v>0</v>
      </c>
      <c r="AM1387" s="166">
        <v>0</v>
      </c>
      <c r="AO1387" s="166">
        <v>0</v>
      </c>
      <c r="AP1387" s="166">
        <v>0</v>
      </c>
      <c r="AQ1387" s="166">
        <v>0</v>
      </c>
      <c r="AR1387" s="166">
        <v>0</v>
      </c>
      <c r="AS1387" s="166">
        <v>0</v>
      </c>
      <c r="AT1387" s="166">
        <v>0</v>
      </c>
      <c r="AU1387" s="166">
        <v>20</v>
      </c>
      <c r="AV1387" s="166">
        <v>0</v>
      </c>
      <c r="AW1387" s="166">
        <v>0</v>
      </c>
      <c r="AX1387" s="166">
        <v>0</v>
      </c>
      <c r="AY1387" s="166">
        <v>0</v>
      </c>
      <c r="AZ1387" s="166">
        <v>0</v>
      </c>
      <c r="BA1387" s="166">
        <v>0</v>
      </c>
      <c r="BB1387" s="166">
        <v>20</v>
      </c>
      <c r="BC1387" s="166">
        <v>0</v>
      </c>
      <c r="BD1387" s="166">
        <v>0</v>
      </c>
      <c r="BE1387" s="166">
        <v>0</v>
      </c>
      <c r="BF1387" s="166">
        <v>0</v>
      </c>
      <c r="BG1387" s="166">
        <v>0</v>
      </c>
      <c r="BH1387" s="166">
        <v>0</v>
      </c>
      <c r="BI1387" s="166">
        <v>0</v>
      </c>
      <c r="BJ1387" s="166">
        <v>0</v>
      </c>
      <c r="BK1387" s="166">
        <v>0</v>
      </c>
      <c r="BL1387" s="166">
        <v>0</v>
      </c>
      <c r="BM1387" s="166">
        <v>0</v>
      </c>
      <c r="BN1387" s="166">
        <v>0</v>
      </c>
      <c r="BO1387" s="166">
        <v>0</v>
      </c>
      <c r="BP1387" s="166">
        <v>0</v>
      </c>
      <c r="BQ1387" s="81" t="s">
        <v>1757</v>
      </c>
      <c r="BZ1387" s="81" t="s">
        <v>155</v>
      </c>
      <c r="CA1387" s="81">
        <v>11</v>
      </c>
      <c r="CC1387" s="167">
        <v>0</v>
      </c>
      <c r="CD1387" s="167">
        <v>0</v>
      </c>
      <c r="CE1387" s="167">
        <v>0</v>
      </c>
      <c r="CF1387" s="167">
        <v>0</v>
      </c>
      <c r="CG1387" s="167">
        <v>0</v>
      </c>
      <c r="CH1387" s="167">
        <v>0</v>
      </c>
      <c r="CI1387" s="167">
        <v>0</v>
      </c>
      <c r="CJ1387" s="167">
        <f>$N1387/17</f>
        <v>1.1764705882352942</v>
      </c>
      <c r="CK1387" s="167">
        <f>$N1387/17</f>
        <v>1.1764705882352942</v>
      </c>
      <c r="CL1387" s="167">
        <f>$N1387/17</f>
        <v>1.1764705882352942</v>
      </c>
      <c r="CM1387" s="167">
        <f>$N1387/17</f>
        <v>1.1764705882352942</v>
      </c>
      <c r="CN1387" s="167">
        <f>$N1387/17</f>
        <v>1.1764705882352942</v>
      </c>
      <c r="CO1387" s="167">
        <f>$N1387/17</f>
        <v>1.1764705882352942</v>
      </c>
      <c r="CP1387" s="167">
        <f>$N1387/17</f>
        <v>1.1764705882352942</v>
      </c>
      <c r="CQ1387" s="167">
        <f>$N1387/17</f>
        <v>1.1764705882352942</v>
      </c>
      <c r="CR1387" s="167">
        <f>$N1387/17</f>
        <v>1.1764705882352942</v>
      </c>
      <c r="CS1387" s="167">
        <f>$N1387/17</f>
        <v>1.1764705882352942</v>
      </c>
      <c r="CT1387" s="167">
        <f>$N1387/17</f>
        <v>1.1764705882352942</v>
      </c>
      <c r="CU1387" s="167">
        <f>$N1387/17</f>
        <v>1.1764705882352942</v>
      </c>
      <c r="CV1387" s="167">
        <f>$N1387/17</f>
        <v>1.1764705882352942</v>
      </c>
      <c r="CW1387" s="167">
        <f>$N1387/17</f>
        <v>1.1764705882352942</v>
      </c>
      <c r="CX1387" s="167">
        <f>SUM(CD1387:CH1387)</f>
        <v>0</v>
      </c>
      <c r="CY1387" s="167">
        <f>SUM(CD1387:CM1387)</f>
        <v>4.7058823529411766</v>
      </c>
    </row>
    <row r="1388" spans="1:103" ht="12.75" customHeight="1" x14ac:dyDescent="0.2">
      <c r="A1388" s="81">
        <v>6866</v>
      </c>
      <c r="B1388" s="165" t="s">
        <v>1902</v>
      </c>
      <c r="C1388" s="165" t="s">
        <v>3499</v>
      </c>
      <c r="E1388" s="165" t="s">
        <v>3500</v>
      </c>
      <c r="G1388" s="81">
        <v>528629</v>
      </c>
      <c r="H1388" s="81">
        <v>175199</v>
      </c>
      <c r="I1388" s="165" t="s">
        <v>247</v>
      </c>
      <c r="L1388" s="166">
        <v>0</v>
      </c>
      <c r="M1388" s="166">
        <v>54</v>
      </c>
      <c r="N1388" s="166">
        <v>54</v>
      </c>
      <c r="O1388" s="166">
        <v>81</v>
      </c>
      <c r="P1388" s="166">
        <v>81</v>
      </c>
      <c r="Q1388" s="81" t="s">
        <v>155</v>
      </c>
      <c r="R1388" s="165" t="s">
        <v>1905</v>
      </c>
      <c r="S1388" s="81" t="s">
        <v>1906</v>
      </c>
      <c r="W1388" s="81" t="s">
        <v>114</v>
      </c>
      <c r="Y1388" s="81" t="s">
        <v>115</v>
      </c>
      <c r="Z1388" s="81" t="s">
        <v>116</v>
      </c>
      <c r="AA1388" s="81" t="s">
        <v>116</v>
      </c>
      <c r="AB1388" s="81" t="s">
        <v>117</v>
      </c>
      <c r="AC1388" s="166">
        <v>0</v>
      </c>
      <c r="AG1388" s="81" t="s">
        <v>238</v>
      </c>
      <c r="AH1388" s="81" t="s">
        <v>118</v>
      </c>
      <c r="AI1388" s="81" t="s">
        <v>3501</v>
      </c>
      <c r="AJ1388" s="81">
        <v>17320339</v>
      </c>
      <c r="AK1388" s="166">
        <v>0</v>
      </c>
      <c r="AM1388" s="166">
        <v>0</v>
      </c>
      <c r="AO1388" s="166">
        <v>0</v>
      </c>
      <c r="AP1388" s="166">
        <v>0</v>
      </c>
      <c r="AQ1388" s="166">
        <v>0</v>
      </c>
      <c r="AR1388" s="166">
        <v>0</v>
      </c>
      <c r="AS1388" s="166">
        <v>0</v>
      </c>
      <c r="AT1388" s="166">
        <v>0</v>
      </c>
      <c r="AU1388" s="166">
        <v>54</v>
      </c>
      <c r="AV1388" s="166">
        <v>0</v>
      </c>
      <c r="AW1388" s="166">
        <v>0</v>
      </c>
      <c r="AX1388" s="166">
        <v>0</v>
      </c>
      <c r="AY1388" s="166">
        <v>0</v>
      </c>
      <c r="AZ1388" s="166">
        <v>0</v>
      </c>
      <c r="BA1388" s="166">
        <v>0</v>
      </c>
      <c r="BB1388" s="166">
        <v>54</v>
      </c>
      <c r="BC1388" s="166">
        <v>0</v>
      </c>
      <c r="BD1388" s="166">
        <v>0</v>
      </c>
      <c r="BE1388" s="166">
        <v>0</v>
      </c>
      <c r="BF1388" s="166">
        <v>0</v>
      </c>
      <c r="BG1388" s="166">
        <v>0</v>
      </c>
      <c r="BH1388" s="166">
        <v>0</v>
      </c>
      <c r="BI1388" s="166">
        <v>0</v>
      </c>
      <c r="BJ1388" s="166">
        <v>0</v>
      </c>
      <c r="BK1388" s="166">
        <v>0</v>
      </c>
      <c r="BL1388" s="166">
        <v>0</v>
      </c>
      <c r="BM1388" s="166">
        <v>0</v>
      </c>
      <c r="BN1388" s="166">
        <v>0</v>
      </c>
      <c r="BO1388" s="166">
        <v>0</v>
      </c>
      <c r="BP1388" s="166">
        <v>0</v>
      </c>
      <c r="BQ1388" s="81" t="s">
        <v>1757</v>
      </c>
      <c r="BZ1388" s="81" t="s">
        <v>155</v>
      </c>
      <c r="CA1388" s="81">
        <v>11</v>
      </c>
      <c r="CC1388" s="167">
        <v>0</v>
      </c>
      <c r="CD1388" s="167">
        <v>0</v>
      </c>
      <c r="CE1388" s="167">
        <v>0</v>
      </c>
      <c r="CF1388" s="167">
        <v>0</v>
      </c>
      <c r="CG1388" s="167">
        <v>0</v>
      </c>
      <c r="CH1388" s="167">
        <v>0</v>
      </c>
      <c r="CI1388" s="167">
        <v>0</v>
      </c>
      <c r="CJ1388" s="167">
        <v>0</v>
      </c>
      <c r="CK1388" s="167">
        <v>0</v>
      </c>
      <c r="CL1388" s="167">
        <v>0</v>
      </c>
      <c r="CM1388" s="167">
        <v>0</v>
      </c>
      <c r="CN1388" s="167">
        <v>0</v>
      </c>
      <c r="CO1388" s="167">
        <f>$N1388/12</f>
        <v>4.5</v>
      </c>
      <c r="CP1388" s="167">
        <f>$N1388/12</f>
        <v>4.5</v>
      </c>
      <c r="CQ1388" s="167">
        <f>$N1388/12</f>
        <v>4.5</v>
      </c>
      <c r="CR1388" s="167">
        <f>$N1388/12</f>
        <v>4.5</v>
      </c>
      <c r="CS1388" s="167">
        <f>$N1388/12</f>
        <v>4.5</v>
      </c>
      <c r="CT1388" s="167">
        <f>$N1388/12</f>
        <v>4.5</v>
      </c>
      <c r="CU1388" s="167">
        <f>$N1388/12</f>
        <v>4.5</v>
      </c>
      <c r="CV1388" s="167">
        <f>$N1388/12</f>
        <v>4.5</v>
      </c>
      <c r="CW1388" s="167">
        <f>$N1388/12</f>
        <v>4.5</v>
      </c>
      <c r="CX1388" s="167">
        <f>SUM(CD1388:CH1388)</f>
        <v>0</v>
      </c>
      <c r="CY1388" s="167">
        <f>SUM(CD1388:CM1388)</f>
        <v>0</v>
      </c>
    </row>
    <row r="1389" spans="1:103" ht="12.75" customHeight="1" x14ac:dyDescent="0.2">
      <c r="A1389" s="81">
        <v>6866</v>
      </c>
      <c r="B1389" s="165" t="s">
        <v>1902</v>
      </c>
      <c r="C1389" s="165" t="s">
        <v>3499</v>
      </c>
      <c r="E1389" s="165" t="s">
        <v>3500</v>
      </c>
      <c r="G1389" s="81">
        <v>528629</v>
      </c>
      <c r="H1389" s="81">
        <v>175199</v>
      </c>
      <c r="I1389" s="165" t="s">
        <v>247</v>
      </c>
      <c r="L1389" s="166">
        <v>0</v>
      </c>
      <c r="M1389" s="166">
        <v>16</v>
      </c>
      <c r="N1389" s="166">
        <v>16</v>
      </c>
      <c r="O1389" s="166">
        <v>81</v>
      </c>
      <c r="P1389" s="166">
        <v>81</v>
      </c>
      <c r="Q1389" s="81" t="s">
        <v>155</v>
      </c>
      <c r="R1389" s="165" t="s">
        <v>1905</v>
      </c>
      <c r="S1389" s="81" t="s">
        <v>1906</v>
      </c>
      <c r="W1389" s="81" t="s">
        <v>114</v>
      </c>
      <c r="Y1389" s="81" t="s">
        <v>115</v>
      </c>
      <c r="Z1389" s="81" t="s">
        <v>116</v>
      </c>
      <c r="AA1389" s="81" t="s">
        <v>116</v>
      </c>
      <c r="AB1389" s="81" t="s">
        <v>117</v>
      </c>
      <c r="AC1389" s="166">
        <v>0</v>
      </c>
      <c r="AG1389" s="81" t="s">
        <v>154</v>
      </c>
      <c r="AH1389" s="81" t="s">
        <v>276</v>
      </c>
      <c r="AI1389" s="81" t="s">
        <v>3501</v>
      </c>
      <c r="AJ1389" s="81">
        <v>17320339</v>
      </c>
      <c r="AK1389" s="166">
        <v>0</v>
      </c>
      <c r="AM1389" s="166">
        <v>0</v>
      </c>
      <c r="AO1389" s="166">
        <v>0</v>
      </c>
      <c r="AP1389" s="166">
        <v>0</v>
      </c>
      <c r="AQ1389" s="166">
        <v>0</v>
      </c>
      <c r="AR1389" s="166">
        <v>0</v>
      </c>
      <c r="AS1389" s="166">
        <v>0</v>
      </c>
      <c r="AT1389" s="166">
        <v>0</v>
      </c>
      <c r="AU1389" s="166">
        <v>16</v>
      </c>
      <c r="AV1389" s="166">
        <v>0</v>
      </c>
      <c r="AW1389" s="166">
        <v>0</v>
      </c>
      <c r="AX1389" s="166">
        <v>0</v>
      </c>
      <c r="AY1389" s="166">
        <v>0</v>
      </c>
      <c r="AZ1389" s="166">
        <v>0</v>
      </c>
      <c r="BA1389" s="166">
        <v>0</v>
      </c>
      <c r="BB1389" s="166">
        <v>16</v>
      </c>
      <c r="BC1389" s="166">
        <v>0</v>
      </c>
      <c r="BD1389" s="166">
        <v>0</v>
      </c>
      <c r="BE1389" s="166">
        <v>0</v>
      </c>
      <c r="BF1389" s="166">
        <v>0</v>
      </c>
      <c r="BG1389" s="166">
        <v>0</v>
      </c>
      <c r="BH1389" s="166">
        <v>0</v>
      </c>
      <c r="BI1389" s="166">
        <v>0</v>
      </c>
      <c r="BJ1389" s="166">
        <v>0</v>
      </c>
      <c r="BK1389" s="166">
        <v>0</v>
      </c>
      <c r="BL1389" s="166">
        <v>0</v>
      </c>
      <c r="BM1389" s="166">
        <v>0</v>
      </c>
      <c r="BN1389" s="166">
        <v>0</v>
      </c>
      <c r="BO1389" s="166">
        <v>0</v>
      </c>
      <c r="BP1389" s="166">
        <v>0</v>
      </c>
      <c r="BQ1389" s="81" t="s">
        <v>1757</v>
      </c>
      <c r="BZ1389" s="81" t="s">
        <v>155</v>
      </c>
      <c r="CA1389" s="81">
        <v>11</v>
      </c>
      <c r="CC1389" s="167">
        <v>0</v>
      </c>
      <c r="CD1389" s="167">
        <v>0</v>
      </c>
      <c r="CE1389" s="167">
        <v>0</v>
      </c>
      <c r="CF1389" s="167">
        <v>0</v>
      </c>
      <c r="CG1389" s="167">
        <v>0</v>
      </c>
      <c r="CH1389" s="167">
        <v>0</v>
      </c>
      <c r="CI1389" s="167">
        <v>0</v>
      </c>
      <c r="CJ1389" s="167">
        <v>0</v>
      </c>
      <c r="CK1389" s="167">
        <v>0</v>
      </c>
      <c r="CL1389" s="167">
        <v>0</v>
      </c>
      <c r="CM1389" s="167">
        <v>0</v>
      </c>
      <c r="CN1389" s="167">
        <v>0</v>
      </c>
      <c r="CO1389" s="167">
        <f>$N1389/12</f>
        <v>1.3333333333333333</v>
      </c>
      <c r="CP1389" s="167">
        <f>$N1389/12</f>
        <v>1.3333333333333333</v>
      </c>
      <c r="CQ1389" s="167">
        <f>$N1389/12</f>
        <v>1.3333333333333333</v>
      </c>
      <c r="CR1389" s="167">
        <f>$N1389/12</f>
        <v>1.3333333333333333</v>
      </c>
      <c r="CS1389" s="167">
        <f>$N1389/12</f>
        <v>1.3333333333333333</v>
      </c>
      <c r="CT1389" s="167">
        <f>$N1389/12</f>
        <v>1.3333333333333333</v>
      </c>
      <c r="CU1389" s="167">
        <f>$N1389/12</f>
        <v>1.3333333333333333</v>
      </c>
      <c r="CV1389" s="167">
        <f>$N1389/12</f>
        <v>1.3333333333333333</v>
      </c>
      <c r="CW1389" s="167">
        <f>$N1389/12</f>
        <v>1.3333333333333333</v>
      </c>
      <c r="CX1389" s="167">
        <f>SUM(CD1389:CH1389)</f>
        <v>0</v>
      </c>
      <c r="CY1389" s="167">
        <f>SUM(CD1389:CM1389)</f>
        <v>0</v>
      </c>
    </row>
    <row r="1390" spans="1:103" ht="12.75" customHeight="1" x14ac:dyDescent="0.2">
      <c r="A1390" s="81">
        <v>6866</v>
      </c>
      <c r="B1390" s="165" t="s">
        <v>1902</v>
      </c>
      <c r="C1390" s="165" t="s">
        <v>3499</v>
      </c>
      <c r="E1390" s="165" t="s">
        <v>3500</v>
      </c>
      <c r="G1390" s="81">
        <v>528629</v>
      </c>
      <c r="H1390" s="81">
        <v>175199</v>
      </c>
      <c r="I1390" s="165" t="s">
        <v>247</v>
      </c>
      <c r="L1390" s="166">
        <v>0</v>
      </c>
      <c r="M1390" s="166">
        <v>11</v>
      </c>
      <c r="N1390" s="166">
        <v>11</v>
      </c>
      <c r="O1390" s="166">
        <v>81</v>
      </c>
      <c r="P1390" s="166">
        <v>81</v>
      </c>
      <c r="Q1390" s="81" t="s">
        <v>155</v>
      </c>
      <c r="R1390" s="165" t="s">
        <v>1905</v>
      </c>
      <c r="S1390" s="81" t="s">
        <v>1906</v>
      </c>
      <c r="W1390" s="81" t="s">
        <v>114</v>
      </c>
      <c r="Y1390" s="81" t="s">
        <v>115</v>
      </c>
      <c r="Z1390" s="81" t="s">
        <v>116</v>
      </c>
      <c r="AA1390" s="81" t="s">
        <v>116</v>
      </c>
      <c r="AB1390" s="81" t="s">
        <v>117</v>
      </c>
      <c r="AC1390" s="166">
        <v>0</v>
      </c>
      <c r="AG1390" s="81" t="s">
        <v>74</v>
      </c>
      <c r="AH1390" s="81" t="s">
        <v>990</v>
      </c>
      <c r="AI1390" s="81" t="s">
        <v>3501</v>
      </c>
      <c r="AJ1390" s="81">
        <v>17320339</v>
      </c>
      <c r="AK1390" s="166">
        <v>0</v>
      </c>
      <c r="AM1390" s="166">
        <v>0</v>
      </c>
      <c r="AO1390" s="166">
        <v>0</v>
      </c>
      <c r="AP1390" s="166">
        <v>0</v>
      </c>
      <c r="AQ1390" s="166">
        <v>0</v>
      </c>
      <c r="AR1390" s="166">
        <v>0</v>
      </c>
      <c r="AS1390" s="166">
        <v>0</v>
      </c>
      <c r="AT1390" s="166">
        <v>0</v>
      </c>
      <c r="AU1390" s="166">
        <v>11</v>
      </c>
      <c r="AV1390" s="166">
        <v>0</v>
      </c>
      <c r="AW1390" s="166">
        <v>0</v>
      </c>
      <c r="AX1390" s="166">
        <v>0</v>
      </c>
      <c r="AY1390" s="166">
        <v>0</v>
      </c>
      <c r="AZ1390" s="166">
        <v>0</v>
      </c>
      <c r="BA1390" s="166">
        <v>0</v>
      </c>
      <c r="BB1390" s="166">
        <v>11</v>
      </c>
      <c r="BC1390" s="166">
        <v>0</v>
      </c>
      <c r="BD1390" s="166">
        <v>0</v>
      </c>
      <c r="BE1390" s="166">
        <v>0</v>
      </c>
      <c r="BF1390" s="166">
        <v>0</v>
      </c>
      <c r="BG1390" s="166">
        <v>0</v>
      </c>
      <c r="BH1390" s="166">
        <v>0</v>
      </c>
      <c r="BI1390" s="166">
        <v>0</v>
      </c>
      <c r="BJ1390" s="166">
        <v>0</v>
      </c>
      <c r="BK1390" s="166">
        <v>0</v>
      </c>
      <c r="BL1390" s="166">
        <v>0</v>
      </c>
      <c r="BM1390" s="166">
        <v>0</v>
      </c>
      <c r="BN1390" s="166">
        <v>0</v>
      </c>
      <c r="BO1390" s="166">
        <v>0</v>
      </c>
      <c r="BP1390" s="166">
        <v>0</v>
      </c>
      <c r="BQ1390" s="81" t="s">
        <v>1757</v>
      </c>
      <c r="BZ1390" s="81" t="s">
        <v>155</v>
      </c>
      <c r="CA1390" s="81">
        <v>11</v>
      </c>
      <c r="CC1390" s="167">
        <v>0</v>
      </c>
      <c r="CD1390" s="167">
        <v>0</v>
      </c>
      <c r="CE1390" s="167">
        <v>0</v>
      </c>
      <c r="CF1390" s="167">
        <v>0</v>
      </c>
      <c r="CG1390" s="167">
        <v>0</v>
      </c>
      <c r="CH1390" s="167">
        <v>0</v>
      </c>
      <c r="CI1390" s="167">
        <v>0</v>
      </c>
      <c r="CJ1390" s="167">
        <v>0</v>
      </c>
      <c r="CK1390" s="167">
        <v>0</v>
      </c>
      <c r="CL1390" s="167">
        <v>0</v>
      </c>
      <c r="CM1390" s="167">
        <v>0</v>
      </c>
      <c r="CN1390" s="167">
        <v>0</v>
      </c>
      <c r="CO1390" s="167">
        <f>$N1390/12</f>
        <v>0.91666666666666663</v>
      </c>
      <c r="CP1390" s="167">
        <f>$N1390/12</f>
        <v>0.91666666666666663</v>
      </c>
      <c r="CQ1390" s="167">
        <f>$N1390/12</f>
        <v>0.91666666666666663</v>
      </c>
      <c r="CR1390" s="167">
        <f>$N1390/12</f>
        <v>0.91666666666666663</v>
      </c>
      <c r="CS1390" s="167">
        <f>$N1390/12</f>
        <v>0.91666666666666663</v>
      </c>
      <c r="CT1390" s="167">
        <f>$N1390/12</f>
        <v>0.91666666666666663</v>
      </c>
      <c r="CU1390" s="167">
        <f>$N1390/12</f>
        <v>0.91666666666666663</v>
      </c>
      <c r="CV1390" s="167">
        <f>$N1390/12</f>
        <v>0.91666666666666663</v>
      </c>
      <c r="CW1390" s="167">
        <f>$N1390/12</f>
        <v>0.91666666666666663</v>
      </c>
      <c r="CX1390" s="167">
        <f>SUM(CD1390:CH1390)</f>
        <v>0</v>
      </c>
      <c r="CY1390" s="167">
        <f>SUM(CD1390:CM1390)</f>
        <v>0</v>
      </c>
    </row>
    <row r="1391" spans="1:103" ht="12.75" customHeight="1" x14ac:dyDescent="0.2">
      <c r="A1391" s="81">
        <v>6867</v>
      </c>
      <c r="B1391" s="165" t="s">
        <v>1902</v>
      </c>
      <c r="C1391" s="165" t="s">
        <v>1967</v>
      </c>
      <c r="E1391" s="165" t="s">
        <v>1968</v>
      </c>
      <c r="G1391" s="81">
        <v>528366</v>
      </c>
      <c r="H1391" s="81">
        <v>176677</v>
      </c>
      <c r="I1391" s="165" t="s">
        <v>240</v>
      </c>
      <c r="L1391" s="166">
        <v>0</v>
      </c>
      <c r="M1391" s="166">
        <v>8</v>
      </c>
      <c r="N1391" s="166">
        <v>8</v>
      </c>
      <c r="O1391" s="166">
        <v>8</v>
      </c>
      <c r="P1391" s="166">
        <v>8</v>
      </c>
      <c r="R1391" s="165" t="s">
        <v>1905</v>
      </c>
      <c r="S1391" s="81" t="s">
        <v>1906</v>
      </c>
      <c r="W1391" s="81" t="s">
        <v>114</v>
      </c>
      <c r="Y1391" s="81" t="s">
        <v>115</v>
      </c>
      <c r="Z1391" s="81" t="s">
        <v>116</v>
      </c>
      <c r="AA1391" s="81" t="s">
        <v>117</v>
      </c>
      <c r="AB1391" s="81" t="s">
        <v>218</v>
      </c>
      <c r="AC1391" s="166">
        <v>0</v>
      </c>
      <c r="AG1391" s="81" t="s">
        <v>238</v>
      </c>
      <c r="AH1391" s="81" t="s">
        <v>118</v>
      </c>
      <c r="AI1391" s="81" t="s">
        <v>1750</v>
      </c>
      <c r="AJ1391" s="81">
        <v>17320343</v>
      </c>
      <c r="AK1391" s="166">
        <v>0</v>
      </c>
      <c r="AM1391" s="166">
        <v>0</v>
      </c>
      <c r="AO1391" s="166">
        <v>0</v>
      </c>
      <c r="AP1391" s="166">
        <v>0</v>
      </c>
      <c r="AQ1391" s="166">
        <v>0</v>
      </c>
      <c r="AR1391" s="166">
        <v>0</v>
      </c>
      <c r="AS1391" s="166">
        <v>0</v>
      </c>
      <c r="AT1391" s="166">
        <v>0</v>
      </c>
      <c r="AU1391" s="166">
        <v>8</v>
      </c>
      <c r="AV1391" s="166">
        <v>0</v>
      </c>
      <c r="AW1391" s="166">
        <v>0</v>
      </c>
      <c r="AX1391" s="166">
        <v>0</v>
      </c>
      <c r="AY1391" s="166">
        <v>0</v>
      </c>
      <c r="AZ1391" s="166">
        <v>0</v>
      </c>
      <c r="BA1391" s="166">
        <v>0</v>
      </c>
      <c r="BB1391" s="166">
        <v>8</v>
      </c>
      <c r="BC1391" s="166">
        <v>0</v>
      </c>
      <c r="BD1391" s="166">
        <v>0</v>
      </c>
      <c r="BE1391" s="166">
        <v>0</v>
      </c>
      <c r="BF1391" s="166">
        <v>0</v>
      </c>
      <c r="BG1391" s="166">
        <v>0</v>
      </c>
      <c r="BH1391" s="166">
        <v>0</v>
      </c>
      <c r="BI1391" s="166">
        <v>0</v>
      </c>
      <c r="BJ1391" s="166">
        <v>0</v>
      </c>
      <c r="BK1391" s="166">
        <v>0</v>
      </c>
      <c r="BL1391" s="166">
        <v>0</v>
      </c>
      <c r="BM1391" s="166">
        <v>0</v>
      </c>
      <c r="BN1391" s="166">
        <v>0</v>
      </c>
      <c r="BO1391" s="166">
        <v>0</v>
      </c>
      <c r="BP1391" s="166">
        <v>0</v>
      </c>
      <c r="BQ1391" s="81" t="s">
        <v>1757</v>
      </c>
      <c r="BZ1391" s="81" t="s">
        <v>155</v>
      </c>
      <c r="CA1391" s="81">
        <v>11</v>
      </c>
      <c r="CC1391" s="167">
        <v>0</v>
      </c>
      <c r="CD1391" s="167">
        <v>0</v>
      </c>
      <c r="CE1391" s="167">
        <v>0</v>
      </c>
      <c r="CF1391" s="167">
        <v>0</v>
      </c>
      <c r="CG1391" s="167">
        <v>0</v>
      </c>
      <c r="CH1391" s="167">
        <v>0</v>
      </c>
      <c r="CI1391" s="167">
        <v>0</v>
      </c>
      <c r="CJ1391" s="167">
        <v>0</v>
      </c>
      <c r="CK1391" s="167">
        <v>0</v>
      </c>
      <c r="CL1391" s="167">
        <v>0</v>
      </c>
      <c r="CM1391" s="167">
        <v>0</v>
      </c>
      <c r="CN1391" s="167">
        <v>0</v>
      </c>
      <c r="CO1391" s="167">
        <f>$N1391/12</f>
        <v>0.66666666666666663</v>
      </c>
      <c r="CP1391" s="167">
        <f>$N1391/12</f>
        <v>0.66666666666666663</v>
      </c>
      <c r="CQ1391" s="167">
        <f>$N1391/12</f>
        <v>0.66666666666666663</v>
      </c>
      <c r="CR1391" s="167">
        <f>$N1391/12</f>
        <v>0.66666666666666663</v>
      </c>
      <c r="CS1391" s="167">
        <f>$N1391/12</f>
        <v>0.66666666666666663</v>
      </c>
      <c r="CT1391" s="167">
        <f>$N1391/12</f>
        <v>0.66666666666666663</v>
      </c>
      <c r="CU1391" s="167">
        <f>$N1391/12</f>
        <v>0.66666666666666663</v>
      </c>
      <c r="CV1391" s="167">
        <f>$N1391/12</f>
        <v>0.66666666666666663</v>
      </c>
      <c r="CW1391" s="167">
        <f>$N1391/12</f>
        <v>0.66666666666666663</v>
      </c>
      <c r="CX1391" s="167">
        <f>SUM(CD1391:CH1391)</f>
        <v>0</v>
      </c>
      <c r="CY1391" s="167">
        <f>SUM(CD1391:CM1391)</f>
        <v>0</v>
      </c>
    </row>
    <row r="1392" spans="1:103" ht="12.75" customHeight="1" x14ac:dyDescent="0.2">
      <c r="A1392" s="81">
        <v>6868</v>
      </c>
      <c r="B1392" s="165" t="s">
        <v>1902</v>
      </c>
      <c r="C1392" s="165" t="s">
        <v>3502</v>
      </c>
      <c r="E1392" s="165" t="s">
        <v>3503</v>
      </c>
      <c r="G1392" s="81">
        <v>526007</v>
      </c>
      <c r="H1392" s="81">
        <v>173636</v>
      </c>
      <c r="I1392" s="165" t="s">
        <v>249</v>
      </c>
      <c r="L1392" s="166">
        <v>0</v>
      </c>
      <c r="M1392" s="166">
        <v>90</v>
      </c>
      <c r="N1392" s="166">
        <v>90</v>
      </c>
      <c r="O1392" s="166">
        <v>135</v>
      </c>
      <c r="P1392" s="166">
        <v>135</v>
      </c>
      <c r="Q1392" s="81" t="s">
        <v>155</v>
      </c>
      <c r="R1392" s="165" t="s">
        <v>1905</v>
      </c>
      <c r="S1392" s="81" t="s">
        <v>1906</v>
      </c>
      <c r="W1392" s="81" t="s">
        <v>114</v>
      </c>
      <c r="Y1392" s="81" t="s">
        <v>115</v>
      </c>
      <c r="Z1392" s="81" t="s">
        <v>116</v>
      </c>
      <c r="AA1392" s="81" t="s">
        <v>116</v>
      </c>
      <c r="AB1392" s="81" t="s">
        <v>117</v>
      </c>
      <c r="AC1392" s="166">
        <v>0</v>
      </c>
      <c r="AG1392" s="81" t="s">
        <v>238</v>
      </c>
      <c r="AH1392" s="81" t="s">
        <v>118</v>
      </c>
      <c r="AI1392" s="81" t="s">
        <v>3504</v>
      </c>
      <c r="AJ1392" s="81">
        <v>17320135</v>
      </c>
      <c r="AK1392" s="166">
        <v>0</v>
      </c>
      <c r="AM1392" s="166">
        <v>0</v>
      </c>
      <c r="AO1392" s="166">
        <v>0</v>
      </c>
      <c r="AP1392" s="166">
        <v>0</v>
      </c>
      <c r="AQ1392" s="166">
        <v>0</v>
      </c>
      <c r="AR1392" s="166">
        <v>0</v>
      </c>
      <c r="AS1392" s="166">
        <v>0</v>
      </c>
      <c r="AT1392" s="166">
        <v>0</v>
      </c>
      <c r="AU1392" s="166">
        <v>90</v>
      </c>
      <c r="AV1392" s="166">
        <v>0</v>
      </c>
      <c r="AW1392" s="166">
        <v>0</v>
      </c>
      <c r="AX1392" s="166">
        <v>0</v>
      </c>
      <c r="AY1392" s="166">
        <v>0</v>
      </c>
      <c r="AZ1392" s="166">
        <v>0</v>
      </c>
      <c r="BA1392" s="166">
        <v>0</v>
      </c>
      <c r="BB1392" s="166">
        <v>90</v>
      </c>
      <c r="BC1392" s="166">
        <v>0</v>
      </c>
      <c r="BD1392" s="166">
        <v>0</v>
      </c>
      <c r="BE1392" s="166">
        <v>0</v>
      </c>
      <c r="BF1392" s="166">
        <v>0</v>
      </c>
      <c r="BG1392" s="166">
        <v>0</v>
      </c>
      <c r="BH1392" s="166">
        <v>0</v>
      </c>
      <c r="BI1392" s="166">
        <v>0</v>
      </c>
      <c r="BJ1392" s="166">
        <v>0</v>
      </c>
      <c r="BK1392" s="166">
        <v>0</v>
      </c>
      <c r="BL1392" s="166">
        <v>0</v>
      </c>
      <c r="BM1392" s="166">
        <v>0</v>
      </c>
      <c r="BN1392" s="166">
        <v>0</v>
      </c>
      <c r="BO1392" s="166">
        <v>0</v>
      </c>
      <c r="BP1392" s="166">
        <v>0</v>
      </c>
      <c r="BQ1392" s="81" t="s">
        <v>1758</v>
      </c>
      <c r="BZ1392" s="81" t="s">
        <v>155</v>
      </c>
      <c r="CA1392" s="81">
        <v>11</v>
      </c>
      <c r="CC1392" s="167">
        <v>0</v>
      </c>
      <c r="CD1392" s="167">
        <v>0</v>
      </c>
      <c r="CE1392" s="167">
        <f>$N1392/5</f>
        <v>18</v>
      </c>
      <c r="CF1392" s="167">
        <f>$N1392/5</f>
        <v>18</v>
      </c>
      <c r="CG1392" s="167">
        <f>$N1392/5</f>
        <v>18</v>
      </c>
      <c r="CH1392" s="167">
        <f>$N1392/5</f>
        <v>18</v>
      </c>
      <c r="CI1392" s="167">
        <f>$N1392/5</f>
        <v>18</v>
      </c>
      <c r="CJ1392" s="167">
        <v>0</v>
      </c>
      <c r="CK1392" s="167">
        <v>0</v>
      </c>
      <c r="CL1392" s="167">
        <v>0</v>
      </c>
      <c r="CM1392" s="167">
        <v>0</v>
      </c>
      <c r="CN1392" s="167">
        <v>0</v>
      </c>
      <c r="CO1392" s="167">
        <v>0</v>
      </c>
      <c r="CP1392" s="167">
        <v>0</v>
      </c>
      <c r="CQ1392" s="167">
        <v>0</v>
      </c>
      <c r="CR1392" s="167">
        <v>0</v>
      </c>
      <c r="CS1392" s="167">
        <v>0</v>
      </c>
      <c r="CT1392" s="167">
        <v>0</v>
      </c>
      <c r="CU1392" s="167">
        <v>0</v>
      </c>
      <c r="CV1392" s="167">
        <v>0</v>
      </c>
      <c r="CW1392" s="167">
        <v>0</v>
      </c>
      <c r="CX1392" s="167">
        <f>SUM(CD1392:CH1392)</f>
        <v>72</v>
      </c>
      <c r="CY1392" s="167">
        <f>SUM(CD1392:CM1392)</f>
        <v>90</v>
      </c>
    </row>
    <row r="1393" spans="1:103" ht="12.75" customHeight="1" x14ac:dyDescent="0.2">
      <c r="A1393" s="81">
        <v>6868</v>
      </c>
      <c r="B1393" s="165" t="s">
        <v>1902</v>
      </c>
      <c r="C1393" s="165" t="s">
        <v>3502</v>
      </c>
      <c r="E1393" s="165" t="s">
        <v>3503</v>
      </c>
      <c r="G1393" s="81">
        <v>526007</v>
      </c>
      <c r="H1393" s="81">
        <v>173636</v>
      </c>
      <c r="I1393" s="165" t="s">
        <v>249</v>
      </c>
      <c r="L1393" s="166">
        <v>0</v>
      </c>
      <c r="M1393" s="166">
        <v>27</v>
      </c>
      <c r="N1393" s="166">
        <v>27</v>
      </c>
      <c r="O1393" s="166">
        <v>135</v>
      </c>
      <c r="P1393" s="166">
        <v>135</v>
      </c>
      <c r="Q1393" s="81" t="s">
        <v>155</v>
      </c>
      <c r="R1393" s="165" t="s">
        <v>1905</v>
      </c>
      <c r="S1393" s="81" t="s">
        <v>1906</v>
      </c>
      <c r="W1393" s="81" t="s">
        <v>114</v>
      </c>
      <c r="Y1393" s="81" t="s">
        <v>115</v>
      </c>
      <c r="Z1393" s="81" t="s">
        <v>116</v>
      </c>
      <c r="AA1393" s="81" t="s">
        <v>116</v>
      </c>
      <c r="AB1393" s="81" t="s">
        <v>117</v>
      </c>
      <c r="AC1393" s="166">
        <v>0</v>
      </c>
      <c r="AG1393" s="81" t="s">
        <v>154</v>
      </c>
      <c r="AH1393" s="81" t="s">
        <v>276</v>
      </c>
      <c r="AI1393" s="81" t="s">
        <v>3504</v>
      </c>
      <c r="AJ1393" s="81">
        <v>17320135</v>
      </c>
      <c r="AK1393" s="166">
        <v>0</v>
      </c>
      <c r="AM1393" s="166">
        <v>0</v>
      </c>
      <c r="AO1393" s="166">
        <v>0</v>
      </c>
      <c r="AP1393" s="166">
        <v>0</v>
      </c>
      <c r="AQ1393" s="166">
        <v>0</v>
      </c>
      <c r="AR1393" s="166">
        <v>0</v>
      </c>
      <c r="AS1393" s="166">
        <v>0</v>
      </c>
      <c r="AT1393" s="166">
        <v>0</v>
      </c>
      <c r="AU1393" s="166">
        <v>27</v>
      </c>
      <c r="AV1393" s="166">
        <v>0</v>
      </c>
      <c r="AW1393" s="166">
        <v>0</v>
      </c>
      <c r="AX1393" s="166">
        <v>0</v>
      </c>
      <c r="AY1393" s="166">
        <v>0</v>
      </c>
      <c r="AZ1393" s="166">
        <v>0</v>
      </c>
      <c r="BA1393" s="166">
        <v>0</v>
      </c>
      <c r="BB1393" s="166">
        <v>27</v>
      </c>
      <c r="BC1393" s="166">
        <v>0</v>
      </c>
      <c r="BD1393" s="166">
        <v>0</v>
      </c>
      <c r="BE1393" s="166">
        <v>0</v>
      </c>
      <c r="BF1393" s="166">
        <v>0</v>
      </c>
      <c r="BG1393" s="166">
        <v>0</v>
      </c>
      <c r="BH1393" s="166">
        <v>0</v>
      </c>
      <c r="BI1393" s="166">
        <v>0</v>
      </c>
      <c r="BJ1393" s="166">
        <v>0</v>
      </c>
      <c r="BK1393" s="166">
        <v>0</v>
      </c>
      <c r="BL1393" s="166">
        <v>0</v>
      </c>
      <c r="BM1393" s="166">
        <v>0</v>
      </c>
      <c r="BN1393" s="166">
        <v>0</v>
      </c>
      <c r="BO1393" s="166">
        <v>0</v>
      </c>
      <c r="BP1393" s="166">
        <v>0</v>
      </c>
      <c r="BQ1393" s="81" t="s">
        <v>1758</v>
      </c>
      <c r="BZ1393" s="81" t="s">
        <v>155</v>
      </c>
      <c r="CA1393" s="81">
        <v>11</v>
      </c>
      <c r="CC1393" s="167">
        <v>0</v>
      </c>
      <c r="CD1393" s="167">
        <v>0</v>
      </c>
      <c r="CE1393" s="167">
        <f>$N1393/5</f>
        <v>5.4</v>
      </c>
      <c r="CF1393" s="167">
        <f>$N1393/5</f>
        <v>5.4</v>
      </c>
      <c r="CG1393" s="167">
        <f>$N1393/5</f>
        <v>5.4</v>
      </c>
      <c r="CH1393" s="167">
        <f>$N1393/5</f>
        <v>5.4</v>
      </c>
      <c r="CI1393" s="167">
        <f>$N1393/5</f>
        <v>5.4</v>
      </c>
      <c r="CJ1393" s="167">
        <v>0</v>
      </c>
      <c r="CK1393" s="167">
        <v>0</v>
      </c>
      <c r="CL1393" s="167">
        <v>0</v>
      </c>
      <c r="CM1393" s="167">
        <v>0</v>
      </c>
      <c r="CN1393" s="167">
        <v>0</v>
      </c>
      <c r="CO1393" s="167">
        <v>0</v>
      </c>
      <c r="CP1393" s="167">
        <v>0</v>
      </c>
      <c r="CQ1393" s="167">
        <v>0</v>
      </c>
      <c r="CR1393" s="167">
        <v>0</v>
      </c>
      <c r="CS1393" s="167">
        <v>0</v>
      </c>
      <c r="CT1393" s="167">
        <v>0</v>
      </c>
      <c r="CU1393" s="167">
        <v>0</v>
      </c>
      <c r="CV1393" s="167">
        <v>0</v>
      </c>
      <c r="CW1393" s="167">
        <v>0</v>
      </c>
      <c r="CX1393" s="167">
        <f>SUM(CD1393:CH1393)</f>
        <v>21.6</v>
      </c>
      <c r="CY1393" s="167">
        <f>SUM(CD1393:CM1393)</f>
        <v>27</v>
      </c>
    </row>
    <row r="1394" spans="1:103" ht="12.75" customHeight="1" x14ac:dyDescent="0.2">
      <c r="A1394" s="81">
        <v>6868</v>
      </c>
      <c r="B1394" s="165" t="s">
        <v>1902</v>
      </c>
      <c r="C1394" s="165" t="s">
        <v>3502</v>
      </c>
      <c r="E1394" s="165" t="s">
        <v>3503</v>
      </c>
      <c r="G1394" s="81">
        <v>526007</v>
      </c>
      <c r="H1394" s="81">
        <v>173636</v>
      </c>
      <c r="I1394" s="165" t="s">
        <v>249</v>
      </c>
      <c r="L1394" s="166">
        <v>0</v>
      </c>
      <c r="M1394" s="166">
        <v>18</v>
      </c>
      <c r="N1394" s="166">
        <v>18</v>
      </c>
      <c r="O1394" s="166">
        <v>135</v>
      </c>
      <c r="P1394" s="166">
        <v>135</v>
      </c>
      <c r="Q1394" s="81" t="s">
        <v>155</v>
      </c>
      <c r="R1394" s="165" t="s">
        <v>1905</v>
      </c>
      <c r="S1394" s="81" t="s">
        <v>1906</v>
      </c>
      <c r="W1394" s="81" t="s">
        <v>114</v>
      </c>
      <c r="Y1394" s="81" t="s">
        <v>115</v>
      </c>
      <c r="Z1394" s="81" t="s">
        <v>116</v>
      </c>
      <c r="AA1394" s="81" t="s">
        <v>116</v>
      </c>
      <c r="AB1394" s="81" t="s">
        <v>117</v>
      </c>
      <c r="AC1394" s="166">
        <v>0</v>
      </c>
      <c r="AG1394" s="81" t="s">
        <v>74</v>
      </c>
      <c r="AH1394" s="81" t="s">
        <v>990</v>
      </c>
      <c r="AI1394" s="81" t="s">
        <v>3504</v>
      </c>
      <c r="AJ1394" s="81">
        <v>17320135</v>
      </c>
      <c r="AK1394" s="166">
        <v>0</v>
      </c>
      <c r="AM1394" s="166">
        <v>0</v>
      </c>
      <c r="AO1394" s="166">
        <v>0</v>
      </c>
      <c r="AP1394" s="166">
        <v>0</v>
      </c>
      <c r="AQ1394" s="166">
        <v>0</v>
      </c>
      <c r="AR1394" s="166">
        <v>0</v>
      </c>
      <c r="AS1394" s="166">
        <v>0</v>
      </c>
      <c r="AT1394" s="166">
        <v>0</v>
      </c>
      <c r="AU1394" s="166">
        <v>18</v>
      </c>
      <c r="AV1394" s="166">
        <v>0</v>
      </c>
      <c r="AW1394" s="166">
        <v>0</v>
      </c>
      <c r="AX1394" s="166">
        <v>0</v>
      </c>
      <c r="AY1394" s="166">
        <v>0</v>
      </c>
      <c r="AZ1394" s="166">
        <v>0</v>
      </c>
      <c r="BA1394" s="166">
        <v>0</v>
      </c>
      <c r="BB1394" s="166">
        <v>18</v>
      </c>
      <c r="BC1394" s="166">
        <v>0</v>
      </c>
      <c r="BD1394" s="166">
        <v>0</v>
      </c>
      <c r="BE1394" s="166">
        <v>0</v>
      </c>
      <c r="BF1394" s="166">
        <v>0</v>
      </c>
      <c r="BG1394" s="166">
        <v>0</v>
      </c>
      <c r="BH1394" s="166">
        <v>0</v>
      </c>
      <c r="BI1394" s="166">
        <v>0</v>
      </c>
      <c r="BJ1394" s="166">
        <v>0</v>
      </c>
      <c r="BK1394" s="166">
        <v>0</v>
      </c>
      <c r="BL1394" s="166">
        <v>0</v>
      </c>
      <c r="BM1394" s="166">
        <v>0</v>
      </c>
      <c r="BN1394" s="166">
        <v>0</v>
      </c>
      <c r="BO1394" s="166">
        <v>0</v>
      </c>
      <c r="BP1394" s="166">
        <v>0</v>
      </c>
      <c r="BQ1394" s="81" t="s">
        <v>1758</v>
      </c>
      <c r="BZ1394" s="81" t="s">
        <v>155</v>
      </c>
      <c r="CA1394" s="81">
        <v>11</v>
      </c>
      <c r="CC1394" s="167">
        <v>0</v>
      </c>
      <c r="CD1394" s="167">
        <v>0</v>
      </c>
      <c r="CE1394" s="167">
        <f>$N1394/5</f>
        <v>3.6</v>
      </c>
      <c r="CF1394" s="167">
        <f>$N1394/5</f>
        <v>3.6</v>
      </c>
      <c r="CG1394" s="167">
        <f>$N1394/5</f>
        <v>3.6</v>
      </c>
      <c r="CH1394" s="167">
        <f>$N1394/5</f>
        <v>3.6</v>
      </c>
      <c r="CI1394" s="167">
        <f>$N1394/5</f>
        <v>3.6</v>
      </c>
      <c r="CJ1394" s="167">
        <v>0</v>
      </c>
      <c r="CK1394" s="167">
        <v>0</v>
      </c>
      <c r="CL1394" s="167">
        <v>0</v>
      </c>
      <c r="CM1394" s="167">
        <v>0</v>
      </c>
      <c r="CN1394" s="167">
        <v>0</v>
      </c>
      <c r="CO1394" s="167">
        <v>0</v>
      </c>
      <c r="CP1394" s="167">
        <v>0</v>
      </c>
      <c r="CQ1394" s="167">
        <v>0</v>
      </c>
      <c r="CR1394" s="167">
        <v>0</v>
      </c>
      <c r="CS1394" s="167">
        <v>0</v>
      </c>
      <c r="CT1394" s="167">
        <v>0</v>
      </c>
      <c r="CU1394" s="167">
        <v>0</v>
      </c>
      <c r="CV1394" s="167">
        <v>0</v>
      </c>
      <c r="CW1394" s="167">
        <v>0</v>
      </c>
      <c r="CX1394" s="167">
        <f>SUM(CD1394:CH1394)</f>
        <v>14.4</v>
      </c>
      <c r="CY1394" s="167">
        <f>SUM(CD1394:CM1394)</f>
        <v>18</v>
      </c>
    </row>
    <row r="1395" spans="1:103" ht="12.75" customHeight="1" x14ac:dyDescent="0.2">
      <c r="A1395" s="81">
        <v>6869</v>
      </c>
      <c r="B1395" s="165" t="s">
        <v>1902</v>
      </c>
      <c r="C1395" s="165" t="s">
        <v>3510</v>
      </c>
      <c r="E1395" s="165" t="s">
        <v>1753</v>
      </c>
      <c r="G1395" s="81">
        <v>526639</v>
      </c>
      <c r="H1395" s="81">
        <v>176128</v>
      </c>
      <c r="I1395" s="165" t="s">
        <v>257</v>
      </c>
      <c r="L1395" s="166">
        <v>0</v>
      </c>
      <c r="M1395" s="166">
        <v>47</v>
      </c>
      <c r="N1395" s="166">
        <v>47</v>
      </c>
      <c r="O1395" s="166">
        <v>70</v>
      </c>
      <c r="P1395" s="166">
        <v>70</v>
      </c>
      <c r="Q1395" s="81" t="s">
        <v>155</v>
      </c>
      <c r="R1395" s="165" t="s">
        <v>1905</v>
      </c>
      <c r="S1395" s="81" t="s">
        <v>1906</v>
      </c>
      <c r="W1395" s="81" t="s">
        <v>114</v>
      </c>
      <c r="Y1395" s="81" t="s">
        <v>115</v>
      </c>
      <c r="Z1395" s="81" t="s">
        <v>116</v>
      </c>
      <c r="AA1395" s="81" t="s">
        <v>116</v>
      </c>
      <c r="AB1395" s="81" t="s">
        <v>117</v>
      </c>
      <c r="AC1395" s="166">
        <v>0</v>
      </c>
      <c r="AG1395" s="81" t="s">
        <v>238</v>
      </c>
      <c r="AH1395" s="81" t="s">
        <v>118</v>
      </c>
      <c r="AI1395" s="81" t="s">
        <v>3511</v>
      </c>
      <c r="AJ1395" s="81">
        <v>17320212</v>
      </c>
      <c r="AK1395" s="166">
        <v>0</v>
      </c>
      <c r="AM1395" s="166">
        <v>0</v>
      </c>
      <c r="AO1395" s="166">
        <v>0</v>
      </c>
      <c r="AP1395" s="166">
        <v>0</v>
      </c>
      <c r="AQ1395" s="166">
        <v>0</v>
      </c>
      <c r="AR1395" s="166">
        <v>0</v>
      </c>
      <c r="AS1395" s="166">
        <v>0</v>
      </c>
      <c r="AT1395" s="166">
        <v>0</v>
      </c>
      <c r="AU1395" s="166">
        <v>47</v>
      </c>
      <c r="AV1395" s="166">
        <v>0</v>
      </c>
      <c r="AW1395" s="166">
        <v>0</v>
      </c>
      <c r="AX1395" s="166">
        <v>0</v>
      </c>
      <c r="AY1395" s="166">
        <v>0</v>
      </c>
      <c r="AZ1395" s="166">
        <v>0</v>
      </c>
      <c r="BA1395" s="166">
        <v>0</v>
      </c>
      <c r="BB1395" s="166">
        <v>47</v>
      </c>
      <c r="BC1395" s="166">
        <v>0</v>
      </c>
      <c r="BD1395" s="166">
        <v>0</v>
      </c>
      <c r="BE1395" s="166">
        <v>0</v>
      </c>
      <c r="BF1395" s="166">
        <v>0</v>
      </c>
      <c r="BG1395" s="166">
        <v>0</v>
      </c>
      <c r="BH1395" s="166">
        <v>0</v>
      </c>
      <c r="BI1395" s="166">
        <v>0</v>
      </c>
      <c r="BJ1395" s="166">
        <v>0</v>
      </c>
      <c r="BK1395" s="166">
        <v>0</v>
      </c>
      <c r="BL1395" s="166">
        <v>0</v>
      </c>
      <c r="BM1395" s="166">
        <v>0</v>
      </c>
      <c r="BN1395" s="166">
        <v>0</v>
      </c>
      <c r="BO1395" s="166">
        <v>0</v>
      </c>
      <c r="BP1395" s="166">
        <v>0</v>
      </c>
      <c r="BQ1395" s="81" t="s">
        <v>1757</v>
      </c>
      <c r="BX1395" s="81" t="s">
        <v>155</v>
      </c>
      <c r="BZ1395" s="81" t="s">
        <v>155</v>
      </c>
      <c r="CA1395" s="81">
        <v>11</v>
      </c>
      <c r="CC1395" s="167">
        <v>0</v>
      </c>
      <c r="CD1395" s="167">
        <v>0</v>
      </c>
      <c r="CE1395" s="167">
        <f>$N1395/15</f>
        <v>3.1333333333333333</v>
      </c>
      <c r="CF1395" s="167">
        <f>$N1395/15</f>
        <v>3.1333333333333333</v>
      </c>
      <c r="CG1395" s="167">
        <f>$N1395/15</f>
        <v>3.1333333333333333</v>
      </c>
      <c r="CH1395" s="167">
        <f>$N1395/15</f>
        <v>3.1333333333333333</v>
      </c>
      <c r="CI1395" s="167">
        <f>$N1395/15</f>
        <v>3.1333333333333333</v>
      </c>
      <c r="CJ1395" s="167">
        <f>$N1395/15</f>
        <v>3.1333333333333333</v>
      </c>
      <c r="CK1395" s="167">
        <f>$N1395/15</f>
        <v>3.1333333333333333</v>
      </c>
      <c r="CL1395" s="167">
        <f>$N1395/15</f>
        <v>3.1333333333333333</v>
      </c>
      <c r="CM1395" s="167">
        <f>$N1395/15</f>
        <v>3.1333333333333333</v>
      </c>
      <c r="CN1395" s="167">
        <f>$N1395/15</f>
        <v>3.1333333333333333</v>
      </c>
      <c r="CO1395" s="167">
        <f>$N1395/15</f>
        <v>3.1333333333333333</v>
      </c>
      <c r="CP1395" s="167">
        <f>$N1395/15</f>
        <v>3.1333333333333333</v>
      </c>
      <c r="CQ1395" s="167">
        <f>$N1395/15</f>
        <v>3.1333333333333333</v>
      </c>
      <c r="CR1395" s="167">
        <f>$N1395/15</f>
        <v>3.1333333333333333</v>
      </c>
      <c r="CS1395" s="167">
        <f>$N1395/15</f>
        <v>3.1333333333333333</v>
      </c>
      <c r="CT1395" s="167">
        <v>0</v>
      </c>
      <c r="CU1395" s="167">
        <v>0</v>
      </c>
      <c r="CV1395" s="167">
        <v>0</v>
      </c>
      <c r="CW1395" s="167">
        <v>0</v>
      </c>
      <c r="CX1395" s="167">
        <f>SUM(CD1395:CH1395)</f>
        <v>12.533333333333333</v>
      </c>
      <c r="CY1395" s="167">
        <f>SUM(CD1395:CM1395)</f>
        <v>28.2</v>
      </c>
    </row>
    <row r="1396" spans="1:103" ht="12.75" customHeight="1" x14ac:dyDescent="0.2">
      <c r="A1396" s="81">
        <v>6869</v>
      </c>
      <c r="B1396" s="165" t="s">
        <v>1902</v>
      </c>
      <c r="C1396" s="165" t="s">
        <v>3510</v>
      </c>
      <c r="E1396" s="165" t="s">
        <v>1753</v>
      </c>
      <c r="G1396" s="81">
        <v>526639</v>
      </c>
      <c r="H1396" s="81">
        <v>176128</v>
      </c>
      <c r="I1396" s="165" t="s">
        <v>257</v>
      </c>
      <c r="L1396" s="166">
        <v>0</v>
      </c>
      <c r="M1396" s="166">
        <v>14</v>
      </c>
      <c r="N1396" s="166">
        <v>14</v>
      </c>
      <c r="O1396" s="166">
        <v>70</v>
      </c>
      <c r="P1396" s="166">
        <v>70</v>
      </c>
      <c r="Q1396" s="81" t="s">
        <v>155</v>
      </c>
      <c r="R1396" s="165" t="s">
        <v>1905</v>
      </c>
      <c r="S1396" s="81" t="s">
        <v>1906</v>
      </c>
      <c r="W1396" s="81" t="s">
        <v>114</v>
      </c>
      <c r="Y1396" s="81" t="s">
        <v>115</v>
      </c>
      <c r="Z1396" s="81" t="s">
        <v>116</v>
      </c>
      <c r="AA1396" s="81" t="s">
        <v>116</v>
      </c>
      <c r="AB1396" s="81" t="s">
        <v>117</v>
      </c>
      <c r="AC1396" s="166">
        <v>0</v>
      </c>
      <c r="AG1396" s="81" t="s">
        <v>154</v>
      </c>
      <c r="AH1396" s="81" t="s">
        <v>276</v>
      </c>
      <c r="AI1396" s="81" t="s">
        <v>3511</v>
      </c>
      <c r="AJ1396" s="81">
        <v>17320212</v>
      </c>
      <c r="AK1396" s="166">
        <v>0</v>
      </c>
      <c r="AM1396" s="166">
        <v>0</v>
      </c>
      <c r="AO1396" s="166">
        <v>0</v>
      </c>
      <c r="AP1396" s="166">
        <v>0</v>
      </c>
      <c r="AQ1396" s="166">
        <v>0</v>
      </c>
      <c r="AR1396" s="166">
        <v>0</v>
      </c>
      <c r="AS1396" s="166">
        <v>0</v>
      </c>
      <c r="AT1396" s="166">
        <v>0</v>
      </c>
      <c r="AU1396" s="166">
        <v>14</v>
      </c>
      <c r="AV1396" s="166">
        <v>0</v>
      </c>
      <c r="AW1396" s="166">
        <v>0</v>
      </c>
      <c r="AX1396" s="166">
        <v>0</v>
      </c>
      <c r="AY1396" s="166">
        <v>0</v>
      </c>
      <c r="AZ1396" s="166">
        <v>0</v>
      </c>
      <c r="BA1396" s="166">
        <v>0</v>
      </c>
      <c r="BB1396" s="166">
        <v>14</v>
      </c>
      <c r="BC1396" s="166">
        <v>0</v>
      </c>
      <c r="BD1396" s="166">
        <v>0</v>
      </c>
      <c r="BE1396" s="166">
        <v>0</v>
      </c>
      <c r="BF1396" s="166">
        <v>0</v>
      </c>
      <c r="BG1396" s="166">
        <v>0</v>
      </c>
      <c r="BH1396" s="166">
        <v>0</v>
      </c>
      <c r="BI1396" s="166">
        <v>0</v>
      </c>
      <c r="BJ1396" s="166">
        <v>0</v>
      </c>
      <c r="BK1396" s="166">
        <v>0</v>
      </c>
      <c r="BL1396" s="166">
        <v>0</v>
      </c>
      <c r="BM1396" s="166">
        <v>0</v>
      </c>
      <c r="BN1396" s="166">
        <v>0</v>
      </c>
      <c r="BO1396" s="166">
        <v>0</v>
      </c>
      <c r="BP1396" s="166">
        <v>0</v>
      </c>
      <c r="BQ1396" s="81" t="s">
        <v>1757</v>
      </c>
      <c r="BX1396" s="81" t="s">
        <v>155</v>
      </c>
      <c r="BZ1396" s="81" t="s">
        <v>155</v>
      </c>
      <c r="CA1396" s="81">
        <v>11</v>
      </c>
      <c r="CC1396" s="167">
        <v>0</v>
      </c>
      <c r="CD1396" s="167">
        <v>0</v>
      </c>
      <c r="CE1396" s="167">
        <f>$N1396/15</f>
        <v>0.93333333333333335</v>
      </c>
      <c r="CF1396" s="167">
        <f>$N1396/15</f>
        <v>0.93333333333333335</v>
      </c>
      <c r="CG1396" s="167">
        <f>$N1396/15</f>
        <v>0.93333333333333335</v>
      </c>
      <c r="CH1396" s="167">
        <f>$N1396/15</f>
        <v>0.93333333333333335</v>
      </c>
      <c r="CI1396" s="167">
        <f>$N1396/15</f>
        <v>0.93333333333333335</v>
      </c>
      <c r="CJ1396" s="167">
        <f>$N1396/15</f>
        <v>0.93333333333333335</v>
      </c>
      <c r="CK1396" s="167">
        <f>$N1396/15</f>
        <v>0.93333333333333335</v>
      </c>
      <c r="CL1396" s="167">
        <f>$N1396/15</f>
        <v>0.93333333333333335</v>
      </c>
      <c r="CM1396" s="167">
        <f>$N1396/15</f>
        <v>0.93333333333333335</v>
      </c>
      <c r="CN1396" s="167">
        <f>$N1396/15</f>
        <v>0.93333333333333335</v>
      </c>
      <c r="CO1396" s="167">
        <f>$N1396/15</f>
        <v>0.93333333333333335</v>
      </c>
      <c r="CP1396" s="167">
        <f>$N1396/15</f>
        <v>0.93333333333333335</v>
      </c>
      <c r="CQ1396" s="167">
        <f>$N1396/15</f>
        <v>0.93333333333333335</v>
      </c>
      <c r="CR1396" s="167">
        <f>$N1396/15</f>
        <v>0.93333333333333335</v>
      </c>
      <c r="CS1396" s="167">
        <f>$N1396/15</f>
        <v>0.93333333333333335</v>
      </c>
      <c r="CT1396" s="167">
        <v>0</v>
      </c>
      <c r="CU1396" s="167">
        <v>0</v>
      </c>
      <c r="CV1396" s="167">
        <v>0</v>
      </c>
      <c r="CW1396" s="167">
        <v>0</v>
      </c>
      <c r="CX1396" s="167">
        <f>SUM(CD1396:CH1396)</f>
        <v>3.7333333333333334</v>
      </c>
      <c r="CY1396" s="167">
        <f>SUM(CD1396:CM1396)</f>
        <v>8.4</v>
      </c>
    </row>
    <row r="1397" spans="1:103" ht="12.75" customHeight="1" x14ac:dyDescent="0.2">
      <c r="A1397" s="81">
        <v>6869</v>
      </c>
      <c r="B1397" s="165" t="s">
        <v>1902</v>
      </c>
      <c r="C1397" s="165" t="s">
        <v>3510</v>
      </c>
      <c r="E1397" s="165" t="s">
        <v>1753</v>
      </c>
      <c r="G1397" s="81">
        <v>526639</v>
      </c>
      <c r="H1397" s="81">
        <v>176128</v>
      </c>
      <c r="I1397" s="165" t="s">
        <v>257</v>
      </c>
      <c r="L1397" s="166">
        <v>0</v>
      </c>
      <c r="M1397" s="166">
        <v>9</v>
      </c>
      <c r="N1397" s="166">
        <v>9</v>
      </c>
      <c r="O1397" s="166">
        <v>70</v>
      </c>
      <c r="P1397" s="166">
        <v>70</v>
      </c>
      <c r="Q1397" s="81" t="s">
        <v>155</v>
      </c>
      <c r="R1397" s="165" t="s">
        <v>1905</v>
      </c>
      <c r="S1397" s="81" t="s">
        <v>1906</v>
      </c>
      <c r="W1397" s="81" t="s">
        <v>114</v>
      </c>
      <c r="Y1397" s="81" t="s">
        <v>115</v>
      </c>
      <c r="Z1397" s="81" t="s">
        <v>116</v>
      </c>
      <c r="AA1397" s="81" t="s">
        <v>116</v>
      </c>
      <c r="AB1397" s="81" t="s">
        <v>117</v>
      </c>
      <c r="AC1397" s="166">
        <v>0</v>
      </c>
      <c r="AG1397" s="81" t="s">
        <v>74</v>
      </c>
      <c r="AH1397" s="81" t="s">
        <v>990</v>
      </c>
      <c r="AI1397" s="81" t="s">
        <v>3511</v>
      </c>
      <c r="AJ1397" s="81">
        <v>17320212</v>
      </c>
      <c r="AK1397" s="166">
        <v>0</v>
      </c>
      <c r="AM1397" s="166">
        <v>0</v>
      </c>
      <c r="AO1397" s="166">
        <v>0</v>
      </c>
      <c r="AP1397" s="166">
        <v>0</v>
      </c>
      <c r="AQ1397" s="166">
        <v>0</v>
      </c>
      <c r="AR1397" s="166">
        <v>0</v>
      </c>
      <c r="AS1397" s="166">
        <v>0</v>
      </c>
      <c r="AT1397" s="166">
        <v>0</v>
      </c>
      <c r="AU1397" s="166">
        <v>9</v>
      </c>
      <c r="AV1397" s="166">
        <v>0</v>
      </c>
      <c r="AW1397" s="166">
        <v>0</v>
      </c>
      <c r="AX1397" s="166">
        <v>0</v>
      </c>
      <c r="AY1397" s="166">
        <v>0</v>
      </c>
      <c r="AZ1397" s="166">
        <v>0</v>
      </c>
      <c r="BA1397" s="166">
        <v>0</v>
      </c>
      <c r="BB1397" s="166">
        <v>9</v>
      </c>
      <c r="BC1397" s="166">
        <v>0</v>
      </c>
      <c r="BD1397" s="166">
        <v>0</v>
      </c>
      <c r="BE1397" s="166">
        <v>0</v>
      </c>
      <c r="BF1397" s="166">
        <v>0</v>
      </c>
      <c r="BG1397" s="166">
        <v>0</v>
      </c>
      <c r="BH1397" s="166">
        <v>0</v>
      </c>
      <c r="BI1397" s="166">
        <v>0</v>
      </c>
      <c r="BJ1397" s="166">
        <v>0</v>
      </c>
      <c r="BK1397" s="166">
        <v>0</v>
      </c>
      <c r="BL1397" s="166">
        <v>0</v>
      </c>
      <c r="BM1397" s="166">
        <v>0</v>
      </c>
      <c r="BN1397" s="166">
        <v>0</v>
      </c>
      <c r="BO1397" s="166">
        <v>0</v>
      </c>
      <c r="BP1397" s="166">
        <v>0</v>
      </c>
      <c r="BQ1397" s="81" t="s">
        <v>1757</v>
      </c>
      <c r="BX1397" s="81" t="s">
        <v>155</v>
      </c>
      <c r="BZ1397" s="81" t="s">
        <v>155</v>
      </c>
      <c r="CA1397" s="81">
        <v>11</v>
      </c>
      <c r="CC1397" s="167">
        <v>0</v>
      </c>
      <c r="CD1397" s="167">
        <v>0</v>
      </c>
      <c r="CE1397" s="167">
        <f>$N1397/15</f>
        <v>0.6</v>
      </c>
      <c r="CF1397" s="167">
        <f>$N1397/15</f>
        <v>0.6</v>
      </c>
      <c r="CG1397" s="167">
        <f>$N1397/15</f>
        <v>0.6</v>
      </c>
      <c r="CH1397" s="167">
        <f>$N1397/15</f>
        <v>0.6</v>
      </c>
      <c r="CI1397" s="167">
        <f>$N1397/15</f>
        <v>0.6</v>
      </c>
      <c r="CJ1397" s="167">
        <f>$N1397/15</f>
        <v>0.6</v>
      </c>
      <c r="CK1397" s="167">
        <f>$N1397/15</f>
        <v>0.6</v>
      </c>
      <c r="CL1397" s="167">
        <f>$N1397/15</f>
        <v>0.6</v>
      </c>
      <c r="CM1397" s="167">
        <f>$N1397/15</f>
        <v>0.6</v>
      </c>
      <c r="CN1397" s="167">
        <f>$N1397/15</f>
        <v>0.6</v>
      </c>
      <c r="CO1397" s="167">
        <f>$N1397/15</f>
        <v>0.6</v>
      </c>
      <c r="CP1397" s="167">
        <f>$N1397/15</f>
        <v>0.6</v>
      </c>
      <c r="CQ1397" s="167">
        <f>$N1397/15</f>
        <v>0.6</v>
      </c>
      <c r="CR1397" s="167">
        <f>$N1397/15</f>
        <v>0.6</v>
      </c>
      <c r="CS1397" s="167">
        <f>$N1397/15</f>
        <v>0.6</v>
      </c>
      <c r="CT1397" s="167">
        <v>0</v>
      </c>
      <c r="CU1397" s="167">
        <v>0</v>
      </c>
      <c r="CV1397" s="167">
        <v>0</v>
      </c>
      <c r="CW1397" s="167">
        <v>0</v>
      </c>
      <c r="CX1397" s="167">
        <f>SUM(CD1397:CH1397)</f>
        <v>2.4</v>
      </c>
      <c r="CY1397" s="167">
        <f>SUM(CD1397:CM1397)</f>
        <v>5.3999999999999995</v>
      </c>
    </row>
    <row r="1398" spans="1:103" ht="12.75" customHeight="1" x14ac:dyDescent="0.2">
      <c r="A1398" s="81">
        <v>6870</v>
      </c>
      <c r="B1398" s="165" t="s">
        <v>1902</v>
      </c>
      <c r="C1398" s="165" t="s">
        <v>3512</v>
      </c>
      <c r="E1398" s="165" t="s">
        <v>3513</v>
      </c>
      <c r="G1398" s="81">
        <v>526722</v>
      </c>
      <c r="H1398" s="81">
        <v>176263</v>
      </c>
      <c r="I1398" s="165" t="s">
        <v>257</v>
      </c>
      <c r="L1398" s="166">
        <v>0</v>
      </c>
      <c r="M1398" s="166">
        <v>70</v>
      </c>
      <c r="N1398" s="166">
        <v>70</v>
      </c>
      <c r="O1398" s="166">
        <v>105</v>
      </c>
      <c r="P1398" s="166">
        <v>105</v>
      </c>
      <c r="Q1398" s="81" t="s">
        <v>155</v>
      </c>
      <c r="R1398" s="165" t="s">
        <v>1905</v>
      </c>
      <c r="S1398" s="81" t="s">
        <v>1906</v>
      </c>
      <c r="W1398" s="81" t="s">
        <v>114</v>
      </c>
      <c r="Y1398" s="81" t="s">
        <v>115</v>
      </c>
      <c r="Z1398" s="81" t="s">
        <v>116</v>
      </c>
      <c r="AA1398" s="81" t="s">
        <v>116</v>
      </c>
      <c r="AB1398" s="81" t="s">
        <v>117</v>
      </c>
      <c r="AC1398" s="166">
        <v>0</v>
      </c>
      <c r="AG1398" s="81" t="s">
        <v>238</v>
      </c>
      <c r="AH1398" s="81" t="s">
        <v>118</v>
      </c>
      <c r="AI1398" s="81" t="s">
        <v>3514</v>
      </c>
      <c r="AJ1398" s="81">
        <v>17320112</v>
      </c>
      <c r="AK1398" s="166">
        <v>0</v>
      </c>
      <c r="AM1398" s="166">
        <v>0</v>
      </c>
      <c r="AO1398" s="166">
        <v>0</v>
      </c>
      <c r="AP1398" s="166">
        <v>0</v>
      </c>
      <c r="AQ1398" s="166">
        <v>0</v>
      </c>
      <c r="AR1398" s="166">
        <v>0</v>
      </c>
      <c r="AS1398" s="166">
        <v>0</v>
      </c>
      <c r="AT1398" s="166">
        <v>0</v>
      </c>
      <c r="AU1398" s="166">
        <v>70</v>
      </c>
      <c r="AV1398" s="166">
        <v>0</v>
      </c>
      <c r="AW1398" s="166">
        <v>0</v>
      </c>
      <c r="AX1398" s="166">
        <v>0</v>
      </c>
      <c r="AY1398" s="166">
        <v>0</v>
      </c>
      <c r="AZ1398" s="166">
        <v>0</v>
      </c>
      <c r="BA1398" s="166">
        <v>0</v>
      </c>
      <c r="BB1398" s="166">
        <v>70</v>
      </c>
      <c r="BC1398" s="166">
        <v>0</v>
      </c>
      <c r="BD1398" s="166">
        <v>0</v>
      </c>
      <c r="BE1398" s="166">
        <v>0</v>
      </c>
      <c r="BF1398" s="166">
        <v>0</v>
      </c>
      <c r="BG1398" s="166">
        <v>0</v>
      </c>
      <c r="BH1398" s="166">
        <v>0</v>
      </c>
      <c r="BI1398" s="166">
        <v>0</v>
      </c>
      <c r="BJ1398" s="166">
        <v>0</v>
      </c>
      <c r="BK1398" s="166">
        <v>0</v>
      </c>
      <c r="BL1398" s="166">
        <v>0</v>
      </c>
      <c r="BM1398" s="166">
        <v>0</v>
      </c>
      <c r="BN1398" s="166">
        <v>0</v>
      </c>
      <c r="BO1398" s="166">
        <v>0</v>
      </c>
      <c r="BP1398" s="166">
        <v>0</v>
      </c>
      <c r="BQ1398" s="81" t="s">
        <v>1757</v>
      </c>
      <c r="BZ1398" s="81" t="s">
        <v>155</v>
      </c>
      <c r="CA1398" s="81">
        <v>11</v>
      </c>
      <c r="CC1398" s="167">
        <v>0</v>
      </c>
      <c r="CD1398" s="167">
        <v>0</v>
      </c>
      <c r="CE1398" s="167">
        <f>$N1398/15</f>
        <v>4.666666666666667</v>
      </c>
      <c r="CF1398" s="167">
        <f>$N1398/15</f>
        <v>4.666666666666667</v>
      </c>
      <c r="CG1398" s="167">
        <f>$N1398/15</f>
        <v>4.666666666666667</v>
      </c>
      <c r="CH1398" s="167">
        <f>$N1398/15</f>
        <v>4.666666666666667</v>
      </c>
      <c r="CI1398" s="167">
        <f>$N1398/15</f>
        <v>4.666666666666667</v>
      </c>
      <c r="CJ1398" s="167">
        <f>$N1398/15</f>
        <v>4.666666666666667</v>
      </c>
      <c r="CK1398" s="167">
        <f>$N1398/15</f>
        <v>4.666666666666667</v>
      </c>
      <c r="CL1398" s="167">
        <f>$N1398/15</f>
        <v>4.666666666666667</v>
      </c>
      <c r="CM1398" s="167">
        <f>$N1398/15</f>
        <v>4.666666666666667</v>
      </c>
      <c r="CN1398" s="167">
        <f>$N1398/15</f>
        <v>4.666666666666667</v>
      </c>
      <c r="CO1398" s="167">
        <f>$N1398/15</f>
        <v>4.666666666666667</v>
      </c>
      <c r="CP1398" s="167">
        <f>$N1398/15</f>
        <v>4.666666666666667</v>
      </c>
      <c r="CQ1398" s="167">
        <f>$N1398/15</f>
        <v>4.666666666666667</v>
      </c>
      <c r="CR1398" s="167">
        <f>$N1398/15</f>
        <v>4.666666666666667</v>
      </c>
      <c r="CS1398" s="167">
        <f>$N1398/15</f>
        <v>4.666666666666667</v>
      </c>
      <c r="CT1398" s="167">
        <v>0</v>
      </c>
      <c r="CU1398" s="167">
        <v>0</v>
      </c>
      <c r="CV1398" s="167">
        <v>0</v>
      </c>
      <c r="CW1398" s="167">
        <v>0</v>
      </c>
      <c r="CX1398" s="167">
        <f>SUM(CD1398:CH1398)</f>
        <v>18.666666666666668</v>
      </c>
      <c r="CY1398" s="167">
        <f>SUM(CD1398:CM1398)</f>
        <v>42</v>
      </c>
    </row>
    <row r="1399" spans="1:103" ht="12.75" customHeight="1" x14ac:dyDescent="0.2">
      <c r="A1399" s="81">
        <v>6870</v>
      </c>
      <c r="B1399" s="165" t="s">
        <v>1902</v>
      </c>
      <c r="C1399" s="165" t="s">
        <v>3512</v>
      </c>
      <c r="E1399" s="165" t="s">
        <v>3513</v>
      </c>
      <c r="G1399" s="81">
        <v>526722</v>
      </c>
      <c r="H1399" s="81">
        <v>176263</v>
      </c>
      <c r="I1399" s="165" t="s">
        <v>257</v>
      </c>
      <c r="L1399" s="166">
        <v>0</v>
      </c>
      <c r="M1399" s="166">
        <v>21</v>
      </c>
      <c r="N1399" s="166">
        <v>21</v>
      </c>
      <c r="O1399" s="166">
        <v>105</v>
      </c>
      <c r="P1399" s="166">
        <v>105</v>
      </c>
      <c r="Q1399" s="81" t="s">
        <v>155</v>
      </c>
      <c r="R1399" s="165" t="s">
        <v>1905</v>
      </c>
      <c r="S1399" s="81" t="s">
        <v>1906</v>
      </c>
      <c r="W1399" s="81" t="s">
        <v>114</v>
      </c>
      <c r="Y1399" s="81" t="s">
        <v>115</v>
      </c>
      <c r="Z1399" s="81" t="s">
        <v>116</v>
      </c>
      <c r="AA1399" s="81" t="s">
        <v>116</v>
      </c>
      <c r="AB1399" s="81" t="s">
        <v>117</v>
      </c>
      <c r="AC1399" s="166">
        <v>0</v>
      </c>
      <c r="AG1399" s="81" t="s">
        <v>154</v>
      </c>
      <c r="AH1399" s="81" t="s">
        <v>276</v>
      </c>
      <c r="AI1399" s="81" t="s">
        <v>3514</v>
      </c>
      <c r="AJ1399" s="81">
        <v>17320112</v>
      </c>
      <c r="AK1399" s="166">
        <v>0</v>
      </c>
      <c r="AM1399" s="166">
        <v>0</v>
      </c>
      <c r="AO1399" s="166">
        <v>0</v>
      </c>
      <c r="AP1399" s="166">
        <v>0</v>
      </c>
      <c r="AQ1399" s="166">
        <v>0</v>
      </c>
      <c r="AR1399" s="166">
        <v>0</v>
      </c>
      <c r="AS1399" s="166">
        <v>0</v>
      </c>
      <c r="AT1399" s="166">
        <v>0</v>
      </c>
      <c r="AU1399" s="166">
        <v>21</v>
      </c>
      <c r="AV1399" s="166">
        <v>0</v>
      </c>
      <c r="AW1399" s="166">
        <v>0</v>
      </c>
      <c r="AX1399" s="166">
        <v>0</v>
      </c>
      <c r="AY1399" s="166">
        <v>0</v>
      </c>
      <c r="AZ1399" s="166">
        <v>0</v>
      </c>
      <c r="BA1399" s="166">
        <v>0</v>
      </c>
      <c r="BB1399" s="166">
        <v>21</v>
      </c>
      <c r="BC1399" s="166">
        <v>0</v>
      </c>
      <c r="BD1399" s="166">
        <v>0</v>
      </c>
      <c r="BE1399" s="166">
        <v>0</v>
      </c>
      <c r="BF1399" s="166">
        <v>0</v>
      </c>
      <c r="BG1399" s="166">
        <v>0</v>
      </c>
      <c r="BH1399" s="166">
        <v>0</v>
      </c>
      <c r="BI1399" s="166">
        <v>0</v>
      </c>
      <c r="BJ1399" s="166">
        <v>0</v>
      </c>
      <c r="BK1399" s="166">
        <v>0</v>
      </c>
      <c r="BL1399" s="166">
        <v>0</v>
      </c>
      <c r="BM1399" s="166">
        <v>0</v>
      </c>
      <c r="BN1399" s="166">
        <v>0</v>
      </c>
      <c r="BO1399" s="166">
        <v>0</v>
      </c>
      <c r="BP1399" s="166">
        <v>0</v>
      </c>
      <c r="BQ1399" s="81" t="s">
        <v>1757</v>
      </c>
      <c r="BZ1399" s="81" t="s">
        <v>155</v>
      </c>
      <c r="CA1399" s="81">
        <v>11</v>
      </c>
      <c r="CC1399" s="167">
        <v>0</v>
      </c>
      <c r="CD1399" s="167">
        <v>0</v>
      </c>
      <c r="CE1399" s="167">
        <f>$N1399/15</f>
        <v>1.4</v>
      </c>
      <c r="CF1399" s="167">
        <f>$N1399/15</f>
        <v>1.4</v>
      </c>
      <c r="CG1399" s="167">
        <f>$N1399/15</f>
        <v>1.4</v>
      </c>
      <c r="CH1399" s="167">
        <f>$N1399/15</f>
        <v>1.4</v>
      </c>
      <c r="CI1399" s="167">
        <f>$N1399/15</f>
        <v>1.4</v>
      </c>
      <c r="CJ1399" s="167">
        <f>$N1399/15</f>
        <v>1.4</v>
      </c>
      <c r="CK1399" s="167">
        <f>$N1399/15</f>
        <v>1.4</v>
      </c>
      <c r="CL1399" s="167">
        <f>$N1399/15</f>
        <v>1.4</v>
      </c>
      <c r="CM1399" s="167">
        <f>$N1399/15</f>
        <v>1.4</v>
      </c>
      <c r="CN1399" s="167">
        <f>$N1399/15</f>
        <v>1.4</v>
      </c>
      <c r="CO1399" s="167">
        <f>$N1399/15</f>
        <v>1.4</v>
      </c>
      <c r="CP1399" s="167">
        <f>$N1399/15</f>
        <v>1.4</v>
      </c>
      <c r="CQ1399" s="167">
        <f>$N1399/15</f>
        <v>1.4</v>
      </c>
      <c r="CR1399" s="167">
        <f>$N1399/15</f>
        <v>1.4</v>
      </c>
      <c r="CS1399" s="167">
        <f>$N1399/15</f>
        <v>1.4</v>
      </c>
      <c r="CT1399" s="167">
        <v>0</v>
      </c>
      <c r="CU1399" s="167">
        <v>0</v>
      </c>
      <c r="CV1399" s="167">
        <v>0</v>
      </c>
      <c r="CW1399" s="167">
        <v>0</v>
      </c>
      <c r="CX1399" s="167">
        <f>SUM(CD1399:CH1399)</f>
        <v>5.6</v>
      </c>
      <c r="CY1399" s="167">
        <f>SUM(CD1399:CM1399)</f>
        <v>12.600000000000001</v>
      </c>
    </row>
    <row r="1400" spans="1:103" ht="12.75" customHeight="1" x14ac:dyDescent="0.2">
      <c r="A1400" s="81">
        <v>6870</v>
      </c>
      <c r="B1400" s="165" t="s">
        <v>1902</v>
      </c>
      <c r="C1400" s="165" t="s">
        <v>3512</v>
      </c>
      <c r="E1400" s="165" t="s">
        <v>3513</v>
      </c>
      <c r="G1400" s="81">
        <v>526722</v>
      </c>
      <c r="H1400" s="81">
        <v>176263</v>
      </c>
      <c r="I1400" s="165" t="s">
        <v>257</v>
      </c>
      <c r="L1400" s="166">
        <v>0</v>
      </c>
      <c r="M1400" s="166">
        <v>14</v>
      </c>
      <c r="N1400" s="166">
        <v>14</v>
      </c>
      <c r="O1400" s="166">
        <v>105</v>
      </c>
      <c r="P1400" s="166">
        <v>105</v>
      </c>
      <c r="Q1400" s="81" t="s">
        <v>155</v>
      </c>
      <c r="R1400" s="165" t="s">
        <v>1905</v>
      </c>
      <c r="S1400" s="81" t="s">
        <v>1906</v>
      </c>
      <c r="W1400" s="81" t="s">
        <v>114</v>
      </c>
      <c r="Y1400" s="81" t="s">
        <v>115</v>
      </c>
      <c r="Z1400" s="81" t="s">
        <v>116</v>
      </c>
      <c r="AA1400" s="81" t="s">
        <v>116</v>
      </c>
      <c r="AB1400" s="81" t="s">
        <v>117</v>
      </c>
      <c r="AC1400" s="166">
        <v>0</v>
      </c>
      <c r="AG1400" s="81" t="s">
        <v>74</v>
      </c>
      <c r="AH1400" s="81" t="s">
        <v>880</v>
      </c>
      <c r="AI1400" s="81" t="s">
        <v>3514</v>
      </c>
      <c r="AJ1400" s="81">
        <v>17320112</v>
      </c>
      <c r="AK1400" s="166">
        <v>0</v>
      </c>
      <c r="AM1400" s="166">
        <v>0</v>
      </c>
      <c r="AO1400" s="166">
        <v>0</v>
      </c>
      <c r="AP1400" s="166">
        <v>0</v>
      </c>
      <c r="AQ1400" s="166">
        <v>0</v>
      </c>
      <c r="AR1400" s="166">
        <v>0</v>
      </c>
      <c r="AS1400" s="166">
        <v>0</v>
      </c>
      <c r="AT1400" s="166">
        <v>0</v>
      </c>
      <c r="AU1400" s="166">
        <v>14</v>
      </c>
      <c r="AV1400" s="166">
        <v>0</v>
      </c>
      <c r="AW1400" s="166">
        <v>0</v>
      </c>
      <c r="AX1400" s="166">
        <v>0</v>
      </c>
      <c r="AY1400" s="166">
        <v>0</v>
      </c>
      <c r="AZ1400" s="166">
        <v>0</v>
      </c>
      <c r="BA1400" s="166">
        <v>0</v>
      </c>
      <c r="BB1400" s="166">
        <v>14</v>
      </c>
      <c r="BC1400" s="166">
        <v>0</v>
      </c>
      <c r="BD1400" s="166">
        <v>0</v>
      </c>
      <c r="BE1400" s="166">
        <v>0</v>
      </c>
      <c r="BF1400" s="166">
        <v>0</v>
      </c>
      <c r="BG1400" s="166">
        <v>0</v>
      </c>
      <c r="BH1400" s="166">
        <v>0</v>
      </c>
      <c r="BI1400" s="166">
        <v>0</v>
      </c>
      <c r="BJ1400" s="166">
        <v>0</v>
      </c>
      <c r="BK1400" s="166">
        <v>0</v>
      </c>
      <c r="BL1400" s="166">
        <v>0</v>
      </c>
      <c r="BM1400" s="166">
        <v>0</v>
      </c>
      <c r="BN1400" s="166">
        <v>0</v>
      </c>
      <c r="BO1400" s="166">
        <v>0</v>
      </c>
      <c r="BP1400" s="166">
        <v>0</v>
      </c>
      <c r="BQ1400" s="81" t="s">
        <v>1757</v>
      </c>
      <c r="BZ1400" s="81" t="s">
        <v>155</v>
      </c>
      <c r="CA1400" s="81">
        <v>11</v>
      </c>
      <c r="CC1400" s="167">
        <v>0</v>
      </c>
      <c r="CD1400" s="167">
        <v>0</v>
      </c>
      <c r="CE1400" s="167">
        <f>$N1400/15</f>
        <v>0.93333333333333335</v>
      </c>
      <c r="CF1400" s="167">
        <f>$N1400/15</f>
        <v>0.93333333333333335</v>
      </c>
      <c r="CG1400" s="167">
        <f>$N1400/15</f>
        <v>0.93333333333333335</v>
      </c>
      <c r="CH1400" s="167">
        <f>$N1400/15</f>
        <v>0.93333333333333335</v>
      </c>
      <c r="CI1400" s="167">
        <f>$N1400/15</f>
        <v>0.93333333333333335</v>
      </c>
      <c r="CJ1400" s="167">
        <f>$N1400/15</f>
        <v>0.93333333333333335</v>
      </c>
      <c r="CK1400" s="167">
        <f>$N1400/15</f>
        <v>0.93333333333333335</v>
      </c>
      <c r="CL1400" s="167">
        <f>$N1400/15</f>
        <v>0.93333333333333335</v>
      </c>
      <c r="CM1400" s="167">
        <f>$N1400/15</f>
        <v>0.93333333333333335</v>
      </c>
      <c r="CN1400" s="167">
        <f>$N1400/15</f>
        <v>0.93333333333333335</v>
      </c>
      <c r="CO1400" s="167">
        <f>$N1400/15</f>
        <v>0.93333333333333335</v>
      </c>
      <c r="CP1400" s="167">
        <f>$N1400/15</f>
        <v>0.93333333333333335</v>
      </c>
      <c r="CQ1400" s="167">
        <f>$N1400/15</f>
        <v>0.93333333333333335</v>
      </c>
      <c r="CR1400" s="167">
        <f>$N1400/15</f>
        <v>0.93333333333333335</v>
      </c>
      <c r="CS1400" s="167">
        <f>$N1400/15</f>
        <v>0.93333333333333335</v>
      </c>
      <c r="CT1400" s="167">
        <v>0</v>
      </c>
      <c r="CU1400" s="167">
        <v>0</v>
      </c>
      <c r="CV1400" s="167">
        <v>0</v>
      </c>
      <c r="CW1400" s="167">
        <v>0</v>
      </c>
      <c r="CX1400" s="167">
        <f>SUM(CD1400:CH1400)</f>
        <v>3.7333333333333334</v>
      </c>
      <c r="CY1400" s="167">
        <f>SUM(CD1400:CM1400)</f>
        <v>8.4</v>
      </c>
    </row>
    <row r="1401" spans="1:103" ht="12.75" customHeight="1" x14ac:dyDescent="0.2">
      <c r="A1401" s="81">
        <v>6871</v>
      </c>
      <c r="B1401" s="165" t="s">
        <v>1902</v>
      </c>
      <c r="C1401" s="165" t="s">
        <v>3518</v>
      </c>
      <c r="E1401" s="165" t="s">
        <v>3519</v>
      </c>
      <c r="G1401" s="81">
        <v>526746</v>
      </c>
      <c r="H1401" s="81">
        <v>176345</v>
      </c>
      <c r="I1401" s="165" t="s">
        <v>257</v>
      </c>
      <c r="L1401" s="166">
        <v>0</v>
      </c>
      <c r="M1401" s="166">
        <v>101</v>
      </c>
      <c r="N1401" s="166">
        <v>101</v>
      </c>
      <c r="O1401" s="166">
        <v>151</v>
      </c>
      <c r="P1401" s="166">
        <v>151</v>
      </c>
      <c r="Q1401" s="81" t="s">
        <v>155</v>
      </c>
      <c r="R1401" s="165" t="s">
        <v>1905</v>
      </c>
      <c r="S1401" s="81" t="s">
        <v>1906</v>
      </c>
      <c r="W1401" s="81" t="s">
        <v>114</v>
      </c>
      <c r="Y1401" s="81" t="s">
        <v>115</v>
      </c>
      <c r="Z1401" s="81" t="s">
        <v>116</v>
      </c>
      <c r="AA1401" s="81" t="s">
        <v>116</v>
      </c>
      <c r="AB1401" s="81" t="s">
        <v>117</v>
      </c>
      <c r="AC1401" s="166">
        <v>0</v>
      </c>
      <c r="AG1401" s="81" t="s">
        <v>238</v>
      </c>
      <c r="AH1401" s="81" t="s">
        <v>118</v>
      </c>
      <c r="AI1401" s="81" t="s">
        <v>3520</v>
      </c>
      <c r="AJ1401" s="81">
        <v>17320211</v>
      </c>
      <c r="AK1401" s="166">
        <v>0</v>
      </c>
      <c r="AM1401" s="166">
        <v>0</v>
      </c>
      <c r="AO1401" s="166">
        <v>0</v>
      </c>
      <c r="AP1401" s="166">
        <v>0</v>
      </c>
      <c r="AQ1401" s="166">
        <v>0</v>
      </c>
      <c r="AR1401" s="166">
        <v>0</v>
      </c>
      <c r="AS1401" s="166">
        <v>0</v>
      </c>
      <c r="AT1401" s="166">
        <v>0</v>
      </c>
      <c r="AU1401" s="166">
        <v>101</v>
      </c>
      <c r="AV1401" s="166">
        <v>0</v>
      </c>
      <c r="AW1401" s="166">
        <v>0</v>
      </c>
      <c r="AX1401" s="166">
        <v>0</v>
      </c>
      <c r="AY1401" s="166">
        <v>0</v>
      </c>
      <c r="AZ1401" s="166">
        <v>0</v>
      </c>
      <c r="BA1401" s="166">
        <v>0</v>
      </c>
      <c r="BB1401" s="166">
        <v>101</v>
      </c>
      <c r="BC1401" s="166">
        <v>0</v>
      </c>
      <c r="BD1401" s="166">
        <v>0</v>
      </c>
      <c r="BE1401" s="166">
        <v>0</v>
      </c>
      <c r="BF1401" s="166">
        <v>0</v>
      </c>
      <c r="BG1401" s="166">
        <v>0</v>
      </c>
      <c r="BH1401" s="166">
        <v>0</v>
      </c>
      <c r="BI1401" s="166">
        <v>0</v>
      </c>
      <c r="BJ1401" s="166">
        <v>0</v>
      </c>
      <c r="BK1401" s="166">
        <v>0</v>
      </c>
      <c r="BL1401" s="166">
        <v>0</v>
      </c>
      <c r="BM1401" s="166">
        <v>0</v>
      </c>
      <c r="BN1401" s="166">
        <v>0</v>
      </c>
      <c r="BO1401" s="166">
        <v>0</v>
      </c>
      <c r="BP1401" s="166">
        <v>0</v>
      </c>
      <c r="BQ1401" s="81" t="s">
        <v>1757</v>
      </c>
      <c r="BZ1401" s="81" t="s">
        <v>155</v>
      </c>
      <c r="CA1401" s="81">
        <v>11</v>
      </c>
      <c r="CC1401" s="167">
        <v>0</v>
      </c>
      <c r="CD1401" s="167">
        <v>0</v>
      </c>
      <c r="CE1401" s="167">
        <f>$N1401/15</f>
        <v>6.7333333333333334</v>
      </c>
      <c r="CF1401" s="167">
        <f>$N1401/15</f>
        <v>6.7333333333333334</v>
      </c>
      <c r="CG1401" s="167">
        <f>$N1401/15</f>
        <v>6.7333333333333334</v>
      </c>
      <c r="CH1401" s="167">
        <f>$N1401/15</f>
        <v>6.7333333333333334</v>
      </c>
      <c r="CI1401" s="167">
        <f>$N1401/15</f>
        <v>6.7333333333333334</v>
      </c>
      <c r="CJ1401" s="167">
        <f>$N1401/15</f>
        <v>6.7333333333333334</v>
      </c>
      <c r="CK1401" s="167">
        <f>$N1401/15</f>
        <v>6.7333333333333334</v>
      </c>
      <c r="CL1401" s="167">
        <f>$N1401/15</f>
        <v>6.7333333333333334</v>
      </c>
      <c r="CM1401" s="167">
        <f>$N1401/15</f>
        <v>6.7333333333333334</v>
      </c>
      <c r="CN1401" s="167">
        <f>$N1401/15</f>
        <v>6.7333333333333334</v>
      </c>
      <c r="CO1401" s="167">
        <f>$N1401/15</f>
        <v>6.7333333333333334</v>
      </c>
      <c r="CP1401" s="167">
        <f>$N1401/15</f>
        <v>6.7333333333333334</v>
      </c>
      <c r="CQ1401" s="167">
        <f>$N1401/15</f>
        <v>6.7333333333333334</v>
      </c>
      <c r="CR1401" s="167">
        <f>$N1401/15</f>
        <v>6.7333333333333334</v>
      </c>
      <c r="CS1401" s="167">
        <f>$N1401/15</f>
        <v>6.7333333333333334</v>
      </c>
      <c r="CT1401" s="167">
        <v>0</v>
      </c>
      <c r="CU1401" s="167">
        <v>0</v>
      </c>
      <c r="CV1401" s="167">
        <v>0</v>
      </c>
      <c r="CW1401" s="167">
        <v>0</v>
      </c>
      <c r="CX1401" s="167">
        <f>SUM(CD1401:CH1401)</f>
        <v>26.933333333333334</v>
      </c>
      <c r="CY1401" s="167">
        <f>SUM(CD1401:CM1401)</f>
        <v>60.6</v>
      </c>
    </row>
    <row r="1402" spans="1:103" ht="12.75" customHeight="1" x14ac:dyDescent="0.2">
      <c r="A1402" s="81">
        <v>6871</v>
      </c>
      <c r="B1402" s="165" t="s">
        <v>1902</v>
      </c>
      <c r="C1402" s="165" t="s">
        <v>3518</v>
      </c>
      <c r="E1402" s="165" t="s">
        <v>3519</v>
      </c>
      <c r="G1402" s="81">
        <v>526746</v>
      </c>
      <c r="H1402" s="81">
        <v>176345</v>
      </c>
      <c r="I1402" s="165" t="s">
        <v>257</v>
      </c>
      <c r="L1402" s="166">
        <v>0</v>
      </c>
      <c r="M1402" s="166">
        <v>30</v>
      </c>
      <c r="N1402" s="166">
        <v>30</v>
      </c>
      <c r="O1402" s="166">
        <v>151</v>
      </c>
      <c r="P1402" s="166">
        <v>151</v>
      </c>
      <c r="Q1402" s="81" t="s">
        <v>155</v>
      </c>
      <c r="R1402" s="165" t="s">
        <v>1905</v>
      </c>
      <c r="S1402" s="81" t="s">
        <v>1906</v>
      </c>
      <c r="W1402" s="81" t="s">
        <v>114</v>
      </c>
      <c r="Y1402" s="81" t="s">
        <v>115</v>
      </c>
      <c r="Z1402" s="81" t="s">
        <v>116</v>
      </c>
      <c r="AA1402" s="81" t="s">
        <v>116</v>
      </c>
      <c r="AB1402" s="81" t="s">
        <v>117</v>
      </c>
      <c r="AC1402" s="166">
        <v>0</v>
      </c>
      <c r="AG1402" s="81" t="s">
        <v>154</v>
      </c>
      <c r="AH1402" s="81" t="s">
        <v>276</v>
      </c>
      <c r="AI1402" s="81" t="s">
        <v>3520</v>
      </c>
      <c r="AJ1402" s="81">
        <v>17320211</v>
      </c>
      <c r="AK1402" s="166">
        <v>0</v>
      </c>
      <c r="AM1402" s="166">
        <v>0</v>
      </c>
      <c r="AO1402" s="166">
        <v>0</v>
      </c>
      <c r="AP1402" s="166">
        <v>0</v>
      </c>
      <c r="AQ1402" s="166">
        <v>0</v>
      </c>
      <c r="AR1402" s="166">
        <v>0</v>
      </c>
      <c r="AS1402" s="166">
        <v>0</v>
      </c>
      <c r="AT1402" s="166">
        <v>0</v>
      </c>
      <c r="AU1402" s="166">
        <v>30</v>
      </c>
      <c r="AV1402" s="166">
        <v>0</v>
      </c>
      <c r="AW1402" s="166">
        <v>0</v>
      </c>
      <c r="AX1402" s="166">
        <v>0</v>
      </c>
      <c r="AY1402" s="166">
        <v>0</v>
      </c>
      <c r="AZ1402" s="166">
        <v>0</v>
      </c>
      <c r="BA1402" s="166">
        <v>0</v>
      </c>
      <c r="BB1402" s="166">
        <v>30</v>
      </c>
      <c r="BC1402" s="166">
        <v>0</v>
      </c>
      <c r="BD1402" s="166">
        <v>0</v>
      </c>
      <c r="BE1402" s="166">
        <v>0</v>
      </c>
      <c r="BF1402" s="166">
        <v>0</v>
      </c>
      <c r="BG1402" s="166">
        <v>0</v>
      </c>
      <c r="BH1402" s="166">
        <v>0</v>
      </c>
      <c r="BI1402" s="166">
        <v>0</v>
      </c>
      <c r="BJ1402" s="166">
        <v>0</v>
      </c>
      <c r="BK1402" s="166">
        <v>0</v>
      </c>
      <c r="BL1402" s="166">
        <v>0</v>
      </c>
      <c r="BM1402" s="166">
        <v>0</v>
      </c>
      <c r="BN1402" s="166">
        <v>0</v>
      </c>
      <c r="BO1402" s="166">
        <v>0</v>
      </c>
      <c r="BP1402" s="166">
        <v>0</v>
      </c>
      <c r="BQ1402" s="81" t="s">
        <v>1757</v>
      </c>
      <c r="BZ1402" s="81" t="s">
        <v>155</v>
      </c>
      <c r="CA1402" s="81">
        <v>11</v>
      </c>
      <c r="CC1402" s="167">
        <v>0</v>
      </c>
      <c r="CD1402" s="167">
        <v>0</v>
      </c>
      <c r="CE1402" s="167">
        <f>$N1402/15</f>
        <v>2</v>
      </c>
      <c r="CF1402" s="167">
        <f>$N1402/15</f>
        <v>2</v>
      </c>
      <c r="CG1402" s="167">
        <f>$N1402/15</f>
        <v>2</v>
      </c>
      <c r="CH1402" s="167">
        <f>$N1402/15</f>
        <v>2</v>
      </c>
      <c r="CI1402" s="167">
        <f>$N1402/15</f>
        <v>2</v>
      </c>
      <c r="CJ1402" s="167">
        <f>$N1402/15</f>
        <v>2</v>
      </c>
      <c r="CK1402" s="167">
        <f>$N1402/15</f>
        <v>2</v>
      </c>
      <c r="CL1402" s="167">
        <f>$N1402/15</f>
        <v>2</v>
      </c>
      <c r="CM1402" s="167">
        <f>$N1402/15</f>
        <v>2</v>
      </c>
      <c r="CN1402" s="167">
        <f>$N1402/15</f>
        <v>2</v>
      </c>
      <c r="CO1402" s="167">
        <f>$N1402/15</f>
        <v>2</v>
      </c>
      <c r="CP1402" s="167">
        <f>$N1402/15</f>
        <v>2</v>
      </c>
      <c r="CQ1402" s="167">
        <f>$N1402/15</f>
        <v>2</v>
      </c>
      <c r="CR1402" s="167">
        <f>$N1402/15</f>
        <v>2</v>
      </c>
      <c r="CS1402" s="167">
        <f>$N1402/15</f>
        <v>2</v>
      </c>
      <c r="CT1402" s="167">
        <v>0</v>
      </c>
      <c r="CU1402" s="167">
        <v>0</v>
      </c>
      <c r="CV1402" s="167">
        <v>0</v>
      </c>
      <c r="CW1402" s="167">
        <v>0</v>
      </c>
      <c r="CX1402" s="167">
        <f>SUM(CD1402:CH1402)</f>
        <v>8</v>
      </c>
      <c r="CY1402" s="167">
        <f>SUM(CD1402:CM1402)</f>
        <v>18</v>
      </c>
    </row>
    <row r="1403" spans="1:103" ht="12.75" customHeight="1" x14ac:dyDescent="0.2">
      <c r="A1403" s="81">
        <v>6871</v>
      </c>
      <c r="B1403" s="165" t="s">
        <v>1902</v>
      </c>
      <c r="C1403" s="165" t="s">
        <v>3518</v>
      </c>
      <c r="E1403" s="165" t="s">
        <v>3519</v>
      </c>
      <c r="G1403" s="81">
        <v>526746</v>
      </c>
      <c r="H1403" s="81">
        <v>176345</v>
      </c>
      <c r="I1403" s="165" t="s">
        <v>257</v>
      </c>
      <c r="L1403" s="166">
        <v>0</v>
      </c>
      <c r="M1403" s="166">
        <v>20</v>
      </c>
      <c r="N1403" s="166">
        <v>20</v>
      </c>
      <c r="O1403" s="166">
        <v>151</v>
      </c>
      <c r="P1403" s="166">
        <v>151</v>
      </c>
      <c r="Q1403" s="81" t="s">
        <v>155</v>
      </c>
      <c r="R1403" s="165" t="s">
        <v>1905</v>
      </c>
      <c r="S1403" s="81" t="s">
        <v>1906</v>
      </c>
      <c r="W1403" s="81" t="s">
        <v>114</v>
      </c>
      <c r="Y1403" s="81" t="s">
        <v>115</v>
      </c>
      <c r="Z1403" s="81" t="s">
        <v>116</v>
      </c>
      <c r="AA1403" s="81" t="s">
        <v>116</v>
      </c>
      <c r="AB1403" s="81" t="s">
        <v>117</v>
      </c>
      <c r="AC1403" s="166">
        <v>0</v>
      </c>
      <c r="AG1403" s="81" t="s">
        <v>74</v>
      </c>
      <c r="AH1403" s="81" t="s">
        <v>990</v>
      </c>
      <c r="AI1403" s="81" t="s">
        <v>3520</v>
      </c>
      <c r="AJ1403" s="81">
        <v>17320211</v>
      </c>
      <c r="AK1403" s="166">
        <v>0</v>
      </c>
      <c r="AM1403" s="166">
        <v>0</v>
      </c>
      <c r="AO1403" s="166">
        <v>0</v>
      </c>
      <c r="AP1403" s="166">
        <v>0</v>
      </c>
      <c r="AQ1403" s="166">
        <v>0</v>
      </c>
      <c r="AR1403" s="166">
        <v>0</v>
      </c>
      <c r="AS1403" s="166">
        <v>0</v>
      </c>
      <c r="AT1403" s="166">
        <v>0</v>
      </c>
      <c r="AU1403" s="166">
        <v>20</v>
      </c>
      <c r="AV1403" s="166">
        <v>0</v>
      </c>
      <c r="AW1403" s="166">
        <v>0</v>
      </c>
      <c r="AX1403" s="166">
        <v>0</v>
      </c>
      <c r="AY1403" s="166">
        <v>0</v>
      </c>
      <c r="AZ1403" s="166">
        <v>0</v>
      </c>
      <c r="BA1403" s="166">
        <v>0</v>
      </c>
      <c r="BB1403" s="166">
        <v>20</v>
      </c>
      <c r="BC1403" s="166">
        <v>0</v>
      </c>
      <c r="BD1403" s="166">
        <v>0</v>
      </c>
      <c r="BE1403" s="166">
        <v>0</v>
      </c>
      <c r="BF1403" s="166">
        <v>0</v>
      </c>
      <c r="BG1403" s="166">
        <v>0</v>
      </c>
      <c r="BH1403" s="166">
        <v>0</v>
      </c>
      <c r="BI1403" s="166">
        <v>0</v>
      </c>
      <c r="BJ1403" s="166">
        <v>0</v>
      </c>
      <c r="BK1403" s="166">
        <v>0</v>
      </c>
      <c r="BL1403" s="166">
        <v>0</v>
      </c>
      <c r="BM1403" s="166">
        <v>0</v>
      </c>
      <c r="BN1403" s="166">
        <v>0</v>
      </c>
      <c r="BO1403" s="166">
        <v>0</v>
      </c>
      <c r="BP1403" s="166">
        <v>0</v>
      </c>
      <c r="BQ1403" s="81" t="s">
        <v>1757</v>
      </c>
      <c r="BZ1403" s="81" t="s">
        <v>155</v>
      </c>
      <c r="CA1403" s="81">
        <v>11</v>
      </c>
      <c r="CC1403" s="167">
        <v>0</v>
      </c>
      <c r="CD1403" s="167">
        <v>0</v>
      </c>
      <c r="CE1403" s="167">
        <f>$N1403/15</f>
        <v>1.3333333333333333</v>
      </c>
      <c r="CF1403" s="167">
        <f>$N1403/15</f>
        <v>1.3333333333333333</v>
      </c>
      <c r="CG1403" s="167">
        <f>$N1403/15</f>
        <v>1.3333333333333333</v>
      </c>
      <c r="CH1403" s="167">
        <f>$N1403/15</f>
        <v>1.3333333333333333</v>
      </c>
      <c r="CI1403" s="167">
        <f>$N1403/15</f>
        <v>1.3333333333333333</v>
      </c>
      <c r="CJ1403" s="167">
        <f>$N1403/15</f>
        <v>1.3333333333333333</v>
      </c>
      <c r="CK1403" s="167">
        <f>$N1403/15</f>
        <v>1.3333333333333333</v>
      </c>
      <c r="CL1403" s="167">
        <f>$N1403/15</f>
        <v>1.3333333333333333</v>
      </c>
      <c r="CM1403" s="167">
        <f>$N1403/15</f>
        <v>1.3333333333333333</v>
      </c>
      <c r="CN1403" s="167">
        <f>$N1403/15</f>
        <v>1.3333333333333333</v>
      </c>
      <c r="CO1403" s="167">
        <f>$N1403/15</f>
        <v>1.3333333333333333</v>
      </c>
      <c r="CP1403" s="167">
        <f>$N1403/15</f>
        <v>1.3333333333333333</v>
      </c>
      <c r="CQ1403" s="167">
        <f>$N1403/15</f>
        <v>1.3333333333333333</v>
      </c>
      <c r="CR1403" s="167">
        <f>$N1403/15</f>
        <v>1.3333333333333333</v>
      </c>
      <c r="CS1403" s="167">
        <f>$N1403/15</f>
        <v>1.3333333333333333</v>
      </c>
      <c r="CT1403" s="167">
        <v>0</v>
      </c>
      <c r="CU1403" s="167">
        <v>0</v>
      </c>
      <c r="CV1403" s="167">
        <v>0</v>
      </c>
      <c r="CW1403" s="167">
        <v>0</v>
      </c>
      <c r="CX1403" s="167">
        <f>SUM(CD1403:CH1403)</f>
        <v>5.333333333333333</v>
      </c>
      <c r="CY1403" s="167">
        <f>SUM(CD1403:CM1403)</f>
        <v>12</v>
      </c>
    </row>
    <row r="1404" spans="1:103" ht="12.75" customHeight="1" x14ac:dyDescent="0.2">
      <c r="A1404" s="81">
        <v>6872</v>
      </c>
      <c r="B1404" s="165" t="s">
        <v>1902</v>
      </c>
      <c r="C1404" s="165" t="s">
        <v>1984</v>
      </c>
      <c r="E1404" s="165" t="s">
        <v>1985</v>
      </c>
      <c r="G1404" s="81">
        <v>526497</v>
      </c>
      <c r="H1404" s="81">
        <v>175661</v>
      </c>
      <c r="I1404" s="165" t="s">
        <v>257</v>
      </c>
      <c r="L1404" s="166">
        <v>0</v>
      </c>
      <c r="M1404" s="166">
        <v>3</v>
      </c>
      <c r="N1404" s="166">
        <v>3</v>
      </c>
      <c r="O1404" s="166">
        <v>3</v>
      </c>
      <c r="P1404" s="166">
        <v>3</v>
      </c>
      <c r="R1404" s="165" t="s">
        <v>1905</v>
      </c>
      <c r="S1404" s="81" t="s">
        <v>1906</v>
      </c>
      <c r="W1404" s="81" t="s">
        <v>114</v>
      </c>
      <c r="Y1404" s="81" t="s">
        <v>115</v>
      </c>
      <c r="Z1404" s="81" t="s">
        <v>116</v>
      </c>
      <c r="AA1404" s="81" t="s">
        <v>117</v>
      </c>
      <c r="AB1404" s="81" t="s">
        <v>218</v>
      </c>
      <c r="AC1404" s="166">
        <v>0</v>
      </c>
      <c r="AG1404" s="81" t="s">
        <v>238</v>
      </c>
      <c r="AH1404" s="81" t="s">
        <v>118</v>
      </c>
      <c r="AI1404" s="81" t="s">
        <v>1986</v>
      </c>
      <c r="AJ1404" s="81">
        <v>17320342</v>
      </c>
      <c r="AK1404" s="166">
        <v>0</v>
      </c>
      <c r="AM1404" s="166">
        <v>0</v>
      </c>
      <c r="AO1404" s="166">
        <v>0</v>
      </c>
      <c r="AP1404" s="166">
        <v>0</v>
      </c>
      <c r="AQ1404" s="166">
        <v>0</v>
      </c>
      <c r="AR1404" s="166">
        <v>0</v>
      </c>
      <c r="AS1404" s="166">
        <v>0</v>
      </c>
      <c r="AT1404" s="166">
        <v>0</v>
      </c>
      <c r="AU1404" s="166">
        <v>3</v>
      </c>
      <c r="AV1404" s="166">
        <v>0</v>
      </c>
      <c r="AW1404" s="166">
        <v>0</v>
      </c>
      <c r="AX1404" s="166">
        <v>0</v>
      </c>
      <c r="AY1404" s="166">
        <v>0</v>
      </c>
      <c r="AZ1404" s="166">
        <v>0</v>
      </c>
      <c r="BA1404" s="166">
        <v>0</v>
      </c>
      <c r="BB1404" s="166">
        <v>3</v>
      </c>
      <c r="BC1404" s="166">
        <v>0</v>
      </c>
      <c r="BD1404" s="166">
        <v>0</v>
      </c>
      <c r="BE1404" s="166">
        <v>0</v>
      </c>
      <c r="BF1404" s="166">
        <v>0</v>
      </c>
      <c r="BG1404" s="166">
        <v>0</v>
      </c>
      <c r="BH1404" s="166">
        <v>0</v>
      </c>
      <c r="BI1404" s="166">
        <v>0</v>
      </c>
      <c r="BJ1404" s="166">
        <v>0</v>
      </c>
      <c r="BK1404" s="166">
        <v>0</v>
      </c>
      <c r="BL1404" s="166">
        <v>0</v>
      </c>
      <c r="BM1404" s="166">
        <v>0</v>
      </c>
      <c r="BN1404" s="166">
        <v>0</v>
      </c>
      <c r="BO1404" s="166">
        <v>0</v>
      </c>
      <c r="BP1404" s="166">
        <v>0</v>
      </c>
      <c r="BQ1404" s="81" t="s">
        <v>1757</v>
      </c>
      <c r="BX1404" s="81" t="s">
        <v>155</v>
      </c>
      <c r="BZ1404" s="81" t="s">
        <v>155</v>
      </c>
      <c r="CA1404" s="81">
        <v>11</v>
      </c>
      <c r="CC1404" s="167">
        <v>0</v>
      </c>
      <c r="CD1404" s="167">
        <v>0</v>
      </c>
      <c r="CE1404" s="167">
        <v>0</v>
      </c>
      <c r="CF1404" s="167">
        <v>0</v>
      </c>
      <c r="CG1404" s="167">
        <v>0</v>
      </c>
      <c r="CH1404" s="167">
        <v>0</v>
      </c>
      <c r="CI1404" s="167">
        <v>0</v>
      </c>
      <c r="CJ1404" s="167">
        <v>0</v>
      </c>
      <c r="CK1404" s="167">
        <v>0</v>
      </c>
      <c r="CL1404" s="167">
        <v>0</v>
      </c>
      <c r="CM1404" s="167">
        <v>0</v>
      </c>
      <c r="CN1404" s="167">
        <v>0</v>
      </c>
      <c r="CO1404" s="167">
        <f>$N1404/12</f>
        <v>0.25</v>
      </c>
      <c r="CP1404" s="167">
        <f>$N1404/12</f>
        <v>0.25</v>
      </c>
      <c r="CQ1404" s="167">
        <f>$N1404/12</f>
        <v>0.25</v>
      </c>
      <c r="CR1404" s="167">
        <f>$N1404/12</f>
        <v>0.25</v>
      </c>
      <c r="CS1404" s="167">
        <f>$N1404/12</f>
        <v>0.25</v>
      </c>
      <c r="CT1404" s="167">
        <f>$N1404/12</f>
        <v>0.25</v>
      </c>
      <c r="CU1404" s="167">
        <f>$N1404/12</f>
        <v>0.25</v>
      </c>
      <c r="CV1404" s="167">
        <f>$N1404/12</f>
        <v>0.25</v>
      </c>
      <c r="CW1404" s="167">
        <f>$N1404/12</f>
        <v>0.25</v>
      </c>
      <c r="CX1404" s="167">
        <f>SUM(CD1404:CH1404)</f>
        <v>0</v>
      </c>
      <c r="CY1404" s="167">
        <f>SUM(CD1404:CM1404)</f>
        <v>0</v>
      </c>
    </row>
    <row r="1405" spans="1:103" ht="12.75" customHeight="1" x14ac:dyDescent="0.2">
      <c r="A1405" s="81">
        <v>6873</v>
      </c>
      <c r="B1405" s="165" t="s">
        <v>1902</v>
      </c>
      <c r="C1405" s="165" t="s">
        <v>3521</v>
      </c>
      <c r="E1405" s="165" t="s">
        <v>1754</v>
      </c>
      <c r="G1405" s="81">
        <v>526409</v>
      </c>
      <c r="H1405" s="81">
        <v>175595</v>
      </c>
      <c r="I1405" s="165" t="s">
        <v>257</v>
      </c>
      <c r="L1405" s="166">
        <v>0</v>
      </c>
      <c r="M1405" s="166">
        <v>30</v>
      </c>
      <c r="N1405" s="166">
        <v>30</v>
      </c>
      <c r="O1405" s="166">
        <v>45</v>
      </c>
      <c r="P1405" s="166">
        <v>45</v>
      </c>
      <c r="Q1405" s="81" t="s">
        <v>155</v>
      </c>
      <c r="R1405" s="165" t="s">
        <v>1905</v>
      </c>
      <c r="S1405" s="81" t="s">
        <v>1906</v>
      </c>
      <c r="W1405" s="81" t="s">
        <v>114</v>
      </c>
      <c r="Y1405" s="81" t="s">
        <v>115</v>
      </c>
      <c r="Z1405" s="81" t="s">
        <v>116</v>
      </c>
      <c r="AA1405" s="81" t="s">
        <v>116</v>
      </c>
      <c r="AB1405" s="81" t="s">
        <v>117</v>
      </c>
      <c r="AC1405" s="166">
        <v>0</v>
      </c>
      <c r="AG1405" s="81" t="s">
        <v>238</v>
      </c>
      <c r="AH1405" s="81" t="s">
        <v>118</v>
      </c>
      <c r="AI1405" s="81" t="s">
        <v>2596</v>
      </c>
      <c r="AJ1405" s="81">
        <v>17320215</v>
      </c>
      <c r="AK1405" s="166">
        <v>0</v>
      </c>
      <c r="AM1405" s="166">
        <v>0</v>
      </c>
      <c r="AO1405" s="166">
        <v>0</v>
      </c>
      <c r="AP1405" s="166">
        <v>0</v>
      </c>
      <c r="AQ1405" s="166">
        <v>0</v>
      </c>
      <c r="AR1405" s="166">
        <v>0</v>
      </c>
      <c r="AS1405" s="166">
        <v>0</v>
      </c>
      <c r="AT1405" s="166">
        <v>0</v>
      </c>
      <c r="AU1405" s="166">
        <v>30</v>
      </c>
      <c r="AV1405" s="166">
        <v>0</v>
      </c>
      <c r="AW1405" s="166">
        <v>0</v>
      </c>
      <c r="AX1405" s="166">
        <v>0</v>
      </c>
      <c r="AY1405" s="166">
        <v>0</v>
      </c>
      <c r="AZ1405" s="166">
        <v>0</v>
      </c>
      <c r="BA1405" s="166">
        <v>0</v>
      </c>
      <c r="BB1405" s="166">
        <v>30</v>
      </c>
      <c r="BC1405" s="166">
        <v>0</v>
      </c>
      <c r="BD1405" s="166">
        <v>0</v>
      </c>
      <c r="BE1405" s="166">
        <v>0</v>
      </c>
      <c r="BF1405" s="166">
        <v>0</v>
      </c>
      <c r="BG1405" s="166">
        <v>0</v>
      </c>
      <c r="BH1405" s="166">
        <v>0</v>
      </c>
      <c r="BI1405" s="166">
        <v>0</v>
      </c>
      <c r="BJ1405" s="166">
        <v>0</v>
      </c>
      <c r="BK1405" s="166">
        <v>0</v>
      </c>
      <c r="BL1405" s="166">
        <v>0</v>
      </c>
      <c r="BM1405" s="166">
        <v>0</v>
      </c>
      <c r="BN1405" s="166">
        <v>0</v>
      </c>
      <c r="BO1405" s="166">
        <v>0</v>
      </c>
      <c r="BP1405" s="166">
        <v>0</v>
      </c>
      <c r="BQ1405" s="81" t="s">
        <v>1757</v>
      </c>
      <c r="BX1405" s="81" t="s">
        <v>155</v>
      </c>
      <c r="BZ1405" s="81" t="s">
        <v>155</v>
      </c>
      <c r="CA1405" s="81">
        <v>11</v>
      </c>
      <c r="CC1405" s="167">
        <v>0</v>
      </c>
      <c r="CD1405" s="167">
        <v>0</v>
      </c>
      <c r="CE1405" s="167">
        <v>0</v>
      </c>
      <c r="CF1405" s="167">
        <v>0</v>
      </c>
      <c r="CG1405" s="167">
        <v>0</v>
      </c>
      <c r="CH1405" s="167">
        <v>0</v>
      </c>
      <c r="CI1405" s="167">
        <v>0</v>
      </c>
      <c r="CJ1405" s="167">
        <f>$N1405/17</f>
        <v>1.7647058823529411</v>
      </c>
      <c r="CK1405" s="167">
        <f>$N1405/17</f>
        <v>1.7647058823529411</v>
      </c>
      <c r="CL1405" s="167">
        <f>$N1405/17</f>
        <v>1.7647058823529411</v>
      </c>
      <c r="CM1405" s="167">
        <f>$N1405/17</f>
        <v>1.7647058823529411</v>
      </c>
      <c r="CN1405" s="167">
        <f>$N1405/17</f>
        <v>1.7647058823529411</v>
      </c>
      <c r="CO1405" s="167">
        <f>$N1405/17</f>
        <v>1.7647058823529411</v>
      </c>
      <c r="CP1405" s="167">
        <f>$N1405/17</f>
        <v>1.7647058823529411</v>
      </c>
      <c r="CQ1405" s="167">
        <f>$N1405/17</f>
        <v>1.7647058823529411</v>
      </c>
      <c r="CR1405" s="167">
        <f>$N1405/17</f>
        <v>1.7647058823529411</v>
      </c>
      <c r="CS1405" s="167">
        <f>$N1405/17</f>
        <v>1.7647058823529411</v>
      </c>
      <c r="CT1405" s="167">
        <f>$N1405/17</f>
        <v>1.7647058823529411</v>
      </c>
      <c r="CU1405" s="167">
        <f>$N1405/17</f>
        <v>1.7647058823529411</v>
      </c>
      <c r="CV1405" s="167">
        <f>$N1405/17</f>
        <v>1.7647058823529411</v>
      </c>
      <c r="CW1405" s="167">
        <f>$N1405/17</f>
        <v>1.7647058823529411</v>
      </c>
      <c r="CX1405" s="167">
        <f>SUM(CD1405:CH1405)</f>
        <v>0</v>
      </c>
      <c r="CY1405" s="167">
        <f>SUM(CD1405:CM1405)</f>
        <v>7.0588235294117645</v>
      </c>
    </row>
    <row r="1406" spans="1:103" ht="12.75" customHeight="1" x14ac:dyDescent="0.2">
      <c r="A1406" s="81">
        <v>6873</v>
      </c>
      <c r="B1406" s="165" t="s">
        <v>1902</v>
      </c>
      <c r="C1406" s="165" t="s">
        <v>3521</v>
      </c>
      <c r="E1406" s="165" t="s">
        <v>1754</v>
      </c>
      <c r="G1406" s="81">
        <v>526409</v>
      </c>
      <c r="H1406" s="81">
        <v>175595</v>
      </c>
      <c r="I1406" s="165" t="s">
        <v>257</v>
      </c>
      <c r="L1406" s="166">
        <v>0</v>
      </c>
      <c r="M1406" s="166">
        <v>9</v>
      </c>
      <c r="N1406" s="166">
        <v>9</v>
      </c>
      <c r="O1406" s="166">
        <v>45</v>
      </c>
      <c r="P1406" s="166">
        <v>45</v>
      </c>
      <c r="Q1406" s="81" t="s">
        <v>155</v>
      </c>
      <c r="R1406" s="165" t="s">
        <v>1905</v>
      </c>
      <c r="S1406" s="81" t="s">
        <v>1906</v>
      </c>
      <c r="W1406" s="81" t="s">
        <v>114</v>
      </c>
      <c r="Y1406" s="81" t="s">
        <v>115</v>
      </c>
      <c r="Z1406" s="81" t="s">
        <v>116</v>
      </c>
      <c r="AA1406" s="81" t="s">
        <v>117</v>
      </c>
      <c r="AB1406" s="81" t="s">
        <v>218</v>
      </c>
      <c r="AC1406" s="166">
        <v>0</v>
      </c>
      <c r="AG1406" s="81" t="s">
        <v>154</v>
      </c>
      <c r="AH1406" s="81" t="s">
        <v>276</v>
      </c>
      <c r="AI1406" s="81" t="s">
        <v>2596</v>
      </c>
      <c r="AJ1406" s="81">
        <v>17320215</v>
      </c>
      <c r="AK1406" s="166">
        <v>0</v>
      </c>
      <c r="AM1406" s="166">
        <v>0</v>
      </c>
      <c r="AO1406" s="166">
        <v>0</v>
      </c>
      <c r="AP1406" s="166">
        <v>0</v>
      </c>
      <c r="AQ1406" s="166">
        <v>0</v>
      </c>
      <c r="AR1406" s="166">
        <v>0</v>
      </c>
      <c r="AS1406" s="166">
        <v>0</v>
      </c>
      <c r="AT1406" s="166">
        <v>0</v>
      </c>
      <c r="AU1406" s="166">
        <v>9</v>
      </c>
      <c r="AV1406" s="166">
        <v>0</v>
      </c>
      <c r="AW1406" s="166">
        <v>0</v>
      </c>
      <c r="AX1406" s="166">
        <v>0</v>
      </c>
      <c r="AY1406" s="166">
        <v>0</v>
      </c>
      <c r="AZ1406" s="166">
        <v>0</v>
      </c>
      <c r="BA1406" s="166">
        <v>0</v>
      </c>
      <c r="BB1406" s="166">
        <v>9</v>
      </c>
      <c r="BC1406" s="166">
        <v>0</v>
      </c>
      <c r="BD1406" s="166">
        <v>0</v>
      </c>
      <c r="BE1406" s="166">
        <v>0</v>
      </c>
      <c r="BF1406" s="166">
        <v>0</v>
      </c>
      <c r="BG1406" s="166">
        <v>0</v>
      </c>
      <c r="BH1406" s="166">
        <v>0</v>
      </c>
      <c r="BI1406" s="166">
        <v>0</v>
      </c>
      <c r="BJ1406" s="166">
        <v>0</v>
      </c>
      <c r="BK1406" s="166">
        <v>0</v>
      </c>
      <c r="BL1406" s="166">
        <v>0</v>
      </c>
      <c r="BM1406" s="166">
        <v>0</v>
      </c>
      <c r="BN1406" s="166">
        <v>0</v>
      </c>
      <c r="BO1406" s="166">
        <v>0</v>
      </c>
      <c r="BP1406" s="166">
        <v>0</v>
      </c>
      <c r="BQ1406" s="81" t="s">
        <v>1757</v>
      </c>
      <c r="BX1406" s="81" t="s">
        <v>155</v>
      </c>
      <c r="BZ1406" s="81" t="s">
        <v>155</v>
      </c>
      <c r="CA1406" s="81">
        <v>11</v>
      </c>
      <c r="CC1406" s="167">
        <v>0</v>
      </c>
      <c r="CD1406" s="167">
        <v>0</v>
      </c>
      <c r="CE1406" s="167">
        <v>0</v>
      </c>
      <c r="CF1406" s="167">
        <v>0</v>
      </c>
      <c r="CG1406" s="167">
        <v>0</v>
      </c>
      <c r="CH1406" s="167">
        <v>0</v>
      </c>
      <c r="CI1406" s="167">
        <v>0</v>
      </c>
      <c r="CJ1406" s="167">
        <f>$N1406/17</f>
        <v>0.52941176470588236</v>
      </c>
      <c r="CK1406" s="167">
        <f>$N1406/17</f>
        <v>0.52941176470588236</v>
      </c>
      <c r="CL1406" s="167">
        <f>$N1406/17</f>
        <v>0.52941176470588236</v>
      </c>
      <c r="CM1406" s="167">
        <f>$N1406/17</f>
        <v>0.52941176470588236</v>
      </c>
      <c r="CN1406" s="167">
        <f>$N1406/17</f>
        <v>0.52941176470588236</v>
      </c>
      <c r="CO1406" s="167">
        <f>$N1406/17</f>
        <v>0.52941176470588236</v>
      </c>
      <c r="CP1406" s="167">
        <f>$N1406/17</f>
        <v>0.52941176470588236</v>
      </c>
      <c r="CQ1406" s="167">
        <f>$N1406/17</f>
        <v>0.52941176470588236</v>
      </c>
      <c r="CR1406" s="167">
        <f>$N1406/17</f>
        <v>0.52941176470588236</v>
      </c>
      <c r="CS1406" s="167">
        <f>$N1406/17</f>
        <v>0.52941176470588236</v>
      </c>
      <c r="CT1406" s="167">
        <f>$N1406/17</f>
        <v>0.52941176470588236</v>
      </c>
      <c r="CU1406" s="167">
        <f>$N1406/17</f>
        <v>0.52941176470588236</v>
      </c>
      <c r="CV1406" s="167">
        <f>$N1406/17</f>
        <v>0.52941176470588236</v>
      </c>
      <c r="CW1406" s="167">
        <f>$N1406/17</f>
        <v>0.52941176470588236</v>
      </c>
      <c r="CX1406" s="167">
        <f>SUM(CD1406:CH1406)</f>
        <v>0</v>
      </c>
      <c r="CY1406" s="167">
        <f>SUM(CD1406:CM1406)</f>
        <v>2.1176470588235294</v>
      </c>
    </row>
    <row r="1407" spans="1:103" ht="12.75" customHeight="1" x14ac:dyDescent="0.2">
      <c r="A1407" s="81">
        <v>6873</v>
      </c>
      <c r="B1407" s="165" t="s">
        <v>1902</v>
      </c>
      <c r="C1407" s="165" t="s">
        <v>3521</v>
      </c>
      <c r="E1407" s="165" t="s">
        <v>1754</v>
      </c>
      <c r="G1407" s="81">
        <v>526409</v>
      </c>
      <c r="H1407" s="81">
        <v>175595</v>
      </c>
      <c r="I1407" s="165" t="s">
        <v>257</v>
      </c>
      <c r="L1407" s="166">
        <v>0</v>
      </c>
      <c r="M1407" s="166">
        <v>6</v>
      </c>
      <c r="N1407" s="166">
        <v>6</v>
      </c>
      <c r="O1407" s="166">
        <v>45</v>
      </c>
      <c r="P1407" s="166">
        <v>45</v>
      </c>
      <c r="Q1407" s="81" t="s">
        <v>155</v>
      </c>
      <c r="R1407" s="165" t="s">
        <v>1905</v>
      </c>
      <c r="S1407" s="81" t="s">
        <v>1906</v>
      </c>
      <c r="W1407" s="81" t="s">
        <v>114</v>
      </c>
      <c r="Y1407" s="81" t="s">
        <v>115</v>
      </c>
      <c r="Z1407" s="81" t="s">
        <v>116</v>
      </c>
      <c r="AA1407" s="81" t="s">
        <v>117</v>
      </c>
      <c r="AB1407" s="81" t="s">
        <v>218</v>
      </c>
      <c r="AC1407" s="166">
        <v>0</v>
      </c>
      <c r="AG1407" s="81" t="s">
        <v>74</v>
      </c>
      <c r="AH1407" s="81" t="s">
        <v>990</v>
      </c>
      <c r="AI1407" s="81" t="s">
        <v>2596</v>
      </c>
      <c r="AJ1407" s="81">
        <v>17320215</v>
      </c>
      <c r="AK1407" s="166">
        <v>0</v>
      </c>
      <c r="AM1407" s="166">
        <v>0</v>
      </c>
      <c r="AO1407" s="166">
        <v>0</v>
      </c>
      <c r="AP1407" s="166">
        <v>0</v>
      </c>
      <c r="AQ1407" s="166">
        <v>0</v>
      </c>
      <c r="AR1407" s="166">
        <v>0</v>
      </c>
      <c r="AS1407" s="166">
        <v>0</v>
      </c>
      <c r="AT1407" s="166">
        <v>0</v>
      </c>
      <c r="AU1407" s="166">
        <v>6</v>
      </c>
      <c r="AV1407" s="166">
        <v>0</v>
      </c>
      <c r="AW1407" s="166">
        <v>0</v>
      </c>
      <c r="AX1407" s="166">
        <v>0</v>
      </c>
      <c r="AY1407" s="166">
        <v>0</v>
      </c>
      <c r="AZ1407" s="166">
        <v>0</v>
      </c>
      <c r="BA1407" s="166">
        <v>0</v>
      </c>
      <c r="BB1407" s="166">
        <v>6</v>
      </c>
      <c r="BC1407" s="166">
        <v>0</v>
      </c>
      <c r="BD1407" s="166">
        <v>0</v>
      </c>
      <c r="BE1407" s="166">
        <v>0</v>
      </c>
      <c r="BF1407" s="166">
        <v>0</v>
      </c>
      <c r="BG1407" s="166">
        <v>0</v>
      </c>
      <c r="BH1407" s="166">
        <v>0</v>
      </c>
      <c r="BI1407" s="166">
        <v>0</v>
      </c>
      <c r="BJ1407" s="166">
        <v>0</v>
      </c>
      <c r="BK1407" s="166">
        <v>0</v>
      </c>
      <c r="BL1407" s="166">
        <v>0</v>
      </c>
      <c r="BM1407" s="166">
        <v>0</v>
      </c>
      <c r="BN1407" s="166">
        <v>0</v>
      </c>
      <c r="BO1407" s="166">
        <v>0</v>
      </c>
      <c r="BP1407" s="166">
        <v>0</v>
      </c>
      <c r="BQ1407" s="81" t="s">
        <v>1757</v>
      </c>
      <c r="BX1407" s="81" t="s">
        <v>155</v>
      </c>
      <c r="BZ1407" s="81" t="s">
        <v>155</v>
      </c>
      <c r="CA1407" s="81">
        <v>11</v>
      </c>
      <c r="CC1407" s="167">
        <v>0</v>
      </c>
      <c r="CD1407" s="167">
        <v>0</v>
      </c>
      <c r="CE1407" s="167">
        <v>0</v>
      </c>
      <c r="CF1407" s="167">
        <v>0</v>
      </c>
      <c r="CG1407" s="167">
        <v>0</v>
      </c>
      <c r="CH1407" s="167">
        <v>0</v>
      </c>
      <c r="CI1407" s="167">
        <v>0</v>
      </c>
      <c r="CJ1407" s="167">
        <f>$N1407/17</f>
        <v>0.35294117647058826</v>
      </c>
      <c r="CK1407" s="167">
        <f>$N1407/17</f>
        <v>0.35294117647058826</v>
      </c>
      <c r="CL1407" s="167">
        <f>$N1407/17</f>
        <v>0.35294117647058826</v>
      </c>
      <c r="CM1407" s="167">
        <f>$N1407/17</f>
        <v>0.35294117647058826</v>
      </c>
      <c r="CN1407" s="167">
        <f>$N1407/17</f>
        <v>0.35294117647058826</v>
      </c>
      <c r="CO1407" s="167">
        <f>$N1407/17</f>
        <v>0.35294117647058826</v>
      </c>
      <c r="CP1407" s="167">
        <f>$N1407/17</f>
        <v>0.35294117647058826</v>
      </c>
      <c r="CQ1407" s="167">
        <f>$N1407/17</f>
        <v>0.35294117647058826</v>
      </c>
      <c r="CR1407" s="167">
        <f>$N1407/17</f>
        <v>0.35294117647058826</v>
      </c>
      <c r="CS1407" s="167">
        <f>$N1407/17</f>
        <v>0.35294117647058826</v>
      </c>
      <c r="CT1407" s="167">
        <f>$N1407/17</f>
        <v>0.35294117647058826</v>
      </c>
      <c r="CU1407" s="167">
        <f>$N1407/17</f>
        <v>0.35294117647058826</v>
      </c>
      <c r="CV1407" s="167">
        <f>$N1407/17</f>
        <v>0.35294117647058826</v>
      </c>
      <c r="CW1407" s="167">
        <f>$N1407/17</f>
        <v>0.35294117647058826</v>
      </c>
      <c r="CX1407" s="167">
        <f>SUM(CD1407:CH1407)</f>
        <v>0</v>
      </c>
      <c r="CY1407" s="167">
        <f>SUM(CD1407:CM1407)</f>
        <v>1.411764705882353</v>
      </c>
    </row>
    <row r="1408" spans="1:103" ht="12.75" customHeight="1" x14ac:dyDescent="0.2">
      <c r="A1408" s="81">
        <v>6874</v>
      </c>
      <c r="B1408" s="165" t="s">
        <v>1902</v>
      </c>
      <c r="C1408" s="165" t="s">
        <v>3522</v>
      </c>
      <c r="E1408" s="165" t="s">
        <v>1756</v>
      </c>
      <c r="G1408" s="81">
        <v>526442</v>
      </c>
      <c r="H1408" s="81">
        <v>175680</v>
      </c>
      <c r="I1408" s="165" t="s">
        <v>257</v>
      </c>
      <c r="L1408" s="166">
        <v>0</v>
      </c>
      <c r="M1408" s="166">
        <v>35</v>
      </c>
      <c r="N1408" s="166">
        <v>35</v>
      </c>
      <c r="O1408" s="166">
        <v>52</v>
      </c>
      <c r="P1408" s="166">
        <v>52</v>
      </c>
      <c r="Q1408" s="81" t="s">
        <v>155</v>
      </c>
      <c r="R1408" s="165" t="s">
        <v>1905</v>
      </c>
      <c r="S1408" s="81" t="s">
        <v>1906</v>
      </c>
      <c r="W1408" s="81" t="s">
        <v>114</v>
      </c>
      <c r="Y1408" s="81" t="s">
        <v>115</v>
      </c>
      <c r="Z1408" s="81" t="s">
        <v>116</v>
      </c>
      <c r="AA1408" s="81" t="s">
        <v>116</v>
      </c>
      <c r="AB1408" s="81" t="s">
        <v>117</v>
      </c>
      <c r="AC1408" s="166">
        <v>0</v>
      </c>
      <c r="AG1408" s="81" t="s">
        <v>238</v>
      </c>
      <c r="AH1408" s="81" t="s">
        <v>118</v>
      </c>
      <c r="AI1408" s="81" t="s">
        <v>3523</v>
      </c>
      <c r="AJ1408" s="81">
        <v>17320341</v>
      </c>
      <c r="AK1408" s="166">
        <v>0</v>
      </c>
      <c r="AM1408" s="166">
        <v>0</v>
      </c>
      <c r="AO1408" s="166">
        <v>0</v>
      </c>
      <c r="AP1408" s="166">
        <v>0</v>
      </c>
      <c r="AQ1408" s="166">
        <v>0</v>
      </c>
      <c r="AR1408" s="166">
        <v>0</v>
      </c>
      <c r="AS1408" s="166">
        <v>0</v>
      </c>
      <c r="AT1408" s="166">
        <v>0</v>
      </c>
      <c r="AU1408" s="166">
        <v>35</v>
      </c>
      <c r="AV1408" s="166">
        <v>0</v>
      </c>
      <c r="AW1408" s="166">
        <v>0</v>
      </c>
      <c r="AX1408" s="166">
        <v>0</v>
      </c>
      <c r="AY1408" s="166">
        <v>0</v>
      </c>
      <c r="AZ1408" s="166">
        <v>0</v>
      </c>
      <c r="BA1408" s="166">
        <v>0</v>
      </c>
      <c r="BB1408" s="166">
        <v>35</v>
      </c>
      <c r="BC1408" s="166">
        <v>0</v>
      </c>
      <c r="BD1408" s="166">
        <v>0</v>
      </c>
      <c r="BE1408" s="166">
        <v>0</v>
      </c>
      <c r="BF1408" s="166">
        <v>0</v>
      </c>
      <c r="BG1408" s="166">
        <v>0</v>
      </c>
      <c r="BH1408" s="166">
        <v>0</v>
      </c>
      <c r="BI1408" s="166">
        <v>0</v>
      </c>
      <c r="BJ1408" s="166">
        <v>0</v>
      </c>
      <c r="BK1408" s="166">
        <v>0</v>
      </c>
      <c r="BL1408" s="166">
        <v>0</v>
      </c>
      <c r="BM1408" s="166">
        <v>0</v>
      </c>
      <c r="BN1408" s="166">
        <v>0</v>
      </c>
      <c r="BO1408" s="166">
        <v>0</v>
      </c>
      <c r="BP1408" s="166">
        <v>0</v>
      </c>
      <c r="BQ1408" s="81" t="s">
        <v>1757</v>
      </c>
      <c r="BX1408" s="81" t="s">
        <v>155</v>
      </c>
      <c r="BZ1408" s="81" t="s">
        <v>155</v>
      </c>
      <c r="CA1408" s="81">
        <v>11</v>
      </c>
      <c r="CC1408" s="167">
        <v>0</v>
      </c>
      <c r="CD1408" s="167">
        <v>0</v>
      </c>
      <c r="CE1408" s="167">
        <v>0</v>
      </c>
      <c r="CF1408" s="167">
        <v>0</v>
      </c>
      <c r="CG1408" s="167">
        <v>0</v>
      </c>
      <c r="CH1408" s="167">
        <v>0</v>
      </c>
      <c r="CI1408" s="167">
        <v>0</v>
      </c>
      <c r="CJ1408" s="167">
        <f>$N1408/17</f>
        <v>2.0588235294117645</v>
      </c>
      <c r="CK1408" s="167">
        <f>$N1408/17</f>
        <v>2.0588235294117645</v>
      </c>
      <c r="CL1408" s="167">
        <f>$N1408/17</f>
        <v>2.0588235294117645</v>
      </c>
      <c r="CM1408" s="167">
        <f>$N1408/17</f>
        <v>2.0588235294117645</v>
      </c>
      <c r="CN1408" s="167">
        <f>$N1408/17</f>
        <v>2.0588235294117645</v>
      </c>
      <c r="CO1408" s="167">
        <f>$N1408/17</f>
        <v>2.0588235294117645</v>
      </c>
      <c r="CP1408" s="167">
        <f>$N1408/17</f>
        <v>2.0588235294117645</v>
      </c>
      <c r="CQ1408" s="167">
        <f>$N1408/17</f>
        <v>2.0588235294117645</v>
      </c>
      <c r="CR1408" s="167">
        <f>$N1408/17</f>
        <v>2.0588235294117645</v>
      </c>
      <c r="CS1408" s="167">
        <f>$N1408/17</f>
        <v>2.0588235294117645</v>
      </c>
      <c r="CT1408" s="167">
        <f>$N1408/17</f>
        <v>2.0588235294117645</v>
      </c>
      <c r="CU1408" s="167">
        <f>$N1408/17</f>
        <v>2.0588235294117645</v>
      </c>
      <c r="CV1408" s="167">
        <f>$N1408/17</f>
        <v>2.0588235294117645</v>
      </c>
      <c r="CW1408" s="167">
        <f>$N1408/17</f>
        <v>2.0588235294117645</v>
      </c>
      <c r="CX1408" s="167">
        <f>SUM(CD1408:CH1408)</f>
        <v>0</v>
      </c>
      <c r="CY1408" s="167">
        <f>SUM(CD1408:CM1408)</f>
        <v>8.235294117647058</v>
      </c>
    </row>
    <row r="1409" spans="1:103" ht="12.75" customHeight="1" x14ac:dyDescent="0.2">
      <c r="A1409" s="81">
        <v>6874</v>
      </c>
      <c r="B1409" s="165" t="s">
        <v>1902</v>
      </c>
      <c r="C1409" s="165" t="s">
        <v>3522</v>
      </c>
      <c r="E1409" s="165" t="s">
        <v>1756</v>
      </c>
      <c r="G1409" s="81">
        <v>526442</v>
      </c>
      <c r="H1409" s="81">
        <v>175680</v>
      </c>
      <c r="I1409" s="165" t="s">
        <v>257</v>
      </c>
      <c r="L1409" s="166">
        <v>0</v>
      </c>
      <c r="M1409" s="166">
        <v>10</v>
      </c>
      <c r="N1409" s="166">
        <v>10</v>
      </c>
      <c r="O1409" s="166">
        <v>52</v>
      </c>
      <c r="P1409" s="166">
        <v>52</v>
      </c>
      <c r="Q1409" s="81" t="s">
        <v>155</v>
      </c>
      <c r="R1409" s="165" t="s">
        <v>1905</v>
      </c>
      <c r="S1409" s="81" t="s">
        <v>1906</v>
      </c>
      <c r="W1409" s="81" t="s">
        <v>114</v>
      </c>
      <c r="Y1409" s="81" t="s">
        <v>115</v>
      </c>
      <c r="Z1409" s="81" t="s">
        <v>116</v>
      </c>
      <c r="AA1409" s="81" t="s">
        <v>116</v>
      </c>
      <c r="AB1409" s="81" t="s">
        <v>117</v>
      </c>
      <c r="AC1409" s="166">
        <v>0</v>
      </c>
      <c r="AG1409" s="81" t="s">
        <v>154</v>
      </c>
      <c r="AH1409" s="81" t="s">
        <v>276</v>
      </c>
      <c r="AI1409" s="81" t="s">
        <v>3523</v>
      </c>
      <c r="AJ1409" s="81">
        <v>17320341</v>
      </c>
      <c r="AK1409" s="166">
        <v>0</v>
      </c>
      <c r="AM1409" s="166">
        <v>0</v>
      </c>
      <c r="AO1409" s="166">
        <v>0</v>
      </c>
      <c r="AP1409" s="166">
        <v>0</v>
      </c>
      <c r="AQ1409" s="166">
        <v>0</v>
      </c>
      <c r="AR1409" s="166">
        <v>0</v>
      </c>
      <c r="AS1409" s="166">
        <v>0</v>
      </c>
      <c r="AT1409" s="166">
        <v>0</v>
      </c>
      <c r="AU1409" s="166">
        <v>10</v>
      </c>
      <c r="AV1409" s="166">
        <v>0</v>
      </c>
      <c r="AW1409" s="166">
        <v>0</v>
      </c>
      <c r="AX1409" s="166">
        <v>0</v>
      </c>
      <c r="AY1409" s="166">
        <v>0</v>
      </c>
      <c r="AZ1409" s="166">
        <v>0</v>
      </c>
      <c r="BA1409" s="166">
        <v>0</v>
      </c>
      <c r="BB1409" s="166">
        <v>10</v>
      </c>
      <c r="BC1409" s="166">
        <v>0</v>
      </c>
      <c r="BD1409" s="166">
        <v>0</v>
      </c>
      <c r="BE1409" s="166">
        <v>0</v>
      </c>
      <c r="BF1409" s="166">
        <v>0</v>
      </c>
      <c r="BG1409" s="166">
        <v>0</v>
      </c>
      <c r="BH1409" s="166">
        <v>0</v>
      </c>
      <c r="BI1409" s="166">
        <v>0</v>
      </c>
      <c r="BJ1409" s="166">
        <v>0</v>
      </c>
      <c r="BK1409" s="166">
        <v>0</v>
      </c>
      <c r="BL1409" s="166">
        <v>0</v>
      </c>
      <c r="BM1409" s="166">
        <v>0</v>
      </c>
      <c r="BN1409" s="166">
        <v>0</v>
      </c>
      <c r="BO1409" s="166">
        <v>0</v>
      </c>
      <c r="BP1409" s="166">
        <v>0</v>
      </c>
      <c r="BQ1409" s="81" t="s">
        <v>1757</v>
      </c>
      <c r="BX1409" s="81" t="s">
        <v>155</v>
      </c>
      <c r="BZ1409" s="81" t="s">
        <v>155</v>
      </c>
      <c r="CA1409" s="81">
        <v>11</v>
      </c>
      <c r="CC1409" s="167">
        <v>0</v>
      </c>
      <c r="CD1409" s="167">
        <v>0</v>
      </c>
      <c r="CE1409" s="167">
        <v>0</v>
      </c>
      <c r="CF1409" s="167">
        <v>0</v>
      </c>
      <c r="CG1409" s="167">
        <v>0</v>
      </c>
      <c r="CH1409" s="167">
        <v>0</v>
      </c>
      <c r="CI1409" s="167">
        <v>0</v>
      </c>
      <c r="CJ1409" s="167">
        <f>$N1409/17</f>
        <v>0.58823529411764708</v>
      </c>
      <c r="CK1409" s="167">
        <f>$N1409/17</f>
        <v>0.58823529411764708</v>
      </c>
      <c r="CL1409" s="167">
        <f>$N1409/17</f>
        <v>0.58823529411764708</v>
      </c>
      <c r="CM1409" s="167">
        <f>$N1409/17</f>
        <v>0.58823529411764708</v>
      </c>
      <c r="CN1409" s="167">
        <f>$N1409/17</f>
        <v>0.58823529411764708</v>
      </c>
      <c r="CO1409" s="167">
        <f>$N1409/17</f>
        <v>0.58823529411764708</v>
      </c>
      <c r="CP1409" s="167">
        <f>$N1409/17</f>
        <v>0.58823529411764708</v>
      </c>
      <c r="CQ1409" s="167">
        <f>$N1409/17</f>
        <v>0.58823529411764708</v>
      </c>
      <c r="CR1409" s="167">
        <f>$N1409/17</f>
        <v>0.58823529411764708</v>
      </c>
      <c r="CS1409" s="167">
        <f>$N1409/17</f>
        <v>0.58823529411764708</v>
      </c>
      <c r="CT1409" s="167">
        <f>$N1409/17</f>
        <v>0.58823529411764708</v>
      </c>
      <c r="CU1409" s="167">
        <f>$N1409/17</f>
        <v>0.58823529411764708</v>
      </c>
      <c r="CV1409" s="167">
        <f>$N1409/17</f>
        <v>0.58823529411764708</v>
      </c>
      <c r="CW1409" s="167">
        <f>$N1409/17</f>
        <v>0.58823529411764708</v>
      </c>
      <c r="CX1409" s="167">
        <f>SUM(CD1409:CH1409)</f>
        <v>0</v>
      </c>
      <c r="CY1409" s="167">
        <f>SUM(CD1409:CM1409)</f>
        <v>2.3529411764705883</v>
      </c>
    </row>
    <row r="1410" spans="1:103" ht="12.75" customHeight="1" x14ac:dyDescent="0.2">
      <c r="A1410" s="81">
        <v>6874</v>
      </c>
      <c r="B1410" s="165" t="s">
        <v>1902</v>
      </c>
      <c r="C1410" s="165" t="s">
        <v>3522</v>
      </c>
      <c r="E1410" s="165" t="s">
        <v>1756</v>
      </c>
      <c r="G1410" s="81">
        <v>526442</v>
      </c>
      <c r="H1410" s="81">
        <v>175680</v>
      </c>
      <c r="I1410" s="165" t="s">
        <v>257</v>
      </c>
      <c r="L1410" s="166">
        <v>0</v>
      </c>
      <c r="M1410" s="166">
        <v>7</v>
      </c>
      <c r="N1410" s="166">
        <v>7</v>
      </c>
      <c r="O1410" s="166">
        <v>52</v>
      </c>
      <c r="P1410" s="166">
        <v>52</v>
      </c>
      <c r="Q1410" s="81" t="s">
        <v>155</v>
      </c>
      <c r="R1410" s="165" t="s">
        <v>1905</v>
      </c>
      <c r="S1410" s="81" t="s">
        <v>1906</v>
      </c>
      <c r="W1410" s="81" t="s">
        <v>114</v>
      </c>
      <c r="Y1410" s="81" t="s">
        <v>115</v>
      </c>
      <c r="Z1410" s="81" t="s">
        <v>116</v>
      </c>
      <c r="AA1410" s="81" t="s">
        <v>117</v>
      </c>
      <c r="AB1410" s="81" t="s">
        <v>218</v>
      </c>
      <c r="AC1410" s="166">
        <v>0</v>
      </c>
      <c r="AG1410" s="81" t="s">
        <v>74</v>
      </c>
      <c r="AH1410" s="81" t="s">
        <v>990</v>
      </c>
      <c r="AI1410" s="81" t="s">
        <v>3523</v>
      </c>
      <c r="AJ1410" s="81">
        <v>17320341</v>
      </c>
      <c r="AK1410" s="166">
        <v>0</v>
      </c>
      <c r="AM1410" s="166">
        <v>0</v>
      </c>
      <c r="AO1410" s="166">
        <v>0</v>
      </c>
      <c r="AP1410" s="166">
        <v>0</v>
      </c>
      <c r="AQ1410" s="166">
        <v>0</v>
      </c>
      <c r="AR1410" s="166">
        <v>0</v>
      </c>
      <c r="AS1410" s="166">
        <v>0</v>
      </c>
      <c r="AT1410" s="166">
        <v>0</v>
      </c>
      <c r="AU1410" s="166">
        <v>7</v>
      </c>
      <c r="AV1410" s="166">
        <v>0</v>
      </c>
      <c r="AW1410" s="166">
        <v>0</v>
      </c>
      <c r="AX1410" s="166">
        <v>0</v>
      </c>
      <c r="AY1410" s="166">
        <v>0</v>
      </c>
      <c r="AZ1410" s="166">
        <v>0</v>
      </c>
      <c r="BA1410" s="166">
        <v>0</v>
      </c>
      <c r="BB1410" s="166">
        <v>7</v>
      </c>
      <c r="BC1410" s="166">
        <v>0</v>
      </c>
      <c r="BD1410" s="166">
        <v>0</v>
      </c>
      <c r="BE1410" s="166">
        <v>0</v>
      </c>
      <c r="BF1410" s="166">
        <v>0</v>
      </c>
      <c r="BG1410" s="166">
        <v>0</v>
      </c>
      <c r="BH1410" s="166">
        <v>0</v>
      </c>
      <c r="BI1410" s="166">
        <v>0</v>
      </c>
      <c r="BJ1410" s="166">
        <v>0</v>
      </c>
      <c r="BK1410" s="166">
        <v>0</v>
      </c>
      <c r="BL1410" s="166">
        <v>0</v>
      </c>
      <c r="BM1410" s="166">
        <v>0</v>
      </c>
      <c r="BN1410" s="166">
        <v>0</v>
      </c>
      <c r="BO1410" s="166">
        <v>0</v>
      </c>
      <c r="BP1410" s="166">
        <v>0</v>
      </c>
      <c r="BQ1410" s="81" t="s">
        <v>1757</v>
      </c>
      <c r="BX1410" s="81" t="s">
        <v>155</v>
      </c>
      <c r="BZ1410" s="81" t="s">
        <v>155</v>
      </c>
      <c r="CA1410" s="81">
        <v>11</v>
      </c>
      <c r="CC1410" s="167">
        <v>0</v>
      </c>
      <c r="CD1410" s="167">
        <v>0</v>
      </c>
      <c r="CE1410" s="167">
        <v>0</v>
      </c>
      <c r="CF1410" s="167">
        <v>0</v>
      </c>
      <c r="CG1410" s="167">
        <v>0</v>
      </c>
      <c r="CH1410" s="167">
        <v>0</v>
      </c>
      <c r="CI1410" s="167">
        <v>0</v>
      </c>
      <c r="CJ1410" s="167">
        <f>$N1410/17</f>
        <v>0.41176470588235292</v>
      </c>
      <c r="CK1410" s="167">
        <f>$N1410/17</f>
        <v>0.41176470588235292</v>
      </c>
      <c r="CL1410" s="167">
        <f>$N1410/17</f>
        <v>0.41176470588235292</v>
      </c>
      <c r="CM1410" s="167">
        <f>$N1410/17</f>
        <v>0.41176470588235292</v>
      </c>
      <c r="CN1410" s="167">
        <f>$N1410/17</f>
        <v>0.41176470588235292</v>
      </c>
      <c r="CO1410" s="167">
        <f>$N1410/17</f>
        <v>0.41176470588235292</v>
      </c>
      <c r="CP1410" s="167">
        <f>$N1410/17</f>
        <v>0.41176470588235292</v>
      </c>
      <c r="CQ1410" s="167">
        <f>$N1410/17</f>
        <v>0.41176470588235292</v>
      </c>
      <c r="CR1410" s="167">
        <f>$N1410/17</f>
        <v>0.41176470588235292</v>
      </c>
      <c r="CS1410" s="167">
        <f>$N1410/17</f>
        <v>0.41176470588235292</v>
      </c>
      <c r="CT1410" s="167">
        <f>$N1410/17</f>
        <v>0.41176470588235292</v>
      </c>
      <c r="CU1410" s="167">
        <f>$N1410/17</f>
        <v>0.41176470588235292</v>
      </c>
      <c r="CV1410" s="167">
        <f>$N1410/17</f>
        <v>0.41176470588235292</v>
      </c>
      <c r="CW1410" s="167">
        <f>$N1410/17</f>
        <v>0.41176470588235292</v>
      </c>
      <c r="CX1410" s="167">
        <f>SUM(CD1410:CH1410)</f>
        <v>0</v>
      </c>
      <c r="CY1410" s="167">
        <f>SUM(CD1410:CM1410)</f>
        <v>1.6470588235294117</v>
      </c>
    </row>
    <row r="1411" spans="1:103" ht="12.75" customHeight="1" x14ac:dyDescent="0.2">
      <c r="A1411" s="81">
        <v>6875</v>
      </c>
      <c r="B1411" s="165" t="s">
        <v>1902</v>
      </c>
      <c r="C1411" s="165" t="s">
        <v>3524</v>
      </c>
      <c r="E1411" s="165" t="s">
        <v>3525</v>
      </c>
      <c r="G1411" s="81">
        <v>526741</v>
      </c>
      <c r="H1411" s="81">
        <v>176126</v>
      </c>
      <c r="I1411" s="165" t="s">
        <v>257</v>
      </c>
      <c r="L1411" s="166">
        <v>0</v>
      </c>
      <c r="M1411" s="166">
        <v>127</v>
      </c>
      <c r="N1411" s="166">
        <v>127</v>
      </c>
      <c r="O1411" s="166">
        <v>190</v>
      </c>
      <c r="P1411" s="166">
        <v>190</v>
      </c>
      <c r="Q1411" s="81" t="s">
        <v>155</v>
      </c>
      <c r="R1411" s="165" t="s">
        <v>1905</v>
      </c>
      <c r="S1411" s="81" t="s">
        <v>1906</v>
      </c>
      <c r="W1411" s="81" t="s">
        <v>114</v>
      </c>
      <c r="Y1411" s="81" t="s">
        <v>115</v>
      </c>
      <c r="Z1411" s="81" t="s">
        <v>116</v>
      </c>
      <c r="AA1411" s="81" t="s">
        <v>116</v>
      </c>
      <c r="AB1411" s="81" t="s">
        <v>117</v>
      </c>
      <c r="AC1411" s="166">
        <v>0</v>
      </c>
      <c r="AG1411" s="81" t="s">
        <v>238</v>
      </c>
      <c r="AH1411" s="81" t="s">
        <v>118</v>
      </c>
      <c r="AI1411" s="81" t="s">
        <v>3526</v>
      </c>
      <c r="AJ1411" s="81">
        <v>17320210</v>
      </c>
      <c r="AK1411" s="166">
        <v>0</v>
      </c>
      <c r="AM1411" s="166">
        <v>0</v>
      </c>
      <c r="AO1411" s="166">
        <v>0</v>
      </c>
      <c r="AP1411" s="166">
        <v>0</v>
      </c>
      <c r="AQ1411" s="166">
        <v>0</v>
      </c>
      <c r="AR1411" s="166">
        <v>0</v>
      </c>
      <c r="AS1411" s="166">
        <v>0</v>
      </c>
      <c r="AT1411" s="166">
        <v>0</v>
      </c>
      <c r="AU1411" s="166">
        <v>127</v>
      </c>
      <c r="AV1411" s="166">
        <v>0</v>
      </c>
      <c r="AW1411" s="166">
        <v>0</v>
      </c>
      <c r="AX1411" s="166">
        <v>0</v>
      </c>
      <c r="AY1411" s="166">
        <v>0</v>
      </c>
      <c r="AZ1411" s="166">
        <v>0</v>
      </c>
      <c r="BA1411" s="166">
        <v>0</v>
      </c>
      <c r="BB1411" s="166">
        <v>127</v>
      </c>
      <c r="BC1411" s="166">
        <v>0</v>
      </c>
      <c r="BD1411" s="166">
        <v>0</v>
      </c>
      <c r="BE1411" s="166">
        <v>0</v>
      </c>
      <c r="BF1411" s="166">
        <v>0</v>
      </c>
      <c r="BG1411" s="166">
        <v>0</v>
      </c>
      <c r="BH1411" s="166">
        <v>0</v>
      </c>
      <c r="BI1411" s="166">
        <v>0</v>
      </c>
      <c r="BJ1411" s="166">
        <v>0</v>
      </c>
      <c r="BK1411" s="166">
        <v>0</v>
      </c>
      <c r="BL1411" s="166">
        <v>0</v>
      </c>
      <c r="BM1411" s="166">
        <v>0</v>
      </c>
      <c r="BN1411" s="166">
        <v>0</v>
      </c>
      <c r="BO1411" s="166">
        <v>0</v>
      </c>
      <c r="BP1411" s="166">
        <v>0</v>
      </c>
      <c r="BQ1411" s="81" t="s">
        <v>1757</v>
      </c>
      <c r="BZ1411" s="81" t="s">
        <v>155</v>
      </c>
      <c r="CA1411" s="81">
        <v>11</v>
      </c>
      <c r="CC1411" s="167">
        <v>0</v>
      </c>
      <c r="CD1411" s="167">
        <v>0</v>
      </c>
      <c r="CE1411" s="167">
        <f>$N1411/10</f>
        <v>12.7</v>
      </c>
      <c r="CF1411" s="167">
        <f>$N1411/10</f>
        <v>12.7</v>
      </c>
      <c r="CG1411" s="167">
        <f>$N1411/10</f>
        <v>12.7</v>
      </c>
      <c r="CH1411" s="167">
        <f>$N1411/10</f>
        <v>12.7</v>
      </c>
      <c r="CI1411" s="167">
        <f>$N1411/10</f>
        <v>12.7</v>
      </c>
      <c r="CJ1411" s="167">
        <f>$N1411/10</f>
        <v>12.7</v>
      </c>
      <c r="CK1411" s="167">
        <f>$N1411/10</f>
        <v>12.7</v>
      </c>
      <c r="CL1411" s="167">
        <f>$N1411/10</f>
        <v>12.7</v>
      </c>
      <c r="CM1411" s="167">
        <f>$N1411/10</f>
        <v>12.7</v>
      </c>
      <c r="CN1411" s="167">
        <f>$N1411/10</f>
        <v>12.7</v>
      </c>
      <c r="CO1411" s="167">
        <v>0</v>
      </c>
      <c r="CP1411" s="167">
        <v>0</v>
      </c>
      <c r="CQ1411" s="167">
        <v>0</v>
      </c>
      <c r="CR1411" s="167">
        <v>0</v>
      </c>
      <c r="CS1411" s="167">
        <v>0</v>
      </c>
      <c r="CT1411" s="167">
        <v>0</v>
      </c>
      <c r="CU1411" s="167">
        <v>0</v>
      </c>
      <c r="CV1411" s="167">
        <v>0</v>
      </c>
      <c r="CW1411" s="167">
        <v>0</v>
      </c>
      <c r="CX1411" s="167">
        <f>SUM(CD1411:CH1411)</f>
        <v>50.8</v>
      </c>
      <c r="CY1411" s="167">
        <f>SUM(CD1411:CM1411)</f>
        <v>114.30000000000001</v>
      </c>
    </row>
    <row r="1412" spans="1:103" ht="12.75" customHeight="1" x14ac:dyDescent="0.2">
      <c r="A1412" s="81">
        <v>6875</v>
      </c>
      <c r="B1412" s="165" t="s">
        <v>1902</v>
      </c>
      <c r="C1412" s="165" t="s">
        <v>3524</v>
      </c>
      <c r="E1412" s="165" t="s">
        <v>3525</v>
      </c>
      <c r="G1412" s="81">
        <v>526741</v>
      </c>
      <c r="H1412" s="81">
        <v>176126</v>
      </c>
      <c r="I1412" s="165" t="s">
        <v>257</v>
      </c>
      <c r="L1412" s="166">
        <v>0</v>
      </c>
      <c r="M1412" s="166">
        <v>38</v>
      </c>
      <c r="N1412" s="166">
        <v>38</v>
      </c>
      <c r="O1412" s="166">
        <v>190</v>
      </c>
      <c r="P1412" s="166">
        <v>190</v>
      </c>
      <c r="Q1412" s="81" t="s">
        <v>155</v>
      </c>
      <c r="R1412" s="165" t="s">
        <v>1905</v>
      </c>
      <c r="S1412" s="81" t="s">
        <v>1906</v>
      </c>
      <c r="W1412" s="81" t="s">
        <v>114</v>
      </c>
      <c r="Y1412" s="81" t="s">
        <v>115</v>
      </c>
      <c r="Z1412" s="81" t="s">
        <v>116</v>
      </c>
      <c r="AA1412" s="81" t="s">
        <v>116</v>
      </c>
      <c r="AB1412" s="81" t="s">
        <v>117</v>
      </c>
      <c r="AC1412" s="166">
        <v>0</v>
      </c>
      <c r="AG1412" s="81" t="s">
        <v>154</v>
      </c>
      <c r="AH1412" s="81" t="s">
        <v>276</v>
      </c>
      <c r="AI1412" s="81" t="s">
        <v>3526</v>
      </c>
      <c r="AJ1412" s="81">
        <v>17320210</v>
      </c>
      <c r="AK1412" s="166">
        <v>0</v>
      </c>
      <c r="AM1412" s="166">
        <v>0</v>
      </c>
      <c r="AO1412" s="166">
        <v>0</v>
      </c>
      <c r="AP1412" s="166">
        <v>0</v>
      </c>
      <c r="AQ1412" s="166">
        <v>0</v>
      </c>
      <c r="AR1412" s="166">
        <v>0</v>
      </c>
      <c r="AS1412" s="166">
        <v>0</v>
      </c>
      <c r="AT1412" s="166">
        <v>0</v>
      </c>
      <c r="AU1412" s="166">
        <v>38</v>
      </c>
      <c r="AV1412" s="166">
        <v>0</v>
      </c>
      <c r="AW1412" s="166">
        <v>0</v>
      </c>
      <c r="AX1412" s="166">
        <v>0</v>
      </c>
      <c r="AY1412" s="166">
        <v>0</v>
      </c>
      <c r="AZ1412" s="166">
        <v>0</v>
      </c>
      <c r="BA1412" s="166">
        <v>0</v>
      </c>
      <c r="BB1412" s="166">
        <v>38</v>
      </c>
      <c r="BC1412" s="166">
        <v>0</v>
      </c>
      <c r="BD1412" s="166">
        <v>0</v>
      </c>
      <c r="BE1412" s="166">
        <v>0</v>
      </c>
      <c r="BF1412" s="166">
        <v>0</v>
      </c>
      <c r="BG1412" s="166">
        <v>0</v>
      </c>
      <c r="BH1412" s="166">
        <v>0</v>
      </c>
      <c r="BI1412" s="166">
        <v>0</v>
      </c>
      <c r="BJ1412" s="166">
        <v>0</v>
      </c>
      <c r="BK1412" s="166">
        <v>0</v>
      </c>
      <c r="BL1412" s="166">
        <v>0</v>
      </c>
      <c r="BM1412" s="166">
        <v>0</v>
      </c>
      <c r="BN1412" s="166">
        <v>0</v>
      </c>
      <c r="BO1412" s="166">
        <v>0</v>
      </c>
      <c r="BP1412" s="166">
        <v>0</v>
      </c>
      <c r="BQ1412" s="81" t="s">
        <v>1757</v>
      </c>
      <c r="BZ1412" s="81" t="s">
        <v>155</v>
      </c>
      <c r="CA1412" s="81">
        <v>11</v>
      </c>
      <c r="CC1412" s="167">
        <v>0</v>
      </c>
      <c r="CD1412" s="167">
        <v>0</v>
      </c>
      <c r="CE1412" s="167">
        <f>$N1412/10</f>
        <v>3.8</v>
      </c>
      <c r="CF1412" s="167">
        <f>$N1412/10</f>
        <v>3.8</v>
      </c>
      <c r="CG1412" s="167">
        <f>$N1412/10</f>
        <v>3.8</v>
      </c>
      <c r="CH1412" s="167">
        <f>$N1412/10</f>
        <v>3.8</v>
      </c>
      <c r="CI1412" s="167">
        <f>$N1412/10</f>
        <v>3.8</v>
      </c>
      <c r="CJ1412" s="167">
        <f>$N1412/10</f>
        <v>3.8</v>
      </c>
      <c r="CK1412" s="167">
        <f>$N1412/10</f>
        <v>3.8</v>
      </c>
      <c r="CL1412" s="167">
        <f>$N1412/10</f>
        <v>3.8</v>
      </c>
      <c r="CM1412" s="167">
        <f>$N1412/10</f>
        <v>3.8</v>
      </c>
      <c r="CN1412" s="167">
        <f>$N1412/10</f>
        <v>3.8</v>
      </c>
      <c r="CO1412" s="167">
        <v>0</v>
      </c>
      <c r="CP1412" s="167">
        <v>0</v>
      </c>
      <c r="CQ1412" s="167">
        <v>0</v>
      </c>
      <c r="CR1412" s="167">
        <v>0</v>
      </c>
      <c r="CS1412" s="167">
        <v>0</v>
      </c>
      <c r="CT1412" s="167">
        <v>0</v>
      </c>
      <c r="CU1412" s="167">
        <v>0</v>
      </c>
      <c r="CV1412" s="167">
        <v>0</v>
      </c>
      <c r="CW1412" s="167">
        <v>0</v>
      </c>
      <c r="CX1412" s="167">
        <f>SUM(CD1412:CH1412)</f>
        <v>15.2</v>
      </c>
      <c r="CY1412" s="167">
        <f>SUM(CD1412:CM1412)</f>
        <v>34.200000000000003</v>
      </c>
    </row>
    <row r="1413" spans="1:103" ht="12.75" customHeight="1" x14ac:dyDescent="0.2">
      <c r="A1413" s="81">
        <v>6875</v>
      </c>
      <c r="B1413" s="165" t="s">
        <v>1902</v>
      </c>
      <c r="C1413" s="165" t="s">
        <v>3524</v>
      </c>
      <c r="E1413" s="165" t="s">
        <v>3525</v>
      </c>
      <c r="G1413" s="81">
        <v>526741</v>
      </c>
      <c r="H1413" s="81">
        <v>176126</v>
      </c>
      <c r="I1413" s="165" t="s">
        <v>257</v>
      </c>
      <c r="L1413" s="166">
        <v>0</v>
      </c>
      <c r="M1413" s="166">
        <v>25</v>
      </c>
      <c r="N1413" s="166">
        <v>25</v>
      </c>
      <c r="O1413" s="166">
        <v>190</v>
      </c>
      <c r="P1413" s="166">
        <v>190</v>
      </c>
      <c r="Q1413" s="81" t="s">
        <v>155</v>
      </c>
      <c r="R1413" s="165" t="s">
        <v>1905</v>
      </c>
      <c r="S1413" s="81" t="s">
        <v>1906</v>
      </c>
      <c r="W1413" s="81" t="s">
        <v>114</v>
      </c>
      <c r="Y1413" s="81" t="s">
        <v>115</v>
      </c>
      <c r="Z1413" s="81" t="s">
        <v>116</v>
      </c>
      <c r="AA1413" s="81" t="s">
        <v>116</v>
      </c>
      <c r="AB1413" s="81" t="s">
        <v>117</v>
      </c>
      <c r="AC1413" s="166">
        <v>0</v>
      </c>
      <c r="AG1413" s="81" t="s">
        <v>74</v>
      </c>
      <c r="AH1413" s="81" t="s">
        <v>990</v>
      </c>
      <c r="AI1413" s="81" t="s">
        <v>3526</v>
      </c>
      <c r="AJ1413" s="81">
        <v>17320210</v>
      </c>
      <c r="AK1413" s="166">
        <v>0</v>
      </c>
      <c r="AM1413" s="166">
        <v>0</v>
      </c>
      <c r="AO1413" s="166">
        <v>0</v>
      </c>
      <c r="AP1413" s="166">
        <v>0</v>
      </c>
      <c r="AQ1413" s="166">
        <v>0</v>
      </c>
      <c r="AR1413" s="166">
        <v>0</v>
      </c>
      <c r="AS1413" s="166">
        <v>0</v>
      </c>
      <c r="AT1413" s="166">
        <v>0</v>
      </c>
      <c r="AU1413" s="166">
        <v>25</v>
      </c>
      <c r="AV1413" s="166">
        <v>0</v>
      </c>
      <c r="AW1413" s="166">
        <v>0</v>
      </c>
      <c r="AX1413" s="166">
        <v>0</v>
      </c>
      <c r="AY1413" s="166">
        <v>0</v>
      </c>
      <c r="AZ1413" s="166">
        <v>0</v>
      </c>
      <c r="BA1413" s="166">
        <v>0</v>
      </c>
      <c r="BB1413" s="166">
        <v>25</v>
      </c>
      <c r="BC1413" s="166">
        <v>0</v>
      </c>
      <c r="BD1413" s="166">
        <v>0</v>
      </c>
      <c r="BE1413" s="166">
        <v>0</v>
      </c>
      <c r="BF1413" s="166">
        <v>0</v>
      </c>
      <c r="BG1413" s="166">
        <v>0</v>
      </c>
      <c r="BH1413" s="166">
        <v>0</v>
      </c>
      <c r="BI1413" s="166">
        <v>0</v>
      </c>
      <c r="BJ1413" s="166">
        <v>0</v>
      </c>
      <c r="BK1413" s="166">
        <v>0</v>
      </c>
      <c r="BL1413" s="166">
        <v>0</v>
      </c>
      <c r="BM1413" s="166">
        <v>0</v>
      </c>
      <c r="BN1413" s="166">
        <v>0</v>
      </c>
      <c r="BO1413" s="166">
        <v>0</v>
      </c>
      <c r="BP1413" s="166">
        <v>0</v>
      </c>
      <c r="BQ1413" s="81" t="s">
        <v>1757</v>
      </c>
      <c r="BZ1413" s="81" t="s">
        <v>155</v>
      </c>
      <c r="CA1413" s="81">
        <v>11</v>
      </c>
      <c r="CC1413" s="167">
        <v>0</v>
      </c>
      <c r="CD1413" s="167">
        <v>0</v>
      </c>
      <c r="CE1413" s="167">
        <f>$N1413/10</f>
        <v>2.5</v>
      </c>
      <c r="CF1413" s="167">
        <f>$N1413/10</f>
        <v>2.5</v>
      </c>
      <c r="CG1413" s="167">
        <f>$N1413/10</f>
        <v>2.5</v>
      </c>
      <c r="CH1413" s="167">
        <f>$N1413/10</f>
        <v>2.5</v>
      </c>
      <c r="CI1413" s="167">
        <f>$N1413/10</f>
        <v>2.5</v>
      </c>
      <c r="CJ1413" s="167">
        <f>$N1413/10</f>
        <v>2.5</v>
      </c>
      <c r="CK1413" s="167">
        <f>$N1413/10</f>
        <v>2.5</v>
      </c>
      <c r="CL1413" s="167">
        <f>$N1413/10</f>
        <v>2.5</v>
      </c>
      <c r="CM1413" s="167">
        <f>$N1413/10</f>
        <v>2.5</v>
      </c>
      <c r="CN1413" s="167">
        <f>$N1413/10</f>
        <v>2.5</v>
      </c>
      <c r="CO1413" s="167">
        <v>0</v>
      </c>
      <c r="CP1413" s="167">
        <v>0</v>
      </c>
      <c r="CQ1413" s="167">
        <v>0</v>
      </c>
      <c r="CR1413" s="167">
        <v>0</v>
      </c>
      <c r="CS1413" s="167">
        <v>0</v>
      </c>
      <c r="CT1413" s="167">
        <v>0</v>
      </c>
      <c r="CU1413" s="167">
        <v>0</v>
      </c>
      <c r="CV1413" s="167">
        <v>0</v>
      </c>
      <c r="CW1413" s="167">
        <v>0</v>
      </c>
      <c r="CX1413" s="167">
        <f>SUM(CD1413:CH1413)</f>
        <v>10</v>
      </c>
      <c r="CY1413" s="167">
        <f>SUM(CD1413:CM1413)</f>
        <v>22.5</v>
      </c>
    </row>
    <row r="1414" spans="1:103" ht="12.75" customHeight="1" x14ac:dyDescent="0.2">
      <c r="A1414" s="81">
        <v>6876</v>
      </c>
      <c r="B1414" s="165" t="s">
        <v>1902</v>
      </c>
      <c r="C1414" s="165" t="s">
        <v>3527</v>
      </c>
      <c r="E1414" s="165" t="s">
        <v>3528</v>
      </c>
      <c r="G1414" s="81">
        <v>526665</v>
      </c>
      <c r="H1414" s="81">
        <v>176051</v>
      </c>
      <c r="I1414" s="165" t="s">
        <v>257</v>
      </c>
      <c r="L1414" s="166">
        <v>0</v>
      </c>
      <c r="M1414" s="166">
        <v>60</v>
      </c>
      <c r="N1414" s="166">
        <v>60</v>
      </c>
      <c r="O1414" s="166">
        <v>90</v>
      </c>
      <c r="P1414" s="166">
        <v>90</v>
      </c>
      <c r="Q1414" s="81" t="s">
        <v>155</v>
      </c>
      <c r="R1414" s="165" t="s">
        <v>1905</v>
      </c>
      <c r="S1414" s="81" t="s">
        <v>1906</v>
      </c>
      <c r="W1414" s="81" t="s">
        <v>114</v>
      </c>
      <c r="Y1414" s="81" t="s">
        <v>115</v>
      </c>
      <c r="Z1414" s="81" t="s">
        <v>116</v>
      </c>
      <c r="AA1414" s="81" t="s">
        <v>116</v>
      </c>
      <c r="AB1414" s="81" t="s">
        <v>117</v>
      </c>
      <c r="AC1414" s="166">
        <v>0</v>
      </c>
      <c r="AG1414" s="81" t="s">
        <v>238</v>
      </c>
      <c r="AH1414" s="81" t="s">
        <v>118</v>
      </c>
      <c r="AI1414" s="81" t="s">
        <v>2001</v>
      </c>
      <c r="AJ1414" s="81">
        <v>17320216</v>
      </c>
      <c r="AK1414" s="166">
        <v>0</v>
      </c>
      <c r="AM1414" s="166">
        <v>0</v>
      </c>
      <c r="AO1414" s="166">
        <v>0</v>
      </c>
      <c r="AP1414" s="166">
        <v>0</v>
      </c>
      <c r="AQ1414" s="166">
        <v>0</v>
      </c>
      <c r="AR1414" s="166">
        <v>0</v>
      </c>
      <c r="AS1414" s="166">
        <v>0</v>
      </c>
      <c r="AT1414" s="166">
        <v>0</v>
      </c>
      <c r="AU1414" s="166">
        <v>60</v>
      </c>
      <c r="AV1414" s="166">
        <v>0</v>
      </c>
      <c r="AW1414" s="166">
        <v>0</v>
      </c>
      <c r="AX1414" s="166">
        <v>0</v>
      </c>
      <c r="AY1414" s="166">
        <v>0</v>
      </c>
      <c r="AZ1414" s="166">
        <v>0</v>
      </c>
      <c r="BA1414" s="166">
        <v>0</v>
      </c>
      <c r="BB1414" s="166">
        <v>60</v>
      </c>
      <c r="BC1414" s="166">
        <v>0</v>
      </c>
      <c r="BD1414" s="166">
        <v>0</v>
      </c>
      <c r="BE1414" s="166">
        <v>0</v>
      </c>
      <c r="BF1414" s="166">
        <v>0</v>
      </c>
      <c r="BG1414" s="166">
        <v>0</v>
      </c>
      <c r="BH1414" s="166">
        <v>0</v>
      </c>
      <c r="BI1414" s="166">
        <v>0</v>
      </c>
      <c r="BJ1414" s="166">
        <v>0</v>
      </c>
      <c r="BK1414" s="166">
        <v>0</v>
      </c>
      <c r="BL1414" s="166">
        <v>0</v>
      </c>
      <c r="BM1414" s="166">
        <v>0</v>
      </c>
      <c r="BN1414" s="166">
        <v>0</v>
      </c>
      <c r="BO1414" s="166">
        <v>0</v>
      </c>
      <c r="BP1414" s="166">
        <v>0</v>
      </c>
      <c r="BQ1414" s="81" t="s">
        <v>1757</v>
      </c>
      <c r="BX1414" s="81" t="s">
        <v>155</v>
      </c>
      <c r="BZ1414" s="81" t="s">
        <v>155</v>
      </c>
      <c r="CA1414" s="81">
        <v>11</v>
      </c>
      <c r="CC1414" s="167">
        <v>0</v>
      </c>
      <c r="CD1414" s="167">
        <v>0</v>
      </c>
      <c r="CE1414" s="167">
        <v>0</v>
      </c>
      <c r="CF1414" s="167">
        <v>0</v>
      </c>
      <c r="CG1414" s="167">
        <v>0</v>
      </c>
      <c r="CH1414" s="167">
        <v>0</v>
      </c>
      <c r="CI1414" s="167">
        <v>0</v>
      </c>
      <c r="CJ1414" s="167">
        <f>$N1414/17</f>
        <v>3.5294117647058822</v>
      </c>
      <c r="CK1414" s="167">
        <f>$N1414/17</f>
        <v>3.5294117647058822</v>
      </c>
      <c r="CL1414" s="167">
        <f>$N1414/17</f>
        <v>3.5294117647058822</v>
      </c>
      <c r="CM1414" s="167">
        <f>$N1414/17</f>
        <v>3.5294117647058822</v>
      </c>
      <c r="CN1414" s="167">
        <f>$N1414/17</f>
        <v>3.5294117647058822</v>
      </c>
      <c r="CO1414" s="167">
        <f>$N1414/17</f>
        <v>3.5294117647058822</v>
      </c>
      <c r="CP1414" s="167">
        <f>$N1414/17</f>
        <v>3.5294117647058822</v>
      </c>
      <c r="CQ1414" s="167">
        <f>$N1414/17</f>
        <v>3.5294117647058822</v>
      </c>
      <c r="CR1414" s="167">
        <f>$N1414/17</f>
        <v>3.5294117647058822</v>
      </c>
      <c r="CS1414" s="167">
        <f>$N1414/17</f>
        <v>3.5294117647058822</v>
      </c>
      <c r="CT1414" s="167">
        <f>$N1414/17</f>
        <v>3.5294117647058822</v>
      </c>
      <c r="CU1414" s="167">
        <f>$N1414/17</f>
        <v>3.5294117647058822</v>
      </c>
      <c r="CV1414" s="167">
        <f>$N1414/17</f>
        <v>3.5294117647058822</v>
      </c>
      <c r="CW1414" s="167">
        <f>$N1414/17</f>
        <v>3.5294117647058822</v>
      </c>
      <c r="CX1414" s="167">
        <f>SUM(CD1414:CH1414)</f>
        <v>0</v>
      </c>
      <c r="CY1414" s="167">
        <f>SUM(CD1414:CM1414)</f>
        <v>14.117647058823529</v>
      </c>
    </row>
    <row r="1415" spans="1:103" ht="12.75" customHeight="1" x14ac:dyDescent="0.2">
      <c r="A1415" s="81">
        <v>6876</v>
      </c>
      <c r="B1415" s="165" t="s">
        <v>1902</v>
      </c>
      <c r="C1415" s="165" t="s">
        <v>3527</v>
      </c>
      <c r="E1415" s="165" t="s">
        <v>3528</v>
      </c>
      <c r="G1415" s="81">
        <v>526665</v>
      </c>
      <c r="H1415" s="81">
        <v>176051</v>
      </c>
      <c r="I1415" s="165" t="s">
        <v>257</v>
      </c>
      <c r="L1415" s="166">
        <v>0</v>
      </c>
      <c r="M1415" s="166">
        <v>18</v>
      </c>
      <c r="N1415" s="166">
        <v>18</v>
      </c>
      <c r="O1415" s="166">
        <v>90</v>
      </c>
      <c r="P1415" s="166">
        <v>90</v>
      </c>
      <c r="Q1415" s="81" t="s">
        <v>155</v>
      </c>
      <c r="R1415" s="165" t="s">
        <v>1905</v>
      </c>
      <c r="S1415" s="81" t="s">
        <v>1906</v>
      </c>
      <c r="W1415" s="81" t="s">
        <v>114</v>
      </c>
      <c r="Y1415" s="81" t="s">
        <v>115</v>
      </c>
      <c r="Z1415" s="81" t="s">
        <v>116</v>
      </c>
      <c r="AA1415" s="81" t="s">
        <v>116</v>
      </c>
      <c r="AB1415" s="81" t="s">
        <v>117</v>
      </c>
      <c r="AC1415" s="166">
        <v>0</v>
      </c>
      <c r="AG1415" s="81" t="s">
        <v>154</v>
      </c>
      <c r="AH1415" s="81" t="s">
        <v>276</v>
      </c>
      <c r="AI1415" s="81" t="s">
        <v>2001</v>
      </c>
      <c r="AJ1415" s="81">
        <v>17320216</v>
      </c>
      <c r="AK1415" s="166">
        <v>0</v>
      </c>
      <c r="AM1415" s="166">
        <v>0</v>
      </c>
      <c r="AO1415" s="166">
        <v>0</v>
      </c>
      <c r="AP1415" s="166">
        <v>0</v>
      </c>
      <c r="AQ1415" s="166">
        <v>0</v>
      </c>
      <c r="AR1415" s="166">
        <v>0</v>
      </c>
      <c r="AS1415" s="166">
        <v>0</v>
      </c>
      <c r="AT1415" s="166">
        <v>0</v>
      </c>
      <c r="AU1415" s="166">
        <v>18</v>
      </c>
      <c r="AV1415" s="166">
        <v>0</v>
      </c>
      <c r="AW1415" s="166">
        <v>0</v>
      </c>
      <c r="AX1415" s="166">
        <v>0</v>
      </c>
      <c r="AY1415" s="166">
        <v>0</v>
      </c>
      <c r="AZ1415" s="166">
        <v>0</v>
      </c>
      <c r="BA1415" s="166">
        <v>0</v>
      </c>
      <c r="BB1415" s="166">
        <v>18</v>
      </c>
      <c r="BC1415" s="166">
        <v>0</v>
      </c>
      <c r="BD1415" s="166">
        <v>0</v>
      </c>
      <c r="BE1415" s="166">
        <v>0</v>
      </c>
      <c r="BF1415" s="166">
        <v>0</v>
      </c>
      <c r="BG1415" s="166">
        <v>0</v>
      </c>
      <c r="BH1415" s="166">
        <v>0</v>
      </c>
      <c r="BI1415" s="166">
        <v>0</v>
      </c>
      <c r="BJ1415" s="166">
        <v>0</v>
      </c>
      <c r="BK1415" s="166">
        <v>0</v>
      </c>
      <c r="BL1415" s="166">
        <v>0</v>
      </c>
      <c r="BM1415" s="166">
        <v>0</v>
      </c>
      <c r="BN1415" s="166">
        <v>0</v>
      </c>
      <c r="BO1415" s="166">
        <v>0</v>
      </c>
      <c r="BP1415" s="166">
        <v>0</v>
      </c>
      <c r="BQ1415" s="81" t="s">
        <v>1757</v>
      </c>
      <c r="BX1415" s="81" t="s">
        <v>155</v>
      </c>
      <c r="BZ1415" s="81" t="s">
        <v>155</v>
      </c>
      <c r="CA1415" s="81">
        <v>11</v>
      </c>
      <c r="CC1415" s="167">
        <v>0</v>
      </c>
      <c r="CD1415" s="167">
        <v>0</v>
      </c>
      <c r="CE1415" s="167">
        <v>0</v>
      </c>
      <c r="CF1415" s="167">
        <v>0</v>
      </c>
      <c r="CG1415" s="167">
        <v>0</v>
      </c>
      <c r="CH1415" s="167">
        <v>0</v>
      </c>
      <c r="CI1415" s="167">
        <v>0</v>
      </c>
      <c r="CJ1415" s="167">
        <f>$N1415/17</f>
        <v>1.0588235294117647</v>
      </c>
      <c r="CK1415" s="167">
        <f>$N1415/17</f>
        <v>1.0588235294117647</v>
      </c>
      <c r="CL1415" s="167">
        <f>$N1415/17</f>
        <v>1.0588235294117647</v>
      </c>
      <c r="CM1415" s="167">
        <f>$N1415/17</f>
        <v>1.0588235294117647</v>
      </c>
      <c r="CN1415" s="167">
        <f>$N1415/17</f>
        <v>1.0588235294117647</v>
      </c>
      <c r="CO1415" s="167">
        <f>$N1415/17</f>
        <v>1.0588235294117647</v>
      </c>
      <c r="CP1415" s="167">
        <f>$N1415/17</f>
        <v>1.0588235294117647</v>
      </c>
      <c r="CQ1415" s="167">
        <f>$N1415/17</f>
        <v>1.0588235294117647</v>
      </c>
      <c r="CR1415" s="167">
        <f>$N1415/17</f>
        <v>1.0588235294117647</v>
      </c>
      <c r="CS1415" s="167">
        <f>$N1415/17</f>
        <v>1.0588235294117647</v>
      </c>
      <c r="CT1415" s="167">
        <f>$N1415/17</f>
        <v>1.0588235294117647</v>
      </c>
      <c r="CU1415" s="167">
        <f>$N1415/17</f>
        <v>1.0588235294117647</v>
      </c>
      <c r="CV1415" s="167">
        <f>$N1415/17</f>
        <v>1.0588235294117647</v>
      </c>
      <c r="CW1415" s="167">
        <f>$N1415/17</f>
        <v>1.0588235294117647</v>
      </c>
      <c r="CX1415" s="167">
        <f>SUM(CD1415:CH1415)</f>
        <v>0</v>
      </c>
      <c r="CY1415" s="167">
        <f>SUM(CD1415:CM1415)</f>
        <v>4.2352941176470589</v>
      </c>
    </row>
    <row r="1416" spans="1:103" ht="12.75" customHeight="1" x14ac:dyDescent="0.2">
      <c r="A1416" s="81">
        <v>6876</v>
      </c>
      <c r="B1416" s="165" t="s">
        <v>1902</v>
      </c>
      <c r="C1416" s="165" t="s">
        <v>3527</v>
      </c>
      <c r="E1416" s="165" t="s">
        <v>3528</v>
      </c>
      <c r="G1416" s="81">
        <v>526665</v>
      </c>
      <c r="H1416" s="81">
        <v>176051</v>
      </c>
      <c r="I1416" s="165" t="s">
        <v>257</v>
      </c>
      <c r="L1416" s="166">
        <v>0</v>
      </c>
      <c r="M1416" s="166">
        <v>12</v>
      </c>
      <c r="N1416" s="166">
        <v>12</v>
      </c>
      <c r="O1416" s="166">
        <v>90</v>
      </c>
      <c r="P1416" s="166">
        <v>90</v>
      </c>
      <c r="Q1416" s="81" t="s">
        <v>155</v>
      </c>
      <c r="R1416" s="165" t="s">
        <v>1905</v>
      </c>
      <c r="S1416" s="81" t="s">
        <v>1906</v>
      </c>
      <c r="W1416" s="81" t="s">
        <v>114</v>
      </c>
      <c r="Y1416" s="81" t="s">
        <v>115</v>
      </c>
      <c r="Z1416" s="81" t="s">
        <v>116</v>
      </c>
      <c r="AA1416" s="81" t="s">
        <v>116</v>
      </c>
      <c r="AB1416" s="81" t="s">
        <v>117</v>
      </c>
      <c r="AC1416" s="166">
        <v>0</v>
      </c>
      <c r="AG1416" s="81" t="s">
        <v>74</v>
      </c>
      <c r="AH1416" s="81" t="s">
        <v>990</v>
      </c>
      <c r="AI1416" s="81" t="s">
        <v>2001</v>
      </c>
      <c r="AJ1416" s="81">
        <v>17320216</v>
      </c>
      <c r="AK1416" s="166">
        <v>0</v>
      </c>
      <c r="AM1416" s="166">
        <v>0</v>
      </c>
      <c r="AO1416" s="166">
        <v>0</v>
      </c>
      <c r="AP1416" s="166">
        <v>0</v>
      </c>
      <c r="AQ1416" s="166">
        <v>0</v>
      </c>
      <c r="AR1416" s="166">
        <v>0</v>
      </c>
      <c r="AS1416" s="166">
        <v>0</v>
      </c>
      <c r="AT1416" s="166">
        <v>0</v>
      </c>
      <c r="AU1416" s="166">
        <v>12</v>
      </c>
      <c r="AV1416" s="166">
        <v>0</v>
      </c>
      <c r="AW1416" s="166">
        <v>0</v>
      </c>
      <c r="AX1416" s="166">
        <v>0</v>
      </c>
      <c r="AY1416" s="166">
        <v>0</v>
      </c>
      <c r="AZ1416" s="166">
        <v>0</v>
      </c>
      <c r="BA1416" s="166">
        <v>0</v>
      </c>
      <c r="BB1416" s="166">
        <v>12</v>
      </c>
      <c r="BC1416" s="166">
        <v>0</v>
      </c>
      <c r="BD1416" s="166">
        <v>0</v>
      </c>
      <c r="BE1416" s="166">
        <v>0</v>
      </c>
      <c r="BF1416" s="166">
        <v>0</v>
      </c>
      <c r="BG1416" s="166">
        <v>0</v>
      </c>
      <c r="BH1416" s="166">
        <v>0</v>
      </c>
      <c r="BI1416" s="166">
        <v>0</v>
      </c>
      <c r="BJ1416" s="166">
        <v>0</v>
      </c>
      <c r="BK1416" s="166">
        <v>0</v>
      </c>
      <c r="BL1416" s="166">
        <v>0</v>
      </c>
      <c r="BM1416" s="166">
        <v>0</v>
      </c>
      <c r="BN1416" s="166">
        <v>0</v>
      </c>
      <c r="BO1416" s="166">
        <v>0</v>
      </c>
      <c r="BP1416" s="166">
        <v>0</v>
      </c>
      <c r="BQ1416" s="81" t="s">
        <v>1757</v>
      </c>
      <c r="BX1416" s="81" t="s">
        <v>155</v>
      </c>
      <c r="BZ1416" s="81" t="s">
        <v>155</v>
      </c>
      <c r="CA1416" s="81">
        <v>11</v>
      </c>
      <c r="CC1416" s="167">
        <v>0</v>
      </c>
      <c r="CD1416" s="167">
        <v>0</v>
      </c>
      <c r="CE1416" s="167">
        <v>0</v>
      </c>
      <c r="CF1416" s="167">
        <v>0</v>
      </c>
      <c r="CG1416" s="167">
        <v>0</v>
      </c>
      <c r="CH1416" s="167">
        <v>0</v>
      </c>
      <c r="CI1416" s="167">
        <v>0</v>
      </c>
      <c r="CJ1416" s="167">
        <f>$N1416/17</f>
        <v>0.70588235294117652</v>
      </c>
      <c r="CK1416" s="167">
        <f>$N1416/17</f>
        <v>0.70588235294117652</v>
      </c>
      <c r="CL1416" s="167">
        <f>$N1416/17</f>
        <v>0.70588235294117652</v>
      </c>
      <c r="CM1416" s="167">
        <f>$N1416/17</f>
        <v>0.70588235294117652</v>
      </c>
      <c r="CN1416" s="167">
        <f>$N1416/17</f>
        <v>0.70588235294117652</v>
      </c>
      <c r="CO1416" s="167">
        <f>$N1416/17</f>
        <v>0.70588235294117652</v>
      </c>
      <c r="CP1416" s="167">
        <f>$N1416/17</f>
        <v>0.70588235294117652</v>
      </c>
      <c r="CQ1416" s="167">
        <f>$N1416/17</f>
        <v>0.70588235294117652</v>
      </c>
      <c r="CR1416" s="167">
        <f>$N1416/17</f>
        <v>0.70588235294117652</v>
      </c>
      <c r="CS1416" s="167">
        <f>$N1416/17</f>
        <v>0.70588235294117652</v>
      </c>
      <c r="CT1416" s="167">
        <f>$N1416/17</f>
        <v>0.70588235294117652</v>
      </c>
      <c r="CU1416" s="167">
        <f>$N1416/17</f>
        <v>0.70588235294117652</v>
      </c>
      <c r="CV1416" s="167">
        <f>$N1416/17</f>
        <v>0.70588235294117652</v>
      </c>
      <c r="CW1416" s="167">
        <f>$N1416/17</f>
        <v>0.70588235294117652</v>
      </c>
      <c r="CX1416" s="167">
        <f>SUM(CD1416:CH1416)</f>
        <v>0</v>
      </c>
      <c r="CY1416" s="167">
        <f>SUM(CD1416:CM1416)</f>
        <v>2.8235294117647061</v>
      </c>
    </row>
    <row r="1417" spans="1:103" ht="12.75" customHeight="1" x14ac:dyDescent="0.2">
      <c r="A1417" s="81">
        <v>6877</v>
      </c>
      <c r="B1417" s="165" t="s">
        <v>1902</v>
      </c>
      <c r="C1417" s="165" t="s">
        <v>3531</v>
      </c>
      <c r="E1417" s="165" t="s">
        <v>3532</v>
      </c>
      <c r="G1417" s="81">
        <v>529311</v>
      </c>
      <c r="H1417" s="81">
        <v>177427</v>
      </c>
      <c r="I1417" s="165" t="s">
        <v>240</v>
      </c>
      <c r="L1417" s="166">
        <v>0</v>
      </c>
      <c r="M1417" s="166">
        <v>59</v>
      </c>
      <c r="N1417" s="166">
        <v>59</v>
      </c>
      <c r="O1417" s="166">
        <v>69</v>
      </c>
      <c r="P1417" s="166">
        <v>69</v>
      </c>
      <c r="Q1417" s="81" t="s">
        <v>155</v>
      </c>
      <c r="R1417" s="165" t="s">
        <v>1905</v>
      </c>
      <c r="S1417" s="81" t="s">
        <v>1906</v>
      </c>
      <c r="W1417" s="81" t="s">
        <v>114</v>
      </c>
      <c r="Y1417" s="81" t="s">
        <v>115</v>
      </c>
      <c r="Z1417" s="81" t="s">
        <v>116</v>
      </c>
      <c r="AA1417" s="81" t="s">
        <v>116</v>
      </c>
      <c r="AB1417" s="81" t="s">
        <v>117</v>
      </c>
      <c r="AC1417" s="166">
        <v>0</v>
      </c>
      <c r="AG1417" s="81" t="s">
        <v>238</v>
      </c>
      <c r="AH1417" s="81" t="s">
        <v>118</v>
      </c>
      <c r="AI1417" s="81" t="s">
        <v>1751</v>
      </c>
      <c r="AJ1417" s="81">
        <v>17320349</v>
      </c>
      <c r="AK1417" s="166">
        <v>0</v>
      </c>
      <c r="AM1417" s="166">
        <v>0</v>
      </c>
      <c r="AO1417" s="166">
        <v>0</v>
      </c>
      <c r="AP1417" s="166">
        <v>0</v>
      </c>
      <c r="AQ1417" s="166">
        <v>0</v>
      </c>
      <c r="AR1417" s="166">
        <v>0</v>
      </c>
      <c r="AS1417" s="166">
        <v>0</v>
      </c>
      <c r="AT1417" s="166">
        <v>0</v>
      </c>
      <c r="AU1417" s="166">
        <v>59</v>
      </c>
      <c r="AV1417" s="166">
        <v>0</v>
      </c>
      <c r="AW1417" s="166">
        <v>0</v>
      </c>
      <c r="AX1417" s="166">
        <v>0</v>
      </c>
      <c r="AY1417" s="166">
        <v>0</v>
      </c>
      <c r="AZ1417" s="166">
        <v>0</v>
      </c>
      <c r="BA1417" s="166">
        <v>0</v>
      </c>
      <c r="BB1417" s="166">
        <v>59</v>
      </c>
      <c r="BC1417" s="166">
        <v>0</v>
      </c>
      <c r="BD1417" s="166">
        <v>0</v>
      </c>
      <c r="BE1417" s="166">
        <v>0</v>
      </c>
      <c r="BF1417" s="166">
        <v>0</v>
      </c>
      <c r="BG1417" s="166">
        <v>0</v>
      </c>
      <c r="BH1417" s="166">
        <v>0</v>
      </c>
      <c r="BI1417" s="166">
        <v>0</v>
      </c>
      <c r="BJ1417" s="166">
        <v>0</v>
      </c>
      <c r="BK1417" s="166">
        <v>0</v>
      </c>
      <c r="BL1417" s="166">
        <v>0</v>
      </c>
      <c r="BM1417" s="166">
        <v>0</v>
      </c>
      <c r="BN1417" s="166">
        <v>0</v>
      </c>
      <c r="BO1417" s="166">
        <v>0</v>
      </c>
      <c r="BP1417" s="166">
        <v>0</v>
      </c>
      <c r="BQ1417" s="81" t="s">
        <v>1759</v>
      </c>
      <c r="BS1417" s="81" t="s">
        <v>155</v>
      </c>
      <c r="BZ1417" s="81" t="s">
        <v>155</v>
      </c>
      <c r="CA1417" s="81">
        <v>12</v>
      </c>
      <c r="CC1417" s="167">
        <v>0</v>
      </c>
      <c r="CD1417" s="167">
        <v>0</v>
      </c>
      <c r="CE1417" s="167">
        <v>0</v>
      </c>
      <c r="CF1417" s="167">
        <v>0</v>
      </c>
      <c r="CG1417" s="167">
        <v>0</v>
      </c>
      <c r="CH1417" s="167">
        <v>0</v>
      </c>
      <c r="CI1417" s="167">
        <v>0</v>
      </c>
      <c r="CJ1417" s="167">
        <v>0</v>
      </c>
      <c r="CK1417" s="167">
        <f>N1417*0.84</f>
        <v>49.559999999999995</v>
      </c>
      <c r="CL1417" s="167">
        <f>N1417*0.16</f>
        <v>9.44</v>
      </c>
      <c r="CM1417" s="167">
        <v>0</v>
      </c>
      <c r="CN1417" s="167">
        <v>0</v>
      </c>
      <c r="CO1417" s="167">
        <v>0</v>
      </c>
      <c r="CP1417" s="167">
        <v>0</v>
      </c>
      <c r="CQ1417" s="167">
        <v>0</v>
      </c>
      <c r="CR1417" s="167">
        <v>0</v>
      </c>
      <c r="CS1417" s="167">
        <v>0</v>
      </c>
      <c r="CT1417" s="167">
        <v>0</v>
      </c>
      <c r="CU1417" s="167">
        <v>0</v>
      </c>
      <c r="CV1417" s="167">
        <v>0</v>
      </c>
      <c r="CW1417" s="167">
        <v>0</v>
      </c>
      <c r="CX1417" s="167">
        <f>SUM(CD1417:CH1417)</f>
        <v>0</v>
      </c>
      <c r="CY1417" s="167">
        <f>SUM(CD1417:CM1417)</f>
        <v>58.999999999999993</v>
      </c>
    </row>
    <row r="1418" spans="1:103" ht="12.75" customHeight="1" x14ac:dyDescent="0.2">
      <c r="A1418" s="81">
        <v>6877</v>
      </c>
      <c r="B1418" s="165" t="s">
        <v>1902</v>
      </c>
      <c r="C1418" s="165" t="s">
        <v>3531</v>
      </c>
      <c r="E1418" s="165" t="s">
        <v>3532</v>
      </c>
      <c r="G1418" s="81">
        <v>529311</v>
      </c>
      <c r="H1418" s="81">
        <v>177427</v>
      </c>
      <c r="I1418" s="165" t="s">
        <v>240</v>
      </c>
      <c r="L1418" s="166">
        <v>0</v>
      </c>
      <c r="M1418" s="166">
        <v>6</v>
      </c>
      <c r="N1418" s="166">
        <v>6</v>
      </c>
      <c r="O1418" s="166">
        <v>69</v>
      </c>
      <c r="P1418" s="166">
        <v>69</v>
      </c>
      <c r="Q1418" s="81" t="s">
        <v>155</v>
      </c>
      <c r="R1418" s="165" t="s">
        <v>1905</v>
      </c>
      <c r="S1418" s="81" t="s">
        <v>1906</v>
      </c>
      <c r="W1418" s="81" t="s">
        <v>114</v>
      </c>
      <c r="Y1418" s="81" t="s">
        <v>115</v>
      </c>
      <c r="Z1418" s="81" t="s">
        <v>116</v>
      </c>
      <c r="AA1418" s="81" t="s">
        <v>117</v>
      </c>
      <c r="AB1418" s="81" t="s">
        <v>218</v>
      </c>
      <c r="AC1418" s="166">
        <v>0</v>
      </c>
      <c r="AG1418" s="81" t="s">
        <v>154</v>
      </c>
      <c r="AH1418" s="81" t="s">
        <v>276</v>
      </c>
      <c r="AI1418" s="81" t="s">
        <v>1751</v>
      </c>
      <c r="AJ1418" s="81">
        <v>17320349</v>
      </c>
      <c r="AK1418" s="166">
        <v>0</v>
      </c>
      <c r="AM1418" s="166">
        <v>0</v>
      </c>
      <c r="AO1418" s="166">
        <v>0</v>
      </c>
      <c r="AP1418" s="166">
        <v>0</v>
      </c>
      <c r="AQ1418" s="166">
        <v>0</v>
      </c>
      <c r="AR1418" s="166">
        <v>0</v>
      </c>
      <c r="AS1418" s="166">
        <v>0</v>
      </c>
      <c r="AT1418" s="166">
        <v>0</v>
      </c>
      <c r="AU1418" s="166">
        <v>6</v>
      </c>
      <c r="AV1418" s="166">
        <v>0</v>
      </c>
      <c r="AW1418" s="166">
        <v>0</v>
      </c>
      <c r="AX1418" s="166">
        <v>0</v>
      </c>
      <c r="AY1418" s="166">
        <v>0</v>
      </c>
      <c r="AZ1418" s="166">
        <v>0</v>
      </c>
      <c r="BA1418" s="166">
        <v>0</v>
      </c>
      <c r="BB1418" s="166">
        <v>6</v>
      </c>
      <c r="BC1418" s="166">
        <v>0</v>
      </c>
      <c r="BD1418" s="166">
        <v>0</v>
      </c>
      <c r="BE1418" s="166">
        <v>0</v>
      </c>
      <c r="BF1418" s="166">
        <v>0</v>
      </c>
      <c r="BG1418" s="166">
        <v>0</v>
      </c>
      <c r="BH1418" s="166">
        <v>0</v>
      </c>
      <c r="BI1418" s="166">
        <v>0</v>
      </c>
      <c r="BJ1418" s="166">
        <v>0</v>
      </c>
      <c r="BK1418" s="166">
        <v>0</v>
      </c>
      <c r="BL1418" s="166">
        <v>0</v>
      </c>
      <c r="BM1418" s="166">
        <v>0</v>
      </c>
      <c r="BN1418" s="166">
        <v>0</v>
      </c>
      <c r="BO1418" s="166">
        <v>0</v>
      </c>
      <c r="BP1418" s="166">
        <v>0</v>
      </c>
      <c r="BQ1418" s="81" t="s">
        <v>1759</v>
      </c>
      <c r="BS1418" s="81" t="s">
        <v>155</v>
      </c>
      <c r="BZ1418" s="81" t="s">
        <v>155</v>
      </c>
      <c r="CA1418" s="81">
        <v>12</v>
      </c>
      <c r="CC1418" s="167">
        <v>0</v>
      </c>
      <c r="CD1418" s="167">
        <v>0</v>
      </c>
      <c r="CE1418" s="167">
        <v>0</v>
      </c>
      <c r="CF1418" s="167">
        <v>0</v>
      </c>
      <c r="CG1418" s="167">
        <v>0</v>
      </c>
      <c r="CH1418" s="167">
        <v>0</v>
      </c>
      <c r="CI1418" s="167">
        <v>0</v>
      </c>
      <c r="CJ1418" s="167">
        <v>0</v>
      </c>
      <c r="CK1418" s="167">
        <f>N1418*0.84</f>
        <v>5.04</v>
      </c>
      <c r="CL1418" s="167">
        <f>N1418*0.16</f>
        <v>0.96</v>
      </c>
      <c r="CM1418" s="167">
        <v>0</v>
      </c>
      <c r="CN1418" s="167">
        <v>0</v>
      </c>
      <c r="CO1418" s="167">
        <v>0</v>
      </c>
      <c r="CP1418" s="167">
        <v>0</v>
      </c>
      <c r="CQ1418" s="167">
        <v>0</v>
      </c>
      <c r="CR1418" s="167">
        <v>0</v>
      </c>
      <c r="CS1418" s="167">
        <v>0</v>
      </c>
      <c r="CT1418" s="167">
        <v>0</v>
      </c>
      <c r="CU1418" s="167">
        <v>0</v>
      </c>
      <c r="CV1418" s="167">
        <v>0</v>
      </c>
      <c r="CW1418" s="167">
        <v>0</v>
      </c>
      <c r="CX1418" s="167">
        <f>SUM(CD1418:CH1418)</f>
        <v>0</v>
      </c>
      <c r="CY1418" s="167">
        <f>SUM(CD1418:CM1418)</f>
        <v>6</v>
      </c>
    </row>
    <row r="1419" spans="1:103" ht="12.75" customHeight="1" x14ac:dyDescent="0.2">
      <c r="A1419" s="81">
        <v>6877</v>
      </c>
      <c r="B1419" s="165" t="s">
        <v>1902</v>
      </c>
      <c r="C1419" s="165" t="s">
        <v>3531</v>
      </c>
      <c r="E1419" s="165" t="s">
        <v>3532</v>
      </c>
      <c r="G1419" s="81">
        <v>529311</v>
      </c>
      <c r="H1419" s="81">
        <v>177427</v>
      </c>
      <c r="I1419" s="165" t="s">
        <v>240</v>
      </c>
      <c r="L1419" s="166">
        <v>0</v>
      </c>
      <c r="M1419" s="166">
        <v>4</v>
      </c>
      <c r="N1419" s="166">
        <v>4</v>
      </c>
      <c r="O1419" s="166">
        <v>69</v>
      </c>
      <c r="P1419" s="166">
        <v>69</v>
      </c>
      <c r="Q1419" s="81" t="s">
        <v>155</v>
      </c>
      <c r="R1419" s="165" t="s">
        <v>1905</v>
      </c>
      <c r="S1419" s="81" t="s">
        <v>1906</v>
      </c>
      <c r="W1419" s="81" t="s">
        <v>114</v>
      </c>
      <c r="Y1419" s="81" t="s">
        <v>115</v>
      </c>
      <c r="Z1419" s="81" t="s">
        <v>116</v>
      </c>
      <c r="AA1419" s="81" t="s">
        <v>117</v>
      </c>
      <c r="AB1419" s="81" t="s">
        <v>218</v>
      </c>
      <c r="AC1419" s="166">
        <v>0</v>
      </c>
      <c r="AG1419" s="81" t="s">
        <v>74</v>
      </c>
      <c r="AH1419" s="81" t="s">
        <v>990</v>
      </c>
      <c r="AI1419" s="81" t="s">
        <v>1751</v>
      </c>
      <c r="AJ1419" s="81">
        <v>17320349</v>
      </c>
      <c r="AK1419" s="166">
        <v>0</v>
      </c>
      <c r="AM1419" s="166">
        <v>0</v>
      </c>
      <c r="AO1419" s="166">
        <v>0</v>
      </c>
      <c r="AP1419" s="166">
        <v>0</v>
      </c>
      <c r="AQ1419" s="166">
        <v>0</v>
      </c>
      <c r="AR1419" s="166">
        <v>0</v>
      </c>
      <c r="AS1419" s="166">
        <v>0</v>
      </c>
      <c r="AT1419" s="166">
        <v>0</v>
      </c>
      <c r="AU1419" s="166">
        <v>4</v>
      </c>
      <c r="AV1419" s="166">
        <v>0</v>
      </c>
      <c r="AW1419" s="166">
        <v>0</v>
      </c>
      <c r="AX1419" s="166">
        <v>0</v>
      </c>
      <c r="AY1419" s="166">
        <v>0</v>
      </c>
      <c r="AZ1419" s="166">
        <v>0</v>
      </c>
      <c r="BA1419" s="166">
        <v>0</v>
      </c>
      <c r="BB1419" s="166">
        <v>4</v>
      </c>
      <c r="BC1419" s="166">
        <v>0</v>
      </c>
      <c r="BD1419" s="166">
        <v>0</v>
      </c>
      <c r="BE1419" s="166">
        <v>0</v>
      </c>
      <c r="BF1419" s="166">
        <v>0</v>
      </c>
      <c r="BG1419" s="166">
        <v>0</v>
      </c>
      <c r="BH1419" s="166">
        <v>0</v>
      </c>
      <c r="BI1419" s="166">
        <v>0</v>
      </c>
      <c r="BJ1419" s="166">
        <v>0</v>
      </c>
      <c r="BK1419" s="166">
        <v>0</v>
      </c>
      <c r="BL1419" s="166">
        <v>0</v>
      </c>
      <c r="BM1419" s="166">
        <v>0</v>
      </c>
      <c r="BN1419" s="166">
        <v>0</v>
      </c>
      <c r="BO1419" s="166">
        <v>0</v>
      </c>
      <c r="BP1419" s="166">
        <v>0</v>
      </c>
      <c r="BQ1419" s="81" t="s">
        <v>1759</v>
      </c>
      <c r="BS1419" s="81" t="s">
        <v>155</v>
      </c>
      <c r="BZ1419" s="81" t="s">
        <v>155</v>
      </c>
      <c r="CA1419" s="81">
        <v>12</v>
      </c>
      <c r="CC1419" s="167">
        <v>0</v>
      </c>
      <c r="CD1419" s="167">
        <v>0</v>
      </c>
      <c r="CE1419" s="167">
        <v>0</v>
      </c>
      <c r="CF1419" s="167">
        <v>0</v>
      </c>
      <c r="CG1419" s="167">
        <v>0</v>
      </c>
      <c r="CH1419" s="167">
        <v>0</v>
      </c>
      <c r="CI1419" s="167">
        <v>0</v>
      </c>
      <c r="CJ1419" s="167">
        <v>0</v>
      </c>
      <c r="CK1419" s="167">
        <f>N1419*0.84</f>
        <v>3.36</v>
      </c>
      <c r="CL1419" s="167">
        <f>N1419*0.16</f>
        <v>0.64</v>
      </c>
      <c r="CM1419" s="167">
        <v>0</v>
      </c>
      <c r="CN1419" s="167">
        <v>0</v>
      </c>
      <c r="CO1419" s="167">
        <v>0</v>
      </c>
      <c r="CP1419" s="167">
        <v>0</v>
      </c>
      <c r="CQ1419" s="167">
        <v>0</v>
      </c>
      <c r="CR1419" s="167">
        <v>0</v>
      </c>
      <c r="CS1419" s="167">
        <v>0</v>
      </c>
      <c r="CT1419" s="167">
        <v>0</v>
      </c>
      <c r="CU1419" s="167">
        <v>0</v>
      </c>
      <c r="CV1419" s="167">
        <v>0</v>
      </c>
      <c r="CW1419" s="167">
        <v>0</v>
      </c>
      <c r="CX1419" s="167">
        <f>SUM(CD1419:CH1419)</f>
        <v>0</v>
      </c>
      <c r="CY1419" s="167">
        <f>SUM(CD1419:CM1419)</f>
        <v>4</v>
      </c>
    </row>
    <row r="1420" spans="1:103" ht="12.75" customHeight="1" x14ac:dyDescent="0.2">
      <c r="A1420" s="81">
        <v>6889</v>
      </c>
      <c r="B1420" s="165" t="s">
        <v>1902</v>
      </c>
      <c r="C1420" s="165" t="s">
        <v>3533</v>
      </c>
      <c r="E1420" s="165" t="s">
        <v>3534</v>
      </c>
      <c r="F1420" s="165" t="s">
        <v>3535</v>
      </c>
      <c r="G1420" s="81">
        <v>529292</v>
      </c>
      <c r="H1420" s="81">
        <v>177503</v>
      </c>
      <c r="I1420" s="165" t="s">
        <v>240</v>
      </c>
      <c r="L1420" s="166">
        <v>0</v>
      </c>
      <c r="M1420" s="166">
        <v>6</v>
      </c>
      <c r="N1420" s="166">
        <v>6</v>
      </c>
      <c r="O1420" s="166">
        <v>93</v>
      </c>
      <c r="P1420" s="166">
        <v>93</v>
      </c>
      <c r="Q1420" s="81" t="s">
        <v>155</v>
      </c>
      <c r="R1420" s="165" t="s">
        <v>1905</v>
      </c>
      <c r="S1420" s="81" t="s">
        <v>1906</v>
      </c>
      <c r="W1420" s="81" t="s">
        <v>114</v>
      </c>
      <c r="Y1420" s="81" t="s">
        <v>115</v>
      </c>
      <c r="Z1420" s="81" t="s">
        <v>116</v>
      </c>
      <c r="AA1420" s="81" t="s">
        <v>117</v>
      </c>
      <c r="AB1420" s="81" t="s">
        <v>218</v>
      </c>
      <c r="AC1420" s="166">
        <v>0</v>
      </c>
      <c r="AG1420" s="81" t="s">
        <v>74</v>
      </c>
      <c r="AH1420" s="81" t="s">
        <v>990</v>
      </c>
      <c r="AI1420" s="81" t="s">
        <v>1739</v>
      </c>
      <c r="AJ1420" s="81">
        <v>17320103</v>
      </c>
      <c r="AK1420" s="166">
        <v>0</v>
      </c>
      <c r="AM1420" s="166">
        <v>0</v>
      </c>
      <c r="AO1420" s="166">
        <v>0</v>
      </c>
      <c r="AP1420" s="166">
        <v>0</v>
      </c>
      <c r="AQ1420" s="166">
        <v>0</v>
      </c>
      <c r="AR1420" s="166">
        <v>0</v>
      </c>
      <c r="AS1420" s="166">
        <v>0</v>
      </c>
      <c r="AT1420" s="166">
        <v>0</v>
      </c>
      <c r="AU1420" s="166">
        <v>6</v>
      </c>
      <c r="AV1420" s="166">
        <v>0</v>
      </c>
      <c r="AW1420" s="166">
        <v>0</v>
      </c>
      <c r="AX1420" s="166">
        <v>0</v>
      </c>
      <c r="AY1420" s="166">
        <v>0</v>
      </c>
      <c r="AZ1420" s="166">
        <v>0</v>
      </c>
      <c r="BA1420" s="166">
        <v>0</v>
      </c>
      <c r="BB1420" s="166">
        <v>6</v>
      </c>
      <c r="BC1420" s="166">
        <v>0</v>
      </c>
      <c r="BD1420" s="166">
        <v>0</v>
      </c>
      <c r="BE1420" s="166">
        <v>0</v>
      </c>
      <c r="BF1420" s="166">
        <v>0</v>
      </c>
      <c r="BG1420" s="166">
        <v>0</v>
      </c>
      <c r="BH1420" s="166">
        <v>0</v>
      </c>
      <c r="BI1420" s="166">
        <v>0</v>
      </c>
      <c r="BJ1420" s="166">
        <v>0</v>
      </c>
      <c r="BK1420" s="166">
        <v>0</v>
      </c>
      <c r="BL1420" s="166">
        <v>0</v>
      </c>
      <c r="BM1420" s="166">
        <v>0</v>
      </c>
      <c r="BN1420" s="166">
        <v>0</v>
      </c>
      <c r="BO1420" s="166">
        <v>0</v>
      </c>
      <c r="BP1420" s="166">
        <v>0</v>
      </c>
      <c r="BQ1420" s="81" t="s">
        <v>1759</v>
      </c>
      <c r="BS1420" s="81" t="s">
        <v>155</v>
      </c>
      <c r="BZ1420" s="81" t="s">
        <v>155</v>
      </c>
      <c r="CA1420" s="81">
        <v>12</v>
      </c>
      <c r="CC1420" s="167">
        <v>0</v>
      </c>
      <c r="CD1420" s="167">
        <v>0</v>
      </c>
      <c r="CE1420" s="167">
        <v>0</v>
      </c>
      <c r="CF1420" s="167">
        <v>0</v>
      </c>
      <c r="CG1420" s="167">
        <v>0</v>
      </c>
      <c r="CH1420" s="167">
        <v>0</v>
      </c>
      <c r="CI1420" s="167">
        <v>0</v>
      </c>
      <c r="CJ1420" s="167">
        <v>0</v>
      </c>
      <c r="CK1420" s="167">
        <f>N1420</f>
        <v>6</v>
      </c>
      <c r="CL1420" s="167">
        <v>0</v>
      </c>
      <c r="CM1420" s="167">
        <v>0</v>
      </c>
      <c r="CN1420" s="167">
        <v>0</v>
      </c>
      <c r="CO1420" s="167">
        <v>0</v>
      </c>
      <c r="CP1420" s="167">
        <v>0</v>
      </c>
      <c r="CQ1420" s="167">
        <v>0</v>
      </c>
      <c r="CR1420" s="167">
        <v>0</v>
      </c>
      <c r="CS1420" s="167">
        <v>0</v>
      </c>
      <c r="CT1420" s="167">
        <v>0</v>
      </c>
      <c r="CU1420" s="167">
        <v>0</v>
      </c>
      <c r="CV1420" s="167">
        <v>0</v>
      </c>
      <c r="CW1420" s="167">
        <v>0</v>
      </c>
      <c r="CX1420" s="167">
        <f>SUM(CD1420:CH1420)</f>
        <v>0</v>
      </c>
      <c r="CY1420" s="167">
        <f>SUM(CD1420:CM1420)</f>
        <v>6</v>
      </c>
    </row>
    <row r="1421" spans="1:103" ht="12.75" customHeight="1" x14ac:dyDescent="0.2">
      <c r="A1421" s="81">
        <v>6889</v>
      </c>
      <c r="B1421" s="165" t="s">
        <v>1902</v>
      </c>
      <c r="C1421" s="165" t="s">
        <v>3533</v>
      </c>
      <c r="E1421" s="165" t="s">
        <v>3534</v>
      </c>
      <c r="F1421" s="165" t="s">
        <v>1556</v>
      </c>
      <c r="G1421" s="81">
        <v>529292</v>
      </c>
      <c r="H1421" s="81">
        <v>177503</v>
      </c>
      <c r="I1421" s="165" t="s">
        <v>240</v>
      </c>
      <c r="L1421" s="166">
        <v>0</v>
      </c>
      <c r="M1421" s="166">
        <v>79</v>
      </c>
      <c r="N1421" s="166">
        <v>79</v>
      </c>
      <c r="O1421" s="166">
        <v>93</v>
      </c>
      <c r="P1421" s="166">
        <v>93</v>
      </c>
      <c r="Q1421" s="81" t="s">
        <v>155</v>
      </c>
      <c r="R1421" s="165" t="s">
        <v>1905</v>
      </c>
      <c r="S1421" s="81" t="s">
        <v>1906</v>
      </c>
      <c r="W1421" s="81" t="s">
        <v>114</v>
      </c>
      <c r="Y1421" s="81" t="s">
        <v>115</v>
      </c>
      <c r="Z1421" s="81" t="s">
        <v>116</v>
      </c>
      <c r="AA1421" s="81" t="s">
        <v>116</v>
      </c>
      <c r="AB1421" s="81" t="s">
        <v>117</v>
      </c>
      <c r="AC1421" s="166">
        <v>0</v>
      </c>
      <c r="AG1421" s="81" t="s">
        <v>238</v>
      </c>
      <c r="AH1421" s="81" t="s">
        <v>118</v>
      </c>
      <c r="AI1421" s="81" t="s">
        <v>1739</v>
      </c>
      <c r="AJ1421" s="81">
        <v>17320103</v>
      </c>
      <c r="AK1421" s="166">
        <v>0</v>
      </c>
      <c r="AM1421" s="166">
        <v>0</v>
      </c>
      <c r="AO1421" s="166">
        <v>0</v>
      </c>
      <c r="AP1421" s="166">
        <v>0</v>
      </c>
      <c r="AQ1421" s="166">
        <v>0</v>
      </c>
      <c r="AR1421" s="166">
        <v>0</v>
      </c>
      <c r="AS1421" s="166">
        <v>0</v>
      </c>
      <c r="AT1421" s="166">
        <v>0</v>
      </c>
      <c r="AU1421" s="166">
        <v>79</v>
      </c>
      <c r="AV1421" s="166">
        <v>0</v>
      </c>
      <c r="AW1421" s="166">
        <v>0</v>
      </c>
      <c r="AX1421" s="166">
        <v>0</v>
      </c>
      <c r="AY1421" s="166">
        <v>0</v>
      </c>
      <c r="AZ1421" s="166">
        <v>0</v>
      </c>
      <c r="BA1421" s="166">
        <v>0</v>
      </c>
      <c r="BB1421" s="166">
        <v>79</v>
      </c>
      <c r="BC1421" s="166">
        <v>0</v>
      </c>
      <c r="BD1421" s="166">
        <v>0</v>
      </c>
      <c r="BE1421" s="166">
        <v>0</v>
      </c>
      <c r="BF1421" s="166">
        <v>0</v>
      </c>
      <c r="BG1421" s="166">
        <v>0</v>
      </c>
      <c r="BH1421" s="166">
        <v>0</v>
      </c>
      <c r="BI1421" s="166">
        <v>0</v>
      </c>
      <c r="BJ1421" s="166">
        <v>0</v>
      </c>
      <c r="BK1421" s="166">
        <v>0</v>
      </c>
      <c r="BL1421" s="166">
        <v>0</v>
      </c>
      <c r="BM1421" s="166">
        <v>0</v>
      </c>
      <c r="BN1421" s="166">
        <v>0</v>
      </c>
      <c r="BO1421" s="166">
        <v>0</v>
      </c>
      <c r="BP1421" s="166">
        <v>0</v>
      </c>
      <c r="BQ1421" s="81" t="s">
        <v>1759</v>
      </c>
      <c r="BS1421" s="81" t="s">
        <v>155</v>
      </c>
      <c r="BZ1421" s="81" t="s">
        <v>155</v>
      </c>
      <c r="CA1421" s="81">
        <v>12</v>
      </c>
      <c r="CC1421" s="167">
        <v>0</v>
      </c>
      <c r="CD1421" s="167">
        <v>0</v>
      </c>
      <c r="CE1421" s="167">
        <v>0</v>
      </c>
      <c r="CF1421" s="167">
        <v>0</v>
      </c>
      <c r="CG1421" s="167">
        <v>0</v>
      </c>
      <c r="CH1421" s="167">
        <v>0</v>
      </c>
      <c r="CI1421" s="167">
        <v>0</v>
      </c>
      <c r="CJ1421" s="167">
        <v>0</v>
      </c>
      <c r="CK1421" s="167">
        <f>N1421</f>
        <v>79</v>
      </c>
      <c r="CL1421" s="167">
        <v>0</v>
      </c>
      <c r="CM1421" s="167">
        <v>0</v>
      </c>
      <c r="CN1421" s="167">
        <v>0</v>
      </c>
      <c r="CO1421" s="167">
        <v>0</v>
      </c>
      <c r="CP1421" s="167">
        <v>0</v>
      </c>
      <c r="CQ1421" s="167">
        <v>0</v>
      </c>
      <c r="CR1421" s="167">
        <v>0</v>
      </c>
      <c r="CS1421" s="167">
        <v>0</v>
      </c>
      <c r="CT1421" s="167">
        <v>0</v>
      </c>
      <c r="CU1421" s="167">
        <v>0</v>
      </c>
      <c r="CV1421" s="167">
        <v>0</v>
      </c>
      <c r="CW1421" s="167">
        <v>0</v>
      </c>
      <c r="CX1421" s="167">
        <f>SUM(CD1421:CH1421)</f>
        <v>0</v>
      </c>
      <c r="CY1421" s="167">
        <f>SUM(CD1421:CM1421)</f>
        <v>79</v>
      </c>
    </row>
    <row r="1422" spans="1:103" ht="12.75" customHeight="1" x14ac:dyDescent="0.2">
      <c r="A1422" s="81">
        <v>6889</v>
      </c>
      <c r="B1422" s="165" t="s">
        <v>1902</v>
      </c>
      <c r="C1422" s="165" t="s">
        <v>3533</v>
      </c>
      <c r="E1422" s="165" t="s">
        <v>3534</v>
      </c>
      <c r="F1422" s="165" t="s">
        <v>3536</v>
      </c>
      <c r="G1422" s="81">
        <v>529292</v>
      </c>
      <c r="H1422" s="81">
        <v>177503</v>
      </c>
      <c r="I1422" s="165" t="s">
        <v>240</v>
      </c>
      <c r="L1422" s="166">
        <v>0</v>
      </c>
      <c r="M1422" s="166">
        <v>8</v>
      </c>
      <c r="N1422" s="166">
        <v>8</v>
      </c>
      <c r="O1422" s="166">
        <v>93</v>
      </c>
      <c r="P1422" s="166">
        <v>93</v>
      </c>
      <c r="Q1422" s="81" t="s">
        <v>155</v>
      </c>
      <c r="R1422" s="165" t="s">
        <v>1905</v>
      </c>
      <c r="S1422" s="81" t="s">
        <v>1906</v>
      </c>
      <c r="W1422" s="81" t="s">
        <v>114</v>
      </c>
      <c r="Y1422" s="81" t="s">
        <v>115</v>
      </c>
      <c r="Z1422" s="81" t="s">
        <v>116</v>
      </c>
      <c r="AA1422" s="81" t="s">
        <v>117</v>
      </c>
      <c r="AB1422" s="81" t="s">
        <v>218</v>
      </c>
      <c r="AC1422" s="166">
        <v>0</v>
      </c>
      <c r="AG1422" s="81" t="s">
        <v>154</v>
      </c>
      <c r="AH1422" s="81" t="s">
        <v>276</v>
      </c>
      <c r="AI1422" s="81" t="s">
        <v>1739</v>
      </c>
      <c r="AJ1422" s="81">
        <v>17320103</v>
      </c>
      <c r="AK1422" s="166">
        <v>0</v>
      </c>
      <c r="AM1422" s="166">
        <v>0</v>
      </c>
      <c r="AO1422" s="166">
        <v>0</v>
      </c>
      <c r="AP1422" s="166">
        <v>0</v>
      </c>
      <c r="AQ1422" s="166">
        <v>0</v>
      </c>
      <c r="AR1422" s="166">
        <v>0</v>
      </c>
      <c r="AS1422" s="166">
        <v>0</v>
      </c>
      <c r="AT1422" s="166">
        <v>0</v>
      </c>
      <c r="AU1422" s="166">
        <v>8</v>
      </c>
      <c r="AV1422" s="166">
        <v>0</v>
      </c>
      <c r="AW1422" s="166">
        <v>0</v>
      </c>
      <c r="AX1422" s="166">
        <v>0</v>
      </c>
      <c r="AY1422" s="166">
        <v>0</v>
      </c>
      <c r="AZ1422" s="166">
        <v>0</v>
      </c>
      <c r="BA1422" s="166">
        <v>0</v>
      </c>
      <c r="BB1422" s="166">
        <v>8</v>
      </c>
      <c r="BC1422" s="166">
        <v>0</v>
      </c>
      <c r="BD1422" s="166">
        <v>0</v>
      </c>
      <c r="BE1422" s="166">
        <v>0</v>
      </c>
      <c r="BF1422" s="166">
        <v>0</v>
      </c>
      <c r="BG1422" s="166">
        <v>0</v>
      </c>
      <c r="BH1422" s="166">
        <v>0</v>
      </c>
      <c r="BI1422" s="166">
        <v>0</v>
      </c>
      <c r="BJ1422" s="166">
        <v>0</v>
      </c>
      <c r="BK1422" s="166">
        <v>0</v>
      </c>
      <c r="BL1422" s="166">
        <v>0</v>
      </c>
      <c r="BM1422" s="166">
        <v>0</v>
      </c>
      <c r="BN1422" s="166">
        <v>0</v>
      </c>
      <c r="BO1422" s="166">
        <v>0</v>
      </c>
      <c r="BP1422" s="166">
        <v>0</v>
      </c>
      <c r="BQ1422" s="81" t="s">
        <v>1759</v>
      </c>
      <c r="BS1422" s="81" t="s">
        <v>155</v>
      </c>
      <c r="BZ1422" s="81" t="s">
        <v>155</v>
      </c>
      <c r="CA1422" s="81">
        <v>12</v>
      </c>
      <c r="CC1422" s="167">
        <v>0</v>
      </c>
      <c r="CD1422" s="167">
        <v>0</v>
      </c>
      <c r="CE1422" s="167">
        <v>0</v>
      </c>
      <c r="CF1422" s="167">
        <v>0</v>
      </c>
      <c r="CG1422" s="167">
        <v>0</v>
      </c>
      <c r="CH1422" s="167">
        <v>0</v>
      </c>
      <c r="CI1422" s="167">
        <v>0</v>
      </c>
      <c r="CJ1422" s="167">
        <v>0</v>
      </c>
      <c r="CK1422" s="167">
        <f>N1422</f>
        <v>8</v>
      </c>
      <c r="CL1422" s="167">
        <v>0</v>
      </c>
      <c r="CM1422" s="167">
        <v>0</v>
      </c>
      <c r="CN1422" s="167">
        <v>0</v>
      </c>
      <c r="CO1422" s="167">
        <v>0</v>
      </c>
      <c r="CP1422" s="167">
        <v>0</v>
      </c>
      <c r="CQ1422" s="167">
        <v>0</v>
      </c>
      <c r="CR1422" s="167">
        <v>0</v>
      </c>
      <c r="CS1422" s="167">
        <v>0</v>
      </c>
      <c r="CT1422" s="167">
        <v>0</v>
      </c>
      <c r="CU1422" s="167">
        <v>0</v>
      </c>
      <c r="CV1422" s="167">
        <v>0</v>
      </c>
      <c r="CW1422" s="167">
        <v>0</v>
      </c>
      <c r="CX1422" s="167">
        <f>SUM(CD1422:CH1422)</f>
        <v>0</v>
      </c>
      <c r="CY1422" s="167">
        <f>SUM(CD1422:CM1422)</f>
        <v>8</v>
      </c>
    </row>
    <row r="1423" spans="1:103" ht="12.75" customHeight="1" x14ac:dyDescent="0.2">
      <c r="A1423" s="81">
        <v>6890</v>
      </c>
      <c r="B1423" s="165" t="s">
        <v>1902</v>
      </c>
      <c r="C1423" s="165" t="s">
        <v>3537</v>
      </c>
      <c r="E1423" s="165" t="s">
        <v>3538</v>
      </c>
      <c r="F1423" s="165" t="s">
        <v>3535</v>
      </c>
      <c r="G1423" s="81">
        <v>529517</v>
      </c>
      <c r="H1423" s="81">
        <v>177263</v>
      </c>
      <c r="I1423" s="165" t="s">
        <v>240</v>
      </c>
      <c r="L1423" s="166">
        <v>0</v>
      </c>
      <c r="M1423" s="166">
        <v>3</v>
      </c>
      <c r="N1423" s="166">
        <v>3</v>
      </c>
      <c r="O1423" s="166">
        <v>51</v>
      </c>
      <c r="P1423" s="166">
        <v>51</v>
      </c>
      <c r="Q1423" s="81" t="s">
        <v>155</v>
      </c>
      <c r="R1423" s="165" t="s">
        <v>1905</v>
      </c>
      <c r="S1423" s="81" t="s">
        <v>1906</v>
      </c>
      <c r="W1423" s="81" t="s">
        <v>114</v>
      </c>
      <c r="Y1423" s="81" t="s">
        <v>115</v>
      </c>
      <c r="Z1423" s="81" t="s">
        <v>116</v>
      </c>
      <c r="AA1423" s="81" t="s">
        <v>117</v>
      </c>
      <c r="AB1423" s="81" t="s">
        <v>218</v>
      </c>
      <c r="AC1423" s="166">
        <v>0</v>
      </c>
      <c r="AG1423" s="81" t="s">
        <v>74</v>
      </c>
      <c r="AH1423" s="81" t="s">
        <v>990</v>
      </c>
      <c r="AI1423" s="81" t="s">
        <v>1743</v>
      </c>
      <c r="AJ1423" s="81">
        <v>17320133</v>
      </c>
      <c r="AK1423" s="166">
        <v>0</v>
      </c>
      <c r="AM1423" s="166">
        <v>0</v>
      </c>
      <c r="AO1423" s="166">
        <v>0</v>
      </c>
      <c r="AP1423" s="166">
        <v>0</v>
      </c>
      <c r="AQ1423" s="166">
        <v>0</v>
      </c>
      <c r="AR1423" s="166">
        <v>0</v>
      </c>
      <c r="AS1423" s="166">
        <v>0</v>
      </c>
      <c r="AT1423" s="166">
        <v>0</v>
      </c>
      <c r="AU1423" s="166">
        <v>3</v>
      </c>
      <c r="AV1423" s="166">
        <v>0</v>
      </c>
      <c r="AW1423" s="166">
        <v>0</v>
      </c>
      <c r="AX1423" s="166">
        <v>0</v>
      </c>
      <c r="AY1423" s="166">
        <v>0</v>
      </c>
      <c r="AZ1423" s="166">
        <v>0</v>
      </c>
      <c r="BA1423" s="166">
        <v>0</v>
      </c>
      <c r="BB1423" s="166">
        <v>3</v>
      </c>
      <c r="BC1423" s="166">
        <v>0</v>
      </c>
      <c r="BD1423" s="166">
        <v>0</v>
      </c>
      <c r="BE1423" s="166">
        <v>0</v>
      </c>
      <c r="BF1423" s="166">
        <v>0</v>
      </c>
      <c r="BG1423" s="166">
        <v>0</v>
      </c>
      <c r="BH1423" s="166">
        <v>0</v>
      </c>
      <c r="BI1423" s="166">
        <v>0</v>
      </c>
      <c r="BJ1423" s="166">
        <v>0</v>
      </c>
      <c r="BK1423" s="166">
        <v>0</v>
      </c>
      <c r="BL1423" s="166">
        <v>0</v>
      </c>
      <c r="BM1423" s="166">
        <v>0</v>
      </c>
      <c r="BN1423" s="166">
        <v>0</v>
      </c>
      <c r="BO1423" s="166">
        <v>0</v>
      </c>
      <c r="BP1423" s="166">
        <v>0</v>
      </c>
      <c r="BQ1423" s="81" t="s">
        <v>1759</v>
      </c>
      <c r="BS1423" s="81" t="s">
        <v>155</v>
      </c>
      <c r="BZ1423" s="81" t="s">
        <v>155</v>
      </c>
      <c r="CA1423" s="81">
        <v>12</v>
      </c>
      <c r="CC1423" s="167">
        <v>0</v>
      </c>
      <c r="CD1423" s="167">
        <v>0</v>
      </c>
      <c r="CE1423" s="167">
        <v>0</v>
      </c>
      <c r="CF1423" s="167">
        <v>0</v>
      </c>
      <c r="CG1423" s="167">
        <v>0</v>
      </c>
      <c r="CH1423" s="167">
        <f>N1423</f>
        <v>3</v>
      </c>
      <c r="CI1423" s="167">
        <v>0</v>
      </c>
      <c r="CJ1423" s="167">
        <v>0</v>
      </c>
      <c r="CK1423" s="167">
        <v>0</v>
      </c>
      <c r="CL1423" s="167">
        <v>0</v>
      </c>
      <c r="CM1423" s="167">
        <v>0</v>
      </c>
      <c r="CN1423" s="167">
        <v>0</v>
      </c>
      <c r="CO1423" s="167">
        <v>0</v>
      </c>
      <c r="CP1423" s="167">
        <v>0</v>
      </c>
      <c r="CQ1423" s="167">
        <v>0</v>
      </c>
      <c r="CR1423" s="167">
        <v>0</v>
      </c>
      <c r="CS1423" s="167">
        <v>0</v>
      </c>
      <c r="CT1423" s="167">
        <v>0</v>
      </c>
      <c r="CU1423" s="167">
        <v>0</v>
      </c>
      <c r="CV1423" s="167">
        <v>0</v>
      </c>
      <c r="CW1423" s="167">
        <v>0</v>
      </c>
      <c r="CX1423" s="167">
        <f>SUM(CD1423:CH1423)</f>
        <v>3</v>
      </c>
      <c r="CY1423" s="167">
        <f>SUM(CD1423:CM1423)</f>
        <v>3</v>
      </c>
    </row>
    <row r="1424" spans="1:103" ht="12.75" customHeight="1" x14ac:dyDescent="0.2">
      <c r="A1424" s="81">
        <v>6890</v>
      </c>
      <c r="B1424" s="165" t="s">
        <v>1902</v>
      </c>
      <c r="C1424" s="165" t="s">
        <v>3537</v>
      </c>
      <c r="E1424" s="165" t="s">
        <v>3538</v>
      </c>
      <c r="F1424" s="165" t="s">
        <v>1556</v>
      </c>
      <c r="G1424" s="81">
        <v>529517</v>
      </c>
      <c r="H1424" s="81">
        <v>177263</v>
      </c>
      <c r="I1424" s="165" t="s">
        <v>240</v>
      </c>
      <c r="L1424" s="166">
        <v>0</v>
      </c>
      <c r="M1424" s="166">
        <v>43</v>
      </c>
      <c r="N1424" s="166">
        <v>43</v>
      </c>
      <c r="O1424" s="166">
        <v>51</v>
      </c>
      <c r="P1424" s="166">
        <v>51</v>
      </c>
      <c r="Q1424" s="81" t="s">
        <v>155</v>
      </c>
      <c r="R1424" s="165" t="s">
        <v>1905</v>
      </c>
      <c r="S1424" s="81" t="s">
        <v>1906</v>
      </c>
      <c r="W1424" s="81" t="s">
        <v>114</v>
      </c>
      <c r="Y1424" s="81" t="s">
        <v>115</v>
      </c>
      <c r="Z1424" s="81" t="s">
        <v>116</v>
      </c>
      <c r="AA1424" s="81" t="s">
        <v>116</v>
      </c>
      <c r="AB1424" s="81" t="s">
        <v>117</v>
      </c>
      <c r="AC1424" s="166">
        <v>0</v>
      </c>
      <c r="AG1424" s="81" t="s">
        <v>238</v>
      </c>
      <c r="AH1424" s="81" t="s">
        <v>118</v>
      </c>
      <c r="AI1424" s="81" t="s">
        <v>1743</v>
      </c>
      <c r="AJ1424" s="81">
        <v>17320133</v>
      </c>
      <c r="AK1424" s="166">
        <v>0</v>
      </c>
      <c r="AM1424" s="166">
        <v>0</v>
      </c>
      <c r="AO1424" s="166">
        <v>0</v>
      </c>
      <c r="AP1424" s="166">
        <v>0</v>
      </c>
      <c r="AQ1424" s="166">
        <v>0</v>
      </c>
      <c r="AR1424" s="166">
        <v>0</v>
      </c>
      <c r="AS1424" s="166">
        <v>0</v>
      </c>
      <c r="AT1424" s="166">
        <v>0</v>
      </c>
      <c r="AU1424" s="166">
        <v>43</v>
      </c>
      <c r="AV1424" s="166">
        <v>0</v>
      </c>
      <c r="AW1424" s="166">
        <v>0</v>
      </c>
      <c r="AX1424" s="166">
        <v>0</v>
      </c>
      <c r="AY1424" s="166">
        <v>0</v>
      </c>
      <c r="AZ1424" s="166">
        <v>0</v>
      </c>
      <c r="BA1424" s="166">
        <v>0</v>
      </c>
      <c r="BB1424" s="166">
        <v>43</v>
      </c>
      <c r="BC1424" s="166">
        <v>0</v>
      </c>
      <c r="BD1424" s="166">
        <v>0</v>
      </c>
      <c r="BE1424" s="166">
        <v>0</v>
      </c>
      <c r="BF1424" s="166">
        <v>0</v>
      </c>
      <c r="BG1424" s="166">
        <v>0</v>
      </c>
      <c r="BH1424" s="166">
        <v>0</v>
      </c>
      <c r="BI1424" s="166">
        <v>0</v>
      </c>
      <c r="BJ1424" s="166">
        <v>0</v>
      </c>
      <c r="BK1424" s="166">
        <v>0</v>
      </c>
      <c r="BL1424" s="166">
        <v>0</v>
      </c>
      <c r="BM1424" s="166">
        <v>0</v>
      </c>
      <c r="BN1424" s="166">
        <v>0</v>
      </c>
      <c r="BO1424" s="166">
        <v>0</v>
      </c>
      <c r="BP1424" s="166">
        <v>0</v>
      </c>
      <c r="BQ1424" s="81" t="s">
        <v>1759</v>
      </c>
      <c r="BS1424" s="81" t="s">
        <v>155</v>
      </c>
      <c r="BZ1424" s="81" t="s">
        <v>155</v>
      </c>
      <c r="CA1424" s="81">
        <v>12</v>
      </c>
      <c r="CC1424" s="167">
        <v>0</v>
      </c>
      <c r="CD1424" s="167">
        <v>0</v>
      </c>
      <c r="CE1424" s="167">
        <v>0</v>
      </c>
      <c r="CF1424" s="167">
        <v>0</v>
      </c>
      <c r="CG1424" s="167">
        <v>0</v>
      </c>
      <c r="CH1424" s="167">
        <f>N1424</f>
        <v>43</v>
      </c>
      <c r="CI1424" s="167">
        <v>0</v>
      </c>
      <c r="CJ1424" s="167">
        <v>0</v>
      </c>
      <c r="CK1424" s="167">
        <v>0</v>
      </c>
      <c r="CL1424" s="167">
        <v>0</v>
      </c>
      <c r="CM1424" s="167">
        <v>0</v>
      </c>
      <c r="CN1424" s="167">
        <v>0</v>
      </c>
      <c r="CO1424" s="167">
        <v>0</v>
      </c>
      <c r="CP1424" s="167">
        <v>0</v>
      </c>
      <c r="CQ1424" s="167">
        <v>0</v>
      </c>
      <c r="CR1424" s="167">
        <v>0</v>
      </c>
      <c r="CS1424" s="167">
        <v>0</v>
      </c>
      <c r="CT1424" s="167">
        <v>0</v>
      </c>
      <c r="CU1424" s="167">
        <v>0</v>
      </c>
      <c r="CV1424" s="167">
        <v>0</v>
      </c>
      <c r="CW1424" s="167">
        <v>0</v>
      </c>
      <c r="CX1424" s="167">
        <f>SUM(CD1424:CH1424)</f>
        <v>43</v>
      </c>
      <c r="CY1424" s="167">
        <f>SUM(CD1424:CM1424)</f>
        <v>43</v>
      </c>
    </row>
    <row r="1425" spans="1:103" ht="12.75" customHeight="1" x14ac:dyDescent="0.2">
      <c r="A1425" s="81">
        <v>6890</v>
      </c>
      <c r="B1425" s="165" t="s">
        <v>1902</v>
      </c>
      <c r="C1425" s="165" t="s">
        <v>3537</v>
      </c>
      <c r="E1425" s="165" t="s">
        <v>3538</v>
      </c>
      <c r="F1425" s="165" t="s">
        <v>3539</v>
      </c>
      <c r="G1425" s="81">
        <v>529517</v>
      </c>
      <c r="H1425" s="81">
        <v>177263</v>
      </c>
      <c r="I1425" s="165" t="s">
        <v>240</v>
      </c>
      <c r="L1425" s="166">
        <v>0</v>
      </c>
      <c r="M1425" s="166">
        <v>5</v>
      </c>
      <c r="N1425" s="166">
        <v>5</v>
      </c>
      <c r="O1425" s="166">
        <v>51</v>
      </c>
      <c r="P1425" s="166">
        <v>51</v>
      </c>
      <c r="Q1425" s="81" t="s">
        <v>155</v>
      </c>
      <c r="R1425" s="165" t="s">
        <v>1905</v>
      </c>
      <c r="S1425" s="81" t="s">
        <v>1906</v>
      </c>
      <c r="W1425" s="81" t="s">
        <v>114</v>
      </c>
      <c r="Y1425" s="81" t="s">
        <v>115</v>
      </c>
      <c r="Z1425" s="81" t="s">
        <v>116</v>
      </c>
      <c r="AA1425" s="81" t="s">
        <v>117</v>
      </c>
      <c r="AB1425" s="81" t="s">
        <v>218</v>
      </c>
      <c r="AC1425" s="166">
        <v>0</v>
      </c>
      <c r="AG1425" s="81" t="s">
        <v>154</v>
      </c>
      <c r="AH1425" s="81" t="s">
        <v>276</v>
      </c>
      <c r="AI1425" s="81" t="s">
        <v>1743</v>
      </c>
      <c r="AJ1425" s="81">
        <v>17320133</v>
      </c>
      <c r="AK1425" s="166">
        <v>0</v>
      </c>
      <c r="AM1425" s="166">
        <v>0</v>
      </c>
      <c r="AO1425" s="166">
        <v>0</v>
      </c>
      <c r="AP1425" s="166">
        <v>0</v>
      </c>
      <c r="AQ1425" s="166">
        <v>0</v>
      </c>
      <c r="AR1425" s="166">
        <v>0</v>
      </c>
      <c r="AS1425" s="166">
        <v>0</v>
      </c>
      <c r="AT1425" s="166">
        <v>0</v>
      </c>
      <c r="AU1425" s="166">
        <v>5</v>
      </c>
      <c r="AV1425" s="166">
        <v>0</v>
      </c>
      <c r="AW1425" s="166">
        <v>0</v>
      </c>
      <c r="AX1425" s="166">
        <v>0</v>
      </c>
      <c r="AY1425" s="166">
        <v>0</v>
      </c>
      <c r="AZ1425" s="166">
        <v>0</v>
      </c>
      <c r="BA1425" s="166">
        <v>0</v>
      </c>
      <c r="BB1425" s="166">
        <v>5</v>
      </c>
      <c r="BC1425" s="166">
        <v>0</v>
      </c>
      <c r="BD1425" s="166">
        <v>0</v>
      </c>
      <c r="BE1425" s="166">
        <v>0</v>
      </c>
      <c r="BF1425" s="166">
        <v>0</v>
      </c>
      <c r="BG1425" s="166">
        <v>0</v>
      </c>
      <c r="BH1425" s="166">
        <v>0</v>
      </c>
      <c r="BI1425" s="166">
        <v>0</v>
      </c>
      <c r="BJ1425" s="166">
        <v>0</v>
      </c>
      <c r="BK1425" s="166">
        <v>0</v>
      </c>
      <c r="BL1425" s="166">
        <v>0</v>
      </c>
      <c r="BM1425" s="166">
        <v>0</v>
      </c>
      <c r="BN1425" s="166">
        <v>0</v>
      </c>
      <c r="BO1425" s="166">
        <v>0</v>
      </c>
      <c r="BP1425" s="166">
        <v>0</v>
      </c>
      <c r="BQ1425" s="81" t="s">
        <v>1759</v>
      </c>
      <c r="BS1425" s="81" t="s">
        <v>155</v>
      </c>
      <c r="BZ1425" s="81" t="s">
        <v>155</v>
      </c>
      <c r="CA1425" s="81">
        <v>12</v>
      </c>
      <c r="CC1425" s="167">
        <v>0</v>
      </c>
      <c r="CD1425" s="167">
        <v>0</v>
      </c>
      <c r="CE1425" s="167">
        <v>0</v>
      </c>
      <c r="CF1425" s="167">
        <v>0</v>
      </c>
      <c r="CG1425" s="167">
        <v>0</v>
      </c>
      <c r="CH1425" s="167">
        <f>N1425</f>
        <v>5</v>
      </c>
      <c r="CI1425" s="167">
        <v>0</v>
      </c>
      <c r="CJ1425" s="167">
        <v>0</v>
      </c>
      <c r="CK1425" s="167">
        <v>0</v>
      </c>
      <c r="CL1425" s="167">
        <v>0</v>
      </c>
      <c r="CM1425" s="167">
        <v>0</v>
      </c>
      <c r="CN1425" s="167">
        <v>0</v>
      </c>
      <c r="CO1425" s="167">
        <v>0</v>
      </c>
      <c r="CP1425" s="167">
        <v>0</v>
      </c>
      <c r="CQ1425" s="167">
        <v>0</v>
      </c>
      <c r="CR1425" s="167">
        <v>0</v>
      </c>
      <c r="CS1425" s="167">
        <v>0</v>
      </c>
      <c r="CT1425" s="167">
        <v>0</v>
      </c>
      <c r="CU1425" s="167">
        <v>0</v>
      </c>
      <c r="CV1425" s="167">
        <v>0</v>
      </c>
      <c r="CW1425" s="167">
        <v>0</v>
      </c>
      <c r="CX1425" s="167">
        <f>SUM(CD1425:CH1425)</f>
        <v>5</v>
      </c>
      <c r="CY1425" s="167">
        <f>SUM(CD1425:CM1425)</f>
        <v>5</v>
      </c>
    </row>
    <row r="1426" spans="1:103" ht="12.75" customHeight="1" x14ac:dyDescent="0.2">
      <c r="A1426" s="81">
        <v>6891</v>
      </c>
      <c r="B1426" s="165" t="s">
        <v>1902</v>
      </c>
      <c r="C1426" s="165" t="s">
        <v>3540</v>
      </c>
      <c r="E1426" s="165" t="s">
        <v>3541</v>
      </c>
      <c r="F1426" s="165" t="s">
        <v>3535</v>
      </c>
      <c r="G1426" s="81">
        <v>525542</v>
      </c>
      <c r="H1426" s="81">
        <v>175021</v>
      </c>
      <c r="I1426" s="165" t="s">
        <v>251</v>
      </c>
      <c r="L1426" s="166">
        <v>0</v>
      </c>
      <c r="M1426" s="166">
        <v>7</v>
      </c>
      <c r="N1426" s="166">
        <v>7</v>
      </c>
      <c r="O1426" s="166">
        <v>52</v>
      </c>
      <c r="P1426" s="166">
        <v>52</v>
      </c>
      <c r="Q1426" s="81" t="s">
        <v>155</v>
      </c>
      <c r="R1426" s="165" t="s">
        <v>1905</v>
      </c>
      <c r="S1426" s="81" t="s">
        <v>1906</v>
      </c>
      <c r="W1426" s="81" t="s">
        <v>114</v>
      </c>
      <c r="Y1426" s="81" t="s">
        <v>115</v>
      </c>
      <c r="Z1426" s="81" t="s">
        <v>116</v>
      </c>
      <c r="AA1426" s="81" t="s">
        <v>117</v>
      </c>
      <c r="AB1426" s="81" t="s">
        <v>218</v>
      </c>
      <c r="AC1426" s="166">
        <v>0</v>
      </c>
      <c r="AG1426" s="81" t="s">
        <v>74</v>
      </c>
      <c r="AH1426" s="81" t="s">
        <v>990</v>
      </c>
      <c r="AI1426" s="81" t="s">
        <v>1746</v>
      </c>
      <c r="AJ1426" s="81">
        <v>17320319</v>
      </c>
      <c r="AK1426" s="166">
        <v>0</v>
      </c>
      <c r="AM1426" s="166">
        <v>0</v>
      </c>
      <c r="AO1426" s="166">
        <v>0</v>
      </c>
      <c r="AP1426" s="166">
        <v>0</v>
      </c>
      <c r="AQ1426" s="166">
        <v>0</v>
      </c>
      <c r="AR1426" s="166">
        <v>0</v>
      </c>
      <c r="AS1426" s="166">
        <v>0</v>
      </c>
      <c r="AT1426" s="166">
        <v>0</v>
      </c>
      <c r="AU1426" s="166">
        <v>7</v>
      </c>
      <c r="AV1426" s="166">
        <v>0</v>
      </c>
      <c r="AW1426" s="166">
        <v>0</v>
      </c>
      <c r="AX1426" s="166">
        <v>0</v>
      </c>
      <c r="AY1426" s="166">
        <v>0</v>
      </c>
      <c r="AZ1426" s="166">
        <v>0</v>
      </c>
      <c r="BA1426" s="166">
        <v>0</v>
      </c>
      <c r="BB1426" s="166">
        <v>7</v>
      </c>
      <c r="BC1426" s="166">
        <v>0</v>
      </c>
      <c r="BD1426" s="166">
        <v>0</v>
      </c>
      <c r="BE1426" s="166">
        <v>0</v>
      </c>
      <c r="BF1426" s="166">
        <v>0</v>
      </c>
      <c r="BG1426" s="166">
        <v>0</v>
      </c>
      <c r="BH1426" s="166">
        <v>0</v>
      </c>
      <c r="BI1426" s="166">
        <v>0</v>
      </c>
      <c r="BJ1426" s="166">
        <v>0</v>
      </c>
      <c r="BK1426" s="166">
        <v>0</v>
      </c>
      <c r="BL1426" s="166">
        <v>0</v>
      </c>
      <c r="BM1426" s="166">
        <v>0</v>
      </c>
      <c r="BN1426" s="166">
        <v>0</v>
      </c>
      <c r="BO1426" s="166">
        <v>0</v>
      </c>
      <c r="BP1426" s="166">
        <v>0</v>
      </c>
      <c r="BQ1426" s="81" t="s">
        <v>1758</v>
      </c>
      <c r="BT1426" s="81" t="s">
        <v>155</v>
      </c>
      <c r="BZ1426" s="81" t="s">
        <v>155</v>
      </c>
      <c r="CA1426" s="81">
        <v>11</v>
      </c>
      <c r="CC1426" s="167">
        <v>0</v>
      </c>
      <c r="CD1426" s="167">
        <v>0</v>
      </c>
      <c r="CE1426" s="167">
        <v>0</v>
      </c>
      <c r="CF1426" s="167">
        <v>0</v>
      </c>
      <c r="CG1426" s="167">
        <v>0</v>
      </c>
      <c r="CH1426" s="167">
        <v>0</v>
      </c>
      <c r="CI1426" s="167">
        <v>0</v>
      </c>
      <c r="CJ1426" s="167">
        <f>$N1426/17</f>
        <v>0.41176470588235292</v>
      </c>
      <c r="CK1426" s="167">
        <f>$N1426/17</f>
        <v>0.41176470588235292</v>
      </c>
      <c r="CL1426" s="167">
        <f>$N1426/17</f>
        <v>0.41176470588235292</v>
      </c>
      <c r="CM1426" s="167">
        <f>$N1426/17</f>
        <v>0.41176470588235292</v>
      </c>
      <c r="CN1426" s="167">
        <f>$N1426/17</f>
        <v>0.41176470588235292</v>
      </c>
      <c r="CO1426" s="167">
        <f>$N1426/17</f>
        <v>0.41176470588235292</v>
      </c>
      <c r="CP1426" s="167">
        <f>$N1426/17</f>
        <v>0.41176470588235292</v>
      </c>
      <c r="CQ1426" s="167">
        <f>$N1426/17</f>
        <v>0.41176470588235292</v>
      </c>
      <c r="CR1426" s="167">
        <f>$N1426/17</f>
        <v>0.41176470588235292</v>
      </c>
      <c r="CS1426" s="167">
        <f>$N1426/17</f>
        <v>0.41176470588235292</v>
      </c>
      <c r="CT1426" s="167">
        <f>$N1426/17</f>
        <v>0.41176470588235292</v>
      </c>
      <c r="CU1426" s="167">
        <f>$N1426/17</f>
        <v>0.41176470588235292</v>
      </c>
      <c r="CV1426" s="167">
        <f>$N1426/17</f>
        <v>0.41176470588235292</v>
      </c>
      <c r="CW1426" s="167">
        <f>$N1426/17</f>
        <v>0.41176470588235292</v>
      </c>
      <c r="CX1426" s="167">
        <f>SUM(CD1426:CH1426)</f>
        <v>0</v>
      </c>
      <c r="CY1426" s="167">
        <f>SUM(CD1426:CM1426)</f>
        <v>1.6470588235294117</v>
      </c>
    </row>
    <row r="1427" spans="1:103" ht="12.75" customHeight="1" x14ac:dyDescent="0.2">
      <c r="A1427" s="81">
        <v>6891</v>
      </c>
      <c r="B1427" s="165" t="s">
        <v>1902</v>
      </c>
      <c r="C1427" s="165" t="s">
        <v>3540</v>
      </c>
      <c r="E1427" s="165" t="s">
        <v>3541</v>
      </c>
      <c r="F1427" s="165" t="s">
        <v>1556</v>
      </c>
      <c r="G1427" s="81">
        <v>525542</v>
      </c>
      <c r="H1427" s="81">
        <v>175021</v>
      </c>
      <c r="I1427" s="165" t="s">
        <v>251</v>
      </c>
      <c r="L1427" s="166">
        <v>0</v>
      </c>
      <c r="M1427" s="166">
        <v>35</v>
      </c>
      <c r="N1427" s="166">
        <v>35</v>
      </c>
      <c r="O1427" s="166">
        <v>52</v>
      </c>
      <c r="P1427" s="166">
        <v>52</v>
      </c>
      <c r="Q1427" s="81" t="s">
        <v>155</v>
      </c>
      <c r="R1427" s="165" t="s">
        <v>1905</v>
      </c>
      <c r="S1427" s="81" t="s">
        <v>1906</v>
      </c>
      <c r="W1427" s="81" t="s">
        <v>114</v>
      </c>
      <c r="Y1427" s="81" t="s">
        <v>115</v>
      </c>
      <c r="Z1427" s="81" t="s">
        <v>116</v>
      </c>
      <c r="AA1427" s="81" t="s">
        <v>116</v>
      </c>
      <c r="AB1427" s="81" t="s">
        <v>117</v>
      </c>
      <c r="AC1427" s="166">
        <v>0</v>
      </c>
      <c r="AG1427" s="81" t="s">
        <v>238</v>
      </c>
      <c r="AH1427" s="81" t="s">
        <v>118</v>
      </c>
      <c r="AI1427" s="81" t="s">
        <v>1746</v>
      </c>
      <c r="AJ1427" s="81">
        <v>17320319</v>
      </c>
      <c r="AK1427" s="166">
        <v>0</v>
      </c>
      <c r="AM1427" s="166">
        <v>0</v>
      </c>
      <c r="AO1427" s="166">
        <v>0</v>
      </c>
      <c r="AP1427" s="166">
        <v>0</v>
      </c>
      <c r="AQ1427" s="166">
        <v>0</v>
      </c>
      <c r="AR1427" s="166">
        <v>0</v>
      </c>
      <c r="AS1427" s="166">
        <v>0</v>
      </c>
      <c r="AT1427" s="166">
        <v>0</v>
      </c>
      <c r="AU1427" s="166">
        <v>35</v>
      </c>
      <c r="AV1427" s="166">
        <v>0</v>
      </c>
      <c r="AW1427" s="166">
        <v>0</v>
      </c>
      <c r="AX1427" s="166">
        <v>0</v>
      </c>
      <c r="AY1427" s="166">
        <v>0</v>
      </c>
      <c r="AZ1427" s="166">
        <v>0</v>
      </c>
      <c r="BA1427" s="166">
        <v>0</v>
      </c>
      <c r="BB1427" s="166">
        <v>35</v>
      </c>
      <c r="BC1427" s="166">
        <v>0</v>
      </c>
      <c r="BD1427" s="166">
        <v>0</v>
      </c>
      <c r="BE1427" s="166">
        <v>0</v>
      </c>
      <c r="BF1427" s="166">
        <v>0</v>
      </c>
      <c r="BG1427" s="166">
        <v>0</v>
      </c>
      <c r="BH1427" s="166">
        <v>0</v>
      </c>
      <c r="BI1427" s="166">
        <v>0</v>
      </c>
      <c r="BJ1427" s="166">
        <v>0</v>
      </c>
      <c r="BK1427" s="166">
        <v>0</v>
      </c>
      <c r="BL1427" s="166">
        <v>0</v>
      </c>
      <c r="BM1427" s="166">
        <v>0</v>
      </c>
      <c r="BN1427" s="166">
        <v>0</v>
      </c>
      <c r="BO1427" s="166">
        <v>0</v>
      </c>
      <c r="BP1427" s="166">
        <v>0</v>
      </c>
      <c r="BQ1427" s="81" t="s">
        <v>1758</v>
      </c>
      <c r="BT1427" s="81" t="s">
        <v>155</v>
      </c>
      <c r="BZ1427" s="81" t="s">
        <v>155</v>
      </c>
      <c r="CA1427" s="81">
        <v>11</v>
      </c>
      <c r="CC1427" s="167">
        <v>0</v>
      </c>
      <c r="CD1427" s="167">
        <v>0</v>
      </c>
      <c r="CE1427" s="167">
        <v>0</v>
      </c>
      <c r="CF1427" s="167">
        <v>0</v>
      </c>
      <c r="CG1427" s="167">
        <v>0</v>
      </c>
      <c r="CH1427" s="167">
        <v>0</v>
      </c>
      <c r="CI1427" s="167">
        <v>0</v>
      </c>
      <c r="CJ1427" s="167">
        <f>$N1427/17</f>
        <v>2.0588235294117645</v>
      </c>
      <c r="CK1427" s="167">
        <f>$N1427/17</f>
        <v>2.0588235294117645</v>
      </c>
      <c r="CL1427" s="167">
        <f>$N1427/17</f>
        <v>2.0588235294117645</v>
      </c>
      <c r="CM1427" s="167">
        <f>$N1427/17</f>
        <v>2.0588235294117645</v>
      </c>
      <c r="CN1427" s="167">
        <f>$N1427/17</f>
        <v>2.0588235294117645</v>
      </c>
      <c r="CO1427" s="167">
        <f>$N1427/17</f>
        <v>2.0588235294117645</v>
      </c>
      <c r="CP1427" s="167">
        <f>$N1427/17</f>
        <v>2.0588235294117645</v>
      </c>
      <c r="CQ1427" s="167">
        <f>$N1427/17</f>
        <v>2.0588235294117645</v>
      </c>
      <c r="CR1427" s="167">
        <f>$N1427/17</f>
        <v>2.0588235294117645</v>
      </c>
      <c r="CS1427" s="167">
        <f>$N1427/17</f>
        <v>2.0588235294117645</v>
      </c>
      <c r="CT1427" s="167">
        <f>$N1427/17</f>
        <v>2.0588235294117645</v>
      </c>
      <c r="CU1427" s="167">
        <f>$N1427/17</f>
        <v>2.0588235294117645</v>
      </c>
      <c r="CV1427" s="167">
        <f>$N1427/17</f>
        <v>2.0588235294117645</v>
      </c>
      <c r="CW1427" s="167">
        <f>$N1427/17</f>
        <v>2.0588235294117645</v>
      </c>
      <c r="CX1427" s="167">
        <f>SUM(CD1427:CH1427)</f>
        <v>0</v>
      </c>
      <c r="CY1427" s="167">
        <f>SUM(CD1427:CM1427)</f>
        <v>8.235294117647058</v>
      </c>
    </row>
    <row r="1428" spans="1:103" ht="12.75" customHeight="1" x14ac:dyDescent="0.2">
      <c r="A1428" s="81">
        <v>6891</v>
      </c>
      <c r="B1428" s="165" t="s">
        <v>1902</v>
      </c>
      <c r="C1428" s="165" t="s">
        <v>3540</v>
      </c>
      <c r="E1428" s="165" t="s">
        <v>3541</v>
      </c>
      <c r="F1428" s="165" t="s">
        <v>3536</v>
      </c>
      <c r="G1428" s="81">
        <v>525542</v>
      </c>
      <c r="H1428" s="81">
        <v>175021</v>
      </c>
      <c r="I1428" s="165" t="s">
        <v>251</v>
      </c>
      <c r="L1428" s="166">
        <v>0</v>
      </c>
      <c r="M1428" s="166">
        <v>10</v>
      </c>
      <c r="N1428" s="166">
        <v>10</v>
      </c>
      <c r="O1428" s="166">
        <v>52</v>
      </c>
      <c r="P1428" s="166">
        <v>52</v>
      </c>
      <c r="Q1428" s="81" t="s">
        <v>155</v>
      </c>
      <c r="R1428" s="165" t="s">
        <v>1905</v>
      </c>
      <c r="S1428" s="81" t="s">
        <v>1906</v>
      </c>
      <c r="W1428" s="81" t="s">
        <v>114</v>
      </c>
      <c r="Y1428" s="81" t="s">
        <v>115</v>
      </c>
      <c r="Z1428" s="81" t="s">
        <v>116</v>
      </c>
      <c r="AA1428" s="81" t="s">
        <v>116</v>
      </c>
      <c r="AB1428" s="81" t="s">
        <v>117</v>
      </c>
      <c r="AC1428" s="166">
        <v>0</v>
      </c>
      <c r="AG1428" s="81" t="s">
        <v>154</v>
      </c>
      <c r="AH1428" s="81" t="s">
        <v>276</v>
      </c>
      <c r="AI1428" s="81" t="s">
        <v>1746</v>
      </c>
      <c r="AJ1428" s="81">
        <v>17320319</v>
      </c>
      <c r="AK1428" s="166">
        <v>0</v>
      </c>
      <c r="AM1428" s="166">
        <v>0</v>
      </c>
      <c r="AO1428" s="166">
        <v>0</v>
      </c>
      <c r="AP1428" s="166">
        <v>0</v>
      </c>
      <c r="AQ1428" s="166">
        <v>0</v>
      </c>
      <c r="AR1428" s="166">
        <v>0</v>
      </c>
      <c r="AS1428" s="166">
        <v>0</v>
      </c>
      <c r="AT1428" s="166">
        <v>0</v>
      </c>
      <c r="AU1428" s="166">
        <v>10</v>
      </c>
      <c r="AV1428" s="166">
        <v>0</v>
      </c>
      <c r="AW1428" s="166">
        <v>0</v>
      </c>
      <c r="AX1428" s="166">
        <v>0</v>
      </c>
      <c r="AY1428" s="166">
        <v>0</v>
      </c>
      <c r="AZ1428" s="166">
        <v>0</v>
      </c>
      <c r="BA1428" s="166">
        <v>0</v>
      </c>
      <c r="BB1428" s="166">
        <v>10</v>
      </c>
      <c r="BC1428" s="166">
        <v>0</v>
      </c>
      <c r="BD1428" s="166">
        <v>0</v>
      </c>
      <c r="BE1428" s="166">
        <v>0</v>
      </c>
      <c r="BF1428" s="166">
        <v>0</v>
      </c>
      <c r="BG1428" s="166">
        <v>0</v>
      </c>
      <c r="BH1428" s="166">
        <v>0</v>
      </c>
      <c r="BI1428" s="166">
        <v>0</v>
      </c>
      <c r="BJ1428" s="166">
        <v>0</v>
      </c>
      <c r="BK1428" s="166">
        <v>0</v>
      </c>
      <c r="BL1428" s="166">
        <v>0</v>
      </c>
      <c r="BM1428" s="166">
        <v>0</v>
      </c>
      <c r="BN1428" s="166">
        <v>0</v>
      </c>
      <c r="BO1428" s="166">
        <v>0</v>
      </c>
      <c r="BP1428" s="166">
        <v>0</v>
      </c>
      <c r="BQ1428" s="81" t="s">
        <v>1758</v>
      </c>
      <c r="BT1428" s="81" t="s">
        <v>155</v>
      </c>
      <c r="BZ1428" s="81" t="s">
        <v>155</v>
      </c>
      <c r="CA1428" s="81">
        <v>11</v>
      </c>
      <c r="CC1428" s="167">
        <v>0</v>
      </c>
      <c r="CD1428" s="167">
        <v>0</v>
      </c>
      <c r="CE1428" s="167">
        <v>0</v>
      </c>
      <c r="CF1428" s="167">
        <v>0</v>
      </c>
      <c r="CG1428" s="167">
        <v>0</v>
      </c>
      <c r="CH1428" s="167">
        <v>0</v>
      </c>
      <c r="CI1428" s="167">
        <v>0</v>
      </c>
      <c r="CJ1428" s="167">
        <f>$N1428/17</f>
        <v>0.58823529411764708</v>
      </c>
      <c r="CK1428" s="167">
        <f>$N1428/17</f>
        <v>0.58823529411764708</v>
      </c>
      <c r="CL1428" s="167">
        <f>$N1428/17</f>
        <v>0.58823529411764708</v>
      </c>
      <c r="CM1428" s="167">
        <f>$N1428/17</f>
        <v>0.58823529411764708</v>
      </c>
      <c r="CN1428" s="167">
        <f>$N1428/17</f>
        <v>0.58823529411764708</v>
      </c>
      <c r="CO1428" s="167">
        <f>$N1428/17</f>
        <v>0.58823529411764708</v>
      </c>
      <c r="CP1428" s="167">
        <f>$N1428/17</f>
        <v>0.58823529411764708</v>
      </c>
      <c r="CQ1428" s="167">
        <f>$N1428/17</f>
        <v>0.58823529411764708</v>
      </c>
      <c r="CR1428" s="167">
        <f>$N1428/17</f>
        <v>0.58823529411764708</v>
      </c>
      <c r="CS1428" s="167">
        <f>$N1428/17</f>
        <v>0.58823529411764708</v>
      </c>
      <c r="CT1428" s="167">
        <f>$N1428/17</f>
        <v>0.58823529411764708</v>
      </c>
      <c r="CU1428" s="167">
        <f>$N1428/17</f>
        <v>0.58823529411764708</v>
      </c>
      <c r="CV1428" s="167">
        <f>$N1428/17</f>
        <v>0.58823529411764708</v>
      </c>
      <c r="CW1428" s="167">
        <f>$N1428/17</f>
        <v>0.58823529411764708</v>
      </c>
      <c r="CX1428" s="167">
        <f>SUM(CD1428:CH1428)</f>
        <v>0</v>
      </c>
      <c r="CY1428" s="167">
        <f>SUM(CD1428:CM1428)</f>
        <v>2.3529411764705883</v>
      </c>
    </row>
    <row r="1429" spans="1:103" ht="12.75" customHeight="1" x14ac:dyDescent="0.2">
      <c r="A1429" s="81">
        <v>6892</v>
      </c>
      <c r="B1429" s="165" t="s">
        <v>1902</v>
      </c>
      <c r="C1429" s="165" t="s">
        <v>3542</v>
      </c>
      <c r="E1429" s="165" t="s">
        <v>3543</v>
      </c>
      <c r="F1429" s="165" t="s">
        <v>3544</v>
      </c>
      <c r="G1429" s="81">
        <v>525690</v>
      </c>
      <c r="H1429" s="81">
        <v>174971</v>
      </c>
      <c r="I1429" s="165" t="s">
        <v>251</v>
      </c>
      <c r="L1429" s="166">
        <v>0</v>
      </c>
      <c r="M1429" s="166">
        <v>94</v>
      </c>
      <c r="N1429" s="166">
        <v>94</v>
      </c>
      <c r="O1429" s="166">
        <v>713</v>
      </c>
      <c r="P1429" s="166">
        <v>713</v>
      </c>
      <c r="Q1429" s="81" t="s">
        <v>155</v>
      </c>
      <c r="R1429" s="165" t="s">
        <v>1905</v>
      </c>
      <c r="S1429" s="81" t="s">
        <v>1906</v>
      </c>
      <c r="W1429" s="81" t="s">
        <v>114</v>
      </c>
      <c r="Y1429" s="81" t="s">
        <v>115</v>
      </c>
      <c r="Z1429" s="81" t="s">
        <v>116</v>
      </c>
      <c r="AA1429" s="81" t="s">
        <v>116</v>
      </c>
      <c r="AB1429" s="81" t="s">
        <v>117</v>
      </c>
      <c r="AC1429" s="166">
        <v>0</v>
      </c>
      <c r="AG1429" s="81" t="s">
        <v>74</v>
      </c>
      <c r="AH1429" s="81" t="s">
        <v>990</v>
      </c>
      <c r="AI1429" s="81" t="s">
        <v>1740</v>
      </c>
      <c r="AJ1429" s="81">
        <v>17320108</v>
      </c>
      <c r="AK1429" s="166">
        <v>0</v>
      </c>
      <c r="AM1429" s="166">
        <v>0</v>
      </c>
      <c r="AO1429" s="166">
        <v>0</v>
      </c>
      <c r="AP1429" s="166">
        <v>0</v>
      </c>
      <c r="AQ1429" s="166">
        <v>0</v>
      </c>
      <c r="AR1429" s="166">
        <v>0</v>
      </c>
      <c r="AS1429" s="166">
        <v>0</v>
      </c>
      <c r="AT1429" s="166">
        <v>0</v>
      </c>
      <c r="AU1429" s="166">
        <v>94</v>
      </c>
      <c r="AV1429" s="166">
        <v>0</v>
      </c>
      <c r="AW1429" s="166">
        <v>0</v>
      </c>
      <c r="AX1429" s="166">
        <v>0</v>
      </c>
      <c r="AY1429" s="166">
        <v>0</v>
      </c>
      <c r="AZ1429" s="166">
        <v>0</v>
      </c>
      <c r="BA1429" s="166">
        <v>0</v>
      </c>
      <c r="BB1429" s="166">
        <v>94</v>
      </c>
      <c r="BC1429" s="166">
        <v>0</v>
      </c>
      <c r="BD1429" s="166">
        <v>0</v>
      </c>
      <c r="BE1429" s="166">
        <v>0</v>
      </c>
      <c r="BF1429" s="166">
        <v>0</v>
      </c>
      <c r="BG1429" s="166">
        <v>0</v>
      </c>
      <c r="BH1429" s="166">
        <v>0</v>
      </c>
      <c r="BI1429" s="166">
        <v>0</v>
      </c>
      <c r="BJ1429" s="166">
        <v>0</v>
      </c>
      <c r="BK1429" s="166">
        <v>0</v>
      </c>
      <c r="BL1429" s="166">
        <v>0</v>
      </c>
      <c r="BM1429" s="166">
        <v>0</v>
      </c>
      <c r="BN1429" s="166">
        <v>0</v>
      </c>
      <c r="BO1429" s="166">
        <v>0</v>
      </c>
      <c r="BP1429" s="166">
        <v>0</v>
      </c>
      <c r="BQ1429" s="81" t="s">
        <v>1758</v>
      </c>
      <c r="BT1429" s="81" t="s">
        <v>155</v>
      </c>
      <c r="BZ1429" s="81" t="s">
        <v>155</v>
      </c>
      <c r="CA1429" s="81">
        <v>11</v>
      </c>
      <c r="CC1429" s="167">
        <v>0</v>
      </c>
      <c r="CD1429" s="167">
        <v>0</v>
      </c>
      <c r="CE1429" s="167">
        <f>$N1429/10</f>
        <v>9.4</v>
      </c>
      <c r="CF1429" s="167">
        <f>$N1429/10</f>
        <v>9.4</v>
      </c>
      <c r="CG1429" s="167">
        <f>$N1429/10</f>
        <v>9.4</v>
      </c>
      <c r="CH1429" s="167">
        <f>$N1429/10</f>
        <v>9.4</v>
      </c>
      <c r="CI1429" s="167">
        <f>$N1429/10</f>
        <v>9.4</v>
      </c>
      <c r="CJ1429" s="167">
        <f>$N1429/10</f>
        <v>9.4</v>
      </c>
      <c r="CK1429" s="167">
        <f>$N1429/10</f>
        <v>9.4</v>
      </c>
      <c r="CL1429" s="167">
        <f>$N1429/10</f>
        <v>9.4</v>
      </c>
      <c r="CM1429" s="167">
        <f>$N1429/10</f>
        <v>9.4</v>
      </c>
      <c r="CN1429" s="167">
        <f>$N1429/10</f>
        <v>9.4</v>
      </c>
      <c r="CO1429" s="167">
        <v>0</v>
      </c>
      <c r="CP1429" s="167">
        <v>0</v>
      </c>
      <c r="CQ1429" s="167">
        <v>0</v>
      </c>
      <c r="CR1429" s="167">
        <v>0</v>
      </c>
      <c r="CS1429" s="167">
        <v>0</v>
      </c>
      <c r="CT1429" s="167">
        <v>0</v>
      </c>
      <c r="CU1429" s="167">
        <v>0</v>
      </c>
      <c r="CV1429" s="167">
        <v>0</v>
      </c>
      <c r="CW1429" s="167">
        <v>0</v>
      </c>
      <c r="CX1429" s="167">
        <f>SUM(CD1429:CH1429)</f>
        <v>37.6</v>
      </c>
      <c r="CY1429" s="167">
        <f>SUM(CD1429:CM1429)</f>
        <v>84.600000000000009</v>
      </c>
    </row>
    <row r="1430" spans="1:103" ht="12.75" customHeight="1" x14ac:dyDescent="0.2">
      <c r="A1430" s="81">
        <v>6892</v>
      </c>
      <c r="B1430" s="165" t="s">
        <v>1902</v>
      </c>
      <c r="C1430" s="165" t="s">
        <v>3542</v>
      </c>
      <c r="E1430" s="165" t="s">
        <v>3543</v>
      </c>
      <c r="F1430" s="165" t="s">
        <v>1556</v>
      </c>
      <c r="G1430" s="81">
        <v>525690</v>
      </c>
      <c r="H1430" s="81">
        <v>174971</v>
      </c>
      <c r="I1430" s="165" t="s">
        <v>251</v>
      </c>
      <c r="L1430" s="166">
        <v>0</v>
      </c>
      <c r="M1430" s="166">
        <v>478</v>
      </c>
      <c r="N1430" s="166">
        <v>478</v>
      </c>
      <c r="O1430" s="166">
        <v>713</v>
      </c>
      <c r="P1430" s="166">
        <v>713</v>
      </c>
      <c r="Q1430" s="81" t="s">
        <v>155</v>
      </c>
      <c r="R1430" s="165" t="s">
        <v>1905</v>
      </c>
      <c r="S1430" s="81" t="s">
        <v>1906</v>
      </c>
      <c r="W1430" s="81" t="s">
        <v>114</v>
      </c>
      <c r="Y1430" s="81" t="s">
        <v>115</v>
      </c>
      <c r="Z1430" s="81" t="s">
        <v>116</v>
      </c>
      <c r="AA1430" s="81" t="s">
        <v>116</v>
      </c>
      <c r="AB1430" s="81" t="s">
        <v>117</v>
      </c>
      <c r="AC1430" s="166">
        <v>0</v>
      </c>
      <c r="AG1430" s="81" t="s">
        <v>238</v>
      </c>
      <c r="AH1430" s="81" t="s">
        <v>118</v>
      </c>
      <c r="AI1430" s="81" t="s">
        <v>1740</v>
      </c>
      <c r="AJ1430" s="81">
        <v>17320108</v>
      </c>
      <c r="AK1430" s="166">
        <v>0</v>
      </c>
      <c r="AM1430" s="166">
        <v>0</v>
      </c>
      <c r="AO1430" s="166">
        <v>0</v>
      </c>
      <c r="AP1430" s="166">
        <v>0</v>
      </c>
      <c r="AQ1430" s="166">
        <v>0</v>
      </c>
      <c r="AR1430" s="166">
        <v>0</v>
      </c>
      <c r="AS1430" s="166">
        <v>0</v>
      </c>
      <c r="AT1430" s="166">
        <v>0</v>
      </c>
      <c r="AU1430" s="166">
        <v>478</v>
      </c>
      <c r="AV1430" s="166">
        <v>0</v>
      </c>
      <c r="AW1430" s="166">
        <v>0</v>
      </c>
      <c r="AX1430" s="166">
        <v>0</v>
      </c>
      <c r="AY1430" s="166">
        <v>0</v>
      </c>
      <c r="AZ1430" s="166">
        <v>0</v>
      </c>
      <c r="BA1430" s="166">
        <v>0</v>
      </c>
      <c r="BB1430" s="166">
        <v>478</v>
      </c>
      <c r="BC1430" s="166">
        <v>0</v>
      </c>
      <c r="BD1430" s="166">
        <v>0</v>
      </c>
      <c r="BE1430" s="166">
        <v>0</v>
      </c>
      <c r="BF1430" s="166">
        <v>0</v>
      </c>
      <c r="BG1430" s="166">
        <v>0</v>
      </c>
      <c r="BH1430" s="166">
        <v>0</v>
      </c>
      <c r="BI1430" s="166">
        <v>0</v>
      </c>
      <c r="BJ1430" s="166">
        <v>0</v>
      </c>
      <c r="BK1430" s="166">
        <v>0</v>
      </c>
      <c r="BL1430" s="166">
        <v>0</v>
      </c>
      <c r="BM1430" s="166">
        <v>0</v>
      </c>
      <c r="BN1430" s="166">
        <v>0</v>
      </c>
      <c r="BO1430" s="166">
        <v>0</v>
      </c>
      <c r="BP1430" s="166">
        <v>0</v>
      </c>
      <c r="BQ1430" s="81" t="s">
        <v>1758</v>
      </c>
      <c r="BT1430" s="81" t="s">
        <v>155</v>
      </c>
      <c r="BZ1430" s="81" t="s">
        <v>155</v>
      </c>
      <c r="CA1430" s="81">
        <v>11</v>
      </c>
      <c r="CC1430" s="167">
        <v>0</v>
      </c>
      <c r="CD1430" s="167">
        <v>0</v>
      </c>
      <c r="CE1430" s="167">
        <f>$N1430/10</f>
        <v>47.8</v>
      </c>
      <c r="CF1430" s="167">
        <f>$N1430/10</f>
        <v>47.8</v>
      </c>
      <c r="CG1430" s="167">
        <f>$N1430/10</f>
        <v>47.8</v>
      </c>
      <c r="CH1430" s="167">
        <f>$N1430/10</f>
        <v>47.8</v>
      </c>
      <c r="CI1430" s="167">
        <f>$N1430/10</f>
        <v>47.8</v>
      </c>
      <c r="CJ1430" s="167">
        <f>$N1430/10</f>
        <v>47.8</v>
      </c>
      <c r="CK1430" s="167">
        <f>$N1430/10</f>
        <v>47.8</v>
      </c>
      <c r="CL1430" s="167">
        <f>$N1430/10</f>
        <v>47.8</v>
      </c>
      <c r="CM1430" s="167">
        <f>$N1430/10</f>
        <v>47.8</v>
      </c>
      <c r="CN1430" s="167">
        <f>$N1430/10</f>
        <v>47.8</v>
      </c>
      <c r="CO1430" s="167">
        <v>0</v>
      </c>
      <c r="CP1430" s="167">
        <v>0</v>
      </c>
      <c r="CQ1430" s="167">
        <v>0</v>
      </c>
      <c r="CR1430" s="167">
        <v>0</v>
      </c>
      <c r="CS1430" s="167">
        <v>0</v>
      </c>
      <c r="CT1430" s="167">
        <v>0</v>
      </c>
      <c r="CU1430" s="167">
        <v>0</v>
      </c>
      <c r="CV1430" s="167">
        <v>0</v>
      </c>
      <c r="CW1430" s="167">
        <v>0</v>
      </c>
      <c r="CX1430" s="167">
        <f>SUM(CD1430:CH1430)</f>
        <v>191.2</v>
      </c>
      <c r="CY1430" s="167">
        <f>SUM(CD1430:CM1430)</f>
        <v>430.20000000000005</v>
      </c>
    </row>
    <row r="1431" spans="1:103" ht="12.75" customHeight="1" x14ac:dyDescent="0.2">
      <c r="A1431" s="81">
        <v>6892</v>
      </c>
      <c r="B1431" s="165" t="s">
        <v>1902</v>
      </c>
      <c r="C1431" s="165" t="s">
        <v>3542</v>
      </c>
      <c r="E1431" s="165" t="s">
        <v>3543</v>
      </c>
      <c r="F1431" s="165" t="s">
        <v>3536</v>
      </c>
      <c r="G1431" s="81">
        <v>525690</v>
      </c>
      <c r="H1431" s="81">
        <v>174971</v>
      </c>
      <c r="I1431" s="165" t="s">
        <v>251</v>
      </c>
      <c r="L1431" s="166">
        <v>0</v>
      </c>
      <c r="M1431" s="166">
        <v>141</v>
      </c>
      <c r="N1431" s="166">
        <v>141</v>
      </c>
      <c r="O1431" s="166">
        <v>713</v>
      </c>
      <c r="P1431" s="166">
        <v>713</v>
      </c>
      <c r="Q1431" s="81" t="s">
        <v>155</v>
      </c>
      <c r="R1431" s="165" t="s">
        <v>1905</v>
      </c>
      <c r="S1431" s="81" t="s">
        <v>1906</v>
      </c>
      <c r="W1431" s="81" t="s">
        <v>114</v>
      </c>
      <c r="Y1431" s="81" t="s">
        <v>115</v>
      </c>
      <c r="Z1431" s="81" t="s">
        <v>116</v>
      </c>
      <c r="AA1431" s="81" t="s">
        <v>116</v>
      </c>
      <c r="AB1431" s="81" t="s">
        <v>117</v>
      </c>
      <c r="AC1431" s="166">
        <v>0</v>
      </c>
      <c r="AG1431" s="81" t="s">
        <v>154</v>
      </c>
      <c r="AH1431" s="81" t="s">
        <v>276</v>
      </c>
      <c r="AI1431" s="81" t="s">
        <v>1740</v>
      </c>
      <c r="AJ1431" s="81">
        <v>17320108</v>
      </c>
      <c r="AK1431" s="166">
        <v>0</v>
      </c>
      <c r="AM1431" s="166">
        <v>0</v>
      </c>
      <c r="AO1431" s="166">
        <v>0</v>
      </c>
      <c r="AP1431" s="166">
        <v>0</v>
      </c>
      <c r="AQ1431" s="166">
        <v>0</v>
      </c>
      <c r="AR1431" s="166">
        <v>0</v>
      </c>
      <c r="AS1431" s="166">
        <v>0</v>
      </c>
      <c r="AT1431" s="166">
        <v>0</v>
      </c>
      <c r="AU1431" s="166">
        <v>141</v>
      </c>
      <c r="AV1431" s="166">
        <v>0</v>
      </c>
      <c r="AW1431" s="166">
        <v>0</v>
      </c>
      <c r="AX1431" s="166">
        <v>0</v>
      </c>
      <c r="AY1431" s="166">
        <v>0</v>
      </c>
      <c r="AZ1431" s="166">
        <v>0</v>
      </c>
      <c r="BA1431" s="166">
        <v>0</v>
      </c>
      <c r="BB1431" s="166">
        <v>141</v>
      </c>
      <c r="BC1431" s="166">
        <v>0</v>
      </c>
      <c r="BD1431" s="166">
        <v>0</v>
      </c>
      <c r="BE1431" s="166">
        <v>0</v>
      </c>
      <c r="BF1431" s="166">
        <v>0</v>
      </c>
      <c r="BG1431" s="166">
        <v>0</v>
      </c>
      <c r="BH1431" s="166">
        <v>0</v>
      </c>
      <c r="BI1431" s="166">
        <v>0</v>
      </c>
      <c r="BJ1431" s="166">
        <v>0</v>
      </c>
      <c r="BK1431" s="166">
        <v>0</v>
      </c>
      <c r="BL1431" s="166">
        <v>0</v>
      </c>
      <c r="BM1431" s="166">
        <v>0</v>
      </c>
      <c r="BN1431" s="166">
        <v>0</v>
      </c>
      <c r="BO1431" s="166">
        <v>0</v>
      </c>
      <c r="BP1431" s="166">
        <v>0</v>
      </c>
      <c r="BQ1431" s="81" t="s">
        <v>1758</v>
      </c>
      <c r="BT1431" s="81" t="s">
        <v>155</v>
      </c>
      <c r="BZ1431" s="81" t="s">
        <v>155</v>
      </c>
      <c r="CA1431" s="81">
        <v>11</v>
      </c>
      <c r="CC1431" s="167">
        <v>0</v>
      </c>
      <c r="CD1431" s="167">
        <v>0</v>
      </c>
      <c r="CE1431" s="167">
        <f>$N1431/10</f>
        <v>14.1</v>
      </c>
      <c r="CF1431" s="167">
        <f>$N1431/10</f>
        <v>14.1</v>
      </c>
      <c r="CG1431" s="167">
        <f>$N1431/10</f>
        <v>14.1</v>
      </c>
      <c r="CH1431" s="167">
        <f>$N1431/10</f>
        <v>14.1</v>
      </c>
      <c r="CI1431" s="167">
        <f>$N1431/10</f>
        <v>14.1</v>
      </c>
      <c r="CJ1431" s="167">
        <f>$N1431/10</f>
        <v>14.1</v>
      </c>
      <c r="CK1431" s="167">
        <f>$N1431/10</f>
        <v>14.1</v>
      </c>
      <c r="CL1431" s="167">
        <f>$N1431/10</f>
        <v>14.1</v>
      </c>
      <c r="CM1431" s="167">
        <f>$N1431/10</f>
        <v>14.1</v>
      </c>
      <c r="CN1431" s="167">
        <f>$N1431/10</f>
        <v>14.1</v>
      </c>
      <c r="CO1431" s="167">
        <v>0</v>
      </c>
      <c r="CP1431" s="167">
        <v>0</v>
      </c>
      <c r="CQ1431" s="167">
        <v>0</v>
      </c>
      <c r="CR1431" s="167">
        <v>0</v>
      </c>
      <c r="CS1431" s="167">
        <v>0</v>
      </c>
      <c r="CT1431" s="167">
        <v>0</v>
      </c>
      <c r="CU1431" s="167">
        <v>0</v>
      </c>
      <c r="CV1431" s="167">
        <v>0</v>
      </c>
      <c r="CW1431" s="167">
        <v>0</v>
      </c>
      <c r="CX1431" s="167">
        <f>SUM(CD1431:CH1431)</f>
        <v>56.4</v>
      </c>
      <c r="CY1431" s="167">
        <f>SUM(CD1431:CM1431)</f>
        <v>126.89999999999998</v>
      </c>
    </row>
    <row r="1432" spans="1:103" ht="12.75" customHeight="1" x14ac:dyDescent="0.2">
      <c r="A1432" s="81">
        <v>6893</v>
      </c>
      <c r="B1432" s="165" t="s">
        <v>1902</v>
      </c>
      <c r="C1432" s="165" t="s">
        <v>3545</v>
      </c>
      <c r="E1432" s="165" t="s">
        <v>3546</v>
      </c>
      <c r="F1432" s="165" t="s">
        <v>3535</v>
      </c>
      <c r="G1432" s="81">
        <v>525561</v>
      </c>
      <c r="H1432" s="81">
        <v>174936</v>
      </c>
      <c r="I1432" s="165" t="s">
        <v>251</v>
      </c>
      <c r="L1432" s="166">
        <v>0</v>
      </c>
      <c r="M1432" s="166">
        <v>10</v>
      </c>
      <c r="N1432" s="166">
        <v>10</v>
      </c>
      <c r="O1432" s="166">
        <v>73</v>
      </c>
      <c r="P1432" s="166">
        <v>73</v>
      </c>
      <c r="Q1432" s="81" t="s">
        <v>155</v>
      </c>
      <c r="R1432" s="165" t="s">
        <v>1905</v>
      </c>
      <c r="S1432" s="81" t="s">
        <v>1906</v>
      </c>
      <c r="W1432" s="81" t="s">
        <v>114</v>
      </c>
      <c r="Y1432" s="81" t="s">
        <v>115</v>
      </c>
      <c r="Z1432" s="81" t="s">
        <v>116</v>
      </c>
      <c r="AA1432" s="81" t="s">
        <v>116</v>
      </c>
      <c r="AB1432" s="81" t="s">
        <v>117</v>
      </c>
      <c r="AC1432" s="166">
        <v>0</v>
      </c>
      <c r="AG1432" s="81" t="s">
        <v>74</v>
      </c>
      <c r="AH1432" s="81" t="s">
        <v>990</v>
      </c>
      <c r="AI1432" s="81" t="s">
        <v>1747</v>
      </c>
      <c r="AJ1432" s="81">
        <v>17320320</v>
      </c>
      <c r="AK1432" s="166">
        <v>0</v>
      </c>
      <c r="AM1432" s="166">
        <v>0</v>
      </c>
      <c r="AO1432" s="166">
        <v>0</v>
      </c>
      <c r="AP1432" s="166">
        <v>0</v>
      </c>
      <c r="AQ1432" s="166">
        <v>0</v>
      </c>
      <c r="AR1432" s="166">
        <v>0</v>
      </c>
      <c r="AS1432" s="166">
        <v>0</v>
      </c>
      <c r="AT1432" s="166">
        <v>0</v>
      </c>
      <c r="AU1432" s="166">
        <v>10</v>
      </c>
      <c r="AV1432" s="166">
        <v>0</v>
      </c>
      <c r="AW1432" s="166">
        <v>0</v>
      </c>
      <c r="AX1432" s="166">
        <v>0</v>
      </c>
      <c r="AY1432" s="166">
        <v>0</v>
      </c>
      <c r="AZ1432" s="166">
        <v>0</v>
      </c>
      <c r="BA1432" s="166">
        <v>0</v>
      </c>
      <c r="BB1432" s="166">
        <v>10</v>
      </c>
      <c r="BC1432" s="166">
        <v>0</v>
      </c>
      <c r="BD1432" s="166">
        <v>0</v>
      </c>
      <c r="BE1432" s="166">
        <v>0</v>
      </c>
      <c r="BF1432" s="166">
        <v>0</v>
      </c>
      <c r="BG1432" s="166">
        <v>0</v>
      </c>
      <c r="BH1432" s="166">
        <v>0</v>
      </c>
      <c r="BI1432" s="166">
        <v>0</v>
      </c>
      <c r="BJ1432" s="166">
        <v>0</v>
      </c>
      <c r="BK1432" s="166">
        <v>0</v>
      </c>
      <c r="BL1432" s="166">
        <v>0</v>
      </c>
      <c r="BM1432" s="166">
        <v>0</v>
      </c>
      <c r="BN1432" s="166">
        <v>0</v>
      </c>
      <c r="BO1432" s="166">
        <v>0</v>
      </c>
      <c r="BP1432" s="166">
        <v>0</v>
      </c>
      <c r="BQ1432" s="81" t="s">
        <v>1758</v>
      </c>
      <c r="BT1432" s="81" t="s">
        <v>155</v>
      </c>
      <c r="BZ1432" s="81" t="s">
        <v>155</v>
      </c>
      <c r="CA1432" s="81">
        <v>11</v>
      </c>
      <c r="CC1432" s="167">
        <v>0</v>
      </c>
      <c r="CD1432" s="167">
        <v>0</v>
      </c>
      <c r="CE1432" s="167">
        <v>0</v>
      </c>
      <c r="CF1432" s="167">
        <v>0</v>
      </c>
      <c r="CG1432" s="167">
        <v>0</v>
      </c>
      <c r="CH1432" s="167">
        <v>0</v>
      </c>
      <c r="CI1432" s="167">
        <v>0</v>
      </c>
      <c r="CJ1432" s="167">
        <f>$N1432/17</f>
        <v>0.58823529411764708</v>
      </c>
      <c r="CK1432" s="167">
        <f>$N1432/17</f>
        <v>0.58823529411764708</v>
      </c>
      <c r="CL1432" s="167">
        <f>$N1432/17</f>
        <v>0.58823529411764708</v>
      </c>
      <c r="CM1432" s="167">
        <f>$N1432/17</f>
        <v>0.58823529411764708</v>
      </c>
      <c r="CN1432" s="167">
        <f>$N1432/17</f>
        <v>0.58823529411764708</v>
      </c>
      <c r="CO1432" s="167">
        <f>$N1432/17</f>
        <v>0.58823529411764708</v>
      </c>
      <c r="CP1432" s="167">
        <f>$N1432/17</f>
        <v>0.58823529411764708</v>
      </c>
      <c r="CQ1432" s="167">
        <f>$N1432/17</f>
        <v>0.58823529411764708</v>
      </c>
      <c r="CR1432" s="167">
        <f>$N1432/17</f>
        <v>0.58823529411764708</v>
      </c>
      <c r="CS1432" s="167">
        <f>$N1432/17</f>
        <v>0.58823529411764708</v>
      </c>
      <c r="CT1432" s="167">
        <f>$N1432/17</f>
        <v>0.58823529411764708</v>
      </c>
      <c r="CU1432" s="167">
        <f>$N1432/17</f>
        <v>0.58823529411764708</v>
      </c>
      <c r="CV1432" s="167">
        <f>$N1432/17</f>
        <v>0.58823529411764708</v>
      </c>
      <c r="CW1432" s="167">
        <f>$N1432/17</f>
        <v>0.58823529411764708</v>
      </c>
      <c r="CX1432" s="167">
        <f>SUM(CD1432:CH1432)</f>
        <v>0</v>
      </c>
      <c r="CY1432" s="167">
        <f>SUM(CD1432:CM1432)</f>
        <v>2.3529411764705883</v>
      </c>
    </row>
    <row r="1433" spans="1:103" ht="12.75" customHeight="1" x14ac:dyDescent="0.2">
      <c r="A1433" s="81">
        <v>6893</v>
      </c>
      <c r="B1433" s="165" t="s">
        <v>1902</v>
      </c>
      <c r="C1433" s="165" t="s">
        <v>3545</v>
      </c>
      <c r="E1433" s="165" t="s">
        <v>3546</v>
      </c>
      <c r="F1433" s="165" t="s">
        <v>1556</v>
      </c>
      <c r="G1433" s="81">
        <v>525561</v>
      </c>
      <c r="H1433" s="81">
        <v>174936</v>
      </c>
      <c r="I1433" s="165" t="s">
        <v>251</v>
      </c>
      <c r="L1433" s="166">
        <v>0</v>
      </c>
      <c r="M1433" s="166">
        <v>49</v>
      </c>
      <c r="N1433" s="166">
        <v>49</v>
      </c>
      <c r="O1433" s="166">
        <v>73</v>
      </c>
      <c r="P1433" s="166">
        <v>73</v>
      </c>
      <c r="Q1433" s="81" t="s">
        <v>155</v>
      </c>
      <c r="R1433" s="165" t="s">
        <v>1905</v>
      </c>
      <c r="S1433" s="81" t="s">
        <v>1906</v>
      </c>
      <c r="W1433" s="81" t="s">
        <v>114</v>
      </c>
      <c r="Y1433" s="81" t="s">
        <v>115</v>
      </c>
      <c r="Z1433" s="81" t="s">
        <v>116</v>
      </c>
      <c r="AA1433" s="81" t="s">
        <v>116</v>
      </c>
      <c r="AB1433" s="81" t="s">
        <v>117</v>
      </c>
      <c r="AC1433" s="166">
        <v>0</v>
      </c>
      <c r="AG1433" s="81" t="s">
        <v>238</v>
      </c>
      <c r="AH1433" s="81" t="s">
        <v>118</v>
      </c>
      <c r="AI1433" s="81" t="s">
        <v>1747</v>
      </c>
      <c r="AJ1433" s="81">
        <v>17320320</v>
      </c>
      <c r="AK1433" s="166">
        <v>0</v>
      </c>
      <c r="AM1433" s="166">
        <v>0</v>
      </c>
      <c r="AO1433" s="166">
        <v>0</v>
      </c>
      <c r="AP1433" s="166">
        <v>0</v>
      </c>
      <c r="AQ1433" s="166">
        <v>0</v>
      </c>
      <c r="AR1433" s="166">
        <v>0</v>
      </c>
      <c r="AS1433" s="166">
        <v>0</v>
      </c>
      <c r="AT1433" s="166">
        <v>0</v>
      </c>
      <c r="AU1433" s="166">
        <v>49</v>
      </c>
      <c r="AV1433" s="166">
        <v>0</v>
      </c>
      <c r="AW1433" s="166">
        <v>0</v>
      </c>
      <c r="AX1433" s="166">
        <v>0</v>
      </c>
      <c r="AY1433" s="166">
        <v>0</v>
      </c>
      <c r="AZ1433" s="166">
        <v>0</v>
      </c>
      <c r="BA1433" s="166">
        <v>0</v>
      </c>
      <c r="BB1433" s="166">
        <v>49</v>
      </c>
      <c r="BC1433" s="166">
        <v>0</v>
      </c>
      <c r="BD1433" s="166">
        <v>0</v>
      </c>
      <c r="BE1433" s="166">
        <v>0</v>
      </c>
      <c r="BF1433" s="166">
        <v>0</v>
      </c>
      <c r="BG1433" s="166">
        <v>0</v>
      </c>
      <c r="BH1433" s="166">
        <v>0</v>
      </c>
      <c r="BI1433" s="166">
        <v>0</v>
      </c>
      <c r="BJ1433" s="166">
        <v>0</v>
      </c>
      <c r="BK1433" s="166">
        <v>0</v>
      </c>
      <c r="BL1433" s="166">
        <v>0</v>
      </c>
      <c r="BM1433" s="166">
        <v>0</v>
      </c>
      <c r="BN1433" s="166">
        <v>0</v>
      </c>
      <c r="BO1433" s="166">
        <v>0</v>
      </c>
      <c r="BP1433" s="166">
        <v>0</v>
      </c>
      <c r="BQ1433" s="81" t="s">
        <v>1758</v>
      </c>
      <c r="BT1433" s="81" t="s">
        <v>155</v>
      </c>
      <c r="BZ1433" s="81" t="s">
        <v>155</v>
      </c>
      <c r="CA1433" s="81">
        <v>11</v>
      </c>
      <c r="CC1433" s="167">
        <v>0</v>
      </c>
      <c r="CD1433" s="167">
        <v>0</v>
      </c>
      <c r="CE1433" s="167">
        <v>0</v>
      </c>
      <c r="CF1433" s="167">
        <v>0</v>
      </c>
      <c r="CG1433" s="167">
        <v>0</v>
      </c>
      <c r="CH1433" s="167">
        <v>0</v>
      </c>
      <c r="CI1433" s="167">
        <v>0</v>
      </c>
      <c r="CJ1433" s="167">
        <f>$N1433/17</f>
        <v>2.8823529411764706</v>
      </c>
      <c r="CK1433" s="167">
        <f>$N1433/17</f>
        <v>2.8823529411764706</v>
      </c>
      <c r="CL1433" s="167">
        <f>$N1433/17</f>
        <v>2.8823529411764706</v>
      </c>
      <c r="CM1433" s="167">
        <f>$N1433/17</f>
        <v>2.8823529411764706</v>
      </c>
      <c r="CN1433" s="167">
        <f>$N1433/17</f>
        <v>2.8823529411764706</v>
      </c>
      <c r="CO1433" s="167">
        <f>$N1433/17</f>
        <v>2.8823529411764706</v>
      </c>
      <c r="CP1433" s="167">
        <f>$N1433/17</f>
        <v>2.8823529411764706</v>
      </c>
      <c r="CQ1433" s="167">
        <f>$N1433/17</f>
        <v>2.8823529411764706</v>
      </c>
      <c r="CR1433" s="167">
        <f>$N1433/17</f>
        <v>2.8823529411764706</v>
      </c>
      <c r="CS1433" s="167">
        <f>$N1433/17</f>
        <v>2.8823529411764706</v>
      </c>
      <c r="CT1433" s="167">
        <f>$N1433/17</f>
        <v>2.8823529411764706</v>
      </c>
      <c r="CU1433" s="167">
        <f>$N1433/17</f>
        <v>2.8823529411764706</v>
      </c>
      <c r="CV1433" s="167">
        <f>$N1433/17</f>
        <v>2.8823529411764706</v>
      </c>
      <c r="CW1433" s="167">
        <f>$N1433/17</f>
        <v>2.8823529411764706</v>
      </c>
      <c r="CX1433" s="167">
        <f>SUM(CD1433:CH1433)</f>
        <v>0</v>
      </c>
      <c r="CY1433" s="167">
        <f>SUM(CD1433:CM1433)</f>
        <v>11.529411764705882</v>
      </c>
    </row>
    <row r="1434" spans="1:103" ht="12.75" customHeight="1" x14ac:dyDescent="0.2">
      <c r="A1434" s="81">
        <v>6893</v>
      </c>
      <c r="B1434" s="165" t="s">
        <v>1902</v>
      </c>
      <c r="C1434" s="165" t="s">
        <v>3545</v>
      </c>
      <c r="E1434" s="165" t="s">
        <v>3546</v>
      </c>
      <c r="F1434" s="165" t="s">
        <v>3536</v>
      </c>
      <c r="G1434" s="81">
        <v>525561</v>
      </c>
      <c r="H1434" s="81">
        <v>174936</v>
      </c>
      <c r="I1434" s="165" t="s">
        <v>251</v>
      </c>
      <c r="L1434" s="166">
        <v>0</v>
      </c>
      <c r="M1434" s="166">
        <v>14</v>
      </c>
      <c r="N1434" s="166">
        <v>14</v>
      </c>
      <c r="O1434" s="166">
        <v>73</v>
      </c>
      <c r="P1434" s="166">
        <v>73</v>
      </c>
      <c r="Q1434" s="81" t="s">
        <v>155</v>
      </c>
      <c r="R1434" s="165" t="s">
        <v>1905</v>
      </c>
      <c r="S1434" s="81" t="s">
        <v>1906</v>
      </c>
      <c r="W1434" s="81" t="s">
        <v>114</v>
      </c>
      <c r="Y1434" s="81" t="s">
        <v>115</v>
      </c>
      <c r="Z1434" s="81" t="s">
        <v>116</v>
      </c>
      <c r="AA1434" s="81" t="s">
        <v>116</v>
      </c>
      <c r="AB1434" s="81" t="s">
        <v>117</v>
      </c>
      <c r="AC1434" s="166">
        <v>0</v>
      </c>
      <c r="AG1434" s="81" t="s">
        <v>154</v>
      </c>
      <c r="AH1434" s="81" t="s">
        <v>276</v>
      </c>
      <c r="AI1434" s="81" t="s">
        <v>1747</v>
      </c>
      <c r="AJ1434" s="81">
        <v>17320320</v>
      </c>
      <c r="AK1434" s="166">
        <v>0</v>
      </c>
      <c r="AM1434" s="166">
        <v>0</v>
      </c>
      <c r="AO1434" s="166">
        <v>0</v>
      </c>
      <c r="AP1434" s="166">
        <v>0</v>
      </c>
      <c r="AQ1434" s="166">
        <v>0</v>
      </c>
      <c r="AR1434" s="166">
        <v>0</v>
      </c>
      <c r="AS1434" s="166">
        <v>0</v>
      </c>
      <c r="AT1434" s="166">
        <v>0</v>
      </c>
      <c r="AU1434" s="166">
        <v>14</v>
      </c>
      <c r="AV1434" s="166">
        <v>0</v>
      </c>
      <c r="AW1434" s="166">
        <v>0</v>
      </c>
      <c r="AX1434" s="166">
        <v>0</v>
      </c>
      <c r="AY1434" s="166">
        <v>0</v>
      </c>
      <c r="AZ1434" s="166">
        <v>0</v>
      </c>
      <c r="BA1434" s="166">
        <v>0</v>
      </c>
      <c r="BB1434" s="166">
        <v>14</v>
      </c>
      <c r="BC1434" s="166">
        <v>0</v>
      </c>
      <c r="BD1434" s="166">
        <v>0</v>
      </c>
      <c r="BE1434" s="166">
        <v>0</v>
      </c>
      <c r="BF1434" s="166">
        <v>0</v>
      </c>
      <c r="BG1434" s="166">
        <v>0</v>
      </c>
      <c r="BH1434" s="166">
        <v>0</v>
      </c>
      <c r="BI1434" s="166">
        <v>0</v>
      </c>
      <c r="BJ1434" s="166">
        <v>0</v>
      </c>
      <c r="BK1434" s="166">
        <v>0</v>
      </c>
      <c r="BL1434" s="166">
        <v>0</v>
      </c>
      <c r="BM1434" s="166">
        <v>0</v>
      </c>
      <c r="BN1434" s="166">
        <v>0</v>
      </c>
      <c r="BO1434" s="166">
        <v>0</v>
      </c>
      <c r="BP1434" s="166">
        <v>0</v>
      </c>
      <c r="BQ1434" s="81" t="s">
        <v>1758</v>
      </c>
      <c r="BT1434" s="81" t="s">
        <v>155</v>
      </c>
      <c r="BZ1434" s="81" t="s">
        <v>155</v>
      </c>
      <c r="CA1434" s="81">
        <v>11</v>
      </c>
      <c r="CC1434" s="167">
        <v>0</v>
      </c>
      <c r="CD1434" s="167">
        <v>0</v>
      </c>
      <c r="CE1434" s="167">
        <v>0</v>
      </c>
      <c r="CF1434" s="167">
        <v>0</v>
      </c>
      <c r="CG1434" s="167">
        <v>0</v>
      </c>
      <c r="CH1434" s="167">
        <v>0</v>
      </c>
      <c r="CI1434" s="167">
        <v>0</v>
      </c>
      <c r="CJ1434" s="167">
        <f>$N1434/17</f>
        <v>0.82352941176470584</v>
      </c>
      <c r="CK1434" s="167">
        <f>$N1434/17</f>
        <v>0.82352941176470584</v>
      </c>
      <c r="CL1434" s="167">
        <f>$N1434/17</f>
        <v>0.82352941176470584</v>
      </c>
      <c r="CM1434" s="167">
        <f>$N1434/17</f>
        <v>0.82352941176470584</v>
      </c>
      <c r="CN1434" s="167">
        <f>$N1434/17</f>
        <v>0.82352941176470584</v>
      </c>
      <c r="CO1434" s="167">
        <f>$N1434/17</f>
        <v>0.82352941176470584</v>
      </c>
      <c r="CP1434" s="167">
        <f>$N1434/17</f>
        <v>0.82352941176470584</v>
      </c>
      <c r="CQ1434" s="167">
        <f>$N1434/17</f>
        <v>0.82352941176470584</v>
      </c>
      <c r="CR1434" s="167">
        <f>$N1434/17</f>
        <v>0.82352941176470584</v>
      </c>
      <c r="CS1434" s="167">
        <f>$N1434/17</f>
        <v>0.82352941176470584</v>
      </c>
      <c r="CT1434" s="167">
        <f>$N1434/17</f>
        <v>0.82352941176470584</v>
      </c>
      <c r="CU1434" s="167">
        <f>$N1434/17</f>
        <v>0.82352941176470584</v>
      </c>
      <c r="CV1434" s="167">
        <f>$N1434/17</f>
        <v>0.82352941176470584</v>
      </c>
      <c r="CW1434" s="167">
        <f>$N1434/17</f>
        <v>0.82352941176470584</v>
      </c>
      <c r="CX1434" s="167">
        <f>SUM(CD1434:CH1434)</f>
        <v>0</v>
      </c>
      <c r="CY1434" s="167">
        <f>SUM(CD1434:CM1434)</f>
        <v>3.2941176470588234</v>
      </c>
    </row>
    <row r="1435" spans="1:103" ht="12.75" customHeight="1" x14ac:dyDescent="0.2">
      <c r="A1435" s="81">
        <v>6894</v>
      </c>
      <c r="B1435" s="165" t="s">
        <v>1902</v>
      </c>
      <c r="C1435" s="165" t="s">
        <v>3559</v>
      </c>
      <c r="E1435" s="165" t="s">
        <v>3560</v>
      </c>
      <c r="F1435" s="165" t="s">
        <v>3535</v>
      </c>
      <c r="G1435" s="81">
        <v>525337</v>
      </c>
      <c r="H1435" s="81">
        <v>175127</v>
      </c>
      <c r="I1435" s="165" t="s">
        <v>259</v>
      </c>
      <c r="L1435" s="166">
        <v>0</v>
      </c>
      <c r="M1435" s="166">
        <v>9</v>
      </c>
      <c r="N1435" s="166">
        <v>9</v>
      </c>
      <c r="O1435" s="166">
        <v>66</v>
      </c>
      <c r="P1435" s="166">
        <v>66</v>
      </c>
      <c r="Q1435" s="81" t="s">
        <v>155</v>
      </c>
      <c r="R1435" s="165" t="s">
        <v>1905</v>
      </c>
      <c r="S1435" s="81" t="s">
        <v>1906</v>
      </c>
      <c r="W1435" s="81" t="s">
        <v>114</v>
      </c>
      <c r="Y1435" s="81" t="s">
        <v>115</v>
      </c>
      <c r="Z1435" s="81" t="s">
        <v>116</v>
      </c>
      <c r="AA1435" s="81" t="s">
        <v>117</v>
      </c>
      <c r="AB1435" s="81" t="s">
        <v>218</v>
      </c>
      <c r="AC1435" s="166">
        <v>0</v>
      </c>
      <c r="AG1435" s="81" t="s">
        <v>74</v>
      </c>
      <c r="AH1435" s="81" t="s">
        <v>990</v>
      </c>
      <c r="AI1435" s="81" t="s">
        <v>1745</v>
      </c>
      <c r="AJ1435" s="81">
        <v>17320283</v>
      </c>
      <c r="AK1435" s="166">
        <v>0</v>
      </c>
      <c r="AM1435" s="166">
        <v>0</v>
      </c>
      <c r="AO1435" s="166">
        <v>0</v>
      </c>
      <c r="AP1435" s="166">
        <v>0</v>
      </c>
      <c r="AQ1435" s="166">
        <v>0</v>
      </c>
      <c r="AR1435" s="166">
        <v>0</v>
      </c>
      <c r="AS1435" s="166">
        <v>0</v>
      </c>
      <c r="AT1435" s="166">
        <v>0</v>
      </c>
      <c r="AU1435" s="166">
        <v>9</v>
      </c>
      <c r="AV1435" s="166">
        <v>0</v>
      </c>
      <c r="AW1435" s="166">
        <v>0</v>
      </c>
      <c r="AX1435" s="166">
        <v>0</v>
      </c>
      <c r="AY1435" s="166">
        <v>0</v>
      </c>
      <c r="AZ1435" s="166">
        <v>0</v>
      </c>
      <c r="BA1435" s="166">
        <v>0</v>
      </c>
      <c r="BB1435" s="166">
        <v>9</v>
      </c>
      <c r="BC1435" s="166">
        <v>0</v>
      </c>
      <c r="BD1435" s="166">
        <v>0</v>
      </c>
      <c r="BE1435" s="166">
        <v>0</v>
      </c>
      <c r="BF1435" s="166">
        <v>0</v>
      </c>
      <c r="BG1435" s="166">
        <v>0</v>
      </c>
      <c r="BH1435" s="166">
        <v>0</v>
      </c>
      <c r="BI1435" s="166">
        <v>0</v>
      </c>
      <c r="BJ1435" s="166">
        <v>0</v>
      </c>
      <c r="BK1435" s="166">
        <v>0</v>
      </c>
      <c r="BL1435" s="166">
        <v>0</v>
      </c>
      <c r="BM1435" s="166">
        <v>0</v>
      </c>
      <c r="BN1435" s="166">
        <v>0</v>
      </c>
      <c r="BO1435" s="166">
        <v>0</v>
      </c>
      <c r="BP1435" s="166">
        <v>0</v>
      </c>
      <c r="BQ1435" s="81" t="s">
        <v>1758</v>
      </c>
      <c r="BT1435" s="81" t="s">
        <v>155</v>
      </c>
      <c r="BZ1435" s="81" t="s">
        <v>155</v>
      </c>
      <c r="CA1435" s="81">
        <v>11</v>
      </c>
      <c r="CC1435" s="167">
        <v>0</v>
      </c>
      <c r="CD1435" s="167">
        <v>0</v>
      </c>
      <c r="CE1435" s="167">
        <f>$N1435/15</f>
        <v>0.6</v>
      </c>
      <c r="CF1435" s="167">
        <f>$N1435/15</f>
        <v>0.6</v>
      </c>
      <c r="CG1435" s="167">
        <f>$N1435/15</f>
        <v>0.6</v>
      </c>
      <c r="CH1435" s="167">
        <f>$N1435/15</f>
        <v>0.6</v>
      </c>
      <c r="CI1435" s="167">
        <f>$N1435/15</f>
        <v>0.6</v>
      </c>
      <c r="CJ1435" s="167">
        <f>$N1435/15</f>
        <v>0.6</v>
      </c>
      <c r="CK1435" s="167">
        <f>$N1435/15</f>
        <v>0.6</v>
      </c>
      <c r="CL1435" s="167">
        <f>$N1435/15</f>
        <v>0.6</v>
      </c>
      <c r="CM1435" s="167">
        <f>$N1435/15</f>
        <v>0.6</v>
      </c>
      <c r="CN1435" s="167">
        <f>$N1435/15</f>
        <v>0.6</v>
      </c>
      <c r="CO1435" s="167">
        <f>$N1435/15</f>
        <v>0.6</v>
      </c>
      <c r="CP1435" s="167">
        <f>$N1435/15</f>
        <v>0.6</v>
      </c>
      <c r="CQ1435" s="167">
        <f>$N1435/15</f>
        <v>0.6</v>
      </c>
      <c r="CR1435" s="167">
        <f>$N1435/15</f>
        <v>0.6</v>
      </c>
      <c r="CS1435" s="167">
        <f>$N1435/15</f>
        <v>0.6</v>
      </c>
      <c r="CT1435" s="167">
        <v>0</v>
      </c>
      <c r="CU1435" s="167">
        <v>0</v>
      </c>
      <c r="CV1435" s="167">
        <v>0</v>
      </c>
      <c r="CW1435" s="167">
        <v>0</v>
      </c>
      <c r="CX1435" s="167">
        <f>SUM(CD1435:CH1435)</f>
        <v>2.4</v>
      </c>
      <c r="CY1435" s="167">
        <f>SUM(CD1435:CM1435)</f>
        <v>5.3999999999999995</v>
      </c>
    </row>
    <row r="1436" spans="1:103" ht="12.75" customHeight="1" x14ac:dyDescent="0.2">
      <c r="A1436" s="81">
        <v>6894</v>
      </c>
      <c r="B1436" s="165" t="s">
        <v>1902</v>
      </c>
      <c r="C1436" s="165" t="s">
        <v>3559</v>
      </c>
      <c r="E1436" s="165" t="s">
        <v>3560</v>
      </c>
      <c r="F1436" s="165" t="s">
        <v>1556</v>
      </c>
      <c r="G1436" s="81">
        <v>525337</v>
      </c>
      <c r="H1436" s="81">
        <v>175127</v>
      </c>
      <c r="I1436" s="165" t="s">
        <v>259</v>
      </c>
      <c r="L1436" s="166">
        <v>0</v>
      </c>
      <c r="M1436" s="166">
        <v>44</v>
      </c>
      <c r="N1436" s="166">
        <v>44</v>
      </c>
      <c r="O1436" s="166">
        <v>66</v>
      </c>
      <c r="P1436" s="166">
        <v>66</v>
      </c>
      <c r="Q1436" s="81" t="s">
        <v>155</v>
      </c>
      <c r="R1436" s="165" t="s">
        <v>1905</v>
      </c>
      <c r="S1436" s="81" t="s">
        <v>1906</v>
      </c>
      <c r="W1436" s="81" t="s">
        <v>114</v>
      </c>
      <c r="Y1436" s="81" t="s">
        <v>115</v>
      </c>
      <c r="Z1436" s="81" t="s">
        <v>116</v>
      </c>
      <c r="AA1436" s="81" t="s">
        <v>116</v>
      </c>
      <c r="AB1436" s="81" t="s">
        <v>117</v>
      </c>
      <c r="AC1436" s="166">
        <v>0</v>
      </c>
      <c r="AG1436" s="81" t="s">
        <v>238</v>
      </c>
      <c r="AH1436" s="81" t="s">
        <v>118</v>
      </c>
      <c r="AI1436" s="81" t="s">
        <v>1745</v>
      </c>
      <c r="AJ1436" s="81">
        <v>17320283</v>
      </c>
      <c r="AK1436" s="166">
        <v>0</v>
      </c>
      <c r="AM1436" s="166">
        <v>0</v>
      </c>
      <c r="AO1436" s="166">
        <v>0</v>
      </c>
      <c r="AP1436" s="166">
        <v>0</v>
      </c>
      <c r="AQ1436" s="166">
        <v>0</v>
      </c>
      <c r="AR1436" s="166">
        <v>0</v>
      </c>
      <c r="AS1436" s="166">
        <v>0</v>
      </c>
      <c r="AT1436" s="166">
        <v>0</v>
      </c>
      <c r="AU1436" s="166">
        <v>44</v>
      </c>
      <c r="AV1436" s="166">
        <v>0</v>
      </c>
      <c r="AW1436" s="166">
        <v>0</v>
      </c>
      <c r="AX1436" s="166">
        <v>0</v>
      </c>
      <c r="AY1436" s="166">
        <v>0</v>
      </c>
      <c r="AZ1436" s="166">
        <v>0</v>
      </c>
      <c r="BA1436" s="166">
        <v>0</v>
      </c>
      <c r="BB1436" s="166">
        <v>44</v>
      </c>
      <c r="BC1436" s="166">
        <v>0</v>
      </c>
      <c r="BD1436" s="166">
        <v>0</v>
      </c>
      <c r="BE1436" s="166">
        <v>0</v>
      </c>
      <c r="BF1436" s="166">
        <v>0</v>
      </c>
      <c r="BG1436" s="166">
        <v>0</v>
      </c>
      <c r="BH1436" s="166">
        <v>0</v>
      </c>
      <c r="BI1436" s="166">
        <v>0</v>
      </c>
      <c r="BJ1436" s="166">
        <v>0</v>
      </c>
      <c r="BK1436" s="166">
        <v>0</v>
      </c>
      <c r="BL1436" s="166">
        <v>0</v>
      </c>
      <c r="BM1436" s="166">
        <v>0</v>
      </c>
      <c r="BN1436" s="166">
        <v>0</v>
      </c>
      <c r="BO1436" s="166">
        <v>0</v>
      </c>
      <c r="BP1436" s="166">
        <v>0</v>
      </c>
      <c r="BQ1436" s="81" t="s">
        <v>1758</v>
      </c>
      <c r="BT1436" s="81" t="s">
        <v>155</v>
      </c>
      <c r="BZ1436" s="81" t="s">
        <v>155</v>
      </c>
      <c r="CA1436" s="81">
        <v>11</v>
      </c>
      <c r="CC1436" s="167">
        <v>0</v>
      </c>
      <c r="CD1436" s="167">
        <v>0</v>
      </c>
      <c r="CE1436" s="167">
        <f>$N1436/15</f>
        <v>2.9333333333333331</v>
      </c>
      <c r="CF1436" s="167">
        <f>$N1436/15</f>
        <v>2.9333333333333331</v>
      </c>
      <c r="CG1436" s="167">
        <f>$N1436/15</f>
        <v>2.9333333333333331</v>
      </c>
      <c r="CH1436" s="167">
        <f>$N1436/15</f>
        <v>2.9333333333333331</v>
      </c>
      <c r="CI1436" s="167">
        <f>$N1436/15</f>
        <v>2.9333333333333331</v>
      </c>
      <c r="CJ1436" s="167">
        <f>$N1436/15</f>
        <v>2.9333333333333331</v>
      </c>
      <c r="CK1436" s="167">
        <f>$N1436/15</f>
        <v>2.9333333333333331</v>
      </c>
      <c r="CL1436" s="167">
        <f>$N1436/15</f>
        <v>2.9333333333333331</v>
      </c>
      <c r="CM1436" s="167">
        <f>$N1436/15</f>
        <v>2.9333333333333331</v>
      </c>
      <c r="CN1436" s="167">
        <f>$N1436/15</f>
        <v>2.9333333333333331</v>
      </c>
      <c r="CO1436" s="167">
        <f>$N1436/15</f>
        <v>2.9333333333333331</v>
      </c>
      <c r="CP1436" s="167">
        <f>$N1436/15</f>
        <v>2.9333333333333331</v>
      </c>
      <c r="CQ1436" s="167">
        <f>$N1436/15</f>
        <v>2.9333333333333331</v>
      </c>
      <c r="CR1436" s="167">
        <f>$N1436/15</f>
        <v>2.9333333333333331</v>
      </c>
      <c r="CS1436" s="167">
        <f>$N1436/15</f>
        <v>2.9333333333333331</v>
      </c>
      <c r="CT1436" s="167">
        <v>0</v>
      </c>
      <c r="CU1436" s="167">
        <v>0</v>
      </c>
      <c r="CV1436" s="167">
        <v>0</v>
      </c>
      <c r="CW1436" s="167">
        <v>0</v>
      </c>
      <c r="CX1436" s="167">
        <f>SUM(CD1436:CH1436)</f>
        <v>11.733333333333333</v>
      </c>
      <c r="CY1436" s="167">
        <f>SUM(CD1436:CM1436)</f>
        <v>26.4</v>
      </c>
    </row>
    <row r="1437" spans="1:103" ht="12.75" customHeight="1" x14ac:dyDescent="0.2">
      <c r="A1437" s="81">
        <v>6894</v>
      </c>
      <c r="B1437" s="165" t="s">
        <v>1902</v>
      </c>
      <c r="C1437" s="165" t="s">
        <v>3559</v>
      </c>
      <c r="E1437" s="165" t="s">
        <v>3560</v>
      </c>
      <c r="F1437" s="165" t="s">
        <v>3536</v>
      </c>
      <c r="G1437" s="81">
        <v>525337</v>
      </c>
      <c r="H1437" s="81">
        <v>175127</v>
      </c>
      <c r="I1437" s="165" t="s">
        <v>259</v>
      </c>
      <c r="L1437" s="166">
        <v>0</v>
      </c>
      <c r="M1437" s="166">
        <v>13</v>
      </c>
      <c r="N1437" s="166">
        <v>13</v>
      </c>
      <c r="O1437" s="166">
        <v>66</v>
      </c>
      <c r="P1437" s="166">
        <v>66</v>
      </c>
      <c r="Q1437" s="81" t="s">
        <v>155</v>
      </c>
      <c r="R1437" s="165" t="s">
        <v>1905</v>
      </c>
      <c r="S1437" s="81" t="s">
        <v>1906</v>
      </c>
      <c r="W1437" s="81" t="s">
        <v>114</v>
      </c>
      <c r="Y1437" s="81" t="s">
        <v>115</v>
      </c>
      <c r="Z1437" s="81" t="s">
        <v>116</v>
      </c>
      <c r="AA1437" s="81" t="s">
        <v>116</v>
      </c>
      <c r="AB1437" s="81" t="s">
        <v>117</v>
      </c>
      <c r="AC1437" s="166">
        <v>0</v>
      </c>
      <c r="AG1437" s="81" t="s">
        <v>154</v>
      </c>
      <c r="AH1437" s="81" t="s">
        <v>276</v>
      </c>
      <c r="AI1437" s="81" t="s">
        <v>1745</v>
      </c>
      <c r="AJ1437" s="81">
        <v>17320283</v>
      </c>
      <c r="AK1437" s="166">
        <v>0</v>
      </c>
      <c r="AM1437" s="166">
        <v>0</v>
      </c>
      <c r="AO1437" s="166">
        <v>0</v>
      </c>
      <c r="AP1437" s="166">
        <v>0</v>
      </c>
      <c r="AQ1437" s="166">
        <v>0</v>
      </c>
      <c r="AR1437" s="166">
        <v>0</v>
      </c>
      <c r="AS1437" s="166">
        <v>0</v>
      </c>
      <c r="AT1437" s="166">
        <v>0</v>
      </c>
      <c r="AU1437" s="166">
        <v>13</v>
      </c>
      <c r="AV1437" s="166">
        <v>0</v>
      </c>
      <c r="AW1437" s="166">
        <v>0</v>
      </c>
      <c r="AX1437" s="166">
        <v>0</v>
      </c>
      <c r="AY1437" s="166">
        <v>0</v>
      </c>
      <c r="AZ1437" s="166">
        <v>0</v>
      </c>
      <c r="BA1437" s="166">
        <v>0</v>
      </c>
      <c r="BB1437" s="166">
        <v>13</v>
      </c>
      <c r="BC1437" s="166">
        <v>0</v>
      </c>
      <c r="BD1437" s="166">
        <v>0</v>
      </c>
      <c r="BE1437" s="166">
        <v>0</v>
      </c>
      <c r="BF1437" s="166">
        <v>0</v>
      </c>
      <c r="BG1437" s="166">
        <v>0</v>
      </c>
      <c r="BH1437" s="166">
        <v>0</v>
      </c>
      <c r="BI1437" s="166">
        <v>0</v>
      </c>
      <c r="BJ1437" s="166">
        <v>0</v>
      </c>
      <c r="BK1437" s="166">
        <v>0</v>
      </c>
      <c r="BL1437" s="166">
        <v>0</v>
      </c>
      <c r="BM1437" s="166">
        <v>0</v>
      </c>
      <c r="BN1437" s="166">
        <v>0</v>
      </c>
      <c r="BO1437" s="166">
        <v>0</v>
      </c>
      <c r="BP1437" s="166">
        <v>0</v>
      </c>
      <c r="BQ1437" s="81" t="s">
        <v>1758</v>
      </c>
      <c r="BT1437" s="81" t="s">
        <v>155</v>
      </c>
      <c r="BZ1437" s="81" t="s">
        <v>155</v>
      </c>
      <c r="CA1437" s="81">
        <v>11</v>
      </c>
      <c r="CC1437" s="167">
        <v>0</v>
      </c>
      <c r="CD1437" s="167">
        <v>0</v>
      </c>
      <c r="CE1437" s="167">
        <f>$N1437/15</f>
        <v>0.8666666666666667</v>
      </c>
      <c r="CF1437" s="167">
        <f>$N1437/15</f>
        <v>0.8666666666666667</v>
      </c>
      <c r="CG1437" s="167">
        <f>$N1437/15</f>
        <v>0.8666666666666667</v>
      </c>
      <c r="CH1437" s="167">
        <f>$N1437/15</f>
        <v>0.8666666666666667</v>
      </c>
      <c r="CI1437" s="167">
        <f>$N1437/15</f>
        <v>0.8666666666666667</v>
      </c>
      <c r="CJ1437" s="167">
        <f>$N1437/15</f>
        <v>0.8666666666666667</v>
      </c>
      <c r="CK1437" s="167">
        <f>$N1437/15</f>
        <v>0.8666666666666667</v>
      </c>
      <c r="CL1437" s="167">
        <f>$N1437/15</f>
        <v>0.8666666666666667</v>
      </c>
      <c r="CM1437" s="167">
        <f>$N1437/15</f>
        <v>0.8666666666666667</v>
      </c>
      <c r="CN1437" s="167">
        <f>$N1437/15</f>
        <v>0.8666666666666667</v>
      </c>
      <c r="CO1437" s="167">
        <f>$N1437/15</f>
        <v>0.8666666666666667</v>
      </c>
      <c r="CP1437" s="167">
        <f>$N1437/15</f>
        <v>0.8666666666666667</v>
      </c>
      <c r="CQ1437" s="167">
        <f>$N1437/15</f>
        <v>0.8666666666666667</v>
      </c>
      <c r="CR1437" s="167">
        <f>$N1437/15</f>
        <v>0.8666666666666667</v>
      </c>
      <c r="CS1437" s="167">
        <f>$N1437/15</f>
        <v>0.8666666666666667</v>
      </c>
      <c r="CT1437" s="167">
        <v>0</v>
      </c>
      <c r="CU1437" s="167">
        <v>0</v>
      </c>
      <c r="CV1437" s="167">
        <v>0</v>
      </c>
      <c r="CW1437" s="167">
        <v>0</v>
      </c>
      <c r="CX1437" s="167">
        <f>SUM(CD1437:CH1437)</f>
        <v>3.4666666666666668</v>
      </c>
      <c r="CY1437" s="167">
        <f>SUM(CD1437:CM1437)</f>
        <v>7.8000000000000025</v>
      </c>
    </row>
    <row r="1438" spans="1:103" ht="12.75" customHeight="1" x14ac:dyDescent="0.2">
      <c r="A1438" s="81">
        <v>6895</v>
      </c>
      <c r="B1438" s="165" t="s">
        <v>1902</v>
      </c>
      <c r="C1438" s="165" t="s">
        <v>3574</v>
      </c>
      <c r="E1438" s="165" t="s">
        <v>3575</v>
      </c>
      <c r="F1438" s="165" t="s">
        <v>3535</v>
      </c>
      <c r="G1438" s="81">
        <v>525545</v>
      </c>
      <c r="H1438" s="81">
        <v>175231</v>
      </c>
      <c r="I1438" s="165" t="s">
        <v>251</v>
      </c>
      <c r="L1438" s="166">
        <v>0</v>
      </c>
      <c r="M1438" s="166">
        <v>2</v>
      </c>
      <c r="N1438" s="166">
        <v>2</v>
      </c>
      <c r="O1438" s="166">
        <v>16</v>
      </c>
      <c r="P1438" s="166">
        <v>16</v>
      </c>
      <c r="Q1438" s="81" t="s">
        <v>155</v>
      </c>
      <c r="R1438" s="165" t="s">
        <v>1905</v>
      </c>
      <c r="S1438" s="81" t="s">
        <v>1906</v>
      </c>
      <c r="W1438" s="81" t="s">
        <v>114</v>
      </c>
      <c r="Y1438" s="81" t="s">
        <v>115</v>
      </c>
      <c r="Z1438" s="81" t="s">
        <v>116</v>
      </c>
      <c r="AA1438" s="81" t="s">
        <v>117</v>
      </c>
      <c r="AB1438" s="81" t="s">
        <v>218</v>
      </c>
      <c r="AC1438" s="166">
        <v>0</v>
      </c>
      <c r="AG1438" s="81" t="s">
        <v>74</v>
      </c>
      <c r="AH1438" s="81" t="s">
        <v>990</v>
      </c>
      <c r="AI1438" s="81" t="s">
        <v>1738</v>
      </c>
      <c r="AJ1438" s="81">
        <v>17320067</v>
      </c>
      <c r="AK1438" s="166">
        <v>0</v>
      </c>
      <c r="AM1438" s="166">
        <v>0</v>
      </c>
      <c r="AO1438" s="166">
        <v>0</v>
      </c>
      <c r="AP1438" s="166">
        <v>0</v>
      </c>
      <c r="AQ1438" s="166">
        <v>0</v>
      </c>
      <c r="AR1438" s="166">
        <v>0</v>
      </c>
      <c r="AS1438" s="166">
        <v>0</v>
      </c>
      <c r="AT1438" s="166">
        <v>0</v>
      </c>
      <c r="AU1438" s="166">
        <v>2</v>
      </c>
      <c r="AV1438" s="166">
        <v>0</v>
      </c>
      <c r="AW1438" s="166">
        <v>0</v>
      </c>
      <c r="AX1438" s="166">
        <v>0</v>
      </c>
      <c r="AY1438" s="166">
        <v>0</v>
      </c>
      <c r="AZ1438" s="166">
        <v>0</v>
      </c>
      <c r="BA1438" s="166">
        <v>0</v>
      </c>
      <c r="BB1438" s="166">
        <v>2</v>
      </c>
      <c r="BC1438" s="166">
        <v>0</v>
      </c>
      <c r="BD1438" s="166">
        <v>0</v>
      </c>
      <c r="BE1438" s="166">
        <v>0</v>
      </c>
      <c r="BF1438" s="166">
        <v>0</v>
      </c>
      <c r="BG1438" s="166">
        <v>0</v>
      </c>
      <c r="BH1438" s="166">
        <v>0</v>
      </c>
      <c r="BI1438" s="166">
        <v>0</v>
      </c>
      <c r="BJ1438" s="166">
        <v>0</v>
      </c>
      <c r="BK1438" s="166">
        <v>0</v>
      </c>
      <c r="BL1438" s="166">
        <v>0</v>
      </c>
      <c r="BM1438" s="166">
        <v>0</v>
      </c>
      <c r="BN1438" s="166">
        <v>0</v>
      </c>
      <c r="BO1438" s="166">
        <v>0</v>
      </c>
      <c r="BP1438" s="166">
        <v>0</v>
      </c>
      <c r="BQ1438" s="81" t="s">
        <v>1758</v>
      </c>
      <c r="BT1438" s="81" t="s">
        <v>155</v>
      </c>
      <c r="BZ1438" s="81" t="s">
        <v>155</v>
      </c>
      <c r="CA1438" s="81">
        <v>11</v>
      </c>
      <c r="CC1438" s="167">
        <v>0</v>
      </c>
      <c r="CD1438" s="167">
        <v>0</v>
      </c>
      <c r="CE1438" s="167">
        <v>0</v>
      </c>
      <c r="CF1438" s="167">
        <v>0</v>
      </c>
      <c r="CG1438" s="167">
        <v>0</v>
      </c>
      <c r="CH1438" s="167">
        <v>0</v>
      </c>
      <c r="CI1438" s="167">
        <v>0</v>
      </c>
      <c r="CJ1438" s="167">
        <v>0</v>
      </c>
      <c r="CK1438" s="167">
        <v>0</v>
      </c>
      <c r="CL1438" s="167">
        <v>0</v>
      </c>
      <c r="CM1438" s="167">
        <v>0</v>
      </c>
      <c r="CN1438" s="167">
        <v>0</v>
      </c>
      <c r="CO1438" s="167">
        <f>$N1438/12</f>
        <v>0.16666666666666666</v>
      </c>
      <c r="CP1438" s="167">
        <f>$N1438/12</f>
        <v>0.16666666666666666</v>
      </c>
      <c r="CQ1438" s="167">
        <f>$N1438/12</f>
        <v>0.16666666666666666</v>
      </c>
      <c r="CR1438" s="167">
        <f>$N1438/12</f>
        <v>0.16666666666666666</v>
      </c>
      <c r="CS1438" s="167">
        <f>$N1438/12</f>
        <v>0.16666666666666666</v>
      </c>
      <c r="CT1438" s="167">
        <f>$N1438/12</f>
        <v>0.16666666666666666</v>
      </c>
      <c r="CU1438" s="167">
        <f>$N1438/12</f>
        <v>0.16666666666666666</v>
      </c>
      <c r="CV1438" s="167">
        <f>$N1438/12</f>
        <v>0.16666666666666666</v>
      </c>
      <c r="CW1438" s="167">
        <f>$N1438/12</f>
        <v>0.16666666666666666</v>
      </c>
      <c r="CX1438" s="167">
        <f>SUM(CD1438:CH1438)</f>
        <v>0</v>
      </c>
      <c r="CY1438" s="167">
        <f>SUM(CD1438:CM1438)</f>
        <v>0</v>
      </c>
    </row>
    <row r="1439" spans="1:103" ht="12.75" customHeight="1" x14ac:dyDescent="0.2">
      <c r="A1439" s="81">
        <v>6895</v>
      </c>
      <c r="B1439" s="165" t="s">
        <v>1902</v>
      </c>
      <c r="C1439" s="165" t="s">
        <v>3574</v>
      </c>
      <c r="E1439" s="165" t="s">
        <v>3575</v>
      </c>
      <c r="F1439" s="165" t="s">
        <v>1556</v>
      </c>
      <c r="G1439" s="81">
        <v>525545</v>
      </c>
      <c r="H1439" s="81">
        <v>175231</v>
      </c>
      <c r="I1439" s="165" t="s">
        <v>251</v>
      </c>
      <c r="L1439" s="166">
        <v>0</v>
      </c>
      <c r="M1439" s="166">
        <v>11</v>
      </c>
      <c r="N1439" s="166">
        <v>11</v>
      </c>
      <c r="O1439" s="166">
        <v>16</v>
      </c>
      <c r="P1439" s="166">
        <v>16</v>
      </c>
      <c r="Q1439" s="81" t="s">
        <v>155</v>
      </c>
      <c r="R1439" s="165" t="s">
        <v>1905</v>
      </c>
      <c r="S1439" s="81" t="s">
        <v>1906</v>
      </c>
      <c r="W1439" s="81" t="s">
        <v>114</v>
      </c>
      <c r="Y1439" s="81" t="s">
        <v>115</v>
      </c>
      <c r="Z1439" s="81" t="s">
        <v>116</v>
      </c>
      <c r="AA1439" s="81" t="s">
        <v>116</v>
      </c>
      <c r="AB1439" s="81" t="s">
        <v>117</v>
      </c>
      <c r="AC1439" s="166">
        <v>0</v>
      </c>
      <c r="AG1439" s="81" t="s">
        <v>238</v>
      </c>
      <c r="AH1439" s="81" t="s">
        <v>118</v>
      </c>
      <c r="AI1439" s="81" t="s">
        <v>1738</v>
      </c>
      <c r="AJ1439" s="81">
        <v>17320067</v>
      </c>
      <c r="AK1439" s="166">
        <v>0</v>
      </c>
      <c r="AM1439" s="166">
        <v>0</v>
      </c>
      <c r="AO1439" s="166">
        <v>0</v>
      </c>
      <c r="AP1439" s="166">
        <v>0</v>
      </c>
      <c r="AQ1439" s="166">
        <v>0</v>
      </c>
      <c r="AR1439" s="166">
        <v>0</v>
      </c>
      <c r="AS1439" s="166">
        <v>0</v>
      </c>
      <c r="AT1439" s="166">
        <v>0</v>
      </c>
      <c r="AU1439" s="166">
        <v>11</v>
      </c>
      <c r="AV1439" s="166">
        <v>0</v>
      </c>
      <c r="AW1439" s="166">
        <v>0</v>
      </c>
      <c r="AX1439" s="166">
        <v>0</v>
      </c>
      <c r="AY1439" s="166">
        <v>0</v>
      </c>
      <c r="AZ1439" s="166">
        <v>0</v>
      </c>
      <c r="BA1439" s="166">
        <v>0</v>
      </c>
      <c r="BB1439" s="166">
        <v>11</v>
      </c>
      <c r="BC1439" s="166">
        <v>0</v>
      </c>
      <c r="BD1439" s="166">
        <v>0</v>
      </c>
      <c r="BE1439" s="166">
        <v>0</v>
      </c>
      <c r="BF1439" s="166">
        <v>0</v>
      </c>
      <c r="BG1439" s="166">
        <v>0</v>
      </c>
      <c r="BH1439" s="166">
        <v>0</v>
      </c>
      <c r="BI1439" s="166">
        <v>0</v>
      </c>
      <c r="BJ1439" s="166">
        <v>0</v>
      </c>
      <c r="BK1439" s="166">
        <v>0</v>
      </c>
      <c r="BL1439" s="166">
        <v>0</v>
      </c>
      <c r="BM1439" s="166">
        <v>0</v>
      </c>
      <c r="BN1439" s="166">
        <v>0</v>
      </c>
      <c r="BO1439" s="166">
        <v>0</v>
      </c>
      <c r="BP1439" s="166">
        <v>0</v>
      </c>
      <c r="BQ1439" s="81" t="s">
        <v>1758</v>
      </c>
      <c r="BT1439" s="81" t="s">
        <v>155</v>
      </c>
      <c r="BZ1439" s="81" t="s">
        <v>155</v>
      </c>
      <c r="CA1439" s="81">
        <v>11</v>
      </c>
      <c r="CC1439" s="167">
        <v>0</v>
      </c>
      <c r="CD1439" s="167">
        <v>0</v>
      </c>
      <c r="CE1439" s="167">
        <v>0</v>
      </c>
      <c r="CF1439" s="167">
        <v>0</v>
      </c>
      <c r="CG1439" s="167">
        <v>0</v>
      </c>
      <c r="CH1439" s="167">
        <v>0</v>
      </c>
      <c r="CI1439" s="167">
        <v>0</v>
      </c>
      <c r="CJ1439" s="167">
        <v>0</v>
      </c>
      <c r="CK1439" s="167">
        <v>0</v>
      </c>
      <c r="CL1439" s="167">
        <v>0</v>
      </c>
      <c r="CM1439" s="167">
        <v>0</v>
      </c>
      <c r="CN1439" s="167">
        <v>0</v>
      </c>
      <c r="CO1439" s="167">
        <f>$N1439/12</f>
        <v>0.91666666666666663</v>
      </c>
      <c r="CP1439" s="167">
        <f>$N1439/12</f>
        <v>0.91666666666666663</v>
      </c>
      <c r="CQ1439" s="167">
        <f>$N1439/12</f>
        <v>0.91666666666666663</v>
      </c>
      <c r="CR1439" s="167">
        <f>$N1439/12</f>
        <v>0.91666666666666663</v>
      </c>
      <c r="CS1439" s="167">
        <f>$N1439/12</f>
        <v>0.91666666666666663</v>
      </c>
      <c r="CT1439" s="167">
        <f>$N1439/12</f>
        <v>0.91666666666666663</v>
      </c>
      <c r="CU1439" s="167">
        <f>$N1439/12</f>
        <v>0.91666666666666663</v>
      </c>
      <c r="CV1439" s="167">
        <f>$N1439/12</f>
        <v>0.91666666666666663</v>
      </c>
      <c r="CW1439" s="167">
        <f>$N1439/12</f>
        <v>0.91666666666666663</v>
      </c>
      <c r="CX1439" s="167">
        <f>SUM(CD1439:CH1439)</f>
        <v>0</v>
      </c>
      <c r="CY1439" s="167">
        <f>SUM(CD1439:CM1439)</f>
        <v>0</v>
      </c>
    </row>
    <row r="1440" spans="1:103" ht="12.75" customHeight="1" x14ac:dyDescent="0.2">
      <c r="A1440" s="81">
        <v>6895</v>
      </c>
      <c r="B1440" s="165" t="s">
        <v>1902</v>
      </c>
      <c r="C1440" s="165" t="s">
        <v>3574</v>
      </c>
      <c r="E1440" s="165" t="s">
        <v>3575</v>
      </c>
      <c r="F1440" s="165" t="s">
        <v>3536</v>
      </c>
      <c r="G1440" s="81">
        <v>525545</v>
      </c>
      <c r="H1440" s="81">
        <v>175231</v>
      </c>
      <c r="I1440" s="165" t="s">
        <v>251</v>
      </c>
      <c r="L1440" s="166">
        <v>0</v>
      </c>
      <c r="M1440" s="166">
        <v>3</v>
      </c>
      <c r="N1440" s="166">
        <v>3</v>
      </c>
      <c r="O1440" s="166">
        <v>16</v>
      </c>
      <c r="P1440" s="166">
        <v>16</v>
      </c>
      <c r="Q1440" s="81" t="s">
        <v>155</v>
      </c>
      <c r="R1440" s="165" t="s">
        <v>1905</v>
      </c>
      <c r="S1440" s="81" t="s">
        <v>1906</v>
      </c>
      <c r="W1440" s="81" t="s">
        <v>114</v>
      </c>
      <c r="Y1440" s="81" t="s">
        <v>115</v>
      </c>
      <c r="Z1440" s="81" t="s">
        <v>116</v>
      </c>
      <c r="AA1440" s="81" t="s">
        <v>117</v>
      </c>
      <c r="AB1440" s="81" t="s">
        <v>218</v>
      </c>
      <c r="AC1440" s="166">
        <v>0</v>
      </c>
      <c r="AG1440" s="81" t="s">
        <v>154</v>
      </c>
      <c r="AH1440" s="81" t="s">
        <v>276</v>
      </c>
      <c r="AI1440" s="81" t="s">
        <v>1738</v>
      </c>
      <c r="AJ1440" s="81">
        <v>17320067</v>
      </c>
      <c r="AK1440" s="166">
        <v>0</v>
      </c>
      <c r="AM1440" s="166">
        <v>0</v>
      </c>
      <c r="AO1440" s="166">
        <v>0</v>
      </c>
      <c r="AP1440" s="166">
        <v>0</v>
      </c>
      <c r="AQ1440" s="166">
        <v>0</v>
      </c>
      <c r="AR1440" s="166">
        <v>0</v>
      </c>
      <c r="AS1440" s="166">
        <v>0</v>
      </c>
      <c r="AT1440" s="166">
        <v>0</v>
      </c>
      <c r="AU1440" s="166">
        <v>3</v>
      </c>
      <c r="AV1440" s="166">
        <v>0</v>
      </c>
      <c r="AW1440" s="166">
        <v>0</v>
      </c>
      <c r="AX1440" s="166">
        <v>0</v>
      </c>
      <c r="AY1440" s="166">
        <v>0</v>
      </c>
      <c r="AZ1440" s="166">
        <v>0</v>
      </c>
      <c r="BA1440" s="166">
        <v>0</v>
      </c>
      <c r="BB1440" s="166">
        <v>3</v>
      </c>
      <c r="BC1440" s="166">
        <v>0</v>
      </c>
      <c r="BD1440" s="166">
        <v>0</v>
      </c>
      <c r="BE1440" s="166">
        <v>0</v>
      </c>
      <c r="BF1440" s="166">
        <v>0</v>
      </c>
      <c r="BG1440" s="166">
        <v>0</v>
      </c>
      <c r="BH1440" s="166">
        <v>0</v>
      </c>
      <c r="BI1440" s="166">
        <v>0</v>
      </c>
      <c r="BJ1440" s="166">
        <v>0</v>
      </c>
      <c r="BK1440" s="166">
        <v>0</v>
      </c>
      <c r="BL1440" s="166">
        <v>0</v>
      </c>
      <c r="BM1440" s="166">
        <v>0</v>
      </c>
      <c r="BN1440" s="166">
        <v>0</v>
      </c>
      <c r="BO1440" s="166">
        <v>0</v>
      </c>
      <c r="BP1440" s="166">
        <v>0</v>
      </c>
      <c r="BQ1440" s="81" t="s">
        <v>1758</v>
      </c>
      <c r="BT1440" s="81" t="s">
        <v>155</v>
      </c>
      <c r="BZ1440" s="81" t="s">
        <v>155</v>
      </c>
      <c r="CA1440" s="81">
        <v>11</v>
      </c>
      <c r="CC1440" s="167">
        <v>0</v>
      </c>
      <c r="CD1440" s="167">
        <v>0</v>
      </c>
      <c r="CE1440" s="167">
        <v>0</v>
      </c>
      <c r="CF1440" s="167">
        <v>0</v>
      </c>
      <c r="CG1440" s="167">
        <v>0</v>
      </c>
      <c r="CH1440" s="167">
        <v>0</v>
      </c>
      <c r="CI1440" s="167">
        <v>0</v>
      </c>
      <c r="CJ1440" s="167">
        <v>0</v>
      </c>
      <c r="CK1440" s="167">
        <v>0</v>
      </c>
      <c r="CL1440" s="167">
        <v>0</v>
      </c>
      <c r="CM1440" s="167">
        <v>0</v>
      </c>
      <c r="CN1440" s="167">
        <v>0</v>
      </c>
      <c r="CO1440" s="167">
        <f>$N1440/12</f>
        <v>0.25</v>
      </c>
      <c r="CP1440" s="167">
        <f>$N1440/12</f>
        <v>0.25</v>
      </c>
      <c r="CQ1440" s="167">
        <f>$N1440/12</f>
        <v>0.25</v>
      </c>
      <c r="CR1440" s="167">
        <f>$N1440/12</f>
        <v>0.25</v>
      </c>
      <c r="CS1440" s="167">
        <f>$N1440/12</f>
        <v>0.25</v>
      </c>
      <c r="CT1440" s="167">
        <f>$N1440/12</f>
        <v>0.25</v>
      </c>
      <c r="CU1440" s="167">
        <f>$N1440/12</f>
        <v>0.25</v>
      </c>
      <c r="CV1440" s="167">
        <f>$N1440/12</f>
        <v>0.25</v>
      </c>
      <c r="CW1440" s="167">
        <f>$N1440/12</f>
        <v>0.25</v>
      </c>
      <c r="CX1440" s="167">
        <f>SUM(CD1440:CH1440)</f>
        <v>0</v>
      </c>
      <c r="CY1440" s="167">
        <f>SUM(CD1440:CM1440)</f>
        <v>0</v>
      </c>
    </row>
    <row r="1441" spans="1:103" ht="12.75" customHeight="1" x14ac:dyDescent="0.2">
      <c r="A1441" s="81">
        <v>6896</v>
      </c>
      <c r="B1441" s="165" t="s">
        <v>1902</v>
      </c>
      <c r="C1441" s="165" t="s">
        <v>2002</v>
      </c>
      <c r="E1441" s="165" t="s">
        <v>2003</v>
      </c>
      <c r="F1441" s="165" t="s">
        <v>1556</v>
      </c>
      <c r="G1441" s="81">
        <v>525597</v>
      </c>
      <c r="H1441" s="81">
        <v>175113</v>
      </c>
      <c r="I1441" s="165" t="s">
        <v>251</v>
      </c>
      <c r="L1441" s="166">
        <v>0</v>
      </c>
      <c r="M1441" s="166">
        <v>4</v>
      </c>
      <c r="N1441" s="166">
        <v>4</v>
      </c>
      <c r="O1441" s="166">
        <v>4</v>
      </c>
      <c r="P1441" s="166">
        <v>4</v>
      </c>
      <c r="R1441" s="165" t="s">
        <v>1905</v>
      </c>
      <c r="S1441" s="81" t="s">
        <v>1906</v>
      </c>
      <c r="W1441" s="81" t="s">
        <v>114</v>
      </c>
      <c r="Y1441" s="81" t="s">
        <v>115</v>
      </c>
      <c r="Z1441" s="81" t="s">
        <v>116</v>
      </c>
      <c r="AA1441" s="81" t="s">
        <v>117</v>
      </c>
      <c r="AB1441" s="81" t="s">
        <v>218</v>
      </c>
      <c r="AC1441" s="166">
        <v>0</v>
      </c>
      <c r="AG1441" s="81" t="s">
        <v>238</v>
      </c>
      <c r="AH1441" s="81" t="s">
        <v>118</v>
      </c>
      <c r="AI1441" s="81" t="s">
        <v>1742</v>
      </c>
      <c r="AJ1441" s="81">
        <v>17320113</v>
      </c>
      <c r="AK1441" s="166">
        <v>0</v>
      </c>
      <c r="AM1441" s="166">
        <v>0</v>
      </c>
      <c r="AO1441" s="166">
        <v>0</v>
      </c>
      <c r="AP1441" s="166">
        <v>0</v>
      </c>
      <c r="AQ1441" s="166">
        <v>0</v>
      </c>
      <c r="AR1441" s="166">
        <v>0</v>
      </c>
      <c r="AS1441" s="166">
        <v>0</v>
      </c>
      <c r="AT1441" s="166">
        <v>0</v>
      </c>
      <c r="AU1441" s="166">
        <v>4</v>
      </c>
      <c r="AV1441" s="166">
        <v>0</v>
      </c>
      <c r="AW1441" s="166">
        <v>0</v>
      </c>
      <c r="AX1441" s="166">
        <v>0</v>
      </c>
      <c r="AY1441" s="166">
        <v>0</v>
      </c>
      <c r="AZ1441" s="166">
        <v>0</v>
      </c>
      <c r="BA1441" s="166">
        <v>0</v>
      </c>
      <c r="BB1441" s="166">
        <v>4</v>
      </c>
      <c r="BC1441" s="166">
        <v>0</v>
      </c>
      <c r="BD1441" s="166">
        <v>0</v>
      </c>
      <c r="BE1441" s="166">
        <v>0</v>
      </c>
      <c r="BF1441" s="166">
        <v>0</v>
      </c>
      <c r="BG1441" s="166">
        <v>0</v>
      </c>
      <c r="BH1441" s="166">
        <v>0</v>
      </c>
      <c r="BI1441" s="166">
        <v>0</v>
      </c>
      <c r="BJ1441" s="166">
        <v>0</v>
      </c>
      <c r="BK1441" s="166">
        <v>0</v>
      </c>
      <c r="BL1441" s="166">
        <v>0</v>
      </c>
      <c r="BM1441" s="166">
        <v>0</v>
      </c>
      <c r="BN1441" s="166">
        <v>0</v>
      </c>
      <c r="BO1441" s="166">
        <v>0</v>
      </c>
      <c r="BP1441" s="166">
        <v>0</v>
      </c>
      <c r="BQ1441" s="81" t="s">
        <v>1758</v>
      </c>
      <c r="BT1441" s="81" t="s">
        <v>155</v>
      </c>
      <c r="BZ1441" s="81" t="s">
        <v>155</v>
      </c>
      <c r="CA1441" s="81">
        <v>11</v>
      </c>
      <c r="CC1441" s="167">
        <v>0</v>
      </c>
      <c r="CD1441" s="167">
        <v>0</v>
      </c>
      <c r="CE1441" s="167">
        <v>0</v>
      </c>
      <c r="CF1441" s="167">
        <v>0</v>
      </c>
      <c r="CG1441" s="167">
        <v>0</v>
      </c>
      <c r="CH1441" s="167">
        <v>0</v>
      </c>
      <c r="CI1441" s="167">
        <v>0</v>
      </c>
      <c r="CJ1441" s="167">
        <v>0</v>
      </c>
      <c r="CK1441" s="167">
        <v>0</v>
      </c>
      <c r="CL1441" s="167">
        <v>0</v>
      </c>
      <c r="CM1441" s="167">
        <v>0</v>
      </c>
      <c r="CN1441" s="167">
        <v>0</v>
      </c>
      <c r="CO1441" s="167">
        <v>0</v>
      </c>
      <c r="CP1441" s="167">
        <v>0</v>
      </c>
      <c r="CQ1441" s="167">
        <v>0</v>
      </c>
      <c r="CR1441" s="167">
        <v>0</v>
      </c>
      <c r="CS1441" s="167">
        <v>0</v>
      </c>
      <c r="CT1441" s="167">
        <f>$N1441/7</f>
        <v>0.5714285714285714</v>
      </c>
      <c r="CU1441" s="167">
        <f>$N1441/7</f>
        <v>0.5714285714285714</v>
      </c>
      <c r="CV1441" s="167">
        <f>$N1441/7</f>
        <v>0.5714285714285714</v>
      </c>
      <c r="CW1441" s="167">
        <f>$N1441/7</f>
        <v>0.5714285714285714</v>
      </c>
      <c r="CX1441" s="167">
        <f>SUM(CD1441:CH1441)</f>
        <v>0</v>
      </c>
      <c r="CY1441" s="167">
        <f>SUM(CD1441:CM1441)</f>
        <v>0</v>
      </c>
    </row>
    <row r="1442" spans="1:103" ht="12.75" customHeight="1" x14ac:dyDescent="0.2">
      <c r="A1442" s="81">
        <v>6897</v>
      </c>
      <c r="B1442" s="165" t="s">
        <v>1902</v>
      </c>
      <c r="C1442" s="165" t="s">
        <v>3578</v>
      </c>
      <c r="E1442" s="165" t="s">
        <v>3579</v>
      </c>
      <c r="F1442" s="165" t="s">
        <v>3535</v>
      </c>
      <c r="G1442" s="81">
        <v>527569</v>
      </c>
      <c r="H1442" s="81">
        <v>175602</v>
      </c>
      <c r="I1442" s="165" t="s">
        <v>256</v>
      </c>
      <c r="L1442" s="166">
        <v>0</v>
      </c>
      <c r="M1442" s="166">
        <v>3</v>
      </c>
      <c r="N1442" s="166">
        <v>3</v>
      </c>
      <c r="O1442" s="166">
        <v>20</v>
      </c>
      <c r="P1442" s="166">
        <v>20</v>
      </c>
      <c r="Q1442" s="81" t="s">
        <v>155</v>
      </c>
      <c r="R1442" s="165" t="s">
        <v>1905</v>
      </c>
      <c r="S1442" s="81" t="s">
        <v>1906</v>
      </c>
      <c r="W1442" s="81" t="s">
        <v>114</v>
      </c>
      <c r="Y1442" s="81" t="s">
        <v>115</v>
      </c>
      <c r="Z1442" s="81" t="s">
        <v>116</v>
      </c>
      <c r="AA1442" s="81" t="s">
        <v>117</v>
      </c>
      <c r="AB1442" s="81" t="s">
        <v>218</v>
      </c>
      <c r="AC1442" s="166">
        <v>0</v>
      </c>
      <c r="AG1442" s="81" t="s">
        <v>74</v>
      </c>
      <c r="AH1442" s="81" t="s">
        <v>990</v>
      </c>
      <c r="AI1442" s="81" t="s">
        <v>3580</v>
      </c>
      <c r="AJ1442" s="81">
        <v>17320204</v>
      </c>
      <c r="AK1442" s="166">
        <v>0</v>
      </c>
      <c r="AM1442" s="166">
        <v>0</v>
      </c>
      <c r="AO1442" s="166">
        <v>0</v>
      </c>
      <c r="AP1442" s="166">
        <v>0</v>
      </c>
      <c r="AQ1442" s="166">
        <v>0</v>
      </c>
      <c r="AR1442" s="166">
        <v>0</v>
      </c>
      <c r="AS1442" s="166">
        <v>0</v>
      </c>
      <c r="AT1442" s="166">
        <v>0</v>
      </c>
      <c r="AU1442" s="166">
        <v>3</v>
      </c>
      <c r="AV1442" s="166">
        <v>0</v>
      </c>
      <c r="AW1442" s="166">
        <v>0</v>
      </c>
      <c r="AX1442" s="166">
        <v>0</v>
      </c>
      <c r="AY1442" s="166">
        <v>0</v>
      </c>
      <c r="AZ1442" s="166">
        <v>0</v>
      </c>
      <c r="BA1442" s="166">
        <v>0</v>
      </c>
      <c r="BB1442" s="166">
        <v>3</v>
      </c>
      <c r="BC1442" s="166">
        <v>0</v>
      </c>
      <c r="BD1442" s="166">
        <v>0</v>
      </c>
      <c r="BE1442" s="166">
        <v>0</v>
      </c>
      <c r="BF1442" s="166">
        <v>0</v>
      </c>
      <c r="BG1442" s="166">
        <v>0</v>
      </c>
      <c r="BH1442" s="166">
        <v>0</v>
      </c>
      <c r="BI1442" s="166">
        <v>0</v>
      </c>
      <c r="BJ1442" s="166">
        <v>0</v>
      </c>
      <c r="BK1442" s="166">
        <v>0</v>
      </c>
      <c r="BL1442" s="166">
        <v>0</v>
      </c>
      <c r="BM1442" s="166">
        <v>0</v>
      </c>
      <c r="BN1442" s="166">
        <v>0</v>
      </c>
      <c r="BO1442" s="166">
        <v>0</v>
      </c>
      <c r="BP1442" s="166">
        <v>0</v>
      </c>
      <c r="BQ1442" s="81" t="s">
        <v>1757</v>
      </c>
      <c r="BR1442" s="81" t="s">
        <v>160</v>
      </c>
      <c r="BU1442" s="81" t="s">
        <v>155</v>
      </c>
      <c r="BZ1442" s="81" t="s">
        <v>155</v>
      </c>
      <c r="CA1442" s="81">
        <v>11</v>
      </c>
      <c r="CC1442" s="167">
        <v>0</v>
      </c>
      <c r="CD1442" s="167">
        <v>0</v>
      </c>
      <c r="CE1442" s="167">
        <v>0</v>
      </c>
      <c r="CF1442" s="167">
        <v>0</v>
      </c>
      <c r="CG1442" s="167">
        <v>0</v>
      </c>
      <c r="CH1442" s="167">
        <v>0</v>
      </c>
      <c r="CI1442" s="167">
        <v>0</v>
      </c>
      <c r="CJ1442" s="167">
        <v>0</v>
      </c>
      <c r="CK1442" s="167">
        <v>0</v>
      </c>
      <c r="CL1442" s="167">
        <v>0</v>
      </c>
      <c r="CM1442" s="167">
        <v>0</v>
      </c>
      <c r="CN1442" s="167">
        <v>0</v>
      </c>
      <c r="CO1442" s="167">
        <f>$N1442/12</f>
        <v>0.25</v>
      </c>
      <c r="CP1442" s="167">
        <f>$N1442/12</f>
        <v>0.25</v>
      </c>
      <c r="CQ1442" s="167">
        <f>$N1442/12</f>
        <v>0.25</v>
      </c>
      <c r="CR1442" s="167">
        <f>$N1442/12</f>
        <v>0.25</v>
      </c>
      <c r="CS1442" s="167">
        <f>$N1442/12</f>
        <v>0.25</v>
      </c>
      <c r="CT1442" s="167">
        <f>$N1442/12</f>
        <v>0.25</v>
      </c>
      <c r="CU1442" s="167">
        <f>$N1442/12</f>
        <v>0.25</v>
      </c>
      <c r="CV1442" s="167">
        <f>$N1442/12</f>
        <v>0.25</v>
      </c>
      <c r="CW1442" s="167">
        <f>$N1442/12</f>
        <v>0.25</v>
      </c>
      <c r="CX1442" s="167">
        <f>SUM(CD1442:CH1442)</f>
        <v>0</v>
      </c>
      <c r="CY1442" s="167">
        <f>SUM(CD1442:CM1442)</f>
        <v>0</v>
      </c>
    </row>
    <row r="1443" spans="1:103" ht="12.75" customHeight="1" x14ac:dyDescent="0.2">
      <c r="A1443" s="81">
        <v>6897</v>
      </c>
      <c r="B1443" s="165" t="s">
        <v>1902</v>
      </c>
      <c r="C1443" s="165" t="s">
        <v>3578</v>
      </c>
      <c r="E1443" s="165" t="s">
        <v>3579</v>
      </c>
      <c r="F1443" s="165" t="s">
        <v>1556</v>
      </c>
      <c r="G1443" s="81">
        <v>527569</v>
      </c>
      <c r="H1443" s="81">
        <v>175602</v>
      </c>
      <c r="I1443" s="165" t="s">
        <v>256</v>
      </c>
      <c r="L1443" s="166">
        <v>0</v>
      </c>
      <c r="M1443" s="166">
        <v>13</v>
      </c>
      <c r="N1443" s="166">
        <v>13</v>
      </c>
      <c r="O1443" s="166">
        <v>20</v>
      </c>
      <c r="P1443" s="166">
        <v>20</v>
      </c>
      <c r="Q1443" s="81" t="s">
        <v>155</v>
      </c>
      <c r="R1443" s="165" t="s">
        <v>1905</v>
      </c>
      <c r="S1443" s="81" t="s">
        <v>1906</v>
      </c>
      <c r="W1443" s="81" t="s">
        <v>114</v>
      </c>
      <c r="Y1443" s="81" t="s">
        <v>115</v>
      </c>
      <c r="Z1443" s="81" t="s">
        <v>116</v>
      </c>
      <c r="AA1443" s="81" t="s">
        <v>116</v>
      </c>
      <c r="AB1443" s="81" t="s">
        <v>117</v>
      </c>
      <c r="AC1443" s="166">
        <v>0</v>
      </c>
      <c r="AG1443" s="81" t="s">
        <v>238</v>
      </c>
      <c r="AH1443" s="81" t="s">
        <v>118</v>
      </c>
      <c r="AI1443" s="81" t="s">
        <v>3580</v>
      </c>
      <c r="AJ1443" s="81">
        <v>17320204</v>
      </c>
      <c r="AK1443" s="166">
        <v>0</v>
      </c>
      <c r="AM1443" s="166">
        <v>0</v>
      </c>
      <c r="AO1443" s="166">
        <v>0</v>
      </c>
      <c r="AP1443" s="166">
        <v>0</v>
      </c>
      <c r="AQ1443" s="166">
        <v>0</v>
      </c>
      <c r="AR1443" s="166">
        <v>0</v>
      </c>
      <c r="AS1443" s="166">
        <v>0</v>
      </c>
      <c r="AT1443" s="166">
        <v>0</v>
      </c>
      <c r="AU1443" s="166">
        <v>13</v>
      </c>
      <c r="AV1443" s="166">
        <v>0</v>
      </c>
      <c r="AW1443" s="166">
        <v>0</v>
      </c>
      <c r="AX1443" s="166">
        <v>0</v>
      </c>
      <c r="AY1443" s="166">
        <v>0</v>
      </c>
      <c r="AZ1443" s="166">
        <v>0</v>
      </c>
      <c r="BA1443" s="166">
        <v>0</v>
      </c>
      <c r="BB1443" s="166">
        <v>13</v>
      </c>
      <c r="BC1443" s="166">
        <v>0</v>
      </c>
      <c r="BD1443" s="166">
        <v>0</v>
      </c>
      <c r="BE1443" s="166">
        <v>0</v>
      </c>
      <c r="BF1443" s="166">
        <v>0</v>
      </c>
      <c r="BG1443" s="166">
        <v>0</v>
      </c>
      <c r="BH1443" s="166">
        <v>0</v>
      </c>
      <c r="BI1443" s="166">
        <v>0</v>
      </c>
      <c r="BJ1443" s="166">
        <v>0</v>
      </c>
      <c r="BK1443" s="166">
        <v>0</v>
      </c>
      <c r="BL1443" s="166">
        <v>0</v>
      </c>
      <c r="BM1443" s="166">
        <v>0</v>
      </c>
      <c r="BN1443" s="166">
        <v>0</v>
      </c>
      <c r="BO1443" s="166">
        <v>0</v>
      </c>
      <c r="BP1443" s="166">
        <v>0</v>
      </c>
      <c r="BQ1443" s="81" t="s">
        <v>1757</v>
      </c>
      <c r="BR1443" s="81" t="s">
        <v>160</v>
      </c>
      <c r="BU1443" s="81" t="s">
        <v>155</v>
      </c>
      <c r="BZ1443" s="81" t="s">
        <v>155</v>
      </c>
      <c r="CA1443" s="81">
        <v>11</v>
      </c>
      <c r="CC1443" s="167">
        <v>0</v>
      </c>
      <c r="CD1443" s="167">
        <v>0</v>
      </c>
      <c r="CE1443" s="167">
        <v>0</v>
      </c>
      <c r="CF1443" s="167">
        <v>0</v>
      </c>
      <c r="CG1443" s="167">
        <v>0</v>
      </c>
      <c r="CH1443" s="167">
        <v>0</v>
      </c>
      <c r="CI1443" s="167">
        <v>0</v>
      </c>
      <c r="CJ1443" s="167">
        <v>0</v>
      </c>
      <c r="CK1443" s="167">
        <v>0</v>
      </c>
      <c r="CL1443" s="167">
        <v>0</v>
      </c>
      <c r="CM1443" s="167">
        <v>0</v>
      </c>
      <c r="CN1443" s="167">
        <v>0</v>
      </c>
      <c r="CO1443" s="167">
        <f>$N1443/12</f>
        <v>1.0833333333333333</v>
      </c>
      <c r="CP1443" s="167">
        <f>$N1443/12</f>
        <v>1.0833333333333333</v>
      </c>
      <c r="CQ1443" s="167">
        <f>$N1443/12</f>
        <v>1.0833333333333333</v>
      </c>
      <c r="CR1443" s="167">
        <f>$N1443/12</f>
        <v>1.0833333333333333</v>
      </c>
      <c r="CS1443" s="167">
        <f>$N1443/12</f>
        <v>1.0833333333333333</v>
      </c>
      <c r="CT1443" s="167">
        <f>$N1443/12</f>
        <v>1.0833333333333333</v>
      </c>
      <c r="CU1443" s="167">
        <f>$N1443/12</f>
        <v>1.0833333333333333</v>
      </c>
      <c r="CV1443" s="167">
        <f>$N1443/12</f>
        <v>1.0833333333333333</v>
      </c>
      <c r="CW1443" s="167">
        <f>$N1443/12</f>
        <v>1.0833333333333333</v>
      </c>
      <c r="CX1443" s="167">
        <f>SUM(CD1443:CH1443)</f>
        <v>0</v>
      </c>
      <c r="CY1443" s="167">
        <f>SUM(CD1443:CM1443)</f>
        <v>0</v>
      </c>
    </row>
    <row r="1444" spans="1:103" ht="12.75" customHeight="1" x14ac:dyDescent="0.2">
      <c r="A1444" s="81">
        <v>6897</v>
      </c>
      <c r="B1444" s="165" t="s">
        <v>1902</v>
      </c>
      <c r="C1444" s="165" t="s">
        <v>3578</v>
      </c>
      <c r="E1444" s="165" t="s">
        <v>3579</v>
      </c>
      <c r="F1444" s="165" t="s">
        <v>3536</v>
      </c>
      <c r="G1444" s="81">
        <v>527569</v>
      </c>
      <c r="H1444" s="81">
        <v>175602</v>
      </c>
      <c r="I1444" s="165" t="s">
        <v>256</v>
      </c>
      <c r="L1444" s="166">
        <v>0</v>
      </c>
      <c r="M1444" s="166">
        <v>4</v>
      </c>
      <c r="N1444" s="166">
        <v>4</v>
      </c>
      <c r="O1444" s="166">
        <v>20</v>
      </c>
      <c r="P1444" s="166">
        <v>20</v>
      </c>
      <c r="Q1444" s="81" t="s">
        <v>155</v>
      </c>
      <c r="R1444" s="165" t="s">
        <v>1905</v>
      </c>
      <c r="S1444" s="81" t="s">
        <v>1906</v>
      </c>
      <c r="W1444" s="81" t="s">
        <v>114</v>
      </c>
      <c r="Y1444" s="81" t="s">
        <v>115</v>
      </c>
      <c r="Z1444" s="81" t="s">
        <v>116</v>
      </c>
      <c r="AA1444" s="81" t="s">
        <v>117</v>
      </c>
      <c r="AB1444" s="81" t="s">
        <v>218</v>
      </c>
      <c r="AC1444" s="166">
        <v>0</v>
      </c>
      <c r="AG1444" s="81" t="s">
        <v>154</v>
      </c>
      <c r="AH1444" s="81" t="s">
        <v>276</v>
      </c>
      <c r="AI1444" s="81" t="s">
        <v>3580</v>
      </c>
      <c r="AJ1444" s="81">
        <v>17320204</v>
      </c>
      <c r="AK1444" s="166">
        <v>0</v>
      </c>
      <c r="AM1444" s="166">
        <v>0</v>
      </c>
      <c r="AO1444" s="166">
        <v>0</v>
      </c>
      <c r="AP1444" s="166">
        <v>0</v>
      </c>
      <c r="AQ1444" s="166">
        <v>0</v>
      </c>
      <c r="AR1444" s="166">
        <v>0</v>
      </c>
      <c r="AS1444" s="166">
        <v>0</v>
      </c>
      <c r="AT1444" s="166">
        <v>0</v>
      </c>
      <c r="AU1444" s="166">
        <v>4</v>
      </c>
      <c r="AV1444" s="166">
        <v>0</v>
      </c>
      <c r="AW1444" s="166">
        <v>0</v>
      </c>
      <c r="AX1444" s="166">
        <v>0</v>
      </c>
      <c r="AY1444" s="166">
        <v>0</v>
      </c>
      <c r="AZ1444" s="166">
        <v>0</v>
      </c>
      <c r="BA1444" s="166">
        <v>0</v>
      </c>
      <c r="BB1444" s="166">
        <v>4</v>
      </c>
      <c r="BC1444" s="166">
        <v>0</v>
      </c>
      <c r="BD1444" s="166">
        <v>0</v>
      </c>
      <c r="BE1444" s="166">
        <v>0</v>
      </c>
      <c r="BF1444" s="166">
        <v>0</v>
      </c>
      <c r="BG1444" s="166">
        <v>0</v>
      </c>
      <c r="BH1444" s="166">
        <v>0</v>
      </c>
      <c r="BI1444" s="166">
        <v>0</v>
      </c>
      <c r="BJ1444" s="166">
        <v>0</v>
      </c>
      <c r="BK1444" s="166">
        <v>0</v>
      </c>
      <c r="BL1444" s="166">
        <v>0</v>
      </c>
      <c r="BM1444" s="166">
        <v>0</v>
      </c>
      <c r="BN1444" s="166">
        <v>0</v>
      </c>
      <c r="BO1444" s="166">
        <v>0</v>
      </c>
      <c r="BP1444" s="166">
        <v>0</v>
      </c>
      <c r="BQ1444" s="81" t="s">
        <v>1757</v>
      </c>
      <c r="BR1444" s="81" t="s">
        <v>160</v>
      </c>
      <c r="BU1444" s="81" t="s">
        <v>155</v>
      </c>
      <c r="BZ1444" s="81" t="s">
        <v>155</v>
      </c>
      <c r="CA1444" s="81">
        <v>11</v>
      </c>
      <c r="CC1444" s="167">
        <v>0</v>
      </c>
      <c r="CD1444" s="167">
        <v>0</v>
      </c>
      <c r="CE1444" s="167">
        <v>0</v>
      </c>
      <c r="CF1444" s="167">
        <v>0</v>
      </c>
      <c r="CG1444" s="167">
        <v>0</v>
      </c>
      <c r="CH1444" s="167">
        <v>0</v>
      </c>
      <c r="CI1444" s="167">
        <v>0</v>
      </c>
      <c r="CJ1444" s="167">
        <v>0</v>
      </c>
      <c r="CK1444" s="167">
        <v>0</v>
      </c>
      <c r="CL1444" s="167">
        <v>0</v>
      </c>
      <c r="CM1444" s="167">
        <v>0</v>
      </c>
      <c r="CN1444" s="167">
        <v>0</v>
      </c>
      <c r="CO1444" s="167">
        <f>$N1444/12</f>
        <v>0.33333333333333331</v>
      </c>
      <c r="CP1444" s="167">
        <f>$N1444/12</f>
        <v>0.33333333333333331</v>
      </c>
      <c r="CQ1444" s="167">
        <f>$N1444/12</f>
        <v>0.33333333333333331</v>
      </c>
      <c r="CR1444" s="167">
        <f>$N1444/12</f>
        <v>0.33333333333333331</v>
      </c>
      <c r="CS1444" s="167">
        <f>$N1444/12</f>
        <v>0.33333333333333331</v>
      </c>
      <c r="CT1444" s="167">
        <f>$N1444/12</f>
        <v>0.33333333333333331</v>
      </c>
      <c r="CU1444" s="167">
        <f>$N1444/12</f>
        <v>0.33333333333333331</v>
      </c>
      <c r="CV1444" s="167">
        <f>$N1444/12</f>
        <v>0.33333333333333331</v>
      </c>
      <c r="CW1444" s="167">
        <f>$N1444/12</f>
        <v>0.33333333333333331</v>
      </c>
      <c r="CX1444" s="167">
        <f>SUM(CD1444:CH1444)</f>
        <v>0</v>
      </c>
      <c r="CY1444" s="167">
        <f>SUM(CD1444:CM1444)</f>
        <v>0</v>
      </c>
    </row>
    <row r="1445" spans="1:103" ht="12.75" customHeight="1" x14ac:dyDescent="0.2">
      <c r="A1445" s="81">
        <v>6898</v>
      </c>
      <c r="B1445" s="165" t="s">
        <v>1902</v>
      </c>
      <c r="C1445" s="165" t="s">
        <v>3581</v>
      </c>
      <c r="E1445" s="165" t="s">
        <v>3582</v>
      </c>
      <c r="F1445" s="165" t="s">
        <v>3535</v>
      </c>
      <c r="G1445" s="81">
        <v>527216</v>
      </c>
      <c r="H1445" s="81">
        <v>175541</v>
      </c>
      <c r="I1445" s="165" t="s">
        <v>255</v>
      </c>
      <c r="L1445" s="166">
        <v>0</v>
      </c>
      <c r="M1445" s="166">
        <v>21</v>
      </c>
      <c r="N1445" s="166">
        <v>21</v>
      </c>
      <c r="O1445" s="166">
        <v>157</v>
      </c>
      <c r="P1445" s="166">
        <v>157</v>
      </c>
      <c r="Q1445" s="81" t="s">
        <v>155</v>
      </c>
      <c r="R1445" s="165" t="s">
        <v>1905</v>
      </c>
      <c r="S1445" s="81" t="s">
        <v>1906</v>
      </c>
      <c r="W1445" s="81" t="s">
        <v>114</v>
      </c>
      <c r="Y1445" s="81" t="s">
        <v>115</v>
      </c>
      <c r="Z1445" s="81" t="s">
        <v>116</v>
      </c>
      <c r="AA1445" s="81" t="s">
        <v>116</v>
      </c>
      <c r="AB1445" s="81" t="s">
        <v>117</v>
      </c>
      <c r="AC1445" s="166">
        <v>0</v>
      </c>
      <c r="AG1445" s="81" t="s">
        <v>74</v>
      </c>
      <c r="AH1445" s="81" t="s">
        <v>990</v>
      </c>
      <c r="AI1445" s="81" t="s">
        <v>3583</v>
      </c>
      <c r="AJ1445" s="81">
        <v>17320350</v>
      </c>
      <c r="AK1445" s="166">
        <v>0</v>
      </c>
      <c r="AM1445" s="166">
        <v>0</v>
      </c>
      <c r="AO1445" s="166">
        <v>0</v>
      </c>
      <c r="AP1445" s="166">
        <v>0</v>
      </c>
      <c r="AQ1445" s="166">
        <v>0</v>
      </c>
      <c r="AR1445" s="166">
        <v>0</v>
      </c>
      <c r="AS1445" s="166">
        <v>0</v>
      </c>
      <c r="AT1445" s="166">
        <v>0</v>
      </c>
      <c r="AU1445" s="166">
        <v>21</v>
      </c>
      <c r="AV1445" s="166">
        <v>0</v>
      </c>
      <c r="AW1445" s="166">
        <v>0</v>
      </c>
      <c r="AX1445" s="166">
        <v>0</v>
      </c>
      <c r="AY1445" s="166">
        <v>0</v>
      </c>
      <c r="AZ1445" s="166">
        <v>0</v>
      </c>
      <c r="BA1445" s="166">
        <v>0</v>
      </c>
      <c r="BB1445" s="166">
        <v>21</v>
      </c>
      <c r="BC1445" s="166">
        <v>0</v>
      </c>
      <c r="BD1445" s="166">
        <v>0</v>
      </c>
      <c r="BE1445" s="166">
        <v>0</v>
      </c>
      <c r="BF1445" s="166">
        <v>0</v>
      </c>
      <c r="BG1445" s="166">
        <v>0</v>
      </c>
      <c r="BH1445" s="166">
        <v>0</v>
      </c>
      <c r="BI1445" s="166">
        <v>0</v>
      </c>
      <c r="BJ1445" s="166">
        <v>0</v>
      </c>
      <c r="BK1445" s="166">
        <v>0</v>
      </c>
      <c r="BL1445" s="166">
        <v>0</v>
      </c>
      <c r="BM1445" s="166">
        <v>0</v>
      </c>
      <c r="BN1445" s="166">
        <v>0</v>
      </c>
      <c r="BO1445" s="166">
        <v>0</v>
      </c>
      <c r="BP1445" s="166">
        <v>0</v>
      </c>
      <c r="BQ1445" s="81" t="s">
        <v>1757</v>
      </c>
      <c r="BR1445" s="81" t="s">
        <v>160</v>
      </c>
      <c r="BU1445" s="81" t="s">
        <v>155</v>
      </c>
      <c r="BZ1445" s="81" t="s">
        <v>155</v>
      </c>
      <c r="CA1445" s="81">
        <v>11</v>
      </c>
      <c r="CC1445" s="167">
        <v>0</v>
      </c>
      <c r="CD1445" s="167">
        <v>0</v>
      </c>
      <c r="CE1445" s="167">
        <v>0</v>
      </c>
      <c r="CF1445" s="167">
        <v>0</v>
      </c>
      <c r="CG1445" s="167">
        <v>0</v>
      </c>
      <c r="CH1445" s="167">
        <v>0</v>
      </c>
      <c r="CI1445" s="167">
        <v>0</v>
      </c>
      <c r="CJ1445" s="167">
        <v>0</v>
      </c>
      <c r="CK1445" s="167">
        <v>0</v>
      </c>
      <c r="CL1445" s="167">
        <v>0</v>
      </c>
      <c r="CM1445" s="167">
        <v>0</v>
      </c>
      <c r="CN1445" s="167">
        <v>0</v>
      </c>
      <c r="CO1445" s="167">
        <f>$N1445/12</f>
        <v>1.75</v>
      </c>
      <c r="CP1445" s="167">
        <f>$N1445/12</f>
        <v>1.75</v>
      </c>
      <c r="CQ1445" s="167">
        <f>$N1445/12</f>
        <v>1.75</v>
      </c>
      <c r="CR1445" s="167">
        <f>$N1445/12</f>
        <v>1.75</v>
      </c>
      <c r="CS1445" s="167">
        <f>$N1445/12</f>
        <v>1.75</v>
      </c>
      <c r="CT1445" s="167">
        <f>$N1445/12</f>
        <v>1.75</v>
      </c>
      <c r="CU1445" s="167">
        <f>$N1445/12</f>
        <v>1.75</v>
      </c>
      <c r="CV1445" s="167">
        <f>$N1445/12</f>
        <v>1.75</v>
      </c>
      <c r="CW1445" s="167">
        <f>$N1445/12</f>
        <v>1.75</v>
      </c>
      <c r="CX1445" s="167">
        <f>SUM(CD1445:CH1445)</f>
        <v>0</v>
      </c>
      <c r="CY1445" s="167">
        <f>SUM(CD1445:CM1445)</f>
        <v>0</v>
      </c>
    </row>
    <row r="1446" spans="1:103" ht="12.75" customHeight="1" x14ac:dyDescent="0.2">
      <c r="A1446" s="81">
        <v>6898</v>
      </c>
      <c r="B1446" s="165" t="s">
        <v>1902</v>
      </c>
      <c r="C1446" s="165" t="s">
        <v>3581</v>
      </c>
      <c r="E1446" s="165" t="s">
        <v>3582</v>
      </c>
      <c r="F1446" s="165" t="s">
        <v>1556</v>
      </c>
      <c r="G1446" s="81">
        <v>527216</v>
      </c>
      <c r="H1446" s="81">
        <v>175541</v>
      </c>
      <c r="I1446" s="165" t="s">
        <v>255</v>
      </c>
      <c r="L1446" s="166">
        <v>0</v>
      </c>
      <c r="M1446" s="166">
        <v>105</v>
      </c>
      <c r="N1446" s="166">
        <v>105</v>
      </c>
      <c r="O1446" s="166">
        <v>157</v>
      </c>
      <c r="P1446" s="166">
        <v>157</v>
      </c>
      <c r="Q1446" s="81" t="s">
        <v>155</v>
      </c>
      <c r="R1446" s="165" t="s">
        <v>1905</v>
      </c>
      <c r="S1446" s="81" t="s">
        <v>1906</v>
      </c>
      <c r="W1446" s="81" t="s">
        <v>114</v>
      </c>
      <c r="Y1446" s="81" t="s">
        <v>115</v>
      </c>
      <c r="Z1446" s="81" t="s">
        <v>116</v>
      </c>
      <c r="AA1446" s="81" t="s">
        <v>116</v>
      </c>
      <c r="AB1446" s="81" t="s">
        <v>117</v>
      </c>
      <c r="AC1446" s="166">
        <v>0</v>
      </c>
      <c r="AG1446" s="81" t="s">
        <v>238</v>
      </c>
      <c r="AH1446" s="81" t="s">
        <v>118</v>
      </c>
      <c r="AI1446" s="81" t="s">
        <v>3583</v>
      </c>
      <c r="AJ1446" s="81">
        <v>17320350</v>
      </c>
      <c r="AK1446" s="166">
        <v>0</v>
      </c>
      <c r="AM1446" s="166">
        <v>0</v>
      </c>
      <c r="AO1446" s="166">
        <v>0</v>
      </c>
      <c r="AP1446" s="166">
        <v>0</v>
      </c>
      <c r="AQ1446" s="166">
        <v>0</v>
      </c>
      <c r="AR1446" s="166">
        <v>0</v>
      </c>
      <c r="AS1446" s="166">
        <v>0</v>
      </c>
      <c r="AT1446" s="166">
        <v>0</v>
      </c>
      <c r="AU1446" s="166">
        <v>105</v>
      </c>
      <c r="AV1446" s="166">
        <v>0</v>
      </c>
      <c r="AW1446" s="166">
        <v>0</v>
      </c>
      <c r="AX1446" s="166">
        <v>0</v>
      </c>
      <c r="AY1446" s="166">
        <v>0</v>
      </c>
      <c r="AZ1446" s="166">
        <v>0</v>
      </c>
      <c r="BA1446" s="166">
        <v>0</v>
      </c>
      <c r="BB1446" s="166">
        <v>105</v>
      </c>
      <c r="BC1446" s="166">
        <v>0</v>
      </c>
      <c r="BD1446" s="166">
        <v>0</v>
      </c>
      <c r="BE1446" s="166">
        <v>0</v>
      </c>
      <c r="BF1446" s="166">
        <v>0</v>
      </c>
      <c r="BG1446" s="166">
        <v>0</v>
      </c>
      <c r="BH1446" s="166">
        <v>0</v>
      </c>
      <c r="BI1446" s="166">
        <v>0</v>
      </c>
      <c r="BJ1446" s="166">
        <v>0</v>
      </c>
      <c r="BK1446" s="166">
        <v>0</v>
      </c>
      <c r="BL1446" s="166">
        <v>0</v>
      </c>
      <c r="BM1446" s="166">
        <v>0</v>
      </c>
      <c r="BN1446" s="166">
        <v>0</v>
      </c>
      <c r="BO1446" s="166">
        <v>0</v>
      </c>
      <c r="BP1446" s="166">
        <v>0</v>
      </c>
      <c r="BQ1446" s="81" t="s">
        <v>1757</v>
      </c>
      <c r="BR1446" s="81" t="s">
        <v>160</v>
      </c>
      <c r="BU1446" s="81" t="s">
        <v>155</v>
      </c>
      <c r="BZ1446" s="81" t="s">
        <v>155</v>
      </c>
      <c r="CA1446" s="81">
        <v>11</v>
      </c>
      <c r="CC1446" s="167">
        <v>0</v>
      </c>
      <c r="CD1446" s="167">
        <v>0</v>
      </c>
      <c r="CE1446" s="167">
        <v>0</v>
      </c>
      <c r="CF1446" s="167">
        <v>0</v>
      </c>
      <c r="CG1446" s="167">
        <v>0</v>
      </c>
      <c r="CH1446" s="167">
        <v>0</v>
      </c>
      <c r="CI1446" s="167">
        <v>0</v>
      </c>
      <c r="CJ1446" s="167">
        <v>0</v>
      </c>
      <c r="CK1446" s="167">
        <v>0</v>
      </c>
      <c r="CL1446" s="167">
        <v>0</v>
      </c>
      <c r="CM1446" s="167">
        <v>0</v>
      </c>
      <c r="CN1446" s="167">
        <v>0</v>
      </c>
      <c r="CO1446" s="167">
        <f>$N1446/12</f>
        <v>8.75</v>
      </c>
      <c r="CP1446" s="167">
        <f>$N1446/12</f>
        <v>8.75</v>
      </c>
      <c r="CQ1446" s="167">
        <f>$N1446/12</f>
        <v>8.75</v>
      </c>
      <c r="CR1446" s="167">
        <f>$N1446/12</f>
        <v>8.75</v>
      </c>
      <c r="CS1446" s="167">
        <f>$N1446/12</f>
        <v>8.75</v>
      </c>
      <c r="CT1446" s="167">
        <f>$N1446/12</f>
        <v>8.75</v>
      </c>
      <c r="CU1446" s="167">
        <f>$N1446/12</f>
        <v>8.75</v>
      </c>
      <c r="CV1446" s="167">
        <f>$N1446/12</f>
        <v>8.75</v>
      </c>
      <c r="CW1446" s="167">
        <f>$N1446/12</f>
        <v>8.75</v>
      </c>
      <c r="CX1446" s="167">
        <f>SUM(CD1446:CH1446)</f>
        <v>0</v>
      </c>
      <c r="CY1446" s="167">
        <f>SUM(CD1446:CM1446)</f>
        <v>0</v>
      </c>
    </row>
    <row r="1447" spans="1:103" ht="12.75" customHeight="1" x14ac:dyDescent="0.2">
      <c r="A1447" s="81">
        <v>6898</v>
      </c>
      <c r="B1447" s="165" t="s">
        <v>1902</v>
      </c>
      <c r="C1447" s="165" t="s">
        <v>3581</v>
      </c>
      <c r="E1447" s="165" t="s">
        <v>3582</v>
      </c>
      <c r="F1447" s="165" t="s">
        <v>3536</v>
      </c>
      <c r="G1447" s="81">
        <v>527216</v>
      </c>
      <c r="H1447" s="81">
        <v>175541</v>
      </c>
      <c r="I1447" s="165" t="s">
        <v>255</v>
      </c>
      <c r="L1447" s="166">
        <v>0</v>
      </c>
      <c r="M1447" s="166">
        <v>31</v>
      </c>
      <c r="N1447" s="166">
        <v>31</v>
      </c>
      <c r="O1447" s="166">
        <v>157</v>
      </c>
      <c r="P1447" s="166">
        <v>157</v>
      </c>
      <c r="Q1447" s="81" t="s">
        <v>155</v>
      </c>
      <c r="R1447" s="165" t="s">
        <v>1905</v>
      </c>
      <c r="S1447" s="81" t="s">
        <v>1906</v>
      </c>
      <c r="W1447" s="81" t="s">
        <v>114</v>
      </c>
      <c r="Y1447" s="81" t="s">
        <v>115</v>
      </c>
      <c r="Z1447" s="81" t="s">
        <v>116</v>
      </c>
      <c r="AA1447" s="81" t="s">
        <v>116</v>
      </c>
      <c r="AB1447" s="81" t="s">
        <v>117</v>
      </c>
      <c r="AC1447" s="166">
        <v>0</v>
      </c>
      <c r="AG1447" s="81" t="s">
        <v>154</v>
      </c>
      <c r="AH1447" s="81" t="s">
        <v>276</v>
      </c>
      <c r="AI1447" s="81" t="s">
        <v>3583</v>
      </c>
      <c r="AJ1447" s="81">
        <v>17320350</v>
      </c>
      <c r="AK1447" s="166">
        <v>0</v>
      </c>
      <c r="AM1447" s="166">
        <v>0</v>
      </c>
      <c r="AO1447" s="166">
        <v>0</v>
      </c>
      <c r="AP1447" s="166">
        <v>0</v>
      </c>
      <c r="AQ1447" s="166">
        <v>0</v>
      </c>
      <c r="AR1447" s="166">
        <v>0</v>
      </c>
      <c r="AS1447" s="166">
        <v>0</v>
      </c>
      <c r="AT1447" s="166">
        <v>0</v>
      </c>
      <c r="AU1447" s="166">
        <v>31</v>
      </c>
      <c r="AV1447" s="166">
        <v>0</v>
      </c>
      <c r="AW1447" s="166">
        <v>0</v>
      </c>
      <c r="AX1447" s="166">
        <v>0</v>
      </c>
      <c r="AY1447" s="166">
        <v>0</v>
      </c>
      <c r="AZ1447" s="166">
        <v>0</v>
      </c>
      <c r="BA1447" s="166">
        <v>0</v>
      </c>
      <c r="BB1447" s="166">
        <v>31</v>
      </c>
      <c r="BC1447" s="166">
        <v>0</v>
      </c>
      <c r="BD1447" s="166">
        <v>0</v>
      </c>
      <c r="BE1447" s="166">
        <v>0</v>
      </c>
      <c r="BF1447" s="166">
        <v>0</v>
      </c>
      <c r="BG1447" s="166">
        <v>0</v>
      </c>
      <c r="BH1447" s="166">
        <v>0</v>
      </c>
      <c r="BI1447" s="166">
        <v>0</v>
      </c>
      <c r="BJ1447" s="166">
        <v>0</v>
      </c>
      <c r="BK1447" s="166">
        <v>0</v>
      </c>
      <c r="BL1447" s="166">
        <v>0</v>
      </c>
      <c r="BM1447" s="166">
        <v>0</v>
      </c>
      <c r="BN1447" s="166">
        <v>0</v>
      </c>
      <c r="BO1447" s="166">
        <v>0</v>
      </c>
      <c r="BP1447" s="166">
        <v>0</v>
      </c>
      <c r="BQ1447" s="81" t="s">
        <v>1757</v>
      </c>
      <c r="BR1447" s="81" t="s">
        <v>160</v>
      </c>
      <c r="BU1447" s="81" t="s">
        <v>155</v>
      </c>
      <c r="BZ1447" s="81" t="s">
        <v>155</v>
      </c>
      <c r="CA1447" s="81">
        <v>11</v>
      </c>
      <c r="CC1447" s="167">
        <v>0</v>
      </c>
      <c r="CD1447" s="167">
        <v>0</v>
      </c>
      <c r="CE1447" s="167">
        <v>0</v>
      </c>
      <c r="CF1447" s="167">
        <v>0</v>
      </c>
      <c r="CG1447" s="167">
        <v>0</v>
      </c>
      <c r="CH1447" s="167">
        <v>0</v>
      </c>
      <c r="CI1447" s="167">
        <v>0</v>
      </c>
      <c r="CJ1447" s="167">
        <v>0</v>
      </c>
      <c r="CK1447" s="167">
        <v>0</v>
      </c>
      <c r="CL1447" s="167">
        <v>0</v>
      </c>
      <c r="CM1447" s="167">
        <v>0</v>
      </c>
      <c r="CN1447" s="167">
        <v>0</v>
      </c>
      <c r="CO1447" s="167">
        <f>$N1447/12</f>
        <v>2.5833333333333335</v>
      </c>
      <c r="CP1447" s="167">
        <f>$N1447/12</f>
        <v>2.5833333333333335</v>
      </c>
      <c r="CQ1447" s="167">
        <f>$N1447/12</f>
        <v>2.5833333333333335</v>
      </c>
      <c r="CR1447" s="167">
        <f>$N1447/12</f>
        <v>2.5833333333333335</v>
      </c>
      <c r="CS1447" s="167">
        <f>$N1447/12</f>
        <v>2.5833333333333335</v>
      </c>
      <c r="CT1447" s="167">
        <f>$N1447/12</f>
        <v>2.5833333333333335</v>
      </c>
      <c r="CU1447" s="167">
        <f>$N1447/12</f>
        <v>2.5833333333333335</v>
      </c>
      <c r="CV1447" s="167">
        <f>$N1447/12</f>
        <v>2.5833333333333335</v>
      </c>
      <c r="CW1447" s="167">
        <f>$N1447/12</f>
        <v>2.5833333333333335</v>
      </c>
      <c r="CX1447" s="167">
        <f>SUM(CD1447:CH1447)</f>
        <v>0</v>
      </c>
      <c r="CY1447" s="167">
        <f>SUM(CD1447:CM1447)</f>
        <v>0</v>
      </c>
    </row>
    <row r="1448" spans="1:103" ht="12.75" customHeight="1" x14ac:dyDescent="0.2">
      <c r="A1448" s="81">
        <v>6899</v>
      </c>
      <c r="B1448" s="165" t="s">
        <v>1902</v>
      </c>
      <c r="C1448" s="165" t="s">
        <v>3584</v>
      </c>
      <c r="E1448" s="165" t="s">
        <v>3585</v>
      </c>
      <c r="F1448" s="165" t="s">
        <v>3535</v>
      </c>
      <c r="G1448" s="81">
        <v>527207</v>
      </c>
      <c r="H1448" s="81">
        <v>175690</v>
      </c>
      <c r="I1448" s="165" t="s">
        <v>241</v>
      </c>
      <c r="L1448" s="166">
        <v>0</v>
      </c>
      <c r="M1448" s="166">
        <v>28</v>
      </c>
      <c r="N1448" s="166">
        <v>28</v>
      </c>
      <c r="O1448" s="166">
        <v>209</v>
      </c>
      <c r="P1448" s="166">
        <v>209</v>
      </c>
      <c r="Q1448" s="81" t="s">
        <v>155</v>
      </c>
      <c r="R1448" s="165" t="s">
        <v>1905</v>
      </c>
      <c r="S1448" s="81" t="s">
        <v>1906</v>
      </c>
      <c r="W1448" s="81" t="s">
        <v>114</v>
      </c>
      <c r="Y1448" s="81" t="s">
        <v>115</v>
      </c>
      <c r="Z1448" s="81" t="s">
        <v>116</v>
      </c>
      <c r="AA1448" s="81" t="s">
        <v>116</v>
      </c>
      <c r="AB1448" s="81" t="s">
        <v>117</v>
      </c>
      <c r="AC1448" s="166">
        <v>0</v>
      </c>
      <c r="AG1448" s="81" t="s">
        <v>74</v>
      </c>
      <c r="AH1448" s="81" t="s">
        <v>990</v>
      </c>
      <c r="AI1448" s="81" t="s">
        <v>1748</v>
      </c>
      <c r="AJ1448" s="81">
        <v>17320338</v>
      </c>
      <c r="AK1448" s="166">
        <v>0</v>
      </c>
      <c r="AM1448" s="166">
        <v>0</v>
      </c>
      <c r="AO1448" s="166">
        <v>0</v>
      </c>
      <c r="AP1448" s="166">
        <v>0</v>
      </c>
      <c r="AQ1448" s="166">
        <v>0</v>
      </c>
      <c r="AR1448" s="166">
        <v>0</v>
      </c>
      <c r="AS1448" s="166">
        <v>0</v>
      </c>
      <c r="AT1448" s="166">
        <v>0</v>
      </c>
      <c r="AU1448" s="166">
        <v>28</v>
      </c>
      <c r="AV1448" s="166">
        <v>0</v>
      </c>
      <c r="AW1448" s="166">
        <v>0</v>
      </c>
      <c r="AX1448" s="166">
        <v>0</v>
      </c>
      <c r="AY1448" s="166">
        <v>0</v>
      </c>
      <c r="AZ1448" s="166">
        <v>0</v>
      </c>
      <c r="BA1448" s="166">
        <v>0</v>
      </c>
      <c r="BB1448" s="166">
        <v>28</v>
      </c>
      <c r="BC1448" s="166">
        <v>0</v>
      </c>
      <c r="BD1448" s="166">
        <v>0</v>
      </c>
      <c r="BE1448" s="166">
        <v>0</v>
      </c>
      <c r="BF1448" s="166">
        <v>0</v>
      </c>
      <c r="BG1448" s="166">
        <v>0</v>
      </c>
      <c r="BH1448" s="166">
        <v>0</v>
      </c>
      <c r="BI1448" s="166">
        <v>0</v>
      </c>
      <c r="BJ1448" s="166">
        <v>0</v>
      </c>
      <c r="BK1448" s="166">
        <v>0</v>
      </c>
      <c r="BL1448" s="166">
        <v>0</v>
      </c>
      <c r="BM1448" s="166">
        <v>0</v>
      </c>
      <c r="BN1448" s="166">
        <v>0</v>
      </c>
      <c r="BO1448" s="166">
        <v>0</v>
      </c>
      <c r="BP1448" s="166">
        <v>0</v>
      </c>
      <c r="BQ1448" s="81" t="s">
        <v>1759</v>
      </c>
      <c r="BR1448" s="81" t="s">
        <v>160</v>
      </c>
      <c r="BU1448" s="81" t="s">
        <v>155</v>
      </c>
      <c r="BZ1448" s="81" t="s">
        <v>155</v>
      </c>
      <c r="CA1448" s="81">
        <v>11</v>
      </c>
      <c r="CC1448" s="167">
        <v>0</v>
      </c>
      <c r="CD1448" s="167">
        <v>0</v>
      </c>
      <c r="CE1448" s="167">
        <v>0</v>
      </c>
      <c r="CF1448" s="167">
        <v>0</v>
      </c>
      <c r="CG1448" s="167">
        <v>0</v>
      </c>
      <c r="CH1448" s="167">
        <v>0</v>
      </c>
      <c r="CI1448" s="167">
        <v>0</v>
      </c>
      <c r="CJ1448" s="167">
        <v>0</v>
      </c>
      <c r="CK1448" s="167">
        <v>0</v>
      </c>
      <c r="CL1448" s="167">
        <v>0</v>
      </c>
      <c r="CM1448" s="167">
        <v>0</v>
      </c>
      <c r="CN1448" s="167">
        <v>0</v>
      </c>
      <c r="CO1448" s="167">
        <v>0</v>
      </c>
      <c r="CP1448" s="167">
        <v>0</v>
      </c>
      <c r="CQ1448" s="167">
        <v>0</v>
      </c>
      <c r="CR1448" s="167">
        <v>0</v>
      </c>
      <c r="CS1448" s="167">
        <v>0</v>
      </c>
      <c r="CT1448" s="167">
        <f>$N1448/7</f>
        <v>4</v>
      </c>
      <c r="CU1448" s="167">
        <f>$N1448/7</f>
        <v>4</v>
      </c>
      <c r="CV1448" s="167">
        <f>$N1448/7</f>
        <v>4</v>
      </c>
      <c r="CW1448" s="167">
        <f>$N1448/7</f>
        <v>4</v>
      </c>
      <c r="CX1448" s="167">
        <f>SUM(CD1448:CH1448)</f>
        <v>0</v>
      </c>
      <c r="CY1448" s="167">
        <f>SUM(CD1448:CM1448)</f>
        <v>0</v>
      </c>
    </row>
    <row r="1449" spans="1:103" ht="12.75" customHeight="1" x14ac:dyDescent="0.2">
      <c r="A1449" s="81">
        <v>6899</v>
      </c>
      <c r="B1449" s="165" t="s">
        <v>1902</v>
      </c>
      <c r="C1449" s="165" t="s">
        <v>3584</v>
      </c>
      <c r="E1449" s="165" t="s">
        <v>3585</v>
      </c>
      <c r="F1449" s="165" t="s">
        <v>1556</v>
      </c>
      <c r="G1449" s="81">
        <v>527207</v>
      </c>
      <c r="H1449" s="81">
        <v>175690</v>
      </c>
      <c r="I1449" s="165" t="s">
        <v>241</v>
      </c>
      <c r="L1449" s="166">
        <v>0</v>
      </c>
      <c r="M1449" s="166">
        <v>140</v>
      </c>
      <c r="N1449" s="166">
        <v>140</v>
      </c>
      <c r="O1449" s="166">
        <v>209</v>
      </c>
      <c r="P1449" s="166">
        <v>209</v>
      </c>
      <c r="Q1449" s="81" t="s">
        <v>155</v>
      </c>
      <c r="R1449" s="165" t="s">
        <v>1905</v>
      </c>
      <c r="S1449" s="81" t="s">
        <v>1906</v>
      </c>
      <c r="W1449" s="81" t="s">
        <v>114</v>
      </c>
      <c r="Y1449" s="81" t="s">
        <v>115</v>
      </c>
      <c r="Z1449" s="81" t="s">
        <v>116</v>
      </c>
      <c r="AA1449" s="81" t="s">
        <v>116</v>
      </c>
      <c r="AB1449" s="81" t="s">
        <v>117</v>
      </c>
      <c r="AC1449" s="166">
        <v>0</v>
      </c>
      <c r="AG1449" s="81" t="s">
        <v>238</v>
      </c>
      <c r="AH1449" s="81" t="s">
        <v>118</v>
      </c>
      <c r="AI1449" s="81" t="s">
        <v>1748</v>
      </c>
      <c r="AJ1449" s="81">
        <v>17320338</v>
      </c>
      <c r="AK1449" s="166">
        <v>0</v>
      </c>
      <c r="AM1449" s="166">
        <v>0</v>
      </c>
      <c r="AO1449" s="166">
        <v>0</v>
      </c>
      <c r="AP1449" s="166">
        <v>0</v>
      </c>
      <c r="AQ1449" s="166">
        <v>0</v>
      </c>
      <c r="AR1449" s="166">
        <v>0</v>
      </c>
      <c r="AS1449" s="166">
        <v>0</v>
      </c>
      <c r="AT1449" s="166">
        <v>0</v>
      </c>
      <c r="AU1449" s="166">
        <v>140</v>
      </c>
      <c r="AV1449" s="166">
        <v>0</v>
      </c>
      <c r="AW1449" s="166">
        <v>0</v>
      </c>
      <c r="AX1449" s="166">
        <v>0</v>
      </c>
      <c r="AY1449" s="166">
        <v>0</v>
      </c>
      <c r="AZ1449" s="166">
        <v>0</v>
      </c>
      <c r="BA1449" s="166">
        <v>0</v>
      </c>
      <c r="BB1449" s="166">
        <v>140</v>
      </c>
      <c r="BC1449" s="166">
        <v>0</v>
      </c>
      <c r="BD1449" s="166">
        <v>0</v>
      </c>
      <c r="BE1449" s="166">
        <v>0</v>
      </c>
      <c r="BF1449" s="166">
        <v>0</v>
      </c>
      <c r="BG1449" s="166">
        <v>0</v>
      </c>
      <c r="BH1449" s="166">
        <v>0</v>
      </c>
      <c r="BI1449" s="166">
        <v>0</v>
      </c>
      <c r="BJ1449" s="166">
        <v>0</v>
      </c>
      <c r="BK1449" s="166">
        <v>0</v>
      </c>
      <c r="BL1449" s="166">
        <v>0</v>
      </c>
      <c r="BM1449" s="166">
        <v>0</v>
      </c>
      <c r="BN1449" s="166">
        <v>0</v>
      </c>
      <c r="BO1449" s="166">
        <v>0</v>
      </c>
      <c r="BP1449" s="166">
        <v>0</v>
      </c>
      <c r="BQ1449" s="81" t="s">
        <v>1759</v>
      </c>
      <c r="BR1449" s="81" t="s">
        <v>160</v>
      </c>
      <c r="BU1449" s="81" t="s">
        <v>155</v>
      </c>
      <c r="BZ1449" s="81" t="s">
        <v>155</v>
      </c>
      <c r="CA1449" s="81">
        <v>11</v>
      </c>
      <c r="CC1449" s="167">
        <v>0</v>
      </c>
      <c r="CD1449" s="167">
        <v>0</v>
      </c>
      <c r="CE1449" s="167">
        <v>0</v>
      </c>
      <c r="CF1449" s="167">
        <v>0</v>
      </c>
      <c r="CG1449" s="167">
        <v>0</v>
      </c>
      <c r="CH1449" s="167">
        <v>0</v>
      </c>
      <c r="CI1449" s="167">
        <v>0</v>
      </c>
      <c r="CJ1449" s="167">
        <v>0</v>
      </c>
      <c r="CK1449" s="167">
        <v>0</v>
      </c>
      <c r="CL1449" s="167">
        <v>0</v>
      </c>
      <c r="CM1449" s="167">
        <v>0</v>
      </c>
      <c r="CN1449" s="167">
        <v>0</v>
      </c>
      <c r="CO1449" s="167">
        <v>0</v>
      </c>
      <c r="CP1449" s="167">
        <v>0</v>
      </c>
      <c r="CQ1449" s="167">
        <v>0</v>
      </c>
      <c r="CR1449" s="167">
        <v>0</v>
      </c>
      <c r="CS1449" s="167">
        <v>0</v>
      </c>
      <c r="CT1449" s="167">
        <f>$N1449/7</f>
        <v>20</v>
      </c>
      <c r="CU1449" s="167">
        <f>$N1449/7</f>
        <v>20</v>
      </c>
      <c r="CV1449" s="167">
        <f>$N1449/7</f>
        <v>20</v>
      </c>
      <c r="CW1449" s="167">
        <f>$N1449/7</f>
        <v>20</v>
      </c>
      <c r="CX1449" s="167">
        <f>SUM(CD1449:CH1449)</f>
        <v>0</v>
      </c>
      <c r="CY1449" s="167">
        <f>SUM(CD1449:CM1449)</f>
        <v>0</v>
      </c>
    </row>
    <row r="1450" spans="1:103" ht="12.75" customHeight="1" x14ac:dyDescent="0.2">
      <c r="A1450" s="81">
        <v>6899</v>
      </c>
      <c r="B1450" s="165" t="s">
        <v>1902</v>
      </c>
      <c r="C1450" s="165" t="s">
        <v>3584</v>
      </c>
      <c r="E1450" s="165" t="s">
        <v>3585</v>
      </c>
      <c r="F1450" s="165" t="s">
        <v>3536</v>
      </c>
      <c r="G1450" s="81">
        <v>527207</v>
      </c>
      <c r="H1450" s="81">
        <v>175690</v>
      </c>
      <c r="I1450" s="165" t="s">
        <v>241</v>
      </c>
      <c r="L1450" s="166">
        <v>0</v>
      </c>
      <c r="M1450" s="166">
        <v>41</v>
      </c>
      <c r="N1450" s="166">
        <v>41</v>
      </c>
      <c r="O1450" s="166">
        <v>209</v>
      </c>
      <c r="P1450" s="166">
        <v>209</v>
      </c>
      <c r="Q1450" s="81" t="s">
        <v>155</v>
      </c>
      <c r="R1450" s="165" t="s">
        <v>1905</v>
      </c>
      <c r="S1450" s="81" t="s">
        <v>1906</v>
      </c>
      <c r="W1450" s="81" t="s">
        <v>114</v>
      </c>
      <c r="Y1450" s="81" t="s">
        <v>115</v>
      </c>
      <c r="Z1450" s="81" t="s">
        <v>116</v>
      </c>
      <c r="AA1450" s="81" t="s">
        <v>116</v>
      </c>
      <c r="AB1450" s="81" t="s">
        <v>117</v>
      </c>
      <c r="AC1450" s="166">
        <v>0</v>
      </c>
      <c r="AG1450" s="81" t="s">
        <v>154</v>
      </c>
      <c r="AH1450" s="81" t="s">
        <v>276</v>
      </c>
      <c r="AI1450" s="81" t="s">
        <v>1748</v>
      </c>
      <c r="AJ1450" s="81">
        <v>17320338</v>
      </c>
      <c r="AK1450" s="166">
        <v>0</v>
      </c>
      <c r="AM1450" s="166">
        <v>0</v>
      </c>
      <c r="AO1450" s="166">
        <v>0</v>
      </c>
      <c r="AP1450" s="166">
        <v>0</v>
      </c>
      <c r="AQ1450" s="166">
        <v>0</v>
      </c>
      <c r="AR1450" s="166">
        <v>0</v>
      </c>
      <c r="AS1450" s="166">
        <v>0</v>
      </c>
      <c r="AT1450" s="166">
        <v>0</v>
      </c>
      <c r="AU1450" s="166">
        <v>41</v>
      </c>
      <c r="AV1450" s="166">
        <v>0</v>
      </c>
      <c r="AW1450" s="166">
        <v>0</v>
      </c>
      <c r="AX1450" s="166">
        <v>0</v>
      </c>
      <c r="AY1450" s="166">
        <v>0</v>
      </c>
      <c r="AZ1450" s="166">
        <v>0</v>
      </c>
      <c r="BA1450" s="166">
        <v>0</v>
      </c>
      <c r="BB1450" s="166">
        <v>41</v>
      </c>
      <c r="BC1450" s="166">
        <v>0</v>
      </c>
      <c r="BD1450" s="166">
        <v>0</v>
      </c>
      <c r="BE1450" s="166">
        <v>0</v>
      </c>
      <c r="BF1450" s="166">
        <v>0</v>
      </c>
      <c r="BG1450" s="166">
        <v>0</v>
      </c>
      <c r="BH1450" s="166">
        <v>0</v>
      </c>
      <c r="BI1450" s="166">
        <v>0</v>
      </c>
      <c r="BJ1450" s="166">
        <v>0</v>
      </c>
      <c r="BK1450" s="166">
        <v>0</v>
      </c>
      <c r="BL1450" s="166">
        <v>0</v>
      </c>
      <c r="BM1450" s="166">
        <v>0</v>
      </c>
      <c r="BN1450" s="166">
        <v>0</v>
      </c>
      <c r="BO1450" s="166">
        <v>0</v>
      </c>
      <c r="BP1450" s="166">
        <v>0</v>
      </c>
      <c r="BQ1450" s="81" t="s">
        <v>1759</v>
      </c>
      <c r="BR1450" s="81" t="s">
        <v>160</v>
      </c>
      <c r="BU1450" s="81" t="s">
        <v>155</v>
      </c>
      <c r="BZ1450" s="81" t="s">
        <v>155</v>
      </c>
      <c r="CA1450" s="81">
        <v>11</v>
      </c>
      <c r="CC1450" s="167">
        <v>0</v>
      </c>
      <c r="CD1450" s="167">
        <v>0</v>
      </c>
      <c r="CE1450" s="167">
        <v>0</v>
      </c>
      <c r="CF1450" s="167">
        <v>0</v>
      </c>
      <c r="CG1450" s="167">
        <v>0</v>
      </c>
      <c r="CH1450" s="167">
        <v>0</v>
      </c>
      <c r="CI1450" s="167">
        <v>0</v>
      </c>
      <c r="CJ1450" s="167">
        <v>0</v>
      </c>
      <c r="CK1450" s="167">
        <v>0</v>
      </c>
      <c r="CL1450" s="167">
        <v>0</v>
      </c>
      <c r="CM1450" s="167">
        <v>0</v>
      </c>
      <c r="CN1450" s="167">
        <v>0</v>
      </c>
      <c r="CO1450" s="167">
        <v>0</v>
      </c>
      <c r="CP1450" s="167">
        <v>0</v>
      </c>
      <c r="CQ1450" s="167">
        <v>0</v>
      </c>
      <c r="CR1450" s="167">
        <v>0</v>
      </c>
      <c r="CS1450" s="167">
        <v>0</v>
      </c>
      <c r="CT1450" s="167">
        <f>$N1450/7</f>
        <v>5.8571428571428568</v>
      </c>
      <c r="CU1450" s="167">
        <f>$N1450/7</f>
        <v>5.8571428571428568</v>
      </c>
      <c r="CV1450" s="167">
        <f>$N1450/7</f>
        <v>5.8571428571428568</v>
      </c>
      <c r="CW1450" s="167">
        <f>$N1450/7</f>
        <v>5.8571428571428568</v>
      </c>
      <c r="CX1450" s="167">
        <f>SUM(CD1450:CH1450)</f>
        <v>0</v>
      </c>
      <c r="CY1450" s="167">
        <f>SUM(CD1450:CM1450)</f>
        <v>0</v>
      </c>
    </row>
    <row r="1451" spans="1:103" ht="12.75" customHeight="1" x14ac:dyDescent="0.2">
      <c r="A1451" s="81">
        <v>6900</v>
      </c>
      <c r="B1451" s="165" t="s">
        <v>1902</v>
      </c>
      <c r="C1451" s="165" t="s">
        <v>3586</v>
      </c>
      <c r="E1451" s="165" t="s">
        <v>3587</v>
      </c>
      <c r="F1451" s="165" t="s">
        <v>1556</v>
      </c>
      <c r="G1451" s="81">
        <v>526850</v>
      </c>
      <c r="H1451" s="81">
        <v>175749</v>
      </c>
      <c r="I1451" s="165" t="s">
        <v>241</v>
      </c>
      <c r="L1451" s="166">
        <v>0</v>
      </c>
      <c r="M1451" s="166">
        <v>436</v>
      </c>
      <c r="N1451" s="166">
        <v>436</v>
      </c>
      <c r="O1451" s="166">
        <v>486</v>
      </c>
      <c r="P1451" s="166">
        <v>486</v>
      </c>
      <c r="Q1451" s="81" t="s">
        <v>155</v>
      </c>
      <c r="R1451" s="165" t="s">
        <v>1905</v>
      </c>
      <c r="S1451" s="81" t="s">
        <v>1906</v>
      </c>
      <c r="W1451" s="81" t="s">
        <v>114</v>
      </c>
      <c r="Y1451" s="81" t="s">
        <v>115</v>
      </c>
      <c r="Z1451" s="81" t="s">
        <v>116</v>
      </c>
      <c r="AA1451" s="81" t="s">
        <v>116</v>
      </c>
      <c r="AB1451" s="81" t="s">
        <v>117</v>
      </c>
      <c r="AC1451" s="166">
        <v>0</v>
      </c>
      <c r="AG1451" s="81" t="s">
        <v>238</v>
      </c>
      <c r="AH1451" s="81" t="s">
        <v>118</v>
      </c>
      <c r="AI1451" s="81" t="s">
        <v>1741</v>
      </c>
      <c r="AJ1451" s="81">
        <v>17320111</v>
      </c>
      <c r="AK1451" s="166">
        <v>0</v>
      </c>
      <c r="AM1451" s="166">
        <v>0</v>
      </c>
      <c r="AO1451" s="166">
        <v>0</v>
      </c>
      <c r="AP1451" s="166">
        <v>0</v>
      </c>
      <c r="AQ1451" s="166">
        <v>0</v>
      </c>
      <c r="AR1451" s="166">
        <v>0</v>
      </c>
      <c r="AS1451" s="166">
        <v>0</v>
      </c>
      <c r="AT1451" s="166">
        <v>0</v>
      </c>
      <c r="AU1451" s="166">
        <v>436</v>
      </c>
      <c r="AV1451" s="166">
        <v>0</v>
      </c>
      <c r="AW1451" s="166">
        <v>0</v>
      </c>
      <c r="AX1451" s="166">
        <v>0</v>
      </c>
      <c r="AY1451" s="166">
        <v>0</v>
      </c>
      <c r="AZ1451" s="166">
        <v>0</v>
      </c>
      <c r="BA1451" s="166">
        <v>0</v>
      </c>
      <c r="BB1451" s="166">
        <v>436</v>
      </c>
      <c r="BC1451" s="166">
        <v>0</v>
      </c>
      <c r="BD1451" s="166">
        <v>0</v>
      </c>
      <c r="BE1451" s="166">
        <v>0</v>
      </c>
      <c r="BF1451" s="166">
        <v>0</v>
      </c>
      <c r="BG1451" s="166">
        <v>0</v>
      </c>
      <c r="BH1451" s="166">
        <v>0</v>
      </c>
      <c r="BI1451" s="166">
        <v>0</v>
      </c>
      <c r="BJ1451" s="166">
        <v>0</v>
      </c>
      <c r="BK1451" s="166">
        <v>0</v>
      </c>
      <c r="BL1451" s="166">
        <v>0</v>
      </c>
      <c r="BM1451" s="166">
        <v>0</v>
      </c>
      <c r="BN1451" s="166">
        <v>0</v>
      </c>
      <c r="BO1451" s="166">
        <v>0</v>
      </c>
      <c r="BP1451" s="166">
        <v>0</v>
      </c>
      <c r="BQ1451" s="81" t="s">
        <v>1759</v>
      </c>
      <c r="BU1451" s="81" t="s">
        <v>155</v>
      </c>
      <c r="BZ1451" s="81" t="s">
        <v>155</v>
      </c>
      <c r="CA1451" s="81">
        <v>11</v>
      </c>
      <c r="CC1451" s="167">
        <v>0</v>
      </c>
      <c r="CD1451" s="167">
        <f>$N1451*24/486</f>
        <v>21.530864197530864</v>
      </c>
      <c r="CE1451" s="167">
        <f>$N1451*297/486/5</f>
        <v>53.288888888888891</v>
      </c>
      <c r="CF1451" s="167">
        <f>$N1451*297/486/5</f>
        <v>53.288888888888891</v>
      </c>
      <c r="CG1451" s="167">
        <f>$N1451*297/486/5</f>
        <v>53.288888888888891</v>
      </c>
      <c r="CH1451" s="167">
        <f>$N1451*297/486/5</f>
        <v>53.288888888888891</v>
      </c>
      <c r="CI1451" s="167">
        <f>$N1451*297/486/5</f>
        <v>53.288888888888891</v>
      </c>
      <c r="CJ1451" s="167">
        <f>$N1451*165/486/5</f>
        <v>29.604938271604937</v>
      </c>
      <c r="CK1451" s="167">
        <f>$N1451*165/486/5</f>
        <v>29.604938271604937</v>
      </c>
      <c r="CL1451" s="167">
        <f>$N1451*165/486/5</f>
        <v>29.604938271604937</v>
      </c>
      <c r="CM1451" s="167">
        <f>$N1451*165/486/5</f>
        <v>29.604938271604937</v>
      </c>
      <c r="CN1451" s="167">
        <f>$N1451*165/486/5</f>
        <v>29.604938271604937</v>
      </c>
      <c r="CO1451" s="167">
        <v>0</v>
      </c>
      <c r="CP1451" s="167">
        <v>0</v>
      </c>
      <c r="CQ1451" s="167">
        <v>0</v>
      </c>
      <c r="CR1451" s="167">
        <v>0</v>
      </c>
      <c r="CS1451" s="167">
        <v>0</v>
      </c>
      <c r="CT1451" s="167">
        <v>0</v>
      </c>
      <c r="CU1451" s="167">
        <v>0</v>
      </c>
      <c r="CV1451" s="167">
        <v>0</v>
      </c>
      <c r="CW1451" s="167">
        <v>0</v>
      </c>
      <c r="CX1451" s="167">
        <f>SUM(CD1451:CH1451)</f>
        <v>234.68641975308643</v>
      </c>
      <c r="CY1451" s="167">
        <f>SUM(CD1451:CM1451)</f>
        <v>406.39506172839515</v>
      </c>
    </row>
    <row r="1452" spans="1:103" ht="12.75" customHeight="1" x14ac:dyDescent="0.2">
      <c r="A1452" s="81">
        <v>6900</v>
      </c>
      <c r="B1452" s="165" t="s">
        <v>1902</v>
      </c>
      <c r="C1452" s="165" t="s">
        <v>3586</v>
      </c>
      <c r="E1452" s="165" t="s">
        <v>3587</v>
      </c>
      <c r="F1452" s="165" t="s">
        <v>3536</v>
      </c>
      <c r="G1452" s="81">
        <v>526850</v>
      </c>
      <c r="H1452" s="81">
        <v>175749</v>
      </c>
      <c r="I1452" s="165" t="s">
        <v>241</v>
      </c>
      <c r="L1452" s="166">
        <v>0</v>
      </c>
      <c r="M1452" s="166">
        <v>50</v>
      </c>
      <c r="N1452" s="166">
        <v>50</v>
      </c>
      <c r="O1452" s="166">
        <v>486</v>
      </c>
      <c r="P1452" s="166">
        <v>486</v>
      </c>
      <c r="Q1452" s="81" t="s">
        <v>155</v>
      </c>
      <c r="R1452" s="165" t="s">
        <v>1905</v>
      </c>
      <c r="S1452" s="81" t="s">
        <v>1906</v>
      </c>
      <c r="W1452" s="81" t="s">
        <v>114</v>
      </c>
      <c r="Y1452" s="81" t="s">
        <v>115</v>
      </c>
      <c r="Z1452" s="81" t="s">
        <v>116</v>
      </c>
      <c r="AA1452" s="81" t="s">
        <v>116</v>
      </c>
      <c r="AB1452" s="81" t="s">
        <v>117</v>
      </c>
      <c r="AC1452" s="166">
        <v>0</v>
      </c>
      <c r="AG1452" s="81" t="s">
        <v>154</v>
      </c>
      <c r="AH1452" s="81" t="s">
        <v>276</v>
      </c>
      <c r="AI1452" s="81" t="s">
        <v>1741</v>
      </c>
      <c r="AJ1452" s="81">
        <v>17320111</v>
      </c>
      <c r="AK1452" s="166">
        <v>0</v>
      </c>
      <c r="AM1452" s="166">
        <v>0</v>
      </c>
      <c r="AO1452" s="166">
        <v>0</v>
      </c>
      <c r="AP1452" s="166">
        <v>0</v>
      </c>
      <c r="AQ1452" s="166">
        <v>0</v>
      </c>
      <c r="AR1452" s="166">
        <v>0</v>
      </c>
      <c r="AS1452" s="166">
        <v>0</v>
      </c>
      <c r="AT1452" s="166">
        <v>0</v>
      </c>
      <c r="AU1452" s="166">
        <v>50</v>
      </c>
      <c r="AV1452" s="166">
        <v>0</v>
      </c>
      <c r="AW1452" s="166">
        <v>0</v>
      </c>
      <c r="AX1452" s="166">
        <v>0</v>
      </c>
      <c r="AY1452" s="166">
        <v>0</v>
      </c>
      <c r="AZ1452" s="166">
        <v>0</v>
      </c>
      <c r="BA1452" s="166">
        <v>0</v>
      </c>
      <c r="BB1452" s="166">
        <v>50</v>
      </c>
      <c r="BC1452" s="166">
        <v>0</v>
      </c>
      <c r="BD1452" s="166">
        <v>0</v>
      </c>
      <c r="BE1452" s="166">
        <v>0</v>
      </c>
      <c r="BF1452" s="166">
        <v>0</v>
      </c>
      <c r="BG1452" s="166">
        <v>0</v>
      </c>
      <c r="BH1452" s="166">
        <v>0</v>
      </c>
      <c r="BI1452" s="166">
        <v>0</v>
      </c>
      <c r="BJ1452" s="166">
        <v>0</v>
      </c>
      <c r="BK1452" s="166">
        <v>0</v>
      </c>
      <c r="BL1452" s="166">
        <v>0</v>
      </c>
      <c r="BM1452" s="166">
        <v>0</v>
      </c>
      <c r="BN1452" s="166">
        <v>0</v>
      </c>
      <c r="BO1452" s="166">
        <v>0</v>
      </c>
      <c r="BP1452" s="166">
        <v>0</v>
      </c>
      <c r="BQ1452" s="81" t="s">
        <v>1759</v>
      </c>
      <c r="BU1452" s="81" t="s">
        <v>155</v>
      </c>
      <c r="BZ1452" s="81" t="s">
        <v>155</v>
      </c>
      <c r="CA1452" s="81">
        <v>11</v>
      </c>
      <c r="CC1452" s="167">
        <v>0</v>
      </c>
      <c r="CD1452" s="167">
        <f>$N1452*24/486</f>
        <v>2.4691358024691357</v>
      </c>
      <c r="CE1452" s="167">
        <f>$N1452*297/486/5</f>
        <v>6.1111111111111116</v>
      </c>
      <c r="CF1452" s="167">
        <f>$N1452*297/486/5</f>
        <v>6.1111111111111116</v>
      </c>
      <c r="CG1452" s="167">
        <f>$N1452*297/486/5</f>
        <v>6.1111111111111116</v>
      </c>
      <c r="CH1452" s="167">
        <f>$N1452*297/486/5</f>
        <v>6.1111111111111116</v>
      </c>
      <c r="CI1452" s="167">
        <f>$N1452*297/486/5</f>
        <v>6.1111111111111116</v>
      </c>
      <c r="CJ1452" s="167">
        <f>$N1452*165/486/5</f>
        <v>3.3950617283950622</v>
      </c>
      <c r="CK1452" s="167">
        <f>$N1452*165/486/5</f>
        <v>3.3950617283950622</v>
      </c>
      <c r="CL1452" s="167">
        <f>$N1452*165/486/5</f>
        <v>3.3950617283950622</v>
      </c>
      <c r="CM1452" s="167">
        <f>$N1452*165/486/5</f>
        <v>3.3950617283950622</v>
      </c>
      <c r="CN1452" s="167">
        <f>$N1452*165/486/5</f>
        <v>3.3950617283950622</v>
      </c>
      <c r="CO1452" s="167">
        <v>0</v>
      </c>
      <c r="CP1452" s="167">
        <v>0</v>
      </c>
      <c r="CQ1452" s="167">
        <v>0</v>
      </c>
      <c r="CR1452" s="167">
        <v>0</v>
      </c>
      <c r="CS1452" s="167">
        <v>0</v>
      </c>
      <c r="CT1452" s="167">
        <v>0</v>
      </c>
      <c r="CU1452" s="167">
        <v>0</v>
      </c>
      <c r="CV1452" s="167">
        <v>0</v>
      </c>
      <c r="CW1452" s="167">
        <v>0</v>
      </c>
      <c r="CX1452" s="167">
        <f>SUM(CD1452:CH1452)</f>
        <v>26.913580246913579</v>
      </c>
      <c r="CY1452" s="167">
        <f>SUM(CD1452:CM1452)</f>
        <v>46.604938271604944</v>
      </c>
    </row>
    <row r="1453" spans="1:103" ht="12.75" customHeight="1" x14ac:dyDescent="0.2">
      <c r="A1453" s="81">
        <v>6901</v>
      </c>
      <c r="B1453" s="165" t="s">
        <v>1902</v>
      </c>
      <c r="C1453" s="165" t="s">
        <v>2004</v>
      </c>
      <c r="E1453" s="165" t="s">
        <v>2005</v>
      </c>
      <c r="F1453" s="165" t="s">
        <v>1556</v>
      </c>
      <c r="G1453" s="81">
        <v>524170</v>
      </c>
      <c r="H1453" s="81">
        <v>175517</v>
      </c>
      <c r="I1453" s="165" t="s">
        <v>259</v>
      </c>
      <c r="L1453" s="166">
        <v>0</v>
      </c>
      <c r="M1453" s="166">
        <v>8</v>
      </c>
      <c r="N1453" s="166">
        <v>8</v>
      </c>
      <c r="O1453" s="166">
        <v>8</v>
      </c>
      <c r="P1453" s="166">
        <v>8</v>
      </c>
      <c r="R1453" s="165" t="s">
        <v>1905</v>
      </c>
      <c r="S1453" s="81" t="s">
        <v>1906</v>
      </c>
      <c r="W1453" s="81" t="s">
        <v>114</v>
      </c>
      <c r="Y1453" s="81" t="s">
        <v>115</v>
      </c>
      <c r="Z1453" s="81" t="s">
        <v>116</v>
      </c>
      <c r="AA1453" s="81" t="s">
        <v>117</v>
      </c>
      <c r="AB1453" s="81" t="s">
        <v>218</v>
      </c>
      <c r="AC1453" s="166">
        <v>0</v>
      </c>
      <c r="AG1453" s="81" t="s">
        <v>238</v>
      </c>
      <c r="AH1453" s="81" t="s">
        <v>118</v>
      </c>
      <c r="AI1453" s="81" t="s">
        <v>1737</v>
      </c>
      <c r="AJ1453" s="81">
        <v>17320038</v>
      </c>
      <c r="AK1453" s="166">
        <v>0</v>
      </c>
      <c r="AM1453" s="166">
        <v>0</v>
      </c>
      <c r="AO1453" s="166">
        <v>0</v>
      </c>
      <c r="AP1453" s="166">
        <v>0</v>
      </c>
      <c r="AQ1453" s="166">
        <v>0</v>
      </c>
      <c r="AR1453" s="166">
        <v>0</v>
      </c>
      <c r="AS1453" s="166">
        <v>0</v>
      </c>
      <c r="AT1453" s="166">
        <v>0</v>
      </c>
      <c r="AU1453" s="166">
        <v>8</v>
      </c>
      <c r="AV1453" s="166">
        <v>0</v>
      </c>
      <c r="AW1453" s="166">
        <v>0</v>
      </c>
      <c r="AX1453" s="166">
        <v>0</v>
      </c>
      <c r="AY1453" s="166">
        <v>0</v>
      </c>
      <c r="AZ1453" s="166">
        <v>0</v>
      </c>
      <c r="BA1453" s="166">
        <v>0</v>
      </c>
      <c r="BB1453" s="166">
        <v>8</v>
      </c>
      <c r="BC1453" s="166">
        <v>0</v>
      </c>
      <c r="BD1453" s="166">
        <v>0</v>
      </c>
      <c r="BE1453" s="166">
        <v>0</v>
      </c>
      <c r="BF1453" s="166">
        <v>0</v>
      </c>
      <c r="BG1453" s="166">
        <v>0</v>
      </c>
      <c r="BH1453" s="166">
        <v>0</v>
      </c>
      <c r="BI1453" s="166">
        <v>0</v>
      </c>
      <c r="BJ1453" s="166">
        <v>0</v>
      </c>
      <c r="BK1453" s="166">
        <v>0</v>
      </c>
      <c r="BL1453" s="166">
        <v>0</v>
      </c>
      <c r="BM1453" s="166">
        <v>0</v>
      </c>
      <c r="BN1453" s="166">
        <v>0</v>
      </c>
      <c r="BO1453" s="166">
        <v>0</v>
      </c>
      <c r="BP1453" s="166">
        <v>0</v>
      </c>
      <c r="BQ1453" s="81" t="s">
        <v>1758</v>
      </c>
      <c r="BR1453" s="81" t="s">
        <v>161</v>
      </c>
      <c r="BX1453" s="81" t="s">
        <v>155</v>
      </c>
      <c r="BZ1453" s="81" t="s">
        <v>155</v>
      </c>
      <c r="CA1453" s="81">
        <v>11</v>
      </c>
      <c r="CC1453" s="167">
        <v>0</v>
      </c>
      <c r="CD1453" s="167">
        <v>0</v>
      </c>
      <c r="CE1453" s="167">
        <v>0</v>
      </c>
      <c r="CF1453" s="167">
        <v>0</v>
      </c>
      <c r="CG1453" s="167">
        <v>0</v>
      </c>
      <c r="CH1453" s="167">
        <v>0</v>
      </c>
      <c r="CI1453" s="167">
        <v>0</v>
      </c>
      <c r="CJ1453" s="167">
        <v>0</v>
      </c>
      <c r="CK1453" s="167">
        <v>0</v>
      </c>
      <c r="CL1453" s="167">
        <v>0</v>
      </c>
      <c r="CM1453" s="167">
        <v>0</v>
      </c>
      <c r="CN1453" s="167">
        <v>0</v>
      </c>
      <c r="CO1453" s="167">
        <f>$N1453/12</f>
        <v>0.66666666666666663</v>
      </c>
      <c r="CP1453" s="167">
        <f>$N1453/12</f>
        <v>0.66666666666666663</v>
      </c>
      <c r="CQ1453" s="167">
        <f>$N1453/12</f>
        <v>0.66666666666666663</v>
      </c>
      <c r="CR1453" s="167">
        <f>$N1453/12</f>
        <v>0.66666666666666663</v>
      </c>
      <c r="CS1453" s="167">
        <f>$N1453/12</f>
        <v>0.66666666666666663</v>
      </c>
      <c r="CT1453" s="167">
        <f>$N1453/12</f>
        <v>0.66666666666666663</v>
      </c>
      <c r="CU1453" s="167">
        <f>$N1453/12</f>
        <v>0.66666666666666663</v>
      </c>
      <c r="CV1453" s="167">
        <f>$N1453/12</f>
        <v>0.66666666666666663</v>
      </c>
      <c r="CW1453" s="167">
        <f>$N1453/12</f>
        <v>0.66666666666666663</v>
      </c>
      <c r="CX1453" s="167">
        <f>SUM(CD1453:CH1453)</f>
        <v>0</v>
      </c>
      <c r="CY1453" s="167">
        <f>SUM(CD1453:CM1453)</f>
        <v>0</v>
      </c>
    </row>
    <row r="1454" spans="1:103" ht="12.75" customHeight="1" x14ac:dyDescent="0.2">
      <c r="A1454" s="81">
        <v>6902</v>
      </c>
      <c r="B1454" s="165" t="s">
        <v>1902</v>
      </c>
      <c r="C1454" s="165" t="s">
        <v>2006</v>
      </c>
      <c r="E1454" s="165" t="s">
        <v>2007</v>
      </c>
      <c r="F1454" s="165" t="s">
        <v>1556</v>
      </c>
      <c r="G1454" s="81">
        <v>524118</v>
      </c>
      <c r="H1454" s="81">
        <v>175366</v>
      </c>
      <c r="I1454" s="165" t="s">
        <v>259</v>
      </c>
      <c r="L1454" s="166">
        <v>0</v>
      </c>
      <c r="M1454" s="166">
        <v>5</v>
      </c>
      <c r="N1454" s="166">
        <v>5</v>
      </c>
      <c r="O1454" s="166">
        <v>5</v>
      </c>
      <c r="P1454" s="166">
        <v>5</v>
      </c>
      <c r="R1454" s="165" t="s">
        <v>1905</v>
      </c>
      <c r="S1454" s="81" t="s">
        <v>1906</v>
      </c>
      <c r="W1454" s="81" t="s">
        <v>114</v>
      </c>
      <c r="Y1454" s="81" t="s">
        <v>115</v>
      </c>
      <c r="Z1454" s="81" t="s">
        <v>116</v>
      </c>
      <c r="AA1454" s="81" t="s">
        <v>117</v>
      </c>
      <c r="AB1454" s="81" t="s">
        <v>218</v>
      </c>
      <c r="AC1454" s="166">
        <v>0</v>
      </c>
      <c r="AG1454" s="81" t="s">
        <v>238</v>
      </c>
      <c r="AH1454" s="81" t="s">
        <v>118</v>
      </c>
      <c r="AI1454" s="81" t="s">
        <v>1749</v>
      </c>
      <c r="AJ1454" s="81">
        <v>17320340</v>
      </c>
      <c r="AK1454" s="166">
        <v>0</v>
      </c>
      <c r="AM1454" s="166">
        <v>0</v>
      </c>
      <c r="AO1454" s="166">
        <v>0</v>
      </c>
      <c r="AP1454" s="166">
        <v>0</v>
      </c>
      <c r="AQ1454" s="166">
        <v>0</v>
      </c>
      <c r="AR1454" s="166">
        <v>0</v>
      </c>
      <c r="AS1454" s="166">
        <v>0</v>
      </c>
      <c r="AT1454" s="166">
        <v>0</v>
      </c>
      <c r="AU1454" s="166">
        <v>5</v>
      </c>
      <c r="AV1454" s="166">
        <v>0</v>
      </c>
      <c r="AW1454" s="166">
        <v>0</v>
      </c>
      <c r="AX1454" s="166">
        <v>0</v>
      </c>
      <c r="AY1454" s="166">
        <v>0</v>
      </c>
      <c r="AZ1454" s="166">
        <v>0</v>
      </c>
      <c r="BA1454" s="166">
        <v>0</v>
      </c>
      <c r="BB1454" s="166">
        <v>5</v>
      </c>
      <c r="BC1454" s="166">
        <v>0</v>
      </c>
      <c r="BD1454" s="166">
        <v>0</v>
      </c>
      <c r="BE1454" s="166">
        <v>0</v>
      </c>
      <c r="BF1454" s="166">
        <v>0</v>
      </c>
      <c r="BG1454" s="166">
        <v>0</v>
      </c>
      <c r="BH1454" s="166">
        <v>0</v>
      </c>
      <c r="BI1454" s="166">
        <v>0</v>
      </c>
      <c r="BJ1454" s="166">
        <v>0</v>
      </c>
      <c r="BK1454" s="166">
        <v>0</v>
      </c>
      <c r="BL1454" s="166">
        <v>0</v>
      </c>
      <c r="BM1454" s="166">
        <v>0</v>
      </c>
      <c r="BN1454" s="166">
        <v>0</v>
      </c>
      <c r="BO1454" s="166">
        <v>0</v>
      </c>
      <c r="BP1454" s="166">
        <v>0</v>
      </c>
      <c r="BQ1454" s="81" t="s">
        <v>1758</v>
      </c>
      <c r="BR1454" s="81" t="s">
        <v>161</v>
      </c>
      <c r="BZ1454" s="81" t="s">
        <v>155</v>
      </c>
      <c r="CA1454" s="81">
        <v>11</v>
      </c>
      <c r="CC1454" s="167">
        <v>0</v>
      </c>
      <c r="CD1454" s="167">
        <v>0</v>
      </c>
      <c r="CE1454" s="167">
        <v>0</v>
      </c>
      <c r="CF1454" s="167">
        <v>0</v>
      </c>
      <c r="CG1454" s="167">
        <v>0</v>
      </c>
      <c r="CH1454" s="167">
        <v>0</v>
      </c>
      <c r="CI1454" s="167">
        <v>0</v>
      </c>
      <c r="CJ1454" s="167">
        <f>$N1454/17</f>
        <v>0.29411764705882354</v>
      </c>
      <c r="CK1454" s="167">
        <f>$N1454/17</f>
        <v>0.29411764705882354</v>
      </c>
      <c r="CL1454" s="167">
        <f>$N1454/17</f>
        <v>0.29411764705882354</v>
      </c>
      <c r="CM1454" s="167">
        <f>$N1454/17</f>
        <v>0.29411764705882354</v>
      </c>
      <c r="CN1454" s="167">
        <f>$N1454/17</f>
        <v>0.29411764705882354</v>
      </c>
      <c r="CO1454" s="167">
        <f>$N1454/17</f>
        <v>0.29411764705882354</v>
      </c>
      <c r="CP1454" s="167">
        <f>$N1454/17</f>
        <v>0.29411764705882354</v>
      </c>
      <c r="CQ1454" s="167">
        <f>$N1454/17</f>
        <v>0.29411764705882354</v>
      </c>
      <c r="CR1454" s="167">
        <f>$N1454/17</f>
        <v>0.29411764705882354</v>
      </c>
      <c r="CS1454" s="167">
        <f>$N1454/17</f>
        <v>0.29411764705882354</v>
      </c>
      <c r="CT1454" s="167">
        <f>$N1454/17</f>
        <v>0.29411764705882354</v>
      </c>
      <c r="CU1454" s="167">
        <f>$N1454/17</f>
        <v>0.29411764705882354</v>
      </c>
      <c r="CV1454" s="167">
        <f>$N1454/17</f>
        <v>0.29411764705882354</v>
      </c>
      <c r="CW1454" s="167">
        <f>$N1454/17</f>
        <v>0.29411764705882354</v>
      </c>
      <c r="CX1454" s="167">
        <f>SUM(CD1454:CH1454)</f>
        <v>0</v>
      </c>
      <c r="CY1454" s="167">
        <f>SUM(CD1454:CM1454)</f>
        <v>1.1764705882352942</v>
      </c>
    </row>
    <row r="1455" spans="1:103" ht="12.75" customHeight="1" x14ac:dyDescent="0.2">
      <c r="A1455" s="81">
        <v>6903</v>
      </c>
      <c r="B1455" s="165" t="s">
        <v>1902</v>
      </c>
      <c r="C1455" s="165" t="s">
        <v>3588</v>
      </c>
      <c r="E1455" s="165" t="s">
        <v>3589</v>
      </c>
      <c r="F1455" s="165" t="s">
        <v>1556</v>
      </c>
      <c r="G1455" s="81">
        <v>522165</v>
      </c>
      <c r="H1455" s="81">
        <v>173843</v>
      </c>
      <c r="I1455" s="165" t="s">
        <v>877</v>
      </c>
      <c r="L1455" s="166">
        <v>0</v>
      </c>
      <c r="M1455" s="166">
        <v>626</v>
      </c>
      <c r="N1455" s="166">
        <v>626</v>
      </c>
      <c r="O1455" s="166">
        <v>656</v>
      </c>
      <c r="P1455" s="166">
        <v>656</v>
      </c>
      <c r="Q1455" s="81" t="s">
        <v>155</v>
      </c>
      <c r="R1455" s="165" t="s">
        <v>1905</v>
      </c>
      <c r="S1455" s="81" t="s">
        <v>1906</v>
      </c>
      <c r="W1455" s="81" t="s">
        <v>114</v>
      </c>
      <c r="Y1455" s="81" t="s">
        <v>115</v>
      </c>
      <c r="Z1455" s="81" t="s">
        <v>116</v>
      </c>
      <c r="AA1455" s="81" t="s">
        <v>116</v>
      </c>
      <c r="AB1455" s="81" t="s">
        <v>117</v>
      </c>
      <c r="AC1455" s="166">
        <v>0</v>
      </c>
      <c r="AG1455" s="81" t="s">
        <v>238</v>
      </c>
      <c r="AH1455" s="81" t="s">
        <v>118</v>
      </c>
      <c r="AI1455" s="81" t="s">
        <v>3590</v>
      </c>
      <c r="AJ1455" s="81">
        <v>17320170</v>
      </c>
      <c r="AK1455" s="166">
        <v>0</v>
      </c>
      <c r="AM1455" s="166">
        <v>0</v>
      </c>
      <c r="AO1455" s="166">
        <v>0</v>
      </c>
      <c r="AP1455" s="166">
        <v>0</v>
      </c>
      <c r="AQ1455" s="166">
        <v>0</v>
      </c>
      <c r="AR1455" s="166">
        <v>0</v>
      </c>
      <c r="AS1455" s="166">
        <v>0</v>
      </c>
      <c r="AT1455" s="166">
        <v>0</v>
      </c>
      <c r="AU1455" s="166">
        <v>626</v>
      </c>
      <c r="AV1455" s="166">
        <v>0</v>
      </c>
      <c r="AW1455" s="166">
        <v>0</v>
      </c>
      <c r="AX1455" s="166">
        <v>0</v>
      </c>
      <c r="AY1455" s="166">
        <v>0</v>
      </c>
      <c r="AZ1455" s="166">
        <v>0</v>
      </c>
      <c r="BA1455" s="166">
        <v>0</v>
      </c>
      <c r="BB1455" s="166">
        <v>626</v>
      </c>
      <c r="BC1455" s="166">
        <v>0</v>
      </c>
      <c r="BD1455" s="166">
        <v>0</v>
      </c>
      <c r="BE1455" s="166">
        <v>0</v>
      </c>
      <c r="BF1455" s="166">
        <v>0</v>
      </c>
      <c r="BG1455" s="166">
        <v>0</v>
      </c>
      <c r="BH1455" s="166">
        <v>0</v>
      </c>
      <c r="BI1455" s="166">
        <v>0</v>
      </c>
      <c r="BJ1455" s="166">
        <v>0</v>
      </c>
      <c r="BK1455" s="166">
        <v>0</v>
      </c>
      <c r="BL1455" s="166">
        <v>0</v>
      </c>
      <c r="BM1455" s="166">
        <v>0</v>
      </c>
      <c r="BN1455" s="166">
        <v>0</v>
      </c>
      <c r="BO1455" s="166">
        <v>0</v>
      </c>
      <c r="BP1455" s="166">
        <v>0</v>
      </c>
      <c r="BQ1455" s="81" t="s">
        <v>1759</v>
      </c>
      <c r="BZ1455" s="81" t="s">
        <v>155</v>
      </c>
      <c r="CA1455" s="81">
        <v>11</v>
      </c>
      <c r="CC1455" s="167">
        <v>0</v>
      </c>
      <c r="CD1455" s="167">
        <v>0</v>
      </c>
      <c r="CE1455" s="167">
        <f>$N1455/10</f>
        <v>62.6</v>
      </c>
      <c r="CF1455" s="167">
        <f>$N1455/10</f>
        <v>62.6</v>
      </c>
      <c r="CG1455" s="167">
        <f>$N1455/10</f>
        <v>62.6</v>
      </c>
      <c r="CH1455" s="167">
        <f>$N1455/10</f>
        <v>62.6</v>
      </c>
      <c r="CI1455" s="167">
        <f>$N1455/10</f>
        <v>62.6</v>
      </c>
      <c r="CJ1455" s="167">
        <f>$N1455/10</f>
        <v>62.6</v>
      </c>
      <c r="CK1455" s="167">
        <f>$N1455/10</f>
        <v>62.6</v>
      </c>
      <c r="CL1455" s="167">
        <f>$N1455/10</f>
        <v>62.6</v>
      </c>
      <c r="CM1455" s="167">
        <f>$N1455/10</f>
        <v>62.6</v>
      </c>
      <c r="CN1455" s="167">
        <f>$N1455/10</f>
        <v>62.6</v>
      </c>
      <c r="CO1455" s="167">
        <v>0</v>
      </c>
      <c r="CP1455" s="167">
        <v>0</v>
      </c>
      <c r="CQ1455" s="167">
        <v>0</v>
      </c>
      <c r="CR1455" s="167">
        <v>0</v>
      </c>
      <c r="CS1455" s="167">
        <v>0</v>
      </c>
      <c r="CT1455" s="167">
        <v>0</v>
      </c>
      <c r="CU1455" s="167">
        <v>0</v>
      </c>
      <c r="CV1455" s="167">
        <v>0</v>
      </c>
      <c r="CW1455" s="167">
        <v>0</v>
      </c>
      <c r="CX1455" s="167">
        <f>SUM(CD1455:CH1455)</f>
        <v>250.4</v>
      </c>
      <c r="CY1455" s="167">
        <f>SUM(CD1455:CM1455)</f>
        <v>563.40000000000009</v>
      </c>
    </row>
    <row r="1456" spans="1:103" ht="12.75" customHeight="1" x14ac:dyDescent="0.2">
      <c r="A1456" s="81">
        <v>6903</v>
      </c>
      <c r="B1456" s="165" t="s">
        <v>1902</v>
      </c>
      <c r="C1456" s="165" t="s">
        <v>3588</v>
      </c>
      <c r="E1456" s="165" t="s">
        <v>3589</v>
      </c>
      <c r="F1456" s="165" t="s">
        <v>3536</v>
      </c>
      <c r="G1456" s="81">
        <v>522165</v>
      </c>
      <c r="H1456" s="81">
        <v>173843</v>
      </c>
      <c r="I1456" s="165" t="s">
        <v>877</v>
      </c>
      <c r="L1456" s="166">
        <v>0</v>
      </c>
      <c r="M1456" s="166">
        <v>30</v>
      </c>
      <c r="N1456" s="166">
        <v>30</v>
      </c>
      <c r="O1456" s="166">
        <v>656</v>
      </c>
      <c r="P1456" s="166">
        <v>656</v>
      </c>
      <c r="Q1456" s="81" t="s">
        <v>155</v>
      </c>
      <c r="R1456" s="165" t="s">
        <v>1905</v>
      </c>
      <c r="S1456" s="81" t="s">
        <v>1906</v>
      </c>
      <c r="W1456" s="81" t="s">
        <v>114</v>
      </c>
      <c r="Y1456" s="81" t="s">
        <v>115</v>
      </c>
      <c r="Z1456" s="81" t="s">
        <v>116</v>
      </c>
      <c r="AA1456" s="81" t="s">
        <v>116</v>
      </c>
      <c r="AB1456" s="81" t="s">
        <v>117</v>
      </c>
      <c r="AC1456" s="166">
        <v>0</v>
      </c>
      <c r="AG1456" s="81" t="s">
        <v>154</v>
      </c>
      <c r="AH1456" s="81" t="s">
        <v>276</v>
      </c>
      <c r="AI1456" s="81" t="s">
        <v>3590</v>
      </c>
      <c r="AJ1456" s="81">
        <v>17320170</v>
      </c>
      <c r="AK1456" s="166">
        <v>0</v>
      </c>
      <c r="AM1456" s="166">
        <v>0</v>
      </c>
      <c r="AO1456" s="166">
        <v>0</v>
      </c>
      <c r="AP1456" s="166">
        <v>0</v>
      </c>
      <c r="AQ1456" s="166">
        <v>0</v>
      </c>
      <c r="AR1456" s="166">
        <v>0</v>
      </c>
      <c r="AS1456" s="166">
        <v>0</v>
      </c>
      <c r="AT1456" s="166">
        <v>0</v>
      </c>
      <c r="AU1456" s="166">
        <v>30</v>
      </c>
      <c r="AV1456" s="166">
        <v>0</v>
      </c>
      <c r="AW1456" s="166">
        <v>0</v>
      </c>
      <c r="AX1456" s="166">
        <v>0</v>
      </c>
      <c r="AY1456" s="166">
        <v>0</v>
      </c>
      <c r="AZ1456" s="166">
        <v>0</v>
      </c>
      <c r="BA1456" s="166">
        <v>0</v>
      </c>
      <c r="BB1456" s="166">
        <v>30</v>
      </c>
      <c r="BC1456" s="166">
        <v>0</v>
      </c>
      <c r="BD1456" s="166">
        <v>0</v>
      </c>
      <c r="BE1456" s="166">
        <v>0</v>
      </c>
      <c r="BF1456" s="166">
        <v>0</v>
      </c>
      <c r="BG1456" s="166">
        <v>0</v>
      </c>
      <c r="BH1456" s="166">
        <v>0</v>
      </c>
      <c r="BI1456" s="166">
        <v>0</v>
      </c>
      <c r="BJ1456" s="166">
        <v>0</v>
      </c>
      <c r="BK1456" s="166">
        <v>0</v>
      </c>
      <c r="BL1456" s="166">
        <v>0</v>
      </c>
      <c r="BM1456" s="166">
        <v>0</v>
      </c>
      <c r="BN1456" s="166">
        <v>0</v>
      </c>
      <c r="BO1456" s="166">
        <v>0</v>
      </c>
      <c r="BP1456" s="166">
        <v>0</v>
      </c>
      <c r="BQ1456" s="81" t="s">
        <v>1759</v>
      </c>
      <c r="BZ1456" s="81" t="s">
        <v>155</v>
      </c>
      <c r="CA1456" s="81">
        <v>11</v>
      </c>
      <c r="CC1456" s="167">
        <v>0</v>
      </c>
      <c r="CD1456" s="167">
        <v>0</v>
      </c>
      <c r="CE1456" s="167">
        <f>$N1456/10</f>
        <v>3</v>
      </c>
      <c r="CF1456" s="167">
        <f>$N1456/10</f>
        <v>3</v>
      </c>
      <c r="CG1456" s="167">
        <f>$N1456/10</f>
        <v>3</v>
      </c>
      <c r="CH1456" s="167">
        <f>$N1456/10</f>
        <v>3</v>
      </c>
      <c r="CI1456" s="167">
        <f>$N1456/10</f>
        <v>3</v>
      </c>
      <c r="CJ1456" s="167">
        <f>$N1456/10</f>
        <v>3</v>
      </c>
      <c r="CK1456" s="167">
        <f>$N1456/10</f>
        <v>3</v>
      </c>
      <c r="CL1456" s="167">
        <f>$N1456/10</f>
        <v>3</v>
      </c>
      <c r="CM1456" s="167">
        <f>$N1456/10</f>
        <v>3</v>
      </c>
      <c r="CN1456" s="167">
        <f>$N1456/10</f>
        <v>3</v>
      </c>
      <c r="CO1456" s="167">
        <v>0</v>
      </c>
      <c r="CP1456" s="167">
        <v>0</v>
      </c>
      <c r="CQ1456" s="167">
        <v>0</v>
      </c>
      <c r="CR1456" s="167">
        <v>0</v>
      </c>
      <c r="CS1456" s="167">
        <v>0</v>
      </c>
      <c r="CT1456" s="167">
        <v>0</v>
      </c>
      <c r="CU1456" s="167">
        <v>0</v>
      </c>
      <c r="CV1456" s="167">
        <v>0</v>
      </c>
      <c r="CW1456" s="167">
        <v>0</v>
      </c>
      <c r="CX1456" s="167">
        <f>SUM(CD1456:CH1456)</f>
        <v>12</v>
      </c>
      <c r="CY1456" s="167">
        <f>SUM(CD1456:CM1456)</f>
        <v>27</v>
      </c>
    </row>
    <row r="1457" spans="1:103" ht="12.75" customHeight="1" x14ac:dyDescent="0.2">
      <c r="A1457" s="81">
        <v>6904</v>
      </c>
      <c r="B1457" s="165" t="s">
        <v>1902</v>
      </c>
      <c r="C1457" s="165" t="s">
        <v>3591</v>
      </c>
      <c r="E1457" s="165" t="s">
        <v>3592</v>
      </c>
      <c r="F1457" s="165" t="s">
        <v>3535</v>
      </c>
      <c r="G1457" s="81">
        <v>525354</v>
      </c>
      <c r="H1457" s="81">
        <v>174734</v>
      </c>
      <c r="I1457" s="165" t="s">
        <v>251</v>
      </c>
      <c r="L1457" s="166">
        <v>0</v>
      </c>
      <c r="M1457" s="166">
        <v>8</v>
      </c>
      <c r="N1457" s="166">
        <v>8</v>
      </c>
      <c r="O1457" s="166">
        <v>64</v>
      </c>
      <c r="P1457" s="166">
        <v>64</v>
      </c>
      <c r="Q1457" s="81" t="s">
        <v>155</v>
      </c>
      <c r="R1457" s="165" t="s">
        <v>1905</v>
      </c>
      <c r="S1457" s="81" t="s">
        <v>1906</v>
      </c>
      <c r="W1457" s="81" t="s">
        <v>114</v>
      </c>
      <c r="Y1457" s="81" t="s">
        <v>115</v>
      </c>
      <c r="Z1457" s="81" t="s">
        <v>116</v>
      </c>
      <c r="AA1457" s="81" t="s">
        <v>117</v>
      </c>
      <c r="AB1457" s="81" t="s">
        <v>218</v>
      </c>
      <c r="AC1457" s="166">
        <v>0</v>
      </c>
      <c r="AG1457" s="81" t="s">
        <v>74</v>
      </c>
      <c r="AH1457" s="81" t="s">
        <v>990</v>
      </c>
      <c r="AJ1457" s="81">
        <v>17320284</v>
      </c>
      <c r="AK1457" s="166">
        <v>0</v>
      </c>
      <c r="AM1457" s="166">
        <v>0</v>
      </c>
      <c r="AO1457" s="166">
        <v>0</v>
      </c>
      <c r="AP1457" s="166">
        <v>0</v>
      </c>
      <c r="AQ1457" s="166">
        <v>0</v>
      </c>
      <c r="AR1457" s="166">
        <v>0</v>
      </c>
      <c r="AS1457" s="166">
        <v>0</v>
      </c>
      <c r="AT1457" s="166">
        <v>0</v>
      </c>
      <c r="AU1457" s="166">
        <v>8</v>
      </c>
      <c r="AV1457" s="166">
        <v>0</v>
      </c>
      <c r="AW1457" s="166">
        <v>0</v>
      </c>
      <c r="AX1457" s="166">
        <v>0</v>
      </c>
      <c r="AY1457" s="166">
        <v>0</v>
      </c>
      <c r="AZ1457" s="166">
        <v>0</v>
      </c>
      <c r="BA1457" s="166">
        <v>0</v>
      </c>
      <c r="BB1457" s="166">
        <v>8</v>
      </c>
      <c r="BC1457" s="166">
        <v>0</v>
      </c>
      <c r="BD1457" s="166">
        <v>0</v>
      </c>
      <c r="BE1457" s="166">
        <v>0</v>
      </c>
      <c r="BF1457" s="166">
        <v>0</v>
      </c>
      <c r="BG1457" s="166">
        <v>0</v>
      </c>
      <c r="BH1457" s="166">
        <v>0</v>
      </c>
      <c r="BI1457" s="166">
        <v>0</v>
      </c>
      <c r="BJ1457" s="166">
        <v>0</v>
      </c>
      <c r="BK1457" s="166">
        <v>0</v>
      </c>
      <c r="BL1457" s="166">
        <v>0</v>
      </c>
      <c r="BM1457" s="166">
        <v>0</v>
      </c>
      <c r="BN1457" s="166">
        <v>0</v>
      </c>
      <c r="BO1457" s="166">
        <v>0</v>
      </c>
      <c r="BP1457" s="166">
        <v>0</v>
      </c>
      <c r="BQ1457" s="81" t="s">
        <v>1758</v>
      </c>
      <c r="BR1457" s="81" t="s">
        <v>202</v>
      </c>
      <c r="BT1457" s="81" t="s">
        <v>155</v>
      </c>
      <c r="BZ1457" s="81" t="s">
        <v>155</v>
      </c>
      <c r="CA1457" s="81">
        <v>13</v>
      </c>
      <c r="CC1457" s="167">
        <v>0</v>
      </c>
      <c r="CD1457" s="167">
        <v>0</v>
      </c>
      <c r="CE1457" s="167">
        <f>$N1457/10</f>
        <v>0.8</v>
      </c>
      <c r="CF1457" s="167">
        <f>$N1457/10</f>
        <v>0.8</v>
      </c>
      <c r="CG1457" s="167">
        <f>$N1457/10</f>
        <v>0.8</v>
      </c>
      <c r="CH1457" s="167">
        <f>$N1457/10</f>
        <v>0.8</v>
      </c>
      <c r="CI1457" s="167">
        <f>$N1457/10</f>
        <v>0.8</v>
      </c>
      <c r="CJ1457" s="167">
        <f>$N1457/10</f>
        <v>0.8</v>
      </c>
      <c r="CK1457" s="167">
        <f>$N1457/10</f>
        <v>0.8</v>
      </c>
      <c r="CL1457" s="167">
        <f>$N1457/10</f>
        <v>0.8</v>
      </c>
      <c r="CM1457" s="167">
        <f>$N1457/10</f>
        <v>0.8</v>
      </c>
      <c r="CN1457" s="167">
        <f>$N1457/10</f>
        <v>0.8</v>
      </c>
      <c r="CO1457" s="167">
        <v>0</v>
      </c>
      <c r="CP1457" s="167">
        <v>0</v>
      </c>
      <c r="CQ1457" s="167">
        <v>0</v>
      </c>
      <c r="CR1457" s="167">
        <v>0</v>
      </c>
      <c r="CS1457" s="167">
        <v>0</v>
      </c>
      <c r="CT1457" s="167">
        <v>0</v>
      </c>
      <c r="CU1457" s="167">
        <v>0</v>
      </c>
      <c r="CV1457" s="167">
        <v>0</v>
      </c>
      <c r="CW1457" s="167">
        <v>0</v>
      </c>
      <c r="CX1457" s="167">
        <f>SUM(CD1457:CH1457)</f>
        <v>3.2</v>
      </c>
      <c r="CY1457" s="167">
        <f>SUM(CD1457:CM1457)</f>
        <v>7.1999999999999993</v>
      </c>
    </row>
    <row r="1458" spans="1:103" ht="12.75" customHeight="1" x14ac:dyDescent="0.2">
      <c r="A1458" s="81">
        <v>6904</v>
      </c>
      <c r="B1458" s="165" t="s">
        <v>1902</v>
      </c>
      <c r="C1458" s="165" t="s">
        <v>3591</v>
      </c>
      <c r="E1458" s="165" t="s">
        <v>3592</v>
      </c>
      <c r="F1458" s="165" t="s">
        <v>1556</v>
      </c>
      <c r="G1458" s="81">
        <v>525354</v>
      </c>
      <c r="H1458" s="81">
        <v>174734</v>
      </c>
      <c r="I1458" s="165" t="s">
        <v>251</v>
      </c>
      <c r="L1458" s="166">
        <v>0</v>
      </c>
      <c r="M1458" s="166">
        <v>43</v>
      </c>
      <c r="N1458" s="166">
        <v>43</v>
      </c>
      <c r="O1458" s="166">
        <v>64</v>
      </c>
      <c r="P1458" s="166">
        <v>64</v>
      </c>
      <c r="Q1458" s="81" t="s">
        <v>155</v>
      </c>
      <c r="R1458" s="165" t="s">
        <v>1905</v>
      </c>
      <c r="S1458" s="81" t="s">
        <v>1906</v>
      </c>
      <c r="W1458" s="81" t="s">
        <v>114</v>
      </c>
      <c r="Y1458" s="81" t="s">
        <v>115</v>
      </c>
      <c r="Z1458" s="81" t="s">
        <v>116</v>
      </c>
      <c r="AA1458" s="81" t="s">
        <v>116</v>
      </c>
      <c r="AB1458" s="81" t="s">
        <v>117</v>
      </c>
      <c r="AC1458" s="166">
        <v>0</v>
      </c>
      <c r="AG1458" s="81" t="s">
        <v>238</v>
      </c>
      <c r="AH1458" s="81" t="s">
        <v>118</v>
      </c>
      <c r="AJ1458" s="81">
        <v>17320284</v>
      </c>
      <c r="AK1458" s="166">
        <v>0</v>
      </c>
      <c r="AM1458" s="166">
        <v>0</v>
      </c>
      <c r="AO1458" s="166">
        <v>0</v>
      </c>
      <c r="AP1458" s="166">
        <v>0</v>
      </c>
      <c r="AQ1458" s="166">
        <v>0</v>
      </c>
      <c r="AR1458" s="166">
        <v>0</v>
      </c>
      <c r="AS1458" s="166">
        <v>0</v>
      </c>
      <c r="AT1458" s="166">
        <v>0</v>
      </c>
      <c r="AU1458" s="166">
        <v>43</v>
      </c>
      <c r="AV1458" s="166">
        <v>0</v>
      </c>
      <c r="AW1458" s="166">
        <v>0</v>
      </c>
      <c r="AX1458" s="166">
        <v>0</v>
      </c>
      <c r="AY1458" s="166">
        <v>0</v>
      </c>
      <c r="AZ1458" s="166">
        <v>0</v>
      </c>
      <c r="BA1458" s="166">
        <v>0</v>
      </c>
      <c r="BB1458" s="166">
        <v>43</v>
      </c>
      <c r="BC1458" s="166">
        <v>0</v>
      </c>
      <c r="BD1458" s="166">
        <v>0</v>
      </c>
      <c r="BE1458" s="166">
        <v>0</v>
      </c>
      <c r="BF1458" s="166">
        <v>0</v>
      </c>
      <c r="BG1458" s="166">
        <v>0</v>
      </c>
      <c r="BH1458" s="166">
        <v>0</v>
      </c>
      <c r="BI1458" s="166">
        <v>0</v>
      </c>
      <c r="BJ1458" s="166">
        <v>0</v>
      </c>
      <c r="BK1458" s="166">
        <v>0</v>
      </c>
      <c r="BL1458" s="166">
        <v>0</v>
      </c>
      <c r="BM1458" s="166">
        <v>0</v>
      </c>
      <c r="BN1458" s="166">
        <v>0</v>
      </c>
      <c r="BO1458" s="166">
        <v>0</v>
      </c>
      <c r="BP1458" s="166">
        <v>0</v>
      </c>
      <c r="BQ1458" s="81" t="s">
        <v>1758</v>
      </c>
      <c r="BR1458" s="81" t="s">
        <v>202</v>
      </c>
      <c r="BT1458" s="81" t="s">
        <v>155</v>
      </c>
      <c r="BZ1458" s="81" t="s">
        <v>155</v>
      </c>
      <c r="CA1458" s="81">
        <v>13</v>
      </c>
      <c r="CC1458" s="167">
        <v>0</v>
      </c>
      <c r="CD1458" s="167">
        <v>0</v>
      </c>
      <c r="CE1458" s="167">
        <f>$N1458/10</f>
        <v>4.3</v>
      </c>
      <c r="CF1458" s="167">
        <f>$N1458/10</f>
        <v>4.3</v>
      </c>
      <c r="CG1458" s="167">
        <f>$N1458/10</f>
        <v>4.3</v>
      </c>
      <c r="CH1458" s="167">
        <f>$N1458/10</f>
        <v>4.3</v>
      </c>
      <c r="CI1458" s="167">
        <f>$N1458/10</f>
        <v>4.3</v>
      </c>
      <c r="CJ1458" s="167">
        <f>$N1458/10</f>
        <v>4.3</v>
      </c>
      <c r="CK1458" s="167">
        <f>$N1458/10</f>
        <v>4.3</v>
      </c>
      <c r="CL1458" s="167">
        <f>$N1458/10</f>
        <v>4.3</v>
      </c>
      <c r="CM1458" s="167">
        <f>$N1458/10</f>
        <v>4.3</v>
      </c>
      <c r="CN1458" s="167">
        <f>$N1458/10</f>
        <v>4.3</v>
      </c>
      <c r="CO1458" s="167">
        <v>0</v>
      </c>
      <c r="CP1458" s="167">
        <v>0</v>
      </c>
      <c r="CQ1458" s="167">
        <v>0</v>
      </c>
      <c r="CR1458" s="167">
        <v>0</v>
      </c>
      <c r="CS1458" s="167">
        <v>0</v>
      </c>
      <c r="CT1458" s="167">
        <v>0</v>
      </c>
      <c r="CU1458" s="167">
        <v>0</v>
      </c>
      <c r="CV1458" s="167">
        <v>0</v>
      </c>
      <c r="CW1458" s="167">
        <v>0</v>
      </c>
      <c r="CX1458" s="167">
        <f>SUM(CD1458:CH1458)</f>
        <v>17.2</v>
      </c>
      <c r="CY1458" s="167">
        <f>SUM(CD1458:CM1458)</f>
        <v>38.699999999999996</v>
      </c>
    </row>
    <row r="1459" spans="1:103" ht="12.75" customHeight="1" x14ac:dyDescent="0.2">
      <c r="A1459" s="81">
        <v>6904</v>
      </c>
      <c r="B1459" s="165" t="s">
        <v>1902</v>
      </c>
      <c r="C1459" s="165" t="s">
        <v>3591</v>
      </c>
      <c r="E1459" s="165" t="s">
        <v>3592</v>
      </c>
      <c r="F1459" s="165" t="s">
        <v>3536</v>
      </c>
      <c r="G1459" s="81">
        <v>525354</v>
      </c>
      <c r="H1459" s="81">
        <v>174734</v>
      </c>
      <c r="I1459" s="165" t="s">
        <v>251</v>
      </c>
      <c r="L1459" s="166">
        <v>0</v>
      </c>
      <c r="M1459" s="166">
        <v>13</v>
      </c>
      <c r="N1459" s="166">
        <v>13</v>
      </c>
      <c r="O1459" s="166">
        <v>64</v>
      </c>
      <c r="P1459" s="166">
        <v>64</v>
      </c>
      <c r="Q1459" s="81" t="s">
        <v>155</v>
      </c>
      <c r="R1459" s="165" t="s">
        <v>1905</v>
      </c>
      <c r="S1459" s="81" t="s">
        <v>1906</v>
      </c>
      <c r="W1459" s="81" t="s">
        <v>114</v>
      </c>
      <c r="Y1459" s="81" t="s">
        <v>115</v>
      </c>
      <c r="Z1459" s="81" t="s">
        <v>116</v>
      </c>
      <c r="AA1459" s="81" t="s">
        <v>116</v>
      </c>
      <c r="AB1459" s="81" t="s">
        <v>117</v>
      </c>
      <c r="AC1459" s="166">
        <v>0</v>
      </c>
      <c r="AG1459" s="81" t="s">
        <v>154</v>
      </c>
      <c r="AH1459" s="81" t="s">
        <v>276</v>
      </c>
      <c r="AJ1459" s="81">
        <v>17320284</v>
      </c>
      <c r="AK1459" s="166">
        <v>0</v>
      </c>
      <c r="AM1459" s="166">
        <v>0</v>
      </c>
      <c r="AO1459" s="166">
        <v>0</v>
      </c>
      <c r="AP1459" s="166">
        <v>0</v>
      </c>
      <c r="AQ1459" s="166">
        <v>0</v>
      </c>
      <c r="AR1459" s="166">
        <v>0</v>
      </c>
      <c r="AS1459" s="166">
        <v>0</v>
      </c>
      <c r="AT1459" s="166">
        <v>0</v>
      </c>
      <c r="AU1459" s="166">
        <v>13</v>
      </c>
      <c r="AV1459" s="166">
        <v>0</v>
      </c>
      <c r="AW1459" s="166">
        <v>0</v>
      </c>
      <c r="AX1459" s="166">
        <v>0</v>
      </c>
      <c r="AY1459" s="166">
        <v>0</v>
      </c>
      <c r="AZ1459" s="166">
        <v>0</v>
      </c>
      <c r="BA1459" s="166">
        <v>0</v>
      </c>
      <c r="BB1459" s="166">
        <v>13</v>
      </c>
      <c r="BC1459" s="166">
        <v>0</v>
      </c>
      <c r="BD1459" s="166">
        <v>0</v>
      </c>
      <c r="BE1459" s="166">
        <v>0</v>
      </c>
      <c r="BF1459" s="166">
        <v>0</v>
      </c>
      <c r="BG1459" s="166">
        <v>0</v>
      </c>
      <c r="BH1459" s="166">
        <v>0</v>
      </c>
      <c r="BI1459" s="166">
        <v>0</v>
      </c>
      <c r="BJ1459" s="166">
        <v>0</v>
      </c>
      <c r="BK1459" s="166">
        <v>0</v>
      </c>
      <c r="BL1459" s="166">
        <v>0</v>
      </c>
      <c r="BM1459" s="166">
        <v>0</v>
      </c>
      <c r="BN1459" s="166">
        <v>0</v>
      </c>
      <c r="BO1459" s="166">
        <v>0</v>
      </c>
      <c r="BP1459" s="166">
        <v>0</v>
      </c>
      <c r="BQ1459" s="81" t="s">
        <v>1758</v>
      </c>
      <c r="BR1459" s="81" t="s">
        <v>202</v>
      </c>
      <c r="BT1459" s="81" t="s">
        <v>155</v>
      </c>
      <c r="BZ1459" s="81" t="s">
        <v>155</v>
      </c>
      <c r="CA1459" s="81">
        <v>13</v>
      </c>
      <c r="CC1459" s="167">
        <v>0</v>
      </c>
      <c r="CD1459" s="167">
        <v>0</v>
      </c>
      <c r="CE1459" s="167">
        <f>$N1459/10</f>
        <v>1.3</v>
      </c>
      <c r="CF1459" s="167">
        <f>$N1459/10</f>
        <v>1.3</v>
      </c>
      <c r="CG1459" s="167">
        <f>$N1459/10</f>
        <v>1.3</v>
      </c>
      <c r="CH1459" s="167">
        <f>$N1459/10</f>
        <v>1.3</v>
      </c>
      <c r="CI1459" s="167">
        <f>$N1459/10</f>
        <v>1.3</v>
      </c>
      <c r="CJ1459" s="167">
        <f>$N1459/10</f>
        <v>1.3</v>
      </c>
      <c r="CK1459" s="167">
        <f>$N1459/10</f>
        <v>1.3</v>
      </c>
      <c r="CL1459" s="167">
        <f>$N1459/10</f>
        <v>1.3</v>
      </c>
      <c r="CM1459" s="167">
        <f>$N1459/10</f>
        <v>1.3</v>
      </c>
      <c r="CN1459" s="167">
        <f>$N1459/10</f>
        <v>1.3</v>
      </c>
      <c r="CO1459" s="167">
        <v>0</v>
      </c>
      <c r="CP1459" s="167">
        <v>0</v>
      </c>
      <c r="CQ1459" s="167">
        <v>0</v>
      </c>
      <c r="CR1459" s="167">
        <v>0</v>
      </c>
      <c r="CS1459" s="167">
        <v>0</v>
      </c>
      <c r="CT1459" s="167">
        <v>0</v>
      </c>
      <c r="CU1459" s="167">
        <v>0</v>
      </c>
      <c r="CV1459" s="167">
        <v>0</v>
      </c>
      <c r="CW1459" s="167">
        <v>0</v>
      </c>
      <c r="CX1459" s="167">
        <f>SUM(CD1459:CH1459)</f>
        <v>5.2</v>
      </c>
      <c r="CY1459" s="167">
        <f>SUM(CD1459:CM1459)</f>
        <v>11.700000000000001</v>
      </c>
    </row>
    <row r="1460" spans="1:103" ht="12.75" customHeight="1" x14ac:dyDescent="0.2">
      <c r="A1460" s="81">
        <v>6905</v>
      </c>
      <c r="B1460" s="165" t="s">
        <v>1902</v>
      </c>
      <c r="C1460" s="165" t="s">
        <v>3593</v>
      </c>
      <c r="E1460" s="165" t="s">
        <v>3594</v>
      </c>
      <c r="F1460" s="165" t="s">
        <v>3535</v>
      </c>
      <c r="G1460" s="81">
        <v>525428</v>
      </c>
      <c r="H1460" s="81">
        <v>174978</v>
      </c>
      <c r="I1460" s="165" t="s">
        <v>251</v>
      </c>
      <c r="L1460" s="166">
        <v>0</v>
      </c>
      <c r="M1460" s="166">
        <v>33</v>
      </c>
      <c r="N1460" s="166">
        <v>33</v>
      </c>
      <c r="O1460" s="166">
        <v>252</v>
      </c>
      <c r="P1460" s="166">
        <v>252</v>
      </c>
      <c r="Q1460" s="81" t="s">
        <v>155</v>
      </c>
      <c r="R1460" s="165" t="s">
        <v>1905</v>
      </c>
      <c r="S1460" s="81" t="s">
        <v>1906</v>
      </c>
      <c r="W1460" s="81" t="s">
        <v>114</v>
      </c>
      <c r="Y1460" s="81" t="s">
        <v>115</v>
      </c>
      <c r="Z1460" s="81" t="s">
        <v>116</v>
      </c>
      <c r="AA1460" s="81" t="s">
        <v>116</v>
      </c>
      <c r="AB1460" s="81" t="s">
        <v>117</v>
      </c>
      <c r="AC1460" s="166">
        <v>0</v>
      </c>
      <c r="AG1460" s="81" t="s">
        <v>74</v>
      </c>
      <c r="AH1460" s="81" t="s">
        <v>990</v>
      </c>
      <c r="AJ1460" s="81">
        <v>17320057</v>
      </c>
      <c r="AK1460" s="166">
        <v>0</v>
      </c>
      <c r="AM1460" s="166">
        <v>0</v>
      </c>
      <c r="AO1460" s="166">
        <v>0</v>
      </c>
      <c r="AP1460" s="166">
        <v>0</v>
      </c>
      <c r="AQ1460" s="166">
        <v>0</v>
      </c>
      <c r="AR1460" s="166">
        <v>0</v>
      </c>
      <c r="AS1460" s="166">
        <v>0</v>
      </c>
      <c r="AT1460" s="166">
        <v>0</v>
      </c>
      <c r="AU1460" s="166">
        <v>33</v>
      </c>
      <c r="AV1460" s="166">
        <v>0</v>
      </c>
      <c r="AW1460" s="166">
        <v>0</v>
      </c>
      <c r="AX1460" s="166">
        <v>0</v>
      </c>
      <c r="AY1460" s="166">
        <v>0</v>
      </c>
      <c r="AZ1460" s="166">
        <v>0</v>
      </c>
      <c r="BA1460" s="166">
        <v>0</v>
      </c>
      <c r="BB1460" s="166">
        <v>33</v>
      </c>
      <c r="BC1460" s="166">
        <v>0</v>
      </c>
      <c r="BD1460" s="166">
        <v>0</v>
      </c>
      <c r="BE1460" s="166">
        <v>0</v>
      </c>
      <c r="BF1460" s="166">
        <v>0</v>
      </c>
      <c r="BG1460" s="166">
        <v>0</v>
      </c>
      <c r="BH1460" s="166">
        <v>0</v>
      </c>
      <c r="BI1460" s="166">
        <v>0</v>
      </c>
      <c r="BJ1460" s="166">
        <v>0</v>
      </c>
      <c r="BK1460" s="166">
        <v>0</v>
      </c>
      <c r="BL1460" s="166">
        <v>0</v>
      </c>
      <c r="BM1460" s="166">
        <v>0</v>
      </c>
      <c r="BN1460" s="166">
        <v>0</v>
      </c>
      <c r="BO1460" s="166">
        <v>0</v>
      </c>
      <c r="BP1460" s="166">
        <v>0</v>
      </c>
      <c r="BQ1460" s="81" t="s">
        <v>1758</v>
      </c>
      <c r="BT1460" s="81" t="s">
        <v>155</v>
      </c>
      <c r="BZ1460" s="81" t="s">
        <v>155</v>
      </c>
      <c r="CA1460" s="81">
        <v>13</v>
      </c>
      <c r="CC1460" s="167">
        <v>0</v>
      </c>
      <c r="CD1460" s="167">
        <v>0</v>
      </c>
      <c r="CE1460" s="167">
        <f>$N1460/15</f>
        <v>2.2000000000000002</v>
      </c>
      <c r="CF1460" s="167">
        <f>$N1460/15</f>
        <v>2.2000000000000002</v>
      </c>
      <c r="CG1460" s="167">
        <f>$N1460/15</f>
        <v>2.2000000000000002</v>
      </c>
      <c r="CH1460" s="167">
        <f>$N1460/15</f>
        <v>2.2000000000000002</v>
      </c>
      <c r="CI1460" s="167">
        <f>$N1460/15</f>
        <v>2.2000000000000002</v>
      </c>
      <c r="CJ1460" s="167">
        <f>$N1460/15</f>
        <v>2.2000000000000002</v>
      </c>
      <c r="CK1460" s="167">
        <f>$N1460/15</f>
        <v>2.2000000000000002</v>
      </c>
      <c r="CL1460" s="167">
        <f>$N1460/15</f>
        <v>2.2000000000000002</v>
      </c>
      <c r="CM1460" s="167">
        <f>$N1460/15</f>
        <v>2.2000000000000002</v>
      </c>
      <c r="CN1460" s="167">
        <f>$N1460/15</f>
        <v>2.2000000000000002</v>
      </c>
      <c r="CO1460" s="167">
        <f>$N1460/15</f>
        <v>2.2000000000000002</v>
      </c>
      <c r="CP1460" s="167">
        <f>$N1460/15</f>
        <v>2.2000000000000002</v>
      </c>
      <c r="CQ1460" s="167">
        <f>$N1460/15</f>
        <v>2.2000000000000002</v>
      </c>
      <c r="CR1460" s="167">
        <f>$N1460/15</f>
        <v>2.2000000000000002</v>
      </c>
      <c r="CS1460" s="167">
        <f>$N1460/15</f>
        <v>2.2000000000000002</v>
      </c>
      <c r="CT1460" s="167">
        <v>0</v>
      </c>
      <c r="CU1460" s="167">
        <v>0</v>
      </c>
      <c r="CV1460" s="167">
        <v>0</v>
      </c>
      <c r="CW1460" s="167">
        <v>0</v>
      </c>
      <c r="CX1460" s="167">
        <f>SUM(CD1460:CH1460)</f>
        <v>8.8000000000000007</v>
      </c>
      <c r="CY1460" s="167">
        <f>SUM(CD1460:CM1460)</f>
        <v>19.799999999999997</v>
      </c>
    </row>
    <row r="1461" spans="1:103" ht="12.75" customHeight="1" x14ac:dyDescent="0.2">
      <c r="A1461" s="81">
        <v>6905</v>
      </c>
      <c r="B1461" s="165" t="s">
        <v>1902</v>
      </c>
      <c r="C1461" s="165" t="s">
        <v>3593</v>
      </c>
      <c r="E1461" s="165" t="s">
        <v>3594</v>
      </c>
      <c r="F1461" s="165" t="s">
        <v>1556</v>
      </c>
      <c r="G1461" s="81">
        <v>525428</v>
      </c>
      <c r="H1461" s="81">
        <v>174978</v>
      </c>
      <c r="I1461" s="165" t="s">
        <v>251</v>
      </c>
      <c r="L1461" s="166">
        <v>0</v>
      </c>
      <c r="M1461" s="166">
        <v>169</v>
      </c>
      <c r="N1461" s="166">
        <v>169</v>
      </c>
      <c r="O1461" s="166">
        <v>252</v>
      </c>
      <c r="P1461" s="166">
        <v>252</v>
      </c>
      <c r="Q1461" s="81" t="s">
        <v>155</v>
      </c>
      <c r="R1461" s="165" t="s">
        <v>1905</v>
      </c>
      <c r="S1461" s="81" t="s">
        <v>1906</v>
      </c>
      <c r="W1461" s="81" t="s">
        <v>114</v>
      </c>
      <c r="Y1461" s="81" t="s">
        <v>115</v>
      </c>
      <c r="Z1461" s="81" t="s">
        <v>116</v>
      </c>
      <c r="AA1461" s="81" t="s">
        <v>116</v>
      </c>
      <c r="AB1461" s="81" t="s">
        <v>117</v>
      </c>
      <c r="AC1461" s="166">
        <v>0</v>
      </c>
      <c r="AG1461" s="81" t="s">
        <v>238</v>
      </c>
      <c r="AH1461" s="81" t="s">
        <v>118</v>
      </c>
      <c r="AJ1461" s="81">
        <v>17320057</v>
      </c>
      <c r="AK1461" s="166">
        <v>0</v>
      </c>
      <c r="AM1461" s="166">
        <v>0</v>
      </c>
      <c r="AO1461" s="166">
        <v>0</v>
      </c>
      <c r="AP1461" s="166">
        <v>0</v>
      </c>
      <c r="AQ1461" s="166">
        <v>0</v>
      </c>
      <c r="AR1461" s="166">
        <v>0</v>
      </c>
      <c r="AS1461" s="166">
        <v>0</v>
      </c>
      <c r="AT1461" s="166">
        <v>0</v>
      </c>
      <c r="AU1461" s="166">
        <v>169</v>
      </c>
      <c r="AV1461" s="166">
        <v>0</v>
      </c>
      <c r="AW1461" s="166">
        <v>0</v>
      </c>
      <c r="AX1461" s="166">
        <v>0</v>
      </c>
      <c r="AY1461" s="166">
        <v>0</v>
      </c>
      <c r="AZ1461" s="166">
        <v>0</v>
      </c>
      <c r="BA1461" s="166">
        <v>0</v>
      </c>
      <c r="BB1461" s="166">
        <v>169</v>
      </c>
      <c r="BC1461" s="166">
        <v>0</v>
      </c>
      <c r="BD1461" s="166">
        <v>0</v>
      </c>
      <c r="BE1461" s="166">
        <v>0</v>
      </c>
      <c r="BF1461" s="166">
        <v>0</v>
      </c>
      <c r="BG1461" s="166">
        <v>0</v>
      </c>
      <c r="BH1461" s="166">
        <v>0</v>
      </c>
      <c r="BI1461" s="166">
        <v>0</v>
      </c>
      <c r="BJ1461" s="166">
        <v>0</v>
      </c>
      <c r="BK1461" s="166">
        <v>0</v>
      </c>
      <c r="BL1461" s="166">
        <v>0</v>
      </c>
      <c r="BM1461" s="166">
        <v>0</v>
      </c>
      <c r="BN1461" s="166">
        <v>0</v>
      </c>
      <c r="BO1461" s="166">
        <v>0</v>
      </c>
      <c r="BP1461" s="166">
        <v>0</v>
      </c>
      <c r="BQ1461" s="81" t="s">
        <v>1758</v>
      </c>
      <c r="BT1461" s="81" t="s">
        <v>155</v>
      </c>
      <c r="BZ1461" s="81" t="s">
        <v>155</v>
      </c>
      <c r="CA1461" s="81">
        <v>13</v>
      </c>
      <c r="CC1461" s="167">
        <v>0</v>
      </c>
      <c r="CD1461" s="167">
        <v>0</v>
      </c>
      <c r="CE1461" s="167">
        <f>$N1461/15</f>
        <v>11.266666666666667</v>
      </c>
      <c r="CF1461" s="167">
        <f>$N1461/15</f>
        <v>11.266666666666667</v>
      </c>
      <c r="CG1461" s="167">
        <f>$N1461/15</f>
        <v>11.266666666666667</v>
      </c>
      <c r="CH1461" s="167">
        <f>$N1461/15</f>
        <v>11.266666666666667</v>
      </c>
      <c r="CI1461" s="167">
        <f>$N1461/15</f>
        <v>11.266666666666667</v>
      </c>
      <c r="CJ1461" s="167">
        <f>$N1461/15</f>
        <v>11.266666666666667</v>
      </c>
      <c r="CK1461" s="167">
        <f>$N1461/15</f>
        <v>11.266666666666667</v>
      </c>
      <c r="CL1461" s="167">
        <f>$N1461/15</f>
        <v>11.266666666666667</v>
      </c>
      <c r="CM1461" s="167">
        <f>$N1461/15</f>
        <v>11.266666666666667</v>
      </c>
      <c r="CN1461" s="167">
        <f>$N1461/15</f>
        <v>11.266666666666667</v>
      </c>
      <c r="CO1461" s="167">
        <f>$N1461/15</f>
        <v>11.266666666666667</v>
      </c>
      <c r="CP1461" s="167">
        <f>$N1461/15</f>
        <v>11.266666666666667</v>
      </c>
      <c r="CQ1461" s="167">
        <f>$N1461/15</f>
        <v>11.266666666666667</v>
      </c>
      <c r="CR1461" s="167">
        <f>$N1461/15</f>
        <v>11.266666666666667</v>
      </c>
      <c r="CS1461" s="167">
        <f>$N1461/15</f>
        <v>11.266666666666667</v>
      </c>
      <c r="CT1461" s="167">
        <v>0</v>
      </c>
      <c r="CU1461" s="167">
        <v>0</v>
      </c>
      <c r="CV1461" s="167">
        <v>0</v>
      </c>
      <c r="CW1461" s="167">
        <v>0</v>
      </c>
      <c r="CX1461" s="167">
        <f>SUM(CD1461:CH1461)</f>
        <v>45.06666666666667</v>
      </c>
      <c r="CY1461" s="167">
        <f>SUM(CD1461:CM1461)</f>
        <v>101.4</v>
      </c>
    </row>
    <row r="1462" spans="1:103" ht="12.75" customHeight="1" x14ac:dyDescent="0.2">
      <c r="A1462" s="81">
        <v>6905</v>
      </c>
      <c r="B1462" s="165" t="s">
        <v>1902</v>
      </c>
      <c r="C1462" s="165" t="s">
        <v>3593</v>
      </c>
      <c r="E1462" s="165" t="s">
        <v>3594</v>
      </c>
      <c r="F1462" s="165" t="s">
        <v>3536</v>
      </c>
      <c r="G1462" s="81">
        <v>525428</v>
      </c>
      <c r="H1462" s="81">
        <v>174978</v>
      </c>
      <c r="I1462" s="165" t="s">
        <v>251</v>
      </c>
      <c r="L1462" s="166">
        <v>0</v>
      </c>
      <c r="M1462" s="166">
        <v>50</v>
      </c>
      <c r="N1462" s="166">
        <v>50</v>
      </c>
      <c r="O1462" s="166">
        <v>252</v>
      </c>
      <c r="P1462" s="166">
        <v>252</v>
      </c>
      <c r="Q1462" s="81" t="s">
        <v>155</v>
      </c>
      <c r="R1462" s="165" t="s">
        <v>1905</v>
      </c>
      <c r="S1462" s="81" t="s">
        <v>1906</v>
      </c>
      <c r="W1462" s="81" t="s">
        <v>114</v>
      </c>
      <c r="Y1462" s="81" t="s">
        <v>115</v>
      </c>
      <c r="Z1462" s="81" t="s">
        <v>116</v>
      </c>
      <c r="AA1462" s="81" t="s">
        <v>116</v>
      </c>
      <c r="AB1462" s="81" t="s">
        <v>117</v>
      </c>
      <c r="AC1462" s="166">
        <v>0</v>
      </c>
      <c r="AG1462" s="81" t="s">
        <v>154</v>
      </c>
      <c r="AH1462" s="81" t="s">
        <v>276</v>
      </c>
      <c r="AJ1462" s="81">
        <v>17320057</v>
      </c>
      <c r="AK1462" s="166">
        <v>0</v>
      </c>
      <c r="AM1462" s="166">
        <v>0</v>
      </c>
      <c r="AO1462" s="166">
        <v>0</v>
      </c>
      <c r="AP1462" s="166">
        <v>0</v>
      </c>
      <c r="AQ1462" s="166">
        <v>0</v>
      </c>
      <c r="AR1462" s="166">
        <v>0</v>
      </c>
      <c r="AS1462" s="166">
        <v>0</v>
      </c>
      <c r="AT1462" s="166">
        <v>0</v>
      </c>
      <c r="AU1462" s="166">
        <v>50</v>
      </c>
      <c r="AV1462" s="166">
        <v>0</v>
      </c>
      <c r="AW1462" s="166">
        <v>0</v>
      </c>
      <c r="AX1462" s="166">
        <v>0</v>
      </c>
      <c r="AY1462" s="166">
        <v>0</v>
      </c>
      <c r="AZ1462" s="166">
        <v>0</v>
      </c>
      <c r="BA1462" s="166">
        <v>0</v>
      </c>
      <c r="BB1462" s="166">
        <v>50</v>
      </c>
      <c r="BC1462" s="166">
        <v>0</v>
      </c>
      <c r="BD1462" s="166">
        <v>0</v>
      </c>
      <c r="BE1462" s="166">
        <v>0</v>
      </c>
      <c r="BF1462" s="166">
        <v>0</v>
      </c>
      <c r="BG1462" s="166">
        <v>0</v>
      </c>
      <c r="BH1462" s="166">
        <v>0</v>
      </c>
      <c r="BI1462" s="166">
        <v>0</v>
      </c>
      <c r="BJ1462" s="166">
        <v>0</v>
      </c>
      <c r="BK1462" s="166">
        <v>0</v>
      </c>
      <c r="BL1462" s="166">
        <v>0</v>
      </c>
      <c r="BM1462" s="166">
        <v>0</v>
      </c>
      <c r="BN1462" s="166">
        <v>0</v>
      </c>
      <c r="BO1462" s="166">
        <v>0</v>
      </c>
      <c r="BP1462" s="166">
        <v>0</v>
      </c>
      <c r="BQ1462" s="81" t="s">
        <v>1758</v>
      </c>
      <c r="BT1462" s="81" t="s">
        <v>155</v>
      </c>
      <c r="BZ1462" s="81" t="s">
        <v>155</v>
      </c>
      <c r="CA1462" s="81">
        <v>13</v>
      </c>
      <c r="CC1462" s="167">
        <v>0</v>
      </c>
      <c r="CD1462" s="167">
        <v>0</v>
      </c>
      <c r="CE1462" s="167">
        <f>$N1462/15</f>
        <v>3.3333333333333335</v>
      </c>
      <c r="CF1462" s="167">
        <f>$N1462/15</f>
        <v>3.3333333333333335</v>
      </c>
      <c r="CG1462" s="167">
        <f>$N1462/15</f>
        <v>3.3333333333333335</v>
      </c>
      <c r="CH1462" s="167">
        <f>$N1462/15</f>
        <v>3.3333333333333335</v>
      </c>
      <c r="CI1462" s="167">
        <f>$N1462/15</f>
        <v>3.3333333333333335</v>
      </c>
      <c r="CJ1462" s="167">
        <f>$N1462/15</f>
        <v>3.3333333333333335</v>
      </c>
      <c r="CK1462" s="167">
        <f>$N1462/15</f>
        <v>3.3333333333333335</v>
      </c>
      <c r="CL1462" s="167">
        <f>$N1462/15</f>
        <v>3.3333333333333335</v>
      </c>
      <c r="CM1462" s="167">
        <f>$N1462/15</f>
        <v>3.3333333333333335</v>
      </c>
      <c r="CN1462" s="167">
        <f>$N1462/15</f>
        <v>3.3333333333333335</v>
      </c>
      <c r="CO1462" s="167">
        <f>$N1462/15</f>
        <v>3.3333333333333335</v>
      </c>
      <c r="CP1462" s="167">
        <f>$N1462/15</f>
        <v>3.3333333333333335</v>
      </c>
      <c r="CQ1462" s="167">
        <f>$N1462/15</f>
        <v>3.3333333333333335</v>
      </c>
      <c r="CR1462" s="167">
        <f>$N1462/15</f>
        <v>3.3333333333333335</v>
      </c>
      <c r="CS1462" s="167">
        <f>$N1462/15</f>
        <v>3.3333333333333335</v>
      </c>
      <c r="CT1462" s="167">
        <v>0</v>
      </c>
      <c r="CU1462" s="167">
        <v>0</v>
      </c>
      <c r="CV1462" s="167">
        <v>0</v>
      </c>
      <c r="CW1462" s="167">
        <v>0</v>
      </c>
      <c r="CX1462" s="167">
        <f>SUM(CD1462:CH1462)</f>
        <v>13.333333333333334</v>
      </c>
      <c r="CY1462" s="167">
        <f>SUM(CD1462:CM1462)</f>
        <v>29.999999999999996</v>
      </c>
    </row>
    <row r="1463" spans="1:103" ht="12.75" customHeight="1" x14ac:dyDescent="0.2">
      <c r="A1463" s="81">
        <v>6906</v>
      </c>
      <c r="B1463" s="165" t="s">
        <v>1902</v>
      </c>
      <c r="C1463" s="165" t="s">
        <v>3595</v>
      </c>
      <c r="E1463" s="165" t="s">
        <v>3596</v>
      </c>
      <c r="F1463" s="165" t="s">
        <v>3535</v>
      </c>
      <c r="G1463" s="81">
        <v>525504</v>
      </c>
      <c r="H1463" s="81">
        <v>174901</v>
      </c>
      <c r="I1463" s="165" t="s">
        <v>251</v>
      </c>
      <c r="L1463" s="166">
        <v>0</v>
      </c>
      <c r="M1463" s="166">
        <v>1</v>
      </c>
      <c r="N1463" s="166">
        <v>1</v>
      </c>
      <c r="O1463" s="166">
        <v>10</v>
      </c>
      <c r="P1463" s="166">
        <v>10</v>
      </c>
      <c r="Q1463" s="81" t="s">
        <v>155</v>
      </c>
      <c r="R1463" s="165" t="s">
        <v>1905</v>
      </c>
      <c r="S1463" s="81" t="s">
        <v>1906</v>
      </c>
      <c r="W1463" s="81" t="s">
        <v>114</v>
      </c>
      <c r="Y1463" s="81" t="s">
        <v>115</v>
      </c>
      <c r="Z1463" s="81" t="s">
        <v>116</v>
      </c>
      <c r="AA1463" s="81" t="s">
        <v>117</v>
      </c>
      <c r="AB1463" s="81" t="s">
        <v>218</v>
      </c>
      <c r="AC1463" s="166">
        <v>0</v>
      </c>
      <c r="AG1463" s="81" t="s">
        <v>74</v>
      </c>
      <c r="AH1463" s="81" t="s">
        <v>990</v>
      </c>
      <c r="AJ1463" s="81">
        <v>17320063</v>
      </c>
      <c r="AK1463" s="166">
        <v>0</v>
      </c>
      <c r="AM1463" s="166">
        <v>0</v>
      </c>
      <c r="AO1463" s="166">
        <v>0</v>
      </c>
      <c r="AP1463" s="166">
        <v>0</v>
      </c>
      <c r="AQ1463" s="166">
        <v>0</v>
      </c>
      <c r="AR1463" s="166">
        <v>0</v>
      </c>
      <c r="AS1463" s="166">
        <v>0</v>
      </c>
      <c r="AT1463" s="166">
        <v>0</v>
      </c>
      <c r="AU1463" s="166">
        <v>1</v>
      </c>
      <c r="AV1463" s="166">
        <v>0</v>
      </c>
      <c r="AW1463" s="166">
        <v>0</v>
      </c>
      <c r="AX1463" s="166">
        <v>0</v>
      </c>
      <c r="AY1463" s="166">
        <v>0</v>
      </c>
      <c r="AZ1463" s="166">
        <v>0</v>
      </c>
      <c r="BA1463" s="166">
        <v>0</v>
      </c>
      <c r="BB1463" s="166">
        <v>1</v>
      </c>
      <c r="BC1463" s="166">
        <v>0</v>
      </c>
      <c r="BD1463" s="166">
        <v>0</v>
      </c>
      <c r="BE1463" s="166">
        <v>0</v>
      </c>
      <c r="BF1463" s="166">
        <v>0</v>
      </c>
      <c r="BG1463" s="166">
        <v>0</v>
      </c>
      <c r="BH1463" s="166">
        <v>0</v>
      </c>
      <c r="BI1463" s="166">
        <v>0</v>
      </c>
      <c r="BJ1463" s="166">
        <v>0</v>
      </c>
      <c r="BK1463" s="166">
        <v>0</v>
      </c>
      <c r="BL1463" s="166">
        <v>0</v>
      </c>
      <c r="BM1463" s="166">
        <v>0</v>
      </c>
      <c r="BN1463" s="166">
        <v>0</v>
      </c>
      <c r="BO1463" s="166">
        <v>0</v>
      </c>
      <c r="BP1463" s="166">
        <v>0</v>
      </c>
      <c r="BQ1463" s="81" t="s">
        <v>1758</v>
      </c>
      <c r="BT1463" s="81" t="s">
        <v>155</v>
      </c>
      <c r="BZ1463" s="81" t="s">
        <v>155</v>
      </c>
      <c r="CA1463" s="81">
        <v>13</v>
      </c>
      <c r="CC1463" s="167">
        <v>0</v>
      </c>
      <c r="CD1463" s="167">
        <v>0</v>
      </c>
      <c r="CE1463" s="167">
        <f>$N1463/15</f>
        <v>6.6666666666666666E-2</v>
      </c>
      <c r="CF1463" s="167">
        <f>$N1463/15</f>
        <v>6.6666666666666666E-2</v>
      </c>
      <c r="CG1463" s="167">
        <f>$N1463/15</f>
        <v>6.6666666666666666E-2</v>
      </c>
      <c r="CH1463" s="167">
        <f>$N1463/15</f>
        <v>6.6666666666666666E-2</v>
      </c>
      <c r="CI1463" s="167">
        <f>$N1463/15</f>
        <v>6.6666666666666666E-2</v>
      </c>
      <c r="CJ1463" s="167">
        <f>$N1463/15</f>
        <v>6.6666666666666666E-2</v>
      </c>
      <c r="CK1463" s="167">
        <f>$N1463/15</f>
        <v>6.6666666666666666E-2</v>
      </c>
      <c r="CL1463" s="167">
        <f>$N1463/15</f>
        <v>6.6666666666666666E-2</v>
      </c>
      <c r="CM1463" s="167">
        <f>$N1463/15</f>
        <v>6.6666666666666666E-2</v>
      </c>
      <c r="CN1463" s="167">
        <f>$N1463/15</f>
        <v>6.6666666666666666E-2</v>
      </c>
      <c r="CO1463" s="167">
        <f>$N1463/15</f>
        <v>6.6666666666666666E-2</v>
      </c>
      <c r="CP1463" s="167">
        <f>$N1463/15</f>
        <v>6.6666666666666666E-2</v>
      </c>
      <c r="CQ1463" s="167">
        <f>$N1463/15</f>
        <v>6.6666666666666666E-2</v>
      </c>
      <c r="CR1463" s="167">
        <f>$N1463/15</f>
        <v>6.6666666666666666E-2</v>
      </c>
      <c r="CS1463" s="167">
        <f>$N1463/15</f>
        <v>6.6666666666666666E-2</v>
      </c>
      <c r="CT1463" s="167">
        <v>0</v>
      </c>
      <c r="CU1463" s="167">
        <v>0</v>
      </c>
      <c r="CV1463" s="167">
        <v>0</v>
      </c>
      <c r="CW1463" s="167">
        <v>0</v>
      </c>
      <c r="CX1463" s="167">
        <f>SUM(CD1463:CH1463)</f>
        <v>0.26666666666666666</v>
      </c>
      <c r="CY1463" s="167">
        <f>SUM(CD1463:CM1463)</f>
        <v>0.6</v>
      </c>
    </row>
    <row r="1464" spans="1:103" ht="12.75" customHeight="1" x14ac:dyDescent="0.2">
      <c r="A1464" s="81">
        <v>6906</v>
      </c>
      <c r="B1464" s="165" t="s">
        <v>1902</v>
      </c>
      <c r="C1464" s="165" t="s">
        <v>3595</v>
      </c>
      <c r="E1464" s="165" t="s">
        <v>3596</v>
      </c>
      <c r="F1464" s="165" t="s">
        <v>1556</v>
      </c>
      <c r="G1464" s="81">
        <v>525504</v>
      </c>
      <c r="H1464" s="81">
        <v>174901</v>
      </c>
      <c r="I1464" s="165" t="s">
        <v>251</v>
      </c>
      <c r="L1464" s="166">
        <v>0</v>
      </c>
      <c r="M1464" s="166">
        <v>7</v>
      </c>
      <c r="N1464" s="166">
        <v>7</v>
      </c>
      <c r="O1464" s="166">
        <v>10</v>
      </c>
      <c r="P1464" s="166">
        <v>10</v>
      </c>
      <c r="Q1464" s="81" t="s">
        <v>155</v>
      </c>
      <c r="R1464" s="165" t="s">
        <v>1905</v>
      </c>
      <c r="S1464" s="81" t="s">
        <v>1906</v>
      </c>
      <c r="W1464" s="81" t="s">
        <v>114</v>
      </c>
      <c r="Y1464" s="81" t="s">
        <v>115</v>
      </c>
      <c r="Z1464" s="81" t="s">
        <v>116</v>
      </c>
      <c r="AA1464" s="81" t="s">
        <v>117</v>
      </c>
      <c r="AB1464" s="81" t="s">
        <v>218</v>
      </c>
      <c r="AC1464" s="166">
        <v>0</v>
      </c>
      <c r="AG1464" s="81" t="s">
        <v>238</v>
      </c>
      <c r="AH1464" s="81" t="s">
        <v>118</v>
      </c>
      <c r="AJ1464" s="81">
        <v>17320063</v>
      </c>
      <c r="AK1464" s="166">
        <v>0</v>
      </c>
      <c r="AM1464" s="166">
        <v>0</v>
      </c>
      <c r="AO1464" s="166">
        <v>0</v>
      </c>
      <c r="AP1464" s="166">
        <v>0</v>
      </c>
      <c r="AQ1464" s="166">
        <v>0</v>
      </c>
      <c r="AR1464" s="166">
        <v>0</v>
      </c>
      <c r="AS1464" s="166">
        <v>0</v>
      </c>
      <c r="AT1464" s="166">
        <v>0</v>
      </c>
      <c r="AU1464" s="166">
        <v>7</v>
      </c>
      <c r="AV1464" s="166">
        <v>0</v>
      </c>
      <c r="AW1464" s="166">
        <v>0</v>
      </c>
      <c r="AX1464" s="166">
        <v>0</v>
      </c>
      <c r="AY1464" s="166">
        <v>0</v>
      </c>
      <c r="AZ1464" s="166">
        <v>0</v>
      </c>
      <c r="BA1464" s="166">
        <v>0</v>
      </c>
      <c r="BB1464" s="166">
        <v>7</v>
      </c>
      <c r="BC1464" s="166">
        <v>0</v>
      </c>
      <c r="BD1464" s="166">
        <v>0</v>
      </c>
      <c r="BE1464" s="166">
        <v>0</v>
      </c>
      <c r="BF1464" s="166">
        <v>0</v>
      </c>
      <c r="BG1464" s="166">
        <v>0</v>
      </c>
      <c r="BH1464" s="166">
        <v>0</v>
      </c>
      <c r="BI1464" s="166">
        <v>0</v>
      </c>
      <c r="BJ1464" s="166">
        <v>0</v>
      </c>
      <c r="BK1464" s="166">
        <v>0</v>
      </c>
      <c r="BL1464" s="166">
        <v>0</v>
      </c>
      <c r="BM1464" s="166">
        <v>0</v>
      </c>
      <c r="BN1464" s="166">
        <v>0</v>
      </c>
      <c r="BO1464" s="166">
        <v>0</v>
      </c>
      <c r="BP1464" s="166">
        <v>0</v>
      </c>
      <c r="BQ1464" s="81" t="s">
        <v>1758</v>
      </c>
      <c r="BT1464" s="81" t="s">
        <v>155</v>
      </c>
      <c r="BZ1464" s="81" t="s">
        <v>155</v>
      </c>
      <c r="CA1464" s="81">
        <v>13</v>
      </c>
      <c r="CC1464" s="167">
        <v>0</v>
      </c>
      <c r="CD1464" s="167">
        <v>0</v>
      </c>
      <c r="CE1464" s="167">
        <f>$N1464/15</f>
        <v>0.46666666666666667</v>
      </c>
      <c r="CF1464" s="167">
        <f>$N1464/15</f>
        <v>0.46666666666666667</v>
      </c>
      <c r="CG1464" s="167">
        <f>$N1464/15</f>
        <v>0.46666666666666667</v>
      </c>
      <c r="CH1464" s="167">
        <f>$N1464/15</f>
        <v>0.46666666666666667</v>
      </c>
      <c r="CI1464" s="167">
        <f>$N1464/15</f>
        <v>0.46666666666666667</v>
      </c>
      <c r="CJ1464" s="167">
        <f>$N1464/15</f>
        <v>0.46666666666666667</v>
      </c>
      <c r="CK1464" s="167">
        <f>$N1464/15</f>
        <v>0.46666666666666667</v>
      </c>
      <c r="CL1464" s="167">
        <f>$N1464/15</f>
        <v>0.46666666666666667</v>
      </c>
      <c r="CM1464" s="167">
        <f>$N1464/15</f>
        <v>0.46666666666666667</v>
      </c>
      <c r="CN1464" s="167">
        <f>$N1464/15</f>
        <v>0.46666666666666667</v>
      </c>
      <c r="CO1464" s="167">
        <f>$N1464/15</f>
        <v>0.46666666666666667</v>
      </c>
      <c r="CP1464" s="167">
        <f>$N1464/15</f>
        <v>0.46666666666666667</v>
      </c>
      <c r="CQ1464" s="167">
        <f>$N1464/15</f>
        <v>0.46666666666666667</v>
      </c>
      <c r="CR1464" s="167">
        <f>$N1464/15</f>
        <v>0.46666666666666667</v>
      </c>
      <c r="CS1464" s="167">
        <f>$N1464/15</f>
        <v>0.46666666666666667</v>
      </c>
      <c r="CT1464" s="167">
        <v>0</v>
      </c>
      <c r="CU1464" s="167">
        <v>0</v>
      </c>
      <c r="CV1464" s="167">
        <v>0</v>
      </c>
      <c r="CW1464" s="167">
        <v>0</v>
      </c>
      <c r="CX1464" s="167">
        <f>SUM(CD1464:CH1464)</f>
        <v>1.8666666666666667</v>
      </c>
      <c r="CY1464" s="167">
        <f>SUM(CD1464:CM1464)</f>
        <v>4.2</v>
      </c>
    </row>
    <row r="1465" spans="1:103" ht="12.75" customHeight="1" x14ac:dyDescent="0.2">
      <c r="A1465" s="81">
        <v>6906</v>
      </c>
      <c r="B1465" s="165" t="s">
        <v>1902</v>
      </c>
      <c r="C1465" s="165" t="s">
        <v>3595</v>
      </c>
      <c r="E1465" s="165" t="s">
        <v>3596</v>
      </c>
      <c r="F1465" s="165" t="s">
        <v>3536</v>
      </c>
      <c r="G1465" s="81">
        <v>525504</v>
      </c>
      <c r="H1465" s="81">
        <v>174901</v>
      </c>
      <c r="I1465" s="165" t="s">
        <v>251</v>
      </c>
      <c r="L1465" s="166">
        <v>0</v>
      </c>
      <c r="M1465" s="166">
        <v>2</v>
      </c>
      <c r="N1465" s="166">
        <v>2</v>
      </c>
      <c r="O1465" s="166">
        <v>10</v>
      </c>
      <c r="P1465" s="166">
        <v>10</v>
      </c>
      <c r="Q1465" s="81" t="s">
        <v>155</v>
      </c>
      <c r="R1465" s="165" t="s">
        <v>1905</v>
      </c>
      <c r="S1465" s="81" t="s">
        <v>1906</v>
      </c>
      <c r="W1465" s="81" t="s">
        <v>114</v>
      </c>
      <c r="Y1465" s="81" t="s">
        <v>115</v>
      </c>
      <c r="Z1465" s="81" t="s">
        <v>116</v>
      </c>
      <c r="AA1465" s="81" t="s">
        <v>117</v>
      </c>
      <c r="AB1465" s="81" t="s">
        <v>218</v>
      </c>
      <c r="AC1465" s="166">
        <v>0</v>
      </c>
      <c r="AG1465" s="81" t="s">
        <v>154</v>
      </c>
      <c r="AH1465" s="81" t="s">
        <v>276</v>
      </c>
      <c r="AJ1465" s="81">
        <v>17320063</v>
      </c>
      <c r="AK1465" s="166">
        <v>0</v>
      </c>
      <c r="AM1465" s="166">
        <v>0</v>
      </c>
      <c r="AO1465" s="166">
        <v>0</v>
      </c>
      <c r="AP1465" s="166">
        <v>0</v>
      </c>
      <c r="AQ1465" s="166">
        <v>0</v>
      </c>
      <c r="AR1465" s="166">
        <v>0</v>
      </c>
      <c r="AS1465" s="166">
        <v>0</v>
      </c>
      <c r="AT1465" s="166">
        <v>0</v>
      </c>
      <c r="AU1465" s="166">
        <v>2</v>
      </c>
      <c r="AV1465" s="166">
        <v>0</v>
      </c>
      <c r="AW1465" s="166">
        <v>0</v>
      </c>
      <c r="AX1465" s="166">
        <v>0</v>
      </c>
      <c r="AY1465" s="166">
        <v>0</v>
      </c>
      <c r="AZ1465" s="166">
        <v>0</v>
      </c>
      <c r="BA1465" s="166">
        <v>0</v>
      </c>
      <c r="BB1465" s="166">
        <v>2</v>
      </c>
      <c r="BC1465" s="166">
        <v>0</v>
      </c>
      <c r="BD1465" s="166">
        <v>0</v>
      </c>
      <c r="BE1465" s="166">
        <v>0</v>
      </c>
      <c r="BF1465" s="166">
        <v>0</v>
      </c>
      <c r="BG1465" s="166">
        <v>0</v>
      </c>
      <c r="BH1465" s="166">
        <v>0</v>
      </c>
      <c r="BI1465" s="166">
        <v>0</v>
      </c>
      <c r="BJ1465" s="166">
        <v>0</v>
      </c>
      <c r="BK1465" s="166">
        <v>0</v>
      </c>
      <c r="BL1465" s="166">
        <v>0</v>
      </c>
      <c r="BM1465" s="166">
        <v>0</v>
      </c>
      <c r="BN1465" s="166">
        <v>0</v>
      </c>
      <c r="BO1465" s="166">
        <v>0</v>
      </c>
      <c r="BP1465" s="166">
        <v>0</v>
      </c>
      <c r="BQ1465" s="81" t="s">
        <v>1758</v>
      </c>
      <c r="BT1465" s="81" t="s">
        <v>155</v>
      </c>
      <c r="BZ1465" s="81" t="s">
        <v>155</v>
      </c>
      <c r="CA1465" s="81">
        <v>13</v>
      </c>
      <c r="CC1465" s="167">
        <v>0</v>
      </c>
      <c r="CD1465" s="167">
        <v>0</v>
      </c>
      <c r="CE1465" s="167">
        <f>$N1465/15</f>
        <v>0.13333333333333333</v>
      </c>
      <c r="CF1465" s="167">
        <f>$N1465/15</f>
        <v>0.13333333333333333</v>
      </c>
      <c r="CG1465" s="167">
        <f>$N1465/15</f>
        <v>0.13333333333333333</v>
      </c>
      <c r="CH1465" s="167">
        <f>$N1465/15</f>
        <v>0.13333333333333333</v>
      </c>
      <c r="CI1465" s="167">
        <f>$N1465/15</f>
        <v>0.13333333333333333</v>
      </c>
      <c r="CJ1465" s="167">
        <f>$N1465/15</f>
        <v>0.13333333333333333</v>
      </c>
      <c r="CK1465" s="167">
        <f>$N1465/15</f>
        <v>0.13333333333333333</v>
      </c>
      <c r="CL1465" s="167">
        <f>$N1465/15</f>
        <v>0.13333333333333333</v>
      </c>
      <c r="CM1465" s="167">
        <f>$N1465/15</f>
        <v>0.13333333333333333</v>
      </c>
      <c r="CN1465" s="167">
        <f>$N1465/15</f>
        <v>0.13333333333333333</v>
      </c>
      <c r="CO1465" s="167">
        <f>$N1465/15</f>
        <v>0.13333333333333333</v>
      </c>
      <c r="CP1465" s="167">
        <f>$N1465/15</f>
        <v>0.13333333333333333</v>
      </c>
      <c r="CQ1465" s="167">
        <f>$N1465/15</f>
        <v>0.13333333333333333</v>
      </c>
      <c r="CR1465" s="167">
        <f>$N1465/15</f>
        <v>0.13333333333333333</v>
      </c>
      <c r="CS1465" s="167">
        <f>$N1465/15</f>
        <v>0.13333333333333333</v>
      </c>
      <c r="CT1465" s="167">
        <v>0</v>
      </c>
      <c r="CU1465" s="167">
        <v>0</v>
      </c>
      <c r="CV1465" s="167">
        <v>0</v>
      </c>
      <c r="CW1465" s="167">
        <v>0</v>
      </c>
      <c r="CX1465" s="167">
        <f>SUM(CD1465:CH1465)</f>
        <v>0.53333333333333333</v>
      </c>
      <c r="CY1465" s="167">
        <f>SUM(CD1465:CM1465)</f>
        <v>1.2</v>
      </c>
    </row>
    <row r="1466" spans="1:103" ht="12.75" customHeight="1" x14ac:dyDescent="0.2">
      <c r="A1466" s="81">
        <v>6907</v>
      </c>
      <c r="B1466" s="165" t="s">
        <v>1902</v>
      </c>
      <c r="C1466" s="165" t="s">
        <v>3597</v>
      </c>
      <c r="E1466" s="165" t="s">
        <v>3953</v>
      </c>
      <c r="F1466" s="165" t="s">
        <v>3535</v>
      </c>
      <c r="G1466" s="81">
        <v>525866</v>
      </c>
      <c r="H1466" s="81">
        <v>175039</v>
      </c>
      <c r="I1466" s="165" t="s">
        <v>251</v>
      </c>
      <c r="L1466" s="166">
        <v>0</v>
      </c>
      <c r="M1466" s="166">
        <v>8</v>
      </c>
      <c r="N1466" s="166">
        <v>8</v>
      </c>
      <c r="O1466" s="166">
        <v>62</v>
      </c>
      <c r="P1466" s="166">
        <v>62</v>
      </c>
      <c r="Q1466" s="81" t="s">
        <v>155</v>
      </c>
      <c r="R1466" s="165" t="s">
        <v>1905</v>
      </c>
      <c r="S1466" s="81" t="s">
        <v>1906</v>
      </c>
      <c r="W1466" s="81" t="s">
        <v>114</v>
      </c>
      <c r="Y1466" s="81" t="s">
        <v>115</v>
      </c>
      <c r="Z1466" s="81" t="s">
        <v>116</v>
      </c>
      <c r="AA1466" s="81" t="s">
        <v>117</v>
      </c>
      <c r="AB1466" s="81" t="s">
        <v>218</v>
      </c>
      <c r="AC1466" s="166">
        <v>0</v>
      </c>
      <c r="AG1466" s="81" t="s">
        <v>74</v>
      </c>
      <c r="AH1466" s="81" t="s">
        <v>990</v>
      </c>
      <c r="AJ1466" s="81">
        <v>17320347</v>
      </c>
      <c r="AK1466" s="166">
        <v>0</v>
      </c>
      <c r="AM1466" s="166">
        <v>0</v>
      </c>
      <c r="AO1466" s="166">
        <v>0</v>
      </c>
      <c r="AP1466" s="166">
        <v>0</v>
      </c>
      <c r="AQ1466" s="166">
        <v>0</v>
      </c>
      <c r="AR1466" s="166">
        <v>0</v>
      </c>
      <c r="AS1466" s="166">
        <v>0</v>
      </c>
      <c r="AT1466" s="166">
        <v>0</v>
      </c>
      <c r="AU1466" s="166">
        <v>8</v>
      </c>
      <c r="AV1466" s="166">
        <v>0</v>
      </c>
      <c r="AW1466" s="166">
        <v>0</v>
      </c>
      <c r="AX1466" s="166">
        <v>0</v>
      </c>
      <c r="AY1466" s="166">
        <v>0</v>
      </c>
      <c r="AZ1466" s="166">
        <v>0</v>
      </c>
      <c r="BA1466" s="166">
        <v>0</v>
      </c>
      <c r="BB1466" s="166">
        <v>8</v>
      </c>
      <c r="BC1466" s="166">
        <v>0</v>
      </c>
      <c r="BD1466" s="166">
        <v>0</v>
      </c>
      <c r="BE1466" s="166">
        <v>0</v>
      </c>
      <c r="BF1466" s="166">
        <v>0</v>
      </c>
      <c r="BG1466" s="166">
        <v>0</v>
      </c>
      <c r="BH1466" s="166">
        <v>0</v>
      </c>
      <c r="BI1466" s="166">
        <v>0</v>
      </c>
      <c r="BJ1466" s="166">
        <v>0</v>
      </c>
      <c r="BK1466" s="166">
        <v>0</v>
      </c>
      <c r="BL1466" s="166">
        <v>0</v>
      </c>
      <c r="BM1466" s="166">
        <v>0</v>
      </c>
      <c r="BN1466" s="166">
        <v>0</v>
      </c>
      <c r="BO1466" s="166">
        <v>0</v>
      </c>
      <c r="BP1466" s="166">
        <v>0</v>
      </c>
      <c r="BQ1466" s="81" t="s">
        <v>1758</v>
      </c>
      <c r="BT1466" s="81" t="s">
        <v>155</v>
      </c>
      <c r="BZ1466" s="81" t="s">
        <v>155</v>
      </c>
      <c r="CA1466" s="81">
        <v>13</v>
      </c>
      <c r="CC1466" s="167">
        <v>0</v>
      </c>
      <c r="CD1466" s="167">
        <v>0</v>
      </c>
      <c r="CE1466" s="167">
        <v>0</v>
      </c>
      <c r="CF1466" s="167">
        <v>0</v>
      </c>
      <c r="CG1466" s="167">
        <v>0</v>
      </c>
      <c r="CH1466" s="167">
        <v>0</v>
      </c>
      <c r="CI1466" s="167">
        <v>0</v>
      </c>
      <c r="CJ1466" s="167">
        <f>$N1466/17</f>
        <v>0.47058823529411764</v>
      </c>
      <c r="CK1466" s="167">
        <f>$N1466/17</f>
        <v>0.47058823529411764</v>
      </c>
      <c r="CL1466" s="167">
        <f>$N1466/17</f>
        <v>0.47058823529411764</v>
      </c>
      <c r="CM1466" s="167">
        <f>$N1466/17</f>
        <v>0.47058823529411764</v>
      </c>
      <c r="CN1466" s="167">
        <f>$N1466/17</f>
        <v>0.47058823529411764</v>
      </c>
      <c r="CO1466" s="167">
        <f>$N1466/17</f>
        <v>0.47058823529411764</v>
      </c>
      <c r="CP1466" s="167">
        <f>$N1466/17</f>
        <v>0.47058823529411764</v>
      </c>
      <c r="CQ1466" s="167">
        <f>$N1466/17</f>
        <v>0.47058823529411764</v>
      </c>
      <c r="CR1466" s="167">
        <f>$N1466/17</f>
        <v>0.47058823529411764</v>
      </c>
      <c r="CS1466" s="167">
        <f>$N1466/17</f>
        <v>0.47058823529411764</v>
      </c>
      <c r="CT1466" s="167">
        <f>$N1466/17</f>
        <v>0.47058823529411764</v>
      </c>
      <c r="CU1466" s="167">
        <f>$N1466/17</f>
        <v>0.47058823529411764</v>
      </c>
      <c r="CV1466" s="167">
        <f>$N1466/17</f>
        <v>0.47058823529411764</v>
      </c>
      <c r="CW1466" s="167">
        <f>$N1466/17</f>
        <v>0.47058823529411764</v>
      </c>
      <c r="CX1466" s="167">
        <f>SUM(CD1466:CH1466)</f>
        <v>0</v>
      </c>
      <c r="CY1466" s="167">
        <f>SUM(CD1466:CM1466)</f>
        <v>1.8823529411764706</v>
      </c>
    </row>
    <row r="1467" spans="1:103" ht="12.75" customHeight="1" x14ac:dyDescent="0.2">
      <c r="A1467" s="81">
        <v>6907</v>
      </c>
      <c r="B1467" s="165" t="s">
        <v>1902</v>
      </c>
      <c r="C1467" s="165" t="s">
        <v>3597</v>
      </c>
      <c r="E1467" s="165" t="s">
        <v>3953</v>
      </c>
      <c r="F1467" s="165" t="s">
        <v>1556</v>
      </c>
      <c r="G1467" s="81">
        <v>525866</v>
      </c>
      <c r="H1467" s="81">
        <v>175039</v>
      </c>
      <c r="I1467" s="165" t="s">
        <v>251</v>
      </c>
      <c r="L1467" s="166">
        <v>0</v>
      </c>
      <c r="M1467" s="166">
        <v>42</v>
      </c>
      <c r="N1467" s="166">
        <v>42</v>
      </c>
      <c r="O1467" s="166">
        <v>62</v>
      </c>
      <c r="P1467" s="166">
        <v>62</v>
      </c>
      <c r="Q1467" s="81" t="s">
        <v>155</v>
      </c>
      <c r="R1467" s="165" t="s">
        <v>1905</v>
      </c>
      <c r="S1467" s="81" t="s">
        <v>1906</v>
      </c>
      <c r="W1467" s="81" t="s">
        <v>114</v>
      </c>
      <c r="Y1467" s="81" t="s">
        <v>115</v>
      </c>
      <c r="Z1467" s="81" t="s">
        <v>116</v>
      </c>
      <c r="AA1467" s="81" t="s">
        <v>116</v>
      </c>
      <c r="AB1467" s="81" t="s">
        <v>117</v>
      </c>
      <c r="AC1467" s="166">
        <v>0</v>
      </c>
      <c r="AG1467" s="81" t="s">
        <v>238</v>
      </c>
      <c r="AH1467" s="81" t="s">
        <v>118</v>
      </c>
      <c r="AJ1467" s="81">
        <v>17320347</v>
      </c>
      <c r="AK1467" s="166">
        <v>0</v>
      </c>
      <c r="AM1467" s="166">
        <v>0</v>
      </c>
      <c r="AO1467" s="166">
        <v>0</v>
      </c>
      <c r="AP1467" s="166">
        <v>0</v>
      </c>
      <c r="AQ1467" s="166">
        <v>0</v>
      </c>
      <c r="AR1467" s="166">
        <v>0</v>
      </c>
      <c r="AS1467" s="166">
        <v>0</v>
      </c>
      <c r="AT1467" s="166">
        <v>0</v>
      </c>
      <c r="AU1467" s="166">
        <v>42</v>
      </c>
      <c r="AV1467" s="166">
        <v>0</v>
      </c>
      <c r="AW1467" s="166">
        <v>0</v>
      </c>
      <c r="AX1467" s="166">
        <v>0</v>
      </c>
      <c r="AY1467" s="166">
        <v>0</v>
      </c>
      <c r="AZ1467" s="166">
        <v>0</v>
      </c>
      <c r="BA1467" s="166">
        <v>0</v>
      </c>
      <c r="BB1467" s="166">
        <v>42</v>
      </c>
      <c r="BC1467" s="166">
        <v>0</v>
      </c>
      <c r="BD1467" s="166">
        <v>0</v>
      </c>
      <c r="BE1467" s="166">
        <v>0</v>
      </c>
      <c r="BF1467" s="166">
        <v>0</v>
      </c>
      <c r="BG1467" s="166">
        <v>0</v>
      </c>
      <c r="BH1467" s="166">
        <v>0</v>
      </c>
      <c r="BI1467" s="166">
        <v>0</v>
      </c>
      <c r="BJ1467" s="166">
        <v>0</v>
      </c>
      <c r="BK1467" s="166">
        <v>0</v>
      </c>
      <c r="BL1467" s="166">
        <v>0</v>
      </c>
      <c r="BM1467" s="166">
        <v>0</v>
      </c>
      <c r="BN1467" s="166">
        <v>0</v>
      </c>
      <c r="BO1467" s="166">
        <v>0</v>
      </c>
      <c r="BP1467" s="166">
        <v>0</v>
      </c>
      <c r="BQ1467" s="81" t="s">
        <v>1758</v>
      </c>
      <c r="BT1467" s="81" t="s">
        <v>155</v>
      </c>
      <c r="BZ1467" s="81" t="s">
        <v>155</v>
      </c>
      <c r="CA1467" s="81">
        <v>13</v>
      </c>
      <c r="CC1467" s="167">
        <v>0</v>
      </c>
      <c r="CD1467" s="167">
        <v>0</v>
      </c>
      <c r="CE1467" s="167">
        <v>0</v>
      </c>
      <c r="CF1467" s="167">
        <v>0</v>
      </c>
      <c r="CG1467" s="167">
        <v>0</v>
      </c>
      <c r="CH1467" s="167">
        <v>0</v>
      </c>
      <c r="CI1467" s="167">
        <v>0</v>
      </c>
      <c r="CJ1467" s="167">
        <f>$N1467/17</f>
        <v>2.4705882352941178</v>
      </c>
      <c r="CK1467" s="167">
        <f>$N1467/17</f>
        <v>2.4705882352941178</v>
      </c>
      <c r="CL1467" s="167">
        <f>$N1467/17</f>
        <v>2.4705882352941178</v>
      </c>
      <c r="CM1467" s="167">
        <f>$N1467/17</f>
        <v>2.4705882352941178</v>
      </c>
      <c r="CN1467" s="167">
        <f>$N1467/17</f>
        <v>2.4705882352941178</v>
      </c>
      <c r="CO1467" s="167">
        <f>$N1467/17</f>
        <v>2.4705882352941178</v>
      </c>
      <c r="CP1467" s="167">
        <f>$N1467/17</f>
        <v>2.4705882352941178</v>
      </c>
      <c r="CQ1467" s="167">
        <f>$N1467/17</f>
        <v>2.4705882352941178</v>
      </c>
      <c r="CR1467" s="167">
        <f>$N1467/17</f>
        <v>2.4705882352941178</v>
      </c>
      <c r="CS1467" s="167">
        <f>$N1467/17</f>
        <v>2.4705882352941178</v>
      </c>
      <c r="CT1467" s="167">
        <f>$N1467/17</f>
        <v>2.4705882352941178</v>
      </c>
      <c r="CU1467" s="167">
        <f>$N1467/17</f>
        <v>2.4705882352941178</v>
      </c>
      <c r="CV1467" s="167">
        <f>$N1467/17</f>
        <v>2.4705882352941178</v>
      </c>
      <c r="CW1467" s="167">
        <f>$N1467/17</f>
        <v>2.4705882352941178</v>
      </c>
      <c r="CX1467" s="167">
        <f>SUM(CD1467:CH1467)</f>
        <v>0</v>
      </c>
      <c r="CY1467" s="167">
        <f>SUM(CD1467:CM1467)</f>
        <v>9.882352941176471</v>
      </c>
    </row>
    <row r="1468" spans="1:103" ht="12.75" customHeight="1" x14ac:dyDescent="0.2">
      <c r="A1468" s="81">
        <v>6907</v>
      </c>
      <c r="B1468" s="165" t="s">
        <v>1902</v>
      </c>
      <c r="C1468" s="165" t="s">
        <v>3597</v>
      </c>
      <c r="E1468" s="165" t="s">
        <v>3953</v>
      </c>
      <c r="F1468" s="165" t="s">
        <v>3536</v>
      </c>
      <c r="G1468" s="81">
        <v>525866</v>
      </c>
      <c r="H1468" s="81">
        <v>175039</v>
      </c>
      <c r="I1468" s="165" t="s">
        <v>251</v>
      </c>
      <c r="L1468" s="166">
        <v>0</v>
      </c>
      <c r="M1468" s="166">
        <v>12</v>
      </c>
      <c r="N1468" s="166">
        <v>12</v>
      </c>
      <c r="O1468" s="166">
        <v>62</v>
      </c>
      <c r="P1468" s="166">
        <v>62</v>
      </c>
      <c r="Q1468" s="81" t="s">
        <v>155</v>
      </c>
      <c r="R1468" s="165" t="s">
        <v>1905</v>
      </c>
      <c r="S1468" s="81" t="s">
        <v>1906</v>
      </c>
      <c r="W1468" s="81" t="s">
        <v>114</v>
      </c>
      <c r="Y1468" s="81" t="s">
        <v>115</v>
      </c>
      <c r="Z1468" s="81" t="s">
        <v>116</v>
      </c>
      <c r="AA1468" s="81" t="s">
        <v>116</v>
      </c>
      <c r="AB1468" s="81" t="s">
        <v>117</v>
      </c>
      <c r="AC1468" s="166">
        <v>0</v>
      </c>
      <c r="AG1468" s="81" t="s">
        <v>154</v>
      </c>
      <c r="AH1468" s="81" t="s">
        <v>276</v>
      </c>
      <c r="AJ1468" s="81">
        <v>17320347</v>
      </c>
      <c r="AK1468" s="166">
        <v>0</v>
      </c>
      <c r="AM1468" s="166">
        <v>0</v>
      </c>
      <c r="AO1468" s="166">
        <v>0</v>
      </c>
      <c r="AP1468" s="166">
        <v>0</v>
      </c>
      <c r="AQ1468" s="166">
        <v>0</v>
      </c>
      <c r="AR1468" s="166">
        <v>0</v>
      </c>
      <c r="AS1468" s="166">
        <v>0</v>
      </c>
      <c r="AT1468" s="166">
        <v>0</v>
      </c>
      <c r="AU1468" s="166">
        <v>12</v>
      </c>
      <c r="AV1468" s="166">
        <v>0</v>
      </c>
      <c r="AW1468" s="166">
        <v>0</v>
      </c>
      <c r="AX1468" s="166">
        <v>0</v>
      </c>
      <c r="AY1468" s="166">
        <v>0</v>
      </c>
      <c r="AZ1468" s="166">
        <v>0</v>
      </c>
      <c r="BA1468" s="166">
        <v>0</v>
      </c>
      <c r="BB1468" s="166">
        <v>12</v>
      </c>
      <c r="BC1468" s="166">
        <v>0</v>
      </c>
      <c r="BD1468" s="166">
        <v>0</v>
      </c>
      <c r="BE1468" s="166">
        <v>0</v>
      </c>
      <c r="BF1468" s="166">
        <v>0</v>
      </c>
      <c r="BG1468" s="166">
        <v>0</v>
      </c>
      <c r="BH1468" s="166">
        <v>0</v>
      </c>
      <c r="BI1468" s="166">
        <v>0</v>
      </c>
      <c r="BJ1468" s="166">
        <v>0</v>
      </c>
      <c r="BK1468" s="166">
        <v>0</v>
      </c>
      <c r="BL1468" s="166">
        <v>0</v>
      </c>
      <c r="BM1468" s="166">
        <v>0</v>
      </c>
      <c r="BN1468" s="166">
        <v>0</v>
      </c>
      <c r="BO1468" s="166">
        <v>0</v>
      </c>
      <c r="BP1468" s="166">
        <v>0</v>
      </c>
      <c r="BQ1468" s="81" t="s">
        <v>1758</v>
      </c>
      <c r="BT1468" s="81" t="s">
        <v>155</v>
      </c>
      <c r="BZ1468" s="81" t="s">
        <v>155</v>
      </c>
      <c r="CA1468" s="81">
        <v>13</v>
      </c>
      <c r="CC1468" s="167">
        <v>0</v>
      </c>
      <c r="CD1468" s="167">
        <v>0</v>
      </c>
      <c r="CE1468" s="167">
        <v>0</v>
      </c>
      <c r="CF1468" s="167">
        <v>0</v>
      </c>
      <c r="CG1468" s="167">
        <v>0</v>
      </c>
      <c r="CH1468" s="167">
        <v>0</v>
      </c>
      <c r="CI1468" s="167">
        <v>0</v>
      </c>
      <c r="CJ1468" s="167">
        <f>$N1468/17</f>
        <v>0.70588235294117652</v>
      </c>
      <c r="CK1468" s="167">
        <f>$N1468/17</f>
        <v>0.70588235294117652</v>
      </c>
      <c r="CL1468" s="167">
        <f>$N1468/17</f>
        <v>0.70588235294117652</v>
      </c>
      <c r="CM1468" s="167">
        <f>$N1468/17</f>
        <v>0.70588235294117652</v>
      </c>
      <c r="CN1468" s="167">
        <f>$N1468/17</f>
        <v>0.70588235294117652</v>
      </c>
      <c r="CO1468" s="167">
        <f>$N1468/17</f>
        <v>0.70588235294117652</v>
      </c>
      <c r="CP1468" s="167">
        <f>$N1468/17</f>
        <v>0.70588235294117652</v>
      </c>
      <c r="CQ1468" s="167">
        <f>$N1468/17</f>
        <v>0.70588235294117652</v>
      </c>
      <c r="CR1468" s="167">
        <f>$N1468/17</f>
        <v>0.70588235294117652</v>
      </c>
      <c r="CS1468" s="167">
        <f>$N1468/17</f>
        <v>0.70588235294117652</v>
      </c>
      <c r="CT1468" s="167">
        <f>$N1468/17</f>
        <v>0.70588235294117652</v>
      </c>
      <c r="CU1468" s="167">
        <f>$N1468/17</f>
        <v>0.70588235294117652</v>
      </c>
      <c r="CV1468" s="167">
        <f>$N1468/17</f>
        <v>0.70588235294117652</v>
      </c>
      <c r="CW1468" s="167">
        <f>$N1468/17</f>
        <v>0.70588235294117652</v>
      </c>
      <c r="CX1468" s="167">
        <f>SUM(CD1468:CH1468)</f>
        <v>0</v>
      </c>
      <c r="CY1468" s="167">
        <f>SUM(CD1468:CM1468)</f>
        <v>2.8235294117647061</v>
      </c>
    </row>
    <row r="1469" spans="1:103" ht="12.75" customHeight="1" x14ac:dyDescent="0.2">
      <c r="A1469" s="81">
        <v>6908</v>
      </c>
      <c r="B1469" s="165" t="s">
        <v>1902</v>
      </c>
      <c r="C1469" s="165" t="s">
        <v>3598</v>
      </c>
      <c r="E1469" s="165" t="s">
        <v>3599</v>
      </c>
      <c r="F1469" s="165" t="s">
        <v>3535</v>
      </c>
      <c r="G1469" s="81">
        <v>525716</v>
      </c>
      <c r="H1469" s="81">
        <v>173464</v>
      </c>
      <c r="I1469" s="165" t="s">
        <v>249</v>
      </c>
      <c r="L1469" s="166">
        <v>0</v>
      </c>
      <c r="M1469" s="166">
        <v>53</v>
      </c>
      <c r="N1469" s="166">
        <v>53</v>
      </c>
      <c r="O1469" s="166">
        <v>400</v>
      </c>
      <c r="P1469" s="166">
        <v>400</v>
      </c>
      <c r="Q1469" s="81" t="s">
        <v>155</v>
      </c>
      <c r="R1469" s="165" t="s">
        <v>1905</v>
      </c>
      <c r="S1469" s="81" t="s">
        <v>1906</v>
      </c>
      <c r="W1469" s="81" t="s">
        <v>114</v>
      </c>
      <c r="Y1469" s="81" t="s">
        <v>115</v>
      </c>
      <c r="Z1469" s="81" t="s">
        <v>116</v>
      </c>
      <c r="AA1469" s="81" t="s">
        <v>116</v>
      </c>
      <c r="AB1469" s="81" t="s">
        <v>117</v>
      </c>
      <c r="AC1469" s="166">
        <v>0</v>
      </c>
      <c r="AG1469" s="81" t="s">
        <v>74</v>
      </c>
      <c r="AH1469" s="81" t="s">
        <v>990</v>
      </c>
      <c r="AJ1469" s="81">
        <v>17320085</v>
      </c>
      <c r="AK1469" s="166">
        <v>0</v>
      </c>
      <c r="AM1469" s="166">
        <v>0</v>
      </c>
      <c r="AO1469" s="166">
        <v>0</v>
      </c>
      <c r="AP1469" s="166">
        <v>0</v>
      </c>
      <c r="AQ1469" s="166">
        <v>0</v>
      </c>
      <c r="AR1469" s="166">
        <v>0</v>
      </c>
      <c r="AS1469" s="166">
        <v>0</v>
      </c>
      <c r="AT1469" s="166">
        <v>0</v>
      </c>
      <c r="AU1469" s="166">
        <v>53</v>
      </c>
      <c r="AV1469" s="166">
        <v>0</v>
      </c>
      <c r="AW1469" s="166">
        <v>0</v>
      </c>
      <c r="AX1469" s="166">
        <v>0</v>
      </c>
      <c r="AY1469" s="166">
        <v>0</v>
      </c>
      <c r="AZ1469" s="166">
        <v>0</v>
      </c>
      <c r="BA1469" s="166">
        <v>0</v>
      </c>
      <c r="BB1469" s="166">
        <v>53</v>
      </c>
      <c r="BC1469" s="166">
        <v>0</v>
      </c>
      <c r="BD1469" s="166">
        <v>0</v>
      </c>
      <c r="BE1469" s="166">
        <v>0</v>
      </c>
      <c r="BF1469" s="166">
        <v>0</v>
      </c>
      <c r="BG1469" s="166">
        <v>0</v>
      </c>
      <c r="BH1469" s="166">
        <v>0</v>
      </c>
      <c r="BI1469" s="166">
        <v>0</v>
      </c>
      <c r="BJ1469" s="166">
        <v>0</v>
      </c>
      <c r="BK1469" s="166">
        <v>0</v>
      </c>
      <c r="BL1469" s="166">
        <v>0</v>
      </c>
      <c r="BM1469" s="166">
        <v>0</v>
      </c>
      <c r="BN1469" s="166">
        <v>0</v>
      </c>
      <c r="BO1469" s="166">
        <v>0</v>
      </c>
      <c r="BP1469" s="166">
        <v>0</v>
      </c>
      <c r="BQ1469" s="81" t="s">
        <v>1758</v>
      </c>
      <c r="BY1469" s="81" t="s">
        <v>155</v>
      </c>
      <c r="BZ1469" s="81" t="s">
        <v>155</v>
      </c>
      <c r="CA1469" s="81">
        <v>13</v>
      </c>
      <c r="CC1469" s="167">
        <v>0</v>
      </c>
      <c r="CD1469" s="167">
        <v>0</v>
      </c>
      <c r="CE1469" s="167">
        <f>$N1469/15</f>
        <v>3.5333333333333332</v>
      </c>
      <c r="CF1469" s="167">
        <f>$N1469/15</f>
        <v>3.5333333333333332</v>
      </c>
      <c r="CG1469" s="167">
        <f>$N1469/15</f>
        <v>3.5333333333333332</v>
      </c>
      <c r="CH1469" s="167">
        <f>$N1469/15</f>
        <v>3.5333333333333332</v>
      </c>
      <c r="CI1469" s="167">
        <f>$N1469/15</f>
        <v>3.5333333333333332</v>
      </c>
      <c r="CJ1469" s="167">
        <f>$N1469/15</f>
        <v>3.5333333333333332</v>
      </c>
      <c r="CK1469" s="167">
        <f>$N1469/15</f>
        <v>3.5333333333333332</v>
      </c>
      <c r="CL1469" s="167">
        <f>$N1469/15</f>
        <v>3.5333333333333332</v>
      </c>
      <c r="CM1469" s="167">
        <f>$N1469/15</f>
        <v>3.5333333333333332</v>
      </c>
      <c r="CN1469" s="167">
        <f>$N1469/15</f>
        <v>3.5333333333333332</v>
      </c>
      <c r="CO1469" s="167">
        <f>$N1469/15</f>
        <v>3.5333333333333332</v>
      </c>
      <c r="CP1469" s="167">
        <f>$N1469/15</f>
        <v>3.5333333333333332</v>
      </c>
      <c r="CQ1469" s="167">
        <f>$N1469/15</f>
        <v>3.5333333333333332</v>
      </c>
      <c r="CR1469" s="167">
        <f>$N1469/15</f>
        <v>3.5333333333333332</v>
      </c>
      <c r="CS1469" s="167">
        <f>$N1469/15</f>
        <v>3.5333333333333332</v>
      </c>
      <c r="CT1469" s="167">
        <v>0</v>
      </c>
      <c r="CU1469" s="167">
        <v>0</v>
      </c>
      <c r="CV1469" s="167">
        <v>0</v>
      </c>
      <c r="CW1469" s="167">
        <v>0</v>
      </c>
      <c r="CX1469" s="167">
        <f>SUM(CD1469:CH1469)</f>
        <v>14.133333333333333</v>
      </c>
      <c r="CY1469" s="167">
        <f>SUM(CD1469:CM1469)</f>
        <v>31.79999999999999</v>
      </c>
    </row>
    <row r="1470" spans="1:103" ht="12.75" customHeight="1" x14ac:dyDescent="0.2">
      <c r="A1470" s="81">
        <v>6908</v>
      </c>
      <c r="B1470" s="165" t="s">
        <v>1902</v>
      </c>
      <c r="C1470" s="165" t="s">
        <v>3598</v>
      </c>
      <c r="E1470" s="165" t="s">
        <v>3599</v>
      </c>
      <c r="F1470" s="165" t="s">
        <v>1556</v>
      </c>
      <c r="G1470" s="81">
        <v>525716</v>
      </c>
      <c r="H1470" s="81">
        <v>173464</v>
      </c>
      <c r="I1470" s="165" t="s">
        <v>249</v>
      </c>
      <c r="L1470" s="166">
        <v>0</v>
      </c>
      <c r="M1470" s="166">
        <v>268</v>
      </c>
      <c r="N1470" s="166">
        <v>268</v>
      </c>
      <c r="O1470" s="166">
        <v>400</v>
      </c>
      <c r="P1470" s="166">
        <v>400</v>
      </c>
      <c r="Q1470" s="81" t="s">
        <v>155</v>
      </c>
      <c r="R1470" s="165" t="s">
        <v>1905</v>
      </c>
      <c r="S1470" s="81" t="s">
        <v>1906</v>
      </c>
      <c r="W1470" s="81" t="s">
        <v>114</v>
      </c>
      <c r="Y1470" s="81" t="s">
        <v>115</v>
      </c>
      <c r="Z1470" s="81" t="s">
        <v>116</v>
      </c>
      <c r="AA1470" s="81" t="s">
        <v>116</v>
      </c>
      <c r="AB1470" s="81" t="s">
        <v>117</v>
      </c>
      <c r="AC1470" s="166">
        <v>0</v>
      </c>
      <c r="AG1470" s="81" t="s">
        <v>238</v>
      </c>
      <c r="AH1470" s="81" t="s">
        <v>118</v>
      </c>
      <c r="AJ1470" s="81">
        <v>17320085</v>
      </c>
      <c r="AK1470" s="166">
        <v>0</v>
      </c>
      <c r="AM1470" s="166">
        <v>0</v>
      </c>
      <c r="AO1470" s="166">
        <v>0</v>
      </c>
      <c r="AP1470" s="166">
        <v>0</v>
      </c>
      <c r="AQ1470" s="166">
        <v>0</v>
      </c>
      <c r="AR1470" s="166">
        <v>0</v>
      </c>
      <c r="AS1470" s="166">
        <v>0</v>
      </c>
      <c r="AT1470" s="166">
        <v>0</v>
      </c>
      <c r="AU1470" s="166">
        <v>268</v>
      </c>
      <c r="AV1470" s="166">
        <v>0</v>
      </c>
      <c r="AW1470" s="166">
        <v>0</v>
      </c>
      <c r="AX1470" s="166">
        <v>0</v>
      </c>
      <c r="AY1470" s="166">
        <v>0</v>
      </c>
      <c r="AZ1470" s="166">
        <v>0</v>
      </c>
      <c r="BA1470" s="166">
        <v>0</v>
      </c>
      <c r="BB1470" s="166">
        <v>268</v>
      </c>
      <c r="BC1470" s="166">
        <v>0</v>
      </c>
      <c r="BD1470" s="166">
        <v>0</v>
      </c>
      <c r="BE1470" s="166">
        <v>0</v>
      </c>
      <c r="BF1470" s="166">
        <v>0</v>
      </c>
      <c r="BG1470" s="166">
        <v>0</v>
      </c>
      <c r="BH1470" s="166">
        <v>0</v>
      </c>
      <c r="BI1470" s="166">
        <v>0</v>
      </c>
      <c r="BJ1470" s="166">
        <v>0</v>
      </c>
      <c r="BK1470" s="166">
        <v>0</v>
      </c>
      <c r="BL1470" s="166">
        <v>0</v>
      </c>
      <c r="BM1470" s="166">
        <v>0</v>
      </c>
      <c r="BN1470" s="166">
        <v>0</v>
      </c>
      <c r="BO1470" s="166">
        <v>0</v>
      </c>
      <c r="BP1470" s="166">
        <v>0</v>
      </c>
      <c r="BQ1470" s="81" t="s">
        <v>1758</v>
      </c>
      <c r="BY1470" s="81" t="s">
        <v>155</v>
      </c>
      <c r="BZ1470" s="81" t="s">
        <v>155</v>
      </c>
      <c r="CA1470" s="81">
        <v>13</v>
      </c>
      <c r="CC1470" s="167">
        <v>0</v>
      </c>
      <c r="CD1470" s="167">
        <v>0</v>
      </c>
      <c r="CE1470" s="167">
        <f>$N1470/15</f>
        <v>17.866666666666667</v>
      </c>
      <c r="CF1470" s="167">
        <f>$N1470/15</f>
        <v>17.866666666666667</v>
      </c>
      <c r="CG1470" s="167">
        <f>$N1470/15</f>
        <v>17.866666666666667</v>
      </c>
      <c r="CH1470" s="167">
        <f>$N1470/15</f>
        <v>17.866666666666667</v>
      </c>
      <c r="CI1470" s="167">
        <f>$N1470/15</f>
        <v>17.866666666666667</v>
      </c>
      <c r="CJ1470" s="167">
        <f>$N1470/15</f>
        <v>17.866666666666667</v>
      </c>
      <c r="CK1470" s="167">
        <f>$N1470/15</f>
        <v>17.866666666666667</v>
      </c>
      <c r="CL1470" s="167">
        <f>$N1470/15</f>
        <v>17.866666666666667</v>
      </c>
      <c r="CM1470" s="167">
        <f>$N1470/15</f>
        <v>17.866666666666667</v>
      </c>
      <c r="CN1470" s="167">
        <f>$N1470/15</f>
        <v>17.866666666666667</v>
      </c>
      <c r="CO1470" s="167">
        <f>$N1470/15</f>
        <v>17.866666666666667</v>
      </c>
      <c r="CP1470" s="167">
        <f>$N1470/15</f>
        <v>17.866666666666667</v>
      </c>
      <c r="CQ1470" s="167">
        <f>$N1470/15</f>
        <v>17.866666666666667</v>
      </c>
      <c r="CR1470" s="167">
        <f>$N1470/15</f>
        <v>17.866666666666667</v>
      </c>
      <c r="CS1470" s="167">
        <f>$N1470/15</f>
        <v>17.866666666666667</v>
      </c>
      <c r="CT1470" s="167">
        <v>0</v>
      </c>
      <c r="CU1470" s="167">
        <v>0</v>
      </c>
      <c r="CV1470" s="167">
        <v>0</v>
      </c>
      <c r="CW1470" s="167">
        <v>0</v>
      </c>
      <c r="CX1470" s="167">
        <f>SUM(CD1470:CH1470)</f>
        <v>71.466666666666669</v>
      </c>
      <c r="CY1470" s="167">
        <f>SUM(CD1470:CM1470)</f>
        <v>160.80000000000004</v>
      </c>
    </row>
    <row r="1471" spans="1:103" ht="12.75" customHeight="1" x14ac:dyDescent="0.2">
      <c r="A1471" s="81">
        <v>6908</v>
      </c>
      <c r="B1471" s="165" t="s">
        <v>1902</v>
      </c>
      <c r="C1471" s="165" t="s">
        <v>3598</v>
      </c>
      <c r="E1471" s="165" t="s">
        <v>3599</v>
      </c>
      <c r="F1471" s="165" t="s">
        <v>3536</v>
      </c>
      <c r="G1471" s="81">
        <v>525716</v>
      </c>
      <c r="H1471" s="81">
        <v>173464</v>
      </c>
      <c r="I1471" s="165" t="s">
        <v>249</v>
      </c>
      <c r="L1471" s="166">
        <v>0</v>
      </c>
      <c r="M1471" s="166">
        <v>79</v>
      </c>
      <c r="N1471" s="166">
        <v>79</v>
      </c>
      <c r="O1471" s="166">
        <v>400</v>
      </c>
      <c r="P1471" s="166">
        <v>400</v>
      </c>
      <c r="Q1471" s="81" t="s">
        <v>155</v>
      </c>
      <c r="R1471" s="165" t="s">
        <v>1905</v>
      </c>
      <c r="S1471" s="81" t="s">
        <v>1906</v>
      </c>
      <c r="W1471" s="81" t="s">
        <v>114</v>
      </c>
      <c r="Y1471" s="81" t="s">
        <v>115</v>
      </c>
      <c r="Z1471" s="81" t="s">
        <v>116</v>
      </c>
      <c r="AA1471" s="81" t="s">
        <v>116</v>
      </c>
      <c r="AB1471" s="81" t="s">
        <v>117</v>
      </c>
      <c r="AC1471" s="166">
        <v>0</v>
      </c>
      <c r="AG1471" s="81" t="s">
        <v>154</v>
      </c>
      <c r="AH1471" s="81" t="s">
        <v>276</v>
      </c>
      <c r="AJ1471" s="81">
        <v>17320085</v>
      </c>
      <c r="AK1471" s="166">
        <v>0</v>
      </c>
      <c r="AM1471" s="166">
        <v>0</v>
      </c>
      <c r="AO1471" s="166">
        <v>0</v>
      </c>
      <c r="AP1471" s="166">
        <v>0</v>
      </c>
      <c r="AQ1471" s="166">
        <v>0</v>
      </c>
      <c r="AR1471" s="166">
        <v>0</v>
      </c>
      <c r="AS1471" s="166">
        <v>0</v>
      </c>
      <c r="AT1471" s="166">
        <v>0</v>
      </c>
      <c r="AU1471" s="166">
        <v>79</v>
      </c>
      <c r="AV1471" s="166">
        <v>0</v>
      </c>
      <c r="AW1471" s="166">
        <v>0</v>
      </c>
      <c r="AX1471" s="166">
        <v>0</v>
      </c>
      <c r="AY1471" s="166">
        <v>0</v>
      </c>
      <c r="AZ1471" s="166">
        <v>0</v>
      </c>
      <c r="BA1471" s="166">
        <v>0</v>
      </c>
      <c r="BB1471" s="166">
        <v>79</v>
      </c>
      <c r="BC1471" s="166">
        <v>0</v>
      </c>
      <c r="BD1471" s="166">
        <v>0</v>
      </c>
      <c r="BE1471" s="166">
        <v>0</v>
      </c>
      <c r="BF1471" s="166">
        <v>0</v>
      </c>
      <c r="BG1471" s="166">
        <v>0</v>
      </c>
      <c r="BH1471" s="166">
        <v>0</v>
      </c>
      <c r="BI1471" s="166">
        <v>0</v>
      </c>
      <c r="BJ1471" s="166">
        <v>0</v>
      </c>
      <c r="BK1471" s="166">
        <v>0</v>
      </c>
      <c r="BL1471" s="166">
        <v>0</v>
      </c>
      <c r="BM1471" s="166">
        <v>0</v>
      </c>
      <c r="BN1471" s="166">
        <v>0</v>
      </c>
      <c r="BO1471" s="166">
        <v>0</v>
      </c>
      <c r="BP1471" s="166">
        <v>0</v>
      </c>
      <c r="BQ1471" s="81" t="s">
        <v>1758</v>
      </c>
      <c r="BY1471" s="81" t="s">
        <v>155</v>
      </c>
      <c r="BZ1471" s="81" t="s">
        <v>155</v>
      </c>
      <c r="CA1471" s="81">
        <v>13</v>
      </c>
      <c r="CC1471" s="167">
        <v>0</v>
      </c>
      <c r="CD1471" s="167">
        <v>0</v>
      </c>
      <c r="CE1471" s="167">
        <f>$N1471/15</f>
        <v>5.2666666666666666</v>
      </c>
      <c r="CF1471" s="167">
        <f>$N1471/15</f>
        <v>5.2666666666666666</v>
      </c>
      <c r="CG1471" s="167">
        <f>$N1471/15</f>
        <v>5.2666666666666666</v>
      </c>
      <c r="CH1471" s="167">
        <f>$N1471/15</f>
        <v>5.2666666666666666</v>
      </c>
      <c r="CI1471" s="167">
        <f>$N1471/15</f>
        <v>5.2666666666666666</v>
      </c>
      <c r="CJ1471" s="167">
        <f>$N1471/15</f>
        <v>5.2666666666666666</v>
      </c>
      <c r="CK1471" s="167">
        <f>$N1471/15</f>
        <v>5.2666666666666666</v>
      </c>
      <c r="CL1471" s="167">
        <f>$N1471/15</f>
        <v>5.2666666666666666</v>
      </c>
      <c r="CM1471" s="167">
        <f>$N1471/15</f>
        <v>5.2666666666666666</v>
      </c>
      <c r="CN1471" s="167">
        <f>$N1471/15</f>
        <v>5.2666666666666666</v>
      </c>
      <c r="CO1471" s="167">
        <f>$N1471/15</f>
        <v>5.2666666666666666</v>
      </c>
      <c r="CP1471" s="167">
        <f>$N1471/15</f>
        <v>5.2666666666666666</v>
      </c>
      <c r="CQ1471" s="167">
        <f>$N1471/15</f>
        <v>5.2666666666666666</v>
      </c>
      <c r="CR1471" s="167">
        <f>$N1471/15</f>
        <v>5.2666666666666666</v>
      </c>
      <c r="CS1471" s="167">
        <f>$N1471/15</f>
        <v>5.2666666666666666</v>
      </c>
      <c r="CT1471" s="167">
        <v>0</v>
      </c>
      <c r="CU1471" s="167">
        <v>0</v>
      </c>
      <c r="CV1471" s="167">
        <v>0</v>
      </c>
      <c r="CW1471" s="167">
        <v>0</v>
      </c>
      <c r="CX1471" s="167">
        <f>SUM(CD1471:CH1471)</f>
        <v>21.066666666666666</v>
      </c>
      <c r="CY1471" s="167">
        <f>SUM(CD1471:CM1471)</f>
        <v>47.4</v>
      </c>
    </row>
    <row r="1472" spans="1:103" ht="12" customHeight="1" x14ac:dyDescent="0.2">
      <c r="B1472" s="165" t="s">
        <v>3836</v>
      </c>
      <c r="F1472" s="165" t="s">
        <v>74</v>
      </c>
      <c r="K1472" s="354"/>
      <c r="L1472" s="355">
        <v>0</v>
      </c>
      <c r="M1472" s="355">
        <v>99</v>
      </c>
      <c r="N1472" s="355">
        <v>99</v>
      </c>
      <c r="O1472" s="355">
        <v>745</v>
      </c>
      <c r="P1472" s="355">
        <v>745</v>
      </c>
      <c r="Q1472" s="81" t="s">
        <v>155</v>
      </c>
      <c r="R1472" s="356"/>
      <c r="S1472" s="81" t="s">
        <v>1906</v>
      </c>
      <c r="T1472" s="356"/>
      <c r="U1472" s="356"/>
      <c r="V1472" s="356"/>
      <c r="W1472" s="81" t="s">
        <v>114</v>
      </c>
      <c r="X1472" s="356"/>
      <c r="Y1472" s="81" t="s">
        <v>115</v>
      </c>
      <c r="Z1472" s="81" t="s">
        <v>116</v>
      </c>
      <c r="AA1472" s="81" t="s">
        <v>116</v>
      </c>
      <c r="AB1472" s="81" t="s">
        <v>117</v>
      </c>
      <c r="AC1472" s="356">
        <v>0</v>
      </c>
      <c r="AD1472" s="357"/>
      <c r="AG1472" s="81" t="s">
        <v>74</v>
      </c>
      <c r="AK1472" s="166">
        <v>0</v>
      </c>
      <c r="AM1472" s="166">
        <v>0</v>
      </c>
      <c r="AO1472" s="166">
        <v>0</v>
      </c>
      <c r="AP1472" s="166">
        <v>0</v>
      </c>
      <c r="AQ1472" s="166">
        <v>0</v>
      </c>
      <c r="AR1472" s="166">
        <v>0</v>
      </c>
      <c r="AS1472" s="166">
        <v>0</v>
      </c>
      <c r="AT1472" s="166">
        <v>0</v>
      </c>
      <c r="AU1472" s="356">
        <f>N1472</f>
        <v>99</v>
      </c>
      <c r="AV1472" s="356">
        <v>0</v>
      </c>
      <c r="AW1472" s="356">
        <v>0</v>
      </c>
      <c r="AX1472" s="356">
        <v>0</v>
      </c>
      <c r="AY1472" s="356">
        <v>0</v>
      </c>
      <c r="AZ1472" s="356">
        <v>0</v>
      </c>
      <c r="BA1472" s="356">
        <v>0</v>
      </c>
      <c r="BB1472" s="356">
        <f>AU1472</f>
        <v>99</v>
      </c>
      <c r="BC1472" s="356">
        <v>0</v>
      </c>
      <c r="BD1472" s="356">
        <v>0</v>
      </c>
      <c r="BE1472" s="356">
        <v>0</v>
      </c>
      <c r="BF1472" s="356">
        <v>0</v>
      </c>
      <c r="BG1472" s="356">
        <v>0</v>
      </c>
      <c r="BH1472" s="356">
        <v>0</v>
      </c>
      <c r="BI1472" s="356">
        <v>0</v>
      </c>
      <c r="BJ1472" s="356">
        <v>0</v>
      </c>
      <c r="BK1472" s="356">
        <v>0</v>
      </c>
      <c r="BL1472" s="356">
        <v>0</v>
      </c>
      <c r="BM1472" s="356">
        <v>0</v>
      </c>
      <c r="BN1472" s="356">
        <v>0</v>
      </c>
      <c r="BO1472" s="356">
        <v>0</v>
      </c>
      <c r="BP1472" s="356">
        <v>0</v>
      </c>
      <c r="BZ1472" s="81" t="s">
        <v>155</v>
      </c>
      <c r="CA1472" s="81">
        <v>13</v>
      </c>
      <c r="CC1472" s="167">
        <v>0</v>
      </c>
      <c r="CD1472" s="167">
        <v>0</v>
      </c>
      <c r="CE1472" s="167">
        <v>0.26666666666666666</v>
      </c>
      <c r="CF1472" s="167">
        <v>0.26666666666666666</v>
      </c>
      <c r="CG1472" s="167">
        <v>0.26666666666666666</v>
      </c>
      <c r="CH1472" s="167">
        <v>0.26666666666666666</v>
      </c>
      <c r="CI1472" s="167">
        <v>0.26666666666666666</v>
      </c>
      <c r="CJ1472" s="167">
        <v>2.2078431372549021</v>
      </c>
      <c r="CK1472" s="167">
        <v>2.2078431372549021</v>
      </c>
      <c r="CL1472" s="167">
        <v>2.2078431372549021</v>
      </c>
      <c r="CM1472" s="167">
        <v>2.2078431372549021</v>
      </c>
      <c r="CN1472" s="167">
        <v>2.2078431372549021</v>
      </c>
      <c r="CO1472" s="167">
        <v>6.6911764705882346</v>
      </c>
      <c r="CP1472" s="167">
        <v>6.6911764705882346</v>
      </c>
      <c r="CQ1472" s="167">
        <v>6.6911764705882346</v>
      </c>
      <c r="CR1472" s="167">
        <v>6.6911764705882346</v>
      </c>
      <c r="CS1472" s="167">
        <v>6.6911764705882346</v>
      </c>
      <c r="CT1472" s="167">
        <v>7.5959383753501388</v>
      </c>
      <c r="CU1472" s="167">
        <v>7.5959383753501388</v>
      </c>
      <c r="CV1472" s="167">
        <v>7.5959383753501388</v>
      </c>
      <c r="CW1472" s="167">
        <v>7.5959383753501388</v>
      </c>
      <c r="CX1472" s="167">
        <f>SUM(CD1472:CH1472)</f>
        <v>1.0666666666666667</v>
      </c>
      <c r="CY1472" s="167">
        <f>SUM(CD1472:CM1472)</f>
        <v>10.164705882352941</v>
      </c>
    </row>
    <row r="1473" spans="1:103" ht="12" customHeight="1" x14ac:dyDescent="0.2">
      <c r="B1473" s="165" t="s">
        <v>3836</v>
      </c>
      <c r="F1473" s="165" t="s">
        <v>3835</v>
      </c>
      <c r="K1473" s="354"/>
      <c r="L1473" s="356">
        <v>0</v>
      </c>
      <c r="M1473" s="356">
        <v>499</v>
      </c>
      <c r="N1473" s="356">
        <v>499</v>
      </c>
      <c r="O1473" s="356">
        <v>745</v>
      </c>
      <c r="P1473" s="356">
        <v>745</v>
      </c>
      <c r="Q1473" s="81" t="s">
        <v>155</v>
      </c>
      <c r="R1473" s="356"/>
      <c r="S1473" s="81" t="s">
        <v>1906</v>
      </c>
      <c r="T1473" s="356"/>
      <c r="U1473" s="356"/>
      <c r="V1473" s="356"/>
      <c r="W1473" s="81" t="s">
        <v>114</v>
      </c>
      <c r="X1473" s="356"/>
      <c r="Y1473" s="81" t="s">
        <v>115</v>
      </c>
      <c r="Z1473" s="81" t="s">
        <v>116</v>
      </c>
      <c r="AA1473" s="81" t="s">
        <v>116</v>
      </c>
      <c r="AB1473" s="81" t="s">
        <v>117</v>
      </c>
      <c r="AC1473" s="356">
        <v>0</v>
      </c>
      <c r="AD1473" s="357"/>
      <c r="AG1473" s="81" t="s">
        <v>238</v>
      </c>
      <c r="AK1473" s="166">
        <v>0</v>
      </c>
      <c r="AM1473" s="166">
        <v>0</v>
      </c>
      <c r="AO1473" s="166">
        <v>0</v>
      </c>
      <c r="AP1473" s="166">
        <v>0</v>
      </c>
      <c r="AQ1473" s="166">
        <v>0</v>
      </c>
      <c r="AR1473" s="166">
        <v>0</v>
      </c>
      <c r="AS1473" s="166">
        <v>0</v>
      </c>
      <c r="AT1473" s="166">
        <v>0</v>
      </c>
      <c r="AU1473" s="356">
        <f>N1473</f>
        <v>499</v>
      </c>
      <c r="AV1473" s="356">
        <v>0</v>
      </c>
      <c r="AW1473" s="356">
        <v>0</v>
      </c>
      <c r="AX1473" s="356">
        <v>0</v>
      </c>
      <c r="AY1473" s="356">
        <v>0</v>
      </c>
      <c r="AZ1473" s="356">
        <v>0</v>
      </c>
      <c r="BA1473" s="356">
        <v>0</v>
      </c>
      <c r="BB1473" s="356">
        <f>AU1473</f>
        <v>499</v>
      </c>
      <c r="BC1473" s="356">
        <v>0</v>
      </c>
      <c r="BD1473" s="356">
        <v>0</v>
      </c>
      <c r="BE1473" s="356">
        <v>0</v>
      </c>
      <c r="BF1473" s="356">
        <v>0</v>
      </c>
      <c r="BG1473" s="356">
        <v>0</v>
      </c>
      <c r="BH1473" s="356">
        <v>0</v>
      </c>
      <c r="BI1473" s="356">
        <v>0</v>
      </c>
      <c r="BJ1473" s="356">
        <v>0</v>
      </c>
      <c r="BK1473" s="356">
        <v>0</v>
      </c>
      <c r="BL1473" s="356">
        <v>0</v>
      </c>
      <c r="BM1473" s="356">
        <v>0</v>
      </c>
      <c r="BN1473" s="356">
        <v>0</v>
      </c>
      <c r="BO1473" s="356">
        <v>0</v>
      </c>
      <c r="BP1473" s="356">
        <v>0</v>
      </c>
      <c r="BZ1473" s="81" t="s">
        <v>155</v>
      </c>
      <c r="CA1473" s="81">
        <v>13</v>
      </c>
      <c r="CC1473" s="167">
        <v>0</v>
      </c>
      <c r="CD1473" s="167">
        <v>0</v>
      </c>
      <c r="CE1473" s="167">
        <v>1.2666666666666666</v>
      </c>
      <c r="CF1473" s="167">
        <v>1.2666666666666666</v>
      </c>
      <c r="CG1473" s="167">
        <v>1.2666666666666666</v>
      </c>
      <c r="CH1473" s="167">
        <v>1.2666666666666666</v>
      </c>
      <c r="CI1473" s="167">
        <v>1.2666666666666666</v>
      </c>
      <c r="CJ1473" s="167">
        <v>11.031372549019608</v>
      </c>
      <c r="CK1473" s="167">
        <v>11.031372549019608</v>
      </c>
      <c r="CL1473" s="167">
        <v>11.031372549019608</v>
      </c>
      <c r="CM1473" s="167">
        <v>11.031372549019608</v>
      </c>
      <c r="CN1473" s="167">
        <v>11.031372549019608</v>
      </c>
      <c r="CO1473" s="167">
        <v>33.848039215686271</v>
      </c>
      <c r="CP1473" s="167">
        <v>33.848039215686271</v>
      </c>
      <c r="CQ1473" s="167">
        <v>33.848039215686271</v>
      </c>
      <c r="CR1473" s="167">
        <v>33.848039215686271</v>
      </c>
      <c r="CS1473" s="167">
        <v>33.848039215686271</v>
      </c>
      <c r="CT1473" s="167">
        <v>38.324229691876752</v>
      </c>
      <c r="CU1473" s="167">
        <v>38.324229691876752</v>
      </c>
      <c r="CV1473" s="167">
        <v>38.324229691876752</v>
      </c>
      <c r="CW1473" s="167">
        <v>38.324229691876752</v>
      </c>
      <c r="CX1473" s="167">
        <f>SUM(CD1473:CH1473)</f>
        <v>5.0666666666666664</v>
      </c>
      <c r="CY1473" s="167">
        <f>SUM(CD1473:CM1473)</f>
        <v>50.45882352941176</v>
      </c>
    </row>
    <row r="1474" spans="1:103" ht="12" customHeight="1" x14ac:dyDescent="0.2">
      <c r="B1474" s="165" t="s">
        <v>3836</v>
      </c>
      <c r="F1474" s="165" t="s">
        <v>154</v>
      </c>
      <c r="K1474" s="354"/>
      <c r="L1474" s="356">
        <v>0</v>
      </c>
      <c r="M1474" s="356">
        <v>147</v>
      </c>
      <c r="N1474" s="356">
        <v>147</v>
      </c>
      <c r="O1474" s="356">
        <v>745</v>
      </c>
      <c r="P1474" s="356">
        <v>745</v>
      </c>
      <c r="Q1474" s="81" t="s">
        <v>155</v>
      </c>
      <c r="R1474" s="356"/>
      <c r="S1474" s="81" t="s">
        <v>1906</v>
      </c>
      <c r="T1474" s="356"/>
      <c r="U1474" s="356"/>
      <c r="V1474" s="356"/>
      <c r="W1474" s="81" t="s">
        <v>114</v>
      </c>
      <c r="X1474" s="356"/>
      <c r="Y1474" s="81" t="s">
        <v>115</v>
      </c>
      <c r="Z1474" s="81" t="s">
        <v>116</v>
      </c>
      <c r="AA1474" s="81" t="s">
        <v>116</v>
      </c>
      <c r="AB1474" s="81" t="s">
        <v>117</v>
      </c>
      <c r="AC1474" s="356">
        <v>0</v>
      </c>
      <c r="AD1474" s="357"/>
      <c r="AG1474" s="81" t="s">
        <v>154</v>
      </c>
      <c r="AK1474" s="166">
        <v>0</v>
      </c>
      <c r="AM1474" s="166">
        <v>0</v>
      </c>
      <c r="AO1474" s="166">
        <v>0</v>
      </c>
      <c r="AP1474" s="166">
        <v>0</v>
      </c>
      <c r="AQ1474" s="166">
        <v>0</v>
      </c>
      <c r="AR1474" s="166">
        <v>0</v>
      </c>
      <c r="AS1474" s="166">
        <v>0</v>
      </c>
      <c r="AT1474" s="166">
        <v>0</v>
      </c>
      <c r="AU1474" s="356">
        <f>N1474</f>
        <v>147</v>
      </c>
      <c r="AV1474" s="356">
        <v>0</v>
      </c>
      <c r="AW1474" s="356">
        <v>0</v>
      </c>
      <c r="AX1474" s="356">
        <v>0</v>
      </c>
      <c r="AY1474" s="356">
        <v>0</v>
      </c>
      <c r="AZ1474" s="356">
        <v>0</v>
      </c>
      <c r="BA1474" s="356">
        <v>0</v>
      </c>
      <c r="BB1474" s="356">
        <f>AU1474</f>
        <v>147</v>
      </c>
      <c r="BC1474" s="356">
        <v>0</v>
      </c>
      <c r="BD1474" s="356">
        <v>0</v>
      </c>
      <c r="BE1474" s="356">
        <v>0</v>
      </c>
      <c r="BF1474" s="356">
        <v>0</v>
      </c>
      <c r="BG1474" s="356">
        <v>0</v>
      </c>
      <c r="BH1474" s="356">
        <v>0</v>
      </c>
      <c r="BI1474" s="356">
        <v>0</v>
      </c>
      <c r="BJ1474" s="356">
        <v>0</v>
      </c>
      <c r="BK1474" s="356">
        <v>0</v>
      </c>
      <c r="BL1474" s="356">
        <v>0</v>
      </c>
      <c r="BM1474" s="356">
        <v>0</v>
      </c>
      <c r="BN1474" s="356">
        <v>0</v>
      </c>
      <c r="BO1474" s="356">
        <v>0</v>
      </c>
      <c r="BP1474" s="356">
        <v>0</v>
      </c>
      <c r="BZ1474" s="81" t="s">
        <v>155</v>
      </c>
      <c r="CA1474" s="81">
        <v>13</v>
      </c>
      <c r="CC1474" s="167">
        <v>0</v>
      </c>
      <c r="CD1474" s="167">
        <v>0</v>
      </c>
      <c r="CE1474" s="167">
        <v>0.4</v>
      </c>
      <c r="CF1474" s="167">
        <v>0.4</v>
      </c>
      <c r="CG1474" s="167">
        <v>0.4</v>
      </c>
      <c r="CH1474" s="167">
        <v>0.4</v>
      </c>
      <c r="CI1474" s="167">
        <v>0.4</v>
      </c>
      <c r="CJ1474" s="167">
        <v>3.2823529411764705</v>
      </c>
      <c r="CK1474" s="167">
        <v>3.2823529411764705</v>
      </c>
      <c r="CL1474" s="167">
        <v>3.2823529411764705</v>
      </c>
      <c r="CM1474" s="167">
        <v>3.2823529411764705</v>
      </c>
      <c r="CN1474" s="167">
        <v>3.2823529411764705</v>
      </c>
      <c r="CO1474" s="167">
        <v>9.8656862745098053</v>
      </c>
      <c r="CP1474" s="167">
        <v>9.8656862745098053</v>
      </c>
      <c r="CQ1474" s="167">
        <v>9.8656862745098053</v>
      </c>
      <c r="CR1474" s="167">
        <v>9.8656862745098053</v>
      </c>
      <c r="CS1474" s="167">
        <v>9.8656862745098053</v>
      </c>
      <c r="CT1474" s="167">
        <v>11.322829131652661</v>
      </c>
      <c r="CU1474" s="167">
        <v>11.322829131652661</v>
      </c>
      <c r="CV1474" s="167">
        <v>11.322829131652661</v>
      </c>
      <c r="CW1474" s="167">
        <v>11.322829131652661</v>
      </c>
      <c r="CX1474" s="167">
        <f>SUM(CD1474:CH1474)</f>
        <v>1.6</v>
      </c>
      <c r="CY1474" s="167">
        <f>SUM(CD1474:CM1474)</f>
        <v>15.129411764705882</v>
      </c>
    </row>
    <row r="1475" spans="1:103" ht="12" customHeight="1" x14ac:dyDescent="0.2">
      <c r="B1475" s="165" t="s">
        <v>3837</v>
      </c>
      <c r="L1475" s="166">
        <v>0</v>
      </c>
      <c r="M1475" s="166">
        <v>7362</v>
      </c>
      <c r="N1475" s="166">
        <v>7362</v>
      </c>
      <c r="O1475" s="166">
        <v>7362</v>
      </c>
      <c r="P1475" s="166">
        <v>7362</v>
      </c>
      <c r="S1475" s="81" t="s">
        <v>1906</v>
      </c>
      <c r="W1475" s="81" t="s">
        <v>114</v>
      </c>
      <c r="Y1475" s="81" t="s">
        <v>115</v>
      </c>
      <c r="Z1475" s="81" t="s">
        <v>398</v>
      </c>
      <c r="AA1475" s="81" t="s">
        <v>117</v>
      </c>
      <c r="AB1475" s="81" t="s">
        <v>120</v>
      </c>
      <c r="AC1475" s="166">
        <v>0</v>
      </c>
      <c r="AG1475" s="81" t="s">
        <v>238</v>
      </c>
      <c r="AH1475" s="81" t="s">
        <v>118</v>
      </c>
      <c r="AK1475" s="166">
        <v>0</v>
      </c>
      <c r="AM1475" s="166">
        <v>0</v>
      </c>
      <c r="AO1475" s="166">
        <v>0</v>
      </c>
      <c r="AP1475" s="166">
        <v>0</v>
      </c>
      <c r="AQ1475" s="166">
        <v>0</v>
      </c>
      <c r="AR1475" s="166">
        <v>0</v>
      </c>
      <c r="AS1475" s="166">
        <v>0</v>
      </c>
      <c r="AT1475" s="166">
        <v>0</v>
      </c>
      <c r="AU1475" s="166">
        <v>0</v>
      </c>
      <c r="AV1475" s="166">
        <v>0</v>
      </c>
      <c r="AW1475" s="166">
        <v>0</v>
      </c>
      <c r="AX1475" s="166">
        <v>0</v>
      </c>
      <c r="AY1475" s="166">
        <v>0</v>
      </c>
      <c r="AZ1475" s="166">
        <v>0</v>
      </c>
      <c r="BA1475" s="166">
        <v>0</v>
      </c>
      <c r="BB1475" s="166">
        <v>0</v>
      </c>
      <c r="BC1475" s="166">
        <v>0</v>
      </c>
      <c r="BD1475" s="166">
        <v>0</v>
      </c>
      <c r="BE1475" s="166">
        <v>0</v>
      </c>
      <c r="BF1475" s="166">
        <v>0</v>
      </c>
      <c r="BG1475" s="166">
        <v>0</v>
      </c>
      <c r="BH1475" s="166">
        <v>0</v>
      </c>
      <c r="BI1475" s="166">
        <v>0</v>
      </c>
      <c r="BJ1475" s="166">
        <v>0</v>
      </c>
      <c r="BK1475" s="166">
        <v>0</v>
      </c>
      <c r="BL1475" s="166">
        <v>0</v>
      </c>
      <c r="BM1475" s="166">
        <v>0</v>
      </c>
      <c r="BN1475" s="166">
        <v>0</v>
      </c>
      <c r="BO1475" s="166">
        <v>0</v>
      </c>
      <c r="BP1475" s="166">
        <v>0</v>
      </c>
      <c r="BZ1475" s="81" t="s">
        <v>155</v>
      </c>
      <c r="CA1475" s="81">
        <v>14</v>
      </c>
      <c r="CC1475" s="167">
        <v>0</v>
      </c>
      <c r="CD1475" s="167">
        <v>0</v>
      </c>
      <c r="CE1475" s="167">
        <v>0</v>
      </c>
      <c r="CF1475" s="167">
        <v>409</v>
      </c>
      <c r="CG1475" s="167">
        <v>409</v>
      </c>
      <c r="CH1475" s="167">
        <v>409</v>
      </c>
      <c r="CI1475" s="167">
        <v>409</v>
      </c>
      <c r="CJ1475" s="167">
        <v>409</v>
      </c>
      <c r="CK1475" s="167">
        <v>409</v>
      </c>
      <c r="CL1475" s="167">
        <v>409</v>
      </c>
      <c r="CM1475" s="167">
        <v>409</v>
      </c>
      <c r="CN1475" s="167">
        <v>409</v>
      </c>
      <c r="CO1475" s="167">
        <v>409</v>
      </c>
      <c r="CP1475" s="167">
        <v>409</v>
      </c>
      <c r="CQ1475" s="167">
        <v>409</v>
      </c>
      <c r="CR1475" s="167">
        <v>409</v>
      </c>
      <c r="CS1475" s="167">
        <v>409</v>
      </c>
      <c r="CT1475" s="167">
        <v>409</v>
      </c>
      <c r="CU1475" s="167">
        <v>409</v>
      </c>
      <c r="CV1475" s="167">
        <v>409</v>
      </c>
      <c r="CW1475" s="167">
        <v>409</v>
      </c>
      <c r="CX1475" s="167">
        <f>SUM(CD1475:CH1475)</f>
        <v>1227</v>
      </c>
      <c r="CY1475" s="167">
        <f>SUM(CD1475:CM1475)</f>
        <v>3272</v>
      </c>
    </row>
    <row r="1476" spans="1:103" ht="12" customHeight="1" x14ac:dyDescent="0.2">
      <c r="A1476" s="81">
        <v>116</v>
      </c>
      <c r="B1476" s="165" t="s">
        <v>3840</v>
      </c>
      <c r="C1476" s="165" t="s">
        <v>3838</v>
      </c>
      <c r="E1476" s="165" t="s">
        <v>3332</v>
      </c>
      <c r="G1476" s="81">
        <v>524382</v>
      </c>
      <c r="H1476" s="81">
        <v>175284</v>
      </c>
      <c r="I1476" s="165" t="s">
        <v>259</v>
      </c>
      <c r="J1476" s="350">
        <v>41364</v>
      </c>
      <c r="K1476" s="350">
        <v>42094</v>
      </c>
      <c r="L1476" s="166">
        <v>3</v>
      </c>
      <c r="M1476" s="166">
        <v>0</v>
      </c>
      <c r="N1476" s="166">
        <v>-3</v>
      </c>
      <c r="O1476" s="166">
        <v>0</v>
      </c>
      <c r="P1476" s="166">
        <v>-7</v>
      </c>
      <c r="R1476" s="165" t="s">
        <v>3839</v>
      </c>
      <c r="S1476" s="81" t="s">
        <v>3843</v>
      </c>
      <c r="T1476" s="350">
        <v>40970</v>
      </c>
      <c r="U1476" s="350">
        <v>41058</v>
      </c>
      <c r="W1476" s="81" t="s">
        <v>114</v>
      </c>
      <c r="Y1476" s="81" t="s">
        <v>115</v>
      </c>
      <c r="Z1476" s="81" t="s">
        <v>398</v>
      </c>
      <c r="AA1476" s="81" t="s">
        <v>117</v>
      </c>
      <c r="AB1476" s="81" t="s">
        <v>218</v>
      </c>
      <c r="AC1476" s="166">
        <v>2.4E-2</v>
      </c>
      <c r="AD1476" s="350">
        <v>41364</v>
      </c>
      <c r="AF1476" s="350">
        <v>42094</v>
      </c>
      <c r="AG1476" s="81" t="s">
        <v>238</v>
      </c>
      <c r="AH1476" s="81" t="s">
        <v>118</v>
      </c>
      <c r="AK1476" s="166">
        <v>0</v>
      </c>
      <c r="AM1476" s="166">
        <v>0</v>
      </c>
      <c r="AO1476" s="166">
        <v>0</v>
      </c>
      <c r="AP1476" s="166">
        <v>0</v>
      </c>
      <c r="AQ1476" s="166">
        <v>-3</v>
      </c>
      <c r="AR1476" s="166">
        <v>0</v>
      </c>
      <c r="AS1476" s="166">
        <v>0</v>
      </c>
      <c r="AT1476" s="166">
        <v>0</v>
      </c>
      <c r="AU1476" s="166">
        <v>0</v>
      </c>
      <c r="AV1476" s="166">
        <v>0</v>
      </c>
      <c r="AW1476" s="166">
        <v>0</v>
      </c>
      <c r="AX1476" s="166">
        <v>-3</v>
      </c>
      <c r="AY1476" s="166">
        <v>0</v>
      </c>
      <c r="AZ1476" s="166">
        <v>0</v>
      </c>
      <c r="BA1476" s="166">
        <v>0</v>
      </c>
      <c r="BB1476" s="166">
        <v>0</v>
      </c>
      <c r="BC1476" s="166">
        <v>0</v>
      </c>
      <c r="BD1476" s="166">
        <v>0</v>
      </c>
      <c r="BE1476" s="166">
        <v>0</v>
      </c>
      <c r="BF1476" s="166">
        <v>0</v>
      </c>
      <c r="BG1476" s="166">
        <v>0</v>
      </c>
      <c r="BH1476" s="166">
        <v>0</v>
      </c>
      <c r="BI1476" s="166">
        <v>0</v>
      </c>
      <c r="BJ1476" s="166">
        <v>0</v>
      </c>
      <c r="BK1476" s="166">
        <v>0</v>
      </c>
      <c r="BL1476" s="166">
        <v>0</v>
      </c>
      <c r="BM1476" s="166">
        <v>0</v>
      </c>
      <c r="BN1476" s="166">
        <v>0</v>
      </c>
      <c r="BO1476" s="166">
        <v>0</v>
      </c>
      <c r="BP1476" s="166">
        <v>0</v>
      </c>
      <c r="BQ1476" s="81" t="s">
        <v>1758</v>
      </c>
      <c r="BZ1476" s="81" t="s">
        <v>155</v>
      </c>
      <c r="CA1476" s="81">
        <v>16</v>
      </c>
      <c r="CC1476" s="167">
        <f>N1476</f>
        <v>-3</v>
      </c>
      <c r="CD1476" s="167">
        <v>0</v>
      </c>
      <c r="CE1476" s="167">
        <v>0</v>
      </c>
      <c r="CF1476" s="167">
        <v>0</v>
      </c>
      <c r="CG1476" s="167">
        <v>0</v>
      </c>
      <c r="CH1476" s="167">
        <v>0</v>
      </c>
      <c r="CI1476" s="167">
        <v>0</v>
      </c>
      <c r="CJ1476" s="167">
        <v>0</v>
      </c>
      <c r="CK1476" s="167">
        <v>0</v>
      </c>
      <c r="CL1476" s="167">
        <v>0</v>
      </c>
      <c r="CM1476" s="167">
        <v>0</v>
      </c>
      <c r="CN1476" s="167">
        <v>0</v>
      </c>
      <c r="CO1476" s="167">
        <v>0</v>
      </c>
      <c r="CP1476" s="167">
        <v>0</v>
      </c>
      <c r="CQ1476" s="167">
        <v>0</v>
      </c>
      <c r="CR1476" s="167">
        <v>0</v>
      </c>
      <c r="CS1476" s="167">
        <v>0</v>
      </c>
      <c r="CT1476" s="167">
        <v>0</v>
      </c>
      <c r="CU1476" s="167">
        <v>0</v>
      </c>
      <c r="CV1476" s="167">
        <v>0</v>
      </c>
      <c r="CW1476" s="167">
        <v>0</v>
      </c>
      <c r="CX1476" s="167">
        <f>SUM(CD1476:CH1476)</f>
        <v>0</v>
      </c>
      <c r="CY1476" s="167">
        <f>SUM(CD1476:CM1476)</f>
        <v>0</v>
      </c>
    </row>
    <row r="1477" spans="1:103" ht="12" customHeight="1" x14ac:dyDescent="0.2">
      <c r="A1477" s="81">
        <v>116</v>
      </c>
      <c r="B1477" s="165" t="s">
        <v>3840</v>
      </c>
      <c r="C1477" s="165" t="s">
        <v>3838</v>
      </c>
      <c r="E1477" s="165" t="s">
        <v>3332</v>
      </c>
      <c r="G1477" s="81">
        <v>524382</v>
      </c>
      <c r="H1477" s="81">
        <v>175284</v>
      </c>
      <c r="I1477" s="165" t="s">
        <v>259</v>
      </c>
      <c r="J1477" s="350">
        <v>41364</v>
      </c>
      <c r="K1477" s="350">
        <v>42094</v>
      </c>
      <c r="L1477" s="166">
        <v>4</v>
      </c>
      <c r="M1477" s="166">
        <v>0</v>
      </c>
      <c r="N1477" s="166">
        <v>-4</v>
      </c>
      <c r="O1477" s="166">
        <v>0</v>
      </c>
      <c r="P1477" s="166">
        <v>-7</v>
      </c>
      <c r="R1477" s="165" t="s">
        <v>3839</v>
      </c>
      <c r="S1477" s="81" t="s">
        <v>3843</v>
      </c>
      <c r="T1477" s="350">
        <v>40970</v>
      </c>
      <c r="U1477" s="350">
        <v>41058</v>
      </c>
      <c r="W1477" s="81" t="s">
        <v>114</v>
      </c>
      <c r="Y1477" s="81" t="s">
        <v>115</v>
      </c>
      <c r="Z1477" s="81" t="s">
        <v>398</v>
      </c>
      <c r="AA1477" s="81" t="s">
        <v>117</v>
      </c>
      <c r="AB1477" s="81" t="s">
        <v>300</v>
      </c>
      <c r="AC1477" s="166">
        <v>1.0999999999999999E-2</v>
      </c>
      <c r="AD1477" s="350">
        <v>41364</v>
      </c>
      <c r="AF1477" s="350">
        <v>42094</v>
      </c>
      <c r="AG1477" s="81" t="s">
        <v>238</v>
      </c>
      <c r="AH1477" s="81" t="s">
        <v>118</v>
      </c>
      <c r="AK1477" s="166">
        <v>0</v>
      </c>
      <c r="AM1477" s="166">
        <v>0</v>
      </c>
      <c r="AO1477" s="166">
        <v>0</v>
      </c>
      <c r="AP1477" s="166">
        <v>-3</v>
      </c>
      <c r="AQ1477" s="166">
        <v>-1</v>
      </c>
      <c r="AR1477" s="166">
        <v>0</v>
      </c>
      <c r="AS1477" s="166">
        <v>0</v>
      </c>
      <c r="AT1477" s="166">
        <v>0</v>
      </c>
      <c r="AU1477" s="166">
        <v>0</v>
      </c>
      <c r="AV1477" s="166">
        <v>0</v>
      </c>
      <c r="AW1477" s="166">
        <v>-3</v>
      </c>
      <c r="AX1477" s="166">
        <v>-1</v>
      </c>
      <c r="AY1477" s="166">
        <v>0</v>
      </c>
      <c r="AZ1477" s="166">
        <v>0</v>
      </c>
      <c r="BA1477" s="166">
        <v>0</v>
      </c>
      <c r="BB1477" s="166">
        <v>0</v>
      </c>
      <c r="BC1477" s="166">
        <v>0</v>
      </c>
      <c r="BD1477" s="166">
        <v>0</v>
      </c>
      <c r="BE1477" s="166">
        <v>0</v>
      </c>
      <c r="BF1477" s="166">
        <v>0</v>
      </c>
      <c r="BG1477" s="166">
        <v>0</v>
      </c>
      <c r="BH1477" s="166">
        <v>0</v>
      </c>
      <c r="BI1477" s="166">
        <v>0</v>
      </c>
      <c r="BJ1477" s="166">
        <v>0</v>
      </c>
      <c r="BK1477" s="166">
        <v>0</v>
      </c>
      <c r="BL1477" s="166">
        <v>0</v>
      </c>
      <c r="BM1477" s="166">
        <v>0</v>
      </c>
      <c r="BN1477" s="166">
        <v>0</v>
      </c>
      <c r="BO1477" s="166">
        <v>0</v>
      </c>
      <c r="BP1477" s="166">
        <v>0</v>
      </c>
      <c r="BQ1477" s="81" t="s">
        <v>1758</v>
      </c>
      <c r="BZ1477" s="81" t="s">
        <v>155</v>
      </c>
      <c r="CA1477" s="81">
        <v>16</v>
      </c>
      <c r="CC1477" s="167">
        <f>N1477</f>
        <v>-4</v>
      </c>
      <c r="CD1477" s="167">
        <v>0</v>
      </c>
      <c r="CE1477" s="167">
        <v>0</v>
      </c>
      <c r="CF1477" s="167">
        <v>0</v>
      </c>
      <c r="CG1477" s="167">
        <v>0</v>
      </c>
      <c r="CH1477" s="167">
        <v>0</v>
      </c>
      <c r="CI1477" s="167">
        <v>0</v>
      </c>
      <c r="CJ1477" s="167">
        <v>0</v>
      </c>
      <c r="CK1477" s="167">
        <v>0</v>
      </c>
      <c r="CL1477" s="167">
        <v>0</v>
      </c>
      <c r="CM1477" s="167">
        <v>0</v>
      </c>
      <c r="CN1477" s="167">
        <v>0</v>
      </c>
      <c r="CO1477" s="167">
        <v>0</v>
      </c>
      <c r="CP1477" s="167">
        <v>0</v>
      </c>
      <c r="CQ1477" s="167">
        <v>0</v>
      </c>
      <c r="CR1477" s="167">
        <v>0</v>
      </c>
      <c r="CS1477" s="167">
        <v>0</v>
      </c>
      <c r="CT1477" s="167">
        <v>0</v>
      </c>
      <c r="CU1477" s="167">
        <v>0</v>
      </c>
      <c r="CV1477" s="167">
        <v>0</v>
      </c>
      <c r="CW1477" s="167">
        <v>0</v>
      </c>
      <c r="CX1477" s="167">
        <f>SUM(CD1477:CH1477)</f>
        <v>0</v>
      </c>
      <c r="CY1477" s="167">
        <f>SUM(CD1477:CM1477)</f>
        <v>0</v>
      </c>
    </row>
    <row r="1478" spans="1:103" ht="12.75" customHeight="1" x14ac:dyDescent="0.2">
      <c r="A1478" s="81">
        <v>4984</v>
      </c>
      <c r="B1478" s="165" t="s">
        <v>3840</v>
      </c>
      <c r="C1478" s="165" t="s">
        <v>3841</v>
      </c>
      <c r="E1478" s="165" t="s">
        <v>2114</v>
      </c>
      <c r="G1478" s="81">
        <v>524707</v>
      </c>
      <c r="H1478" s="81">
        <v>173200</v>
      </c>
      <c r="I1478" s="165" t="s">
        <v>111</v>
      </c>
      <c r="J1478" s="350">
        <v>42095</v>
      </c>
      <c r="K1478" s="350">
        <v>42552</v>
      </c>
      <c r="L1478" s="166">
        <v>8</v>
      </c>
      <c r="M1478" s="166">
        <v>1</v>
      </c>
      <c r="N1478" s="166">
        <v>-7</v>
      </c>
      <c r="O1478" s="166">
        <v>1</v>
      </c>
      <c r="P1478" s="166">
        <v>-7</v>
      </c>
      <c r="R1478" s="165" t="s">
        <v>3842</v>
      </c>
      <c r="S1478" s="81" t="s">
        <v>3843</v>
      </c>
      <c r="T1478" s="349">
        <v>41612</v>
      </c>
      <c r="U1478" s="350">
        <v>41991</v>
      </c>
      <c r="W1478" s="81" t="s">
        <v>114</v>
      </c>
      <c r="Y1478" s="81" t="s">
        <v>115</v>
      </c>
      <c r="Z1478" s="81" t="s">
        <v>398</v>
      </c>
      <c r="AA1478" s="81" t="s">
        <v>117</v>
      </c>
      <c r="AB1478" s="81" t="s">
        <v>218</v>
      </c>
      <c r="AC1478" s="166">
        <v>5.2999999374151202E-2</v>
      </c>
      <c r="AD1478" s="350">
        <v>42095</v>
      </c>
      <c r="AF1478" s="350">
        <v>42552</v>
      </c>
      <c r="AG1478" s="81" t="s">
        <v>238</v>
      </c>
      <c r="AH1478" s="81" t="s">
        <v>118</v>
      </c>
      <c r="AK1478" s="166">
        <v>0</v>
      </c>
      <c r="AM1478" s="166">
        <v>0</v>
      </c>
      <c r="AO1478" s="166">
        <v>-1</v>
      </c>
      <c r="AP1478" s="166">
        <v>-1</v>
      </c>
      <c r="AQ1478" s="166">
        <v>-5</v>
      </c>
      <c r="AR1478" s="166">
        <v>-1</v>
      </c>
      <c r="AS1478" s="166">
        <v>1</v>
      </c>
      <c r="AT1478" s="166">
        <v>0</v>
      </c>
      <c r="AU1478" s="166">
        <v>0</v>
      </c>
      <c r="AV1478" s="166">
        <v>-1</v>
      </c>
      <c r="AW1478" s="166">
        <v>-1</v>
      </c>
      <c r="AX1478" s="166">
        <v>-5</v>
      </c>
      <c r="AY1478" s="166">
        <v>-1</v>
      </c>
      <c r="AZ1478" s="166">
        <v>1</v>
      </c>
      <c r="BA1478" s="166">
        <v>0</v>
      </c>
      <c r="BB1478" s="166">
        <v>0</v>
      </c>
      <c r="BC1478" s="166">
        <v>0</v>
      </c>
      <c r="BD1478" s="166">
        <v>0</v>
      </c>
      <c r="BE1478" s="166">
        <v>0</v>
      </c>
      <c r="BF1478" s="166">
        <v>0</v>
      </c>
      <c r="BG1478" s="166">
        <v>0</v>
      </c>
      <c r="BH1478" s="166">
        <v>0</v>
      </c>
      <c r="BI1478" s="166">
        <v>0</v>
      </c>
      <c r="BJ1478" s="166">
        <v>0</v>
      </c>
      <c r="BK1478" s="166">
        <v>0</v>
      </c>
      <c r="BL1478" s="166">
        <v>0</v>
      </c>
      <c r="BM1478" s="166">
        <v>0</v>
      </c>
      <c r="BN1478" s="166">
        <v>0</v>
      </c>
      <c r="BO1478" s="166">
        <v>0</v>
      </c>
      <c r="BP1478" s="166">
        <v>0</v>
      </c>
      <c r="BQ1478" s="81" t="s">
        <v>1758</v>
      </c>
      <c r="BZ1478" s="81" t="s">
        <v>155</v>
      </c>
      <c r="CA1478" s="81">
        <v>16</v>
      </c>
      <c r="CC1478" s="167">
        <f>N1478</f>
        <v>-7</v>
      </c>
      <c r="CD1478" s="167">
        <v>0</v>
      </c>
      <c r="CE1478" s="167">
        <v>0</v>
      </c>
      <c r="CF1478" s="167">
        <v>0</v>
      </c>
      <c r="CG1478" s="167">
        <v>0</v>
      </c>
      <c r="CH1478" s="167">
        <v>0</v>
      </c>
      <c r="CI1478" s="167">
        <v>0</v>
      </c>
      <c r="CJ1478" s="167">
        <v>0</v>
      </c>
      <c r="CK1478" s="167">
        <v>0</v>
      </c>
      <c r="CL1478" s="167">
        <v>0</v>
      </c>
      <c r="CM1478" s="167">
        <v>0</v>
      </c>
      <c r="CN1478" s="167">
        <v>0</v>
      </c>
      <c r="CO1478" s="167">
        <v>0</v>
      </c>
      <c r="CP1478" s="167">
        <v>0</v>
      </c>
      <c r="CQ1478" s="167">
        <v>0</v>
      </c>
      <c r="CR1478" s="167">
        <v>0</v>
      </c>
      <c r="CS1478" s="167">
        <v>0</v>
      </c>
      <c r="CT1478" s="167">
        <v>0</v>
      </c>
      <c r="CU1478" s="167">
        <v>0</v>
      </c>
      <c r="CV1478" s="167">
        <v>0</v>
      </c>
      <c r="CW1478" s="167">
        <v>0</v>
      </c>
      <c r="CX1478" s="167">
        <f>SUM(CD1478:CH1478)</f>
        <v>0</v>
      </c>
      <c r="CY1478" s="167">
        <f>SUM(CD1478:CM1478)</f>
        <v>0</v>
      </c>
    </row>
    <row r="1479" spans="1:103" ht="12" customHeight="1" x14ac:dyDescent="0.2">
      <c r="A1479" s="81">
        <v>5640</v>
      </c>
      <c r="B1479" s="165" t="s">
        <v>3840</v>
      </c>
      <c r="C1479" s="165" t="s">
        <v>3844</v>
      </c>
      <c r="E1479" s="165" t="s">
        <v>3845</v>
      </c>
      <c r="G1479" s="81">
        <v>527333</v>
      </c>
      <c r="H1479" s="81">
        <v>175518</v>
      </c>
      <c r="I1479" s="165" t="s">
        <v>255</v>
      </c>
      <c r="J1479" s="350">
        <v>42716</v>
      </c>
      <c r="K1479" s="350">
        <v>42783</v>
      </c>
      <c r="L1479" s="166">
        <v>62</v>
      </c>
      <c r="M1479" s="166">
        <v>0</v>
      </c>
      <c r="N1479" s="166">
        <v>-62</v>
      </c>
      <c r="O1479" s="166">
        <v>0</v>
      </c>
      <c r="P1479" s="166">
        <v>-62</v>
      </c>
      <c r="R1479" s="165" t="s">
        <v>3846</v>
      </c>
      <c r="S1479" s="81" t="s">
        <v>270</v>
      </c>
      <c r="T1479" s="350">
        <v>41884</v>
      </c>
      <c r="U1479" s="350">
        <v>41940</v>
      </c>
      <c r="W1479" s="81" t="s">
        <v>114</v>
      </c>
      <c r="Y1479" s="81" t="s">
        <v>115</v>
      </c>
      <c r="Z1479" s="81" t="s">
        <v>310</v>
      </c>
      <c r="AA1479" s="81" t="s">
        <v>1764</v>
      </c>
      <c r="AB1479" s="81" t="s">
        <v>117</v>
      </c>
      <c r="AC1479" s="166">
        <v>0.122</v>
      </c>
      <c r="AD1479" s="350">
        <v>42716</v>
      </c>
      <c r="AF1479" s="350">
        <v>42783</v>
      </c>
      <c r="AG1479" s="81" t="s">
        <v>238</v>
      </c>
      <c r="AH1479" s="81" t="s">
        <v>118</v>
      </c>
      <c r="AK1479" s="166">
        <v>0</v>
      </c>
      <c r="AM1479" s="166">
        <v>0</v>
      </c>
      <c r="AO1479" s="166">
        <v>0</v>
      </c>
      <c r="AP1479" s="166">
        <v>-18</v>
      </c>
      <c r="AQ1479" s="166">
        <v>-36</v>
      </c>
      <c r="AR1479" s="166">
        <v>-8</v>
      </c>
      <c r="AS1479" s="166">
        <v>0</v>
      </c>
      <c r="AT1479" s="166">
        <v>0</v>
      </c>
      <c r="AU1479" s="166">
        <v>0</v>
      </c>
      <c r="AV1479" s="166">
        <v>0</v>
      </c>
      <c r="AW1479" s="166">
        <v>-18</v>
      </c>
      <c r="AX1479" s="166">
        <v>-36</v>
      </c>
      <c r="AY1479" s="166">
        <v>-8</v>
      </c>
      <c r="AZ1479" s="166">
        <v>0</v>
      </c>
      <c r="BA1479" s="166">
        <v>0</v>
      </c>
      <c r="BB1479" s="166">
        <v>0</v>
      </c>
      <c r="BC1479" s="166">
        <v>0</v>
      </c>
      <c r="BD1479" s="166">
        <v>0</v>
      </c>
      <c r="BE1479" s="166">
        <v>0</v>
      </c>
      <c r="BF1479" s="166">
        <v>0</v>
      </c>
      <c r="BG1479" s="166">
        <v>0</v>
      </c>
      <c r="BH1479" s="166">
        <v>0</v>
      </c>
      <c r="BI1479" s="166">
        <v>0</v>
      </c>
      <c r="BJ1479" s="166">
        <v>0</v>
      </c>
      <c r="BK1479" s="166">
        <v>0</v>
      </c>
      <c r="BL1479" s="166">
        <v>0</v>
      </c>
      <c r="BM1479" s="166">
        <v>0</v>
      </c>
      <c r="BN1479" s="166">
        <v>0</v>
      </c>
      <c r="BO1479" s="166">
        <v>0</v>
      </c>
      <c r="BP1479" s="166">
        <v>0</v>
      </c>
      <c r="BQ1479" s="81" t="s">
        <v>1757</v>
      </c>
      <c r="BZ1479" s="81" t="s">
        <v>155</v>
      </c>
      <c r="CA1479" s="81">
        <v>16</v>
      </c>
      <c r="CC1479" s="167">
        <f>N1479</f>
        <v>-62</v>
      </c>
      <c r="CD1479" s="167">
        <v>0</v>
      </c>
      <c r="CE1479" s="167">
        <v>0</v>
      </c>
      <c r="CF1479" s="167">
        <v>0</v>
      </c>
      <c r="CG1479" s="167">
        <v>0</v>
      </c>
      <c r="CH1479" s="167">
        <v>0</v>
      </c>
      <c r="CI1479" s="167">
        <v>0</v>
      </c>
      <c r="CJ1479" s="167">
        <v>0</v>
      </c>
      <c r="CK1479" s="167">
        <v>0</v>
      </c>
      <c r="CL1479" s="167">
        <v>0</v>
      </c>
      <c r="CM1479" s="167">
        <v>0</v>
      </c>
      <c r="CN1479" s="167">
        <v>0</v>
      </c>
      <c r="CO1479" s="167">
        <v>0</v>
      </c>
      <c r="CP1479" s="167">
        <v>0</v>
      </c>
      <c r="CQ1479" s="167">
        <v>0</v>
      </c>
      <c r="CR1479" s="167">
        <v>0</v>
      </c>
      <c r="CS1479" s="167">
        <v>0</v>
      </c>
      <c r="CT1479" s="167">
        <v>0</v>
      </c>
      <c r="CU1479" s="167">
        <v>0</v>
      </c>
      <c r="CV1479" s="167">
        <v>0</v>
      </c>
      <c r="CW1479" s="167">
        <v>0</v>
      </c>
      <c r="CX1479" s="167">
        <f>SUM(CD1479:CH1479)</f>
        <v>0</v>
      </c>
      <c r="CY1479" s="167">
        <f>SUM(CD1479:CM1479)</f>
        <v>0</v>
      </c>
    </row>
  </sheetData>
  <autoFilter ref="A1:CY1479" xr:uid="{00000000-0009-0000-0000-000004000000}">
    <sortState ref="A2:CY1479">
      <sortCondition ref="B2:B1479"/>
      <sortCondition ref="A2:A1479"/>
      <sortCondition ref="C2:C1479"/>
      <sortCondition ref="F2:F1479"/>
      <sortCondition descending="1" ref="M2:M1479"/>
    </sortState>
  </autoFilter>
  <pageMargins left="0.39370078740157483" right="0.39370078740157483" top="0.39370078740157483" bottom="0.39370078740157483" header="0.19685039370078741" footer="0.19685039370078741"/>
  <pageSetup paperSize="8" fitToHeight="0" orientation="landscape"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BP36"/>
  <sheetViews>
    <sheetView workbookViewId="0">
      <pane xSplit="3" ySplit="1" topLeftCell="D2" activePane="bottomRight" state="frozenSplit"/>
      <selection pane="topRight" activeCell="E1" sqref="E1"/>
      <selection pane="bottomLeft" activeCell="A18" sqref="A18"/>
      <selection pane="bottomRight" activeCell="I26" sqref="I26"/>
    </sheetView>
  </sheetViews>
  <sheetFormatPr defaultRowHeight="12" x14ac:dyDescent="0.2"/>
  <cols>
    <col min="1" max="1" width="5" style="74" customWidth="1"/>
    <col min="2" max="2" width="20" style="50" customWidth="1"/>
    <col min="3" max="3" width="10" style="74" customWidth="1"/>
    <col min="4" max="4" width="21.85546875" style="50" customWidth="1"/>
    <col min="5" max="5" width="43" style="50" customWidth="1"/>
    <col min="6" max="6" width="7" style="74" customWidth="1"/>
    <col min="7" max="7" width="7.85546875" style="74" customWidth="1"/>
    <col min="8" max="8" width="26.140625" style="50" customWidth="1"/>
    <col min="9" max="9" width="11.42578125" style="74" customWidth="1"/>
    <col min="10" max="10" width="9.85546875" style="74" customWidth="1"/>
    <col min="11" max="11" width="7.42578125" style="77" customWidth="1"/>
    <col min="12" max="12" width="8.85546875" style="77" customWidth="1"/>
    <col min="13" max="13" width="6.7109375" style="77" customWidth="1"/>
    <col min="14" max="14" width="7.42578125" style="77" customWidth="1"/>
    <col min="15" max="15" width="8.85546875" style="77" customWidth="1"/>
    <col min="16" max="16" width="6.7109375" style="77" customWidth="1"/>
    <col min="17" max="17" width="7.42578125" style="77" customWidth="1"/>
    <col min="18" max="18" width="8.85546875" style="77" customWidth="1"/>
    <col min="19" max="19" width="7" style="77" customWidth="1"/>
    <col min="20" max="20" width="7.42578125" style="77" customWidth="1"/>
    <col min="21" max="21" width="8.85546875" style="77" customWidth="1"/>
    <col min="22" max="22" width="7.28515625" style="77" customWidth="1"/>
    <col min="23" max="23" width="13.140625" style="77" customWidth="1"/>
    <col min="24" max="24" width="14.5703125" style="77" customWidth="1"/>
    <col min="25" max="25" width="10" style="77" customWidth="1"/>
    <col min="26" max="28" width="9.140625" style="77" customWidth="1"/>
    <col min="29" max="29" width="25.7109375" style="50" customWidth="1"/>
    <col min="30" max="30" width="9.7109375" style="74" customWidth="1"/>
    <col min="31" max="32" width="9.85546875" style="74" customWidth="1"/>
    <col min="33" max="33" width="6.5703125" style="74" customWidth="1"/>
    <col min="34" max="34" width="9.85546875" style="74" customWidth="1"/>
    <col min="35" max="35" width="15" style="74" customWidth="1"/>
    <col min="36" max="36" width="14.28515625" style="74" customWidth="1"/>
    <col min="37" max="37" width="9.140625" style="50"/>
    <col min="38" max="38" width="9.140625" style="74"/>
    <col min="39" max="39" width="10" style="74" customWidth="1"/>
    <col min="40" max="40" width="9.140625" style="50"/>
    <col min="41" max="41" width="7" style="74" customWidth="1"/>
    <col min="42" max="42" width="16.85546875" style="50" customWidth="1"/>
    <col min="43" max="43" width="9.140625" style="74"/>
    <col min="44" max="44" width="11.28515625" style="74" customWidth="1"/>
    <col min="45" max="16384" width="9.140625" style="50"/>
  </cols>
  <sheetData>
    <row r="1" spans="1:68" s="72" customFormat="1" ht="49.5" customHeight="1" x14ac:dyDescent="0.2">
      <c r="A1" s="73" t="s">
        <v>1850</v>
      </c>
      <c r="B1" s="72" t="s">
        <v>197</v>
      </c>
      <c r="C1" s="73" t="s">
        <v>1851</v>
      </c>
      <c r="D1" s="72" t="s">
        <v>170</v>
      </c>
      <c r="E1" s="72" t="s">
        <v>1852</v>
      </c>
      <c r="F1" s="73" t="s">
        <v>171</v>
      </c>
      <c r="G1" s="73" t="s">
        <v>172</v>
      </c>
      <c r="H1" s="72" t="s">
        <v>60</v>
      </c>
      <c r="I1" s="73" t="s">
        <v>1854</v>
      </c>
      <c r="J1" s="73" t="s">
        <v>1855</v>
      </c>
      <c r="K1" s="76" t="s">
        <v>3748</v>
      </c>
      <c r="L1" s="76" t="s">
        <v>3749</v>
      </c>
      <c r="M1" s="76" t="s">
        <v>3750</v>
      </c>
      <c r="N1" s="76" t="s">
        <v>3751</v>
      </c>
      <c r="O1" s="76" t="s">
        <v>3752</v>
      </c>
      <c r="P1" s="76" t="s">
        <v>3753</v>
      </c>
      <c r="Q1" s="76" t="s">
        <v>3754</v>
      </c>
      <c r="R1" s="76" t="s">
        <v>3755</v>
      </c>
      <c r="S1" s="76" t="s">
        <v>3756</v>
      </c>
      <c r="T1" s="76" t="s">
        <v>3757</v>
      </c>
      <c r="U1" s="76" t="s">
        <v>3758</v>
      </c>
      <c r="V1" s="76" t="s">
        <v>3759</v>
      </c>
      <c r="W1" s="76" t="s">
        <v>3760</v>
      </c>
      <c r="X1" s="76" t="s">
        <v>3761</v>
      </c>
      <c r="Y1" s="76" t="s">
        <v>3762</v>
      </c>
      <c r="Z1" s="76" t="s">
        <v>3763</v>
      </c>
      <c r="AA1" s="76" t="s">
        <v>3764</v>
      </c>
      <c r="AB1" s="76" t="s">
        <v>3765</v>
      </c>
      <c r="AC1" s="72" t="s">
        <v>173</v>
      </c>
      <c r="AD1" s="73" t="s">
        <v>174</v>
      </c>
      <c r="AE1" s="73" t="s">
        <v>176</v>
      </c>
      <c r="AF1" s="73" t="s">
        <v>1861</v>
      </c>
      <c r="AG1" s="73" t="s">
        <v>175</v>
      </c>
      <c r="AH1" s="73" t="s">
        <v>177</v>
      </c>
      <c r="AI1" s="73" t="s">
        <v>3766</v>
      </c>
      <c r="AJ1" s="73" t="s">
        <v>3767</v>
      </c>
      <c r="AK1" s="72" t="s">
        <v>409</v>
      </c>
      <c r="AL1" s="73" t="s">
        <v>408</v>
      </c>
      <c r="AM1" s="73" t="s">
        <v>1867</v>
      </c>
      <c r="AN1" s="72" t="s">
        <v>1868</v>
      </c>
      <c r="AO1" s="73" t="s">
        <v>3768</v>
      </c>
      <c r="AP1" s="72" t="s">
        <v>3769</v>
      </c>
      <c r="AQ1" s="73" t="s">
        <v>3834</v>
      </c>
      <c r="AR1" s="73" t="s">
        <v>1901</v>
      </c>
      <c r="AS1" s="72" t="s">
        <v>3815</v>
      </c>
      <c r="AT1" s="72" t="s">
        <v>2</v>
      </c>
      <c r="AU1" s="72" t="s">
        <v>3</v>
      </c>
      <c r="AV1" s="72" t="s">
        <v>4</v>
      </c>
      <c r="AW1" s="72" t="s">
        <v>5</v>
      </c>
      <c r="AX1" s="72" t="s">
        <v>6</v>
      </c>
      <c r="AY1" s="72" t="s">
        <v>7</v>
      </c>
      <c r="AZ1" s="72" t="s">
        <v>8</v>
      </c>
      <c r="BA1" s="72" t="s">
        <v>9</v>
      </c>
      <c r="BB1" s="72" t="s">
        <v>10</v>
      </c>
      <c r="BC1" s="72" t="s">
        <v>11</v>
      </c>
      <c r="BD1" s="72" t="s">
        <v>12</v>
      </c>
      <c r="BE1" s="72" t="s">
        <v>13</v>
      </c>
      <c r="BF1" s="72" t="s">
        <v>14</v>
      </c>
      <c r="BG1" s="72" t="s">
        <v>15</v>
      </c>
      <c r="BH1" s="72" t="s">
        <v>832</v>
      </c>
      <c r="BI1" s="72" t="s">
        <v>1760</v>
      </c>
      <c r="BJ1" s="72" t="s">
        <v>3816</v>
      </c>
      <c r="BK1" s="72" t="s">
        <v>3817</v>
      </c>
      <c r="BL1" s="72" t="s">
        <v>3818</v>
      </c>
      <c r="BM1" s="72" t="s">
        <v>3819</v>
      </c>
      <c r="BN1" s="72" t="s">
        <v>3820</v>
      </c>
      <c r="BO1" s="72" t="s">
        <v>212</v>
      </c>
      <c r="BP1" s="72" t="s">
        <v>3833</v>
      </c>
    </row>
    <row r="2" spans="1:68" x14ac:dyDescent="0.2">
      <c r="A2" s="74">
        <v>1333</v>
      </c>
      <c r="B2" s="50" t="s">
        <v>1924</v>
      </c>
      <c r="C2" s="74" t="s">
        <v>3770</v>
      </c>
      <c r="D2" s="50" t="s">
        <v>3771</v>
      </c>
      <c r="E2" s="50" t="s">
        <v>3772</v>
      </c>
      <c r="F2" s="74">
        <v>527289</v>
      </c>
      <c r="G2" s="74">
        <v>171131</v>
      </c>
      <c r="H2" s="50" t="s">
        <v>253</v>
      </c>
      <c r="I2" s="75">
        <v>42825</v>
      </c>
      <c r="J2" s="75">
        <v>43190</v>
      </c>
      <c r="K2" s="77">
        <v>0</v>
      </c>
      <c r="L2" s="77">
        <v>0</v>
      </c>
      <c r="M2" s="77">
        <v>0</v>
      </c>
      <c r="N2" s="77">
        <v>0</v>
      </c>
      <c r="O2" s="77">
        <v>3</v>
      </c>
      <c r="P2" s="77">
        <v>3</v>
      </c>
      <c r="Q2" s="77">
        <v>0</v>
      </c>
      <c r="R2" s="77">
        <v>0</v>
      </c>
      <c r="S2" s="77">
        <v>0</v>
      </c>
      <c r="T2" s="77">
        <v>0</v>
      </c>
      <c r="U2" s="77">
        <v>0</v>
      </c>
      <c r="V2" s="77">
        <v>0</v>
      </c>
      <c r="W2" s="77">
        <v>0</v>
      </c>
      <c r="X2" s="77">
        <v>0</v>
      </c>
      <c r="Y2" s="77">
        <v>0</v>
      </c>
      <c r="Z2" s="77">
        <v>0</v>
      </c>
      <c r="AA2" s="77">
        <v>3</v>
      </c>
      <c r="AB2" s="77">
        <v>3</v>
      </c>
      <c r="AC2" s="50" t="s">
        <v>3773</v>
      </c>
      <c r="AD2" s="74" t="s">
        <v>113</v>
      </c>
      <c r="AE2" s="75">
        <v>42445</v>
      </c>
      <c r="AF2" s="75">
        <v>42626</v>
      </c>
      <c r="AG2" s="74" t="s">
        <v>114</v>
      </c>
      <c r="AL2" s="74" t="s">
        <v>118</v>
      </c>
      <c r="AP2" s="50" t="s">
        <v>3774</v>
      </c>
      <c r="AQ2" s="74" t="s">
        <v>155</v>
      </c>
      <c r="AR2" s="74">
        <v>1</v>
      </c>
      <c r="AT2" s="164">
        <f t="shared" ref="AT2:AT10" si="0">AB2</f>
        <v>3</v>
      </c>
      <c r="AU2" s="164">
        <v>0</v>
      </c>
      <c r="AV2" s="164">
        <v>0</v>
      </c>
      <c r="AW2" s="164">
        <v>0</v>
      </c>
      <c r="AX2" s="164">
        <v>0</v>
      </c>
      <c r="AY2" s="164">
        <v>0</v>
      </c>
      <c r="AZ2" s="164">
        <v>0</v>
      </c>
      <c r="BA2" s="164">
        <v>0</v>
      </c>
      <c r="BB2" s="164">
        <v>0</v>
      </c>
      <c r="BC2" s="164">
        <v>0</v>
      </c>
      <c r="BD2" s="164">
        <v>0</v>
      </c>
      <c r="BE2" s="164">
        <v>0</v>
      </c>
      <c r="BF2" s="164">
        <v>0</v>
      </c>
      <c r="BG2" s="164">
        <v>0</v>
      </c>
      <c r="BH2" s="164">
        <v>0</v>
      </c>
      <c r="BI2" s="164">
        <v>0</v>
      </c>
      <c r="BJ2" s="164">
        <v>0</v>
      </c>
      <c r="BK2" s="164">
        <v>0</v>
      </c>
      <c r="BL2" s="164">
        <v>0</v>
      </c>
      <c r="BM2" s="164">
        <v>0</v>
      </c>
      <c r="BN2" s="164">
        <v>0</v>
      </c>
      <c r="BO2" s="164">
        <f t="shared" ref="BO2:BO10" si="1">SUM(AU2:BN2)</f>
        <v>0</v>
      </c>
      <c r="BP2" s="164">
        <f t="shared" ref="BP2:BP10" si="2">SUM(AU2:BN2)</f>
        <v>0</v>
      </c>
    </row>
    <row r="3" spans="1:68" x14ac:dyDescent="0.2">
      <c r="A3" s="74">
        <v>4811</v>
      </c>
      <c r="B3" s="50" t="s">
        <v>1924</v>
      </c>
      <c r="C3" s="74" t="s">
        <v>3117</v>
      </c>
      <c r="E3" s="50" t="s">
        <v>3118</v>
      </c>
      <c r="F3" s="74">
        <v>524902</v>
      </c>
      <c r="G3" s="74">
        <v>174155</v>
      </c>
      <c r="H3" s="50" t="s">
        <v>250</v>
      </c>
      <c r="I3" s="75">
        <v>43039</v>
      </c>
      <c r="J3" s="75">
        <v>43190</v>
      </c>
      <c r="K3" s="77">
        <v>0</v>
      </c>
      <c r="L3" s="77">
        <v>7</v>
      </c>
      <c r="M3" s="77">
        <v>7</v>
      </c>
      <c r="N3" s="77">
        <v>0</v>
      </c>
      <c r="O3" s="77">
        <v>0</v>
      </c>
      <c r="P3" s="77">
        <v>0</v>
      </c>
      <c r="Q3" s="77">
        <v>0</v>
      </c>
      <c r="R3" s="77">
        <v>0</v>
      </c>
      <c r="S3" s="77">
        <v>0</v>
      </c>
      <c r="T3" s="77">
        <v>0</v>
      </c>
      <c r="U3" s="77">
        <v>0</v>
      </c>
      <c r="V3" s="77">
        <v>0</v>
      </c>
      <c r="W3" s="77">
        <v>0</v>
      </c>
      <c r="X3" s="77">
        <v>0</v>
      </c>
      <c r="Y3" s="77">
        <v>0</v>
      </c>
      <c r="Z3" s="77">
        <v>0</v>
      </c>
      <c r="AA3" s="77">
        <v>7</v>
      </c>
      <c r="AB3" s="77">
        <v>7</v>
      </c>
      <c r="AC3" s="50" t="s">
        <v>3119</v>
      </c>
      <c r="AD3" s="74" t="s">
        <v>113</v>
      </c>
      <c r="AE3" s="75">
        <v>42983</v>
      </c>
      <c r="AF3" s="75">
        <v>43039</v>
      </c>
      <c r="AG3" s="74" t="s">
        <v>114</v>
      </c>
      <c r="AI3" s="75">
        <v>43039</v>
      </c>
      <c r="AJ3" s="75">
        <v>43190</v>
      </c>
      <c r="AQ3" s="74" t="s">
        <v>155</v>
      </c>
      <c r="AR3" s="74">
        <v>1</v>
      </c>
      <c r="AT3" s="164">
        <f t="shared" si="0"/>
        <v>7</v>
      </c>
      <c r="AU3" s="164">
        <v>0</v>
      </c>
      <c r="AV3" s="164">
        <v>0</v>
      </c>
      <c r="AW3" s="164">
        <v>0</v>
      </c>
      <c r="AX3" s="164">
        <v>0</v>
      </c>
      <c r="AY3" s="164">
        <v>0</v>
      </c>
      <c r="AZ3" s="164">
        <v>0</v>
      </c>
      <c r="BA3" s="164">
        <v>0</v>
      </c>
      <c r="BB3" s="164">
        <v>0</v>
      </c>
      <c r="BC3" s="164">
        <v>0</v>
      </c>
      <c r="BD3" s="164">
        <v>0</v>
      </c>
      <c r="BE3" s="164">
        <v>0</v>
      </c>
      <c r="BF3" s="164">
        <v>0</v>
      </c>
      <c r="BG3" s="164">
        <v>0</v>
      </c>
      <c r="BH3" s="164">
        <v>0</v>
      </c>
      <c r="BI3" s="164">
        <v>0</v>
      </c>
      <c r="BJ3" s="164">
        <v>0</v>
      </c>
      <c r="BK3" s="164">
        <v>0</v>
      </c>
      <c r="BL3" s="164">
        <v>0</v>
      </c>
      <c r="BM3" s="164">
        <v>0</v>
      </c>
      <c r="BN3" s="164">
        <v>0</v>
      </c>
      <c r="BO3" s="164">
        <f t="shared" si="1"/>
        <v>0</v>
      </c>
      <c r="BP3" s="164">
        <f t="shared" si="2"/>
        <v>0</v>
      </c>
    </row>
    <row r="4" spans="1:68" x14ac:dyDescent="0.2">
      <c r="A4" s="74">
        <v>5526</v>
      </c>
      <c r="B4" s="50" t="s">
        <v>1924</v>
      </c>
      <c r="C4" s="74" t="s">
        <v>785</v>
      </c>
      <c r="D4" s="50" t="s">
        <v>511</v>
      </c>
      <c r="E4" s="50" t="s">
        <v>3137</v>
      </c>
      <c r="F4" s="74">
        <v>529051</v>
      </c>
      <c r="G4" s="74">
        <v>172623</v>
      </c>
      <c r="H4" s="50" t="s">
        <v>248</v>
      </c>
      <c r="I4" s="75">
        <v>42522</v>
      </c>
      <c r="J4" s="75">
        <v>43091</v>
      </c>
      <c r="K4" s="77">
        <v>0</v>
      </c>
      <c r="L4" s="77">
        <v>0</v>
      </c>
      <c r="M4" s="77">
        <v>0</v>
      </c>
      <c r="N4" s="77">
        <v>16</v>
      </c>
      <c r="O4" s="77">
        <v>0</v>
      </c>
      <c r="P4" s="77">
        <v>-16</v>
      </c>
      <c r="Q4" s="77">
        <v>0</v>
      </c>
      <c r="R4" s="77">
        <v>0</v>
      </c>
      <c r="S4" s="77">
        <v>0</v>
      </c>
      <c r="T4" s="77">
        <v>0</v>
      </c>
      <c r="U4" s="77">
        <v>0</v>
      </c>
      <c r="V4" s="77">
        <v>0</v>
      </c>
      <c r="W4" s="77">
        <v>0</v>
      </c>
      <c r="X4" s="77">
        <v>0</v>
      </c>
      <c r="Y4" s="77">
        <v>0</v>
      </c>
      <c r="Z4" s="77">
        <v>16</v>
      </c>
      <c r="AA4" s="77">
        <v>0</v>
      </c>
      <c r="AB4" s="77">
        <v>-16</v>
      </c>
      <c r="AC4" s="50" t="s">
        <v>957</v>
      </c>
      <c r="AD4" s="74" t="s">
        <v>113</v>
      </c>
      <c r="AE4" s="75">
        <v>42272</v>
      </c>
      <c r="AF4" s="75">
        <v>42464</v>
      </c>
      <c r="AG4" s="74" t="s">
        <v>114</v>
      </c>
      <c r="AQ4" s="74" t="s">
        <v>155</v>
      </c>
      <c r="AR4" s="74">
        <v>1</v>
      </c>
      <c r="AT4" s="164">
        <f t="shared" si="0"/>
        <v>-16</v>
      </c>
      <c r="AU4" s="164">
        <v>0</v>
      </c>
      <c r="AV4" s="164">
        <v>0</v>
      </c>
      <c r="AW4" s="164">
        <v>0</v>
      </c>
      <c r="AX4" s="164">
        <v>0</v>
      </c>
      <c r="AY4" s="164">
        <v>0</v>
      </c>
      <c r="AZ4" s="164">
        <v>0</v>
      </c>
      <c r="BA4" s="164">
        <v>0</v>
      </c>
      <c r="BB4" s="164">
        <v>0</v>
      </c>
      <c r="BC4" s="164">
        <v>0</v>
      </c>
      <c r="BD4" s="164">
        <v>0</v>
      </c>
      <c r="BE4" s="164">
        <v>0</v>
      </c>
      <c r="BF4" s="164">
        <v>0</v>
      </c>
      <c r="BG4" s="164">
        <v>0</v>
      </c>
      <c r="BH4" s="164">
        <v>0</v>
      </c>
      <c r="BI4" s="164">
        <v>0</v>
      </c>
      <c r="BJ4" s="164">
        <v>0</v>
      </c>
      <c r="BK4" s="164">
        <v>0</v>
      </c>
      <c r="BL4" s="164">
        <v>0</v>
      </c>
      <c r="BM4" s="164">
        <v>0</v>
      </c>
      <c r="BN4" s="164">
        <v>0</v>
      </c>
      <c r="BO4" s="164">
        <f t="shared" si="1"/>
        <v>0</v>
      </c>
      <c r="BP4" s="164">
        <f t="shared" si="2"/>
        <v>0</v>
      </c>
    </row>
    <row r="5" spans="1:68" x14ac:dyDescent="0.2">
      <c r="A5" s="74">
        <v>5813</v>
      </c>
      <c r="B5" s="50" t="s">
        <v>1924</v>
      </c>
      <c r="C5" s="74" t="s">
        <v>337</v>
      </c>
      <c r="E5" s="50" t="s">
        <v>3160</v>
      </c>
      <c r="F5" s="74">
        <v>527658</v>
      </c>
      <c r="G5" s="74">
        <v>175538</v>
      </c>
      <c r="H5" s="50" t="s">
        <v>256</v>
      </c>
      <c r="I5" s="75">
        <v>42354</v>
      </c>
      <c r="J5" s="75">
        <v>42859</v>
      </c>
      <c r="K5" s="77">
        <v>0</v>
      </c>
      <c r="L5" s="77">
        <v>0</v>
      </c>
      <c r="M5" s="77">
        <v>0</v>
      </c>
      <c r="N5" s="77">
        <v>0</v>
      </c>
      <c r="O5" s="77">
        <v>0</v>
      </c>
      <c r="P5" s="77">
        <v>0</v>
      </c>
      <c r="Q5" s="77">
        <v>0</v>
      </c>
      <c r="R5" s="77">
        <v>0</v>
      </c>
      <c r="S5" s="77">
        <v>0</v>
      </c>
      <c r="T5" s="77">
        <v>0</v>
      </c>
      <c r="U5" s="77">
        <v>0</v>
      </c>
      <c r="V5" s="77">
        <v>0</v>
      </c>
      <c r="W5" s="77">
        <v>3</v>
      </c>
      <c r="X5" s="77">
        <v>0</v>
      </c>
      <c r="Y5" s="77">
        <v>-3</v>
      </c>
      <c r="Z5" s="77">
        <v>3</v>
      </c>
      <c r="AA5" s="77">
        <v>0</v>
      </c>
      <c r="AB5" s="77">
        <v>-3</v>
      </c>
      <c r="AC5" s="50" t="s">
        <v>338</v>
      </c>
      <c r="AD5" s="74" t="s">
        <v>113</v>
      </c>
      <c r="AE5" s="75">
        <v>41988</v>
      </c>
      <c r="AF5" s="75">
        <v>42044</v>
      </c>
      <c r="AG5" s="74" t="s">
        <v>114</v>
      </c>
      <c r="AI5" s="75">
        <v>42859</v>
      </c>
      <c r="AJ5" s="75">
        <v>42859</v>
      </c>
      <c r="AQ5" s="74" t="s">
        <v>155</v>
      </c>
      <c r="AR5" s="74">
        <v>1</v>
      </c>
      <c r="AT5" s="164">
        <f t="shared" si="0"/>
        <v>-3</v>
      </c>
      <c r="AU5" s="164">
        <v>0</v>
      </c>
      <c r="AV5" s="164">
        <v>0</v>
      </c>
      <c r="AW5" s="164">
        <v>0</v>
      </c>
      <c r="AX5" s="164">
        <v>0</v>
      </c>
      <c r="AY5" s="164">
        <v>0</v>
      </c>
      <c r="AZ5" s="164">
        <v>0</v>
      </c>
      <c r="BA5" s="164">
        <v>0</v>
      </c>
      <c r="BB5" s="164">
        <v>0</v>
      </c>
      <c r="BC5" s="164">
        <v>0</v>
      </c>
      <c r="BD5" s="164">
        <v>0</v>
      </c>
      <c r="BE5" s="164">
        <v>0</v>
      </c>
      <c r="BF5" s="164">
        <v>0</v>
      </c>
      <c r="BG5" s="164">
        <v>0</v>
      </c>
      <c r="BH5" s="164">
        <v>0</v>
      </c>
      <c r="BI5" s="164">
        <v>0</v>
      </c>
      <c r="BJ5" s="164">
        <v>0</v>
      </c>
      <c r="BK5" s="164">
        <v>0</v>
      </c>
      <c r="BL5" s="164">
        <v>0</v>
      </c>
      <c r="BM5" s="164">
        <v>0</v>
      </c>
      <c r="BN5" s="164">
        <v>0</v>
      </c>
      <c r="BO5" s="164">
        <f t="shared" si="1"/>
        <v>0</v>
      </c>
      <c r="BP5" s="164">
        <f t="shared" si="2"/>
        <v>0</v>
      </c>
    </row>
    <row r="6" spans="1:68" x14ac:dyDescent="0.2">
      <c r="A6" s="74">
        <v>5847</v>
      </c>
      <c r="B6" s="50" t="s">
        <v>1924</v>
      </c>
      <c r="C6" s="74" t="s">
        <v>3775</v>
      </c>
      <c r="E6" s="50" t="s">
        <v>3776</v>
      </c>
      <c r="F6" s="74">
        <v>527837</v>
      </c>
      <c r="G6" s="74">
        <v>175357</v>
      </c>
      <c r="H6" s="50" t="s">
        <v>256</v>
      </c>
      <c r="I6" s="75">
        <v>42826</v>
      </c>
      <c r="J6" s="75">
        <v>43190</v>
      </c>
      <c r="K6" s="77">
        <v>0</v>
      </c>
      <c r="L6" s="77">
        <v>7</v>
      </c>
      <c r="M6" s="77">
        <v>7</v>
      </c>
      <c r="N6" s="77">
        <v>0</v>
      </c>
      <c r="O6" s="77">
        <v>0</v>
      </c>
      <c r="P6" s="77">
        <v>0</v>
      </c>
      <c r="Q6" s="77">
        <v>0</v>
      </c>
      <c r="R6" s="77">
        <v>0</v>
      </c>
      <c r="S6" s="77">
        <v>0</v>
      </c>
      <c r="T6" s="77">
        <v>0</v>
      </c>
      <c r="U6" s="77">
        <v>0</v>
      </c>
      <c r="V6" s="77">
        <v>0</v>
      </c>
      <c r="W6" s="77">
        <v>6</v>
      </c>
      <c r="X6" s="77">
        <v>0</v>
      </c>
      <c r="Y6" s="77">
        <v>-6</v>
      </c>
      <c r="Z6" s="77">
        <v>6</v>
      </c>
      <c r="AA6" s="77">
        <v>7</v>
      </c>
      <c r="AB6" s="77">
        <v>1</v>
      </c>
      <c r="AC6" s="50" t="s">
        <v>3777</v>
      </c>
      <c r="AD6" s="74" t="s">
        <v>113</v>
      </c>
      <c r="AE6" s="75">
        <v>42026</v>
      </c>
      <c r="AF6" s="75">
        <v>42082</v>
      </c>
      <c r="AG6" s="74" t="s">
        <v>114</v>
      </c>
      <c r="AQ6" s="74" t="s">
        <v>155</v>
      </c>
      <c r="AR6" s="74">
        <v>1</v>
      </c>
      <c r="AT6" s="164">
        <f t="shared" si="0"/>
        <v>1</v>
      </c>
      <c r="AU6" s="164">
        <v>0</v>
      </c>
      <c r="AV6" s="164">
        <v>0</v>
      </c>
      <c r="AW6" s="164">
        <v>0</v>
      </c>
      <c r="AX6" s="164">
        <v>0</v>
      </c>
      <c r="AY6" s="164">
        <v>0</v>
      </c>
      <c r="AZ6" s="164">
        <v>0</v>
      </c>
      <c r="BA6" s="164">
        <v>0</v>
      </c>
      <c r="BB6" s="164">
        <v>0</v>
      </c>
      <c r="BC6" s="164">
        <v>0</v>
      </c>
      <c r="BD6" s="164">
        <v>0</v>
      </c>
      <c r="BE6" s="164">
        <v>0</v>
      </c>
      <c r="BF6" s="164">
        <v>0</v>
      </c>
      <c r="BG6" s="164">
        <v>0</v>
      </c>
      <c r="BH6" s="164">
        <v>0</v>
      </c>
      <c r="BI6" s="164">
        <v>0</v>
      </c>
      <c r="BJ6" s="164">
        <v>0</v>
      </c>
      <c r="BK6" s="164">
        <v>0</v>
      </c>
      <c r="BL6" s="164">
        <v>0</v>
      </c>
      <c r="BM6" s="164">
        <v>0</v>
      </c>
      <c r="BN6" s="164">
        <v>0</v>
      </c>
      <c r="BO6" s="164">
        <f t="shared" si="1"/>
        <v>0</v>
      </c>
      <c r="BP6" s="164">
        <f t="shared" si="2"/>
        <v>0</v>
      </c>
    </row>
    <row r="7" spans="1:68" x14ac:dyDescent="0.2">
      <c r="A7" s="74">
        <v>6014</v>
      </c>
      <c r="B7" s="50" t="s">
        <v>1924</v>
      </c>
      <c r="C7" s="74" t="s">
        <v>961</v>
      </c>
      <c r="E7" s="50" t="s">
        <v>3183</v>
      </c>
      <c r="F7" s="74">
        <v>527855</v>
      </c>
      <c r="G7" s="74">
        <v>174092</v>
      </c>
      <c r="H7" s="50" t="s">
        <v>255</v>
      </c>
      <c r="I7" s="75">
        <v>42702</v>
      </c>
      <c r="J7" s="75">
        <v>43116</v>
      </c>
      <c r="K7" s="77">
        <v>0</v>
      </c>
      <c r="L7" s="77">
        <v>0</v>
      </c>
      <c r="M7" s="77">
        <v>0</v>
      </c>
      <c r="N7" s="77">
        <v>0</v>
      </c>
      <c r="O7" s="77">
        <v>0</v>
      </c>
      <c r="P7" s="77">
        <v>0</v>
      </c>
      <c r="Q7" s="77">
        <v>0</v>
      </c>
      <c r="R7" s="77">
        <v>0</v>
      </c>
      <c r="S7" s="77">
        <v>0</v>
      </c>
      <c r="T7" s="77">
        <v>0</v>
      </c>
      <c r="U7" s="77">
        <v>0</v>
      </c>
      <c r="V7" s="77">
        <v>0</v>
      </c>
      <c r="W7" s="77">
        <v>9</v>
      </c>
      <c r="X7" s="77">
        <v>0</v>
      </c>
      <c r="Y7" s="77">
        <v>-9</v>
      </c>
      <c r="Z7" s="77">
        <v>9</v>
      </c>
      <c r="AA7" s="77">
        <v>0</v>
      </c>
      <c r="AB7" s="77">
        <v>-9</v>
      </c>
      <c r="AC7" s="50" t="s">
        <v>962</v>
      </c>
      <c r="AD7" s="74" t="s">
        <v>296</v>
      </c>
      <c r="AE7" s="75">
        <v>42299</v>
      </c>
      <c r="AF7" s="75">
        <v>42391</v>
      </c>
      <c r="AG7" s="74" t="s">
        <v>297</v>
      </c>
      <c r="AH7" s="75">
        <v>42577</v>
      </c>
      <c r="AQ7" s="74" t="s">
        <v>155</v>
      </c>
      <c r="AR7" s="74">
        <v>1</v>
      </c>
      <c r="AT7" s="164">
        <f t="shared" si="0"/>
        <v>-9</v>
      </c>
      <c r="AU7" s="164">
        <v>0</v>
      </c>
      <c r="AV7" s="164">
        <v>0</v>
      </c>
      <c r="AW7" s="164">
        <v>0</v>
      </c>
      <c r="AX7" s="164">
        <v>0</v>
      </c>
      <c r="AY7" s="164">
        <v>0</v>
      </c>
      <c r="AZ7" s="164">
        <v>0</v>
      </c>
      <c r="BA7" s="164">
        <v>0</v>
      </c>
      <c r="BB7" s="164">
        <v>0</v>
      </c>
      <c r="BC7" s="164">
        <v>0</v>
      </c>
      <c r="BD7" s="164">
        <v>0</v>
      </c>
      <c r="BE7" s="164">
        <v>0</v>
      </c>
      <c r="BF7" s="164">
        <v>0</v>
      </c>
      <c r="BG7" s="164">
        <v>0</v>
      </c>
      <c r="BH7" s="164">
        <v>0</v>
      </c>
      <c r="BI7" s="164">
        <v>0</v>
      </c>
      <c r="BJ7" s="164">
        <v>0</v>
      </c>
      <c r="BK7" s="164">
        <v>0</v>
      </c>
      <c r="BL7" s="164">
        <v>0</v>
      </c>
      <c r="BM7" s="164">
        <v>0</v>
      </c>
      <c r="BN7" s="164">
        <v>0</v>
      </c>
      <c r="BO7" s="164">
        <f t="shared" si="1"/>
        <v>0</v>
      </c>
      <c r="BP7" s="164">
        <f t="shared" si="2"/>
        <v>0</v>
      </c>
    </row>
    <row r="8" spans="1:68" x14ac:dyDescent="0.2">
      <c r="A8" s="74">
        <v>6288</v>
      </c>
      <c r="B8" s="50" t="s">
        <v>1924</v>
      </c>
      <c r="C8" s="74" t="s">
        <v>1380</v>
      </c>
      <c r="E8" s="50" t="s">
        <v>3236</v>
      </c>
      <c r="F8" s="74">
        <v>528742</v>
      </c>
      <c r="G8" s="74">
        <v>176723</v>
      </c>
      <c r="H8" s="50" t="s">
        <v>240</v>
      </c>
      <c r="I8" s="75">
        <v>42741</v>
      </c>
      <c r="J8" s="75">
        <v>42944</v>
      </c>
      <c r="K8" s="77">
        <v>0</v>
      </c>
      <c r="L8" s="77">
        <v>7</v>
      </c>
      <c r="M8" s="77">
        <v>7</v>
      </c>
      <c r="N8" s="77">
        <v>0</v>
      </c>
      <c r="O8" s="77">
        <v>0</v>
      </c>
      <c r="P8" s="77">
        <v>0</v>
      </c>
      <c r="Q8" s="77">
        <v>0</v>
      </c>
      <c r="R8" s="77">
        <v>0</v>
      </c>
      <c r="S8" s="77">
        <v>0</v>
      </c>
      <c r="T8" s="77">
        <v>0</v>
      </c>
      <c r="U8" s="77">
        <v>0</v>
      </c>
      <c r="V8" s="77">
        <v>0</v>
      </c>
      <c r="W8" s="77">
        <v>0</v>
      </c>
      <c r="X8" s="77">
        <v>0</v>
      </c>
      <c r="Y8" s="77">
        <v>0</v>
      </c>
      <c r="Z8" s="77">
        <v>0</v>
      </c>
      <c r="AA8" s="77">
        <v>7</v>
      </c>
      <c r="AB8" s="77">
        <v>7</v>
      </c>
      <c r="AC8" s="50" t="s">
        <v>1381</v>
      </c>
      <c r="AD8" s="74" t="s">
        <v>113</v>
      </c>
      <c r="AE8" s="75">
        <v>42591</v>
      </c>
      <c r="AF8" s="75">
        <v>42647</v>
      </c>
      <c r="AG8" s="74" t="s">
        <v>114</v>
      </c>
      <c r="AQ8" s="74" t="s">
        <v>155</v>
      </c>
      <c r="AR8" s="74">
        <v>1</v>
      </c>
      <c r="AT8" s="164">
        <f t="shared" si="0"/>
        <v>7</v>
      </c>
      <c r="AU8" s="164">
        <v>0</v>
      </c>
      <c r="AV8" s="164">
        <v>0</v>
      </c>
      <c r="AW8" s="164">
        <v>0</v>
      </c>
      <c r="AX8" s="164">
        <v>0</v>
      </c>
      <c r="AY8" s="164">
        <v>0</v>
      </c>
      <c r="AZ8" s="164">
        <v>0</v>
      </c>
      <c r="BA8" s="164">
        <v>0</v>
      </c>
      <c r="BB8" s="164">
        <v>0</v>
      </c>
      <c r="BC8" s="164">
        <v>0</v>
      </c>
      <c r="BD8" s="164">
        <v>0</v>
      </c>
      <c r="BE8" s="164">
        <v>0</v>
      </c>
      <c r="BF8" s="164">
        <v>0</v>
      </c>
      <c r="BG8" s="164">
        <v>0</v>
      </c>
      <c r="BH8" s="164">
        <v>0</v>
      </c>
      <c r="BI8" s="164">
        <v>0</v>
      </c>
      <c r="BJ8" s="164">
        <v>0</v>
      </c>
      <c r="BK8" s="164">
        <v>0</v>
      </c>
      <c r="BL8" s="164">
        <v>0</v>
      </c>
      <c r="BM8" s="164">
        <v>0</v>
      </c>
      <c r="BN8" s="164">
        <v>0</v>
      </c>
      <c r="BO8" s="164">
        <f t="shared" si="1"/>
        <v>0</v>
      </c>
      <c r="BP8" s="164">
        <f t="shared" si="2"/>
        <v>0</v>
      </c>
    </row>
    <row r="9" spans="1:68" x14ac:dyDescent="0.2">
      <c r="A9" s="74">
        <v>6309</v>
      </c>
      <c r="B9" s="50" t="s">
        <v>1924</v>
      </c>
      <c r="C9" s="74" t="s">
        <v>3238</v>
      </c>
      <c r="E9" s="50" t="s">
        <v>3239</v>
      </c>
      <c r="F9" s="74">
        <v>526019</v>
      </c>
      <c r="G9" s="74">
        <v>174719</v>
      </c>
      <c r="H9" s="50" t="s">
        <v>251</v>
      </c>
      <c r="I9" s="75">
        <v>42825</v>
      </c>
      <c r="J9" s="75">
        <v>43053</v>
      </c>
      <c r="K9" s="77">
        <v>7</v>
      </c>
      <c r="L9" s="77">
        <v>0</v>
      </c>
      <c r="M9" s="77">
        <v>-7</v>
      </c>
      <c r="N9" s="77">
        <v>0</v>
      </c>
      <c r="O9" s="77">
        <v>0</v>
      </c>
      <c r="P9" s="77">
        <v>0</v>
      </c>
      <c r="Q9" s="77">
        <v>0</v>
      </c>
      <c r="R9" s="77">
        <v>0</v>
      </c>
      <c r="S9" s="77">
        <v>0</v>
      </c>
      <c r="T9" s="77">
        <v>0</v>
      </c>
      <c r="U9" s="77">
        <v>0</v>
      </c>
      <c r="V9" s="77">
        <v>0</v>
      </c>
      <c r="W9" s="77">
        <v>0</v>
      </c>
      <c r="X9" s="77">
        <v>0</v>
      </c>
      <c r="Y9" s="77">
        <v>0</v>
      </c>
      <c r="Z9" s="77">
        <v>7</v>
      </c>
      <c r="AA9" s="77">
        <v>0</v>
      </c>
      <c r="AB9" s="77">
        <v>-7</v>
      </c>
      <c r="AC9" s="50" t="s">
        <v>3240</v>
      </c>
      <c r="AD9" s="74" t="s">
        <v>113</v>
      </c>
      <c r="AE9" s="75">
        <v>42781</v>
      </c>
      <c r="AF9" s="75">
        <v>42872</v>
      </c>
      <c r="AG9" s="74" t="s">
        <v>114</v>
      </c>
      <c r="AL9" s="74" t="s">
        <v>347</v>
      </c>
      <c r="AQ9" s="74" t="s">
        <v>155</v>
      </c>
      <c r="AR9" s="74">
        <v>1</v>
      </c>
      <c r="AT9" s="164">
        <f t="shared" si="0"/>
        <v>-7</v>
      </c>
      <c r="AU9" s="164">
        <v>0</v>
      </c>
      <c r="AV9" s="164">
        <v>0</v>
      </c>
      <c r="AW9" s="164">
        <v>0</v>
      </c>
      <c r="AX9" s="164">
        <v>0</v>
      </c>
      <c r="AY9" s="164">
        <v>0</v>
      </c>
      <c r="AZ9" s="164">
        <v>0</v>
      </c>
      <c r="BA9" s="164">
        <v>0</v>
      </c>
      <c r="BB9" s="164">
        <v>0</v>
      </c>
      <c r="BC9" s="164">
        <v>0</v>
      </c>
      <c r="BD9" s="164">
        <v>0</v>
      </c>
      <c r="BE9" s="164">
        <v>0</v>
      </c>
      <c r="BF9" s="164">
        <v>0</v>
      </c>
      <c r="BG9" s="164">
        <v>0</v>
      </c>
      <c r="BH9" s="164">
        <v>0</v>
      </c>
      <c r="BI9" s="164">
        <v>0</v>
      </c>
      <c r="BJ9" s="164">
        <v>0</v>
      </c>
      <c r="BK9" s="164">
        <v>0</v>
      </c>
      <c r="BL9" s="164">
        <v>0</v>
      </c>
      <c r="BM9" s="164">
        <v>0</v>
      </c>
      <c r="BN9" s="164">
        <v>0</v>
      </c>
      <c r="BO9" s="164">
        <f t="shared" si="1"/>
        <v>0</v>
      </c>
      <c r="BP9" s="164">
        <f t="shared" si="2"/>
        <v>0</v>
      </c>
    </row>
    <row r="10" spans="1:68" x14ac:dyDescent="0.2">
      <c r="A10" s="74">
        <v>6752</v>
      </c>
      <c r="B10" s="50" t="s">
        <v>1924</v>
      </c>
      <c r="C10" s="74" t="s">
        <v>3321</v>
      </c>
      <c r="E10" s="50" t="s">
        <v>3322</v>
      </c>
      <c r="F10" s="74">
        <v>528477</v>
      </c>
      <c r="G10" s="74">
        <v>172519</v>
      </c>
      <c r="H10" s="50" t="s">
        <v>248</v>
      </c>
      <c r="I10" s="75">
        <v>43125</v>
      </c>
      <c r="J10" s="75">
        <v>43125</v>
      </c>
      <c r="K10" s="77">
        <v>0</v>
      </c>
      <c r="L10" s="77">
        <v>0</v>
      </c>
      <c r="M10" s="77">
        <v>0</v>
      </c>
      <c r="N10" s="77">
        <v>0</v>
      </c>
      <c r="O10" s="77">
        <v>0</v>
      </c>
      <c r="P10" s="77">
        <v>0</v>
      </c>
      <c r="Q10" s="77">
        <v>0</v>
      </c>
      <c r="R10" s="77">
        <v>0</v>
      </c>
      <c r="S10" s="77">
        <v>0</v>
      </c>
      <c r="T10" s="77">
        <v>0</v>
      </c>
      <c r="U10" s="77">
        <v>0</v>
      </c>
      <c r="V10" s="77">
        <v>0</v>
      </c>
      <c r="W10" s="77">
        <v>0</v>
      </c>
      <c r="X10" s="77">
        <v>6</v>
      </c>
      <c r="Y10" s="77">
        <v>6</v>
      </c>
      <c r="Z10" s="77">
        <v>0</v>
      </c>
      <c r="AA10" s="77">
        <v>6</v>
      </c>
      <c r="AB10" s="77">
        <v>6</v>
      </c>
      <c r="AC10" s="50" t="s">
        <v>3323</v>
      </c>
      <c r="AD10" s="74" t="s">
        <v>504</v>
      </c>
      <c r="AE10" s="75">
        <v>43069</v>
      </c>
      <c r="AF10" s="75">
        <v>43125</v>
      </c>
      <c r="AG10" s="74" t="s">
        <v>114</v>
      </c>
      <c r="AI10" s="75">
        <v>43125</v>
      </c>
      <c r="AJ10" s="75">
        <v>43125</v>
      </c>
      <c r="AQ10" s="74" t="s">
        <v>155</v>
      </c>
      <c r="AR10" s="74">
        <v>1</v>
      </c>
      <c r="AT10" s="164">
        <f t="shared" si="0"/>
        <v>6</v>
      </c>
      <c r="AU10" s="164">
        <v>0</v>
      </c>
      <c r="AV10" s="164">
        <v>0</v>
      </c>
      <c r="AW10" s="164">
        <v>0</v>
      </c>
      <c r="AX10" s="164">
        <v>0</v>
      </c>
      <c r="AY10" s="164">
        <v>0</v>
      </c>
      <c r="AZ10" s="164">
        <v>0</v>
      </c>
      <c r="BA10" s="164">
        <v>0</v>
      </c>
      <c r="BB10" s="164">
        <v>0</v>
      </c>
      <c r="BC10" s="164">
        <v>0</v>
      </c>
      <c r="BD10" s="164">
        <v>0</v>
      </c>
      <c r="BE10" s="164">
        <v>0</v>
      </c>
      <c r="BF10" s="164">
        <v>0</v>
      </c>
      <c r="BG10" s="164">
        <v>0</v>
      </c>
      <c r="BH10" s="164">
        <v>0</v>
      </c>
      <c r="BI10" s="164">
        <v>0</v>
      </c>
      <c r="BJ10" s="164">
        <v>0</v>
      </c>
      <c r="BK10" s="164">
        <v>0</v>
      </c>
      <c r="BL10" s="164">
        <v>0</v>
      </c>
      <c r="BM10" s="164">
        <v>0</v>
      </c>
      <c r="BN10" s="164">
        <v>0</v>
      </c>
      <c r="BO10" s="164">
        <f t="shared" si="1"/>
        <v>0</v>
      </c>
      <c r="BP10" s="164">
        <f t="shared" si="2"/>
        <v>0</v>
      </c>
    </row>
    <row r="11" spans="1:68" x14ac:dyDescent="0.2">
      <c r="A11" s="74">
        <v>786</v>
      </c>
      <c r="B11" s="50" t="s">
        <v>1908</v>
      </c>
      <c r="C11" s="74" t="s">
        <v>3350</v>
      </c>
      <c r="E11" s="50" t="s">
        <v>2023</v>
      </c>
      <c r="F11" s="74">
        <v>529441</v>
      </c>
      <c r="G11" s="74">
        <v>171210</v>
      </c>
      <c r="H11" s="50" t="s">
        <v>252</v>
      </c>
      <c r="I11" s="75">
        <v>42979</v>
      </c>
      <c r="K11" s="77">
        <v>0</v>
      </c>
      <c r="L11" s="77">
        <v>0</v>
      </c>
      <c r="M11" s="77">
        <v>0</v>
      </c>
      <c r="N11" s="77">
        <v>7</v>
      </c>
      <c r="O11" s="77">
        <v>0</v>
      </c>
      <c r="P11" s="77">
        <v>-7</v>
      </c>
      <c r="Q11" s="77">
        <v>0</v>
      </c>
      <c r="R11" s="77">
        <v>0</v>
      </c>
      <c r="S11" s="77">
        <v>0</v>
      </c>
      <c r="T11" s="77">
        <v>0</v>
      </c>
      <c r="U11" s="77">
        <v>0</v>
      </c>
      <c r="V11" s="77">
        <v>0</v>
      </c>
      <c r="W11" s="77">
        <v>0</v>
      </c>
      <c r="X11" s="77">
        <v>0</v>
      </c>
      <c r="Y11" s="77">
        <v>0</v>
      </c>
      <c r="Z11" s="77">
        <v>7</v>
      </c>
      <c r="AA11" s="77">
        <v>0</v>
      </c>
      <c r="AB11" s="77">
        <v>-7</v>
      </c>
      <c r="AC11" s="50" t="s">
        <v>3351</v>
      </c>
      <c r="AD11" s="74" t="s">
        <v>113</v>
      </c>
      <c r="AE11" s="75">
        <v>42898</v>
      </c>
      <c r="AF11" s="75">
        <v>42961</v>
      </c>
      <c r="AG11" s="74" t="s">
        <v>114</v>
      </c>
      <c r="AP11" s="50" t="s">
        <v>1794</v>
      </c>
      <c r="AQ11" s="74" t="s">
        <v>155</v>
      </c>
      <c r="AR11" s="74" t="s">
        <v>3976</v>
      </c>
      <c r="AT11" s="164">
        <v>0</v>
      </c>
      <c r="AU11" s="164">
        <f>AB11</f>
        <v>-7</v>
      </c>
      <c r="AV11" s="164">
        <v>0</v>
      </c>
      <c r="AW11" s="164">
        <v>0</v>
      </c>
      <c r="AX11" s="164">
        <v>0</v>
      </c>
      <c r="AY11" s="164">
        <v>0</v>
      </c>
      <c r="AZ11" s="164">
        <v>0</v>
      </c>
      <c r="BA11" s="164">
        <v>0</v>
      </c>
      <c r="BB11" s="164">
        <v>0</v>
      </c>
      <c r="BC11" s="164">
        <v>0</v>
      </c>
      <c r="BD11" s="164">
        <v>0</v>
      </c>
      <c r="BE11" s="164">
        <v>0</v>
      </c>
      <c r="BF11" s="164">
        <v>0</v>
      </c>
      <c r="BG11" s="164">
        <v>0</v>
      </c>
      <c r="BH11" s="164">
        <v>0</v>
      </c>
      <c r="BI11" s="164">
        <v>0</v>
      </c>
      <c r="BJ11" s="164">
        <v>0</v>
      </c>
      <c r="BK11" s="164">
        <v>0</v>
      </c>
      <c r="BL11" s="164">
        <v>0</v>
      </c>
      <c r="BM11" s="164">
        <v>0</v>
      </c>
      <c r="BN11" s="164">
        <v>0</v>
      </c>
      <c r="BO11" s="164">
        <f t="shared" ref="BO11:BO36" si="3">SUM(AU11:AY11)</f>
        <v>-7</v>
      </c>
      <c r="BP11" s="164">
        <f t="shared" ref="BP11:BP36" si="4">SUM(AU11:BD11)</f>
        <v>-7</v>
      </c>
    </row>
    <row r="12" spans="1:68" x14ac:dyDescent="0.2">
      <c r="A12" s="74">
        <v>2502</v>
      </c>
      <c r="B12" s="50" t="s">
        <v>1908</v>
      </c>
      <c r="C12" s="74" t="s">
        <v>236</v>
      </c>
      <c r="E12" s="50" t="s">
        <v>1993</v>
      </c>
      <c r="F12" s="74">
        <v>527221</v>
      </c>
      <c r="G12" s="74">
        <v>172443</v>
      </c>
      <c r="H12" s="50" t="s">
        <v>260</v>
      </c>
      <c r="I12" s="75">
        <v>42244</v>
      </c>
      <c r="K12" s="77">
        <v>0</v>
      </c>
      <c r="L12" s="77">
        <v>0</v>
      </c>
      <c r="M12" s="77">
        <v>0</v>
      </c>
      <c r="N12" s="77">
        <v>0</v>
      </c>
      <c r="O12" s="77">
        <v>50</v>
      </c>
      <c r="P12" s="77">
        <v>50</v>
      </c>
      <c r="Q12" s="77">
        <v>0</v>
      </c>
      <c r="R12" s="77">
        <v>0</v>
      </c>
      <c r="S12" s="77">
        <v>0</v>
      </c>
      <c r="T12" s="77">
        <v>0</v>
      </c>
      <c r="U12" s="77">
        <v>0</v>
      </c>
      <c r="V12" s="77">
        <v>0</v>
      </c>
      <c r="W12" s="77">
        <v>0</v>
      </c>
      <c r="X12" s="77">
        <v>0</v>
      </c>
      <c r="Y12" s="77">
        <v>0</v>
      </c>
      <c r="Z12" s="77">
        <v>0</v>
      </c>
      <c r="AA12" s="77">
        <v>50</v>
      </c>
      <c r="AB12" s="77">
        <v>50</v>
      </c>
      <c r="AC12" s="50" t="s">
        <v>738</v>
      </c>
      <c r="AD12" s="74" t="s">
        <v>296</v>
      </c>
      <c r="AE12" s="75">
        <v>40431</v>
      </c>
      <c r="AF12" s="75">
        <v>40587</v>
      </c>
      <c r="AG12" s="74" t="s">
        <v>297</v>
      </c>
      <c r="AH12" s="75">
        <v>41082</v>
      </c>
      <c r="AL12" s="74" t="s">
        <v>3807</v>
      </c>
      <c r="AM12" s="74" t="s">
        <v>1994</v>
      </c>
      <c r="AO12" s="74" t="s">
        <v>155</v>
      </c>
      <c r="AP12" s="50" t="s">
        <v>3803</v>
      </c>
      <c r="AQ12" s="74" t="s">
        <v>155</v>
      </c>
      <c r="AR12" s="74" t="s">
        <v>3934</v>
      </c>
      <c r="AT12" s="164">
        <v>0</v>
      </c>
      <c r="AU12" s="164">
        <v>0</v>
      </c>
      <c r="AV12" s="164">
        <v>0</v>
      </c>
      <c r="AW12" s="164">
        <f>AB12</f>
        <v>50</v>
      </c>
      <c r="AX12" s="164">
        <v>0</v>
      </c>
      <c r="AY12" s="164">
        <v>0</v>
      </c>
      <c r="AZ12" s="164">
        <v>0</v>
      </c>
      <c r="BA12" s="164">
        <v>0</v>
      </c>
      <c r="BB12" s="164">
        <v>0</v>
      </c>
      <c r="BC12" s="164">
        <v>0</v>
      </c>
      <c r="BD12" s="164">
        <v>0</v>
      </c>
      <c r="BE12" s="164">
        <v>0</v>
      </c>
      <c r="BF12" s="164">
        <v>0</v>
      </c>
      <c r="BG12" s="164">
        <v>0</v>
      </c>
      <c r="BH12" s="164">
        <v>0</v>
      </c>
      <c r="BI12" s="164">
        <v>0</v>
      </c>
      <c r="BJ12" s="164">
        <v>0</v>
      </c>
      <c r="BK12" s="164">
        <v>0</v>
      </c>
      <c r="BL12" s="164">
        <v>0</v>
      </c>
      <c r="BM12" s="164">
        <v>0</v>
      </c>
      <c r="BN12" s="164">
        <v>0</v>
      </c>
      <c r="BO12" s="164">
        <f t="shared" si="3"/>
        <v>50</v>
      </c>
      <c r="BP12" s="164">
        <f t="shared" si="4"/>
        <v>50</v>
      </c>
    </row>
    <row r="13" spans="1:68" x14ac:dyDescent="0.2">
      <c r="A13" s="74">
        <v>3978</v>
      </c>
      <c r="B13" s="50" t="s">
        <v>1908</v>
      </c>
      <c r="C13" s="81" t="s">
        <v>3808</v>
      </c>
      <c r="E13" s="50" t="s">
        <v>3809</v>
      </c>
      <c r="F13" s="74">
        <v>526357</v>
      </c>
      <c r="G13" s="74">
        <v>174832</v>
      </c>
      <c r="H13" s="50" t="s">
        <v>251</v>
      </c>
      <c r="I13" s="75">
        <v>42936</v>
      </c>
      <c r="K13" s="77">
        <v>0</v>
      </c>
      <c r="L13" s="77">
        <v>0</v>
      </c>
      <c r="M13" s="77">
        <v>0</v>
      </c>
      <c r="N13" s="77">
        <v>0</v>
      </c>
      <c r="O13" s="77">
        <v>98</v>
      </c>
      <c r="P13" s="77">
        <v>98</v>
      </c>
      <c r="Q13" s="77">
        <v>0</v>
      </c>
      <c r="R13" s="77">
        <v>0</v>
      </c>
      <c r="S13" s="77">
        <v>0</v>
      </c>
      <c r="T13" s="77">
        <v>0</v>
      </c>
      <c r="U13" s="77">
        <v>0</v>
      </c>
      <c r="V13" s="77">
        <v>0</v>
      </c>
      <c r="W13" s="77">
        <v>0</v>
      </c>
      <c r="X13" s="77">
        <v>0</v>
      </c>
      <c r="Y13" s="77">
        <v>0</v>
      </c>
      <c r="Z13" s="77">
        <v>0</v>
      </c>
      <c r="AA13" s="77">
        <v>98</v>
      </c>
      <c r="AB13" s="77">
        <v>98</v>
      </c>
      <c r="AC13" s="50" t="s">
        <v>3810</v>
      </c>
      <c r="AD13" s="74" t="s">
        <v>104</v>
      </c>
      <c r="AE13" s="75">
        <v>42681</v>
      </c>
      <c r="AF13" s="75">
        <v>42836</v>
      </c>
      <c r="AG13" s="74" t="s">
        <v>114</v>
      </c>
      <c r="AI13" s="75">
        <v>42936</v>
      </c>
      <c r="AM13" s="74" t="s">
        <v>3811</v>
      </c>
      <c r="AQ13" s="74" t="s">
        <v>155</v>
      </c>
      <c r="AR13" s="74" t="s">
        <v>3934</v>
      </c>
      <c r="AT13" s="164">
        <v>0</v>
      </c>
      <c r="AU13" s="164">
        <v>0</v>
      </c>
      <c r="AV13" s="164">
        <f>AB13</f>
        <v>98</v>
      </c>
      <c r="AW13" s="164">
        <v>0</v>
      </c>
      <c r="AX13" s="164">
        <v>0</v>
      </c>
      <c r="AY13" s="164">
        <v>0</v>
      </c>
      <c r="AZ13" s="164">
        <v>0</v>
      </c>
      <c r="BA13" s="164">
        <v>0</v>
      </c>
      <c r="BB13" s="164">
        <v>0</v>
      </c>
      <c r="BC13" s="164">
        <v>0</v>
      </c>
      <c r="BD13" s="164">
        <v>0</v>
      </c>
      <c r="BE13" s="164">
        <v>0</v>
      </c>
      <c r="BF13" s="164">
        <v>0</v>
      </c>
      <c r="BG13" s="164">
        <v>0</v>
      </c>
      <c r="BH13" s="164">
        <v>0</v>
      </c>
      <c r="BI13" s="164">
        <v>0</v>
      </c>
      <c r="BJ13" s="164">
        <v>0</v>
      </c>
      <c r="BK13" s="164">
        <v>0</v>
      </c>
      <c r="BL13" s="164">
        <v>0</v>
      </c>
      <c r="BM13" s="164">
        <v>0</v>
      </c>
      <c r="BN13" s="164">
        <v>0</v>
      </c>
      <c r="BO13" s="164">
        <f t="shared" si="3"/>
        <v>98</v>
      </c>
      <c r="BP13" s="164">
        <f t="shared" si="4"/>
        <v>98</v>
      </c>
    </row>
    <row r="14" spans="1:68" x14ac:dyDescent="0.2">
      <c r="A14" s="74">
        <v>4817</v>
      </c>
      <c r="B14" s="50" t="s">
        <v>1908</v>
      </c>
      <c r="C14" s="81" t="s">
        <v>3812</v>
      </c>
      <c r="E14" s="50" t="s">
        <v>3813</v>
      </c>
      <c r="F14" s="74">
        <v>528244</v>
      </c>
      <c r="G14" s="74">
        <v>176622</v>
      </c>
      <c r="H14" s="50" t="s">
        <v>240</v>
      </c>
      <c r="I14" s="75">
        <v>43190</v>
      </c>
      <c r="K14" s="77">
        <v>0</v>
      </c>
      <c r="L14" s="77">
        <v>0</v>
      </c>
      <c r="M14" s="77">
        <v>0</v>
      </c>
      <c r="N14" s="77">
        <v>59</v>
      </c>
      <c r="O14" s="77">
        <v>108</v>
      </c>
      <c r="P14" s="77">
        <v>49</v>
      </c>
      <c r="Q14" s="77">
        <v>0</v>
      </c>
      <c r="R14" s="77">
        <v>0</v>
      </c>
      <c r="S14" s="77">
        <v>0</v>
      </c>
      <c r="T14" s="77">
        <v>0</v>
      </c>
      <c r="U14" s="77">
        <v>0</v>
      </c>
      <c r="V14" s="77">
        <v>0</v>
      </c>
      <c r="W14" s="77">
        <v>0</v>
      </c>
      <c r="X14" s="77">
        <v>0</v>
      </c>
      <c r="Y14" s="77">
        <v>0</v>
      </c>
      <c r="Z14" s="77">
        <v>59</v>
      </c>
      <c r="AA14" s="77">
        <v>108</v>
      </c>
      <c r="AB14" s="77">
        <v>49</v>
      </c>
      <c r="AC14" s="50" t="s">
        <v>3814</v>
      </c>
      <c r="AD14" s="74" t="s">
        <v>104</v>
      </c>
      <c r="AE14" s="75">
        <v>42656</v>
      </c>
      <c r="AF14" s="75">
        <v>42965</v>
      </c>
      <c r="AG14" s="74" t="s">
        <v>114</v>
      </c>
      <c r="AI14" s="75">
        <v>43190</v>
      </c>
      <c r="AP14" s="50" t="s">
        <v>1794</v>
      </c>
      <c r="AQ14" s="74" t="s">
        <v>155</v>
      </c>
      <c r="AR14" s="74" t="s">
        <v>3934</v>
      </c>
      <c r="AT14" s="164">
        <v>0</v>
      </c>
      <c r="AU14" s="164">
        <v>0</v>
      </c>
      <c r="AV14" s="164">
        <f>AB14</f>
        <v>49</v>
      </c>
      <c r="AW14" s="164">
        <v>0</v>
      </c>
      <c r="AX14" s="164">
        <v>0</v>
      </c>
      <c r="AY14" s="164">
        <v>0</v>
      </c>
      <c r="AZ14" s="164">
        <v>0</v>
      </c>
      <c r="BA14" s="164">
        <v>0</v>
      </c>
      <c r="BB14" s="164">
        <v>0</v>
      </c>
      <c r="BC14" s="164">
        <v>0</v>
      </c>
      <c r="BD14" s="164">
        <v>0</v>
      </c>
      <c r="BE14" s="164">
        <v>0</v>
      </c>
      <c r="BF14" s="164">
        <v>0</v>
      </c>
      <c r="BG14" s="164">
        <v>0</v>
      </c>
      <c r="BH14" s="164">
        <v>0</v>
      </c>
      <c r="BI14" s="164">
        <v>0</v>
      </c>
      <c r="BJ14" s="164">
        <v>0</v>
      </c>
      <c r="BK14" s="164">
        <v>0</v>
      </c>
      <c r="BL14" s="164">
        <v>0</v>
      </c>
      <c r="BM14" s="164">
        <v>0</v>
      </c>
      <c r="BN14" s="164">
        <v>0</v>
      </c>
      <c r="BO14" s="164">
        <f t="shared" si="3"/>
        <v>49</v>
      </c>
      <c r="BP14" s="164">
        <f t="shared" si="4"/>
        <v>49</v>
      </c>
    </row>
    <row r="15" spans="1:68" x14ac:dyDescent="0.2">
      <c r="A15" s="74">
        <v>5348</v>
      </c>
      <c r="B15" s="50" t="s">
        <v>1908</v>
      </c>
      <c r="C15" s="74" t="s">
        <v>534</v>
      </c>
      <c r="E15" s="50" t="s">
        <v>3547</v>
      </c>
      <c r="F15" s="74">
        <v>527772</v>
      </c>
      <c r="G15" s="74">
        <v>173569</v>
      </c>
      <c r="H15" s="50" t="s">
        <v>254</v>
      </c>
      <c r="I15" s="75">
        <v>43190</v>
      </c>
      <c r="K15" s="77">
        <v>0</v>
      </c>
      <c r="L15" s="77">
        <v>0</v>
      </c>
      <c r="M15" s="77">
        <v>0</v>
      </c>
      <c r="N15" s="77">
        <v>26</v>
      </c>
      <c r="O15" s="77">
        <v>0</v>
      </c>
      <c r="P15" s="77">
        <v>-26</v>
      </c>
      <c r="Q15" s="77">
        <v>0</v>
      </c>
      <c r="R15" s="77">
        <v>0</v>
      </c>
      <c r="S15" s="77">
        <v>0</v>
      </c>
      <c r="T15" s="77">
        <v>0</v>
      </c>
      <c r="U15" s="77">
        <v>0</v>
      </c>
      <c r="V15" s="77">
        <v>0</v>
      </c>
      <c r="W15" s="77">
        <v>0</v>
      </c>
      <c r="X15" s="77">
        <v>0</v>
      </c>
      <c r="Y15" s="77">
        <v>0</v>
      </c>
      <c r="Z15" s="77">
        <v>26</v>
      </c>
      <c r="AA15" s="77">
        <v>0</v>
      </c>
      <c r="AB15" s="77">
        <v>-26</v>
      </c>
      <c r="AC15" s="50" t="s">
        <v>1086</v>
      </c>
      <c r="AD15" s="74" t="s">
        <v>296</v>
      </c>
      <c r="AE15" s="75">
        <v>41457</v>
      </c>
      <c r="AF15" s="75">
        <v>41936</v>
      </c>
      <c r="AG15" s="74" t="s">
        <v>297</v>
      </c>
      <c r="AH15" s="75">
        <v>42269</v>
      </c>
      <c r="AI15" s="75">
        <v>43190</v>
      </c>
      <c r="AL15" s="74" t="s">
        <v>118</v>
      </c>
      <c r="AQ15" s="74" t="s">
        <v>155</v>
      </c>
      <c r="AR15" s="74" t="s">
        <v>3977</v>
      </c>
      <c r="AT15" s="164">
        <v>0</v>
      </c>
      <c r="AU15" s="164">
        <f>$AB15/2</f>
        <v>-13</v>
      </c>
      <c r="AV15" s="164">
        <f>$AB15/2</f>
        <v>-13</v>
      </c>
      <c r="AW15" s="164">
        <v>0</v>
      </c>
      <c r="AX15" s="164">
        <v>0</v>
      </c>
      <c r="AY15" s="164">
        <v>0</v>
      </c>
      <c r="AZ15" s="164">
        <v>0</v>
      </c>
      <c r="BA15" s="164">
        <v>0</v>
      </c>
      <c r="BB15" s="164">
        <v>0</v>
      </c>
      <c r="BC15" s="164">
        <v>0</v>
      </c>
      <c r="BD15" s="164">
        <v>0</v>
      </c>
      <c r="BE15" s="164">
        <v>0</v>
      </c>
      <c r="BF15" s="164">
        <v>0</v>
      </c>
      <c r="BG15" s="164">
        <v>0</v>
      </c>
      <c r="BH15" s="164">
        <v>0</v>
      </c>
      <c r="BI15" s="164">
        <v>0</v>
      </c>
      <c r="BJ15" s="164">
        <v>0</v>
      </c>
      <c r="BK15" s="164">
        <v>0</v>
      </c>
      <c r="BL15" s="164">
        <v>0</v>
      </c>
      <c r="BM15" s="164">
        <v>0</v>
      </c>
      <c r="BN15" s="164">
        <v>0</v>
      </c>
      <c r="BO15" s="164">
        <f t="shared" si="3"/>
        <v>-26</v>
      </c>
      <c r="BP15" s="164">
        <f t="shared" si="4"/>
        <v>-26</v>
      </c>
    </row>
    <row r="16" spans="1:68" x14ac:dyDescent="0.2">
      <c r="A16" s="74">
        <v>6047</v>
      </c>
      <c r="B16" s="50" t="s">
        <v>1908</v>
      </c>
      <c r="C16" s="74" t="s">
        <v>914</v>
      </c>
      <c r="E16" s="50" t="s">
        <v>3621</v>
      </c>
      <c r="F16" s="74">
        <v>528267</v>
      </c>
      <c r="G16" s="74">
        <v>175679</v>
      </c>
      <c r="H16" s="50" t="s">
        <v>256</v>
      </c>
      <c r="I16" s="75">
        <v>42596</v>
      </c>
      <c r="K16" s="77">
        <v>0</v>
      </c>
      <c r="L16" s="77">
        <v>0</v>
      </c>
      <c r="M16" s="77">
        <v>0</v>
      </c>
      <c r="N16" s="77">
        <v>0</v>
      </c>
      <c r="O16" s="77">
        <v>0</v>
      </c>
      <c r="P16" s="77">
        <v>0</v>
      </c>
      <c r="Q16" s="77">
        <v>0</v>
      </c>
      <c r="R16" s="77">
        <v>0</v>
      </c>
      <c r="S16" s="77">
        <v>0</v>
      </c>
      <c r="T16" s="77">
        <v>0</v>
      </c>
      <c r="U16" s="77">
        <v>0</v>
      </c>
      <c r="V16" s="77">
        <v>0</v>
      </c>
      <c r="W16" s="77">
        <v>0</v>
      </c>
      <c r="X16" s="77">
        <v>5</v>
      </c>
      <c r="Y16" s="77">
        <v>5</v>
      </c>
      <c r="Z16" s="77">
        <v>0</v>
      </c>
      <c r="AA16" s="77">
        <v>5</v>
      </c>
      <c r="AB16" s="77">
        <v>5</v>
      </c>
      <c r="AC16" s="50" t="s">
        <v>915</v>
      </c>
      <c r="AD16" s="74" t="s">
        <v>113</v>
      </c>
      <c r="AE16" s="75">
        <v>42255</v>
      </c>
      <c r="AF16" s="75">
        <v>42376</v>
      </c>
      <c r="AG16" s="74" t="s">
        <v>114</v>
      </c>
      <c r="AI16" s="75">
        <v>42596</v>
      </c>
      <c r="AQ16" s="74" t="s">
        <v>155</v>
      </c>
      <c r="AR16" s="74" t="s">
        <v>3976</v>
      </c>
      <c r="AT16" s="164">
        <v>0</v>
      </c>
      <c r="AU16" s="164">
        <f>AB16</f>
        <v>5</v>
      </c>
      <c r="AV16" s="164">
        <v>0</v>
      </c>
      <c r="AW16" s="164">
        <v>0</v>
      </c>
      <c r="AX16" s="164">
        <v>0</v>
      </c>
      <c r="AY16" s="164">
        <v>0</v>
      </c>
      <c r="AZ16" s="164">
        <v>0</v>
      </c>
      <c r="BA16" s="164">
        <v>0</v>
      </c>
      <c r="BB16" s="164">
        <v>0</v>
      </c>
      <c r="BC16" s="164">
        <v>0</v>
      </c>
      <c r="BD16" s="164">
        <v>0</v>
      </c>
      <c r="BE16" s="164">
        <v>0</v>
      </c>
      <c r="BF16" s="164">
        <v>0</v>
      </c>
      <c r="BG16" s="164">
        <v>0</v>
      </c>
      <c r="BH16" s="164">
        <v>0</v>
      </c>
      <c r="BI16" s="164">
        <v>0</v>
      </c>
      <c r="BJ16" s="164">
        <v>0</v>
      </c>
      <c r="BK16" s="164">
        <v>0</v>
      </c>
      <c r="BL16" s="164">
        <v>0</v>
      </c>
      <c r="BM16" s="164">
        <v>0</v>
      </c>
      <c r="BN16" s="164">
        <v>0</v>
      </c>
      <c r="BO16" s="164">
        <f t="shared" si="3"/>
        <v>5</v>
      </c>
      <c r="BP16" s="164">
        <f t="shared" si="4"/>
        <v>5</v>
      </c>
    </row>
    <row r="17" spans="1:68" x14ac:dyDescent="0.2">
      <c r="A17" s="74">
        <v>6071</v>
      </c>
      <c r="B17" s="50" t="s">
        <v>1908</v>
      </c>
      <c r="C17" s="74" t="s">
        <v>631</v>
      </c>
      <c r="E17" s="50" t="s">
        <v>3421</v>
      </c>
      <c r="F17" s="74">
        <v>527421</v>
      </c>
      <c r="G17" s="74">
        <v>171301</v>
      </c>
      <c r="H17" s="50" t="s">
        <v>253</v>
      </c>
      <c r="I17" s="75">
        <v>42788</v>
      </c>
      <c r="K17" s="77">
        <v>0</v>
      </c>
      <c r="L17" s="77">
        <v>0</v>
      </c>
      <c r="M17" s="77">
        <v>0</v>
      </c>
      <c r="N17" s="77">
        <v>87</v>
      </c>
      <c r="O17" s="77">
        <v>0</v>
      </c>
      <c r="P17" s="77">
        <v>-87</v>
      </c>
      <c r="Q17" s="77">
        <v>0</v>
      </c>
      <c r="R17" s="77">
        <v>0</v>
      </c>
      <c r="S17" s="77">
        <v>0</v>
      </c>
      <c r="T17" s="77">
        <v>0</v>
      </c>
      <c r="U17" s="77">
        <v>0</v>
      </c>
      <c r="V17" s="77">
        <v>0</v>
      </c>
      <c r="W17" s="77">
        <v>0</v>
      </c>
      <c r="X17" s="77">
        <v>0</v>
      </c>
      <c r="Y17" s="77">
        <v>0</v>
      </c>
      <c r="Z17" s="77">
        <v>87</v>
      </c>
      <c r="AA17" s="77">
        <v>0</v>
      </c>
      <c r="AB17" s="77">
        <v>-87</v>
      </c>
      <c r="AC17" s="50" t="s">
        <v>912</v>
      </c>
      <c r="AD17" s="74" t="s">
        <v>113</v>
      </c>
      <c r="AE17" s="75">
        <v>42277</v>
      </c>
      <c r="AF17" s="75">
        <v>42355</v>
      </c>
      <c r="AG17" s="74" t="s">
        <v>114</v>
      </c>
      <c r="AM17" s="74" t="s">
        <v>3422</v>
      </c>
      <c r="AQ17" s="74" t="s">
        <v>155</v>
      </c>
      <c r="AR17" s="74" t="s">
        <v>3976</v>
      </c>
      <c r="AT17" s="164">
        <v>0</v>
      </c>
      <c r="AU17" s="164">
        <f>AB17</f>
        <v>-87</v>
      </c>
      <c r="AV17" s="164">
        <v>0</v>
      </c>
      <c r="AW17" s="164">
        <v>0</v>
      </c>
      <c r="AX17" s="164">
        <v>0</v>
      </c>
      <c r="AY17" s="164">
        <v>0</v>
      </c>
      <c r="AZ17" s="164">
        <v>0</v>
      </c>
      <c r="BA17" s="164">
        <v>0</v>
      </c>
      <c r="BB17" s="164">
        <v>0</v>
      </c>
      <c r="BC17" s="164">
        <v>0</v>
      </c>
      <c r="BD17" s="164">
        <v>0</v>
      </c>
      <c r="BE17" s="164">
        <v>0</v>
      </c>
      <c r="BF17" s="164">
        <v>0</v>
      </c>
      <c r="BG17" s="164">
        <v>0</v>
      </c>
      <c r="BH17" s="164">
        <v>0</v>
      </c>
      <c r="BI17" s="164">
        <v>0</v>
      </c>
      <c r="BJ17" s="164">
        <v>0</v>
      </c>
      <c r="BK17" s="164">
        <v>0</v>
      </c>
      <c r="BL17" s="164">
        <v>0</v>
      </c>
      <c r="BM17" s="164">
        <v>0</v>
      </c>
      <c r="BN17" s="164">
        <v>0</v>
      </c>
      <c r="BO17" s="164">
        <f t="shared" si="3"/>
        <v>-87</v>
      </c>
      <c r="BP17" s="164">
        <f t="shared" si="4"/>
        <v>-87</v>
      </c>
    </row>
    <row r="18" spans="1:68" x14ac:dyDescent="0.2">
      <c r="A18" s="74">
        <v>1917</v>
      </c>
      <c r="B18" s="50" t="s">
        <v>1930</v>
      </c>
      <c r="C18" s="74" t="s">
        <v>3788</v>
      </c>
      <c r="E18" s="50" t="s">
        <v>3789</v>
      </c>
      <c r="F18" s="74">
        <v>521657</v>
      </c>
      <c r="G18" s="74">
        <v>175440</v>
      </c>
      <c r="H18" s="50" t="s">
        <v>877</v>
      </c>
      <c r="K18" s="77">
        <v>0</v>
      </c>
      <c r="L18" s="77">
        <v>0</v>
      </c>
      <c r="M18" s="77">
        <v>0</v>
      </c>
      <c r="N18" s="77">
        <v>0</v>
      </c>
      <c r="O18" s="77">
        <v>25</v>
      </c>
      <c r="P18" s="77">
        <v>25</v>
      </c>
      <c r="Q18" s="77">
        <v>0</v>
      </c>
      <c r="R18" s="77">
        <v>0</v>
      </c>
      <c r="S18" s="77">
        <v>0</v>
      </c>
      <c r="T18" s="77">
        <v>0</v>
      </c>
      <c r="U18" s="77">
        <v>0</v>
      </c>
      <c r="V18" s="77">
        <v>0</v>
      </c>
      <c r="W18" s="77">
        <v>0</v>
      </c>
      <c r="X18" s="77">
        <v>0</v>
      </c>
      <c r="Y18" s="77">
        <v>0</v>
      </c>
      <c r="Z18" s="77">
        <v>0</v>
      </c>
      <c r="AA18" s="77">
        <v>25</v>
      </c>
      <c r="AB18" s="77">
        <v>25</v>
      </c>
      <c r="AC18" s="50" t="s">
        <v>3790</v>
      </c>
      <c r="AD18" s="74" t="s">
        <v>113</v>
      </c>
      <c r="AE18" s="75">
        <v>42536</v>
      </c>
      <c r="AF18" s="75">
        <v>42592</v>
      </c>
      <c r="AG18" s="74" t="s">
        <v>114</v>
      </c>
      <c r="AQ18" s="74" t="s">
        <v>155</v>
      </c>
      <c r="AR18" s="74">
        <v>4</v>
      </c>
      <c r="AT18" s="164">
        <v>0</v>
      </c>
      <c r="AU18" s="164">
        <v>0</v>
      </c>
      <c r="AV18" s="164">
        <f t="shared" ref="AV18:AY19" si="5">$AB18/4</f>
        <v>6.25</v>
      </c>
      <c r="AW18" s="164">
        <f t="shared" si="5"/>
        <v>6.25</v>
      </c>
      <c r="AX18" s="164">
        <f t="shared" si="5"/>
        <v>6.25</v>
      </c>
      <c r="AY18" s="164">
        <f t="shared" si="5"/>
        <v>6.25</v>
      </c>
      <c r="AZ18" s="164">
        <v>0</v>
      </c>
      <c r="BA18" s="164">
        <v>0</v>
      </c>
      <c r="BB18" s="164">
        <v>0</v>
      </c>
      <c r="BC18" s="164">
        <v>0</v>
      </c>
      <c r="BD18" s="164">
        <v>0</v>
      </c>
      <c r="BE18" s="164">
        <v>0</v>
      </c>
      <c r="BF18" s="164">
        <v>0</v>
      </c>
      <c r="BG18" s="164">
        <v>0</v>
      </c>
      <c r="BH18" s="164">
        <v>0</v>
      </c>
      <c r="BI18" s="164">
        <v>0</v>
      </c>
      <c r="BJ18" s="164">
        <v>0</v>
      </c>
      <c r="BK18" s="164">
        <v>0</v>
      </c>
      <c r="BL18" s="164">
        <v>0</v>
      </c>
      <c r="BM18" s="164">
        <v>0</v>
      </c>
      <c r="BN18" s="164">
        <v>0</v>
      </c>
      <c r="BO18" s="164">
        <f t="shared" si="3"/>
        <v>25</v>
      </c>
      <c r="BP18" s="164">
        <f t="shared" si="4"/>
        <v>25</v>
      </c>
    </row>
    <row r="19" spans="1:68" x14ac:dyDescent="0.2">
      <c r="A19" s="74">
        <v>4886</v>
      </c>
      <c r="B19" s="50" t="s">
        <v>1930</v>
      </c>
      <c r="C19" s="74" t="s">
        <v>576</v>
      </c>
      <c r="E19" s="50" t="s">
        <v>2538</v>
      </c>
      <c r="F19" s="74">
        <v>528185</v>
      </c>
      <c r="G19" s="74">
        <v>175700</v>
      </c>
      <c r="H19" s="50" t="s">
        <v>256</v>
      </c>
      <c r="K19" s="77">
        <v>16</v>
      </c>
      <c r="L19" s="77">
        <v>0</v>
      </c>
      <c r="M19" s="77">
        <v>-16</v>
      </c>
      <c r="N19" s="77">
        <v>0</v>
      </c>
      <c r="O19" s="77">
        <v>0</v>
      </c>
      <c r="P19" s="77">
        <v>0</v>
      </c>
      <c r="Q19" s="77">
        <v>0</v>
      </c>
      <c r="R19" s="77">
        <v>0</v>
      </c>
      <c r="S19" s="77">
        <v>0</v>
      </c>
      <c r="T19" s="77">
        <v>0</v>
      </c>
      <c r="U19" s="77">
        <v>0</v>
      </c>
      <c r="V19" s="77">
        <v>0</v>
      </c>
      <c r="W19" s="77">
        <v>0</v>
      </c>
      <c r="X19" s="77">
        <v>0</v>
      </c>
      <c r="Y19" s="77">
        <v>0</v>
      </c>
      <c r="Z19" s="77">
        <v>16</v>
      </c>
      <c r="AA19" s="77">
        <v>0</v>
      </c>
      <c r="AB19" s="77">
        <v>-16</v>
      </c>
      <c r="AC19" s="50" t="s">
        <v>1134</v>
      </c>
      <c r="AD19" s="74" t="s">
        <v>113</v>
      </c>
      <c r="AE19" s="75">
        <v>42142</v>
      </c>
      <c r="AF19" s="75">
        <v>42324</v>
      </c>
      <c r="AG19" s="74" t="s">
        <v>114</v>
      </c>
      <c r="AQ19" s="74" t="s">
        <v>155</v>
      </c>
      <c r="AR19" s="74">
        <v>4</v>
      </c>
      <c r="AT19" s="164">
        <v>0</v>
      </c>
      <c r="AU19" s="164">
        <v>0</v>
      </c>
      <c r="AV19" s="164">
        <f t="shared" si="5"/>
        <v>-4</v>
      </c>
      <c r="AW19" s="164">
        <f t="shared" si="5"/>
        <v>-4</v>
      </c>
      <c r="AX19" s="164">
        <f t="shared" si="5"/>
        <v>-4</v>
      </c>
      <c r="AY19" s="164">
        <f t="shared" si="5"/>
        <v>-4</v>
      </c>
      <c r="AZ19" s="164">
        <v>0</v>
      </c>
      <c r="BA19" s="164">
        <v>0</v>
      </c>
      <c r="BB19" s="164">
        <v>0</v>
      </c>
      <c r="BC19" s="164">
        <v>0</v>
      </c>
      <c r="BD19" s="164">
        <v>0</v>
      </c>
      <c r="BE19" s="164">
        <v>0</v>
      </c>
      <c r="BF19" s="164">
        <v>0</v>
      </c>
      <c r="BG19" s="164">
        <v>0</v>
      </c>
      <c r="BH19" s="164">
        <v>0</v>
      </c>
      <c r="BI19" s="164">
        <v>0</v>
      </c>
      <c r="BJ19" s="164">
        <v>0</v>
      </c>
      <c r="BK19" s="164">
        <v>0</v>
      </c>
      <c r="BL19" s="164">
        <v>0</v>
      </c>
      <c r="BM19" s="164">
        <v>0</v>
      </c>
      <c r="BN19" s="164">
        <v>0</v>
      </c>
      <c r="BO19" s="164">
        <f t="shared" si="3"/>
        <v>-16</v>
      </c>
      <c r="BP19" s="164">
        <f t="shared" si="4"/>
        <v>-16</v>
      </c>
    </row>
    <row r="20" spans="1:68" x14ac:dyDescent="0.2">
      <c r="A20" s="74">
        <v>5170</v>
      </c>
      <c r="B20" s="50" t="s">
        <v>1930</v>
      </c>
      <c r="C20" s="81" t="s">
        <v>3791</v>
      </c>
      <c r="E20" s="50" t="s">
        <v>3792</v>
      </c>
      <c r="F20" s="74">
        <v>527648</v>
      </c>
      <c r="G20" s="74">
        <v>171878</v>
      </c>
      <c r="H20" s="50" t="s">
        <v>242</v>
      </c>
      <c r="K20" s="77">
        <v>0</v>
      </c>
      <c r="L20" s="77">
        <v>0</v>
      </c>
      <c r="M20" s="77">
        <v>0</v>
      </c>
      <c r="N20" s="77">
        <v>0</v>
      </c>
      <c r="O20" s="77">
        <v>0</v>
      </c>
      <c r="P20" s="77">
        <v>0</v>
      </c>
      <c r="Q20" s="77">
        <v>0</v>
      </c>
      <c r="R20" s="77">
        <v>0</v>
      </c>
      <c r="S20" s="77">
        <v>0</v>
      </c>
      <c r="T20" s="77">
        <v>0</v>
      </c>
      <c r="U20" s="77">
        <v>75</v>
      </c>
      <c r="V20" s="77">
        <v>75</v>
      </c>
      <c r="W20" s="77">
        <v>0</v>
      </c>
      <c r="X20" s="77">
        <v>0</v>
      </c>
      <c r="Y20" s="77">
        <v>0</v>
      </c>
      <c r="Z20" s="77">
        <v>0</v>
      </c>
      <c r="AA20" s="77">
        <v>75</v>
      </c>
      <c r="AB20" s="77">
        <v>75</v>
      </c>
      <c r="AC20" s="50" t="s">
        <v>3793</v>
      </c>
      <c r="AD20" s="74" t="s">
        <v>104</v>
      </c>
      <c r="AE20" s="75">
        <v>41207</v>
      </c>
      <c r="AF20" s="75">
        <v>41746</v>
      </c>
      <c r="AG20" s="74" t="s">
        <v>114</v>
      </c>
      <c r="AL20" s="74" t="s">
        <v>118</v>
      </c>
      <c r="AM20" s="74" t="s">
        <v>3024</v>
      </c>
      <c r="AQ20" s="74" t="s">
        <v>3991</v>
      </c>
      <c r="AR20" s="74">
        <v>15</v>
      </c>
      <c r="AS20" s="50" t="s">
        <v>4014</v>
      </c>
      <c r="AT20" s="164">
        <v>0</v>
      </c>
      <c r="AU20" s="164">
        <v>0</v>
      </c>
      <c r="AV20" s="164">
        <v>0</v>
      </c>
      <c r="AW20" s="164">
        <v>0</v>
      </c>
      <c r="AX20" s="164">
        <v>0</v>
      </c>
      <c r="AY20" s="164">
        <v>0</v>
      </c>
      <c r="AZ20" s="164">
        <v>0</v>
      </c>
      <c r="BA20" s="164">
        <v>0</v>
      </c>
      <c r="BB20" s="164">
        <v>0</v>
      </c>
      <c r="BC20" s="164">
        <v>0</v>
      </c>
      <c r="BD20" s="164">
        <v>0</v>
      </c>
      <c r="BE20" s="164">
        <v>0</v>
      </c>
      <c r="BF20" s="164">
        <v>0</v>
      </c>
      <c r="BG20" s="164">
        <v>0</v>
      </c>
      <c r="BH20" s="164">
        <v>0</v>
      </c>
      <c r="BI20" s="164">
        <v>0</v>
      </c>
      <c r="BJ20" s="164">
        <v>0</v>
      </c>
      <c r="BK20" s="164">
        <v>0</v>
      </c>
      <c r="BL20" s="164">
        <v>0</v>
      </c>
      <c r="BM20" s="164">
        <v>0</v>
      </c>
      <c r="BN20" s="164">
        <v>0</v>
      </c>
      <c r="BO20" s="164">
        <f t="shared" si="3"/>
        <v>0</v>
      </c>
      <c r="BP20" s="164">
        <f t="shared" si="4"/>
        <v>0</v>
      </c>
    </row>
    <row r="21" spans="1:68" x14ac:dyDescent="0.2">
      <c r="A21" s="74">
        <v>5923</v>
      </c>
      <c r="B21" s="50" t="s">
        <v>1930</v>
      </c>
      <c r="C21" s="74" t="s">
        <v>3794</v>
      </c>
      <c r="E21" s="50" t="s">
        <v>3795</v>
      </c>
      <c r="F21" s="74">
        <v>528084</v>
      </c>
      <c r="G21" s="74">
        <v>173918</v>
      </c>
      <c r="H21" s="50" t="s">
        <v>254</v>
      </c>
      <c r="K21" s="77">
        <v>0</v>
      </c>
      <c r="L21" s="77">
        <v>0</v>
      </c>
      <c r="M21" s="77">
        <v>0</v>
      </c>
      <c r="N21" s="77">
        <v>2</v>
      </c>
      <c r="O21" s="77">
        <v>2</v>
      </c>
      <c r="P21" s="77">
        <v>0</v>
      </c>
      <c r="Q21" s="77">
        <v>1</v>
      </c>
      <c r="R21" s="77">
        <v>0</v>
      </c>
      <c r="S21" s="77">
        <v>-1</v>
      </c>
      <c r="T21" s="77">
        <v>0</v>
      </c>
      <c r="U21" s="77">
        <v>0</v>
      </c>
      <c r="V21" s="77">
        <v>0</v>
      </c>
      <c r="W21" s="77">
        <v>0</v>
      </c>
      <c r="X21" s="77">
        <v>0</v>
      </c>
      <c r="Y21" s="77">
        <v>0</v>
      </c>
      <c r="Z21" s="77">
        <v>3</v>
      </c>
      <c r="AA21" s="77">
        <v>2</v>
      </c>
      <c r="AB21" s="77">
        <v>-1</v>
      </c>
      <c r="AC21" s="50" t="s">
        <v>3796</v>
      </c>
      <c r="AD21" s="74" t="s">
        <v>113</v>
      </c>
      <c r="AE21" s="75">
        <v>42125</v>
      </c>
      <c r="AF21" s="75">
        <v>42207</v>
      </c>
      <c r="AG21" s="74" t="s">
        <v>114</v>
      </c>
      <c r="AL21" s="74" t="s">
        <v>351</v>
      </c>
      <c r="AQ21" s="74" t="s">
        <v>155</v>
      </c>
      <c r="AR21" s="74">
        <v>4</v>
      </c>
      <c r="AT21" s="164">
        <v>0</v>
      </c>
      <c r="AU21" s="164">
        <v>0</v>
      </c>
      <c r="AV21" s="164">
        <f t="shared" ref="AV21:AY29" si="6">$AB21/4</f>
        <v>-0.25</v>
      </c>
      <c r="AW21" s="164">
        <f t="shared" si="6"/>
        <v>-0.25</v>
      </c>
      <c r="AX21" s="164">
        <f t="shared" si="6"/>
        <v>-0.25</v>
      </c>
      <c r="AY21" s="164">
        <f t="shared" si="6"/>
        <v>-0.25</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f t="shared" si="3"/>
        <v>-1</v>
      </c>
      <c r="BP21" s="164">
        <f t="shared" si="4"/>
        <v>-1</v>
      </c>
    </row>
    <row r="22" spans="1:68" x14ac:dyDescent="0.2">
      <c r="A22" s="74">
        <v>6165</v>
      </c>
      <c r="B22" s="50" t="s">
        <v>1930</v>
      </c>
      <c r="C22" s="74" t="s">
        <v>3797</v>
      </c>
      <c r="E22" s="50" t="s">
        <v>3798</v>
      </c>
      <c r="F22" s="74">
        <v>528364</v>
      </c>
      <c r="G22" s="74">
        <v>172774</v>
      </c>
      <c r="H22" s="50" t="s">
        <v>248</v>
      </c>
      <c r="K22" s="77">
        <v>0</v>
      </c>
      <c r="L22" s="77">
        <v>0</v>
      </c>
      <c r="M22" s="77">
        <v>0</v>
      </c>
      <c r="N22" s="77">
        <v>0</v>
      </c>
      <c r="O22" s="77">
        <v>13</v>
      </c>
      <c r="P22" s="77">
        <v>13</v>
      </c>
      <c r="Q22" s="77">
        <v>0</v>
      </c>
      <c r="R22" s="77">
        <v>0</v>
      </c>
      <c r="S22" s="77">
        <v>0</v>
      </c>
      <c r="T22" s="77">
        <v>0</v>
      </c>
      <c r="U22" s="77">
        <v>0</v>
      </c>
      <c r="V22" s="77">
        <v>0</v>
      </c>
      <c r="W22" s="77">
        <v>0</v>
      </c>
      <c r="X22" s="77">
        <v>0</v>
      </c>
      <c r="Y22" s="77">
        <v>0</v>
      </c>
      <c r="Z22" s="77">
        <v>0</v>
      </c>
      <c r="AA22" s="77">
        <v>13</v>
      </c>
      <c r="AB22" s="77">
        <v>13</v>
      </c>
      <c r="AC22" s="50" t="s">
        <v>3799</v>
      </c>
      <c r="AD22" s="74" t="s">
        <v>113</v>
      </c>
      <c r="AE22" s="75">
        <v>42380</v>
      </c>
      <c r="AF22" s="75">
        <v>42663</v>
      </c>
      <c r="AG22" s="74" t="s">
        <v>114</v>
      </c>
      <c r="AQ22" s="74" t="s">
        <v>155</v>
      </c>
      <c r="AR22" s="74">
        <v>4</v>
      </c>
      <c r="AT22" s="164">
        <v>0</v>
      </c>
      <c r="AU22" s="164">
        <v>0</v>
      </c>
      <c r="AV22" s="164">
        <f t="shared" si="6"/>
        <v>3.25</v>
      </c>
      <c r="AW22" s="164">
        <f t="shared" si="6"/>
        <v>3.25</v>
      </c>
      <c r="AX22" s="164">
        <f t="shared" si="6"/>
        <v>3.25</v>
      </c>
      <c r="AY22" s="164">
        <f t="shared" si="6"/>
        <v>3.25</v>
      </c>
      <c r="AZ22" s="164">
        <v>0</v>
      </c>
      <c r="BA22" s="164">
        <v>0</v>
      </c>
      <c r="BB22" s="164">
        <v>0</v>
      </c>
      <c r="BC22" s="164">
        <v>0</v>
      </c>
      <c r="BD22" s="164">
        <v>0</v>
      </c>
      <c r="BE22" s="164">
        <v>0</v>
      </c>
      <c r="BF22" s="164">
        <v>0</v>
      </c>
      <c r="BG22" s="164">
        <v>0</v>
      </c>
      <c r="BH22" s="164">
        <v>0</v>
      </c>
      <c r="BI22" s="164">
        <v>0</v>
      </c>
      <c r="BJ22" s="164">
        <v>0</v>
      </c>
      <c r="BK22" s="164">
        <v>0</v>
      </c>
      <c r="BL22" s="164">
        <v>0</v>
      </c>
      <c r="BM22" s="164">
        <v>0</v>
      </c>
      <c r="BN22" s="164">
        <v>0</v>
      </c>
      <c r="BO22" s="164">
        <f t="shared" si="3"/>
        <v>13</v>
      </c>
      <c r="BP22" s="164">
        <f t="shared" si="4"/>
        <v>13</v>
      </c>
    </row>
    <row r="23" spans="1:68" x14ac:dyDescent="0.2">
      <c r="A23" s="74">
        <v>6497</v>
      </c>
      <c r="B23" s="50" t="s">
        <v>1930</v>
      </c>
      <c r="C23" s="74" t="s">
        <v>1592</v>
      </c>
      <c r="E23" s="50" t="s">
        <v>2787</v>
      </c>
      <c r="F23" s="74">
        <v>527487</v>
      </c>
      <c r="G23" s="74">
        <v>175150</v>
      </c>
      <c r="H23" s="50" t="s">
        <v>255</v>
      </c>
      <c r="K23" s="77">
        <v>0</v>
      </c>
      <c r="L23" s="77">
        <v>0</v>
      </c>
      <c r="M23" s="77">
        <v>0</v>
      </c>
      <c r="N23" s="77">
        <v>0</v>
      </c>
      <c r="O23" s="77">
        <v>0</v>
      </c>
      <c r="P23" s="77">
        <v>0</v>
      </c>
      <c r="Q23" s="77">
        <v>0</v>
      </c>
      <c r="R23" s="77">
        <v>0</v>
      </c>
      <c r="S23" s="77">
        <v>0</v>
      </c>
      <c r="T23" s="77">
        <v>0</v>
      </c>
      <c r="U23" s="77">
        <v>0</v>
      </c>
      <c r="V23" s="77">
        <v>0</v>
      </c>
      <c r="W23" s="77">
        <v>0</v>
      </c>
      <c r="X23" s="77">
        <v>13</v>
      </c>
      <c r="Y23" s="77">
        <v>13</v>
      </c>
      <c r="Z23" s="77">
        <v>0</v>
      </c>
      <c r="AA23" s="77">
        <v>13</v>
      </c>
      <c r="AB23" s="77">
        <v>13</v>
      </c>
      <c r="AC23" s="50" t="s">
        <v>1593</v>
      </c>
      <c r="AD23" s="74" t="s">
        <v>113</v>
      </c>
      <c r="AE23" s="75">
        <v>42752</v>
      </c>
      <c r="AF23" s="75">
        <v>42857</v>
      </c>
      <c r="AG23" s="74" t="s">
        <v>114</v>
      </c>
      <c r="AQ23" s="74" t="s">
        <v>155</v>
      </c>
      <c r="AR23" s="74">
        <v>4</v>
      </c>
      <c r="AT23" s="164">
        <v>0</v>
      </c>
      <c r="AU23" s="164">
        <v>0</v>
      </c>
      <c r="AV23" s="164">
        <f t="shared" si="6"/>
        <v>3.25</v>
      </c>
      <c r="AW23" s="164">
        <f t="shared" si="6"/>
        <v>3.25</v>
      </c>
      <c r="AX23" s="164">
        <f t="shared" si="6"/>
        <v>3.25</v>
      </c>
      <c r="AY23" s="164">
        <f t="shared" si="6"/>
        <v>3.25</v>
      </c>
      <c r="AZ23" s="164">
        <v>0</v>
      </c>
      <c r="BA23" s="164">
        <v>0</v>
      </c>
      <c r="BB23" s="164">
        <v>0</v>
      </c>
      <c r="BC23" s="164">
        <v>0</v>
      </c>
      <c r="BD23" s="164">
        <v>0</v>
      </c>
      <c r="BE23" s="164">
        <v>0</v>
      </c>
      <c r="BF23" s="164">
        <v>0</v>
      </c>
      <c r="BG23" s="164">
        <v>0</v>
      </c>
      <c r="BH23" s="164">
        <v>0</v>
      </c>
      <c r="BI23" s="164">
        <v>0</v>
      </c>
      <c r="BJ23" s="164">
        <v>0</v>
      </c>
      <c r="BK23" s="164">
        <v>0</v>
      </c>
      <c r="BL23" s="164">
        <v>0</v>
      </c>
      <c r="BM23" s="164">
        <v>0</v>
      </c>
      <c r="BN23" s="164">
        <v>0</v>
      </c>
      <c r="BO23" s="164">
        <f t="shared" si="3"/>
        <v>13</v>
      </c>
      <c r="BP23" s="164">
        <f t="shared" si="4"/>
        <v>13</v>
      </c>
    </row>
    <row r="24" spans="1:68" x14ac:dyDescent="0.2">
      <c r="A24" s="74">
        <v>6531</v>
      </c>
      <c r="B24" s="50" t="s">
        <v>1930</v>
      </c>
      <c r="C24" s="74" t="s">
        <v>3800</v>
      </c>
      <c r="E24" s="50" t="s">
        <v>3801</v>
      </c>
      <c r="F24" s="74">
        <v>528465</v>
      </c>
      <c r="G24" s="74">
        <v>174118</v>
      </c>
      <c r="H24" s="50" t="s">
        <v>247</v>
      </c>
      <c r="K24" s="77">
        <v>0</v>
      </c>
      <c r="L24" s="77">
        <v>0</v>
      </c>
      <c r="M24" s="77">
        <v>0</v>
      </c>
      <c r="N24" s="77">
        <v>0</v>
      </c>
      <c r="O24" s="77">
        <v>0</v>
      </c>
      <c r="P24" s="77">
        <v>0</v>
      </c>
      <c r="Q24" s="77">
        <v>0</v>
      </c>
      <c r="R24" s="77">
        <v>0</v>
      </c>
      <c r="S24" s="77">
        <v>0</v>
      </c>
      <c r="T24" s="77">
        <v>0</v>
      </c>
      <c r="U24" s="77">
        <v>0</v>
      </c>
      <c r="V24" s="77">
        <v>0</v>
      </c>
      <c r="W24" s="77">
        <v>6</v>
      </c>
      <c r="X24" s="77">
        <v>7</v>
      </c>
      <c r="Y24" s="77">
        <v>1</v>
      </c>
      <c r="Z24" s="77">
        <v>6</v>
      </c>
      <c r="AA24" s="77">
        <v>7</v>
      </c>
      <c r="AB24" s="77">
        <v>1</v>
      </c>
      <c r="AC24" s="50" t="s">
        <v>3802</v>
      </c>
      <c r="AD24" s="74" t="s">
        <v>113</v>
      </c>
      <c r="AE24" s="75">
        <v>42807</v>
      </c>
      <c r="AF24" s="75">
        <v>42919</v>
      </c>
      <c r="AG24" s="74" t="s">
        <v>114</v>
      </c>
      <c r="AQ24" s="74" t="s">
        <v>155</v>
      </c>
      <c r="AR24" s="74">
        <v>4</v>
      </c>
      <c r="AT24" s="164">
        <v>0</v>
      </c>
      <c r="AU24" s="164">
        <v>0</v>
      </c>
      <c r="AV24" s="164">
        <f t="shared" si="6"/>
        <v>0.25</v>
      </c>
      <c r="AW24" s="164">
        <f t="shared" si="6"/>
        <v>0.25</v>
      </c>
      <c r="AX24" s="164">
        <f t="shared" si="6"/>
        <v>0.25</v>
      </c>
      <c r="AY24" s="164">
        <f t="shared" si="6"/>
        <v>0.25</v>
      </c>
      <c r="AZ24" s="164">
        <v>0</v>
      </c>
      <c r="BA24" s="164">
        <v>0</v>
      </c>
      <c r="BB24" s="164">
        <v>0</v>
      </c>
      <c r="BC24" s="164">
        <v>0</v>
      </c>
      <c r="BD24" s="164">
        <v>0</v>
      </c>
      <c r="BE24" s="164">
        <v>0</v>
      </c>
      <c r="BF24" s="164">
        <v>0</v>
      </c>
      <c r="BG24" s="164">
        <v>0</v>
      </c>
      <c r="BH24" s="164">
        <v>0</v>
      </c>
      <c r="BI24" s="164">
        <v>0</v>
      </c>
      <c r="BJ24" s="164">
        <v>0</v>
      </c>
      <c r="BK24" s="164">
        <v>0</v>
      </c>
      <c r="BL24" s="164">
        <v>0</v>
      </c>
      <c r="BM24" s="164">
        <v>0</v>
      </c>
      <c r="BN24" s="164">
        <v>0</v>
      </c>
      <c r="BO24" s="164">
        <f t="shared" si="3"/>
        <v>1</v>
      </c>
      <c r="BP24" s="164">
        <f t="shared" si="4"/>
        <v>1</v>
      </c>
    </row>
    <row r="25" spans="1:68" x14ac:dyDescent="0.2">
      <c r="A25" s="74">
        <v>6535</v>
      </c>
      <c r="B25" s="50" t="s">
        <v>1930</v>
      </c>
      <c r="C25" s="74" t="s">
        <v>2801</v>
      </c>
      <c r="E25" s="50" t="s">
        <v>2802</v>
      </c>
      <c r="F25" s="74">
        <v>523949</v>
      </c>
      <c r="G25" s="74">
        <v>175565</v>
      </c>
      <c r="H25" s="50" t="s">
        <v>259</v>
      </c>
      <c r="K25" s="77">
        <v>0</v>
      </c>
      <c r="L25" s="77">
        <v>0</v>
      </c>
      <c r="M25" s="77">
        <v>0</v>
      </c>
      <c r="N25" s="77">
        <v>0</v>
      </c>
      <c r="O25" s="77">
        <v>10</v>
      </c>
      <c r="P25" s="77">
        <v>10</v>
      </c>
      <c r="Q25" s="77">
        <v>0</v>
      </c>
      <c r="R25" s="77">
        <v>0</v>
      </c>
      <c r="S25" s="77">
        <v>0</v>
      </c>
      <c r="T25" s="77">
        <v>0</v>
      </c>
      <c r="U25" s="77">
        <v>0</v>
      </c>
      <c r="V25" s="77">
        <v>0</v>
      </c>
      <c r="W25" s="77">
        <v>0</v>
      </c>
      <c r="X25" s="77">
        <v>0</v>
      </c>
      <c r="Y25" s="77">
        <v>0</v>
      </c>
      <c r="Z25" s="77">
        <v>0</v>
      </c>
      <c r="AA25" s="77">
        <v>10</v>
      </c>
      <c r="AB25" s="77">
        <v>10</v>
      </c>
      <c r="AC25" s="50" t="s">
        <v>2803</v>
      </c>
      <c r="AD25" s="74" t="s">
        <v>113</v>
      </c>
      <c r="AE25" s="75">
        <v>42720</v>
      </c>
      <c r="AF25" s="75">
        <v>42909</v>
      </c>
      <c r="AG25" s="74" t="s">
        <v>114</v>
      </c>
      <c r="AL25" s="74" t="s">
        <v>118</v>
      </c>
      <c r="AP25" s="50" t="s">
        <v>3803</v>
      </c>
      <c r="AQ25" s="74" t="s">
        <v>155</v>
      </c>
      <c r="AR25" s="74">
        <v>4</v>
      </c>
      <c r="AT25" s="164">
        <v>0</v>
      </c>
      <c r="AU25" s="164">
        <v>0</v>
      </c>
      <c r="AV25" s="164">
        <f t="shared" si="6"/>
        <v>2.5</v>
      </c>
      <c r="AW25" s="164">
        <f t="shared" si="6"/>
        <v>2.5</v>
      </c>
      <c r="AX25" s="164">
        <f t="shared" si="6"/>
        <v>2.5</v>
      </c>
      <c r="AY25" s="164">
        <f t="shared" si="6"/>
        <v>2.5</v>
      </c>
      <c r="AZ25" s="164">
        <v>0</v>
      </c>
      <c r="BA25" s="164">
        <v>0</v>
      </c>
      <c r="BB25" s="164">
        <v>0</v>
      </c>
      <c r="BC25" s="164">
        <v>0</v>
      </c>
      <c r="BD25" s="164">
        <v>0</v>
      </c>
      <c r="BE25" s="164">
        <v>0</v>
      </c>
      <c r="BF25" s="164">
        <v>0</v>
      </c>
      <c r="BG25" s="164">
        <v>0</v>
      </c>
      <c r="BH25" s="164">
        <v>0</v>
      </c>
      <c r="BI25" s="164">
        <v>0</v>
      </c>
      <c r="BJ25" s="164">
        <v>0</v>
      </c>
      <c r="BK25" s="164">
        <v>0</v>
      </c>
      <c r="BL25" s="164">
        <v>0</v>
      </c>
      <c r="BM25" s="164">
        <v>0</v>
      </c>
      <c r="BN25" s="164">
        <v>0</v>
      </c>
      <c r="BO25" s="164">
        <f t="shared" si="3"/>
        <v>10</v>
      </c>
      <c r="BP25" s="164">
        <f t="shared" si="4"/>
        <v>10</v>
      </c>
    </row>
    <row r="26" spans="1:68" x14ac:dyDescent="0.2">
      <c r="A26" s="74">
        <v>6617</v>
      </c>
      <c r="B26" s="50" t="s">
        <v>1930</v>
      </c>
      <c r="C26" s="74" t="s">
        <v>2854</v>
      </c>
      <c r="E26" s="50" t="s">
        <v>2855</v>
      </c>
      <c r="F26" s="74">
        <v>528284</v>
      </c>
      <c r="G26" s="74">
        <v>172328</v>
      </c>
      <c r="H26" s="50" t="s">
        <v>248</v>
      </c>
      <c r="K26" s="77">
        <v>0</v>
      </c>
      <c r="L26" s="77">
        <v>0</v>
      </c>
      <c r="M26" s="77">
        <v>0</v>
      </c>
      <c r="N26" s="77">
        <v>0</v>
      </c>
      <c r="O26" s="77">
        <v>0</v>
      </c>
      <c r="P26" s="77">
        <v>0</v>
      </c>
      <c r="Q26" s="77">
        <v>0</v>
      </c>
      <c r="R26" s="77">
        <v>0</v>
      </c>
      <c r="S26" s="77">
        <v>0</v>
      </c>
      <c r="T26" s="77">
        <v>0</v>
      </c>
      <c r="U26" s="77">
        <v>0</v>
      </c>
      <c r="V26" s="77">
        <v>0</v>
      </c>
      <c r="W26" s="77">
        <v>4</v>
      </c>
      <c r="X26" s="77">
        <v>0</v>
      </c>
      <c r="Y26" s="77">
        <v>-4</v>
      </c>
      <c r="Z26" s="77">
        <v>4</v>
      </c>
      <c r="AA26" s="77">
        <v>0</v>
      </c>
      <c r="AB26" s="77">
        <v>-4</v>
      </c>
      <c r="AC26" s="50" t="s">
        <v>2856</v>
      </c>
      <c r="AD26" s="74" t="s">
        <v>113</v>
      </c>
      <c r="AE26" s="75">
        <v>43011</v>
      </c>
      <c r="AF26" s="75">
        <v>43129</v>
      </c>
      <c r="AG26" s="74" t="s">
        <v>114</v>
      </c>
      <c r="AQ26" s="74" t="s">
        <v>155</v>
      </c>
      <c r="AR26" s="74">
        <v>4</v>
      </c>
      <c r="AT26" s="164">
        <v>0</v>
      </c>
      <c r="AU26" s="164">
        <v>0</v>
      </c>
      <c r="AV26" s="164">
        <f t="shared" si="6"/>
        <v>-1</v>
      </c>
      <c r="AW26" s="164">
        <f t="shared" si="6"/>
        <v>-1</v>
      </c>
      <c r="AX26" s="164">
        <f t="shared" si="6"/>
        <v>-1</v>
      </c>
      <c r="AY26" s="164">
        <f t="shared" si="6"/>
        <v>-1</v>
      </c>
      <c r="AZ26" s="164">
        <v>0</v>
      </c>
      <c r="BA26" s="164">
        <v>0</v>
      </c>
      <c r="BB26" s="164">
        <v>0</v>
      </c>
      <c r="BC26" s="164">
        <v>0</v>
      </c>
      <c r="BD26" s="164">
        <v>0</v>
      </c>
      <c r="BE26" s="164">
        <v>0</v>
      </c>
      <c r="BF26" s="164">
        <v>0</v>
      </c>
      <c r="BG26" s="164">
        <v>0</v>
      </c>
      <c r="BH26" s="164">
        <v>0</v>
      </c>
      <c r="BI26" s="164">
        <v>0</v>
      </c>
      <c r="BJ26" s="164">
        <v>0</v>
      </c>
      <c r="BK26" s="164">
        <v>0</v>
      </c>
      <c r="BL26" s="164">
        <v>0</v>
      </c>
      <c r="BM26" s="164">
        <v>0</v>
      </c>
      <c r="BN26" s="164">
        <v>0</v>
      </c>
      <c r="BO26" s="164">
        <f t="shared" si="3"/>
        <v>-4</v>
      </c>
      <c r="BP26" s="164">
        <f t="shared" si="4"/>
        <v>-4</v>
      </c>
    </row>
    <row r="27" spans="1:68" x14ac:dyDescent="0.2">
      <c r="A27" s="74">
        <v>6672</v>
      </c>
      <c r="B27" s="50" t="s">
        <v>1930</v>
      </c>
      <c r="C27" s="74" t="s">
        <v>2901</v>
      </c>
      <c r="E27" s="50" t="s">
        <v>2902</v>
      </c>
      <c r="F27" s="74">
        <v>528523</v>
      </c>
      <c r="G27" s="74">
        <v>172269</v>
      </c>
      <c r="H27" s="50" t="s">
        <v>248</v>
      </c>
      <c r="K27" s="77">
        <v>0</v>
      </c>
      <c r="L27" s="77">
        <v>0</v>
      </c>
      <c r="M27" s="77">
        <v>0</v>
      </c>
      <c r="N27" s="77">
        <v>0</v>
      </c>
      <c r="O27" s="77">
        <v>0</v>
      </c>
      <c r="P27" s="77">
        <v>0</v>
      </c>
      <c r="Q27" s="77">
        <v>0</v>
      </c>
      <c r="R27" s="77">
        <v>0</v>
      </c>
      <c r="S27" s="77">
        <v>0</v>
      </c>
      <c r="T27" s="77">
        <v>0</v>
      </c>
      <c r="U27" s="77">
        <v>0</v>
      </c>
      <c r="V27" s="77">
        <v>0</v>
      </c>
      <c r="W27" s="77">
        <v>5</v>
      </c>
      <c r="X27" s="77">
        <v>0</v>
      </c>
      <c r="Y27" s="77">
        <v>-5</v>
      </c>
      <c r="Z27" s="77">
        <v>5</v>
      </c>
      <c r="AA27" s="77">
        <v>0</v>
      </c>
      <c r="AB27" s="77">
        <v>-5</v>
      </c>
      <c r="AC27" s="50" t="s">
        <v>2903</v>
      </c>
      <c r="AD27" s="74" t="s">
        <v>113</v>
      </c>
      <c r="AE27" s="75">
        <v>42954</v>
      </c>
      <c r="AF27" s="75">
        <v>43032</v>
      </c>
      <c r="AG27" s="74" t="s">
        <v>114</v>
      </c>
      <c r="AQ27" s="74" t="s">
        <v>155</v>
      </c>
      <c r="AR27" s="74">
        <v>4</v>
      </c>
      <c r="AT27" s="164">
        <v>0</v>
      </c>
      <c r="AU27" s="164">
        <v>0</v>
      </c>
      <c r="AV27" s="164">
        <f t="shared" si="6"/>
        <v>-1.25</v>
      </c>
      <c r="AW27" s="164">
        <f t="shared" si="6"/>
        <v>-1.25</v>
      </c>
      <c r="AX27" s="164">
        <f t="shared" si="6"/>
        <v>-1.25</v>
      </c>
      <c r="AY27" s="164">
        <f t="shared" si="6"/>
        <v>-1.25</v>
      </c>
      <c r="AZ27" s="164">
        <v>0</v>
      </c>
      <c r="BA27" s="164">
        <v>0</v>
      </c>
      <c r="BB27" s="164">
        <v>0</v>
      </c>
      <c r="BC27" s="164">
        <v>0</v>
      </c>
      <c r="BD27" s="164">
        <v>0</v>
      </c>
      <c r="BE27" s="164">
        <v>0</v>
      </c>
      <c r="BF27" s="164">
        <v>0</v>
      </c>
      <c r="BG27" s="164">
        <v>0</v>
      </c>
      <c r="BH27" s="164">
        <v>0</v>
      </c>
      <c r="BI27" s="164">
        <v>0</v>
      </c>
      <c r="BJ27" s="164">
        <v>0</v>
      </c>
      <c r="BK27" s="164">
        <v>0</v>
      </c>
      <c r="BL27" s="164">
        <v>0</v>
      </c>
      <c r="BM27" s="164">
        <v>0</v>
      </c>
      <c r="BN27" s="164">
        <v>0</v>
      </c>
      <c r="BO27" s="164">
        <f t="shared" si="3"/>
        <v>-5</v>
      </c>
      <c r="BP27" s="164">
        <f t="shared" si="4"/>
        <v>-5</v>
      </c>
    </row>
    <row r="28" spans="1:68" x14ac:dyDescent="0.2">
      <c r="A28" s="74">
        <v>6751</v>
      </c>
      <c r="B28" s="50" t="s">
        <v>1930</v>
      </c>
      <c r="C28" s="74" t="s">
        <v>2946</v>
      </c>
      <c r="E28" s="50" t="s">
        <v>2947</v>
      </c>
      <c r="F28" s="74">
        <v>527935</v>
      </c>
      <c r="G28" s="74">
        <v>175416</v>
      </c>
      <c r="H28" s="50" t="s">
        <v>256</v>
      </c>
      <c r="K28" s="77">
        <v>7</v>
      </c>
      <c r="L28" s="77">
        <v>0</v>
      </c>
      <c r="M28" s="77">
        <v>-7</v>
      </c>
      <c r="N28" s="77">
        <v>0</v>
      </c>
      <c r="O28" s="77">
        <v>0</v>
      </c>
      <c r="P28" s="77">
        <v>0</v>
      </c>
      <c r="Q28" s="77">
        <v>0</v>
      </c>
      <c r="R28" s="77">
        <v>0</v>
      </c>
      <c r="S28" s="77">
        <v>0</v>
      </c>
      <c r="T28" s="77">
        <v>0</v>
      </c>
      <c r="U28" s="77">
        <v>0</v>
      </c>
      <c r="V28" s="77">
        <v>0</v>
      </c>
      <c r="W28" s="77">
        <v>0</v>
      </c>
      <c r="X28" s="77">
        <v>0</v>
      </c>
      <c r="Y28" s="77">
        <v>0</v>
      </c>
      <c r="Z28" s="77">
        <v>7</v>
      </c>
      <c r="AA28" s="77">
        <v>0</v>
      </c>
      <c r="AB28" s="77">
        <v>-7</v>
      </c>
      <c r="AC28" s="50" t="s">
        <v>2948</v>
      </c>
      <c r="AD28" s="74" t="s">
        <v>113</v>
      </c>
      <c r="AE28" s="75">
        <v>43060</v>
      </c>
      <c r="AF28" s="75">
        <v>43164</v>
      </c>
      <c r="AG28" s="74" t="s">
        <v>114</v>
      </c>
      <c r="AQ28" s="74" t="s">
        <v>155</v>
      </c>
      <c r="AR28" s="74">
        <v>4</v>
      </c>
      <c r="AT28" s="164">
        <v>0</v>
      </c>
      <c r="AU28" s="164">
        <v>0</v>
      </c>
      <c r="AV28" s="164">
        <f t="shared" si="6"/>
        <v>-1.75</v>
      </c>
      <c r="AW28" s="164">
        <f t="shared" si="6"/>
        <v>-1.75</v>
      </c>
      <c r="AX28" s="164">
        <f t="shared" si="6"/>
        <v>-1.75</v>
      </c>
      <c r="AY28" s="164">
        <f t="shared" si="6"/>
        <v>-1.75</v>
      </c>
      <c r="AZ28" s="164">
        <v>0</v>
      </c>
      <c r="BA28" s="164">
        <v>0</v>
      </c>
      <c r="BB28" s="164">
        <v>0</v>
      </c>
      <c r="BC28" s="164">
        <v>0</v>
      </c>
      <c r="BD28" s="164">
        <v>0</v>
      </c>
      <c r="BE28" s="164">
        <v>0</v>
      </c>
      <c r="BF28" s="164">
        <v>0</v>
      </c>
      <c r="BG28" s="164">
        <v>0</v>
      </c>
      <c r="BH28" s="164">
        <v>0</v>
      </c>
      <c r="BI28" s="164">
        <v>0</v>
      </c>
      <c r="BJ28" s="164">
        <v>0</v>
      </c>
      <c r="BK28" s="164">
        <v>0</v>
      </c>
      <c r="BL28" s="164">
        <v>0</v>
      </c>
      <c r="BM28" s="164">
        <v>0</v>
      </c>
      <c r="BN28" s="164">
        <v>0</v>
      </c>
      <c r="BO28" s="164">
        <f t="shared" si="3"/>
        <v>-7</v>
      </c>
      <c r="BP28" s="164">
        <f t="shared" si="4"/>
        <v>-7</v>
      </c>
    </row>
    <row r="29" spans="1:68" x14ac:dyDescent="0.2">
      <c r="A29" s="74">
        <v>6792</v>
      </c>
      <c r="B29" s="50" t="s">
        <v>1930</v>
      </c>
      <c r="C29" s="74" t="s">
        <v>3804</v>
      </c>
      <c r="E29" s="50" t="s">
        <v>3805</v>
      </c>
      <c r="F29" s="74">
        <v>528718</v>
      </c>
      <c r="G29" s="74">
        <v>173146</v>
      </c>
      <c r="H29" s="50" t="s">
        <v>247</v>
      </c>
      <c r="K29" s="77">
        <v>0</v>
      </c>
      <c r="L29" s="77">
        <v>0</v>
      </c>
      <c r="M29" s="77">
        <v>0</v>
      </c>
      <c r="N29" s="77">
        <v>0</v>
      </c>
      <c r="O29" s="77">
        <v>0</v>
      </c>
      <c r="P29" s="77">
        <v>0</v>
      </c>
      <c r="Q29" s="77">
        <v>10</v>
      </c>
      <c r="R29" s="77">
        <v>0</v>
      </c>
      <c r="S29" s="77">
        <v>-10</v>
      </c>
      <c r="T29" s="77">
        <v>0</v>
      </c>
      <c r="U29" s="77">
        <v>0</v>
      </c>
      <c r="V29" s="77">
        <v>0</v>
      </c>
      <c r="W29" s="77">
        <v>0</v>
      </c>
      <c r="X29" s="77">
        <v>0</v>
      </c>
      <c r="Y29" s="77">
        <v>0</v>
      </c>
      <c r="Z29" s="77">
        <v>10</v>
      </c>
      <c r="AA29" s="77">
        <v>0</v>
      </c>
      <c r="AB29" s="77">
        <v>-10</v>
      </c>
      <c r="AC29" s="50" t="s">
        <v>3806</v>
      </c>
      <c r="AD29" s="74" t="s">
        <v>113</v>
      </c>
      <c r="AE29" s="75">
        <v>43118</v>
      </c>
      <c r="AF29" s="75">
        <v>43174</v>
      </c>
      <c r="AG29" s="74" t="s">
        <v>114</v>
      </c>
      <c r="AQ29" s="74" t="s">
        <v>155</v>
      </c>
      <c r="AR29" s="74">
        <v>4</v>
      </c>
      <c r="AT29" s="164">
        <v>0</v>
      </c>
      <c r="AU29" s="164">
        <v>0</v>
      </c>
      <c r="AV29" s="164">
        <f t="shared" si="6"/>
        <v>-2.5</v>
      </c>
      <c r="AW29" s="164">
        <f t="shared" si="6"/>
        <v>-2.5</v>
      </c>
      <c r="AX29" s="164">
        <f t="shared" si="6"/>
        <v>-2.5</v>
      </c>
      <c r="AY29" s="164">
        <f t="shared" si="6"/>
        <v>-2.5</v>
      </c>
      <c r="AZ29" s="164">
        <v>0</v>
      </c>
      <c r="BA29" s="164">
        <v>0</v>
      </c>
      <c r="BB29" s="164">
        <v>0</v>
      </c>
      <c r="BC29" s="164">
        <v>0</v>
      </c>
      <c r="BD29" s="164">
        <v>0</v>
      </c>
      <c r="BE29" s="164">
        <v>0</v>
      </c>
      <c r="BF29" s="164">
        <v>0</v>
      </c>
      <c r="BG29" s="164">
        <v>0</v>
      </c>
      <c r="BH29" s="164">
        <v>0</v>
      </c>
      <c r="BI29" s="164">
        <v>0</v>
      </c>
      <c r="BJ29" s="164">
        <v>0</v>
      </c>
      <c r="BK29" s="164">
        <v>0</v>
      </c>
      <c r="BL29" s="164">
        <v>0</v>
      </c>
      <c r="BM29" s="164">
        <v>0</v>
      </c>
      <c r="BN29" s="164">
        <v>0</v>
      </c>
      <c r="BO29" s="164">
        <f t="shared" si="3"/>
        <v>-10</v>
      </c>
      <c r="BP29" s="164">
        <f t="shared" si="4"/>
        <v>-10</v>
      </c>
    </row>
    <row r="30" spans="1:68" x14ac:dyDescent="0.2">
      <c r="A30" s="74">
        <v>13</v>
      </c>
      <c r="B30" s="50" t="s">
        <v>1955</v>
      </c>
      <c r="C30" s="74" t="s">
        <v>3778</v>
      </c>
      <c r="E30" s="50" t="s">
        <v>3779</v>
      </c>
      <c r="F30" s="74">
        <v>527592</v>
      </c>
      <c r="G30" s="74">
        <v>172887</v>
      </c>
      <c r="H30" s="50" t="s">
        <v>254</v>
      </c>
      <c r="K30" s="77">
        <v>0</v>
      </c>
      <c r="L30" s="77">
        <v>0</v>
      </c>
      <c r="M30" s="77">
        <v>0</v>
      </c>
      <c r="N30" s="77">
        <v>0</v>
      </c>
      <c r="O30" s="77">
        <v>10</v>
      </c>
      <c r="P30" s="77">
        <v>10</v>
      </c>
      <c r="Q30" s="77">
        <v>0</v>
      </c>
      <c r="R30" s="77">
        <v>0</v>
      </c>
      <c r="S30" s="77">
        <v>0</v>
      </c>
      <c r="T30" s="77">
        <v>0</v>
      </c>
      <c r="U30" s="77">
        <v>0</v>
      </c>
      <c r="V30" s="77">
        <v>0</v>
      </c>
      <c r="W30" s="77">
        <v>0</v>
      </c>
      <c r="X30" s="77">
        <v>0</v>
      </c>
      <c r="Y30" s="77">
        <v>0</v>
      </c>
      <c r="Z30" s="77">
        <v>0</v>
      </c>
      <c r="AA30" s="77">
        <v>10</v>
      </c>
      <c r="AB30" s="77">
        <v>10</v>
      </c>
      <c r="AC30" s="50" t="s">
        <v>3780</v>
      </c>
      <c r="AD30" s="74" t="s">
        <v>296</v>
      </c>
      <c r="AE30" s="75">
        <v>43027</v>
      </c>
      <c r="AF30" s="75">
        <v>43083</v>
      </c>
      <c r="AG30" s="74" t="s">
        <v>365</v>
      </c>
      <c r="AP30" s="50" t="s">
        <v>1794</v>
      </c>
      <c r="AQ30" s="74" t="s">
        <v>3991</v>
      </c>
      <c r="AR30" s="74">
        <v>15</v>
      </c>
      <c r="AS30" s="50" t="s">
        <v>4015</v>
      </c>
      <c r="AT30" s="164">
        <v>0</v>
      </c>
      <c r="AU30" s="164">
        <v>0</v>
      </c>
      <c r="AV30" s="164">
        <v>0</v>
      </c>
      <c r="AW30" s="164">
        <v>0</v>
      </c>
      <c r="AX30" s="164">
        <v>0</v>
      </c>
      <c r="AY30" s="164">
        <v>0</v>
      </c>
      <c r="AZ30" s="164">
        <v>0</v>
      </c>
      <c r="BA30" s="164">
        <v>0</v>
      </c>
      <c r="BB30" s="164">
        <v>0</v>
      </c>
      <c r="BC30" s="164">
        <v>0</v>
      </c>
      <c r="BD30" s="164">
        <v>0</v>
      </c>
      <c r="BE30" s="164">
        <v>0</v>
      </c>
      <c r="BF30" s="164">
        <v>0</v>
      </c>
      <c r="BG30" s="164">
        <v>0</v>
      </c>
      <c r="BH30" s="164">
        <v>0</v>
      </c>
      <c r="BI30" s="164">
        <v>0</v>
      </c>
      <c r="BJ30" s="164">
        <v>0</v>
      </c>
      <c r="BK30" s="164">
        <v>0</v>
      </c>
      <c r="BL30" s="164">
        <v>0</v>
      </c>
      <c r="BM30" s="164">
        <v>0</v>
      </c>
      <c r="BN30" s="164">
        <v>0</v>
      </c>
      <c r="BO30" s="164">
        <f t="shared" si="3"/>
        <v>0</v>
      </c>
      <c r="BP30" s="164">
        <f t="shared" si="4"/>
        <v>0</v>
      </c>
    </row>
    <row r="31" spans="1:68" x14ac:dyDescent="0.2">
      <c r="A31" s="74">
        <v>13</v>
      </c>
      <c r="B31" s="50" t="s">
        <v>1955</v>
      </c>
      <c r="C31" s="74" t="s">
        <v>3781</v>
      </c>
      <c r="E31" s="50" t="s">
        <v>3779</v>
      </c>
      <c r="F31" s="74">
        <v>527592</v>
      </c>
      <c r="G31" s="74">
        <v>172887</v>
      </c>
      <c r="H31" s="50" t="s">
        <v>254</v>
      </c>
      <c r="K31" s="77">
        <v>0</v>
      </c>
      <c r="L31" s="77">
        <v>0</v>
      </c>
      <c r="M31" s="77">
        <v>0</v>
      </c>
      <c r="N31" s="77">
        <v>0</v>
      </c>
      <c r="O31" s="77">
        <v>8</v>
      </c>
      <c r="P31" s="77">
        <v>8</v>
      </c>
      <c r="Q31" s="77">
        <v>0</v>
      </c>
      <c r="R31" s="77">
        <v>0</v>
      </c>
      <c r="S31" s="77">
        <v>0</v>
      </c>
      <c r="T31" s="77">
        <v>0</v>
      </c>
      <c r="U31" s="77">
        <v>0</v>
      </c>
      <c r="V31" s="77">
        <v>0</v>
      </c>
      <c r="W31" s="77">
        <v>0</v>
      </c>
      <c r="X31" s="77">
        <v>0</v>
      </c>
      <c r="Y31" s="77">
        <v>0</v>
      </c>
      <c r="Z31" s="77">
        <v>0</v>
      </c>
      <c r="AA31" s="77">
        <v>8</v>
      </c>
      <c r="AB31" s="77">
        <v>8</v>
      </c>
      <c r="AC31" s="50" t="s">
        <v>3782</v>
      </c>
      <c r="AD31" s="74" t="s">
        <v>121</v>
      </c>
      <c r="AE31" s="75">
        <v>43167</v>
      </c>
      <c r="AG31" s="74" t="s">
        <v>114</v>
      </c>
      <c r="AL31" s="74" t="s">
        <v>118</v>
      </c>
      <c r="AP31" s="50" t="s">
        <v>1794</v>
      </c>
      <c r="AQ31" s="74" t="s">
        <v>155</v>
      </c>
      <c r="AR31" s="74">
        <v>6</v>
      </c>
      <c r="AT31" s="164">
        <v>0</v>
      </c>
      <c r="AU31" s="164">
        <v>0</v>
      </c>
      <c r="AV31" s="164">
        <v>0</v>
      </c>
      <c r="AW31" s="164">
        <v>0</v>
      </c>
      <c r="AX31" s="164">
        <v>0</v>
      </c>
      <c r="AY31" s="164">
        <f t="shared" ref="AY31:BA36" si="7">$AB31/3</f>
        <v>2.6666666666666665</v>
      </c>
      <c r="AZ31" s="164">
        <f t="shared" si="7"/>
        <v>2.6666666666666665</v>
      </c>
      <c r="BA31" s="164">
        <f t="shared" si="7"/>
        <v>2.6666666666666665</v>
      </c>
      <c r="BB31" s="164">
        <v>0</v>
      </c>
      <c r="BC31" s="164">
        <v>0</v>
      </c>
      <c r="BD31" s="164">
        <v>0</v>
      </c>
      <c r="BE31" s="164">
        <v>0</v>
      </c>
      <c r="BF31" s="164">
        <v>0</v>
      </c>
      <c r="BG31" s="164">
        <v>0</v>
      </c>
      <c r="BH31" s="164">
        <v>0</v>
      </c>
      <c r="BI31" s="164">
        <v>0</v>
      </c>
      <c r="BJ31" s="164">
        <v>0</v>
      </c>
      <c r="BK31" s="164">
        <v>0</v>
      </c>
      <c r="BL31" s="164">
        <v>0</v>
      </c>
      <c r="BM31" s="164">
        <v>0</v>
      </c>
      <c r="BN31" s="164">
        <v>0</v>
      </c>
      <c r="BO31" s="164">
        <f t="shared" si="3"/>
        <v>2.6666666666666665</v>
      </c>
      <c r="BP31" s="164">
        <f t="shared" si="4"/>
        <v>8</v>
      </c>
    </row>
    <row r="32" spans="1:68" x14ac:dyDescent="0.2">
      <c r="A32" s="74">
        <v>700</v>
      </c>
      <c r="B32" s="50" t="s">
        <v>1955</v>
      </c>
      <c r="C32" s="74" t="s">
        <v>2019</v>
      </c>
      <c r="E32" s="50" t="s">
        <v>2020</v>
      </c>
      <c r="F32" s="74">
        <v>528024</v>
      </c>
      <c r="G32" s="74">
        <v>173250</v>
      </c>
      <c r="H32" s="50" t="s">
        <v>254</v>
      </c>
      <c r="K32" s="77">
        <v>0</v>
      </c>
      <c r="L32" s="77">
        <v>0</v>
      </c>
      <c r="M32" s="77">
        <v>0</v>
      </c>
      <c r="N32" s="77">
        <v>0</v>
      </c>
      <c r="O32" s="77">
        <v>0</v>
      </c>
      <c r="P32" s="77">
        <v>0</v>
      </c>
      <c r="Q32" s="77">
        <v>0</v>
      </c>
      <c r="R32" s="77">
        <v>0</v>
      </c>
      <c r="S32" s="77">
        <v>0</v>
      </c>
      <c r="T32" s="77">
        <v>0</v>
      </c>
      <c r="U32" s="77">
        <v>0</v>
      </c>
      <c r="V32" s="77">
        <v>0</v>
      </c>
      <c r="W32" s="77">
        <v>5</v>
      </c>
      <c r="X32" s="77">
        <v>0</v>
      </c>
      <c r="Y32" s="77">
        <v>-5</v>
      </c>
      <c r="Z32" s="77">
        <v>5</v>
      </c>
      <c r="AA32" s="77">
        <v>0</v>
      </c>
      <c r="AB32" s="77">
        <v>-5</v>
      </c>
      <c r="AC32" s="50" t="s">
        <v>2021</v>
      </c>
      <c r="AD32" s="74" t="s">
        <v>121</v>
      </c>
      <c r="AE32" s="75">
        <v>43180</v>
      </c>
      <c r="AG32" s="74" t="s">
        <v>114</v>
      </c>
      <c r="AQ32" s="74" t="s">
        <v>155</v>
      </c>
      <c r="AR32" s="74">
        <v>6</v>
      </c>
      <c r="AT32" s="164">
        <v>0</v>
      </c>
      <c r="AU32" s="164">
        <v>0</v>
      </c>
      <c r="AV32" s="164">
        <v>0</v>
      </c>
      <c r="AW32" s="164">
        <v>0</v>
      </c>
      <c r="AX32" s="164">
        <v>0</v>
      </c>
      <c r="AY32" s="164">
        <f t="shared" si="7"/>
        <v>-1.6666666666666667</v>
      </c>
      <c r="AZ32" s="164">
        <f t="shared" si="7"/>
        <v>-1.6666666666666667</v>
      </c>
      <c r="BA32" s="164">
        <f t="shared" si="7"/>
        <v>-1.6666666666666667</v>
      </c>
      <c r="BB32" s="164">
        <v>0</v>
      </c>
      <c r="BC32" s="164">
        <v>0</v>
      </c>
      <c r="BD32" s="164">
        <v>0</v>
      </c>
      <c r="BE32" s="164">
        <v>0</v>
      </c>
      <c r="BF32" s="164">
        <v>0</v>
      </c>
      <c r="BG32" s="164">
        <v>0</v>
      </c>
      <c r="BH32" s="164">
        <v>0</v>
      </c>
      <c r="BI32" s="164">
        <v>0</v>
      </c>
      <c r="BJ32" s="164">
        <v>0</v>
      </c>
      <c r="BK32" s="164">
        <v>0</v>
      </c>
      <c r="BL32" s="164">
        <v>0</v>
      </c>
      <c r="BM32" s="164">
        <v>0</v>
      </c>
      <c r="BN32" s="164">
        <v>0</v>
      </c>
      <c r="BO32" s="164">
        <f t="shared" si="3"/>
        <v>-1.6666666666666667</v>
      </c>
      <c r="BP32" s="164">
        <f t="shared" si="4"/>
        <v>-5</v>
      </c>
    </row>
    <row r="33" spans="1:68" x14ac:dyDescent="0.2">
      <c r="A33" s="74">
        <v>2589</v>
      </c>
      <c r="B33" s="50" t="s">
        <v>1955</v>
      </c>
      <c r="C33" s="74" t="s">
        <v>2055</v>
      </c>
      <c r="E33" s="50" t="s">
        <v>2056</v>
      </c>
      <c r="F33" s="74">
        <v>528730</v>
      </c>
      <c r="G33" s="74">
        <v>176714</v>
      </c>
      <c r="H33" s="50" t="s">
        <v>240</v>
      </c>
      <c r="K33" s="77">
        <v>0</v>
      </c>
      <c r="L33" s="77">
        <v>0</v>
      </c>
      <c r="M33" s="77">
        <v>0</v>
      </c>
      <c r="N33" s="77">
        <v>0</v>
      </c>
      <c r="O33" s="77">
        <v>0</v>
      </c>
      <c r="P33" s="77">
        <v>0</v>
      </c>
      <c r="Q33" s="77">
        <v>0</v>
      </c>
      <c r="R33" s="77">
        <v>0</v>
      </c>
      <c r="S33" s="77">
        <v>0</v>
      </c>
      <c r="T33" s="77">
        <v>0</v>
      </c>
      <c r="U33" s="77">
        <v>0</v>
      </c>
      <c r="V33" s="77">
        <v>0</v>
      </c>
      <c r="W33" s="77">
        <v>7</v>
      </c>
      <c r="X33" s="77">
        <v>0</v>
      </c>
      <c r="Y33" s="77">
        <v>-7</v>
      </c>
      <c r="Z33" s="77">
        <v>7</v>
      </c>
      <c r="AA33" s="77">
        <v>0</v>
      </c>
      <c r="AB33" s="77">
        <v>-7</v>
      </c>
      <c r="AC33" s="50" t="s">
        <v>2057</v>
      </c>
      <c r="AD33" s="74" t="s">
        <v>121</v>
      </c>
      <c r="AE33" s="75">
        <v>43123</v>
      </c>
      <c r="AG33" s="74" t="s">
        <v>114</v>
      </c>
      <c r="AQ33" s="74" t="s">
        <v>155</v>
      </c>
      <c r="AR33" s="74">
        <v>6</v>
      </c>
      <c r="AT33" s="164">
        <v>0</v>
      </c>
      <c r="AU33" s="164">
        <v>0</v>
      </c>
      <c r="AV33" s="164">
        <v>0</v>
      </c>
      <c r="AW33" s="164">
        <v>0</v>
      </c>
      <c r="AX33" s="164">
        <v>0</v>
      </c>
      <c r="AY33" s="164">
        <f t="shared" si="7"/>
        <v>-2.3333333333333335</v>
      </c>
      <c r="AZ33" s="164">
        <f t="shared" si="7"/>
        <v>-2.3333333333333335</v>
      </c>
      <c r="BA33" s="164">
        <f t="shared" si="7"/>
        <v>-2.3333333333333335</v>
      </c>
      <c r="BB33" s="164">
        <v>0</v>
      </c>
      <c r="BC33" s="164">
        <v>0</v>
      </c>
      <c r="BD33" s="164">
        <v>0</v>
      </c>
      <c r="BE33" s="164">
        <v>0</v>
      </c>
      <c r="BF33" s="164">
        <v>0</v>
      </c>
      <c r="BG33" s="164">
        <v>0</v>
      </c>
      <c r="BH33" s="164">
        <v>0</v>
      </c>
      <c r="BI33" s="164">
        <v>0</v>
      </c>
      <c r="BJ33" s="164">
        <v>0</v>
      </c>
      <c r="BK33" s="164">
        <v>0</v>
      </c>
      <c r="BL33" s="164">
        <v>0</v>
      </c>
      <c r="BM33" s="164">
        <v>0</v>
      </c>
      <c r="BN33" s="164">
        <v>0</v>
      </c>
      <c r="BO33" s="164">
        <f t="shared" si="3"/>
        <v>-2.3333333333333335</v>
      </c>
      <c r="BP33" s="164">
        <f t="shared" si="4"/>
        <v>-7</v>
      </c>
    </row>
    <row r="34" spans="1:68" x14ac:dyDescent="0.2">
      <c r="A34" s="74">
        <v>3588</v>
      </c>
      <c r="B34" s="50" t="s">
        <v>1955</v>
      </c>
      <c r="C34" s="74" t="s">
        <v>2074</v>
      </c>
      <c r="E34" s="50" t="s">
        <v>2075</v>
      </c>
      <c r="F34" s="74">
        <v>528283</v>
      </c>
      <c r="G34" s="74">
        <v>175682</v>
      </c>
      <c r="H34" s="50" t="s">
        <v>256</v>
      </c>
      <c r="K34" s="77">
        <v>0</v>
      </c>
      <c r="L34" s="77">
        <v>0</v>
      </c>
      <c r="M34" s="77">
        <v>0</v>
      </c>
      <c r="N34" s="77">
        <v>0</v>
      </c>
      <c r="O34" s="77">
        <v>0</v>
      </c>
      <c r="P34" s="77">
        <v>0</v>
      </c>
      <c r="Q34" s="77">
        <v>0</v>
      </c>
      <c r="R34" s="77">
        <v>0</v>
      </c>
      <c r="S34" s="77">
        <v>0</v>
      </c>
      <c r="T34" s="77">
        <v>0</v>
      </c>
      <c r="U34" s="77">
        <v>0</v>
      </c>
      <c r="V34" s="77">
        <v>0</v>
      </c>
      <c r="W34" s="77">
        <v>0</v>
      </c>
      <c r="X34" s="77">
        <v>9</v>
      </c>
      <c r="Y34" s="77">
        <v>9</v>
      </c>
      <c r="Z34" s="77">
        <v>0</v>
      </c>
      <c r="AA34" s="77">
        <v>9</v>
      </c>
      <c r="AB34" s="77">
        <v>9</v>
      </c>
      <c r="AC34" s="50" t="s">
        <v>2076</v>
      </c>
      <c r="AD34" s="74" t="s">
        <v>121</v>
      </c>
      <c r="AE34" s="75">
        <v>43070</v>
      </c>
      <c r="AG34" s="74" t="s">
        <v>114</v>
      </c>
      <c r="AQ34" s="74" t="s">
        <v>155</v>
      </c>
      <c r="AR34" s="74">
        <v>6</v>
      </c>
      <c r="AT34" s="164">
        <v>0</v>
      </c>
      <c r="AU34" s="164">
        <v>0</v>
      </c>
      <c r="AV34" s="164">
        <v>0</v>
      </c>
      <c r="AW34" s="164">
        <v>0</v>
      </c>
      <c r="AX34" s="164">
        <v>0</v>
      </c>
      <c r="AY34" s="164">
        <f t="shared" si="7"/>
        <v>3</v>
      </c>
      <c r="AZ34" s="164">
        <f t="shared" si="7"/>
        <v>3</v>
      </c>
      <c r="BA34" s="164">
        <f t="shared" si="7"/>
        <v>3</v>
      </c>
      <c r="BB34" s="164">
        <v>0</v>
      </c>
      <c r="BC34" s="164">
        <v>0</v>
      </c>
      <c r="BD34" s="164">
        <v>0</v>
      </c>
      <c r="BE34" s="164">
        <v>0</v>
      </c>
      <c r="BF34" s="164">
        <v>0</v>
      </c>
      <c r="BG34" s="164">
        <v>0</v>
      </c>
      <c r="BH34" s="164">
        <v>0</v>
      </c>
      <c r="BI34" s="164">
        <v>0</v>
      </c>
      <c r="BJ34" s="164">
        <v>0</v>
      </c>
      <c r="BK34" s="164">
        <v>0</v>
      </c>
      <c r="BL34" s="164">
        <v>0</v>
      </c>
      <c r="BM34" s="164">
        <v>0</v>
      </c>
      <c r="BN34" s="164">
        <v>0</v>
      </c>
      <c r="BO34" s="164">
        <f t="shared" si="3"/>
        <v>3</v>
      </c>
      <c r="BP34" s="164">
        <f t="shared" si="4"/>
        <v>9</v>
      </c>
    </row>
    <row r="35" spans="1:68" x14ac:dyDescent="0.2">
      <c r="A35" s="74">
        <v>4886</v>
      </c>
      <c r="B35" s="50" t="s">
        <v>1955</v>
      </c>
      <c r="C35" s="74" t="s">
        <v>3783</v>
      </c>
      <c r="E35" s="50" t="s">
        <v>2538</v>
      </c>
      <c r="F35" s="74">
        <v>528185</v>
      </c>
      <c r="G35" s="74">
        <v>175700</v>
      </c>
      <c r="H35" s="50" t="s">
        <v>256</v>
      </c>
      <c r="K35" s="77">
        <v>0</v>
      </c>
      <c r="L35" s="77">
        <v>68</v>
      </c>
      <c r="M35" s="77">
        <v>68</v>
      </c>
      <c r="N35" s="77">
        <v>0</v>
      </c>
      <c r="O35" s="77">
        <v>0</v>
      </c>
      <c r="P35" s="77">
        <v>0</v>
      </c>
      <c r="Q35" s="77">
        <v>0</v>
      </c>
      <c r="R35" s="77">
        <v>0</v>
      </c>
      <c r="S35" s="77">
        <v>0</v>
      </c>
      <c r="T35" s="77">
        <v>0</v>
      </c>
      <c r="U35" s="77">
        <v>0</v>
      </c>
      <c r="V35" s="77">
        <v>0</v>
      </c>
      <c r="W35" s="77">
        <v>0</v>
      </c>
      <c r="X35" s="77">
        <v>0</v>
      </c>
      <c r="Y35" s="77">
        <v>0</v>
      </c>
      <c r="Z35" s="77">
        <v>0</v>
      </c>
      <c r="AA35" s="77">
        <v>68</v>
      </c>
      <c r="AB35" s="77">
        <v>68</v>
      </c>
      <c r="AC35" s="50" t="s">
        <v>3784</v>
      </c>
      <c r="AD35" s="74" t="s">
        <v>121</v>
      </c>
      <c r="AE35" s="75">
        <v>43174</v>
      </c>
      <c r="AG35" s="74" t="s">
        <v>114</v>
      </c>
      <c r="AQ35" s="74" t="s">
        <v>155</v>
      </c>
      <c r="AR35" s="74">
        <v>6</v>
      </c>
      <c r="AT35" s="164">
        <v>0</v>
      </c>
      <c r="AU35" s="164">
        <v>0</v>
      </c>
      <c r="AV35" s="164">
        <v>0</v>
      </c>
      <c r="AW35" s="164">
        <v>0</v>
      </c>
      <c r="AX35" s="164">
        <v>0</v>
      </c>
      <c r="AY35" s="164">
        <f t="shared" si="7"/>
        <v>22.666666666666668</v>
      </c>
      <c r="AZ35" s="164">
        <f t="shared" si="7"/>
        <v>22.666666666666668</v>
      </c>
      <c r="BA35" s="164">
        <f t="shared" si="7"/>
        <v>22.666666666666668</v>
      </c>
      <c r="BB35" s="164">
        <v>0</v>
      </c>
      <c r="BC35" s="164">
        <v>0</v>
      </c>
      <c r="BD35" s="164">
        <v>0</v>
      </c>
      <c r="BE35" s="164">
        <v>0</v>
      </c>
      <c r="BF35" s="164">
        <v>0</v>
      </c>
      <c r="BG35" s="164">
        <v>0</v>
      </c>
      <c r="BH35" s="164">
        <v>0</v>
      </c>
      <c r="BI35" s="164">
        <v>0</v>
      </c>
      <c r="BJ35" s="164">
        <v>0</v>
      </c>
      <c r="BK35" s="164">
        <v>0</v>
      </c>
      <c r="BL35" s="164">
        <v>0</v>
      </c>
      <c r="BM35" s="164">
        <v>0</v>
      </c>
      <c r="BN35" s="164">
        <v>0</v>
      </c>
      <c r="BO35" s="164">
        <f t="shared" si="3"/>
        <v>22.666666666666668</v>
      </c>
      <c r="BP35" s="164">
        <f t="shared" si="4"/>
        <v>68</v>
      </c>
    </row>
    <row r="36" spans="1:68" x14ac:dyDescent="0.2">
      <c r="A36" s="74">
        <v>6827</v>
      </c>
      <c r="B36" s="50" t="s">
        <v>1955</v>
      </c>
      <c r="C36" s="74" t="s">
        <v>3785</v>
      </c>
      <c r="E36" s="50" t="s">
        <v>3786</v>
      </c>
      <c r="F36" s="74">
        <v>528519</v>
      </c>
      <c r="G36" s="74">
        <v>170963</v>
      </c>
      <c r="H36" s="50" t="s">
        <v>252</v>
      </c>
      <c r="K36" s="77">
        <v>0</v>
      </c>
      <c r="L36" s="77">
        <v>0</v>
      </c>
      <c r="M36" s="77">
        <v>0</v>
      </c>
      <c r="N36" s="77">
        <v>0</v>
      </c>
      <c r="O36" s="77">
        <v>0</v>
      </c>
      <c r="P36" s="77">
        <v>0</v>
      </c>
      <c r="Q36" s="77">
        <v>0</v>
      </c>
      <c r="R36" s="77">
        <v>0</v>
      </c>
      <c r="S36" s="77">
        <v>0</v>
      </c>
      <c r="T36" s="77">
        <v>0</v>
      </c>
      <c r="U36" s="77">
        <v>34</v>
      </c>
      <c r="V36" s="77">
        <v>34</v>
      </c>
      <c r="W36" s="77">
        <v>0</v>
      </c>
      <c r="X36" s="77">
        <v>0</v>
      </c>
      <c r="Y36" s="77">
        <v>0</v>
      </c>
      <c r="Z36" s="77">
        <v>0</v>
      </c>
      <c r="AA36" s="77">
        <v>34</v>
      </c>
      <c r="AB36" s="77">
        <v>34</v>
      </c>
      <c r="AC36" s="50" t="s">
        <v>3787</v>
      </c>
      <c r="AD36" s="74" t="s">
        <v>121</v>
      </c>
      <c r="AE36" s="75">
        <v>43159</v>
      </c>
      <c r="AG36" s="74" t="s">
        <v>114</v>
      </c>
      <c r="AL36" s="74" t="s">
        <v>118</v>
      </c>
      <c r="AQ36" s="74" t="s">
        <v>155</v>
      </c>
      <c r="AR36" s="74">
        <v>6</v>
      </c>
      <c r="AT36" s="164">
        <v>0</v>
      </c>
      <c r="AU36" s="164">
        <v>0</v>
      </c>
      <c r="AV36" s="164">
        <v>0</v>
      </c>
      <c r="AW36" s="164">
        <v>0</v>
      </c>
      <c r="AX36" s="164">
        <v>0</v>
      </c>
      <c r="AY36" s="164">
        <f t="shared" si="7"/>
        <v>11.333333333333334</v>
      </c>
      <c r="AZ36" s="164">
        <f t="shared" si="7"/>
        <v>11.333333333333334</v>
      </c>
      <c r="BA36" s="164">
        <f t="shared" si="7"/>
        <v>11.333333333333334</v>
      </c>
      <c r="BB36" s="164">
        <v>0</v>
      </c>
      <c r="BC36" s="164">
        <v>0</v>
      </c>
      <c r="BD36" s="164">
        <v>0</v>
      </c>
      <c r="BE36" s="164">
        <v>0</v>
      </c>
      <c r="BF36" s="164">
        <v>0</v>
      </c>
      <c r="BG36" s="164">
        <v>0</v>
      </c>
      <c r="BH36" s="164">
        <v>0</v>
      </c>
      <c r="BI36" s="164">
        <v>0</v>
      </c>
      <c r="BJ36" s="164">
        <v>0</v>
      </c>
      <c r="BK36" s="164">
        <v>0</v>
      </c>
      <c r="BL36" s="164">
        <v>0</v>
      </c>
      <c r="BM36" s="164">
        <v>0</v>
      </c>
      <c r="BN36" s="164">
        <v>0</v>
      </c>
      <c r="BO36" s="164">
        <f t="shared" si="3"/>
        <v>11.333333333333334</v>
      </c>
      <c r="BP36" s="164">
        <f t="shared" si="4"/>
        <v>34</v>
      </c>
    </row>
  </sheetData>
  <autoFilter ref="A1:BP36" xr:uid="{00000000-0009-0000-0000-000005000000}">
    <sortState ref="A2:BP36">
      <sortCondition ref="B2:B36"/>
      <sortCondition ref="A2:A36"/>
      <sortCondition ref="C2:C36"/>
    </sortState>
  </autoFilter>
  <sortState ref="A2:AS36">
    <sortCondition ref="B2:B36"/>
    <sortCondition ref="A2:A36"/>
    <sortCondition ref="C2:C36"/>
  </sortState>
  <pageMargins left="0.39370078740157483" right="0.39370078740157483" top="0.39370078740157483" bottom="0.39370078740157483" header="0.19685039370078741" footer="0.19685039370078741"/>
  <pageSetup paperSize="8"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A1:D27"/>
  <sheetViews>
    <sheetView topLeftCell="A7" zoomScaleNormal="100" workbookViewId="0">
      <selection activeCell="C13" sqref="C13"/>
    </sheetView>
  </sheetViews>
  <sheetFormatPr defaultRowHeight="12.75" x14ac:dyDescent="0.2"/>
  <cols>
    <col min="1" max="1" width="3" style="119" bestFit="1" customWidth="1"/>
    <col min="2" max="2" width="22.28515625" style="7" customWidth="1"/>
    <col min="3" max="3" width="40.42578125" style="7" customWidth="1"/>
    <col min="4" max="4" width="31" style="7" customWidth="1"/>
    <col min="5" max="16384" width="9.140625" style="1"/>
  </cols>
  <sheetData>
    <row r="1" spans="1:4" s="51" customFormat="1" ht="18" customHeight="1" x14ac:dyDescent="0.25">
      <c r="A1" s="338" t="s">
        <v>3928</v>
      </c>
      <c r="B1" s="338"/>
      <c r="C1" s="338"/>
      <c r="D1" s="338"/>
    </row>
    <row r="2" spans="1:4" s="109" customFormat="1" ht="12" x14ac:dyDescent="0.2">
      <c r="A2" s="118"/>
      <c r="B2" s="108"/>
      <c r="C2" s="108"/>
      <c r="D2" s="108"/>
    </row>
    <row r="3" spans="1:4" s="8" customFormat="1" ht="37.5" customHeight="1" x14ac:dyDescent="0.2">
      <c r="A3" s="339" t="s">
        <v>3929</v>
      </c>
      <c r="B3" s="339"/>
      <c r="C3" s="339"/>
      <c r="D3" s="339"/>
    </row>
    <row r="4" spans="1:4" s="111" customFormat="1" ht="12" x14ac:dyDescent="0.2">
      <c r="A4" s="118"/>
      <c r="B4" s="110"/>
      <c r="C4" s="110"/>
      <c r="D4" s="110"/>
    </row>
    <row r="5" spans="1:4" s="8" customFormat="1" x14ac:dyDescent="0.2">
      <c r="A5" s="336" t="s">
        <v>376</v>
      </c>
      <c r="B5" s="337"/>
      <c r="C5" s="112" t="s">
        <v>3900</v>
      </c>
      <c r="D5" s="112" t="s">
        <v>3903</v>
      </c>
    </row>
    <row r="6" spans="1:4" s="8" customFormat="1" ht="24" x14ac:dyDescent="0.2">
      <c r="A6" s="120">
        <v>1</v>
      </c>
      <c r="B6" s="114" t="s">
        <v>3901</v>
      </c>
      <c r="C6" s="114" t="s">
        <v>3902</v>
      </c>
      <c r="D6" s="115" t="s">
        <v>1711</v>
      </c>
    </row>
    <row r="7" spans="1:4" s="8" customFormat="1" ht="48" x14ac:dyDescent="0.2">
      <c r="A7" s="120" t="s">
        <v>3976</v>
      </c>
      <c r="B7" s="334" t="s">
        <v>3904</v>
      </c>
      <c r="C7" s="114" t="s">
        <v>3978</v>
      </c>
      <c r="D7" s="115" t="s">
        <v>1711</v>
      </c>
    </row>
    <row r="8" spans="1:4" s="8" customFormat="1" ht="36" x14ac:dyDescent="0.2">
      <c r="A8" s="120" t="s">
        <v>3977</v>
      </c>
      <c r="B8" s="335"/>
      <c r="C8" s="114" t="s">
        <v>3979</v>
      </c>
      <c r="D8" s="115" t="s">
        <v>1711</v>
      </c>
    </row>
    <row r="9" spans="1:4" s="8" customFormat="1" ht="36" x14ac:dyDescent="0.2">
      <c r="A9" s="163" t="s">
        <v>3934</v>
      </c>
      <c r="B9" s="340" t="s">
        <v>3905</v>
      </c>
      <c r="C9" s="114" t="s">
        <v>3933</v>
      </c>
      <c r="D9" s="115" t="s">
        <v>1711</v>
      </c>
    </row>
    <row r="10" spans="1:4" s="8" customFormat="1" ht="60" x14ac:dyDescent="0.2">
      <c r="A10" s="162" t="s">
        <v>3935</v>
      </c>
      <c r="B10" s="341"/>
      <c r="C10" s="114" t="s">
        <v>3956</v>
      </c>
      <c r="D10" s="115" t="s">
        <v>4032</v>
      </c>
    </row>
    <row r="11" spans="1:4" s="8" customFormat="1" ht="84" x14ac:dyDescent="0.2">
      <c r="A11" s="120">
        <v>4</v>
      </c>
      <c r="B11" s="114" t="s">
        <v>3906</v>
      </c>
      <c r="C11" s="114" t="s">
        <v>3957</v>
      </c>
      <c r="D11" s="115" t="s">
        <v>3958</v>
      </c>
    </row>
    <row r="12" spans="1:4" s="8" customFormat="1" ht="36" x14ac:dyDescent="0.2">
      <c r="A12" s="120" t="s">
        <v>3936</v>
      </c>
      <c r="B12" s="340" t="s">
        <v>3908</v>
      </c>
      <c r="C12" s="114" t="s">
        <v>3933</v>
      </c>
      <c r="D12" s="115" t="s">
        <v>1711</v>
      </c>
    </row>
    <row r="13" spans="1:4" s="8" customFormat="1" ht="108" x14ac:dyDescent="0.2">
      <c r="A13" s="120" t="s">
        <v>3968</v>
      </c>
      <c r="B13" s="341"/>
      <c r="C13" s="114" t="s">
        <v>3970</v>
      </c>
      <c r="D13" s="115" t="s">
        <v>3971</v>
      </c>
    </row>
    <row r="14" spans="1:4" s="8" customFormat="1" ht="48" x14ac:dyDescent="0.2">
      <c r="A14" s="120">
        <v>6</v>
      </c>
      <c r="B14" s="114" t="s">
        <v>3907</v>
      </c>
      <c r="C14" s="114" t="s">
        <v>3990</v>
      </c>
      <c r="D14" s="115" t="s">
        <v>1711</v>
      </c>
    </row>
    <row r="15" spans="1:4" s="8" customFormat="1" ht="60" x14ac:dyDescent="0.2">
      <c r="A15" s="120">
        <v>7</v>
      </c>
      <c r="B15" s="114" t="s">
        <v>3909</v>
      </c>
      <c r="C15" s="114" t="s">
        <v>3902</v>
      </c>
      <c r="D15" s="115" t="s">
        <v>1711</v>
      </c>
    </row>
    <row r="16" spans="1:4" s="8" customFormat="1" ht="60" x14ac:dyDescent="0.2">
      <c r="A16" s="120" t="s">
        <v>3980</v>
      </c>
      <c r="B16" s="334" t="s">
        <v>3910</v>
      </c>
      <c r="C16" s="114" t="s">
        <v>3982</v>
      </c>
      <c r="D16" s="115" t="s">
        <v>1711</v>
      </c>
    </row>
    <row r="17" spans="1:4" s="8" customFormat="1" ht="36" x14ac:dyDescent="0.2">
      <c r="A17" s="120" t="s">
        <v>3981</v>
      </c>
      <c r="B17" s="335"/>
      <c r="C17" s="114" t="s">
        <v>3979</v>
      </c>
      <c r="D17" s="115" t="s">
        <v>1711</v>
      </c>
    </row>
    <row r="18" spans="1:4" s="8" customFormat="1" ht="108" x14ac:dyDescent="0.2">
      <c r="A18" s="120" t="s">
        <v>1937</v>
      </c>
      <c r="B18" s="115" t="s">
        <v>3965</v>
      </c>
      <c r="C18" s="116" t="s">
        <v>3967</v>
      </c>
      <c r="D18" s="115" t="s">
        <v>1711</v>
      </c>
    </row>
    <row r="19" spans="1:4" s="8" customFormat="1" ht="36" x14ac:dyDescent="0.2">
      <c r="A19" s="120" t="s">
        <v>1957</v>
      </c>
      <c r="B19" s="332" t="s">
        <v>3966</v>
      </c>
      <c r="C19" s="116" t="s">
        <v>3969</v>
      </c>
      <c r="D19" s="115" t="s">
        <v>1711</v>
      </c>
    </row>
    <row r="20" spans="1:4" s="8" customFormat="1" ht="72" customHeight="1" x14ac:dyDescent="0.2">
      <c r="A20" s="120" t="s">
        <v>3972</v>
      </c>
      <c r="B20" s="333"/>
      <c r="C20" s="116" t="s">
        <v>3973</v>
      </c>
      <c r="D20" s="115" t="s">
        <v>1711</v>
      </c>
    </row>
    <row r="21" spans="1:4" s="8" customFormat="1" ht="72" x14ac:dyDescent="0.2">
      <c r="A21" s="120">
        <v>10</v>
      </c>
      <c r="B21" s="115" t="s">
        <v>3919</v>
      </c>
      <c r="C21" s="115" t="s">
        <v>3959</v>
      </c>
      <c r="D21" s="115" t="s">
        <v>1711</v>
      </c>
    </row>
    <row r="22" spans="1:4" s="8" customFormat="1" ht="158.25" customHeight="1" x14ac:dyDescent="0.2">
      <c r="A22" s="120">
        <v>11</v>
      </c>
      <c r="B22" s="115" t="s">
        <v>3911</v>
      </c>
      <c r="C22" s="117" t="s">
        <v>3912</v>
      </c>
      <c r="D22" s="115" t="s">
        <v>1711</v>
      </c>
    </row>
    <row r="23" spans="1:4" s="8" customFormat="1" ht="120" x14ac:dyDescent="0.2">
      <c r="A23" s="120">
        <v>12</v>
      </c>
      <c r="B23" s="115" t="s">
        <v>3913</v>
      </c>
      <c r="C23" s="115" t="s">
        <v>3917</v>
      </c>
      <c r="D23" s="115" t="s">
        <v>3914</v>
      </c>
    </row>
    <row r="24" spans="1:4" s="8" customFormat="1" ht="108" x14ac:dyDescent="0.2">
      <c r="A24" s="120">
        <v>13</v>
      </c>
      <c r="B24" s="115" t="s">
        <v>3915</v>
      </c>
      <c r="C24" s="115" t="s">
        <v>3918</v>
      </c>
      <c r="D24" s="115" t="s">
        <v>1711</v>
      </c>
    </row>
    <row r="25" spans="1:4" s="8" customFormat="1" ht="144" x14ac:dyDescent="0.2">
      <c r="A25" s="120">
        <v>14</v>
      </c>
      <c r="B25" s="115" t="s">
        <v>3916</v>
      </c>
      <c r="C25" s="115" t="s">
        <v>3989</v>
      </c>
      <c r="D25" s="115" t="s">
        <v>1711</v>
      </c>
    </row>
    <row r="26" spans="1:4" ht="36" x14ac:dyDescent="0.2">
      <c r="A26" s="120">
        <v>15</v>
      </c>
      <c r="B26" s="115" t="s">
        <v>3963</v>
      </c>
      <c r="C26" s="115" t="s">
        <v>3964</v>
      </c>
      <c r="D26" s="115" t="s">
        <v>1711</v>
      </c>
    </row>
    <row r="27" spans="1:4" ht="24" x14ac:dyDescent="0.2">
      <c r="A27" s="120">
        <v>16</v>
      </c>
      <c r="B27" s="115" t="s">
        <v>3974</v>
      </c>
      <c r="C27" s="115" t="s">
        <v>3975</v>
      </c>
      <c r="D27" s="115" t="s">
        <v>1711</v>
      </c>
    </row>
  </sheetData>
  <mergeCells count="8">
    <mergeCell ref="B19:B20"/>
    <mergeCell ref="B7:B8"/>
    <mergeCell ref="B16:B17"/>
    <mergeCell ref="A5:B5"/>
    <mergeCell ref="A1:D1"/>
    <mergeCell ref="A3:D3"/>
    <mergeCell ref="B9:B10"/>
    <mergeCell ref="B12:B13"/>
  </mergeCells>
  <phoneticPr fontId="3" type="noConversion"/>
  <printOptions horizontalCentered="1"/>
  <pageMargins left="0.39370078740157483" right="0.39370078740157483" top="0.39370078740157483" bottom="0.39370078740157483" header="0.19685039370078741" footer="0.19685039370078741"/>
  <pageSetup paperSize="9" orientation="portrait" verticalDpi="1200" r:id="rId1"/>
  <headerFooter alignWithMargins="0">
    <oddFooter>&amp;C&amp;8&amp;P of &amp;N</oddFooter>
  </headerFooter>
  <rowBreaks count="1" manualBreakCount="1">
    <brk id="40" max="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1:C16"/>
  <sheetViews>
    <sheetView zoomScaleNormal="100" workbookViewId="0">
      <selection activeCell="F24" sqref="F24"/>
    </sheetView>
  </sheetViews>
  <sheetFormatPr defaultRowHeight="12.75" x14ac:dyDescent="0.2"/>
  <cols>
    <col min="1" max="1" width="3" style="119" bestFit="1" customWidth="1"/>
    <col min="2" max="2" width="22.28515625" style="7" customWidth="1"/>
    <col min="3" max="3" width="43.85546875" style="7" customWidth="1"/>
    <col min="4" max="16384" width="9.140625" style="1"/>
  </cols>
  <sheetData>
    <row r="1" spans="1:3" s="51" customFormat="1" ht="18" customHeight="1" x14ac:dyDescent="0.25">
      <c r="A1" s="338" t="s">
        <v>3930</v>
      </c>
      <c r="B1" s="338"/>
      <c r="C1" s="338"/>
    </row>
    <row r="2" spans="1:3" s="109" customFormat="1" ht="12" x14ac:dyDescent="0.2">
      <c r="A2" s="118"/>
      <c r="B2" s="108"/>
      <c r="C2" s="108"/>
    </row>
    <row r="3" spans="1:3" s="8" customFormat="1" ht="24.75" customHeight="1" x14ac:dyDescent="0.2">
      <c r="A3" s="339" t="s">
        <v>3931</v>
      </c>
      <c r="B3" s="339"/>
      <c r="C3" s="339"/>
    </row>
    <row r="4" spans="1:3" s="111" customFormat="1" ht="12" x14ac:dyDescent="0.2">
      <c r="A4" s="118"/>
      <c r="B4" s="110"/>
      <c r="C4" s="110"/>
    </row>
    <row r="5" spans="1:3" s="8" customFormat="1" x14ac:dyDescent="0.2">
      <c r="A5" s="336" t="s">
        <v>376</v>
      </c>
      <c r="B5" s="337"/>
      <c r="C5" s="112" t="s">
        <v>4016</v>
      </c>
    </row>
    <row r="6" spans="1:3" s="8" customFormat="1" ht="24" x14ac:dyDescent="0.2">
      <c r="A6" s="120">
        <v>1</v>
      </c>
      <c r="B6" s="114" t="s">
        <v>3983</v>
      </c>
      <c r="C6" s="114" t="s">
        <v>3902</v>
      </c>
    </row>
    <row r="7" spans="1:3" s="8" customFormat="1" ht="48" x14ac:dyDescent="0.2">
      <c r="A7" s="120" t="s">
        <v>3976</v>
      </c>
      <c r="B7" s="334" t="s">
        <v>3984</v>
      </c>
      <c r="C7" s="114" t="s">
        <v>3978</v>
      </c>
    </row>
    <row r="8" spans="1:3" s="8" customFormat="1" ht="36" x14ac:dyDescent="0.2">
      <c r="A8" s="120" t="s">
        <v>3977</v>
      </c>
      <c r="B8" s="335"/>
      <c r="C8" s="114" t="s">
        <v>3979</v>
      </c>
    </row>
    <row r="9" spans="1:3" s="8" customFormat="1" ht="36" x14ac:dyDescent="0.2">
      <c r="A9" s="163" t="s">
        <v>3934</v>
      </c>
      <c r="B9" s="340" t="s">
        <v>3985</v>
      </c>
      <c r="C9" s="114" t="s">
        <v>3933</v>
      </c>
    </row>
    <row r="10" spans="1:3" s="8" customFormat="1" ht="48" x14ac:dyDescent="0.2">
      <c r="A10" s="162" t="s">
        <v>3935</v>
      </c>
      <c r="B10" s="341"/>
      <c r="C10" s="114" t="s">
        <v>3956</v>
      </c>
    </row>
    <row r="11" spans="1:3" s="8" customFormat="1" ht="72" x14ac:dyDescent="0.2">
      <c r="A11" s="120">
        <v>4</v>
      </c>
      <c r="B11" s="114" t="s">
        <v>3986</v>
      </c>
      <c r="C11" s="114" t="s">
        <v>3957</v>
      </c>
    </row>
    <row r="12" spans="1:3" s="8" customFormat="1" ht="36" x14ac:dyDescent="0.2">
      <c r="A12" s="120" t="s">
        <v>3936</v>
      </c>
      <c r="B12" s="340" t="s">
        <v>3988</v>
      </c>
      <c r="C12" s="114" t="s">
        <v>3933</v>
      </c>
    </row>
    <row r="13" spans="1:3" s="8" customFormat="1" ht="48" x14ac:dyDescent="0.2">
      <c r="A13" s="120" t="s">
        <v>3968</v>
      </c>
      <c r="B13" s="341"/>
      <c r="C13" s="114" t="s">
        <v>3970</v>
      </c>
    </row>
    <row r="14" spans="1:3" s="8" customFormat="1" ht="36" x14ac:dyDescent="0.2">
      <c r="A14" s="120">
        <v>6</v>
      </c>
      <c r="B14" s="114" t="s">
        <v>3987</v>
      </c>
      <c r="C14" s="114" t="s">
        <v>3955</v>
      </c>
    </row>
    <row r="15" spans="1:3" ht="36" x14ac:dyDescent="0.2">
      <c r="A15" s="120">
        <v>15</v>
      </c>
      <c r="B15" s="115" t="s">
        <v>3963</v>
      </c>
      <c r="C15" s="115" t="s">
        <v>3964</v>
      </c>
    </row>
    <row r="16" spans="1:3" ht="24" x14ac:dyDescent="0.2">
      <c r="A16" s="120">
        <v>16</v>
      </c>
      <c r="B16" s="115" t="s">
        <v>3974</v>
      </c>
      <c r="C16" s="115" t="s">
        <v>3975</v>
      </c>
    </row>
  </sheetData>
  <mergeCells count="6">
    <mergeCell ref="B12:B13"/>
    <mergeCell ref="A1:C1"/>
    <mergeCell ref="A3:C3"/>
    <mergeCell ref="A5:B5"/>
    <mergeCell ref="B7:B8"/>
    <mergeCell ref="B9:B10"/>
  </mergeCells>
  <pageMargins left="0.39370078740157483" right="0.39370078740157483" top="0.39370078740157483" bottom="0.39370078740157483" header="0.19685039370078741" footer="0.19685039370078741"/>
  <pageSetup paperSize="9" orientation="portrait" verticalDpi="1200" r:id="rId1"/>
  <headerFooter alignWithMargins="0">
    <oddFooter>&amp;C&amp;8&amp;P of &amp;N</oddFooter>
  </headerFooter>
  <rowBreaks count="1" manualBreakCount="1">
    <brk id="19" max="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sheetPr>
  <dimension ref="A1:C83"/>
  <sheetViews>
    <sheetView workbookViewId="0">
      <selection activeCell="B64" sqref="B64"/>
    </sheetView>
  </sheetViews>
  <sheetFormatPr defaultRowHeight="12.75" x14ac:dyDescent="0.2"/>
  <cols>
    <col min="1" max="1" width="8.7109375" style="7" bestFit="1" customWidth="1"/>
    <col min="2" max="2" width="49.140625" style="7" bestFit="1" customWidth="1"/>
    <col min="3" max="3" width="31" style="7" customWidth="1"/>
    <col min="4" max="16384" width="9.140625" style="7"/>
  </cols>
  <sheetData>
    <row r="1" spans="1:3" s="113" customFormat="1" ht="18" customHeight="1" x14ac:dyDescent="0.25">
      <c r="A1" s="344" t="s">
        <v>69</v>
      </c>
      <c r="B1" s="344"/>
      <c r="C1" s="154"/>
    </row>
    <row r="2" spans="1:3" s="157" customFormat="1" ht="12" x14ac:dyDescent="0.2">
      <c r="A2" s="108"/>
      <c r="B2" s="108"/>
      <c r="C2" s="108"/>
    </row>
    <row r="3" spans="1:3" x14ac:dyDescent="0.2">
      <c r="A3" s="342" t="s">
        <v>174</v>
      </c>
      <c r="B3" s="343"/>
    </row>
    <row r="4" spans="1:3" x14ac:dyDescent="0.2">
      <c r="A4" s="158" t="s">
        <v>121</v>
      </c>
      <c r="B4" s="158" t="s">
        <v>355</v>
      </c>
    </row>
    <row r="5" spans="1:3" x14ac:dyDescent="0.2">
      <c r="A5" s="158" t="s">
        <v>350</v>
      </c>
      <c r="B5" s="158" t="s">
        <v>356</v>
      </c>
    </row>
    <row r="6" spans="1:3" x14ac:dyDescent="0.2">
      <c r="A6" s="158" t="s">
        <v>1998</v>
      </c>
      <c r="B6" s="158" t="s">
        <v>3920</v>
      </c>
    </row>
    <row r="7" spans="1:3" x14ac:dyDescent="0.2">
      <c r="A7" s="158" t="s">
        <v>3843</v>
      </c>
      <c r="B7" s="158" t="s">
        <v>3921</v>
      </c>
    </row>
    <row r="8" spans="1:3" x14ac:dyDescent="0.2">
      <c r="A8" s="158" t="s">
        <v>126</v>
      </c>
      <c r="B8" s="158" t="s">
        <v>1778</v>
      </c>
    </row>
    <row r="9" spans="1:3" x14ac:dyDescent="0.2">
      <c r="A9" s="158" t="s">
        <v>504</v>
      </c>
      <c r="B9" s="158" t="s">
        <v>1779</v>
      </c>
    </row>
    <row r="10" spans="1:3" x14ac:dyDescent="0.2">
      <c r="A10" s="158" t="s">
        <v>513</v>
      </c>
      <c r="B10" s="158" t="s">
        <v>1780</v>
      </c>
    </row>
    <row r="11" spans="1:3" x14ac:dyDescent="0.2">
      <c r="A11" s="158" t="s">
        <v>1906</v>
      </c>
      <c r="B11" s="158" t="s">
        <v>3922</v>
      </c>
    </row>
    <row r="12" spans="1:3" x14ac:dyDescent="0.2">
      <c r="A12" s="158" t="s">
        <v>802</v>
      </c>
      <c r="B12" s="158" t="s">
        <v>1781</v>
      </c>
    </row>
    <row r="13" spans="1:3" x14ac:dyDescent="0.2">
      <c r="A13" s="158" t="s">
        <v>270</v>
      </c>
      <c r="B13" s="158" t="s">
        <v>1782</v>
      </c>
    </row>
    <row r="14" spans="1:3" x14ac:dyDescent="0.2">
      <c r="A14" s="158" t="s">
        <v>110</v>
      </c>
      <c r="B14" s="158" t="s">
        <v>1783</v>
      </c>
    </row>
    <row r="15" spans="1:3" x14ac:dyDescent="0.2">
      <c r="A15" s="158" t="s">
        <v>488</v>
      </c>
      <c r="B15" s="158" t="s">
        <v>1784</v>
      </c>
    </row>
    <row r="16" spans="1:3" x14ac:dyDescent="0.2">
      <c r="A16" s="158" t="s">
        <v>113</v>
      </c>
      <c r="B16" s="158" t="s">
        <v>352</v>
      </c>
    </row>
    <row r="17" spans="1:2" x14ac:dyDescent="0.2">
      <c r="A17" s="158" t="s">
        <v>104</v>
      </c>
      <c r="B17" s="158" t="s">
        <v>1785</v>
      </c>
    </row>
    <row r="18" spans="1:2" x14ac:dyDescent="0.2">
      <c r="A18" s="158" t="s">
        <v>292</v>
      </c>
      <c r="B18" s="158" t="s">
        <v>353</v>
      </c>
    </row>
    <row r="19" spans="1:2" x14ac:dyDescent="0.2">
      <c r="A19" s="155" t="s">
        <v>24</v>
      </c>
      <c r="B19" s="158" t="s">
        <v>354</v>
      </c>
    </row>
    <row r="20" spans="1:2" x14ac:dyDescent="0.2">
      <c r="A20" s="158" t="s">
        <v>296</v>
      </c>
      <c r="B20" s="158" t="s">
        <v>357</v>
      </c>
    </row>
    <row r="21" spans="1:2" x14ac:dyDescent="0.2">
      <c r="A21" s="158" t="s">
        <v>509</v>
      </c>
      <c r="B21" s="158" t="s">
        <v>3923</v>
      </c>
    </row>
    <row r="22" spans="1:2" x14ac:dyDescent="0.2">
      <c r="A22" s="158" t="s">
        <v>1916</v>
      </c>
      <c r="B22" s="158" t="s">
        <v>3924</v>
      </c>
    </row>
    <row r="23" spans="1:2" x14ac:dyDescent="0.2">
      <c r="A23" s="158" t="s">
        <v>53</v>
      </c>
      <c r="B23" s="158" t="s">
        <v>1786</v>
      </c>
    </row>
    <row r="24" spans="1:2" x14ac:dyDescent="0.2">
      <c r="A24" s="12"/>
      <c r="B24" s="12"/>
    </row>
    <row r="25" spans="1:2" x14ac:dyDescent="0.2">
      <c r="A25" s="342" t="s">
        <v>175</v>
      </c>
      <c r="B25" s="343"/>
    </row>
    <row r="26" spans="1:2" x14ac:dyDescent="0.2">
      <c r="A26" s="158" t="s">
        <v>316</v>
      </c>
      <c r="B26" s="158" t="s">
        <v>1788</v>
      </c>
    </row>
    <row r="27" spans="1:2" x14ac:dyDescent="0.2">
      <c r="A27" s="158" t="s">
        <v>297</v>
      </c>
      <c r="B27" s="158" t="s">
        <v>1792</v>
      </c>
    </row>
    <row r="28" spans="1:2" x14ac:dyDescent="0.2">
      <c r="A28" s="158" t="s">
        <v>365</v>
      </c>
      <c r="B28" s="158" t="s">
        <v>1789</v>
      </c>
    </row>
    <row r="29" spans="1:2" x14ac:dyDescent="0.2">
      <c r="A29" s="158" t="s">
        <v>1787</v>
      </c>
      <c r="B29" s="158" t="s">
        <v>1790</v>
      </c>
    </row>
    <row r="30" spans="1:2" x14ac:dyDescent="0.2">
      <c r="A30" s="158" t="s">
        <v>114</v>
      </c>
      <c r="B30" s="158" t="s">
        <v>1791</v>
      </c>
    </row>
    <row r="31" spans="1:2" x14ac:dyDescent="0.2">
      <c r="A31" s="12"/>
      <c r="B31" s="12"/>
    </row>
    <row r="32" spans="1:2" x14ac:dyDescent="0.2">
      <c r="A32" s="342" t="s">
        <v>178</v>
      </c>
      <c r="B32" s="343"/>
    </row>
    <row r="33" spans="1:2" x14ac:dyDescent="0.2">
      <c r="A33" s="158" t="s">
        <v>115</v>
      </c>
      <c r="B33" s="158" t="s">
        <v>418</v>
      </c>
    </row>
    <row r="34" spans="1:2" x14ac:dyDescent="0.2">
      <c r="A34" s="158" t="s">
        <v>331</v>
      </c>
      <c r="B34" s="158" t="s">
        <v>419</v>
      </c>
    </row>
    <row r="35" spans="1:2" x14ac:dyDescent="0.2">
      <c r="A35" s="158" t="s">
        <v>397</v>
      </c>
      <c r="B35" s="158" t="s">
        <v>358</v>
      </c>
    </row>
    <row r="36" spans="1:2" x14ac:dyDescent="0.2">
      <c r="A36" s="12"/>
      <c r="B36" s="12"/>
    </row>
    <row r="37" spans="1:2" x14ac:dyDescent="0.2">
      <c r="A37" s="342" t="s">
        <v>179</v>
      </c>
      <c r="B37" s="343"/>
    </row>
    <row r="38" spans="1:2" x14ac:dyDescent="0.2">
      <c r="A38" s="158" t="s">
        <v>119</v>
      </c>
      <c r="B38" s="158" t="s">
        <v>1801</v>
      </c>
    </row>
    <row r="39" spans="1:2" x14ac:dyDescent="0.2">
      <c r="A39" s="158" t="s">
        <v>310</v>
      </c>
      <c r="B39" s="158" t="s">
        <v>167</v>
      </c>
    </row>
    <row r="40" spans="1:2" x14ac:dyDescent="0.2">
      <c r="A40" s="158" t="s">
        <v>219</v>
      </c>
      <c r="B40" s="158" t="s">
        <v>1803</v>
      </c>
    </row>
    <row r="41" spans="1:2" x14ac:dyDescent="0.2">
      <c r="A41" s="158" t="s">
        <v>398</v>
      </c>
      <c r="B41" s="158" t="s">
        <v>1802</v>
      </c>
    </row>
    <row r="42" spans="1:2" x14ac:dyDescent="0.2">
      <c r="A42" s="158" t="s">
        <v>116</v>
      </c>
      <c r="B42" s="158" t="s">
        <v>1804</v>
      </c>
    </row>
    <row r="43" spans="1:2" x14ac:dyDescent="0.2">
      <c r="A43" s="158" t="s">
        <v>1795</v>
      </c>
      <c r="B43" s="158" t="s">
        <v>1765</v>
      </c>
    </row>
    <row r="44" spans="1:2" x14ac:dyDescent="0.2">
      <c r="A44" s="12"/>
      <c r="B44" s="12"/>
    </row>
    <row r="45" spans="1:2" x14ac:dyDescent="0.2">
      <c r="A45" s="342" t="s">
        <v>1863</v>
      </c>
      <c r="B45" s="343"/>
    </row>
    <row r="46" spans="1:2" x14ac:dyDescent="0.2">
      <c r="A46" s="158" t="s">
        <v>219</v>
      </c>
      <c r="B46" s="158" t="s">
        <v>4031</v>
      </c>
    </row>
    <row r="47" spans="1:2" x14ac:dyDescent="0.2">
      <c r="A47" s="158" t="s">
        <v>345</v>
      </c>
      <c r="B47" s="158" t="s">
        <v>1796</v>
      </c>
    </row>
    <row r="48" spans="1:2" x14ac:dyDescent="0.2">
      <c r="A48" s="158" t="s">
        <v>117</v>
      </c>
      <c r="B48" s="158" t="s">
        <v>1797</v>
      </c>
    </row>
    <row r="49" spans="1:2" x14ac:dyDescent="0.2">
      <c r="A49" s="158" t="s">
        <v>116</v>
      </c>
      <c r="B49" s="158" t="s">
        <v>1798</v>
      </c>
    </row>
    <row r="50" spans="1:2" x14ac:dyDescent="0.2">
      <c r="A50" s="158" t="s">
        <v>1793</v>
      </c>
      <c r="B50" s="158" t="s">
        <v>1794</v>
      </c>
    </row>
    <row r="51" spans="1:2" x14ac:dyDescent="0.2">
      <c r="A51" s="158" t="s">
        <v>1764</v>
      </c>
      <c r="B51" s="158" t="s">
        <v>1799</v>
      </c>
    </row>
    <row r="52" spans="1:2" x14ac:dyDescent="0.2">
      <c r="A52" s="155" t="s">
        <v>92</v>
      </c>
      <c r="B52" s="158" t="s">
        <v>1800</v>
      </c>
    </row>
    <row r="53" spans="1:2" x14ac:dyDescent="0.2">
      <c r="A53" s="54"/>
      <c r="B53" s="54"/>
    </row>
    <row r="54" spans="1:2" x14ac:dyDescent="0.2">
      <c r="A54" s="342" t="s">
        <v>1864</v>
      </c>
      <c r="B54" s="343"/>
    </row>
    <row r="55" spans="1:2" x14ac:dyDescent="0.2">
      <c r="A55" s="155" t="s">
        <v>120</v>
      </c>
      <c r="B55" s="156" t="s">
        <v>359</v>
      </c>
    </row>
    <row r="56" spans="1:2" x14ac:dyDescent="0.2">
      <c r="A56" s="155" t="s">
        <v>336</v>
      </c>
      <c r="B56" s="156" t="s">
        <v>360</v>
      </c>
    </row>
    <row r="57" spans="1:2" x14ac:dyDescent="0.2">
      <c r="A57" s="155" t="s">
        <v>300</v>
      </c>
      <c r="B57" s="156" t="s">
        <v>361</v>
      </c>
    </row>
    <row r="58" spans="1:2" x14ac:dyDescent="0.2">
      <c r="A58" s="155" t="s">
        <v>220</v>
      </c>
      <c r="B58" s="156" t="s">
        <v>362</v>
      </c>
    </row>
    <row r="59" spans="1:2" x14ac:dyDescent="0.2">
      <c r="A59" s="155" t="s">
        <v>298</v>
      </c>
      <c r="B59" s="155" t="s">
        <v>1805</v>
      </c>
    </row>
    <row r="60" spans="1:2" x14ac:dyDescent="0.2">
      <c r="A60" s="155" t="s">
        <v>102</v>
      </c>
      <c r="B60" s="155" t="s">
        <v>1806</v>
      </c>
    </row>
    <row r="61" spans="1:2" x14ac:dyDescent="0.2">
      <c r="A61" s="155" t="s">
        <v>399</v>
      </c>
      <c r="B61" s="155" t="s">
        <v>1807</v>
      </c>
    </row>
    <row r="62" spans="1:2" x14ac:dyDescent="0.2">
      <c r="A62" s="155" t="s">
        <v>311</v>
      </c>
      <c r="B62" s="155" t="s">
        <v>1808</v>
      </c>
    </row>
    <row r="63" spans="1:2" x14ac:dyDescent="0.2">
      <c r="A63" s="155" t="s">
        <v>105</v>
      </c>
      <c r="B63" s="155" t="s">
        <v>1809</v>
      </c>
    </row>
    <row r="64" spans="1:2" x14ac:dyDescent="0.2">
      <c r="A64" s="155" t="s">
        <v>346</v>
      </c>
      <c r="B64" s="155" t="s">
        <v>1810</v>
      </c>
    </row>
    <row r="65" spans="1:2" x14ac:dyDescent="0.2">
      <c r="A65" s="155" t="s">
        <v>3927</v>
      </c>
      <c r="B65" s="155" t="s">
        <v>3926</v>
      </c>
    </row>
    <row r="66" spans="1:2" x14ac:dyDescent="0.2">
      <c r="A66" s="155" t="s">
        <v>3890</v>
      </c>
      <c r="B66" s="155" t="s">
        <v>3925</v>
      </c>
    </row>
    <row r="67" spans="1:2" x14ac:dyDescent="0.2">
      <c r="A67" s="155" t="s">
        <v>3889</v>
      </c>
      <c r="B67" s="155" t="s">
        <v>4031</v>
      </c>
    </row>
    <row r="68" spans="1:2" x14ac:dyDescent="0.2">
      <c r="A68" s="155" t="s">
        <v>218</v>
      </c>
      <c r="B68" s="156" t="s">
        <v>363</v>
      </c>
    </row>
    <row r="69" spans="1:2" x14ac:dyDescent="0.2">
      <c r="A69" s="155" t="s">
        <v>117</v>
      </c>
      <c r="B69" s="155" t="s">
        <v>1811</v>
      </c>
    </row>
    <row r="70" spans="1:2" x14ac:dyDescent="0.2">
      <c r="A70" s="12"/>
      <c r="B70" s="12"/>
    </row>
    <row r="71" spans="1:2" x14ac:dyDescent="0.2">
      <c r="A71" s="342" t="s">
        <v>408</v>
      </c>
      <c r="B71" s="343"/>
    </row>
    <row r="72" spans="1:2" x14ac:dyDescent="0.2">
      <c r="A72" s="159" t="s">
        <v>38</v>
      </c>
      <c r="B72" s="159" t="s">
        <v>1816</v>
      </c>
    </row>
    <row r="73" spans="1:2" x14ac:dyDescent="0.2">
      <c r="A73" s="158" t="s">
        <v>1812</v>
      </c>
      <c r="B73" s="158" t="s">
        <v>1817</v>
      </c>
    </row>
    <row r="74" spans="1:2" x14ac:dyDescent="0.2">
      <c r="A74" s="158" t="s">
        <v>1813</v>
      </c>
      <c r="B74" s="158" t="s">
        <v>1814</v>
      </c>
    </row>
    <row r="75" spans="1:2" x14ac:dyDescent="0.2">
      <c r="A75" s="158" t="s">
        <v>276</v>
      </c>
      <c r="B75" s="158" t="s">
        <v>1818</v>
      </c>
    </row>
    <row r="76" spans="1:2" x14ac:dyDescent="0.2">
      <c r="A76" s="158" t="s">
        <v>895</v>
      </c>
      <c r="B76" s="158" t="s">
        <v>1819</v>
      </c>
    </row>
    <row r="77" spans="1:2" x14ac:dyDescent="0.2">
      <c r="A77" s="155" t="s">
        <v>990</v>
      </c>
      <c r="B77" s="158" t="s">
        <v>1820</v>
      </c>
    </row>
    <row r="78" spans="1:2" x14ac:dyDescent="0.2">
      <c r="A78" s="158" t="s">
        <v>880</v>
      </c>
      <c r="B78" s="158" t="s">
        <v>1821</v>
      </c>
    </row>
    <row r="79" spans="1:2" x14ac:dyDescent="0.2">
      <c r="A79" s="158" t="s">
        <v>347</v>
      </c>
      <c r="B79" s="158" t="s">
        <v>1822</v>
      </c>
    </row>
    <row r="80" spans="1:2" x14ac:dyDescent="0.2">
      <c r="A80" s="158" t="s">
        <v>312</v>
      </c>
      <c r="B80" s="158" t="s">
        <v>1823</v>
      </c>
    </row>
    <row r="81" spans="1:2" x14ac:dyDescent="0.2">
      <c r="A81" s="158" t="s">
        <v>351</v>
      </c>
      <c r="B81" s="158" t="s">
        <v>1824</v>
      </c>
    </row>
    <row r="82" spans="1:2" x14ac:dyDescent="0.2">
      <c r="A82" s="158" t="s">
        <v>118</v>
      </c>
      <c r="B82" s="158" t="s">
        <v>364</v>
      </c>
    </row>
    <row r="83" spans="1:2" x14ac:dyDescent="0.2">
      <c r="A83" s="158" t="s">
        <v>1815</v>
      </c>
      <c r="B83" s="158" t="s">
        <v>1825</v>
      </c>
    </row>
  </sheetData>
  <mergeCells count="8">
    <mergeCell ref="A71:B71"/>
    <mergeCell ref="A54:B54"/>
    <mergeCell ref="A1:B1"/>
    <mergeCell ref="A3:B3"/>
    <mergeCell ref="A45:B45"/>
    <mergeCell ref="A37:B37"/>
    <mergeCell ref="A32:B32"/>
    <mergeCell ref="A25:B25"/>
  </mergeCells>
  <pageMargins left="0.39370078740157483" right="0.39370078740157483" top="0.39370078740157483" bottom="0.39370078740157483" header="0.19685039370078741" footer="0.19685039370078741"/>
  <pageSetup paperSize="9" orientation="portrait" verticalDpi="1200" r:id="rId1"/>
  <headerFooter alignWithMargins="0">
    <oddFooter>&amp;C&amp;8&amp;P of &amp;N</oddFooter>
  </headerFooter>
  <rowBreaks count="1" manualBreakCount="1">
    <brk id="5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2A16C151AA8DC4991ED30E629001D89" ma:contentTypeVersion="14" ma:contentTypeDescription="Create a new document." ma:contentTypeScope="" ma:versionID="fb1860b8137b375bcd58809a65042df0">
  <xsd:schema xmlns:xsd="http://www.w3.org/2001/XMLSchema" xmlns:xs="http://www.w3.org/2001/XMLSchema" xmlns:p="http://schemas.microsoft.com/office/2006/metadata/properties" xmlns:ns1="http://schemas.microsoft.com/sharepoint/v3" xmlns:ns2="dd432206-5341-4a9e-8bc1-0dd52a14e581" xmlns:ns3="7be4f7ab-f764-4276-a5ed-ac707042befe" targetNamespace="http://schemas.microsoft.com/office/2006/metadata/properties" ma:root="true" ma:fieldsID="311156d69e9e186c606bf017f9cf1320" ns1:_="" ns2:_="" ns3:_="">
    <xsd:import namespace="http://schemas.microsoft.com/sharepoint/v3"/>
    <xsd:import namespace="dd432206-5341-4a9e-8bc1-0dd52a14e581"/>
    <xsd:import namespace="7be4f7ab-f764-4276-a5ed-ac707042bef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1:_ip_UnifiedCompliancePolicyProperties" minOccurs="0"/>
                <xsd:element ref="ns1:_ip_UnifiedCompliancePolicyUIAc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d432206-5341-4a9e-8bc1-0dd52a14e5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be4f7ab-f764-4276-a5ed-ac707042bef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_dlc_DocId" ma:index="22" nillable="true" ma:displayName="Document ID Value" ma:description="The value of the document ID assigned to this item." ma:internalName="_dlc_DocId" ma:readOnly="true">
      <xsd:simpleType>
        <xsd:restriction base="dms:Text"/>
      </xsd:simpleType>
    </xsd:element>
    <xsd:element name="_dlc_DocIdUrl" ma:index="2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4"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dlc_DocId xmlns="7be4f7ab-f764-4276-a5ed-ac707042befe">ECSSTPIPO-485950255-22697</_dlc_DocId>
    <_dlc_DocIdUrl xmlns="7be4f7ab-f764-4276-a5ed-ac707042befe">
      <Url>https://richmondandwandsworth.sharepoint.com/sites/InfoPlanObs/_layouts/15/DocIdRedir.aspx?ID=ECSSTPIPO-485950255-22697</Url>
      <Description>ECSSTPIPO-485950255-22697</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D4E4D32-E099-404F-9441-1A00BCB59860}"/>
</file>

<file path=customXml/itemProps2.xml><?xml version="1.0" encoding="utf-8"?>
<ds:datastoreItem xmlns:ds="http://schemas.openxmlformats.org/officeDocument/2006/customXml" ds:itemID="{632617C1-E04B-4E31-B87C-C2931F45EEBC}"/>
</file>

<file path=customXml/itemProps3.xml><?xml version="1.0" encoding="utf-8"?>
<ds:datastoreItem xmlns:ds="http://schemas.openxmlformats.org/officeDocument/2006/customXml" ds:itemID="{52783065-27E7-44D1-813A-0F799F1DF3CB}"/>
</file>

<file path=customXml/itemProps4.xml><?xml version="1.0" encoding="utf-8"?>
<ds:datastoreItem xmlns:ds="http://schemas.openxmlformats.org/officeDocument/2006/customXml" ds:itemID="{2FB0BF18-2F8B-4B67-921F-34B2B9A92D5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8</vt:i4>
      </vt:variant>
    </vt:vector>
  </HeadingPairs>
  <TitlesOfParts>
    <vt:vector size="50" baseType="lpstr">
      <vt:lpstr>Summary Tables</vt:lpstr>
      <vt:lpstr>Trajectory Scenario 1</vt:lpstr>
      <vt:lpstr>Trajectory Scenario 2</vt:lpstr>
      <vt:lpstr>Conventional Supply Scenario 1</vt:lpstr>
      <vt:lpstr>Conventional Supply Scenario 2</vt:lpstr>
      <vt:lpstr>Non-Self-Contained Supply</vt:lpstr>
      <vt:lpstr>Conventional Supply Assumptions</vt:lpstr>
      <vt:lpstr>Non-Self-Contained Assumptions</vt:lpstr>
      <vt:lpstr>Abbreviations</vt:lpstr>
      <vt:lpstr>1a Conv</vt:lpstr>
      <vt:lpstr>1a NSC</vt:lpstr>
      <vt:lpstr>1c</vt:lpstr>
      <vt:lpstr>2 NB</vt:lpstr>
      <vt:lpstr>2 CON</vt:lpstr>
      <vt:lpstr>3</vt:lpstr>
      <vt:lpstr>4</vt:lpstr>
      <vt:lpstr>5 Perm</vt:lpstr>
      <vt:lpstr>5 Star</vt:lpstr>
      <vt:lpstr>6 PeNB</vt:lpstr>
      <vt:lpstr>6 PeCO</vt:lpstr>
      <vt:lpstr>6 StNB</vt:lpstr>
      <vt:lpstr>6 StCO</vt:lpstr>
      <vt:lpstr>7 Perm</vt:lpstr>
      <vt:lpstr>7 Star</vt:lpstr>
      <vt:lpstr>8b and 8c</vt:lpstr>
      <vt:lpstr>11 NB</vt:lpstr>
      <vt:lpstr>11 CON</vt:lpstr>
      <vt:lpstr>12</vt:lpstr>
      <vt:lpstr>13</vt:lpstr>
      <vt:lpstr>14 Cent</vt:lpstr>
      <vt:lpstr>14 Clap</vt:lpstr>
      <vt:lpstr>14 Nine</vt:lpstr>
      <vt:lpstr>14 Tham</vt:lpstr>
      <vt:lpstr>14 Wand</vt:lpstr>
      <vt:lpstr>14 Roeh</vt:lpstr>
      <vt:lpstr>14 East</vt:lpstr>
      <vt:lpstr>15</vt:lpstr>
      <vt:lpstr>16</vt:lpstr>
      <vt:lpstr>17</vt:lpstr>
      <vt:lpstr>18</vt:lpstr>
      <vt:lpstr>19</vt:lpstr>
      <vt:lpstr>20</vt:lpstr>
      <vt:lpstr>Abbreviations!Print_Area</vt:lpstr>
      <vt:lpstr>'Non-Self-Contained Assumptions'!Print_Area</vt:lpstr>
      <vt:lpstr>'Summary Tables'!Print_Area</vt:lpstr>
      <vt:lpstr>'Conventional Supply Assumptions'!Print_Titles</vt:lpstr>
      <vt:lpstr>'Conventional Supply Scenario 1'!Print_Titles</vt:lpstr>
      <vt:lpstr>'Conventional Supply Scenario 2'!Print_Titles</vt:lpstr>
      <vt:lpstr>'Non-Self-Contained Assumptions'!Print_Titles</vt:lpstr>
      <vt:lpstr>'Non-Self-Contained Supply'!Print_Titles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2017-11-01T14:41:40Z</dcterms:created>
  <dcterms:modified xsi:type="dcterms:W3CDTF">2019-05-17T09:56:25Z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0x01010002A16C151AA8DC4991ED30E629001D89</vt:lpwstr>
  </property>
  <property fmtid="{D5CDD505-2E9C-101B-9397-08002B2CF9AE}" pid="3" name="Order">
    <vt:r8>100</vt:r8>
  </property>
  <property fmtid="{D5CDD505-2E9C-101B-9397-08002B2CF9AE}" pid="4" name="_dlc_DocIdItemGuid">
    <vt:lpwstr>10a1eb50-101c-4595-9de6-f9e4805bd6d5</vt:lpwstr>
  </property>
</Properties>
</file>